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s" sheetId="1" r:id="rId4"/>
    <sheet state="visible" name="SFF Case &lt;10L" sheetId="2" r:id="rId5"/>
    <sheet state="visible" name="SFF Case 10L-20L" sheetId="3" r:id="rId6"/>
    <sheet state="visible" name="MFF Case &gt;20L" sheetId="4" r:id="rId7"/>
    <sheet state="visible" name="Taobao Agents" sheetId="5" r:id="rId8"/>
    <sheet state="visible" name="CPU Cooler &lt;70mm" sheetId="6" r:id="rId9"/>
    <sheet state="visible" name="CPU Cooler &gt;70mm" sheetId="7" r:id="rId10"/>
    <sheet state="visible" name="AIO" sheetId="8" r:id="rId11"/>
    <sheet state="visible" name="Slim Fan" sheetId="9" r:id="rId12"/>
    <sheet state="visible" name="Fans" sheetId="10" r:id="rId13"/>
    <sheet state="visible" name="RAM Height" sheetId="11" r:id="rId14"/>
    <sheet state="visible" name="PCIe Riser" sheetId="12" r:id="rId15"/>
    <sheet state="visible" name="SFF GPU &lt;215mm" sheetId="13" r:id="rId16"/>
    <sheet state="visible" name="GPU &gt;215mm" sheetId="14" r:id="rId17"/>
    <sheet state="visible" name="GPU Spec" sheetId="15" r:id="rId18"/>
    <sheet state="visible" name="mITX Boards" sheetId="16" r:id="rId19"/>
    <sheet state="visible" name="mDTX&amp;mATX Boards" sheetId="17" r:id="rId20"/>
    <sheet state="visible" name="PSU" sheetId="18" r:id="rId21"/>
    <sheet state="visible" name="CPU" sheetId="19" r:id="rId22"/>
    <sheet state="visible" name="Chipset" sheetId="20" r:id="rId23"/>
    <sheet state="visible" name="Console &amp; Pre-Built" sheetId="21" r:id="rId24"/>
  </sheets>
  <definedNames>
    <definedName hidden="1" localSheetId="1" name="_xlnm._FilterDatabase">'SFF Case &lt;10L'!$A$1:$AP$455</definedName>
    <definedName hidden="1" localSheetId="2" name="_xlnm._FilterDatabase">'SFF Case 10L-20L'!$A$1:$AP$422</definedName>
    <definedName hidden="1" localSheetId="3" name="_xlnm._FilterDatabase">'MFF Case &gt;20L'!$A$1:$AP$155</definedName>
    <definedName hidden="1" localSheetId="5" name="_xlnm._FilterDatabase">'CPU Cooler &lt;70mm'!$A$1:$Y$136</definedName>
    <definedName hidden="1" localSheetId="6" name="_xlnm._FilterDatabase">'CPU Cooler &gt;70mm'!$A$1:$Z$197</definedName>
    <definedName hidden="1" localSheetId="7" name="_xlnm._FilterDatabase">AIO!$A$1:$AH$729</definedName>
    <definedName hidden="1" localSheetId="8" name="_xlnm._FilterDatabase">'Slim Fan'!$A$1:$R$106</definedName>
    <definedName hidden="1" localSheetId="9" name="_xlnm._FilterDatabase">Fans!$A$1:$T$228</definedName>
    <definedName hidden="1" localSheetId="10" name="_xlnm._FilterDatabase">'RAM Height'!$A$1:$E$172</definedName>
    <definedName hidden="1" localSheetId="11" name="_xlnm._FilterDatabase">'PCIe Riser'!$A$1:$F$21</definedName>
    <definedName hidden="1" localSheetId="12" name="_xlnm._FilterDatabase">'SFF GPU &lt;215mm'!$A$1:$T$519</definedName>
    <definedName hidden="1" localSheetId="13" name="_xlnm._FilterDatabase">'GPU &gt;215mm'!$A$1:$T$3362</definedName>
    <definedName hidden="1" localSheetId="14" name="_xlnm._FilterDatabase">'GPU Spec'!$A$1:$AE$142</definedName>
    <definedName hidden="1" localSheetId="15" name="_xlnm._FilterDatabase">'mITX Boards'!$A$1:$BF$193</definedName>
    <definedName hidden="1" localSheetId="16" name="_xlnm._FilterDatabase">'mDTX&amp;mATX Boards'!$A$1:$BJ$511</definedName>
    <definedName hidden="1" localSheetId="17" name="_xlnm._FilterDatabase">PSU!$A$1:$AG$209</definedName>
    <definedName hidden="1" localSheetId="18" name="_xlnm._FilterDatabase">CPU!$A$1:$U$368</definedName>
    <definedName hidden="1" localSheetId="19" name="_xlnm._FilterDatabase">Chipset!$A$1:$R$53</definedName>
    <definedName hidden="1" localSheetId="20" name="_xlnm._FilterDatabase">'Console &amp; Pre-Built'!$A$1:$G$45</definedName>
    <definedName hidden="1" localSheetId="15" name="Z_361AB68E_A618_4D94_9A4A_73BEC2918065_.wvu.FilterData">'mITX Boards'!$A$1:$BF$193</definedName>
    <definedName hidden="1" localSheetId="17" name="Z_6E365388_30F4_43E2_8391_6819B9101287_.wvu.FilterData">PSU!$A$1:$AG$209</definedName>
    <definedName hidden="1" localSheetId="1" name="Z_2484191D_7B0A_413B_A550_5C733AC9516C_.wvu.FilterData">'SFF Case &lt;10L'!$A$1:$AP$472</definedName>
    <definedName hidden="1" localSheetId="2" name="Z_2484191D_7B0A_413B_A550_5C733AC9516C_.wvu.FilterData">'SFF Case 10L-20L'!$A$1:$AP$435</definedName>
    <definedName hidden="1" localSheetId="3" name="Z_2484191D_7B0A_413B_A550_5C733AC9516C_.wvu.FilterData">'MFF Case &gt;20L'!$A$1:$AP$155</definedName>
    <definedName hidden="1" localSheetId="18" name="Z_1C6A4A3E_395C_4EBC_BBBB_5101896F2832_.wvu.FilterData">CPU!$A$1:$U$368</definedName>
    <definedName hidden="1" localSheetId="5" name="Z_B52520E3_7F03_4B40_B137_27B7AA3F60F7_.wvu.FilterData">'CPU Cooler &lt;70mm'!$A$1:$Y$136</definedName>
    <definedName hidden="1" localSheetId="6" name="Z_B52520E3_7F03_4B40_B137_27B7AA3F60F7_.wvu.FilterData">'CPU Cooler &gt;70mm'!$A$1:$Z$197</definedName>
    <definedName hidden="1" localSheetId="1" name="Z_82CCCB4E_F596_49FC_A800_37DE1380F4DB_.wvu.FilterData">'SFF Case &lt;10L'!$A$1:$AP$472</definedName>
    <definedName hidden="1" localSheetId="2" name="Z_82CCCB4E_F596_49FC_A800_37DE1380F4DB_.wvu.FilterData">'SFF Case 10L-20L'!$A$1:$AP$435</definedName>
    <definedName hidden="1" localSheetId="3" name="Z_82CCCB4E_F596_49FC_A800_37DE1380F4DB_.wvu.FilterData">'MFF Case &gt;20L'!$A$1:$AP$155</definedName>
    <definedName hidden="1" localSheetId="13" name="Z_A7E90181_6589_40C3_AF72_EE9CB3025C7A_.wvu.FilterData">'GPU &gt;215mm'!$A$1:$T$3362</definedName>
    <definedName hidden="1" localSheetId="15" name="Z_B19D701D_DC0D_4230_B1AE_4A76FC2C59D6_.wvu.FilterData">'mITX Boards'!$A$1:$BF$193</definedName>
    <definedName hidden="1" localSheetId="1" name="Z_61FEFDD9_F7E8_4415_9F6B_976341A7522D_.wvu.FilterData">'SFF Case &lt;10L'!$A$1:$AP$472</definedName>
    <definedName hidden="1" localSheetId="2" name="Z_61FEFDD9_F7E8_4415_9F6B_976341A7522D_.wvu.FilterData">'SFF Case 10L-20L'!$A$1:$AP$435</definedName>
    <definedName hidden="1" localSheetId="3" name="Z_61FEFDD9_F7E8_4415_9F6B_976341A7522D_.wvu.FilterData">'MFF Case &gt;20L'!$A$1:$AP$155</definedName>
    <definedName hidden="1" localSheetId="1" name="Z_E767646A_A628_4CC0_B9D7_9609FF37CE35_.wvu.FilterData">'SFF Case &lt;10L'!$A$1:$AP$472</definedName>
    <definedName hidden="1" localSheetId="2" name="Z_E767646A_A628_4CC0_B9D7_9609FF37CE35_.wvu.FilterData">'SFF Case 10L-20L'!$A$1:$AP$435</definedName>
    <definedName hidden="1" localSheetId="16" name="Z_A629B1BA_189F_4114_87D5_8ECCF4F02AB1_.wvu.FilterData">'mDTX&amp;mATX Boards'!$A$1:$BJ$511</definedName>
    <definedName hidden="1" localSheetId="15" name="Z_D6FE9368_5AD9_4BEB_8387_F4F2466DF786_.wvu.FilterData">'mITX Boards'!$A$1:$BF$193</definedName>
    <definedName hidden="1" localSheetId="1" name="Z_ECC3305A_2B0E_4350_A9A4_E0400E210C2A_.wvu.FilterData">'SFF Case &lt;10L'!$A$1:$AP$472</definedName>
    <definedName hidden="1" localSheetId="2" name="Z_ECC3305A_2B0E_4350_A9A4_E0400E210C2A_.wvu.FilterData">'SFF Case 10L-20L'!$A$1:$AP$435</definedName>
    <definedName hidden="1" localSheetId="7" name="Z_3AE2894C_C3FA_4FFE_AC3E_B18D67CD9559_.wvu.FilterData">AIO!$A$1:$AH$729</definedName>
    <definedName hidden="1" localSheetId="18" name="Z_06DF8BF8_3955_4BA5_BE43_C38DC61E7CD0_.wvu.FilterData">CPU!$A$1:$U$368</definedName>
    <definedName hidden="1" localSheetId="12" name="Z_AB381EA2_3B0E_4B90_9A61_B1D12E4FF011_.wvu.FilterData">'SFF GPU &lt;215mm'!$A$1:$T$519</definedName>
    <definedName hidden="1" localSheetId="18" name="Z_6FCEF774_5717_44A8_B472_2FC7725FAA2E_.wvu.FilterData">CPU!$A$1:$U$368</definedName>
    <definedName hidden="1" localSheetId="18" name="Z_5387E67A_0187_4DF8_BBF3_55CA1F033A97_.wvu.FilterData">CPU!$A$1:$U$368</definedName>
    <definedName hidden="1" localSheetId="15" name="Z_5186E655_6EAC_4D79_B842_62727023EE74_.wvu.FilterData">'mITX Boards'!$A$1:$BF$193</definedName>
    <definedName hidden="1" localSheetId="16" name="Z_5186E655_6EAC_4D79_B842_62727023EE74_.wvu.FilterData">'mDTX&amp;mATX Boards'!$A$1:$BJ$511</definedName>
    <definedName hidden="1" localSheetId="10" name="Z_1A58689C_228E_4D42_8ACD_74DA3BB52BB8_.wvu.FilterData">'RAM Height'!$A$1:$E$172</definedName>
    <definedName hidden="1" localSheetId="12" name="Z_DE694868_D39E_4DF2_9144_08E49C0746DC_.wvu.FilterData">'SFF GPU &lt;215mm'!$A$1:$T$519</definedName>
    <definedName hidden="1" localSheetId="13" name="Z_DE694868_D39E_4DF2_9144_08E49C0746DC_.wvu.FilterData">'GPU &gt;215mm'!$A$1:$T$3362</definedName>
    <definedName hidden="1" localSheetId="18" name="Z_AD93430D_C4BF_4B5A_8E8A_415B40F26BAB_.wvu.FilterData">CPU!$A$1:$U$368</definedName>
    <definedName hidden="1" localSheetId="5" name="Z_6890B77D_197E_478A_9A61_D2A76B50FDCE_.wvu.FilterData">'CPU Cooler &lt;70mm'!$A$1:$Y$136</definedName>
    <definedName hidden="1" localSheetId="6" name="Z_6890B77D_197E_478A_9A61_D2A76B50FDCE_.wvu.FilterData">'CPU Cooler &gt;70mm'!$A$1:$Z$197</definedName>
    <definedName hidden="1" localSheetId="7" name="Z_6890B77D_197E_478A_9A61_D2A76B50FDCE_.wvu.FilterData">AIO!$A$1:$AH$729</definedName>
    <definedName hidden="1" localSheetId="12" name="Z_6890B77D_197E_478A_9A61_D2A76B50FDCE_.wvu.FilterData">'SFF GPU &lt;215mm'!$A$1:$T$533</definedName>
    <definedName hidden="1" localSheetId="13" name="Z_6890B77D_197E_478A_9A61_D2A76B50FDCE_.wvu.FilterData">'GPU &gt;215mm'!$A$1:$T$3362</definedName>
    <definedName hidden="1" localSheetId="16" name="Z_6890B77D_197E_478A_9A61_D2A76B50FDCE_.wvu.FilterData">'mDTX&amp;mATX Boards'!$A$1:$BJ$511</definedName>
    <definedName hidden="1" localSheetId="1" name="Z_ABF8B830_2BA9_4A62_A609_3F1E063D1EE0_.wvu.FilterData">'SFF Case &lt;10L'!$A$1:$AP$455</definedName>
    <definedName hidden="1" localSheetId="2" name="Z_ABF8B830_2BA9_4A62_A609_3F1E063D1EE0_.wvu.FilterData">'SFF Case 10L-20L'!$A$1:$AP$435</definedName>
    <definedName hidden="1" localSheetId="3" name="Z_ABF8B830_2BA9_4A62_A609_3F1E063D1EE0_.wvu.FilterData">'MFF Case &gt;20L'!$A$1:$AP$155</definedName>
    <definedName hidden="1" localSheetId="1" name="Z_B152A8EF_5B19_461B_A4DF_BD42DF2C558C_.wvu.FilterData">'SFF Case &lt;10L'!$A$1:$AP$472</definedName>
    <definedName hidden="1" localSheetId="2" name="Z_B152A8EF_5B19_461B_A4DF_BD42DF2C558C_.wvu.FilterData">'SFF Case 10L-20L'!$A$1:$AP$435</definedName>
    <definedName hidden="1" localSheetId="3" name="Z_B152A8EF_5B19_461B_A4DF_BD42DF2C558C_.wvu.FilterData">'MFF Case &gt;20L'!$A$1:$AP$155</definedName>
    <definedName hidden="1" localSheetId="15" name="Z_74934B54_B801_4E86_A4F2_601A32582EAA_.wvu.FilterData">'mITX Boards'!$A$1:$BF$193</definedName>
    <definedName hidden="1" localSheetId="18" name="Z_9C2496CB_94DC_4292_8B87_B78C02ADF6FE_.wvu.FilterData">CPU!$A$1:$U$368</definedName>
    <definedName hidden="1" localSheetId="7" name="Z_048B320F_842F_454E_85E6_4B0C5CE4CBA2_.wvu.FilterData">AIO!$A$1:$AH$729</definedName>
    <definedName hidden="1" localSheetId="7" name="Z_3015F118_77C7_40D2_AE84_52AB7538C5B9_.wvu.FilterData">AIO!$A$1:$AH$729</definedName>
    <definedName hidden="1" localSheetId="12" name="Z_ED4BB880_FC57_4587_A42E_3A21D3864B4F_.wvu.FilterData">'SFF GPU &lt;215mm'!$A$1:$T$519</definedName>
    <definedName hidden="1" localSheetId="13" name="Z_ED4BB880_FC57_4587_A42E_3A21D3864B4F_.wvu.FilterData">'GPU &gt;215mm'!$A$1:$T$3362</definedName>
    <definedName hidden="1" localSheetId="14" name="Z_ED4BB880_FC57_4587_A42E_3A21D3864B4F_.wvu.FilterData">'GPU Spec'!$A$1:$AE$142</definedName>
    <definedName hidden="1" localSheetId="18" name="Z_ED4BB880_FC57_4587_A42E_3A21D3864B4F_.wvu.FilterData">CPU!$A$1:$U$368</definedName>
    <definedName hidden="1" localSheetId="19" name="Z_ED4BB880_FC57_4587_A42E_3A21D3864B4F_.wvu.FilterData">Chipset!$A$1:$R$53</definedName>
    <definedName hidden="1" localSheetId="12" name="Z_81C2CD55_3E6E_46FA_8685_6BA37EC7EAD2_.wvu.FilterData">'SFF GPU &lt;215mm'!$A$1:$T$519</definedName>
    <definedName hidden="1" localSheetId="13" name="Z_81C2CD55_3E6E_46FA_8685_6BA37EC7EAD2_.wvu.FilterData">'GPU &gt;215mm'!$A$1:$T$3362</definedName>
    <definedName hidden="1" localSheetId="12" name="Z_8ED02128_7C2D_4648_810F_1691FA522EA1_.wvu.FilterData">'SFF GPU &lt;215mm'!$A$1:$T$519</definedName>
    <definedName hidden="1" localSheetId="13" name="Z_8ED02128_7C2D_4648_810F_1691FA522EA1_.wvu.FilterData">'GPU &gt;215mm'!$A$1:$T$3362</definedName>
    <definedName hidden="1" localSheetId="15" name="Z_76A08345_79E7_48F6_B038_2C174A0EE745_.wvu.FilterData">'mITX Boards'!$A$1:$BF$193</definedName>
    <definedName hidden="1" localSheetId="16" name="Z_76A08345_79E7_48F6_B038_2C174A0EE745_.wvu.FilterData">'mDTX&amp;mATX Boards'!$A$1:$BJ$511</definedName>
    <definedName hidden="1" localSheetId="7" name="Z_2356FFA4_586B_4DE6_BA2D_7442F1CAE6D0_.wvu.FilterData">AIO!$A$1:$AH$729</definedName>
    <definedName hidden="1" localSheetId="17" name="Z_37D695B8_BD3D_47E0_8751_B09DEA349480_.wvu.FilterData">PSU!$A$1:$AG$209</definedName>
    <definedName hidden="1" localSheetId="15" name="Z_677EE374_6E09_4D7E_B493_0A41E30893FA_.wvu.FilterData">'mITX Boards'!$A$1:$BF$193</definedName>
    <definedName hidden="1" localSheetId="16" name="Z_677EE374_6E09_4D7E_B493_0A41E30893FA_.wvu.FilterData">'mDTX&amp;mATX Boards'!$A$1:$BJ$511</definedName>
    <definedName hidden="1" localSheetId="18" name="Z_677EE374_6E09_4D7E_B493_0A41E30893FA_.wvu.FilterData">CPU!$A$1:$U$368</definedName>
    <definedName hidden="1" localSheetId="1" name="Z_28C3112D_2CD6_440B_BC19_0A060A536CDB_.wvu.FilterData">'SFF Case &lt;10L'!$A$1:$AP$472</definedName>
    <definedName hidden="1" localSheetId="2" name="Z_28C3112D_2CD6_440B_BC19_0A060A536CDB_.wvu.FilterData">'SFF Case 10L-20L'!$A$1:$AP$435</definedName>
    <definedName hidden="1" localSheetId="3" name="Z_28C3112D_2CD6_440B_BC19_0A060A536CDB_.wvu.FilterData">'MFF Case &gt;20L'!$A$1:$AP$155</definedName>
    <definedName hidden="1" localSheetId="12" name="Z_D92EF7D4_0A6D_466A_998E_A58A18D7B92D_.wvu.FilterData">'SFF GPU &lt;215mm'!$A$1:$T$519</definedName>
    <definedName hidden="1" localSheetId="17" name="Z_DC887196_DBF0_4F86_9DC8_FA917C756B56_.wvu.FilterData">PSU!$A$1:$AG$195</definedName>
    <definedName hidden="1" localSheetId="5" name="Z_32E58935_3C9F_4EB8_B58C_95B79BB01CE7_.wvu.FilterData">'CPU Cooler &lt;70mm'!$A$1:$Y$136</definedName>
    <definedName hidden="1" localSheetId="6" name="Z_32E58935_3C9F_4EB8_B58C_95B79BB01CE7_.wvu.FilterData">'CPU Cooler &gt;70mm'!$A$1:$Z$197</definedName>
    <definedName hidden="1" localSheetId="12" name="Z_3C7B2DE6_29DD_4C1F_8F9A_8FEB4F4DF572_.wvu.FilterData">'SFF GPU &lt;215mm'!$A$1:$T$519</definedName>
    <definedName hidden="1" localSheetId="13" name="Z_3C7B2DE6_29DD_4C1F_8F9A_8FEB4F4DF572_.wvu.FilterData">'GPU &gt;215mm'!$A$1:$T$3362</definedName>
    <definedName hidden="1" localSheetId="15" name="Z_BE57C4BF_69E9_4827_9149_EC31389B5A17_.wvu.FilterData">'mITX Boards'!$A$1:$BF$193</definedName>
    <definedName hidden="1" localSheetId="16" name="Z_BE57C4BF_69E9_4827_9149_EC31389B5A17_.wvu.FilterData">'mDTX&amp;mATX Boards'!$A$1:$BJ$511</definedName>
    <definedName hidden="1" localSheetId="15" name="Z_E8001174_015C_4430_9F21_728090371E9D_.wvu.FilterData">'mITX Boards'!$A$1:$BF$193</definedName>
    <definedName hidden="1" localSheetId="16" name="Z_E8001174_015C_4430_9F21_728090371E9D_.wvu.FilterData">'mDTX&amp;mATX Boards'!$A$1:$BJ$511</definedName>
    <definedName hidden="1" localSheetId="2" name="Z_08559E5C_8D61_4E9F_89F9_351862163AA1_.wvu.FilterData">'SFF Case 10L-20L'!$A$1:$AK$435</definedName>
    <definedName hidden="1" localSheetId="8" name="Z_08559E5C_8D61_4E9F_89F9_351862163AA1_.wvu.FilterData">'Slim Fan'!$A$1:$P$106</definedName>
    <definedName hidden="1" localSheetId="12" name="Z_08559E5C_8D61_4E9F_89F9_351862163AA1_.wvu.FilterData">'SFF GPU &lt;215mm'!$W$119</definedName>
    <definedName hidden="1" localSheetId="19" name="Z_08559E5C_8D61_4E9F_89F9_351862163AA1_.wvu.FilterData">Chipset!$A$1:$R$44</definedName>
    <definedName hidden="1" localSheetId="15" name="Z_3081402C_586B_4A7A_8352_EABE724DB239_.wvu.FilterData">'mITX Boards'!$A$1:$BF$193</definedName>
    <definedName hidden="1" localSheetId="16" name="Z_3081402C_586B_4A7A_8352_EABE724DB239_.wvu.FilterData">'mDTX&amp;mATX Boards'!$A$1:$BJ$511</definedName>
    <definedName hidden="1" localSheetId="1" name="Z_95B6A7BE_A6BB_4946_92BF_A852DAF0DC4C_.wvu.FilterData">'SFF Case &lt;10L'!$A$1:$AP$472</definedName>
    <definedName hidden="1" localSheetId="2" name="Z_95B6A7BE_A6BB_4946_92BF_A852DAF0DC4C_.wvu.FilterData">'SFF Case 10L-20L'!$A$1:$AP$435</definedName>
    <definedName hidden="1" localSheetId="3" name="Z_95B6A7BE_A6BB_4946_92BF_A852DAF0DC4C_.wvu.FilterData">'MFF Case &gt;20L'!$A$1:$AP$155</definedName>
    <definedName hidden="1" localSheetId="10" name="Z_BE624AF7_B6FC_498F_B1B2_53D72CA0F455_.wvu.FilterData">'RAM Height'!$A$1:$D$172</definedName>
    <definedName hidden="1" localSheetId="18" name="Z_C1A9329A_061E_441F_8ED5_0D8DB73EAA29_.wvu.FilterData">CPU!$A$1:$U$368</definedName>
    <definedName hidden="1" localSheetId="12" name="Z_A2146494_90CE_4744_8428_68CBD6BCC1D5_.wvu.FilterData">'SFF GPU &lt;215mm'!$A$1:$T$519</definedName>
    <definedName hidden="1" localSheetId="13" name="Z_A2146494_90CE_4744_8428_68CBD6BCC1D5_.wvu.FilterData">'GPU &gt;215mm'!$A$1:$T$3362</definedName>
    <definedName hidden="1" localSheetId="12" name="Z_E6ADA16B_A869_4D9F_9829_DC293F52D7AE_.wvu.FilterData">'SFF GPU &lt;215mm'!$A$1:$T$519</definedName>
    <definedName hidden="1" localSheetId="13" name="Z_E6ADA16B_A869_4D9F_9829_DC293F52D7AE_.wvu.FilterData">'GPU &gt;215mm'!$A$1:$T$3362</definedName>
    <definedName hidden="1" localSheetId="15" name="Z_B7BDA02A_DFE4_4636_A941_3478BCF006D1_.wvu.FilterData">'mITX Boards'!$A$1:$BF$193</definedName>
    <definedName hidden="1" localSheetId="16" name="Z_B7BDA02A_DFE4_4636_A941_3478BCF006D1_.wvu.FilterData">'mDTX&amp;mATX Boards'!$A$1:$BJ$511</definedName>
    <definedName hidden="1" localSheetId="1" name="Z_AF965720_BBF9_45B6_9F3C_EA0AAF9F7D06_.wvu.FilterData">'SFF Case &lt;10L'!$A$1:$AP$472</definedName>
    <definedName hidden="1" localSheetId="2" name="Z_AF965720_BBF9_45B6_9F3C_EA0AAF9F7D06_.wvu.FilterData">'SFF Case 10L-20L'!$A$1:$AP$435</definedName>
    <definedName hidden="1" localSheetId="18" name="Z_D691B39A_9D20_42C1_A4DF_4097C5D7EEAB_.wvu.FilterData">CPU!$A$1:$U$368</definedName>
    <definedName hidden="1" localSheetId="1" name="Z_A91DB93D_9B38_4E6B_AA5F_880AA2CC318C_.wvu.FilterData">'SFF Case &lt;10L'!$A$1:$AP$472</definedName>
    <definedName hidden="1" localSheetId="2" name="Z_A91DB93D_9B38_4E6B_AA5F_880AA2CC318C_.wvu.FilterData">'SFF Case 10L-20L'!$A$1:$AP$435</definedName>
    <definedName hidden="1" localSheetId="1" name="Z_FB48EA26_B7D2_4210_A00C_9A2FAB89C010_.wvu.FilterData">'SFF Case &lt;10L'!$A$1:$AP$472</definedName>
    <definedName hidden="1" localSheetId="2" name="Z_FB48EA26_B7D2_4210_A00C_9A2FAB89C010_.wvu.FilterData">'SFF Case 10L-20L'!$A$1:$AP$435</definedName>
    <definedName hidden="1" localSheetId="15" name="Z_FD865359_D342_42CD_8503_5E25780491EA_.wvu.FilterData">'mITX Boards'!$A$1:$BF$193</definedName>
    <definedName hidden="1" localSheetId="18" name="Z_03824AC4_0C96_4323_BF26_EF60CD7D722A_.wvu.FilterData">CPU!$A$1:$U$368</definedName>
    <definedName hidden="1" localSheetId="7" name="Z_01069DCE_057A_47C2_824C_0A18357DE11F_.wvu.FilterData">AIO!$A$1:$AH$729</definedName>
    <definedName hidden="1" localSheetId="12" name="Z_B1A53A6D_003C_4B18_89BB_0984FCCD638C_.wvu.FilterData">'SFF GPU &lt;215mm'!$A$1:$T$519</definedName>
    <definedName hidden="1" localSheetId="13" name="Z_B1A53A6D_003C_4B18_89BB_0984FCCD638C_.wvu.FilterData">'GPU &gt;215mm'!$A$1:$T$3362</definedName>
    <definedName hidden="1" localSheetId="15" name="Z_D0E4E144_FA51_47B2_8E2F_1AA67A5E9239_.wvu.FilterData">'mITX Boards'!$A$1:$BF$193</definedName>
    <definedName hidden="1" localSheetId="15" name="Z_B5271078_FE6D_4C5D_9703_911A5D0A7416_.wvu.FilterData">'mITX Boards'!$A$1:$BF$193</definedName>
    <definedName hidden="1" localSheetId="16" name="Z_B5271078_FE6D_4C5D_9703_911A5D0A7416_.wvu.FilterData">'mDTX&amp;mATX Boards'!$A$1:$BJ$511</definedName>
    <definedName hidden="1" localSheetId="19" name="Z_B5271078_FE6D_4C5D_9703_911A5D0A7416_.wvu.FilterData">Chipset!$A$1:$R$53</definedName>
    <definedName hidden="1" localSheetId="15" name="Z_0A32852C_2ACF_4D64_9C6F_CE6AA27990A0_.wvu.FilterData">'mITX Boards'!$A$1:$BF$193</definedName>
    <definedName hidden="1" localSheetId="1" name="Z_7FF0FC83_E9C3_4BCE_A08B_F9686655C4B2_.wvu.FilterData">'SFF Case &lt;10L'!$A$1:$AP$472</definedName>
    <definedName hidden="1" localSheetId="2" name="Z_7FF0FC83_E9C3_4BCE_A08B_F9686655C4B2_.wvu.FilterData">'SFF Case 10L-20L'!$A$1:$AP$435</definedName>
    <definedName hidden="1" localSheetId="3" name="Z_7FF0FC83_E9C3_4BCE_A08B_F9686655C4B2_.wvu.FilterData">'MFF Case &gt;20L'!$A$1:$AP$155</definedName>
    <definedName hidden="1" localSheetId="17" name="Z_F0CBD1F5_85BD_4F36_AE22_6355315F8F0C_.wvu.FilterData">PSU!$A$1:$AG$196</definedName>
    <definedName hidden="1" localSheetId="7" name="Z_441D4807_AA36_4F43_8AA3_EAD2A923216B_.wvu.FilterData">AIO!$A$1:$AH$729</definedName>
    <definedName hidden="1" localSheetId="12" name="Z_3AEE755D_1901_4D49_AD7C_CE645738D3F2_.wvu.FilterData">'SFF GPU &lt;215mm'!$A$1:$T$519</definedName>
    <definedName hidden="1" localSheetId="13" name="Z_3AEE755D_1901_4D49_AD7C_CE645738D3F2_.wvu.FilterData">'GPU &gt;215mm'!$A$1:$T$3362</definedName>
    <definedName hidden="1" localSheetId="1" name="Z_CDD9237C_13C3_4F3F_8D7B_B6AA897D820D_.wvu.FilterData">'SFF Case &lt;10L'!$A$1:$AP$472</definedName>
    <definedName hidden="1" localSheetId="2" name="Z_CDD9237C_13C3_4F3F_8D7B_B6AA897D820D_.wvu.FilterData">'SFF Case 10L-20L'!$A$1:$AP$435</definedName>
    <definedName hidden="1" localSheetId="3" name="Z_CDD9237C_13C3_4F3F_8D7B_B6AA897D820D_.wvu.FilterData">'MFF Case &gt;20L'!$A$1:$AP$155</definedName>
    <definedName hidden="1" localSheetId="17" name="Z_799D695F_D2D3_46EA_BDAF_2CBCF9F43990_.wvu.FilterData">PSU!$A$1:$AG$195</definedName>
    <definedName hidden="1" localSheetId="1" name="Z_81DD85A5_2E82_48BA_B9ED_4F36F72F5E64_.wvu.FilterData">'SFF Case &lt;10L'!$A$1:$AP$472</definedName>
    <definedName hidden="1" localSheetId="2" name="Z_81DD85A5_2E82_48BA_B9ED_4F36F72F5E64_.wvu.FilterData">'SFF Case 10L-20L'!$A$1:$AP$435</definedName>
    <definedName hidden="1" localSheetId="3" name="Z_81DD85A5_2E82_48BA_B9ED_4F36F72F5E64_.wvu.FilterData">'MFF Case &gt;20L'!$A$1:$AP$155</definedName>
    <definedName hidden="1" localSheetId="7" name="Z_93DCE7BC_5C36_478A_B7C9_C4F5D9E2B2BD_.wvu.FilterData">AIO!$A$1:$AH$729</definedName>
    <definedName hidden="1" localSheetId="1" name="Z_F1A7CD4E_438F_44EC_8840_87ADAE74067A_.wvu.FilterData">'SFF Case &lt;10L'!$A$1:$AP$455</definedName>
    <definedName hidden="1" localSheetId="2" name="Z_F1A7CD4E_438F_44EC_8840_87ADAE74067A_.wvu.FilterData">'SFF Case 10L-20L'!$A$1:$AP$435</definedName>
    <definedName hidden="1" localSheetId="3" name="Z_F1A7CD4E_438F_44EC_8840_87ADAE74067A_.wvu.FilterData">'MFF Case &gt;20L'!$A$1:$AP$155</definedName>
    <definedName hidden="1" localSheetId="12" name="Z_B8EED002_5DBD_4D9A_8090_3E4DFBD387F6_.wvu.FilterData">'SFF GPU &lt;215mm'!$A$1:$T$519</definedName>
    <definedName hidden="1" localSheetId="13" name="Z_B8EED002_5DBD_4D9A_8090_3E4DFBD387F6_.wvu.FilterData">'GPU &gt;215mm'!$A$1:$T$3362</definedName>
    <definedName hidden="1" localSheetId="14" name="Z_B8EED002_5DBD_4D9A_8090_3E4DFBD387F6_.wvu.FilterData">'GPU Spec'!$A$1:$AE$142</definedName>
    <definedName hidden="1" localSheetId="15" name="Z_8C6CAA53_755F_4D7E_9ABD_2FAC383E5622_.wvu.FilterData">'mITX Boards'!$A$1:$BF$193</definedName>
    <definedName hidden="1" localSheetId="16" name="Z_8C6CAA53_755F_4D7E_9ABD_2FAC383E5622_.wvu.FilterData">'mDTX&amp;mATX Boards'!$A$1:$BJ$511</definedName>
    <definedName hidden="1" localSheetId="16" name="Z_F073429D_2B61_407C_BCF4_9416A9221F14_.wvu.FilterData">'mDTX&amp;mATX Boards'!$A$1:$BJ$511</definedName>
    <definedName hidden="1" localSheetId="15" name="Z_1303F21E_1A49_440C_B5F6_A976CE2E6597_.wvu.FilterData">'mITX Boards'!$A$1:$BF$193</definedName>
    <definedName hidden="1" localSheetId="16" name="Z_1303F21E_1A49_440C_B5F6_A976CE2E6597_.wvu.FilterData">'mDTX&amp;mATX Boards'!$A$1:$BJ$511</definedName>
    <definedName hidden="1" localSheetId="1" name="Z_9985519A_4597_48DE_9723_C221FE8383EA_.wvu.FilterData">'SFF Case &lt;10L'!$A$1:$AP$472</definedName>
    <definedName hidden="1" localSheetId="2" name="Z_9985519A_4597_48DE_9723_C221FE8383EA_.wvu.FilterData">'SFF Case 10L-20L'!$A$1:$AP$435</definedName>
    <definedName hidden="1" localSheetId="3" name="Z_9985519A_4597_48DE_9723_C221FE8383EA_.wvu.FilterData">'MFF Case &gt;20L'!$A$1:$AP$155</definedName>
    <definedName hidden="1" localSheetId="12" name="Z_9F983350_A018_4889_9BD8_452583EBD780_.wvu.FilterData">'SFF GPU &lt;215mm'!$A$1:$T$519</definedName>
    <definedName hidden="1" localSheetId="10" name="Z_61BDB1AB_F441_45F3_A2AB_6B9F7516CC80_.wvu.FilterData">'RAM Height'!$A$1:$D$172</definedName>
    <definedName hidden="1" localSheetId="13" name="Z_ECBFC636_0966_47CD_A593_4DF79A393444_.wvu.FilterData">'GPU &gt;215mm'!$A$1:$T$3362</definedName>
    <definedName hidden="1" localSheetId="1" name="Z_234F1DF1_E232_487E_B11C_9FE2199D5CFE_.wvu.FilterData">'SFF Case &lt;10L'!$A$1:$AP$472</definedName>
    <definedName hidden="1" localSheetId="2" name="Z_234F1DF1_E232_487E_B11C_9FE2199D5CFE_.wvu.FilterData">'SFF Case 10L-20L'!$A$1:$AP$435</definedName>
    <definedName hidden="1" localSheetId="3" name="Z_234F1DF1_E232_487E_B11C_9FE2199D5CFE_.wvu.FilterData">'MFF Case &gt;20L'!$A$1:$AP$155</definedName>
    <definedName hidden="1" localSheetId="20" name="Z_234F1DF1_E232_487E_B11C_9FE2199D5CFE_.wvu.FilterData">'Console &amp; Pre-Built'!$A$1:$G$45</definedName>
    <definedName hidden="1" localSheetId="15" name="Z_0E751126_1B91_4106_A3DC_DF1C62053125_.wvu.FilterData">'mITX Boards'!$A$1:$BF$193</definedName>
    <definedName hidden="1" localSheetId="18" name="Z_29410337_05BB_4C95_89A7_F2A91D7399B6_.wvu.FilterData">CPU!$A$1:$U$368</definedName>
    <definedName hidden="1" localSheetId="1" name="Z_48ACB338_AEF2_4CEA_A478_03DC5A51C0A7_.wvu.FilterData">'SFF Case &lt;10L'!$A$1:$AP$472</definedName>
    <definedName hidden="1" localSheetId="2" name="Z_48ACB338_AEF2_4CEA_A478_03DC5A51C0A7_.wvu.FilterData">'SFF Case 10L-20L'!$A$1:$AP$435</definedName>
    <definedName hidden="1" localSheetId="3" name="Z_48ACB338_AEF2_4CEA_A478_03DC5A51C0A7_.wvu.FilterData">'MFF Case &gt;20L'!$A$1:$AP$155</definedName>
    <definedName hidden="1" localSheetId="17" name="Z_703525EF_4834_4451_87F3_8DF845CDC941_.wvu.FilterData">PSU!$A$1:$AG$209</definedName>
    <definedName hidden="1" localSheetId="7" name="Z_0D83B8EC_3FA3_4145_A4B2_D2B62D444BAD_.wvu.FilterData">AIO!$A$1:$AH$729</definedName>
    <definedName hidden="1" localSheetId="9" name="Z_11917308_F077_4DA3_A2C5_47265FB92A62_.wvu.FilterData">Fans!$A$1:$T$228</definedName>
    <definedName hidden="1" localSheetId="18" name="Z_E9D83EFB_6A98_4448_A34A_72387336F5B4_.wvu.FilterData">CPU!$A$1:$U$368</definedName>
    <definedName hidden="1" localSheetId="1" name="Z_F31AF662_1F25_48F6_9471_08511ECB3617_.wvu.FilterData">'SFF Case &lt;10L'!$A$1:$AP$472</definedName>
    <definedName hidden="1" localSheetId="2" name="Z_F31AF662_1F25_48F6_9471_08511ECB3617_.wvu.FilterData">'SFF Case 10L-20L'!$A$1:$AP$435</definedName>
    <definedName hidden="1" localSheetId="3" name="Z_F31AF662_1F25_48F6_9471_08511ECB3617_.wvu.FilterData">'MFF Case &gt;20L'!$A$1:$AP$155</definedName>
    <definedName hidden="1" localSheetId="15" name="Z_8D7EB049_F168_4438_BEF7_B343B7C33CA4_.wvu.FilterData">'mITX Boards'!$A$1:$BF$193</definedName>
    <definedName hidden="1" localSheetId="17" name="Z_F4FDAAB8_251D_4A2A_9C3D_59FD7DE533D0_.wvu.FilterData">PSU!$A$1:$AG$195</definedName>
    <definedName hidden="1" localSheetId="8" name="Z_201BD83C_C27E_4924_8C49_5C3EFDD16E4A_.wvu.FilterData">'Slim Fan'!$A$1:$K$106</definedName>
    <definedName hidden="1" localSheetId="1" name="Z_7C5C71AA_26D2_4268_85C6_0349FEE33C6D_.wvu.FilterData">'SFF Case &lt;10L'!$A$1:$AP$472</definedName>
    <definedName hidden="1" localSheetId="2" name="Z_7C5C71AA_26D2_4268_85C6_0349FEE33C6D_.wvu.FilterData">'SFF Case 10L-20L'!$A$1:$AP$435</definedName>
    <definedName hidden="1" localSheetId="3" name="Z_7C5C71AA_26D2_4268_85C6_0349FEE33C6D_.wvu.FilterData">'MFF Case &gt;20L'!$A$1:$AP$155</definedName>
    <definedName hidden="1" localSheetId="12" name="Z_9468C949_8649_487B_83B0_76EF4EC81AE2_.wvu.FilterData">'SFF GPU &lt;215mm'!$A$1:$T$519</definedName>
    <definedName hidden="1" localSheetId="16" name="Z_F897B97F_B171_4E8B_A78B_C117AEFB3DFC_.wvu.FilterData">'mDTX&amp;mATX Boards'!$A$1:$BJ$511</definedName>
    <definedName hidden="1" localSheetId="1" name="Z_45ECD915_252B_42EC_8227_F70214CF4F09_.wvu.FilterData">'SFF Case &lt;10L'!$A$1:$AP$455</definedName>
    <definedName hidden="1" localSheetId="2" name="Z_45ECD915_252B_42EC_8227_F70214CF4F09_.wvu.FilterData">'SFF Case 10L-20L'!$A$1:$AP$422</definedName>
    <definedName hidden="1" localSheetId="3" name="Z_45ECD915_252B_42EC_8227_F70214CF4F09_.wvu.FilterData">'MFF Case &gt;20L'!$A$1:$AP$145</definedName>
    <definedName hidden="1" localSheetId="7" name="Z_E95A43B7_D6BF_48F2_82C1_71755EC04036_.wvu.FilterData">AIO!$A$1:$AH$729</definedName>
    <definedName hidden="1" localSheetId="17" name="Z_87D5B33E_F6D1_4DFA_97AD_E4B6F4F2917C_.wvu.FilterData">PSU!$A$1:$AG$195</definedName>
    <definedName hidden="1" localSheetId="15" name="Z_E26A97E9_8229_4348_8B94_718617AC9488_.wvu.FilterData">'mITX Boards'!$A$1:$BF$193</definedName>
    <definedName hidden="1" localSheetId="18" name="Z_E79474E8_932B_4082_87B0_70B3D45FCDAB_.wvu.FilterData">CPU!$A$1:$U$368</definedName>
    <definedName hidden="1" localSheetId="15" name="Z_4F6BD2AE_48F5_48D6_B519_5C3F90CA2213_.wvu.FilterData">'mITX Boards'!$A$1:$BF$193</definedName>
    <definedName hidden="1" localSheetId="18" name="Z_5B778D10_F6D8_4E47_8EFE_79F300AA379D_.wvu.FilterData">CPU!$A$1:$U$368</definedName>
    <definedName hidden="1" localSheetId="15" name="Z_B4ED1059_3735_470A_B4E2_A780753516DA_.wvu.FilterData">'mITX Boards'!$A$1:$BF$193</definedName>
    <definedName hidden="1" localSheetId="16" name="Z_B4ED1059_3735_470A_B4E2_A780753516DA_.wvu.FilterData">'mDTX&amp;mATX Boards'!$A$1:$BJ$511</definedName>
    <definedName hidden="1" localSheetId="18" name="Z_9D943D0E_ABD6_41E2_B606_E77530548ADF_.wvu.FilterData">CPU!$A$1:$U$368</definedName>
    <definedName hidden="1" localSheetId="15" name="Z_FEC9776A_FB8E_4FCD_8FB6_CF302DEEF00D_.wvu.FilterData">'mITX Boards'!$A$1:$BF$193</definedName>
    <definedName hidden="1" localSheetId="16" name="Z_FEC9776A_FB8E_4FCD_8FB6_CF302DEEF00D_.wvu.FilterData">'mDTX&amp;mATX Boards'!$A$1:$BJ$511</definedName>
    <definedName hidden="1" localSheetId="18" name="Z_4A61605B_58A9_402E_BCCA_9AA259D45816_.wvu.FilterData">CPU!$A$1:$U$368</definedName>
    <definedName hidden="1" localSheetId="7" name="Z_D85ECBD0_2D00_4B95_B62D_72EBC2A48C4E_.wvu.FilterData">AIO!$A$1:$AH$729</definedName>
    <definedName hidden="1" localSheetId="1" name="Z_61CD0F28_96E8_474C_ABBF_9901ED68A1BC_.wvu.FilterData">'SFF Case &lt;10L'!$A$1:$AP$472</definedName>
    <definedName hidden="1" localSheetId="2" name="Z_61CD0F28_96E8_474C_ABBF_9901ED68A1BC_.wvu.FilterData">'SFF Case 10L-20L'!$A$1:$AP$435</definedName>
    <definedName hidden="1" localSheetId="3" name="Z_61CD0F28_96E8_474C_ABBF_9901ED68A1BC_.wvu.FilterData">'MFF Case &gt;20L'!$A$1:$AP$155</definedName>
    <definedName hidden="1" localSheetId="18" name="Z_B53F3ABF_2CC6_4AE7_963E_21B443A1CCD2_.wvu.FilterData">CPU!$A$1:$U$368</definedName>
    <definedName hidden="1" localSheetId="17" name="Z_5CA9F19B_76EE_4FBB_9E1F_6094E1B4CBB8_.wvu.FilterData">PSU!$A$1:$AG$209</definedName>
    <definedName hidden="1" localSheetId="17" name="Z_E4BA5376_8447_479E_9AE4_5EC64ADA9E8F_.wvu.FilterData">PSU!$A$1:$AG$195</definedName>
    <definedName hidden="1" localSheetId="12" name="Z_5DD041BA_2ABE_4709_938D_3F4754640E1F_.wvu.FilterData">'SFF GPU &lt;215mm'!$A$1:$T$519</definedName>
    <definedName hidden="1" localSheetId="13" name="Z_5DD041BA_2ABE_4709_938D_3F4754640E1F_.wvu.FilterData">'GPU &gt;215mm'!$A$1:$T$3362</definedName>
    <definedName hidden="1" localSheetId="13" name="Z_4456132C_ADF5_4567_8202_860CECFBBA7C_.wvu.FilterData">'GPU &gt;215mm'!$A$1:$T$3362</definedName>
    <definedName hidden="1" localSheetId="12" name="Z_23F8A8D4_BF6F_443E_A7CB_443445CFA23F_.wvu.FilterData">'SFF GPU &lt;215mm'!$A$1:$T$519</definedName>
    <definedName hidden="1" localSheetId="13" name="Z_23F8A8D4_BF6F_443E_A7CB_443445CFA23F_.wvu.FilterData">'GPU &gt;215mm'!$A$1:$T$3362</definedName>
    <definedName hidden="1" localSheetId="14" name="Z_23F8A8D4_BF6F_443E_A7CB_443445CFA23F_.wvu.FilterData">'GPU Spec'!$A$1:$AE$142</definedName>
    <definedName hidden="1" localSheetId="18" name="Z_23F8A8D4_BF6F_443E_A7CB_443445CFA23F_.wvu.FilterData">CPU!$A$1:$U$368</definedName>
    <definedName hidden="1" localSheetId="19" name="Z_23F8A8D4_BF6F_443E_A7CB_443445CFA23F_.wvu.FilterData">Chipset!$A$1:$R$53</definedName>
    <definedName hidden="1" localSheetId="1" name="Z_88FC762E_79C0_4110_B706_61516F679340_.wvu.FilterData">'SFF Case &lt;10L'!$A$1:$AP$472</definedName>
    <definedName hidden="1" localSheetId="2" name="Z_88FC762E_79C0_4110_B706_61516F679340_.wvu.FilterData">'SFF Case 10L-20L'!$A$1:$AP$435</definedName>
    <definedName hidden="1" localSheetId="3" name="Z_88FC762E_79C0_4110_B706_61516F679340_.wvu.FilterData">'MFF Case &gt;20L'!$A$1:$AP$145</definedName>
    <definedName hidden="1" localSheetId="10" name="Z_388E4F6B_13BB_4CAC_A100_8C53308A6812_.wvu.FilterData">'RAM Height'!$A$1:$D$172</definedName>
    <definedName hidden="1" localSheetId="9" name="Z_ACA593B2_83EB_4E0D_9401_F26B8AAAA7A7_.wvu.FilterData">Fans!$A$1:$T$228</definedName>
    <definedName hidden="1" localSheetId="18" name="Z_7C3C8E4A_696A_412D_9E59_2BB12ACF60CD_.wvu.FilterData">CPU!$A$1:$U$368</definedName>
    <definedName hidden="1" localSheetId="5" name="Z_6CF37CC9_C0F4_44B7_9AFD_045D1E8E0DF6_.wvu.FilterData">'CPU Cooler &lt;70mm'!$A$1:$Y$136</definedName>
    <definedName hidden="1" localSheetId="6" name="Z_6CF37CC9_C0F4_44B7_9AFD_045D1E8E0DF6_.wvu.FilterData">'CPU Cooler &gt;70mm'!$A$1:$Z$197</definedName>
    <definedName hidden="1" localSheetId="1" name="Z_D6F75E10_0D2A_4FD9_964F_8A11EEFA879B_.wvu.FilterData">'SFF Case &lt;10L'!$A$1:$AP$472</definedName>
    <definedName hidden="1" localSheetId="2" name="Z_D6F75E10_0D2A_4FD9_964F_8A11EEFA879B_.wvu.FilterData">'SFF Case 10L-20L'!$A$1:$AP$435</definedName>
    <definedName hidden="1" localSheetId="3" name="Z_D6F75E10_0D2A_4FD9_964F_8A11EEFA879B_.wvu.FilterData">'MFF Case &gt;20L'!$A$1:$AP$155</definedName>
    <definedName hidden="1" localSheetId="9" name="Z_FBC988F7_5B48_4A8E_954B_05290DCBEA5B_.wvu.FilterData">Fans!$A$1:$T$228</definedName>
    <definedName hidden="1" localSheetId="7" name="Z_43E3EA58_A5AC_4A8A_AF4A_9EE9A7AB665A_.wvu.FilterData">AIO!$A$1:$AH$729</definedName>
    <definedName hidden="1" localSheetId="7" name="Z_F2898B29_BF31_4832_BD3F_74DB9E2ECEC0_.wvu.FilterData">AIO!$A$1:$AH$729</definedName>
    <definedName hidden="1" localSheetId="2" name="Z_B0E5F60A_CBB1_43C5_9210_ED55E938503D_.wvu.FilterData">'SFF Case 10L-20L'!$A$1:$AP$435</definedName>
    <definedName hidden="1" localSheetId="1" name="Z_C7AA6BBB_15F6_4206_AB68_B255A886B380_.wvu.FilterData">'SFF Case &lt;10L'!$A$1:$AP$472</definedName>
    <definedName hidden="1" localSheetId="2" name="Z_C7AA6BBB_15F6_4206_AB68_B255A886B380_.wvu.FilterData">'SFF Case 10L-20L'!$A$1:$AP$435</definedName>
    <definedName hidden="1" localSheetId="3" name="Z_C7AA6BBB_15F6_4206_AB68_B255A886B380_.wvu.FilterData">'MFF Case &gt;20L'!$A$1:$AP$155</definedName>
    <definedName hidden="1" localSheetId="1" name="Z_E0EC73E7_92F2_4465_82D0_44EFB849A444_.wvu.FilterData">'SFF Case &lt;10L'!$A$1:$AP$472</definedName>
    <definedName hidden="1" localSheetId="3" name="Z_E0EC73E7_92F2_4465_82D0_44EFB849A444_.wvu.FilterData">'MFF Case &gt;20L'!$A$1:$AP$155</definedName>
    <definedName hidden="1" localSheetId="7" name="Z_91F3CE2B_0CD5_4095_A291_30D2B57D3622_.wvu.FilterData">AIO!$A$1:$AH$729</definedName>
    <definedName hidden="1" localSheetId="7" name="Z_3A46AE70_E76F_4993_A787_477AFFC12683_.wvu.FilterData">AIO!$A$1:$AH$729</definedName>
  </definedNames>
  <calcPr/>
  <customWorkbookViews>
    <customWorkbookView activeSheetId="0" maximized="1" windowHeight="0" windowWidth="0" guid="{3015F118-77C7-40D2-AE84-52AB7538C5B9}" name="240mm AIO"/>
    <customWorkbookView activeSheetId="0" maximized="1" windowHeight="0" windowWidth="0" guid="{9468C949-8649-487B-83B0-76EF4EC81AE2}" name="AMD RX 500"/>
    <customWorkbookView activeSheetId="0" maximized="1" windowHeight="0" windowWidth="0" guid="{677EE374-6E09-4D7E-B493-0A41E30893FA}" name="No Filter"/>
    <customWorkbookView activeSheetId="0" maximized="1" windowHeight="0" windowWidth="0" guid="{43E3EA58-A5AC-4A8A-AF4A-9EE9A7AB665A}" name="Sort by Type"/>
    <customWorkbookView activeSheetId="0" maximized="1" windowHeight="0" windowWidth="0" guid="{A91DB93D-9B38-4E6B-AA5F-880AA2CC318C}" name="PCIe Slot (2 slots)"/>
    <customWorkbookView activeSheetId="0" maximized="1" windowHeight="0" windowWidth="0" guid="{048B320F-842F-454E-85E6-4B0C5CE4CBA2}" name="280mm AIO"/>
    <customWorkbookView activeSheetId="0" maximized="1" windowHeight="0" windowWidth="0" guid="{8ED02128-7C2D-4648-810F-1691FA522EA1}" name="AMD RX 6000"/>
    <customWorkbookView activeSheetId="0" maximized="1" windowHeight="0" windowWidth="0" guid="{E79474E8-932B-4082-87B0-70B3D45FCDAB}" name="Intel 12th Series"/>
    <customWorkbookView activeSheetId="0" maximized="1" windowHeight="0" windowWidth="0" guid="{91F3CE2B-0CD5-4095-A291-30D2B57D3622}" name="No SATA Power"/>
    <customWorkbookView activeSheetId="0" maximized="1" windowHeight="0" windowWidth="0" guid="{C1A9329A-061E-441F-8ED5-0D8DB73EAA29}" name="AMD Ryzen 2000"/>
    <customWorkbookView activeSheetId="0" maximized="1" windowHeight="0" windowWidth="0" guid="{87D5B33E-F6D1-4DFA-97AD-E4B6F4F2917C}" name="Sort by Wattage"/>
    <customWorkbookView activeSheetId="0" maximized="1" windowHeight="0" windowWidth="0" guid="{0E751126-1B91-4106-A3DC-DF1C62053125}" name="USB-C Header"/>
    <customWorkbookView activeSheetId="0" maximized="1" windowHeight="0" windowWidth="0" guid="{B53F3ABF-2CC6-4AE7-963E-21B443A1CCD2}" name="Intel 7th Series"/>
    <customWorkbookView activeSheetId="0" maximized="1" windowHeight="0" windowWidth="0" guid="{32E58935-3C9F-4EB8-B58C-95B79BB01CE7}" name="AMD AM4/AM5 Compatible"/>
    <customWorkbookView activeSheetId="0" maximized="1" windowHeight="0" windowWidth="0" guid="{B152A8EF-5B19-461B-A4DF-BD42DF2C558C}" name="Sort by GPU Length"/>
    <customWorkbookView activeSheetId="0" maximized="1" windowHeight="0" windowWidth="0" guid="{F897B97F-B171-4E8B-A78B-C117AEFB3DFC}" name="For NCase M1 (side mount SFX PSU)"/>
    <customWorkbookView activeSheetId="0" maximized="1" windowHeight="0" windowWidth="0" guid="{74934B54-B801-4E86-A4F2-601A32582EAA}" name="Bifurcation Support"/>
    <customWorkbookView activeSheetId="0" maximized="1" windowHeight="0" windowWidth="0" guid="{6890B77D-197E-478A-9A61-D2A76B50FDCE}" name="Sort by Brand"/>
    <customWorkbookView activeSheetId="0" maximized="1" windowHeight="0" windowWidth="0" guid="{B7BDA02A-DFE4-4636-A941-3478BCF006D1}" name="Socket (AM4)"/>
    <customWorkbookView activeSheetId="0" maximized="1" windowHeight="0" windowWidth="0" guid="{6E365388-30F4-43E2-8391-6819B9101287}" name="Semi Passive"/>
    <customWorkbookView activeSheetId="0" maximized="1" windowHeight="0" windowWidth="0" guid="{3AE2894C-C3FA-4FFE-AC3E-B18D67CD9559}" name="92mm AIO"/>
    <customWorkbookView activeSheetId="0" maximized="1" windowHeight="0" windowWidth="0" guid="{61FEFDD9-F7E8-4415-9F6B-976341A7522D}" name="Case (Taobao)"/>
    <customWorkbookView activeSheetId="0" maximized="1" windowHeight="0" windowWidth="0" guid="{F0CBD1F5-85BD-4F36-AE22-6355315F8F0C}" name="ATX 3.0 Compatible"/>
    <customWorkbookView activeSheetId="0" maximized="1" windowHeight="0" windowWidth="0" guid="{11917308-F077-4DA3-A2C5-47265FB92A62}" name="120mm Fan"/>
    <customWorkbookView activeSheetId="0" maximized="1" windowHeight="0" windowWidth="0" guid="{ACA593B2-83EB-4E0D-9401-F26B8AAAA7A7}" name="140mm Fan"/>
    <customWorkbookView activeSheetId="0" maximized="1" windowHeight="0" windowWidth="0" guid="{E9D83EFB-6A98-4448-A34A-72387336F5B4}" name="AMD Ryzen 5000"/>
    <customWorkbookView activeSheetId="0" maximized="1" windowHeight="0" windowWidth="0" guid="{5387E67A-0187-4DF8-BBF3-55CA1F033A97}" name="Intel 6th Series"/>
    <customWorkbookView activeSheetId="0" maximized="1" windowHeight="0" windowWidth="0" guid="{45ECD915-252B-42EC-8227-F70214CF4F09}" name="Last Update"/>
    <customWorkbookView activeSheetId="0" maximized="1" windowHeight="0" windowWidth="0" guid="{7C5C71AA-26D2-4268-85C6-0349FEE33C6D}" name="Drive (3.5&quot;)"/>
    <customWorkbookView activeSheetId="0" maximized="1" windowHeight="0" windowWidth="0" guid="{81DD85A5-2E82-48BA-B9ED-4F36F72F5E64}" name="Case (Exclude Taobao)"/>
    <customWorkbookView activeSheetId="0" maximized="1" windowHeight="0" windowWidth="0" guid="{AF965720-BBF9-45B6-9F3C-EA0AAF9F7D06}" name="Style (APU)"/>
    <customWorkbookView activeSheetId="0" maximized="1" windowHeight="0" windowWidth="0" guid="{29410337-05BB-4C95-89A7-F2A91D7399B6}" name="Intel 11th Series"/>
    <customWorkbookView activeSheetId="0" maximized="1" windowHeight="0" windowWidth="0" guid="{CDD9237C-13C3-4F3F-8D7B-B6AA897D820D}" name="Style (Sandwich)"/>
    <customWorkbookView activeSheetId="0" maximized="1" windowHeight="0" windowWidth="0" guid="{A2146494-90CE-4744-8428-68CBD6BCC1D5}" name="2-Slot or Less"/>
    <customWorkbookView activeSheetId="0" maximized="1" windowHeight="0" windowWidth="0" guid="{D85ECBD0-2D00-4B95-B62D-72EBC2A48C4E}" name="140mm AIO"/>
    <customWorkbookView activeSheetId="0" maximized="1" windowHeight="0" windowWidth="0" guid="{A629B1BA-189F-4114-87D5-8ECCF4F02AB1}" name="Optical Out"/>
    <customWorkbookView activeSheetId="0" maximized="1" windowHeight="0" windowWidth="0" guid="{01069DCE-057A-47C2-824C-0A18357DE11F}" name="360mm AIO"/>
    <customWorkbookView activeSheetId="0" maximized="1" windowHeight="0" windowWidth="0" guid="{5CA9F19B-76EE-4FBB-9E1F-6094E1B4CBB8}" name="Flex ATX"/>
    <customWorkbookView activeSheetId="0" maximized="1" windowHeight="0" windowWidth="0" guid="{F073429D-2B61-407C-BCF4-9416A9221F14}" name="For NCase M1 (front mount SFX PSU)"/>
    <customWorkbookView activeSheetId="0" maximized="1" windowHeight="0" windowWidth="0" guid="{F2898B29-BF31-4832-BD3F-74DB9E2ECEC0}" name="12V RGB"/>
    <customWorkbookView activeSheetId="0" maximized="1" windowHeight="0" windowWidth="0" guid="{FEC9776A-FB8E-4FCD-8FB6-CF302DEEF00D}" name="Socket (1151 v2)"/>
    <customWorkbookView activeSheetId="0" maximized="1" windowHeight="0" windowWidth="0" guid="{B19D701D-DC0D-4230-B1AE-4A76FC2C59D6}" name="DDR4 RAM"/>
    <customWorkbookView activeSheetId="0" maximized="1" windowHeight="0" windowWidth="0" guid="{A7E90181-6589-40C3-AF72-EE9CB3025C7A}" name="USB C"/>
    <customWorkbookView activeSheetId="0" maximized="1" windowHeight="0" windowWidth="0" guid="{703525EF-4834-4451-87F3-8DF845CDC941}" name="SFX-L"/>
    <customWorkbookView activeSheetId="0" maximized="1" windowHeight="0" windowWidth="0" guid="{F4FDAAB8-251D-4A2A-9C3D-59FD7DE533D0}" name="Reviewed by Aris"/>
    <customWorkbookView activeSheetId="0" maximized="1" windowHeight="0" windowWidth="0" guid="{234F1DF1-E232-487E-B11C-9FE2199D5CFE}" name="Sort by Volume"/>
    <customWorkbookView activeSheetId="0" maximized="1" windowHeight="0" windowWidth="0" guid="{D691B39A-9D20-42C1-A4DF-4097C5D7EEAB}" name="Intel 8th Series"/>
    <customWorkbookView activeSheetId="0" maximized="1" windowHeight="0" windowWidth="0" guid="{37D695B8-BD3D-47E0-8751-B09DEA349480}" name="SFX"/>
    <customWorkbookView activeSheetId="0" maximized="1" windowHeight="0" windowWidth="0" guid="{B0E5F60A-CBB1-43C5-9210-ED55E938503D}" name="PSU (Flex ATX/1U)"/>
    <customWorkbookView activeSheetId="0" maximized="1" windowHeight="0" windowWidth="0" guid="{FB48EA26-B7D2-4210-A00C-9A2FAB89C010}" name="PCIe Slot (&gt;=3 slots)"/>
    <customWorkbookView activeSheetId="0" maximized="1" windowHeight="0" windowWidth="0" guid="{BE624AF7-B6FC-498F-B1B2-53D72CA0F455}" name="Sort by height"/>
    <customWorkbookView activeSheetId="0" maximized="1" windowHeight="0" windowWidth="0" guid="{361AB68E-A618-4D94-9A4A-73BEC2918065}" name="Socket (1151 v1)"/>
    <customWorkbookView activeSheetId="0" maximized="1" windowHeight="0" windowWidth="0" guid="{6CF37CC9-C0F4-44B7-9AFD-045D1E8E0DF6}" name="Intel 115X/1200 Compatible"/>
    <customWorkbookView activeSheetId="0" maximized="1" windowHeight="0" windowWidth="0" guid="{4456132C-ADF5-4567-8202-860CECFBBA7C}" name="Watercooled"/>
    <customWorkbookView activeSheetId="0" maximized="1" windowHeight="0" windowWidth="0" guid="{4A61605B-58A9-402E-BCCA-9AA259D45816}" name="Overclock"/>
    <customWorkbookView activeSheetId="0" maximized="1" windowHeight="0" windowWidth="0" guid="{08559E5C-8D61-4E9F-89F9-351862163AA1}" name="Filter 1"/>
    <customWorkbookView activeSheetId="0" maximized="1" windowHeight="0" windowWidth="0" guid="{0A32852C-2ACF-4D64-9C6F-CE6AA27990A0}" name="Brand (Sort)"/>
    <customWorkbookView activeSheetId="0" maximized="1" windowHeight="0" windowWidth="0" guid="{61CD0F28-96E8-474C-ABBF-9901ED68A1BC}" name="Style (Open)"/>
    <customWorkbookView activeSheetId="0" maximized="1" windowHeight="0" windowWidth="0" guid="{1C6A4A3E-395C-4EBC-BBBB-5101896F2832}" name="AMD Ryzen 3000"/>
    <customWorkbookView activeSheetId="0" maximized="1" windowHeight="0" windowWidth="0" guid="{2356FFA4-586B-4DE6-BA2D-7442F1CAE6D0}" name="Sort by Thickness"/>
    <customWorkbookView activeSheetId="0" maximized="1" windowHeight="0" windowWidth="0" guid="{E6ADA16B-A869-4D9F-9829-DC293F52D7AE}" name="Nvidia RTX 20"/>
    <customWorkbookView activeSheetId="0" maximized="1" windowHeight="0" windowWidth="0" guid="{3A46AE70-E76F-4993-A787-477AFFC12683}" name="420mm AIO"/>
    <customWorkbookView activeSheetId="0" maximized="1" windowHeight="0" windowWidth="0" guid="{1303F21E-1A49-440C-B5F6-A976CE2E6597}" name="BIOS Flashback"/>
    <customWorkbookView activeSheetId="0" maximized="1" windowHeight="0" windowWidth="0" guid="{9C2496CB-94DC-4292-8B87-B78C02ADF6FE}" name="Integrated GPU"/>
    <customWorkbookView activeSheetId="0" maximized="1" windowHeight="0" windowWidth="0" guid="{0D83B8EC-3FA3-4145-A4B2-D2B62D444BAD}" name="5V ARGB"/>
    <customWorkbookView activeSheetId="0" maximized="1" windowHeight="0" windowWidth="0" guid="{BE57C4BF-69E9-4827-9149-EC31389B5A17}" name="CPU (AMD)"/>
    <customWorkbookView activeSheetId="0" maximized="1" windowHeight="0" windowWidth="0" guid="{DC887196-DBF0-4F86-9DC8-FA917C756B56}" name="Modular"/>
    <customWorkbookView activeSheetId="0" maximized="1" windowHeight="0" windowWidth="0" guid="{ED4BB880-FC57-4587-A42E-3A21D3864B4F}" name="Intel"/>
    <customWorkbookView activeSheetId="0" maximized="1" windowHeight="0" windowWidth="0" guid="{88FC762E-79C0-4110-B706-61516F679340}" name="Style (NAS)"/>
    <customWorkbookView activeSheetId="0" maximized="1" windowHeight="0" windowWidth="0" guid="{B8EED002-5DBD-4D9A-8090-3E4DFBD387F6}" name="Nvidia"/>
    <customWorkbookView activeSheetId="0" maximized="1" windowHeight="0" windowWidth="0" guid="{D0E4E144-FA51-47B2-8E2F-1AA67A5E9239}" name="Integrated I/O Shield"/>
    <customWorkbookView activeSheetId="0" maximized="1" windowHeight="0" windowWidth="0" guid="{28C3112D-2CD6-440B-BC19-0A060A536CDB}" name="Drive (5.25&quot;)"/>
    <customWorkbookView activeSheetId="0" maximized="1" windowHeight="0" windowWidth="0" guid="{23F8A8D4-BF6F-443E-A7CB-443445CFA23F}" name="AMD"/>
    <customWorkbookView activeSheetId="0" maximized="1" windowHeight="0" windowWidth="0" guid="{9985519A-4597-48DE-9723-C221FE8383EA}" name="Sort by Price (USD)"/>
    <customWorkbookView activeSheetId="0" maximized="1" windowHeight="0" windowWidth="0" guid="{AB381EA2-3B0E-4B90-9A61-B1D12E4FF011}" name="185mm Length or Less"/>
    <customWorkbookView activeSheetId="0" maximized="1" windowHeight="0" windowWidth="0" guid="{ECC3305A-2B0E-4350-A9A4-E0400E210C2A}" name="GPU Height (&gt;=45mm/2.25 slot)"/>
    <customWorkbookView activeSheetId="0" maximized="1" windowHeight="0" windowWidth="0" guid="{5B778D10-F6D8-4E47-8EFE-79F300AA379D}" name="Intel 10th Series"/>
    <customWorkbookView activeSheetId="0" maximized="1" windowHeight="0" windowWidth="0" guid="{7FF0FC83-E9C3-4BCE-A08B-F9686655C4B2}" name="PSU (SFX/SFX-L)"/>
    <customWorkbookView activeSheetId="0" maximized="1" windowHeight="0" windowWidth="0" guid="{799D695F-D2D3-46EA-BDAF-2CBCF9F43990}" name="Sort by OEM"/>
    <customWorkbookView activeSheetId="0" maximized="1" windowHeight="0" windowWidth="0" guid="{9F983350-A018-4889-9BD8-452583EBD780}" name="AMD RX Vega"/>
    <customWorkbookView activeSheetId="0" maximized="1" windowHeight="0" windowWidth="0" guid="{1A58689C-228E-4D42-8ACD-74DA3BB52BB8}" name="RGB"/>
    <customWorkbookView activeSheetId="0" maximized="1" windowHeight="0" windowWidth="0" guid="{DE694868-D39E-4DF2-9144-08E49C0746DC}" name="AMD RX 5000"/>
    <customWorkbookView activeSheetId="0" maximized="1" windowHeight="0" windowWidth="0" guid="{201BD83C-C27E-4924-8C49-5C3EFDD16E4A}" name="Brand"/>
    <customWorkbookView activeSheetId="0" maximized="1" windowHeight="0" windowWidth="0" guid="{C7AA6BBB-15F6-4206-AB68-B255A886B380}" name="Style (Console)"/>
    <customWorkbookView activeSheetId="0" maximized="1" windowHeight="0" windowWidth="0" guid="{FD865359-D342-42CD-8503-5E25780491EA}" name="USB4 Ports"/>
    <customWorkbookView activeSheetId="0" maximized="1" windowHeight="0" windowWidth="0" guid="{E8001174-015C-4430-9F21-728090371E9D}" name="CPU (Intel)"/>
    <customWorkbookView activeSheetId="0" maximized="1" windowHeight="0" windowWidth="0" guid="{ECBFC636-0966-47CD-A593-4DF79A393444}" name="2-Slot or Less (No watercooling)"/>
    <customWorkbookView activeSheetId="0" maximized="1" windowHeight="0" windowWidth="0" guid="{06DF8BF8-3955-4BA5-BE43-C38DC61E7CD0}" name="AMD Ryzen 1000"/>
    <customWorkbookView activeSheetId="0" maximized="1" windowHeight="0" windowWidth="0" guid="{61BDB1AB-F441-45F3-A2AB-6B9F7516CC80}" name="DDR5"/>
    <customWorkbookView activeSheetId="0" maximized="1" windowHeight="0" windowWidth="0" guid="{ABF8B830-2BA9-4A62-A609-3F1E063D1EE0}" name="PSU (ATX)"/>
    <customWorkbookView activeSheetId="0" maximized="1" windowHeight="0" windowWidth="0" guid="{388E4F6B-13BB-4CAC-A100-8C53308A6812}" name="DDR4"/>
    <customWorkbookView activeSheetId="0" maximized="1" windowHeight="0" windowWidth="0" guid="{441D4807-AA36-4F43-8AA3-EAD2A923216B}" name="No USB 2.0 Power"/>
    <customWorkbookView activeSheetId="0" maximized="1" windowHeight="0" windowWidth="0" guid="{B52520E3-7F03-4B40-B137-27B7AA3F60F7}" name="Intel 1700 Compatible"/>
    <customWorkbookView activeSheetId="0" maximized="1" windowHeight="0" windowWidth="0" guid="{76A08345-79E7-48F6-B038-2C174A0EE745}" name="Socket (AM5)"/>
    <customWorkbookView activeSheetId="0" maximized="1" windowHeight="0" windowWidth="0" guid="{2484191D-7B0A-413B-A550-5C733AC9516C}" name="PSU (DC-ATX/Custom)"/>
    <customWorkbookView activeSheetId="0" maximized="1" windowHeight="0" windowWidth="0" guid="{3AEE755D-1901-4D49-AD7C-CE645738D3F2}" name="Nvidia RTX 40"/>
    <customWorkbookView activeSheetId="0" maximized="1" windowHeight="0" windowWidth="0" guid="{95B6A7BE-A6BB-4946-92BF-A852DAF0DC4C}" name="Sort by Seller"/>
    <customWorkbookView activeSheetId="0" maximized="1" windowHeight="0" windowWidth="0" guid="{5186E655-6EAC-4D79-B842-62727023EE74}" name="Reset CMOS Button"/>
    <customWorkbookView activeSheetId="0" maximized="1" windowHeight="0" windowWidth="0" guid="{9D943D0E-ABD6-41E2-B606-E77530548ADF}" name="Intel 9th Series"/>
    <customWorkbookView activeSheetId="0" maximized="1" windowHeight="0" windowWidth="0" guid="{3081402C-586B-4A7A-8352-EABE724DB239}" name="Socket (1700)"/>
    <customWorkbookView activeSheetId="0" maximized="1" windowHeight="0" windowWidth="0" guid="{93DCE7BC-5C36-478A-B7C9-C4F5D9E2B2BD}" name="Pump Height"/>
    <customWorkbookView activeSheetId="0" maximized="1" windowHeight="0" windowWidth="0" guid="{D6F75E10-0D2A-4FD9-964F-8A11EEFA879B}" name="Style (Classic/Tower)"/>
    <customWorkbookView activeSheetId="0" maximized="1" windowHeight="0" windowWidth="0" guid="{E4BA5376-8447-479E-9AE4-5EC64ADA9E8F}" name="ATX Bracket"/>
    <customWorkbookView activeSheetId="0" maximized="1" windowHeight="0" windowWidth="0" guid="{82CCCB4E-F596-49FC-A800-37DE1380F4DB}" name="Motherboard (mATX)"/>
    <customWorkbookView activeSheetId="0" maximized="1" windowHeight="0" windowWidth="0" guid="{E95A43B7-D6BF-48F2-82C1-71755EC04036}" name="120mm AIO"/>
    <customWorkbookView activeSheetId="0" maximized="1" windowHeight="0" windowWidth="0" guid="{81C2CD55-3E6E-46FA-8685-6BA37EC7EAD2}" name="Nvidia GTX 16"/>
    <customWorkbookView activeSheetId="0" maximized="1" windowHeight="0" windowWidth="0" guid="{B5271078-FE6D-4C5D-9703-911A5D0A7416}" name="CPU Overclock"/>
    <customWorkbookView activeSheetId="0" maximized="1" windowHeight="0" windowWidth="0" guid="{AD93430D-C4BF-4B5A-8E8A-415B40F26BAB}" name="AMD Ryzen 4000"/>
    <customWorkbookView activeSheetId="0" maximized="1" windowHeight="0" windowWidth="0" guid="{E26A97E9-8229-4348-8B94-718617AC9488}" name="DDR5 RAM"/>
    <customWorkbookView activeSheetId="0" maximized="1" windowHeight="0" windowWidth="0" guid="{3C7B2DE6-29DD-4C1F-8F9A-8FEB4F4DF572}" name="Nvidia GTX 10"/>
    <customWorkbookView activeSheetId="0" maximized="1" windowHeight="0" windowWidth="0" guid="{B1A53A6D-003C-4B18-89BB-0984FCCD638C}" name="Nvidia RTX 30"/>
    <customWorkbookView activeSheetId="0" maximized="1" windowHeight="0" windowWidth="0" guid="{48ACB338-AEF2-4CEA-A478-03DC5A51C0A7}" name="Sort by CPU Height"/>
    <customWorkbookView activeSheetId="0" maximized="1" windowHeight="0" windowWidth="0" guid="{D6FE9368-5AD9-4BEB-8387-F4F2466DF786}" name="Optical S/PDIF Out"/>
    <customWorkbookView activeSheetId="0" maximized="1" windowHeight="0" windowWidth="0" guid="{D92EF7D4-0A6D-466A-998E-A58A18D7B92D}" name="Low Profile"/>
    <customWorkbookView activeSheetId="0" maximized="1" windowHeight="0" windowWidth="0" guid="{FBC988F7-5B48-4A8E-954B-05290DCBEA5B}" name="92mm Fan"/>
    <customWorkbookView activeSheetId="0" maximized="1" windowHeight="0" windowWidth="0" guid="{F31AF662-1F25-48F6-9471-08511ECB3617}" name="CPU (AIO / Rad support)"/>
    <customWorkbookView activeSheetId="0" maximized="1" windowHeight="0" windowWidth="0" guid="{5DD041BA-2ABE-4709-938D-3F4754640E1F}" name="AMD RX 7000"/>
    <customWorkbookView activeSheetId="0" maximized="1" windowHeight="0" windowWidth="0" guid="{B4ED1059-3735-470A-B4E2-A780753516DA}" name="Socket (1200)"/>
    <customWorkbookView activeSheetId="0" maximized="1" windowHeight="0" windowWidth="0" guid="{7C3C8E4A-696A-412D-9E59-2BB12ACF60CD}" name="Intel 13th Series"/>
    <customWorkbookView activeSheetId="0" maximized="1" windowHeight="0" windowWidth="0" guid="{F1A7CD4E-438F-44EC-8840-87ADAE74067A}" name="Motherboard (ATX)"/>
    <customWorkbookView activeSheetId="0" maximized="1" windowHeight="0" windowWidth="0" guid="{03824AC4-0C96-4323-BF26-EF60CD7D722A}" name="AMD Ryzen 7000"/>
    <customWorkbookView activeSheetId="0" maximized="1" windowHeight="0" windowWidth="0" guid="{E767646A-A628-4CC0-B9D7-9609FF37CE35}" name="PCIe Slot (Low profile)"/>
    <customWorkbookView activeSheetId="0" maximized="1" windowHeight="0" windowWidth="0" guid="{4F6BD2AE-48F5-48D6-B519-5C3F90CA2213}" name="Thunderbolt 4"/>
    <customWorkbookView activeSheetId="0" maximized="1" windowHeight="0" windowWidth="0" guid="{8D7EB049-F168-4438-BEF7-B343B7C33CA4}" name="Thunderbolt 3"/>
    <customWorkbookView activeSheetId="0" maximized="1" windowHeight="0" windowWidth="0" guid="{8C6CAA53-755F-4D7E-9ABD-2FAC383E5622}" name="Debug LED"/>
    <customWorkbookView activeSheetId="0" maximized="1" windowHeight="0" windowWidth="0" guid="{6FCEF774-5717-44A8-B472-2FC7725FAA2E}" name="Cooler Included"/>
    <customWorkbookView activeSheetId="0" maximized="1" windowHeight="0" windowWidth="0" guid="{E0EC73E7-92F2-4465-82D0-44EFB849A444}" name="PSU (Flex ATX)"/>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(Cyan = Taobao / JD)
(Light Yellow = Outside Taobao / JD)
If you want to filter by store, in my case remove "taobao", you can add a formula based filter. (source: https://support.google.com/docs/thread/50979813/how-to-filter-data-that-has-cells-with-hyperlink?hl=en)
=NOT(REGEXMATCH(FORMULATEXT(B2), "taobao"))
You can add other stores if you want by adding the other values separated by a pipe ("|") like so "taobao|amazon".
Is also possible to only filter the stores you want by removing the "NOT" filter.</t>
      </text>
    </comment>
    <comment authorId="0" ref="C1">
      <text>
        <t xml:space="preserve">APU = no GPU
Sandwich = GPU &amp; MB back-to-back with riser (i.e. Dan A4-SFX)
Console = GPU &amp; MB side-by-side with riser or cases with LP slots laid horizontal/vertical similar to game consoles (i.e. Node 202/RVZ03)
Classic = Tower/Cube layout without riser (i.e. SG13/NCase M1/NZXT H210)
Open = Open air case/test bench
NAS = Network-Attached Storage, usually with Hot Swap drive bays for SOHO servers.</t>
      </text>
    </comment>
    <comment authorId="0" ref="G1">
      <text>
        <t xml:space="preserve">Approximate volume excluding protrusions, case feet, etc. if available unless noted otherwise</t>
      </text>
    </comment>
    <comment authorId="0" ref="H1">
      <text>
        <t xml:space="preserve">Approximate desk space (Length x Width)</t>
      </text>
    </comment>
    <comment authorId="0" ref="Q1">
      <text>
        <t xml:space="preserve">Assume 20mm per PCIe slot by default unless mentioned otherwise</t>
      </text>
    </comment>
    <comment authorId="0" ref="R1">
      <text>
        <t xml:space="preserve">Physical PCIe slots. Some cases can support thicker GPUs. Refer to GPU height / thickness</t>
      </text>
    </comment>
    <comment authorId="0" ref="T1">
      <text>
        <t xml:space="preserve">Height x Width
mSTX = 147x140 mm
mITX = 170x170 mm
mDTX = 203x170 mm
FlexATX = 229x191 mm
DTX = 203x244 mm
mATX = 244x244 mm
ATX = 305x244 mm
SSI-CEB = 305x267 mm
SSI-EEB = 305x330 mm</t>
      </text>
    </comment>
    <comment authorId="0" ref="U1">
      <text>
        <t xml:space="preserve">WxHxD
Flex ATX = 81.5x40.5x150mm
TFX = 85x65x175mm
SFX = 125x63.5x100mm
SFX-L = 125x63.5x130mm
ATX = 150x86x140-200mm
</t>
      </text>
    </comment>
    <comment authorId="0" ref="T3">
      <text>
        <t xml:space="preserve">Include A300 AM4 motherboard</t>
      </text>
    </comment>
    <comment authorId="0" ref="U3">
      <text>
        <t xml:space="preserve">120W external brick included
</t>
      </text>
    </comment>
    <comment authorId="0" ref="V3">
      <text>
        <t xml:space="preserve">9mm thick</t>
      </text>
    </comment>
    <comment authorId="0" ref="T4">
      <text>
        <t xml:space="preserve">Include B660 1700 motherboard</t>
      </text>
    </comment>
    <comment authorId="0" ref="U4">
      <text>
        <t xml:space="preserve">120W external brick included
</t>
      </text>
    </comment>
    <comment authorId="0" ref="V4">
      <text>
        <t xml:space="preserve">9.5mm thick</t>
      </text>
    </comment>
    <comment authorId="0" ref="T5">
      <text>
        <t xml:space="preserve">Include H470 LGA1200 motherboard</t>
      </text>
    </comment>
    <comment authorId="0" ref="U5">
      <text>
        <t xml:space="preserve">120W external brick included
</t>
      </text>
    </comment>
    <comment authorId="0" ref="T6">
      <text>
        <t xml:space="preserve">Include X300 AM4 motherboard</t>
      </text>
    </comment>
    <comment authorId="0" ref="U6">
      <text>
        <t xml:space="preserve">120W external brick included
</t>
      </text>
    </comment>
    <comment authorId="0" ref="T10">
      <text>
        <t xml:space="preserve">Cannot fit I/O shield. Not compatible with motherboards with integrated I/O shields</t>
      </text>
    </comment>
    <comment authorId="0" ref="L14">
      <text>
        <t xml:space="preserve">18mm with 1x3.5" drive
34mm with 2x2.5" drives</t>
      </text>
    </comment>
    <comment authorId="0" ref="V14">
      <text>
        <t xml:space="preserve">2x2.5" or 1x3.5" drives</t>
      </text>
    </comment>
    <comment authorId="0" ref="W14">
      <text>
        <t xml:space="preserve">2x2.5" or 1x3.5" drives</t>
      </text>
    </comment>
    <comment authorId="0" ref="L15">
      <text>
        <t xml:space="preserve">40mm without top bracket</t>
      </text>
    </comment>
    <comment authorId="0" ref="L17">
      <text>
        <t xml:space="preserve">20mm with 1x3.5" drive
36mm with 2x2.5" drives
45mm without any drives</t>
      </text>
    </comment>
    <comment authorId="0" ref="V17">
      <text>
        <t xml:space="preserve">2x2.5" or 1x3.5" drives</t>
      </text>
    </comment>
    <comment authorId="0" ref="W17">
      <text>
        <t xml:space="preserve">2x2.5" or 1x3.5" drives</t>
      </text>
    </comment>
    <comment authorId="0" ref="B18">
      <text>
        <t xml:space="preserve">Vent hole upgrade:
https://item.taobao.com/item.htm?id=581164486264</t>
      </text>
    </comment>
    <comment authorId="0" ref="L18">
      <text>
        <t xml:space="preserve">20mm with 1x3.5" drive
36mm with 2x2.5" drives</t>
      </text>
    </comment>
    <comment authorId="0" ref="V18">
      <text>
        <t xml:space="preserve">2x2.5" or 1x3.5" drives</t>
      </text>
    </comment>
    <comment authorId="0" ref="W18">
      <text>
        <t xml:space="preserve">2x2.5" or 1x3.5" drives</t>
      </text>
    </comment>
    <comment authorId="0" ref="B19">
      <text>
        <t xml:space="preserve">With vent holes:
https://www.aliexpress.com/item/32977795837.html</t>
      </text>
    </comment>
    <comment authorId="0" ref="L19">
      <text>
        <t xml:space="preserve">20mm with 1x3.5" drive
36mm with 2x2.5" drives</t>
      </text>
    </comment>
    <comment authorId="0" ref="V19">
      <text>
        <t xml:space="preserve">2x2.5" or 1x3.5" drives</t>
      </text>
    </comment>
    <comment authorId="0" ref="W19">
      <text>
        <t xml:space="preserve">2x2.5" or 1x3.5" drives</t>
      </text>
    </comment>
    <comment authorId="0" ref="Z21">
      <text>
        <t xml:space="preserve">Slim 10mm fans</t>
      </text>
    </comment>
    <comment authorId="0" ref="U22">
      <text>
        <t xml:space="preserve">fits HDPlex 250W GaN AIO</t>
      </text>
    </comment>
    <comment authorId="0" ref="L25">
      <text>
        <t xml:space="preserve">31mm with 7mm 2.5" drives installed
48mm without any 2.5" drives
</t>
      </text>
    </comment>
    <comment authorId="0" ref="V25">
      <text>
        <t xml:space="preserve">Optional 7mm 2x2.5" drive mounts. Will reduce CPU cooler height to 31mm with 2x2.5" drives installed</t>
      </text>
    </comment>
    <comment authorId="0" ref="A26">
      <text>
        <t xml:space="preserve">Website:
https://zscases.com/</t>
      </text>
    </comment>
    <comment authorId="0" ref="Y27">
      <text>
        <t xml:space="preserve">Slim 10mm fans</t>
      </text>
    </comment>
    <comment authorId="0" ref="L30">
      <text>
        <t xml:space="preserve">38mm with rear mounted 2.5" drive
48mm without rear mounted 2.5" drive</t>
      </text>
    </comment>
    <comment authorId="0" ref="V30">
      <text>
        <t xml:space="preserve">1x2.5" drive rear mounted +
3x2.5" drives or 2x60mm case fans or Meanwell RPS-200-12/24-C or HDPLEX AC-DC 160</t>
      </text>
    </comment>
    <comment authorId="0" ref="Z30">
      <text>
        <t xml:space="preserve">3x2.5" drives or 2x60mm case fans or Meanwell RPS-200-12/24-C or HDPLEX AC-DC 160</t>
      </text>
    </comment>
    <comment authorId="0" ref="Y31">
      <text>
        <t xml:space="preserve">Slim 10mm fans</t>
      </text>
    </comment>
    <comment authorId="0" ref="B33">
      <text>
        <t xml:space="preserve">Vent hole upgrade:
https://item.taobao.com/item.htm?id=581164486264
</t>
      </text>
    </comment>
    <comment authorId="0" ref="L33">
      <text>
        <t xml:space="preserve">36mm with 1x3.5" drive
52mm with 2x2.5" drives</t>
      </text>
    </comment>
    <comment authorId="0" ref="V33">
      <text>
        <t xml:space="preserve">2x2.5" or 1x3.5" drives</t>
      </text>
    </comment>
    <comment authorId="0" ref="W33">
      <text>
        <t xml:space="preserve">2x2.5" or 1x3.5" drives</t>
      </text>
    </comment>
    <comment authorId="0" ref="B34">
      <text>
        <t xml:space="preserve">With vent holes:
https://www.aliexpress.com/item/32974864871.html</t>
      </text>
    </comment>
    <comment authorId="0" ref="L34">
      <text>
        <t xml:space="preserve">36mm with 1x3.5" drive
52mm with 2x2.5" drives</t>
      </text>
    </comment>
    <comment authorId="0" ref="V34">
      <text>
        <t xml:space="preserve">2x2.5" or 1x3.5" drives</t>
      </text>
    </comment>
    <comment authorId="0" ref="W34">
      <text>
        <t xml:space="preserve">2x2.5" or 1x3.5" drives</t>
      </text>
    </comment>
    <comment authorId="0" ref="AL34">
      <text>
        <t xml:space="preserve">price include 200W power brick</t>
      </text>
    </comment>
    <comment authorId="0" ref="L35">
      <text>
        <t xml:space="preserve">26mm with 1x3.5" drive
42mm with 2x2.5" drives</t>
      </text>
    </comment>
    <comment authorId="0" ref="V35">
      <text>
        <t xml:space="preserve">2x2.5" or 1x3.5" drives</t>
      </text>
    </comment>
    <comment authorId="0" ref="W35">
      <text>
        <t xml:space="preserve">2x2.5" or 1x3.5" drives</t>
      </text>
    </comment>
    <comment authorId="0" ref="L36">
      <text>
        <t xml:space="preserve">38mm with 2x2.5" drives
47mm without 2x2.5" drives</t>
      </text>
    </comment>
    <comment authorId="0" ref="L37">
      <text>
        <t xml:space="preserve">38mm with 1x3.5" drive
54mm with 2x2.5" drives</t>
      </text>
    </comment>
    <comment authorId="0" ref="V37">
      <text>
        <t xml:space="preserve">2x2.5" or 1x3.5" drives</t>
      </text>
    </comment>
    <comment authorId="0" ref="W37">
      <text>
        <t xml:space="preserve">2x2.5" or 1x3.5" drives</t>
      </text>
    </comment>
    <comment authorId="0" ref="Z37">
      <text>
        <t xml:space="preserve">10mm thick</t>
      </text>
    </comment>
    <comment authorId="0" ref="B39">
      <text>
        <t xml:space="preserve">Transform Kit (S):
https://store.nfc-systems.com/collections/skyreach-4-tiny-transform-kits/products/copy-of-skyreach-4-transform-kit-s
Transform Kit (L):
https://store.nfc-systems.com/collections/skyreach-4-tiny-transform-kits/products/skyreach-4-transform-kit-l</t>
      </text>
    </comment>
    <comment authorId="0" ref="N39">
      <text>
        <t xml:space="preserve">Can be expanded with optional Transform Kit to support a dual slot 230mm long GPU</t>
      </text>
    </comment>
    <comment authorId="0" ref="O39">
      <text>
        <t xml:space="preserve">Can be expanded with optional Transform Kit to support a dual slot 230mm long GPU</t>
      </text>
    </comment>
    <comment authorId="0" ref="P39">
      <text>
        <t xml:space="preserve">Can be expanded with optional Transform Kit to support a dual slot 230mm long GPU</t>
      </text>
    </comment>
    <comment authorId="0" ref="Q39">
      <text>
        <t xml:space="preserve">Can be expanded with optional Transform Kit to support a dual slot 230mm long GPU</t>
      </text>
    </comment>
    <comment authorId="0" ref="R39">
      <text>
        <t xml:space="preserve">Can be expanded with optional Transform Kit to support a dual slot 230mm long GPU</t>
      </text>
    </comment>
    <comment authorId="0" ref="V41">
      <text>
        <t xml:space="preserve">2x2.5" or 1x2.5" + 1x3.5" drives</t>
      </text>
    </comment>
    <comment authorId="0" ref="W41">
      <text>
        <t xml:space="preserve">2x2.5" or 1x2.5" + 1x3.5" drives</t>
      </text>
    </comment>
    <comment authorId="0" ref="V42">
      <text>
        <t xml:space="preserve">2x2.5" or 1x2.5" + 1x3.5" drives</t>
      </text>
    </comment>
    <comment authorId="0" ref="W42">
      <text>
        <t xml:space="preserve">2x2.5" or 1x2.5" + 1x3.5" drives</t>
      </text>
    </comment>
    <comment authorId="0" ref="Z43">
      <text>
        <t xml:space="preserve">Slim 10mm fan</t>
      </text>
    </comment>
    <comment authorId="0" ref="AA43">
      <text>
        <t xml:space="preserve">Slim 10mm fan</t>
      </text>
    </comment>
    <comment authorId="0" ref="B44">
      <text>
        <t xml:space="preserve">Aliexpress link:
https://www.aliexpress.com/item/10000233006011.html</t>
      </text>
    </comment>
    <comment authorId="0" ref="A49">
      <text>
        <t xml:space="preserve">Taobao store:
https://shop194013857.world.taobao.com/</t>
      </text>
    </comment>
    <comment authorId="0" ref="B49">
      <text>
        <t xml:space="preserve">Taobao link:
https://item.taobao.com/item.htm?id=677512770396</t>
      </text>
    </comment>
    <comment authorId="0" ref="L52">
      <text>
        <t xml:space="preserve">29mm with 1x3.5" drive installed
31mm with 7mm 2.5" and 5.25" slim optical drive installed
36mm with 120mm or 140mm fan installed
47mm with 7mm 2.5" drive installed with drive bracket
63mm without 2.5" or 3.5" drives or 120mm or 140mm fan
</t>
      </text>
    </comment>
    <comment authorId="0" ref="V52">
      <text>
        <t xml:space="preserve">2x2.5" drives or
2x2.5" drives + 5.25" slim drive or
1x3.5" drive or
1x120mm fan or
1x140mm fan</t>
      </text>
    </comment>
    <comment authorId="0" ref="W52">
      <text>
        <t xml:space="preserve">2x2.5" drives or
2x2.5" drives + 5.25" slim drive or
1x3.5" drive or
1x120mm fan or
1x140mm fan</t>
      </text>
    </comment>
    <comment authorId="0" ref="X52">
      <text>
        <t xml:space="preserve">2x2.5" drives or
2x2.5" drives + 5.25" slim drive or
1x3.5" drive or
1x120mm fan or
1x140mm fan</t>
      </text>
    </comment>
    <comment authorId="0" ref="AC52">
      <text>
        <t xml:space="preserve">2x2.5" drives or
2x2.5" drives + 5.25" slim drive or
1x3.5" drive or
1x120mm fan or
1x140mm fan</t>
      </text>
    </comment>
    <comment authorId="0" ref="AD52">
      <text>
        <t xml:space="preserve">2x2.5" drives or
2x2.5" drives + 5.25" slim drive or
1x3.5" drive or
1x120mm fan or
1x140mm fan</t>
      </text>
    </comment>
    <comment authorId="0" ref="O54">
      <text>
        <t xml:space="preserve">with standard I/O panel</t>
      </text>
    </comment>
    <comment authorId="0" ref="P54">
      <text>
        <t xml:space="preserve">with standard I/O panel</t>
      </text>
    </comment>
    <comment authorId="0" ref="Q54">
      <text>
        <t xml:space="preserve">with standard I/O panel</t>
      </text>
    </comment>
    <comment authorId="0" ref="S54">
      <text>
        <t xml:space="preserve">with standard I/O panel</t>
      </text>
    </comment>
    <comment authorId="0" ref="AC54">
      <text>
        <t xml:space="preserve">2x120mm fans with optional infinity lid side panel</t>
      </text>
    </comment>
    <comment authorId="0" ref="AI54">
      <text>
        <t xml:space="preserve">1xUSB-C with optional add-on</t>
      </text>
    </comment>
    <comment authorId="0" ref="AA56">
      <text>
        <t xml:space="preserve">Slim 10mm fan</t>
      </text>
    </comment>
    <comment authorId="0" ref="L57">
      <text>
        <t xml:space="preserve">40mm with PCIe device
30mm with 25mm thick 3.5" drive
35mm with 20mm thick 3.5" drive
53mm with 9mm thick 2.5" drive
55mm with 7mm thick 2.5" drive
63mm without any drive</t>
      </text>
    </comment>
    <comment authorId="0" ref="V57">
      <text>
        <t xml:space="preserve">1x2.5" or 1x3.5" drive</t>
      </text>
    </comment>
    <comment authorId="0" ref="W57">
      <text>
        <t xml:space="preserve">1x2.5" or 1x3.5" drive</t>
      </text>
    </comment>
    <comment authorId="0" ref="AG57">
      <text>
        <t xml:space="preserve">2xUSB 2.0 or 2xUSB3.0 ports</t>
      </text>
    </comment>
    <comment authorId="0" ref="AH57">
      <text>
        <t xml:space="preserve">2xUSB 2.0 or 2xUSB3.2 Gen 1 ports</t>
      </text>
    </comment>
    <comment authorId="0" ref="L60">
      <text>
        <t xml:space="preserve">40mm with 1x3.5" drive
56mm with 2x2.5" drives</t>
      </text>
    </comment>
    <comment authorId="0" ref="V60">
      <text>
        <t xml:space="preserve">2x2.5" or 1x3.5" drives</t>
      </text>
    </comment>
    <comment authorId="0" ref="W60">
      <text>
        <t xml:space="preserve">2x2.5" or 1x3.5" drives</t>
      </text>
    </comment>
    <comment authorId="0" ref="Z60">
      <text>
        <t xml:space="preserve">10mm thick</t>
      </text>
    </comment>
    <comment authorId="0" ref="AK63">
      <text>
        <t xml:space="preserve">¥427 = acrylic panels
¥527 = aluminium panels
+¥100 for riser cable</t>
      </text>
    </comment>
    <comment authorId="0" ref="B64">
      <text>
        <t xml:space="preserve">previously named K29</t>
      </text>
    </comment>
    <comment authorId="0" ref="T64">
      <text>
        <t xml:space="preserve">Cannot fit I/O shield. Not compatible with motherboards with integrated I/O shields</t>
      </text>
    </comment>
    <comment authorId="0" ref="V64">
      <text>
        <t xml:space="preserve">4x2.5" drives without GPU</t>
      </text>
    </comment>
    <comment authorId="0" ref="O67">
      <text>
        <t xml:space="preserve">Must be within one of the following overall dimensions:
175 x 139 x 43 mm
178 x 139 x 40 mm</t>
      </text>
    </comment>
    <comment authorId="0" ref="Q67">
      <text>
        <t xml:space="preserve">Must be within one of the following overall dimensions:
175 x 139 x 43 mm
178 x 139 x 40 mm</t>
      </text>
    </comment>
    <comment authorId="0" ref="U67">
      <text>
        <t xml:space="preserve">150mm length</t>
      </text>
    </comment>
    <comment authorId="0" ref="V67">
      <text>
        <t xml:space="preserve">7mm thick</t>
      </text>
    </comment>
    <comment authorId="0" ref="U69">
      <text>
        <t xml:space="preserve">150mm length</t>
      </text>
    </comment>
    <comment authorId="0" ref="T71">
      <text>
        <t xml:space="preserve">Motherboards with integrated I/O shield not supported</t>
      </text>
    </comment>
    <comment authorId="0" ref="L72">
      <text>
        <t xml:space="preserve">Can be customised to 50mm and 60mm</t>
      </text>
    </comment>
    <comment authorId="0" ref="V72">
      <text>
        <t xml:space="preserve">50mm and 60mm CPU cooler version can support 2x2.5" drives</t>
      </text>
    </comment>
    <comment authorId="0" ref="AK72">
      <text>
        <t xml:space="preserve">¥875 40mm CPU Cooler height
¥955 50mm CPU Cooler height
¥1050 60mm CPU Cooler height</t>
      </text>
    </comment>
    <comment authorId="0" ref="L73">
      <text>
        <t xml:space="preserve">Adjustable in 2 modes:
37mm CPU + 43mm GPU thickness
57mm CPU + 23mm CPU thickness</t>
      </text>
    </comment>
    <comment authorId="0" ref="Q73">
      <text>
        <t xml:space="preserve">Adjustable in 2 modes:
37mm CPU + 43mm GPU thickness
57mm CPU + 23mm CPU thickness</t>
      </text>
    </comment>
    <comment authorId="0" ref="R73">
      <text>
        <t xml:space="preserve">Adjustable between 1 or 2 slots</t>
      </text>
    </comment>
    <comment authorId="0" ref="V73">
      <text>
        <t xml:space="preserve">1x2.5" dedicated space + 
1x2.5" drive or 2x80mm case fans (10mm thick) +
1x2.5" drive without GPU in 1 slot config +
3x2.5" drive without GPU in 2 slot config</t>
      </text>
    </comment>
    <comment authorId="0" ref="AA73">
      <text>
        <t xml:space="preserve">1x2.5" drive or 2x80mm case fans (10mm thick)</t>
      </text>
    </comment>
    <comment authorId="0" ref="AL73">
      <text>
        <t xml:space="preserve">price include riser cable</t>
      </text>
    </comment>
    <comment authorId="0" ref="O74">
      <text>
        <t xml:space="preserve">only compatible with HDPlex GaN 250W PSU</t>
      </text>
    </comment>
    <comment authorId="0" ref="P74">
      <text>
        <t xml:space="preserve">only compatible with HDPlex GaN 250W PSU</t>
      </text>
    </comment>
    <comment authorId="0" ref="Q74">
      <text>
        <t xml:space="preserve">only compatible with HDPlex GaN 250W PSU</t>
      </text>
    </comment>
    <comment authorId="0" ref="S74">
      <text>
        <t xml:space="preserve">only compatible with HDPlex GaN 250W PSU</t>
      </text>
    </comment>
    <comment authorId="0" ref="U74">
      <text>
        <t xml:space="preserve">Designed to be used with HDPlex 250W GaN PSU or Flex ATX https://hdplex.com/hdplex-fanless-250w-gan-aio-atx-psu.html</t>
      </text>
    </comment>
    <comment authorId="0" ref="AA76">
      <text>
        <t xml:space="preserve">10mm thick</t>
      </text>
    </comment>
    <comment authorId="0" ref="Q77">
      <text>
        <t xml:space="preserve">40mm thick with 3mm backplate (43mm total)</t>
      </text>
    </comment>
    <comment authorId="0" ref="A78">
      <text>
        <t xml:space="preserve">Website:
https://zscases.com/</t>
      </text>
    </comment>
    <comment authorId="0" ref="A79">
      <text>
        <t xml:space="preserve">Website:
https://zscases.com/</t>
      </text>
    </comment>
    <comment authorId="0" ref="A80">
      <text>
        <t xml:space="preserve">Website:
https://zscases.com/</t>
      </text>
    </comment>
    <comment authorId="0" ref="A81">
      <text>
        <t xml:space="preserve">Website:
https://zscases.com/</t>
      </text>
    </comment>
    <comment authorId="0" ref="L82">
      <text>
        <t xml:space="preserve">40mm with PCIe device
45mm with 25mm thick 3.5" drive
50mm with 20mm thick 3.5" drive
55mm with 15mm thick 2.5" drive
60mm with 9mm thick 2.5" drive
62mm with 7mm thick 2.5" drive
75mm without any drive</t>
      </text>
    </comment>
    <comment authorId="0" ref="V82">
      <text>
        <t xml:space="preserve">1x2.5" or 1x3.5" drive</t>
      </text>
    </comment>
    <comment authorId="0" ref="W82">
      <text>
        <t xml:space="preserve">1x2.5" or 1x3.5" drive</t>
      </text>
    </comment>
    <comment authorId="0" ref="B83">
      <text>
        <t xml:space="preserve">previously named K30 (V2)</t>
      </text>
    </comment>
    <comment authorId="0" ref="G85">
      <text>
        <t xml:space="preserve">based on measured dimensions</t>
      </text>
    </comment>
    <comment authorId="0" ref="G86">
      <text>
        <t xml:space="preserve">based on measured dimensions</t>
      </text>
    </comment>
    <comment authorId="0" ref="AH86">
      <text>
        <t xml:space="preserve">Optional</t>
      </text>
    </comment>
    <comment authorId="0" ref="AJ86">
      <text>
        <t xml:space="preserve">Optional</t>
      </text>
    </comment>
    <comment authorId="0" ref="L87">
      <text>
        <t xml:space="preserve">28mm with expansion card
38mm with 1x2.5" drive in motherboard side
65mm without 1x2.5" drive</t>
      </text>
    </comment>
    <comment authorId="0" ref="A91">
      <text>
        <t xml:space="preserve">Taobao Link:
https://shop127547001.world.taobao.com/</t>
      </text>
    </comment>
    <comment authorId="0" ref="B91">
      <text>
        <t xml:space="preserve">Taobao link:
https://item.taobao.com/item.htm?id=679857839301</t>
      </text>
    </comment>
    <comment authorId="0" ref="AB91">
      <text>
        <t xml:space="preserve">Slim 15mm fans</t>
      </text>
    </comment>
    <comment authorId="0" ref="AA92">
      <text>
        <t xml:space="preserve">Slim 10mm fans</t>
      </text>
    </comment>
    <comment authorId="0" ref="AA94">
      <text>
        <t xml:space="preserve">2x80mm slim 10mm fans</t>
      </text>
    </comment>
    <comment authorId="0" ref="U95">
      <text>
        <t xml:space="preserve">150mm length</t>
      </text>
    </comment>
    <comment authorId="0" ref="V95">
      <text>
        <t xml:space="preserve">7mm thick</t>
      </text>
    </comment>
    <comment authorId="0" ref="B96">
      <text>
        <t xml:space="preserve">Aliexpress Link
https://www.aliexpress.com/item/4000185889901.html</t>
      </text>
    </comment>
    <comment authorId="0" ref="V96">
      <text>
        <t xml:space="preserve">No 2.5" drive in CPU side with a tall CPU cooler</t>
      </text>
    </comment>
    <comment authorId="0" ref="A98">
      <text>
        <t xml:space="preserve">Website:
https://zscases.com/</t>
      </text>
    </comment>
    <comment authorId="0" ref="AA98">
      <text>
        <t xml:space="preserve">2x80mm slim 10mm fans</t>
      </text>
    </comment>
    <comment authorId="0" ref="AK98">
      <text>
        <t xml:space="preserve">¥550 for USB-A front port
¥560 for USB-C front port</t>
      </text>
    </comment>
    <comment authorId="0" ref="L99">
      <text>
        <t xml:space="preserve">recommended 45mm height</t>
      </text>
    </comment>
    <comment authorId="0" ref="U100">
      <text>
        <t xml:space="preserve">Internal 150W PSU included</t>
      </text>
    </comment>
    <comment authorId="0" ref="U101">
      <text>
        <t xml:space="preserve">Internal 200W PSU included</t>
      </text>
    </comment>
    <comment authorId="0" ref="U102">
      <text>
        <t xml:space="preserve">Internal 200W PSU included</t>
      </text>
    </comment>
    <comment authorId="0" ref="AC103">
      <text>
        <t xml:space="preserve">depends on CPU cooler height</t>
      </text>
    </comment>
    <comment authorId="0" ref="V104">
      <text>
        <t xml:space="preserve">fits, but no dedicated mount</t>
      </text>
    </comment>
    <comment authorId="0" ref="U106">
      <text>
        <t xml:space="preserve">SFX-L will affect drive installation</t>
      </text>
    </comment>
    <comment authorId="0" ref="Z106">
      <text>
        <t xml:space="preserve">Slim 10mm fans</t>
      </text>
    </comment>
    <comment authorId="0" ref="AH106">
      <text>
        <t xml:space="preserve">Optional</t>
      </text>
    </comment>
    <comment authorId="0" ref="L107">
      <text>
        <t xml:space="preserve">Include 6 heatpipe CPU passive heatsink for up to 65W TDP</t>
      </text>
    </comment>
    <comment authorId="0" ref="L108">
      <text>
        <t xml:space="preserve">Include 6 heatpipe CPU passive heatsink for up to 65W TDP</t>
      </text>
    </comment>
    <comment authorId="0" ref="AK109">
      <text>
        <t xml:space="preserve">¥387 = acrylic panels
¥487 = aluminium panels
+¥100 for riser cable</t>
      </text>
    </comment>
    <comment authorId="0" ref="B110">
      <text>
        <t xml:space="preserve">Aliexpress link:
https://www.aliexpress.com/item/10000234868436.html</t>
      </text>
    </comment>
    <comment authorId="0" ref="V113">
      <text>
        <t xml:space="preserve">1x2.5" at top +
2x2.5" or 2x80mm case fans +
3x2.5" or Low Profile GPU</t>
      </text>
    </comment>
    <comment authorId="0" ref="AA113">
      <text>
        <t xml:space="preserve">2x2.5" drives or 2x80mm case fans</t>
      </text>
    </comment>
    <comment authorId="0" ref="AK115">
      <text>
        <t xml:space="preserve">+¥233 for riser cable</t>
      </text>
    </comment>
    <comment authorId="0" ref="AK118">
      <text>
        <t xml:space="preserve">+¥110 for riser cable</t>
      </text>
    </comment>
    <comment authorId="0" ref="AA119">
      <text>
        <t xml:space="preserve">2x80mm at top +
2x80mm at bottom</t>
      </text>
    </comment>
    <comment authorId="0" ref="A124">
      <text>
        <t xml:space="preserve">Taobao store:
https://shop194013857.world.taobao.com/</t>
      </text>
    </comment>
    <comment authorId="0" ref="B124">
      <text>
        <t xml:space="preserve">Taobao link:
https://item.taobao.com/item.htm?id=677512770396</t>
      </text>
    </comment>
    <comment authorId="0" ref="AB125">
      <text>
        <t xml:space="preserve">Slim 15mm fans</t>
      </text>
    </comment>
    <comment authorId="0" ref="A128">
      <text>
        <t xml:space="preserve">Taobao Link:
https://shop163026353.taobao.com/</t>
      </text>
    </comment>
    <comment authorId="0" ref="B128">
      <text>
        <t xml:space="preserve">Taobao Link:
https://item.taobao.com/item.htm?id=669823184928</t>
      </text>
    </comment>
    <comment authorId="0" ref="V128">
      <text>
        <t xml:space="preserve">7mm thick</t>
      </text>
    </comment>
    <comment authorId="0" ref="AA128">
      <text>
        <t xml:space="preserve">Slim 15mm fan</t>
      </text>
    </comment>
    <comment authorId="0" ref="O130">
      <text>
        <t xml:space="preserve">Must be within one of the following overall dimensions:
270 x 135 x 43 mm
270 x 140 x 40 mm
Uses internal extensions to reroute GPU I/O</t>
      </text>
    </comment>
    <comment authorId="0" ref="P130">
      <text>
        <t xml:space="preserve">Must be within one of the following overall dimensions:
270 x 135 x 43 mm
270 x 140 x 40 mm
Uses internal extensions to reroute GPU I/O</t>
      </text>
    </comment>
    <comment authorId="0" ref="Q130">
      <text>
        <t xml:space="preserve">Must be within one of the following overall dimensions:
270 x 135 x 43 mm
270 x 140 x 40 mm
Uses internal extensions to reroute GPU I/O</t>
      </text>
    </comment>
    <comment authorId="0" ref="U130">
      <text>
        <t xml:space="preserve">150mm length</t>
      </text>
    </comment>
    <comment authorId="0" ref="V130">
      <text>
        <t xml:space="preserve">1x 2.5” HDD or SSD (7.0 mm thick)
If graphics card length is below 193 mm:
3x extra 2.5” drives (2x up to 12.5 mm thick, 1x up to 7.0 mm thick)</t>
      </text>
    </comment>
    <comment authorId="0" ref="L131">
      <text>
        <t xml:space="preserve">recommended 45mm height</t>
      </text>
    </comment>
    <comment authorId="0" ref="AB131">
      <text>
        <t xml:space="preserve">Slim 15mm fans</t>
      </text>
    </comment>
    <comment authorId="0" ref="L133">
      <text>
        <t xml:space="preserve">Included passive heatsink for up to 45W of CPU cooling</t>
      </text>
    </comment>
    <comment authorId="0" ref="AH133">
      <text>
        <t xml:space="preserve">USB Type A or Type C</t>
      </text>
    </comment>
    <comment authorId="0" ref="AI133">
      <text>
        <t xml:space="preserve">USB Type A or Type C</t>
      </text>
    </comment>
    <comment authorId="0" ref="Q134">
      <text>
        <t xml:space="preserve">40mm thick with 3mm backplate (43mm total)</t>
      </text>
    </comment>
    <comment authorId="0" ref="J135">
      <text>
        <t xml:space="preserve">1 acrylic and 2 steel panels are included</t>
      </text>
    </comment>
    <comment authorId="0" ref="V137">
      <text>
        <t xml:space="preserve">2x2.5" drives or 2x92mm case fans</t>
      </text>
    </comment>
    <comment authorId="0" ref="AB137">
      <text>
        <t xml:space="preserve">2x2.5" drives or 2x92mm case fans</t>
      </text>
    </comment>
    <comment authorId="0" ref="AC137">
      <text>
        <t xml:space="preserve">depends on CPU cooler height</t>
      </text>
    </comment>
    <comment authorId="0" ref="AA139">
      <text>
        <t xml:space="preserve">10mm thick</t>
      </text>
    </comment>
    <comment authorId="0" ref="A140">
      <text>
        <t xml:space="preserve">Website:
https://zscases.com/</t>
      </text>
    </comment>
    <comment authorId="0" ref="AA140">
      <text>
        <t xml:space="preserve">2x80mm slim 10mm fans</t>
      </text>
    </comment>
    <comment authorId="0" ref="AH140">
      <text>
        <t xml:space="preserve">USB Type A or Type C</t>
      </text>
    </comment>
    <comment authorId="0" ref="AI140">
      <text>
        <t xml:space="preserve">USB Type A or Type C</t>
      </text>
    </comment>
    <comment authorId="0" ref="AK140">
      <text>
        <t xml:space="preserve">¥700 for USB-A front port
¥710 for USB-C front port</t>
      </text>
    </comment>
    <comment authorId="0" ref="O141">
      <text>
        <t xml:space="preserve">270 x 43 x 143 mm or 261 x 43 x 148 (includes space for cables; 16 mm minimum required)</t>
      </text>
    </comment>
    <comment authorId="0" ref="P141">
      <text>
        <t xml:space="preserve">270 x 43 x 143 mm or 261 x 43 x 148 (includes space for cables; 16 mm minimum required)</t>
      </text>
    </comment>
    <comment authorId="0" ref="Q141">
      <text>
        <t xml:space="preserve">270 x 43 x 143 mm or 261 x 43 x 148 (includes space for cables; 16 mm minimum required)</t>
      </text>
    </comment>
    <comment authorId="0" ref="U141">
      <text>
        <t xml:space="preserve">150mm length</t>
      </text>
    </comment>
    <comment authorId="0" ref="V141">
      <text>
        <t xml:space="preserve">1x2.5” drive +
3x2.5” drives if GPU is 200mm or less</t>
      </text>
    </comment>
    <comment authorId="0" ref="U142">
      <text>
        <t xml:space="preserve">Internal 180W PSU included</t>
      </text>
    </comment>
    <comment authorId="0" ref="AA144">
      <text>
        <t xml:space="preserve">2x80mm or 92mm slim 15mm fans</t>
      </text>
    </comment>
    <comment authorId="0" ref="AB144">
      <text>
        <t xml:space="preserve">2x80mm or 92mm slim 15mm fans</t>
      </text>
    </comment>
    <comment authorId="0" ref="W145">
      <text>
        <t xml:space="preserve">1x3.5" drive without GPU</t>
      </text>
    </comment>
    <comment authorId="0" ref="AB145">
      <text>
        <t xml:space="preserve">2x92mm slim 15mm fans</t>
      </text>
    </comment>
    <comment authorId="0" ref="AB146">
      <text>
        <t xml:space="preserve">2x92mm slim 15mm fans</t>
      </text>
    </comment>
    <comment authorId="0" ref="AA148">
      <text>
        <t xml:space="preserve">2x80mm or 2x92mm case fans</t>
      </text>
    </comment>
    <comment authorId="0" ref="AB148">
      <text>
        <t xml:space="preserve">2x80mm or 2x92mm case fans</t>
      </text>
    </comment>
    <comment authorId="0" ref="AK148">
      <text>
        <t xml:space="preserve">¥427 = acrylic panels
¥527 = aluminium panels
+¥100 for riser cable</t>
      </text>
    </comment>
    <comment authorId="0" ref="B149">
      <text>
        <t xml:space="preserve">Aliexpress Links:
https://www.aliexpress.com/item/10000212189459.html
https://www.aliexpress.com/item/4000582944527.html</t>
      </text>
    </comment>
    <comment authorId="0" ref="V149">
      <text>
        <t xml:space="preserve">1x2.5" +
2x2.5" or 1x3.5" drives or GPU</t>
      </text>
    </comment>
    <comment authorId="0" ref="W149">
      <text>
        <t xml:space="preserve">2x2.5" or 1x3.5" drives or GPU</t>
      </text>
    </comment>
    <comment authorId="0" ref="AK150">
      <text>
        <t xml:space="preserve">¥268 with riser cable</t>
      </text>
    </comment>
    <comment authorId="0" ref="V151">
      <text>
        <t xml:space="preserve">2x2.5" drives +
2x2.5" or 1x3.5" drives without GPU</t>
      </text>
    </comment>
    <comment authorId="0" ref="W151">
      <text>
        <t xml:space="preserve">2x2.5" or 1x3.5" drives without GPU</t>
      </text>
    </comment>
    <comment authorId="0" ref="AA151">
      <text>
        <t xml:space="preserve">1x80mm or 1x92mm slim 15mm case fan</t>
      </text>
    </comment>
    <comment authorId="0" ref="AB151">
      <text>
        <t xml:space="preserve">1x80mm or 1x92mm slim 15mm case fan</t>
      </text>
    </comment>
    <comment authorId="0" ref="O155">
      <text>
        <t xml:space="preserve">Optional, can be reconfigured to 2x80mm fans </t>
      </text>
    </comment>
    <comment authorId="0" ref="S155">
      <text>
        <t xml:space="preserve">Optional, can be reconfigured to 2x80mm fans</t>
      </text>
    </comment>
    <comment authorId="0" ref="AA155">
      <text>
        <t xml:space="preserve">2x80mm fans or Low Profile GPU +
2x80mm fans or 1x2.5" drive or DC-ATX PSU</t>
      </text>
    </comment>
    <comment authorId="0" ref="AB158">
      <text>
        <t xml:space="preserve">Slim 15mm fans</t>
      </text>
    </comment>
    <comment authorId="0" ref="AB159">
      <text>
        <t xml:space="preserve">Slim 15mm fans</t>
      </text>
    </comment>
    <comment authorId="0" ref="A160">
      <text>
        <t xml:space="preserve">Website:
https://zscases.com/</t>
      </text>
    </comment>
    <comment authorId="0" ref="AB160">
      <text>
        <t xml:space="preserve">Slim 15mm fans</t>
      </text>
    </comment>
    <comment authorId="0" ref="AB161">
      <text>
        <t xml:space="preserve">Slim 15mm fans</t>
      </text>
    </comment>
    <comment authorId="0" ref="AK162">
      <text>
        <t xml:space="preserve">¥568 = no front panel cutout
¥598 = with front panel cutout
+¥100 for riser cable</t>
      </text>
    </comment>
    <comment authorId="0" ref="V163">
      <text>
        <t xml:space="preserve">fits, but no dedicated mount</t>
      </text>
    </comment>
    <comment authorId="0" ref="B164">
      <text>
        <t xml:space="preserve">HZmod link:
https://item.taobao.com/item.htm?id=604982640360</t>
      </text>
    </comment>
    <comment authorId="0" ref="G164">
      <text>
        <t xml:space="preserve">based on actual measurement. Official dimensions is smaller</t>
      </text>
    </comment>
    <comment authorId="0" ref="AB164">
      <text>
        <t xml:space="preserve">2x92mm slim 15mm fans</t>
      </text>
    </comment>
    <comment authorId="0" ref="AK164">
      <text>
        <t xml:space="preserve">¥397 = dual acrylic panels
¥497 = 1 acrylic/glass + 1 alu panel
¥577 = dual alu panels
+¥230 for Li-Heat riser cable
+¥100 for ADT riser cable</t>
      </text>
    </comment>
    <comment authorId="0" ref="L166">
      <text>
        <t xml:space="preserve">48mm with top 3.5" drive
52mm with top 2.5" drive
60mm with no top drive</t>
      </text>
    </comment>
    <comment authorId="0" ref="V166">
      <text>
        <t xml:space="preserve">2x2.5" or 1x2.5" + 1x3.5" drives</t>
      </text>
    </comment>
    <comment authorId="0" ref="W166">
      <text>
        <t xml:space="preserve">2x2.5" or 1x2.5" + 1x3.5" drives</t>
      </text>
    </comment>
    <comment authorId="0" ref="V167">
      <text>
        <t xml:space="preserve">2x2.5" drives +
2x2.5" or 1x3.5" drives without GPU</t>
      </text>
    </comment>
    <comment authorId="0" ref="W167">
      <text>
        <t xml:space="preserve">2x2.5" or 1x3.5" drives without GPU</t>
      </text>
    </comment>
    <comment authorId="0" ref="AB167">
      <text>
        <t xml:space="preserve">Slim 15mm fan</t>
      </text>
    </comment>
    <comment authorId="0" ref="AB169">
      <text>
        <t xml:space="preserve">Slim 15mm fans</t>
      </text>
    </comment>
    <comment authorId="0" ref="AG170">
      <text>
        <t xml:space="preserve">1x2.0 USB or 1x3.0 USB</t>
      </text>
    </comment>
    <comment authorId="0" ref="AH170">
      <text>
        <t xml:space="preserve">1x2.0 USB or 1x3.0 USB</t>
      </text>
    </comment>
    <comment authorId="0" ref="L172">
      <text>
        <t xml:space="preserve">70mm with 3.5" drive
90mm without 3.5" drive</t>
      </text>
    </comment>
    <comment authorId="0" ref="V172">
      <text>
        <t xml:space="preserve">2x2.5" + 1x3.5" drives or
4x2.5" drives or
2x3.5" drives</t>
      </text>
    </comment>
    <comment authorId="0" ref="W172">
      <text>
        <t xml:space="preserve">2x2.5" + 1x3.5" drives or
4x2.5" drives or
2x3.5" drives</t>
      </text>
    </comment>
    <comment authorId="0" ref="AA172">
      <text>
        <t xml:space="preserve">2x80mm or 1x92mm slim 15mm fans at top +
2x80mm or 1x92mm fans at bottom without expansion card</t>
      </text>
    </comment>
    <comment authorId="0" ref="AB172">
      <text>
        <t xml:space="preserve">2x80mm or 1x92mm slim 15mm fans at top +
2x80mm or 1x92mm fans at bottom without expansion card</t>
      </text>
    </comment>
    <comment authorId="0" ref="U173">
      <text>
        <t xml:space="preserve">fits HDPlex GaN AIO or 400W AC-DC internal brick + HDPlex 400W DC-ATX</t>
      </text>
    </comment>
    <comment authorId="0" ref="V174">
      <text>
        <t xml:space="preserve">1x2.5" or 1x3.5" drive</t>
      </text>
    </comment>
    <comment authorId="0" ref="W174">
      <text>
        <t xml:space="preserve">1x2.5" or 1x3.5" drive</t>
      </text>
    </comment>
    <comment authorId="0" ref="T175">
      <text>
        <t xml:space="preserve">Incompatible with integrated IO shields</t>
      </text>
    </comment>
    <comment authorId="0" ref="U175">
      <text>
        <t xml:space="preserve">SFX-L will block 1x2.5" drive mount</t>
      </text>
    </comment>
    <comment authorId="0" ref="V175">
      <text>
        <t xml:space="preserve">1x2.5" if SFX PSU and GPU &gt; 227mm length
2x2.5" if SFX PSU and GPU &lt; 227mm length
no 2.5" if SFX-L PSU and GPU &gt; 227mm length
1x2.5" if SFX-L PSU and GPU &lt; 227mm length</t>
      </text>
    </comment>
    <comment authorId="0" ref="W175">
      <text>
        <t xml:space="preserve">1x3.5" drive if GPU &lt;193mm length</t>
      </text>
    </comment>
    <comment authorId="0" ref="AL175">
      <text>
        <t xml:space="preserve">price exclude riser cable</t>
      </text>
    </comment>
    <comment authorId="0" ref="AB176">
      <text>
        <t xml:space="preserve">15mm slim fan</t>
      </text>
    </comment>
    <comment authorId="0" ref="A177">
      <text>
        <t xml:space="preserve">Taobao Link:
https://shop163026353.taobao.com/</t>
      </text>
    </comment>
    <comment authorId="0" ref="B177">
      <text>
        <t xml:space="preserve">Taobao Link:
https://item.taobao.com/item.htm?id=640663308018</t>
      </text>
    </comment>
    <comment authorId="0" ref="AB177">
      <text>
        <t xml:space="preserve">Slim 15mm fan</t>
      </text>
    </comment>
    <comment authorId="0" ref="B178">
      <text>
        <t xml:space="preserve">Aliexpress link:
https://www.aliexpress.com/item/10000223913642.html</t>
      </text>
    </comment>
    <comment authorId="0" ref="AA178">
      <text>
        <t xml:space="preserve">2x80mm slim case fans included</t>
      </text>
    </comment>
    <comment authorId="0" ref="M179">
      <text>
        <t xml:space="preserve">up to 40mm thickness for rad+fan</t>
      </text>
    </comment>
    <comment authorId="0" ref="AK180">
      <text>
        <t xml:space="preserve">¥268 with riser cable</t>
      </text>
    </comment>
    <comment authorId="0" ref="A181">
      <text>
        <t xml:space="preserve">Taobao store:
https://shop194013857.world.taobao.com/</t>
      </text>
    </comment>
    <comment authorId="0" ref="B181">
      <text>
        <t xml:space="preserve">Taobao link:
https://item.taobao.com/item.htm?id=677512770396</t>
      </text>
    </comment>
    <comment authorId="0" ref="AA181">
      <text>
        <t xml:space="preserve">Slim 15mm fans</t>
      </text>
    </comment>
    <comment authorId="0" ref="AA182">
      <text>
        <t xml:space="preserve">Slim 15mm fan</t>
      </text>
    </comment>
    <comment authorId="0" ref="O183">
      <text>
        <t xml:space="preserve">Uses internal extensions to reroute GPU I/O</t>
      </text>
    </comment>
    <comment authorId="0" ref="P183">
      <text>
        <t xml:space="preserve">Uses internal extensions to reroute GPU I/O</t>
      </text>
    </comment>
    <comment authorId="0" ref="Q183">
      <text>
        <t xml:space="preserve">Uses internal extensions to reroute GPU I/O</t>
      </text>
    </comment>
    <comment authorId="0" ref="U183">
      <text>
        <t xml:space="preserve">Not compatible with SFX-L</t>
      </text>
    </comment>
    <comment authorId="0" ref="V183">
      <text>
        <t xml:space="preserve">1x 2.5” HDD or SSD (9.5 mm thick)
If graphics card length is below 212 mm:
3x extra 2.5” drives (2x up to 12.5 mm thick, 1x up to 7 mm thick)</t>
      </text>
    </comment>
    <comment authorId="0" ref="AB184">
      <text>
        <t xml:space="preserve">Slim 15mm fans</t>
      </text>
    </comment>
    <comment authorId="0" ref="AB185">
      <text>
        <t xml:space="preserve">Slim 15mm fans</t>
      </text>
    </comment>
    <comment authorId="0" ref="W186">
      <text>
        <t xml:space="preserve">1x3.5" drive without GPU</t>
      </text>
    </comment>
    <comment authorId="0" ref="L188">
      <text>
        <t xml:space="preserve">Included passive heatsink for up to 87W of CPU cooling. 65W recommended.</t>
      </text>
    </comment>
    <comment authorId="0" ref="L190">
      <text>
        <t xml:space="preserve">45mm with 3.5 drive</t>
      </text>
    </comment>
    <comment authorId="0" ref="W192">
      <text>
        <t xml:space="preserve">1x3.5" drive without GPU</t>
      </text>
    </comment>
    <comment authorId="0" ref="A193">
      <text>
        <t xml:space="preserve">Website:
https://zscases.com/</t>
      </text>
    </comment>
    <comment authorId="0" ref="AK193">
      <text>
        <t xml:space="preserve">+¥110 for riser cable</t>
      </text>
    </comment>
    <comment authorId="0" ref="W195">
      <text>
        <t xml:space="preserve">1x3.5" drive without GPU</t>
      </text>
    </comment>
    <comment authorId="0" ref="AB195">
      <text>
        <t xml:space="preserve">1x92mm at top (no official mount)</t>
      </text>
    </comment>
    <comment authorId="0" ref="A197">
      <text>
        <t xml:space="preserve">Taobao Link:
https://shop127547001.world.taobao.com/</t>
      </text>
    </comment>
    <comment authorId="0" ref="B197">
      <text>
        <t xml:space="preserve">Taobao Link:
https://item.taobao.com/item.htm?id=607127322062</t>
      </text>
    </comment>
    <comment authorId="0" ref="AB197">
      <text>
        <t xml:space="preserve">2x92mm slim 15mm fans</t>
      </text>
    </comment>
    <comment authorId="0" ref="O199">
      <text>
        <t xml:space="preserve">290 x 43 x 143 mm or 281 x 43 x 148 (includes space for cables; 16 mm minimum required)</t>
      </text>
    </comment>
    <comment authorId="0" ref="P199">
      <text>
        <t xml:space="preserve">290 x 43 x 143 mm or 281 x 43 x 148 (includes space for cables; 16 mm minimum required)</t>
      </text>
    </comment>
    <comment authorId="0" ref="Q199">
      <text>
        <t xml:space="preserve">290 x 43 x 143 mm or 281 x 43 x 148 (includes space for cables; 16 mm minimum required)</t>
      </text>
    </comment>
    <comment authorId="0" ref="V199">
      <text>
        <t xml:space="preserve">1x2.5” drive +
3x2.5” drives if GPU is 220mm or less</t>
      </text>
    </comment>
    <comment authorId="0" ref="AC201">
      <text>
        <t xml:space="preserve">Slim 15mm fan</t>
      </text>
    </comment>
    <comment authorId="0" ref="B202">
      <text>
        <t xml:space="preserve">Aliexpress link:
https://www.aliexpress.com/item/1005001937540548.html</t>
      </text>
    </comment>
    <comment authorId="0" ref="U204">
      <text>
        <t xml:space="preserve">250W FlexATX Unit Included</t>
      </text>
    </comment>
    <comment authorId="0" ref="W204">
      <text>
        <t xml:space="preserve">Hot Swap Drive Bays</t>
      </text>
    </comment>
    <comment authorId="0" ref="AB205">
      <text>
        <t xml:space="preserve">Slim 15mm fans</t>
      </text>
    </comment>
    <comment authorId="0" ref="V212">
      <text>
        <t xml:space="preserve">2x2.5" drives or 1x92mm slim fan below PSU</t>
      </text>
    </comment>
    <comment authorId="0" ref="AB212">
      <text>
        <t xml:space="preserve">2x2.5" drives or 1x92mm slim fan below PSU</t>
      </text>
    </comment>
    <comment authorId="0" ref="AB213">
      <text>
        <t xml:space="preserve">Slim 15mm fan</t>
      </text>
    </comment>
    <comment authorId="0" ref="AC215">
      <text>
        <t xml:space="preserve">1x120mm fan with optional top hat</t>
      </text>
    </comment>
    <comment authorId="0" ref="AK217">
      <text>
        <t xml:space="preserve">¥310 with riser cable</t>
      </text>
    </comment>
    <comment authorId="0" ref="A218">
      <text>
        <t xml:space="preserve">Taobao Link:
https://shop127547001.world.taobao.com/</t>
      </text>
    </comment>
    <comment authorId="0" ref="U218">
      <text>
        <t xml:space="preserve">2x2.5" drives with SFX-L PSU
4x2.5" drives with SFX PSU</t>
      </text>
    </comment>
    <comment authorId="0" ref="V218">
      <text>
        <t xml:space="preserve">2x2.5" drives with SFX-L PSU
4x2.5" drives with SFX PSU</t>
      </text>
    </comment>
    <comment authorId="0" ref="AC218">
      <text>
        <t xml:space="preserve">slim 15mm fan</t>
      </text>
    </comment>
    <comment authorId="0" ref="AB219">
      <text>
        <t xml:space="preserve">15mm slim fans</t>
      </text>
    </comment>
    <comment authorId="0" ref="AA222">
      <text>
        <t xml:space="preserve">2x80mm without GPU</t>
      </text>
    </comment>
    <comment authorId="0" ref="O225">
      <text>
        <t xml:space="preserve">190mm with 1x3.5" drive
302mm without any 3.5" drives</t>
      </text>
    </comment>
    <comment authorId="0" ref="W225">
      <text>
        <t xml:space="preserve">1x3.5" drive with GPU length less than 190mm</t>
      </text>
    </comment>
    <comment authorId="0" ref="A226">
      <text>
        <t xml:space="preserve">Website:
https://zscases.com/</t>
      </text>
    </comment>
    <comment authorId="0" ref="Z226">
      <text>
        <t xml:space="preserve">Include 2x60mm blower fans</t>
      </text>
    </comment>
    <comment authorId="0" ref="W228">
      <text>
        <t xml:space="preserve">1x3.5" drive or 1x120mm fan</t>
      </text>
    </comment>
    <comment authorId="0" ref="AC228">
      <text>
        <t xml:space="preserve">1x120mm fan or 1x3.5" drive</t>
      </text>
    </comment>
    <comment authorId="0" ref="AG228">
      <text>
        <t xml:space="preserve">Optional</t>
      </text>
    </comment>
    <comment authorId="0" ref="AH228">
      <text>
        <t xml:space="preserve">Optional</t>
      </text>
    </comment>
    <comment authorId="0" ref="M229">
      <text>
        <t xml:space="preserve">Case can be expanded with an optional top hat to support 120mm AIO for ¥258</t>
      </text>
    </comment>
    <comment authorId="0" ref="V229">
      <text>
        <t xml:space="preserve">4x2.5" drives or 1x80mm case fan</t>
      </text>
    </comment>
    <comment authorId="0" ref="W229">
      <text>
        <t xml:space="preserve">1x3.5" drive or 1x120mm case fan (20mm thick) or 2x80mm case fan (20mm thick)</t>
      </text>
    </comment>
    <comment authorId="0" ref="AA229">
      <text>
        <t xml:space="preserve">-1x80mm case fan or 4x2.5" drives
-2x80mm case fans (20mm thick) or 1x3.5" drive or 1x120mm case fan (20mm thick)</t>
      </text>
    </comment>
    <comment authorId="0" ref="AC229">
      <text>
        <t xml:space="preserve">1x120mm case fan (20mm thick) or 2x80mm case fans (20mm thick) or 1x3.5" drive</t>
      </text>
    </comment>
    <comment authorId="0" ref="AK229">
      <text>
        <t xml:space="preserve">include riser cable
+¥258 for optional top hat</t>
      </text>
    </comment>
    <comment authorId="0" ref="AB231">
      <text>
        <t xml:space="preserve">2x92mm slim 15mm fans at top +
2x92mm slim 15mm fans at bottom</t>
      </text>
    </comment>
    <comment authorId="0" ref="W234">
      <text>
        <t xml:space="preserve">1x3.5" drive without GPU</t>
      </text>
    </comment>
    <comment authorId="0" ref="AC234">
      <text>
        <t xml:space="preserve">Slim 15mm fan</t>
      </text>
    </comment>
    <comment authorId="0" ref="W235">
      <text>
        <t xml:space="preserve">1x3.5" drive without GPU</t>
      </text>
    </comment>
    <comment authorId="0" ref="AC235">
      <text>
        <t xml:space="preserve">Slim 15mm fan</t>
      </text>
    </comment>
    <comment authorId="0" ref="M237">
      <text>
        <t xml:space="preserve">120mm rad is compatible with ITX GPUs only</t>
      </text>
    </comment>
    <comment authorId="0" ref="A239">
      <text>
        <t xml:space="preserve">Taobao Link:
https://shop163026353.taobao.com/</t>
      </text>
    </comment>
    <comment authorId="0" ref="B239">
      <text>
        <t xml:space="preserve">Taobao Link:
https://item.taobao.com/item.htm?id=640670204408</t>
      </text>
    </comment>
    <comment authorId="0" ref="AC239">
      <text>
        <t xml:space="preserve">Slim 15mm fan</t>
      </text>
    </comment>
    <comment authorId="0" ref="L241">
      <text>
        <t xml:space="preserve">45mm with 3.5 drive</t>
      </text>
    </comment>
    <comment authorId="0" ref="B244">
      <text>
        <t xml:space="preserve">Newegg link:
https://www.newegg.com/p/2AM-05JW-00020</t>
      </text>
    </comment>
    <comment authorId="0" ref="M245">
      <text>
        <t xml:space="preserve">only compatible with ITX GPUs</t>
      </text>
    </comment>
    <comment authorId="0" ref="V245">
      <text>
        <t xml:space="preserve">3x2.5" drives or 120mm case fan</t>
      </text>
    </comment>
    <comment authorId="0" ref="AC245">
      <text>
        <t xml:space="preserve">3x2.5" drives or one 120mm case fan
one optional fan for 120mm AIO</t>
      </text>
    </comment>
    <comment authorId="0" ref="AK245">
      <text>
        <t xml:space="preserve">price exclude riser cable
standard config is with acrylic panels
+¥50 for one tempered glass panel
+¥80 for one aluminium panel</t>
      </text>
    </comment>
    <comment authorId="0" ref="W249">
      <text>
        <t xml:space="preserve">1x3.5" drive with 39mm CPU cooler height</t>
      </text>
    </comment>
    <comment authorId="0" ref="AH249">
      <text>
        <t xml:space="preserve">Optional</t>
      </text>
    </comment>
    <comment authorId="0" ref="AJ249">
      <text>
        <t xml:space="preserve">Optional</t>
      </text>
    </comment>
    <comment authorId="0" ref="L250">
      <text>
        <t xml:space="preserve">Adjustable between CPU and GPU:
98mm CPU / no GPU
85.5mm CPU / 21mm GPU
47-67mm CPU / 42-62mm GPU</t>
      </text>
    </comment>
    <comment authorId="0" ref="Q250">
      <text>
        <t xml:space="preserve">Adjustable between CPU and GPU:
98mm CPU / no GPU
85.5mm CPU / 21mm GPU
47-67mm CPU / 42-62mm GPU</t>
      </text>
    </comment>
    <comment authorId="0" ref="R250">
      <text>
        <t xml:space="preserve">Adjustable between CPU and GPU:
98mm CPU / no GPU
85.5mm CPU / 21mm GPU
47-67mm CPU / 42-62mm GPU</t>
      </text>
    </comment>
    <comment authorId="0" ref="V250">
      <text>
        <t xml:space="preserve">1x2.5" drive +
2x2.5" or 1x3.5" drives without GPU</t>
      </text>
    </comment>
    <comment authorId="0" ref="W250">
      <text>
        <t xml:space="preserve">1x3.5" drive or 1x120mm fan at top +
2x2.5" or 1x3.5" drives without GPU</t>
      </text>
    </comment>
    <comment authorId="0" ref="Z250">
      <text>
        <t xml:space="preserve">2x60mm fans can be installed if configured at APU mode</t>
      </text>
    </comment>
    <comment authorId="0" ref="AC250">
      <text>
        <t xml:space="preserve">1x3.5" drive or 1x120mm fan at top</t>
      </text>
    </comment>
    <comment authorId="0" ref="AH250">
      <text>
        <t xml:space="preserve">Optional</t>
      </text>
    </comment>
    <comment authorId="0" ref="AJ250">
      <text>
        <t xml:space="preserve">Optional</t>
      </text>
    </comment>
    <comment authorId="0" ref="L251">
      <text>
        <t xml:space="preserve">Adjustable between CPU and GPU:
100mm CPU / no GPU
87mm CPU / 20mm GPU
52-67mm CPU / 42-57mm GPU</t>
      </text>
    </comment>
    <comment authorId="0" ref="Q251">
      <text>
        <t xml:space="preserve">Adjustable between CPU and GPU:
100mm CPU / no GPU
87mm CPU / 20mm GPU
52-67mm CPU / 42-57mm GPU</t>
      </text>
    </comment>
    <comment authorId="0" ref="R251">
      <text>
        <t xml:space="preserve">Adjustable between CPU and GPU:
100mm CPU / no GPU
87mm CPU / 20mm GPU
52-67mm CPU / 42-57mm GPU</t>
      </text>
    </comment>
    <comment authorId="0" ref="V251">
      <text>
        <t xml:space="preserve">1x2.5" drive +
2x2.5" or 1x3.5" drives without GPU</t>
      </text>
    </comment>
    <comment authorId="0" ref="W251">
      <text>
        <t xml:space="preserve">1x3.5" drive or 1x120mm fan at top +
2x2.5" or 1x3.5" drives without GPU</t>
      </text>
    </comment>
    <comment authorId="0" ref="Z251">
      <text>
        <t xml:space="preserve">2x60mm fans can be installed if configured at APU mode</t>
      </text>
    </comment>
    <comment authorId="0" ref="AC251">
      <text>
        <t xml:space="preserve">1x3.5" drive or 1x120mm fan at top</t>
      </text>
    </comment>
    <comment authorId="0" ref="AC255">
      <text>
        <t xml:space="preserve">Slim 15mm fan</t>
      </text>
    </comment>
    <comment authorId="0" ref="O256">
      <text>
        <t xml:space="preserve">2x92mm fan or single slot low profile GPU on bottom</t>
      </text>
    </comment>
    <comment authorId="0" ref="AB256">
      <text>
        <t xml:space="preserve">2x92mm fan or single slot low profile GPU on bottom +
2x92mm fans on top</t>
      </text>
    </comment>
    <comment authorId="0" ref="B257">
      <text>
        <t xml:space="preserve">OverclockersUK link:
https://www.overclockers.co.uk/dan-cases-a4-sfx-v4.1-mini-itx-gaming-case-black-ca-006-da.html</t>
      </text>
    </comment>
    <comment authorId="0" ref="M257">
      <text>
        <t xml:space="preserve">92mm AIO in drive bay (require SFX PSU)
120mm (with optional 120 AIO bracket)
-on GPU side, max thickness up to 27mm AIO + 15mm fan, max GPU length 173mm
-on Motherboard side, max thickness up to 27mm AIO + 25mm fan, max GPU length 273mm, require DC-ATX PSU</t>
      </text>
    </comment>
    <comment authorId="0" ref="O257">
      <text>
        <t xml:space="preserve">173mm with 120mm rad in GPU side
273mm with 120mm rad in motherboard side
295mm without 120mm rad
</t>
      </text>
    </comment>
    <comment authorId="0" ref="Q257">
      <text>
        <t xml:space="preserve">40mm excluding backplate
45mm including backplate</t>
      </text>
    </comment>
    <comment authorId="0" ref="V257">
      <text>
        <t xml:space="preserve">1x2.5" drive behind front panel +
2x2.5" or 1x92mm case fan in drive bay</t>
      </text>
    </comment>
    <comment authorId="0" ref="AB257">
      <text>
        <t xml:space="preserve">1x92mm slim 15mm fan below motherboard +
2x2.5" or 1x92mm case fan in drive bay</t>
      </text>
    </comment>
    <comment authorId="0" ref="AK262">
      <text>
        <t xml:space="preserve">¥499 = advance payment
¥799 = standard price with glass panel
¥899 = aluminium panels</t>
      </text>
    </comment>
    <comment authorId="0" ref="AC263">
      <text>
        <t xml:space="preserve">15mm slim fan</t>
      </text>
    </comment>
    <comment authorId="0" ref="AK263">
      <text>
        <t xml:space="preserve">¥799 = coated tempered glass and aluminium side panel
¥899 = double aluminium side panels</t>
      </text>
    </comment>
    <comment authorId="0" ref="L268">
      <text>
        <t xml:space="preserve">45mm with 25mm thick 3.5" drive
50mm with 20mm thick 3.5" drive
55mm with 15mm thick 2.5" drive
61mm with 9mm thick 2.5" drive
63mm with 7mm thick 2.5" drive
73mm without any drives</t>
      </text>
    </comment>
    <comment authorId="0" ref="V268">
      <text>
        <t xml:space="preserve">2x2.5" or 1x3.5" drives</t>
      </text>
    </comment>
    <comment authorId="0" ref="W268">
      <text>
        <t xml:space="preserve">2x2.5" or 1x3.5" drives</t>
      </text>
    </comment>
    <comment authorId="0" ref="V269">
      <text>
        <t xml:space="preserve">4x2.5" drives + 
4x2.5" or 1x3.5" drives with short GPU</t>
      </text>
    </comment>
    <comment authorId="0" ref="W269">
      <text>
        <t xml:space="preserve">4x2.5" or 1x3.5" drives with short GPU</t>
      </text>
    </comment>
    <comment authorId="0" ref="M270">
      <text>
        <t xml:space="preserve">with 15mm thick fan</t>
      </text>
    </comment>
    <comment authorId="0" ref="U270">
      <text>
        <t xml:space="preserve">SFX PSU recommended</t>
      </text>
    </comment>
    <comment authorId="0" ref="AK270">
      <text>
        <t xml:space="preserve">¥909 = Black color
¥999 = White color</t>
      </text>
    </comment>
    <comment authorId="0" ref="O271">
      <text>
        <t xml:space="preserve">190mm with 1x3.5" drive
302mm without any 3.5" drives</t>
      </text>
    </comment>
    <comment authorId="0" ref="W271">
      <text>
        <t xml:space="preserve">1x3.5" drive with GPU length less than 190mm</t>
      </text>
    </comment>
    <comment authorId="0" ref="W272">
      <text>
        <t xml:space="preserve">1x3.5" drive without GPU</t>
      </text>
    </comment>
    <comment authorId="0" ref="AB273">
      <text>
        <t xml:space="preserve">2x92mm slim 15mm fans at top +
2x92mm slim 15mm fans at bottom</t>
      </text>
    </comment>
    <comment authorId="0" ref="AC275">
      <text>
        <t xml:space="preserve">1x120mm or 1x140mm slim 15mm fan</t>
      </text>
    </comment>
    <comment authorId="0" ref="AD275">
      <text>
        <t xml:space="preserve">1x120mm or 1x140mm slim 15mm fan</t>
      </text>
    </comment>
    <comment authorId="0" ref="T276">
      <text>
        <t xml:space="preserve">mDTX not compatible with 2x80mm or 92mm fans</t>
      </text>
    </comment>
    <comment authorId="0" ref="AA276">
      <text>
        <t xml:space="preserve">2x80mm or 92mm fans
Not compatible with mDTX motherboard</t>
      </text>
    </comment>
    <comment authorId="0" ref="AB276">
      <text>
        <t xml:space="preserve">2x80mm or 92mm fans
Not compatible with mDTX motherboard</t>
      </text>
    </comment>
    <comment authorId="0" ref="B277">
      <text>
        <t xml:space="preserve">Aliexpress Link:
https://www.aliexpress.com/item/1005002271978437.html</t>
      </text>
    </comment>
    <comment authorId="0" ref="M278">
      <text>
        <t xml:space="preserve">max 140x124x40mm. Reduce GPU length to 178mm</t>
      </text>
    </comment>
    <comment authorId="0" ref="O278">
      <text>
        <t xml:space="preserve">178mm with 120mm radiator
280mm with 60mm fans</t>
      </text>
    </comment>
    <comment authorId="0" ref="Q278">
      <text>
        <t xml:space="preserve">fits up to 3x2.5" drives with dual slot GPU</t>
      </text>
    </comment>
    <comment authorId="0" ref="V278">
      <text>
        <t xml:space="preserve">no drives with triple slot GPU
2x2.5" drives with dual slot GPU and 120mm radiator
3x2.5" drives with dual slot GPU</t>
      </text>
    </comment>
    <comment authorId="0" ref="Z278">
      <text>
        <t xml:space="preserve">280mm GPU length with 60mm fans</t>
      </text>
    </comment>
    <comment authorId="0" ref="AC278">
      <text>
        <t xml:space="preserve">for 120mm radiator</t>
      </text>
    </comment>
    <comment authorId="0" ref="AC279">
      <text>
        <t xml:space="preserve">Slim 15mm fan</t>
      </text>
    </comment>
    <comment authorId="0" ref="W282">
      <text>
        <t xml:space="preserve">1x3.5" drive with GPU &lt;180mm length</t>
      </text>
    </comment>
    <comment authorId="0" ref="AC283">
      <text>
        <t xml:space="preserve">Slim 15mm fans</t>
      </text>
    </comment>
    <comment authorId="0" ref="M284">
      <text>
        <t xml:space="preserve">Case can be expanded with an optional top hat to support 120mm AIO</t>
      </text>
    </comment>
    <comment authorId="0" ref="V284">
      <text>
        <t xml:space="preserve">1x2.5" drive or 80mm case fan</t>
      </text>
    </comment>
    <comment authorId="0" ref="W284">
      <text>
        <t xml:space="preserve">1x3.5" drive or 120mm or 140mm case fan</t>
      </text>
    </comment>
    <comment authorId="0" ref="AA284">
      <text>
        <t xml:space="preserve">1x2.5" drive or 80mm case fan</t>
      </text>
    </comment>
    <comment authorId="0" ref="AC284">
      <text>
        <t xml:space="preserve">-1x3.5" drive or 120mm or 140mm case fan
-1x120mm case fan with optional top hat</t>
      </text>
    </comment>
    <comment authorId="0" ref="AD284">
      <text>
        <t xml:space="preserve">1x3.5" drive or 120mm or 140mm case fan</t>
      </text>
    </comment>
    <comment authorId="0" ref="V286">
      <text>
        <t xml:space="preserve">1x2.5" drive or 92mm slim 15mm fan under PSU</t>
      </text>
    </comment>
    <comment authorId="0" ref="AB286">
      <text>
        <t xml:space="preserve">1x92mm slim 15mm fan under motherboard +
1x92mm slim 15mm fan or 1x2.5" drive under PSU</t>
      </text>
    </comment>
    <comment authorId="0" ref="AB287">
      <text>
        <t xml:space="preserve">Slim 15mm fans</t>
      </text>
    </comment>
    <comment authorId="0" ref="O288">
      <text>
        <t xml:space="preserve">300mm without 1x2.5" drive in GPU bay
220mm with 1x2.5" drive in GPU bay</t>
      </text>
    </comment>
    <comment authorId="0" ref="V288">
      <text>
        <t xml:space="preserve">1x2.5" drive +
1x2.5" drive in GPU bay, will reduce GPU length to 220mm</t>
      </text>
    </comment>
    <comment authorId="0" ref="AC289">
      <text>
        <t xml:space="preserve">15mm slim fan</t>
      </text>
    </comment>
    <comment authorId="0" ref="A290">
      <text>
        <t xml:space="preserve">Taobao Link:
https://shop127547001.world.taobao.com/</t>
      </text>
    </comment>
    <comment authorId="0" ref="B290">
      <text>
        <t xml:space="preserve">Taobao Link:
https://item.taobao.com/item.htm?id=545250722223</t>
      </text>
    </comment>
    <comment authorId="0" ref="L290">
      <text>
        <t xml:space="preserve">Adjustable in 2 modes:
48mm CPU + 54.5mm GPU thickness
60mm CPU + 42.5mm GPU thickness</t>
      </text>
    </comment>
    <comment authorId="0" ref="Q290">
      <text>
        <t xml:space="preserve">Adjustable in 2 modes:
48mm CPU + 54.5mm GPU thickness
60mm CPU + 42.5mm GPU thickness</t>
      </text>
    </comment>
    <comment authorId="0" ref="V290">
      <text>
        <t xml:space="preserve">1x92mm or 1x120mm slim 15mm fan or 2x2.5" drives</t>
      </text>
    </comment>
    <comment authorId="0" ref="AB290">
      <text>
        <t xml:space="preserve">1x92mm or 1x120mm slim 15mm fan or 2x2.5" drives</t>
      </text>
    </comment>
    <comment authorId="0" ref="AC290">
      <text>
        <t xml:space="preserve">1x92mm or 1x120mm slim 15mm fan or 2x2.5" drives</t>
      </text>
    </comment>
    <comment authorId="0" ref="B291">
      <text>
        <t xml:space="preserve">Aliexpress link:
https://www.aliexpress.com/item/10000343416324.html</t>
      </text>
    </comment>
    <comment authorId="0" ref="M292">
      <text>
        <t xml:space="preserve">with 15mm thick fan. Reduce GPU length to 175mm</t>
      </text>
    </comment>
    <comment authorId="0" ref="O292">
      <text>
        <t xml:space="preserve">175mm with 120 radiator or 1x3.5" drive
320mm without any radiator or 3.5" drives</t>
      </text>
    </comment>
    <comment authorId="0" ref="U292">
      <text>
        <t xml:space="preserve">SFX PSU recommended</t>
      </text>
    </comment>
    <comment authorId="0" ref="AC292">
      <text>
        <t xml:space="preserve">120mm slim 15mm fan for 120mm radiator in GPU chamber</t>
      </text>
    </comment>
    <comment authorId="0" ref="AH292">
      <text>
        <t xml:space="preserve">2xUSB-A in V4
No USB-A in V4.4</t>
      </text>
    </comment>
    <comment authorId="0" ref="M294">
      <text>
        <t xml:space="preserve">Case can be expanded with an optional top hat to support 240mm AIO for ¥349</t>
      </text>
    </comment>
    <comment authorId="0" ref="O294">
      <text>
        <t xml:space="preserve">3.5" drive will reduce GPU length to 186mm</t>
      </text>
    </comment>
    <comment authorId="0" ref="W294">
      <text>
        <t xml:space="preserve">3.5" drive will reduce GPU length to 186mm</t>
      </text>
    </comment>
    <comment authorId="0" ref="AC294">
      <text>
        <t xml:space="preserve">2x120mm slim 15mm fans if using optional air cool top hat
2x120mm fans if using optional water cool top hat</t>
      </text>
    </comment>
    <comment authorId="0" ref="AK294">
      <text>
        <t xml:space="preserve">+¥233 for riser cable
+¥349 for optional top hat</t>
      </text>
    </comment>
    <comment authorId="0" ref="A295">
      <text>
        <t xml:space="preserve">Taobao Link:
https://shop127547001.world.taobao.com/</t>
      </text>
    </comment>
    <comment authorId="0" ref="B295">
      <text>
        <t xml:space="preserve">Taobao link:
https://item.taobao.com/item.htm?id=616711715199</t>
      </text>
    </comment>
    <comment authorId="0" ref="V295">
      <text>
        <t xml:space="preserve">2x2.5" drives with SFX-L PSU
5x2.5" drives with SFX PSU</t>
      </text>
    </comment>
    <comment authorId="0" ref="V296">
      <text>
        <t xml:space="preserve">3x2.5" or 1x2.5" + 1x3.5" drives</t>
      </text>
    </comment>
    <comment authorId="0" ref="W296">
      <text>
        <t xml:space="preserve">3x2.5" or 1x2.5" + 1x3.5" drives</t>
      </text>
    </comment>
    <comment authorId="0" ref="AC296">
      <text>
        <t xml:space="preserve">120mm case fan only compatible with mITX motherboard</t>
      </text>
    </comment>
    <comment authorId="0" ref="AK296">
      <text>
        <t xml:space="preserve">¥228 case only
¥320 case + riser cable</t>
      </text>
    </comment>
    <comment authorId="0" ref="B298">
      <text>
        <t xml:space="preserve">Aliexpress Link:
https://www.aliexpress.com/item/1005002261052445.html</t>
      </text>
    </comment>
    <comment authorId="0" ref="A299">
      <text>
        <t xml:space="preserve">Taobao store:
https://shop194013857.world.taobao.com/</t>
      </text>
    </comment>
    <comment authorId="0" ref="B299">
      <text>
        <t xml:space="preserve">Taobao link:
https://item.taobao.com/item.htm?id=644136410680</t>
      </text>
    </comment>
    <comment authorId="0" ref="O303">
      <text>
        <t xml:space="preserve">190mm with 1x3.5" drive
302mm without any 3.5" drives</t>
      </text>
    </comment>
    <comment authorId="0" ref="W303">
      <text>
        <t xml:space="preserve">1x3.5" drive with GPU length less than 190mm</t>
      </text>
    </comment>
    <comment authorId="0" ref="AG303">
      <text>
        <t xml:space="preserve">Optional</t>
      </text>
    </comment>
    <comment authorId="0" ref="AH303">
      <text>
        <t xml:space="preserve">Optional</t>
      </text>
    </comment>
    <comment authorId="0" ref="AJ303">
      <text>
        <t xml:space="preserve">Optional</t>
      </text>
    </comment>
    <comment authorId="0" ref="AC304">
      <text>
        <t xml:space="preserve">slim 15mm fan</t>
      </text>
    </comment>
    <comment authorId="0" ref="W305">
      <text>
        <t xml:space="preserve">1x3.5" drive without GPU</t>
      </text>
    </comment>
    <comment authorId="0" ref="U307">
      <text>
        <t xml:space="preserve">Internal 200W PSU included</t>
      </text>
    </comment>
    <comment authorId="0" ref="U308">
      <text>
        <t xml:space="preserve">Internal 200W PSU included</t>
      </text>
    </comment>
    <comment authorId="0" ref="U309">
      <text>
        <t xml:space="preserve">Internal 200W PSU included</t>
      </text>
    </comment>
    <comment authorId="0" ref="AA309">
      <text>
        <t xml:space="preserve">Slim 15mm fan</t>
      </text>
    </comment>
    <comment authorId="0" ref="O310">
      <text>
        <t xml:space="preserve">180mm with SFX/SFX-L PSU
250mm with Flex ATX PSU</t>
      </text>
    </comment>
    <comment authorId="0" ref="W310">
      <text>
        <t xml:space="preserve">2x3.5" drives or GPU</t>
      </text>
    </comment>
    <comment authorId="0" ref="AA311">
      <text>
        <t xml:space="preserve">2x80mm slim 15mm case fans</t>
      </text>
    </comment>
    <comment authorId="0" ref="M313">
      <text>
        <t xml:space="preserve">Case can be expanded with an optional top hat to support 240mm AIO</t>
      </text>
    </comment>
    <comment authorId="0" ref="AC315">
      <text>
        <t xml:space="preserve">1x120mm or 1x140mm fan at top</t>
      </text>
    </comment>
    <comment authorId="0" ref="AD315">
      <text>
        <t xml:space="preserve">1x120mm or 1x140mm fan at top</t>
      </text>
    </comment>
    <comment authorId="0" ref="M316">
      <text>
        <t xml:space="preserve">up to 42mm rad + fan thickness</t>
      </text>
    </comment>
    <comment authorId="0" ref="V316">
      <text>
        <t xml:space="preserve">1x2.5" drive +
4x2.5" or 1x3.5" drive or 1x120mm fan or 1x120 rad at top</t>
      </text>
    </comment>
    <comment authorId="0" ref="W316">
      <text>
        <t xml:space="preserve">4x2.5" or 1x3.5" drive or 1x120mm fan or 1x120 rad at top</t>
      </text>
    </comment>
    <comment authorId="0" ref="AC316">
      <text>
        <t xml:space="preserve">4x2.5" or 1x3.5" drive or 1x120mm fan or 1x120 rad at top</t>
      </text>
    </comment>
    <comment authorId="0" ref="L317">
      <text>
        <t xml:space="preserve">40mm with no glass spacer
50mm with one glass spacer
60mm with two glass spacers</t>
      </text>
    </comment>
    <comment authorId="0" ref="Q317">
      <text>
        <t xml:space="preserve">40mm with no glass spacer
50mm with one glass spacer
55mm with two glass spacers</t>
      </text>
    </comment>
    <comment authorId="0" ref="AB318">
      <text>
        <t xml:space="preserve">Slim 15mm fans</t>
      </text>
    </comment>
    <comment authorId="0" ref="AK319">
      <text>
        <t xml:space="preserve">¥499 = advance payment
¥899 = standard price with glass panel
¥999 = aluminium panels</t>
      </text>
    </comment>
    <comment authorId="0" ref="AC323">
      <text>
        <t xml:space="preserve">1x120mm or 1x140mm at top</t>
      </text>
    </comment>
    <comment authorId="0" ref="AD323">
      <text>
        <t xml:space="preserve">1x120mm or 1x140mm at top</t>
      </text>
    </comment>
    <comment authorId="0" ref="T324">
      <text>
        <t xml:space="preserve">Include B660 1700 motherboard</t>
      </text>
    </comment>
    <comment authorId="0" ref="U324">
      <text>
        <t xml:space="preserve">Include 500W 80 Plus Bronze PSU</t>
      </text>
    </comment>
    <comment authorId="0" ref="V324">
      <text>
        <t xml:space="preserve">2x2.5" or 1x3.5" drives or 1x120mm fan</t>
      </text>
    </comment>
    <comment authorId="0" ref="W324">
      <text>
        <t xml:space="preserve">2x2.5" or 1x3.5" drives or 1x120mm fan</t>
      </text>
    </comment>
    <comment authorId="0" ref="AC324">
      <text>
        <t xml:space="preserve">2x2.5" or 1x3.5" drives or 1x120mm fan</t>
      </text>
    </comment>
    <comment authorId="0" ref="T325">
      <text>
        <t xml:space="preserve">Include X300 AM4 motherboard</t>
      </text>
    </comment>
    <comment authorId="0" ref="U325">
      <text>
        <t xml:space="preserve">Include 500W 80 Plus Bronze PSU</t>
      </text>
    </comment>
    <comment authorId="0" ref="V325">
      <text>
        <t xml:space="preserve">2x2.5" or 1x3.5" drives or 1x120mm fan</t>
      </text>
    </comment>
    <comment authorId="0" ref="W325">
      <text>
        <t xml:space="preserve">2x2.5" or 1x3.5" drives or 1x120mm fan</t>
      </text>
    </comment>
    <comment authorId="0" ref="AC325">
      <text>
        <t xml:space="preserve">2x2.5" or 1x3.5" drives or 1x120mm fan</t>
      </text>
    </comment>
    <comment authorId="0" ref="T326">
      <text>
        <t xml:space="preserve">Include X600 AM5 motherboard</t>
      </text>
    </comment>
    <comment authorId="0" ref="U326">
      <text>
        <t xml:space="preserve">Include 500W 80 Plus Bronze PSU</t>
      </text>
    </comment>
    <comment authorId="0" ref="V326">
      <text>
        <t xml:space="preserve">2x2.5" or 1x3.5" drives or 1x120mm fan</t>
      </text>
    </comment>
    <comment authorId="0" ref="W326">
      <text>
        <t xml:space="preserve">2x2.5" or 1x3.5" drives or 1x120mm fan</t>
      </text>
    </comment>
    <comment authorId="0" ref="AC326">
      <text>
        <t xml:space="preserve">2x2.5" or 1x3.5" drives or 1x120mm fan</t>
      </text>
    </comment>
    <comment authorId="0" ref="O328">
      <text>
        <t xml:space="preserve">Officially up to 324mm
335mm is possible but difficult to position</t>
      </text>
    </comment>
    <comment authorId="0" ref="P328">
      <text>
        <t xml:space="preserve">-133mm with standard inlet
-157mm with pigtail inlet</t>
      </text>
    </comment>
    <comment authorId="0" ref="T328">
      <text>
        <t xml:space="preserve">First revision not compatible with motherboards with integrated i/o shields and back/baseplates like Gigabyte X570I AORUS</t>
      </text>
    </comment>
    <comment authorId="0" ref="U328">
      <text>
        <t xml:space="preserve">SFX-L is supported but not recommended</t>
      </text>
    </comment>
    <comment authorId="0" ref="AC328">
      <text>
        <t xml:space="preserve">15mm thick</t>
      </text>
    </comment>
    <comment authorId="0" ref="AL328">
      <text>
        <t xml:space="preserve">+$20 for front IO
+$30 for 2xNoctua NF-A12x15
+$20 for handle
+$10 for vertical base plate</t>
      </text>
    </comment>
    <comment authorId="0" ref="M329">
      <text>
        <t xml:space="preserve">120 rad will reduce GPU length to 182mm</t>
      </text>
    </comment>
    <comment authorId="0" ref="W329">
      <text>
        <t xml:space="preserve">1x3.5" drive will reduce GPU length to 210mm</t>
      </text>
    </comment>
    <comment authorId="0" ref="AC329">
      <text>
        <t xml:space="preserve">for 120mm radiator</t>
      </text>
    </comment>
    <comment authorId="0" ref="W330">
      <text>
        <t xml:space="preserve">1x3.5" drive with GPU length of 180mm or less</t>
      </text>
    </comment>
    <comment authorId="0" ref="AA330">
      <text>
        <t xml:space="preserve">Slim 10mm fan</t>
      </text>
    </comment>
    <comment authorId="0" ref="AC330">
      <text>
        <t xml:space="preserve">Slim 15mm fan</t>
      </text>
    </comment>
    <comment authorId="0" ref="AB335">
      <text>
        <t xml:space="preserve">Slim 15mm fans</t>
      </text>
    </comment>
    <comment authorId="0" ref="M336">
      <text>
        <t xml:space="preserve">Case can be expanded with optional Large top hat to support 240mm AIO</t>
      </text>
    </comment>
    <comment authorId="0" ref="V337">
      <text>
        <t xml:space="preserve">1x2.5" drive with GPU
2x2.5" drives without GPU</t>
      </text>
    </comment>
    <comment authorId="0" ref="W337">
      <text>
        <t xml:space="preserve">1x2.5" drive with GPU
2x2.5" drives without GPU</t>
      </text>
    </comment>
    <comment authorId="0" ref="A339">
      <text>
        <t xml:space="preserve">Taobao Link:
https://shop127547001.world.taobao.com/</t>
      </text>
    </comment>
    <comment authorId="0" ref="B339">
      <text>
        <t xml:space="preserve">Taobao Link:
https://item.taobao.com/item.htm?id=626651889081</t>
      </text>
    </comment>
    <comment authorId="0" ref="L339">
      <text>
        <t xml:space="preserve">Comes with swappable backplates
A: CPU 48mm / GPU 59mm
B: CPU 53mm / GPU 54mm
C: CPU 57mm / GPU 50mm
D: CPU 61mm / GPU 46mm
E: CPU 65mm / GPU 42mm</t>
      </text>
    </comment>
    <comment authorId="0" ref="M339">
      <text>
        <t xml:space="preserve">Case can be expanded with optional  top hat to support 240mm AIO</t>
      </text>
    </comment>
    <comment authorId="0" ref="Q339">
      <text>
        <t xml:space="preserve">Comes with swappable backplates
A: CPU 48mm / GPU 59mm
B: CPU 53mm / GPU 54mm
C: CPU 57mm / GPU 50mm
D: CPU 61mm / GPU 46mm
E: CPU 65mm / GPU 42mm</t>
      </text>
    </comment>
    <comment authorId="0" ref="V339">
      <text>
        <t xml:space="preserve">2x2.5" drives or 1x120mm fan under PSU +
1x2.5" drive or 1x120mm slim 12mm fan below motherboard</t>
      </text>
    </comment>
    <comment authorId="0" ref="AC339">
      <text>
        <t xml:space="preserve">1x120mm fan or 2x2.5" drives below PSU +
1x120mm slim 12mm fan or 1x2.5" drive below motherboard +
1x120mm slim 15mm fan above PSU</t>
      </text>
    </comment>
    <comment authorId="0" ref="AB340">
      <text>
        <t xml:space="preserve">1x92mm slim 15mm fan at top +
1x92mm fan at rear</t>
      </text>
    </comment>
    <comment authorId="0" ref="AC340">
      <text>
        <t xml:space="preserve">optional 120mm bracket</t>
      </text>
    </comment>
    <comment authorId="0" ref="Z341">
      <text>
        <t xml:space="preserve">2x60mm slim 10mm fan + 
1x60mm fan</t>
      </text>
    </comment>
    <comment authorId="0" ref="A343">
      <text>
        <t xml:space="preserve">Taobao Link:
https://shop127547001.world.taobao.com/</t>
      </text>
    </comment>
    <comment authorId="0" ref="B343">
      <text>
        <t xml:space="preserve">Taobao Link:
https://item.taobao.com/item.htm?id=626651889081</t>
      </text>
    </comment>
    <comment authorId="0" ref="L343">
      <text>
        <t xml:space="preserve">Comes with swappable backplates
A: CPU 48mm / GPU 59mm
B: CPU 53mm / GPU 54mm
C: CPU 57mm / GPU 50mm
D: CPU 61mm / GPU 46mm
E: CPU 65mm / GPU 42mm</t>
      </text>
    </comment>
    <comment authorId="0" ref="M343">
      <text>
        <t xml:space="preserve">Case can be expanded with optional  top hat to support 240mm AIO</t>
      </text>
    </comment>
    <comment authorId="0" ref="Q343">
      <text>
        <t xml:space="preserve">Comes with swappable backplates
A: CPU 48mm / GPU 59mm
B: CPU 53mm / GPU 54mm
C: CPU 57mm / GPU 50mm
D: CPU 61mm / GPU 46mm
E: CPU 65mm / GPU 42mm</t>
      </text>
    </comment>
    <comment authorId="0" ref="V343">
      <text>
        <t xml:space="preserve">2x2.5" drives or 1x120mm fan under PSU +
1x2.5" drive or 1x120mm slim 12mm fan below motherboard</t>
      </text>
    </comment>
    <comment authorId="0" ref="AC343">
      <text>
        <t xml:space="preserve">1x120mm fan or 2x2.5" drives below PSU +
1x120mm slim 15mm fan or 1x2.5" drive below motherboard +
1x120mm slim 15mm fan above PSU</t>
      </text>
    </comment>
    <comment authorId="0" ref="B344">
      <text>
        <t xml:space="preserve">HZmod Link:
https://item.taobao.com/item.htm?id=619073286804</t>
      </text>
    </comment>
    <comment authorId="0" ref="L344">
      <text>
        <t xml:space="preserve">Optional versions with:
58mm CPU / 54mm GPU
49mm CPU / 60mm GPU
Request in the order notes to order</t>
      </text>
    </comment>
    <comment authorId="0" ref="M344">
      <text>
        <t xml:space="preserve">Case can be expanded with an optional top hat to support 240mm AIO</t>
      </text>
    </comment>
    <comment authorId="0" ref="Q344">
      <text>
        <t xml:space="preserve">Optional versions with:
58mm CPU / 54mm GPU
49mm CPU / 60mm GPU
Request in the order notes to order</t>
      </text>
    </comment>
    <comment authorId="0" ref="AK345">
      <text>
        <t xml:space="preserve">¥288 with riser cable</t>
      </text>
    </comment>
    <comment authorId="0" ref="B347">
      <text>
        <t xml:space="preserve">Aliexpress link:
https://www.aliexpress.com/item/4000592513741.html
JD link:
https://item.jd.com/100005333562.html</t>
      </text>
    </comment>
    <comment authorId="0" ref="B348">
      <text>
        <t xml:space="preserve">Amazon link:
https://www.amazon.com/LOUQE-Ghost-Limestone-Mini-ITX-Computer/dp/B088QTJMKW/</t>
      </text>
    </comment>
    <comment authorId="0" ref="M348">
      <text>
        <t xml:space="preserve">Case can be expanded with optional Large top hat to support 240mm AIO</t>
      </text>
    </comment>
    <comment authorId="0" ref="V348">
      <text>
        <t xml:space="preserve">3x2.5" drives or 1x120mm case fan</t>
      </text>
    </comment>
    <comment authorId="0" ref="AC348">
      <text>
        <t xml:space="preserve">3x2.5" drives or 1x120mm case fan</t>
      </text>
    </comment>
    <comment authorId="0" ref="M349">
      <text>
        <t xml:space="preserve">Case can be expanded with an optional top hat to support 240mm AIO</t>
      </text>
    </comment>
    <comment authorId="0" ref="AC349">
      <text>
        <t xml:space="preserve">2.5" drives or 1x120mm case fan</t>
      </text>
    </comment>
    <comment authorId="0" ref="M350">
      <text>
        <t xml:space="preserve">Case can be expanded with an optional top hat to support 240mm AIO</t>
      </text>
    </comment>
    <comment authorId="0" ref="AC350">
      <text>
        <t xml:space="preserve">2x2.5" drives or 1x120mm case fan</t>
      </text>
    </comment>
    <comment authorId="0" ref="M351">
      <text>
        <t xml:space="preserve">Case can be expanded with an optional top hat to support 240mm AIO</t>
      </text>
    </comment>
    <comment authorId="0" ref="AC351">
      <text>
        <t xml:space="preserve">2x2.5" drives or 1x120mm case fan</t>
      </text>
    </comment>
    <comment authorId="0" ref="AB352">
      <text>
        <t xml:space="preserve">2x92mm or 1x120mm slim 15mm case fan</t>
      </text>
    </comment>
    <comment authorId="0" ref="AC352">
      <text>
        <t xml:space="preserve">2x92mm or 1x120mm slim 15mm case fan</t>
      </text>
    </comment>
    <comment authorId="0" ref="AB354">
      <text>
        <t xml:space="preserve">2x92mm or 1x120mm or 1x140mm at top</t>
      </text>
    </comment>
    <comment authorId="0" ref="AA355">
      <text>
        <t xml:space="preserve">15mm slim fan</t>
      </text>
    </comment>
    <comment authorId="0" ref="AC355">
      <text>
        <t xml:space="preserve">15mm slim fan</t>
      </text>
    </comment>
    <comment authorId="0" ref="V356">
      <text>
        <t xml:space="preserve">1x2.5" drive without bracket
3x2.5" drives with bracket</t>
      </text>
    </comment>
    <comment authorId="0" ref="AB356">
      <text>
        <t xml:space="preserve">Slim 15mm fans</t>
      </text>
    </comment>
    <comment authorId="0" ref="V359">
      <text>
        <t xml:space="preserve">3x2.5" drives or 1x120mm fan at drive bay</t>
      </text>
    </comment>
    <comment authorId="0" ref="AC359">
      <text>
        <t xml:space="preserve">2x120m slim 15mm fans at top +
1x120mm or 3x2.5" drives at drive bay</t>
      </text>
    </comment>
    <comment authorId="0" ref="M361">
      <text>
        <t xml:space="preserve">240mm AIO only fit one 120mm fan</t>
      </text>
    </comment>
    <comment authorId="0" ref="W361">
      <text>
        <t xml:space="preserve">1x3.5" drive or 1x120mm fan at top</t>
      </text>
    </comment>
    <comment authorId="0" ref="AC361">
      <text>
        <t xml:space="preserve">2x120mm fans or 
1x120mm fan + 1x3.5" drive at top</t>
      </text>
    </comment>
    <comment authorId="0" ref="L362">
      <text>
        <t xml:space="preserve">can be increased to 47mm by changing the included 8mm motherboard standoffs to 6mm standoffs</t>
      </text>
    </comment>
    <comment authorId="0" ref="M362">
      <text>
        <t xml:space="preserve">240mm AIO only fit one 120mm fan</t>
      </text>
    </comment>
    <comment authorId="0" ref="W362">
      <text>
        <t xml:space="preserve">1x3.5" drive or 1x120mm fan at top</t>
      </text>
    </comment>
    <comment authorId="0" ref="AC362">
      <text>
        <t xml:space="preserve">2x120mm fans or 
1x120mm fan + 1x3.5" drive at top</t>
      </text>
    </comment>
    <comment authorId="0" ref="V363">
      <text>
        <t xml:space="preserve">2x2.5" or 1x3.5" drives</t>
      </text>
    </comment>
    <comment authorId="0" ref="W363">
      <text>
        <t xml:space="preserve">2x2.5" or 1x3.5" drives</t>
      </text>
    </comment>
    <comment authorId="0" ref="AC363">
      <text>
        <t xml:space="preserve">1x120mm or 1x140mm fan</t>
      </text>
    </comment>
    <comment authorId="0" ref="AD363">
      <text>
        <t xml:space="preserve">1x120mm or 1x140mm fan</t>
      </text>
    </comment>
    <comment authorId="0" ref="AH363">
      <text>
        <t xml:space="preserve">Optional</t>
      </text>
    </comment>
    <comment authorId="0" ref="AI363">
      <text>
        <t xml:space="preserve">Optional</t>
      </text>
    </comment>
    <comment authorId="0" ref="AJ363">
      <text>
        <t xml:space="preserve">Optional</t>
      </text>
    </comment>
    <comment authorId="0" ref="M364">
      <text>
        <t xml:space="preserve">up to 55mm radiator + fan thickness</t>
      </text>
    </comment>
    <comment authorId="0" ref="U365">
      <text>
        <t xml:space="preserve">250W FlexATX Unit Included</t>
      </text>
    </comment>
    <comment authorId="0" ref="W365">
      <text>
        <t xml:space="preserve">Hot Swap Drive Bays</t>
      </text>
    </comment>
    <comment authorId="0" ref="U366">
      <text>
        <t xml:space="preserve">250W FlexATX Unit Included</t>
      </text>
    </comment>
    <comment authorId="0" ref="W366">
      <text>
        <t xml:space="preserve">Hot Swap Drive Bays</t>
      </text>
    </comment>
    <comment authorId="0" ref="M367">
      <text>
        <t xml:space="preserve">Case can be expanded with an optional top hat "Stack" to support 120/240mm AIO</t>
      </text>
    </comment>
    <comment authorId="0" ref="O367">
      <text>
        <t xml:space="preserve">197mm when using 2.5" drive bracket
300mm when not using 2.5" drive bracket</t>
      </text>
    </comment>
    <comment authorId="0" ref="AC370">
      <text>
        <t xml:space="preserve">15mm slim fan</t>
      </text>
    </comment>
    <comment authorId="0" ref="AA374">
      <text>
        <t xml:space="preserve">1x80mm at rear +
2x80mm slim 10mm fan on top</t>
      </text>
    </comment>
    <comment authorId="0" ref="AB375">
      <text>
        <t xml:space="preserve">Slim 15mm fan</t>
      </text>
    </comment>
    <comment authorId="0" ref="AC375">
      <text>
        <t xml:space="preserve"> Slim 15mm fan</t>
      </text>
    </comment>
    <comment authorId="0" ref="M376">
      <text>
        <t xml:space="preserve">Case can be expanded with an optional top hat to support 240mm AIO</t>
      </text>
    </comment>
    <comment authorId="0" ref="B378">
      <text>
        <t xml:space="preserve">Aliexpress link:
https://www.aliexpress.com/item/10000234846219.html</t>
      </text>
    </comment>
    <comment authorId="0" ref="A379">
      <text>
        <t xml:space="preserve">Website:
https://zscases.com/</t>
      </text>
    </comment>
    <comment authorId="0" ref="C379">
      <text>
        <t xml:space="preserve">GPU is placed in front of the motherboard</t>
      </text>
    </comment>
    <comment authorId="0" ref="B380">
      <text>
        <t xml:space="preserve">Formerly K66 V2</t>
      </text>
    </comment>
    <comment authorId="0" ref="V381">
      <text>
        <t xml:space="preserve">More via 3D printed accessory</t>
      </text>
    </comment>
    <comment authorId="0" ref="AA381">
      <text>
        <t xml:space="preserve">1x80mm or 92mm at rear</t>
      </text>
    </comment>
    <comment authorId="0" ref="AB381">
      <text>
        <t xml:space="preserve">1x80mm or 92mm at rear</t>
      </text>
    </comment>
    <comment authorId="0" ref="AC381">
      <text>
        <t xml:space="preserve">1x120mm or 140mm at side panel</t>
      </text>
    </comment>
    <comment authorId="0" ref="AD381">
      <text>
        <t xml:space="preserve">1x120mm or 140mm at side panel</t>
      </text>
    </comment>
    <comment authorId="0" ref="A382">
      <text>
        <t xml:space="preserve">Taobao store:
https://shop148102602.world.taobao.com/</t>
      </text>
    </comment>
    <comment authorId="0" ref="B382">
      <text>
        <t xml:space="preserve">Taobao store:
https://item.taobao.com/item.htm?id=643147296746</t>
      </text>
    </comment>
    <comment authorId="0" ref="L382">
      <text>
        <t xml:space="preserve">Adjustable from 50.5mm to 92mm</t>
      </text>
    </comment>
    <comment authorId="0" ref="Q382">
      <text>
        <t xml:space="preserve">Adjustable from 21mm to 68mm</t>
      </text>
    </comment>
    <comment authorId="0" ref="AC382">
      <text>
        <t xml:space="preserve">Slim 15mm fans</t>
      </text>
    </comment>
    <comment authorId="0" ref="AB384">
      <text>
        <t xml:space="preserve">1x92mm at rear +
2x92mm at top</t>
      </text>
    </comment>
    <comment authorId="0" ref="AB385">
      <text>
        <t xml:space="preserve">1x92mm at top +
1x92mm at rear +
2x92mm slim 15mm at bottom</t>
      </text>
    </comment>
    <comment authorId="0" ref="V386">
      <text>
        <t xml:space="preserve">3x2.5" or 1x3.5" drives</t>
      </text>
    </comment>
    <comment authorId="0" ref="W386">
      <text>
        <t xml:space="preserve">3x2.5" or 1x3.5" drives</t>
      </text>
    </comment>
    <comment authorId="0" ref="Z386">
      <text>
        <t xml:space="preserve">2x60mm or 1x80mm case fan in back panel</t>
      </text>
    </comment>
    <comment authorId="0" ref="AA386">
      <text>
        <t xml:space="preserve">2x60mm or 1x80mm case fan in back panel</t>
      </text>
    </comment>
    <comment authorId="0" ref="AG387">
      <text>
        <t xml:space="preserve">2xUSB 2.0 or 2xUSB3 3.2 Gen 1 ports</t>
      </text>
    </comment>
    <comment authorId="0" ref="AH387">
      <text>
        <t xml:space="preserve">2xUSB 2.0 or 2xUSB3 3.2 Gen 1 ports</t>
      </text>
    </comment>
    <comment authorId="0" ref="B389">
      <text>
        <t xml:space="preserve">Amazon link:
https://www.amazon.com/LOUQE-Ghost-Limestone-Mini-ITX-Computer/dp/B088QTJMKW/</t>
      </text>
    </comment>
    <comment authorId="0" ref="M389">
      <text>
        <t xml:space="preserve">Case can be expanded with optional Large top hat to support 240mm AIO</t>
      </text>
    </comment>
    <comment authorId="0" ref="V389">
      <text>
        <t xml:space="preserve">3x2.5" drives or 1x120mm case fan +
2x2.5" drives or 2x120mm slim 15mm case fans</t>
      </text>
    </comment>
    <comment authorId="0" ref="AC389">
      <text>
        <t xml:space="preserve">3x2.5" drives or 1x120mm fan +
2x2.5" drives or 2x120mm slim 15mm fans</t>
      </text>
    </comment>
    <comment authorId="0" ref="L391">
      <text>
        <t xml:space="preserve">120mm with case fan in the side panel
147mm without case fan</t>
      </text>
    </comment>
    <comment authorId="0" ref="AA391">
      <text>
        <t xml:space="preserve">case fan will reduce CPU cooler height to approximately 120mm depending on case fan thickness</t>
      </text>
    </comment>
    <comment authorId="0" ref="Y396">
      <text>
        <t xml:space="preserve">2x40mm or 1x80mm case fan on the bottom</t>
      </text>
    </comment>
    <comment authorId="0" ref="AA396">
      <text>
        <t xml:space="preserve">2x40mm or 1x80mm case fan on the bottom</t>
      </text>
    </comment>
    <comment authorId="0" ref="AD396">
      <text>
        <t xml:space="preserve">15mm slim fan</t>
      </text>
    </comment>
    <comment authorId="0" ref="W397">
      <text>
        <t xml:space="preserve">1x3.5" drive or 1x120mm or 1x140mm fan</t>
      </text>
    </comment>
    <comment authorId="0" ref="AC397">
      <text>
        <t xml:space="preserve">1x120mm or 1x140mm fan</t>
      </text>
    </comment>
    <comment authorId="0" ref="AD397">
      <text>
        <t xml:space="preserve">1x3.5" drive or 1x120mm or 1x140mm fan</t>
      </text>
    </comment>
    <comment authorId="0" ref="U400">
      <text>
        <t xml:space="preserve">3x2.5" drives with SFX PSU
1x2.5" drive with SFX-L PSU</t>
      </text>
    </comment>
    <comment authorId="0" ref="V400">
      <text>
        <t xml:space="preserve">3x2.5" drives with SFX PSU
1x2.5" drive with SFX-L PSU</t>
      </text>
    </comment>
    <comment authorId="0" ref="M401">
      <text>
        <t xml:space="preserve">92mm AIO will reduce GPU length to 270mm
120mm AIO will reduce GPU length to 245mm</t>
      </text>
    </comment>
    <comment authorId="0" ref="O401">
      <text>
        <t xml:space="preserve">245mm with 120mm AIO &amp; SFX PSU
268mm with 3.5" drive &amp; SFX PSU
270mm with 92mm AIO &amp; SFX PSU
280mm with 2.5" drive &amp; TFX PSU
300mm with 2.5" drive &amp; SFX/Flex PSU
370mm without 2.5" drive &amp; SFX/Flex PSU</t>
      </text>
    </comment>
    <comment authorId="0" ref="P401">
      <text>
        <t xml:space="preserve">115mm with PCIe slot in 2nd position
127mm with mITX and &gt;2-slot GPU
134mm with mITX and 2-slot GPU
134mm with mDTX/mATX/ATX/E-ATX with PCIe slot in 1st position</t>
      </text>
    </comment>
    <comment authorId="0" ref="Q401">
      <text>
        <t xml:space="preserve">62mm with mITX
42mm with mDTX/mATX/ATX/E-ATX</t>
      </text>
    </comment>
    <comment authorId="0" ref="T401">
      <text>
        <t xml:space="preserve">E-ATX up to 305x270 with 92mm AIO
E-ATX up to 305x280 with TFX PSU
E-ATX up to 305x285 with Flex ATX PSU
</t>
      </text>
    </comment>
    <comment authorId="0" ref="B405">
      <text>
        <t xml:space="preserve">Aliexpress link:
https://www.aliexpress.com/item/10000218146300.html</t>
      </text>
    </comment>
    <comment authorId="0" ref="M409">
      <text>
        <t xml:space="preserve">One 3.5" drive and one 2.5" drive mount share the space with the 120mm AIO mount, When using the 120mm AIO mount GPU length is limited to 210mm</t>
      </text>
    </comment>
    <comment authorId="0" ref="V409">
      <text>
        <t xml:space="preserve">5x2.5", 2x3.5", or 1x3.5" + 4x2.5" drives
Two 2.5" drive mounts underneath the PSU have a height restriction of 8mm, Only the two 2.5" mounts underneath the PSU can be used when all 3 PCIe slots are in use
One 3.5" drive and one 2.5" drive mount share the space with the 120mm AIO mount, When using the 120mm AIO mount GPU length is limited to 210mm</t>
      </text>
    </comment>
    <comment authorId="0" ref="W409">
      <text>
        <t xml:space="preserve">5x2.5", 2x3.5", or 1x3.5" + 4x2.5" drives
Two 2.5" drive mounts underneath the PSU have a height restriction of 8mm, Only the two 2.5" mounts underneath the PSU can be used when all 3 PCIe slots are in use
One 3.5" drive and one 2.5" drive mount share the space with the 120mm AIO mount, When using the 120mm AIO mount GPU length is limited to 210mm</t>
      </text>
    </comment>
    <comment authorId="0" ref="Z409">
      <text>
        <t xml:space="preserve">3x60mm or 3x70mm up to 25mm in depth.
3x70mmx15mm slim fans are included
When using 25mm deep fans the internal power extension could provide interference, When using 25mm deep fans 2x2.5" drive mounts and 1x3.5" drive mount will be unusable</t>
      </text>
    </comment>
    <comment authorId="0" ref="L410">
      <text>
        <t xml:space="preserve">70mm with 2 PCIe slots
50mm with 3 PCIe slots
</t>
      </text>
    </comment>
    <comment authorId="0" ref="M410">
      <text>
        <t xml:space="preserve">Limited support for 240mm AIO. Only LT240 will officially fit with modifications or custom watercooling. Refer to Useful Links for more information</t>
      </text>
    </comment>
    <comment authorId="0" ref="Q410">
      <text>
        <t xml:space="preserve">40mm with 2 PCIe slots
60mm with 3 PCIe slots</t>
      </text>
    </comment>
    <comment authorId="0" ref="R410">
      <text>
        <t xml:space="preserve">Adjustable to 2 or 3 slots</t>
      </text>
    </comment>
    <comment authorId="0" ref="AC411">
      <text>
        <t xml:space="preserve">Slim 15mm fan</t>
      </text>
    </comment>
    <comment authorId="0" ref="W413">
      <text>
        <t xml:space="preserve">Hot Swap Drive Bays</t>
      </text>
    </comment>
    <comment authorId="0" ref="B417">
      <text>
        <t xml:space="preserve">Aliexpress link
https://www.aliexpress.com/item/4000267241548.html</t>
      </text>
    </comment>
    <comment authorId="0" ref="B419">
      <text>
        <t xml:space="preserve">Amazon link:
https://www.amazon.com/LOUQE-Ghost-Limestone-Mini-ITX-Computer/dp/B088QTJMKW/</t>
      </text>
    </comment>
    <comment authorId="0" ref="M419">
      <text>
        <t xml:space="preserve">Case can be expanded with optional Large top hat to support 240mm AIO</t>
      </text>
    </comment>
    <comment authorId="0" ref="V419">
      <text>
        <t xml:space="preserve">3x2.5" drives or 1x120mm case fan +
2x2.5" or 2x3.5" drives or 2x120mm case fans</t>
      </text>
    </comment>
    <comment authorId="0" ref="W419">
      <text>
        <t xml:space="preserve">2x2.5 or 2x3.5" drives or 2x120mm case fans</t>
      </text>
    </comment>
    <comment authorId="0" ref="AC419">
      <text>
        <t xml:space="preserve">3x2.5" drives or 1x120mm case fan +
2x2.5" or 3.5" drives or 2x120mm case fans</t>
      </text>
    </comment>
    <comment authorId="0" ref="V420">
      <text>
        <t xml:space="preserve">1x2.5" drive or 1x92mm fan or 1x120mm fan below PSU +
2x2.5" drives or 1x120mm slim 15mm fan below motherboard</t>
      </text>
    </comment>
    <comment authorId="0" ref="AB420">
      <text>
        <t xml:space="preserve">1x92mm or 1x120mm fan or 1x2.5" drive below PSU</t>
      </text>
    </comment>
    <comment authorId="0" ref="AC420">
      <text>
        <t xml:space="preserve">2x120mm slim 15mm fans on top +
2x120mm slim 15mm fans or 1x92mm fan or 2x2.5" drives on bottom</t>
      </text>
    </comment>
    <comment authorId="0" ref="M421">
      <text>
        <t xml:space="preserve">Requires 92mm or 120mm AIO adapter plate 
120mm radiator will reduce GPU length to 187mm</t>
      </text>
    </comment>
    <comment authorId="0" ref="O421">
      <text>
        <t xml:space="preserve">187mm with 120mm radiator
305mm without 120mm radiator</t>
      </text>
    </comment>
    <comment authorId="0" ref="P421">
      <text>
        <t xml:space="preserve">133mm with standard inlet
157mm with pigtail inlet</t>
      </text>
    </comment>
    <comment authorId="0" ref="U421">
      <text>
        <t xml:space="preserve">SFX-L is supported but not recommended</t>
      </text>
    </comment>
    <comment authorId="0" ref="V421">
      <text>
        <t xml:space="preserve">2x2.5" drives behind front panel +
2x (4x2.5" or 1x3.5" or 1x120mm case fan)</t>
      </text>
    </comment>
    <comment authorId="0" ref="W421">
      <text>
        <t xml:space="preserve">2x (4x2.5" or 1x3.5" or 1x120mm case fan)</t>
      </text>
    </comment>
    <comment authorId="0" ref="AC421">
      <text>
        <t xml:space="preserve">2x (4x2.5" or 1x3.5" or 1x120mm case fan)</t>
      </text>
    </comment>
    <comment authorId="0" ref="AL421">
      <text>
        <t xml:space="preserve">+$10 for white color
+$79 for bifurcation riser
+$8 for both PSU inlet options
+$10 for 92mm AIO adapter plate
+$90 for 92mm AIO adapter plate and Asetek 645LT AIO
+$10 for one 4x2.5" bracket
+$10 for one 1x3.5" bracket</t>
      </text>
    </comment>
    <comment authorId="0" ref="M422">
      <text>
        <t xml:space="preserve">240mm radiator only fits one fan</t>
      </text>
    </comment>
    <comment authorId="0" ref="V423">
      <text>
        <t xml:space="preserve">2x2.5" drives or 1x92mm case fan</t>
      </text>
    </comment>
    <comment authorId="0" ref="AB423">
      <text>
        <t xml:space="preserve">2x92mm top case fans +
1x92mm case fan or 2x2.5" drives</t>
      </text>
    </comment>
    <comment authorId="0" ref="V425">
      <text>
        <t xml:space="preserve">3x2.5" drives or
2x2.5" + 1x3.5" drives</t>
      </text>
    </comment>
    <comment authorId="0" ref="W425">
      <text>
        <t xml:space="preserve">3x2.5" drives or
2x2.5" + 1x3.5" drives</t>
      </text>
    </comment>
    <comment authorId="0" ref="AA425">
      <text>
        <t xml:space="preserve">2x80mm or 1x92mm fans</t>
      </text>
    </comment>
    <comment authorId="0" ref="AB425">
      <text>
        <t xml:space="preserve">2x80mm or 1x92mm fans</t>
      </text>
    </comment>
    <comment authorId="0" ref="B427">
      <text>
        <t xml:space="preserve">Formerly K55 pro</t>
      </text>
    </comment>
    <comment authorId="0" ref="AC427">
      <text>
        <t xml:space="preserve">2x120mm or 2x140mm fans</t>
      </text>
    </comment>
    <comment authorId="0" ref="AD427">
      <text>
        <t xml:space="preserve">2x120mm or 2x140mm fans</t>
      </text>
    </comment>
    <comment authorId="0" ref="AC428">
      <text>
        <t xml:space="preserve">2x120mm slim 15mm fan on top +
1x120mm slim 15mm fan on bottom</t>
      </text>
    </comment>
    <comment authorId="0" ref="B429">
      <text>
        <t xml:space="preserve">replaced by M99 V3</t>
      </text>
    </comment>
    <comment authorId="0" ref="L430">
      <text>
        <t xml:space="preserve">A: 64.62mm
B: 52.62mm</t>
      </text>
    </comment>
    <comment authorId="0" ref="Q430">
      <text>
        <t xml:space="preserve">A: 43mm
B: 55mm</t>
      </text>
    </comment>
    <comment authorId="0" ref="AG432">
      <text>
        <t xml:space="preserve">2xUSB 2.0 or 2xUSB 3.2 Gen 1 ports</t>
      </text>
    </comment>
    <comment authorId="0" ref="AH432">
      <text>
        <t xml:space="preserve">2xUSB 2.0 or 2xUSB 3.2 Gen 1 ports</t>
      </text>
    </comment>
    <comment authorId="0" ref="AG433">
      <text>
        <t xml:space="preserve">2xUSB 2.0 or 2xUSB 3.2 Gen 1 ports</t>
      </text>
    </comment>
    <comment authorId="0" ref="AH433">
      <text>
        <t xml:space="preserve">2xUSB 2.0 or 2xUSB 3.2 Gen 1 ports</t>
      </text>
    </comment>
    <comment authorId="0" ref="L434">
      <text>
        <t xml:space="preserve">A: 66mm
B: 51mm</t>
      </text>
    </comment>
    <comment authorId="0" ref="M434">
      <text>
        <t xml:space="preserve">Case can be expanded with optional  top hat to support 240mm AIO</t>
      </text>
    </comment>
    <comment authorId="0" ref="Q434">
      <text>
        <t xml:space="preserve">A: 40mm
B: 56mm</t>
      </text>
    </comment>
    <comment authorId="0" ref="O436">
      <text>
        <t xml:space="preserve">315mm with slim 15mm fan for AIO</t>
      </text>
    </comment>
    <comment authorId="0" ref="A437">
      <text>
        <t xml:space="preserve">Taobao Link:
https://shop127547001.world.taobao.com/</t>
      </text>
    </comment>
    <comment authorId="0" ref="B437">
      <text>
        <t xml:space="preserve">Taobao Link:
https://item.taobao.com/item.htm?id=626651889081</t>
      </text>
    </comment>
    <comment authorId="0" ref="L437">
      <text>
        <t xml:space="preserve">Comes with swappable backplates
A: CPU 48mm / GPU 59mm
B: CPU 53mm / GPU 54mm
C: CPU 57mm / GPU 50mm
D: CPU 61mm / GPU 46mm
E: CPU 65mm / GPU 42mm</t>
      </text>
    </comment>
    <comment authorId="0" ref="M437">
      <text>
        <t xml:space="preserve">Case can be expanded with optional  top hat to support 240mm AIO</t>
      </text>
    </comment>
    <comment authorId="0" ref="Q437">
      <text>
        <t xml:space="preserve">Comes with swappable backplates
A: CPU 48mm / GPU 59mm
B: CPU 53mm / GPU 54mm
C: CPU 57mm / GPU 50mm
D: CPU 61mm / GPU 46mm
E: CPU 65mm / GPU 42mm</t>
      </text>
    </comment>
    <comment authorId="0" ref="V437">
      <text>
        <t xml:space="preserve">2x2.5" drives or 1x120mm fan under PSU +
1x2.5" drive or 1x120mm slim 12mm fan below motherboard</t>
      </text>
    </comment>
    <comment authorId="0" ref="AC437">
      <text>
        <t xml:space="preserve">1x120mm fan or 2x2.5" drives below PSU +
1x120mm slim 12mm fan or 1x2.5" drive below motherboard +
1x120mm slim 15mm fan above PSU</t>
      </text>
    </comment>
    <comment authorId="0" ref="AC438">
      <text>
        <t xml:space="preserve">2x120mm or 2x140mm slim 15mm case fans</t>
      </text>
    </comment>
    <comment authorId="0" ref="AD438">
      <text>
        <t xml:space="preserve">2x120mm or 2x140mm slim 15mm case fans</t>
      </text>
    </comment>
    <comment authorId="0" ref="B441">
      <text>
        <t xml:space="preserve">Taobao link:
https://item.taobao.com/item.htm?id=524390185071</t>
      </text>
    </comment>
    <comment authorId="0" ref="V441">
      <text>
        <t xml:space="preserve">2x2.5" drives or 1x92mm case fan</t>
      </text>
    </comment>
    <comment authorId="0" ref="AB441">
      <text>
        <t xml:space="preserve">2x92mm top case fans +
1x92mm case fan or 2x2.5" drives</t>
      </text>
    </comment>
    <comment authorId="0" ref="AL441">
      <text>
        <t xml:space="preserve">+$20 for riser cable</t>
      </text>
    </comment>
    <comment authorId="0" ref="AB442">
      <text>
        <t xml:space="preserve">Slim 15mm fans</t>
      </text>
    </comment>
    <comment authorId="0" ref="B443">
      <text>
        <t xml:space="preserve">Aliexpress link:
https://www.aliexpress.com/item/1005001623549219.html</t>
      </text>
    </comment>
    <comment authorId="0" ref="AA443">
      <text>
        <t xml:space="preserve">2x80mm or 1x120mm slim 15mm at top +
2x80mm or 1x120mm at bottom</t>
      </text>
    </comment>
    <comment authorId="0" ref="AC443">
      <text>
        <t xml:space="preserve">2x80mm or 1x120mm slim 15mm at top +
2x80mm or 1x120mm at bottom</t>
      </text>
    </comment>
    <comment authorId="0" ref="AH443">
      <text>
        <t xml:space="preserve">1xUSB 3.0 + 1xUSB-C or
2xUSB 3.0</t>
      </text>
    </comment>
    <comment authorId="0" ref="AI443">
      <text>
        <t xml:space="preserve">1xUSB 3.0 + 1xUSB-C or
2xUSB 3.0</t>
      </text>
    </comment>
    <comment authorId="0" ref="O444">
      <text>
        <t xml:space="preserve">175mm with front fan
195mm without front fan</t>
      </text>
    </comment>
    <comment authorId="0" ref="AA444">
      <text>
        <t xml:space="preserve">2x80mm at rear</t>
      </text>
    </comment>
    <comment authorId="0" ref="AC444">
      <text>
        <t xml:space="preserve">1x120mm at bottom +
2x120mm or 1x120mm+1x140mm at front</t>
      </text>
    </comment>
    <comment authorId="0" ref="AD444">
      <text>
        <t xml:space="preserve">2x120mm or 1x120mm+1x140mm at front</t>
      </text>
    </comment>
    <comment authorId="0" ref="M445">
      <text>
        <t xml:space="preserve">240mm or 280 radiator requires a separate kit</t>
      </text>
    </comment>
    <comment authorId="0" ref="AC445">
      <text>
        <t xml:space="preserve">2x120mm fans at bottom +
2x120mm or 2x140mm fans at side</t>
      </text>
    </comment>
    <comment authorId="0" ref="AD445">
      <text>
        <t xml:space="preserve">2x120mm or 2x140mm fans at side</t>
      </text>
    </comment>
    <comment authorId="0" ref="AI445">
      <text>
        <t xml:space="preserve">Optional upgrade kit</t>
      </text>
    </comment>
    <comment authorId="0" ref="L446">
      <text>
        <t xml:space="preserve">48mm with 3.25-Slot GPU
53mm with 3-Slot GPU
58mm with 2.75-Slot GPU
63mm with 2.5-Slot GPU
68mm with 2.25-Slot GPU
73mm with 2-Slot GPU
78mm with 1.75-Slot GPU
83mm with 1.5-Slot GPU
88mm with 1.25-Slot GPU
</t>
      </text>
    </comment>
    <comment authorId="0" ref="M446">
      <text>
        <t xml:space="preserve">Support 46mm under the mobo for Radiator + Fan:
-20.5mm TX240 radiator + dual 25mm thick fans
-27 or 30mm thick radiator + dual 15mm slim fans
-27 or 30mm thick radiator + single 25mm thick fan and single 15mm fan
Support dual TX240 240mm radiator setup, with 48mm CPU cooler height left for Pump &amp; Res CPU Block
280mm Radiator support, specifically HWL Nemesis 280GTS. Due to the longer tubing length, 280 AIO is not recommended
dual 240mm or 240mm + 280mm radiator setup requires a separate kit
</t>
      </text>
    </comment>
    <comment authorId="0" ref="Q446">
      <text>
        <t xml:space="preserve">48mm with 3.25-Slot GPU
53mm with 3-Slot GPU
58mm with 2.75-Slot GPU
63mm with 2.5-Slot GPU
68mm with 2.25-Slot GPU
73mm with 2-Slot GPU
78mm with 1.75-Slot GPU
83mm with 1.5-Slot GPU
88mm with 1.25-Slot GPU</t>
      </text>
    </comment>
    <comment authorId="0" ref="R446">
      <text>
        <t xml:space="preserve">Adjustable at 0.25 increments</t>
      </text>
    </comment>
    <comment authorId="0" ref="AC446">
      <text>
        <t xml:space="preserve">2x120mm fans at top +
2x120mm or 2x140mm fans at side</t>
      </text>
    </comment>
    <comment authorId="0" ref="AD446">
      <text>
        <t xml:space="preserve">2x120mm or 2x140mm fans at side</t>
      </text>
    </comment>
    <comment authorId="0" ref="AI446">
      <text>
        <t xml:space="preserve">Optional upgrade kit</t>
      </text>
    </comment>
    <comment authorId="0" ref="L447">
      <text>
        <t xml:space="preserve">48mm with 3.25-Slot GPU
53mm with 3-Slot GPU
58mm with 2.75-Slot GPU
63mm with 2.5-Slot GPU
68mm with 2.25-Slot GPU
73mm with 2-Slot GPU
78mm with 1.75-Slot GPU
83mm with 1.5-Slot GPU
88mm with 1.25-Slot GPU
</t>
      </text>
    </comment>
    <comment authorId="0" ref="M447">
      <text>
        <t xml:space="preserve">Support 46mm under the mobo for Radiator + Fan:
-20.5mm TX240 radiator + dual 25mm thick fans
-27 or 30mm thick radiator + dual 15mm slim fans
-27 or 30mm thick radiator + single 25mm thick fan and single 15mm fan
Support dual TX240 240mm radiator setup, with 48mm CPU cooler height left for Pump &amp; Res CPU Block
280mm Radiator support, specifically HWL Nemesis 280GTS. Due to the longer tubing length, 280 AIO is not recommended
dual 240mm or 240mm + 280mm radiator setup requires a separate kit
</t>
      </text>
    </comment>
    <comment authorId="0" ref="Q447">
      <text>
        <t xml:space="preserve">48mm with 3.25-Slot GPU
53mm with 3-Slot GPU
58mm with 2.75-Slot GPU
63mm with 2.5-Slot GPU
68mm with 2.25-Slot GPU
73mm with 2-Slot GPU
78mm with 1.75-Slot GPU
83mm with 1.5-Slot GPU
88mm with 1.25-Slot GPU</t>
      </text>
    </comment>
    <comment authorId="0" ref="R447">
      <text>
        <t xml:space="preserve">Adjustable at 0.25 increments</t>
      </text>
    </comment>
    <comment authorId="0" ref="AC447">
      <text>
        <t xml:space="preserve">2x120mm fans at top +
2x120mm or 2x140mm fans at side</t>
      </text>
    </comment>
    <comment authorId="0" ref="AD447">
      <text>
        <t xml:space="preserve">2x120mm or 2x140mm fans at side</t>
      </text>
    </comment>
    <comment authorId="0" ref="AI447">
      <text>
        <t xml:space="preserve">Optional upgrade kit</t>
      </text>
    </comment>
    <comment authorId="0" ref="Y448">
      <text>
        <t xml:space="preserve">2x40mm or 1x80mm case fan on the bottom</t>
      </text>
    </comment>
    <comment authorId="0" ref="AA448">
      <text>
        <t xml:space="preserve">2x40mm or 1x80mm case fan on the bottom</t>
      </text>
    </comment>
    <comment authorId="0" ref="AD448">
      <text>
        <t xml:space="preserve">15mm slim fan</t>
      </text>
    </comment>
    <comment authorId="0" ref="B449">
      <text>
        <t xml:space="preserve">Aliexpress Link:
https://www.aliexpress.com/item/1005002265472588.html</t>
      </text>
    </comment>
    <comment authorId="0" ref="A450">
      <text>
        <t xml:space="preserve">Taobao link:
https://shop127547001.world.taobao.com/</t>
      </text>
    </comment>
    <comment authorId="0" ref="B450">
      <text>
        <t xml:space="preserve">Taobao link:
https://item.taobao.com/item.htm?id=643334826090</t>
      </text>
    </comment>
    <comment authorId="0" ref="M450">
      <text>
        <t xml:space="preserve">radiator + fans up to 46mm thickness</t>
      </text>
    </comment>
    <comment authorId="0" ref="O450">
      <text>
        <t xml:space="preserve">200mm with 2x3.5" drives
322mm without 2x3.5" drives</t>
      </text>
    </comment>
    <comment authorId="0" ref="P450">
      <text>
        <t xml:space="preserve">GPU height will be reduced with 2x2.5" drives</t>
      </text>
    </comment>
    <comment authorId="0" ref="V450">
      <text>
        <t xml:space="preserve">2x2.5" drives will reduce GPU height</t>
      </text>
    </comment>
    <comment authorId="0" ref="W450">
      <text>
        <t xml:space="preserve">2x3.5" drives will reduce GPU length to 200mm</t>
      </text>
    </comment>
    <comment authorId="0" ref="W451">
      <text>
        <t xml:space="preserve">reduce GPU length</t>
      </text>
    </comment>
    <comment authorId="0" ref="V452">
      <text>
        <t xml:space="preserve">2x2.5" or 1x3.5" drives
can be increased to 4x2.5" drives</t>
      </text>
    </comment>
    <comment authorId="0" ref="W452">
      <text>
        <t xml:space="preserve">2x2.5" or 1x3.5" drives
can be increased to 4x2.5" drives</t>
      </text>
    </comment>
    <comment authorId="0" ref="AG453">
      <text>
        <t xml:space="preserve">2xUSB 2.0 or 2xUSB 3.2 Gen 1 ports</t>
      </text>
    </comment>
    <comment authorId="0" ref="AH453">
      <text>
        <t xml:space="preserve">2xUSB 2.0 or 2xUSB 3.2 Gen 1 ports</t>
      </text>
    </comment>
    <comment authorId="0" ref="AA454">
      <text>
        <t xml:space="preserve">2x80mm or 1x92mm case fan</t>
      </text>
    </comment>
    <comment authorId="0" ref="AB454">
      <text>
        <t xml:space="preserve">2x80mm or 1x92mm case fan</t>
      </text>
    </comment>
    <comment authorId="0" ref="AC454">
      <text>
        <t xml:space="preserve">1x120mm or 1x140mm case fan</t>
      </text>
    </comment>
    <comment authorId="0" ref="AD454">
      <text>
        <t xml:space="preserve">1x120mm or 1x140mm case fan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(Cyan = Taobao / JD)
(Light Yellow = Outside Taobao / JD)
If you want to filter by store, in my case remove "taobao", you can add a formula based filter. (source: https://support.google.com/docs/thread/50979813/how-to-filter-data-that-has-cells-with-hyperlink?hl=en)
=NOT(REGEXMATCH(FORMULATEXT(B2), "taobao"))
You can add other stores if you want by adding the other values separated by a pipe ("|") like so "taobao|amazon".
Is also possible to only filter the stores you want by removing the "NOT" filter.</t>
      </text>
    </comment>
    <comment authorId="0" ref="C1">
      <text>
        <t xml:space="preserve">APU = no GPU
Sandwich = GPU &amp; MB back-to-back with riser (i.e. Dan A4-SFX)
Console = GPU &amp; MB side-by-side with riser or cases with LP slots laid horizontal/vertical similar to game consoles (i.e. Node 202/RVZ03)
Classic = Tower/Cube layout without riser (i.e. SG13/NCase M1/NZXT H210)
Open = Open air case/test bench
NAS = Network-Attached Storage, usually with Hot Swap drive bays for SOHO servers.</t>
      </text>
    </comment>
    <comment authorId="0" ref="G1">
      <text>
        <t xml:space="preserve">Approximate volume excluding protrusions, case feet, etc. if available unless noted otherwise</t>
      </text>
    </comment>
    <comment authorId="0" ref="H1">
      <text>
        <t xml:space="preserve">Approximate desk space (Length x Width)</t>
      </text>
    </comment>
    <comment authorId="0" ref="Q1">
      <text>
        <t xml:space="preserve">Assume 20mm per PCIe slot by default unless mentioned otherwise</t>
      </text>
    </comment>
    <comment authorId="0" ref="R1">
      <text>
        <t xml:space="preserve">Physical PCIe slots. Some cases can support thicker GPUs. Refer to GPU height / thickness</t>
      </text>
    </comment>
    <comment authorId="0" ref="T1">
      <text>
        <t xml:space="preserve">Height x Width
mSTX = 147x140 mm
mITX = 170x170 mm
mDTX = 203x170 mm
FlexATX = 229x191 mm
DTX = 203x244 mm
mATX = 244x244 mm
ATX = 305x244 mm
SSI-CEB = 305x267 mm
SSI-EEB = 305x330 mm</t>
      </text>
    </comment>
    <comment authorId="0" ref="U1">
      <text>
        <t xml:space="preserve">WxHxD
Flex ATX = 81.5x40.5x150mm
TFX = 85x65x175mm
SFX = 125x63.5x100mm
SFX-L = 125x63.5x130mm
ATX = 150x86x140-200mm
</t>
      </text>
    </comment>
    <comment authorId="0" ref="L4">
      <text>
        <t xml:space="preserve">110mm height with 2x3.5" drives
140mm height with 1x3.5" drive
165mm height without 3.5" drives</t>
      </text>
    </comment>
    <comment authorId="0" ref="V4">
      <text>
        <t xml:space="preserve">2x2.5" drives or
1x2.5" + 1x3.5" drives or
1x2.5" + 2x3.5" drives</t>
      </text>
    </comment>
    <comment authorId="0" ref="W4">
      <text>
        <t xml:space="preserve">2x2.5" drives or
1x2.5" + 1x3.5" drives or
1x2.5" + 2x3.5" drives</t>
      </text>
    </comment>
    <comment authorId="0" ref="AC4">
      <text>
        <t xml:space="preserve">120mm or 140mm case fan</t>
      </text>
    </comment>
    <comment authorId="0" ref="AD4">
      <text>
        <t xml:space="preserve">120mm or 140mm case fan</t>
      </text>
    </comment>
    <comment authorId="0" ref="M5">
      <text>
        <t xml:space="preserve">92mm radiator up to 30mm thick
92mm AIO will reduce GPU length to 270mm
120mm radiator up to 30mm thick and 124mm wide
120mm AIO will reduce GPU length to 245mm</t>
      </text>
    </comment>
    <comment authorId="0" ref="O5">
      <text>
        <t xml:space="preserve">245mm with 120mm radiator
270mm with 92mm radiator or 3.5" drives
302mm with 2.5" drives</t>
      </text>
    </comment>
    <comment authorId="0" ref="P5">
      <text>
        <t xml:space="preserve">136mm with memory slots in low position</t>
      </text>
    </comment>
    <comment authorId="0" ref="Q5">
      <text>
        <t xml:space="preserve">42mm with mDTX/mATX/ATX board
62mm with mITX board</t>
      </text>
    </comment>
    <comment authorId="0" ref="T5">
      <text>
        <t xml:space="preserve">GPU thickness up to 42mm with mDTX / mATX / ATX board
GPU thickness up to 62mm with mITX board</t>
      </text>
    </comment>
    <comment authorId="0" ref="V5">
      <text>
        <t xml:space="preserve">1x2.5" drive above PSU + 
2x3.5" and 1x2.5" drives or
1x3.5" and 4x2.5" drives or
7x2.5" drives</t>
      </text>
    </comment>
    <comment authorId="0" ref="W5">
      <text>
        <t xml:space="preserve">1x2.5" drive above PSU + 
2x3.5" and 1x2.5" drives or
1x3.5" and 4x2.5" drives or
7x2.5" drives</t>
      </text>
    </comment>
    <comment authorId="0" ref="AB5">
      <text>
        <t xml:space="preserve">with 92mm radiator</t>
      </text>
    </comment>
    <comment authorId="0" ref="AC5">
      <text>
        <t xml:space="preserve">with 120mm radiator</t>
      </text>
    </comment>
    <comment authorId="0" ref="U6">
      <text>
        <t xml:space="preserve">250W FlexATX Unit Included</t>
      </text>
    </comment>
    <comment authorId="0" ref="W6">
      <text>
        <t xml:space="preserve">Hot Swap Drive Bays</t>
      </text>
    </comment>
    <comment authorId="0" ref="L7">
      <text>
        <t xml:space="preserve">Unofficially up to 58mm with fan filter. Can be increased to 62mm without the filter </t>
      </text>
    </comment>
    <comment authorId="0" ref="P7">
      <text>
        <t xml:space="preserve">Gigabyte RTX 3060 Ti Eagle (OC) does not fit. Need to permanently remove a small corner of the shroud.</t>
      </text>
    </comment>
    <comment authorId="0" ref="Q7">
      <text>
        <t xml:space="preserve">Unofficially can fit up to 60mm thick GPU without any 2x120mm case fans depending on the GPU shroud</t>
      </text>
    </comment>
    <comment authorId="0" ref="U7">
      <text>
        <t xml:space="preserve">recommend SFX-L for better cable management</t>
      </text>
    </comment>
    <comment authorId="0" ref="AC7">
      <text>
        <t xml:space="preserve">up to 25mm thick for 2 slot GPU
up to 15mm thick for 2.2 to 2.5 slot GPU</t>
      </text>
    </comment>
    <comment authorId="0" ref="V10">
      <text>
        <t xml:space="preserve">3x2.5" drives or 1x120mm fan</t>
      </text>
    </comment>
    <comment authorId="0" ref="AC10">
      <text>
        <t xml:space="preserve">2x120mm fans on top +
1x120mm or 3x2.5" drives</t>
      </text>
    </comment>
    <comment authorId="0" ref="A13">
      <text>
        <t xml:space="preserve">Taobao Link:
https://shop127547001.world.taobao.com/</t>
      </text>
    </comment>
    <comment authorId="0" ref="B13">
      <text>
        <t xml:space="preserve">Taobao Link:
https://item.taobao.com/item.htm?id=626651889081</t>
      </text>
    </comment>
    <comment authorId="0" ref="L13">
      <text>
        <t xml:space="preserve">Comes with swappable backplates
A: CPU 48mm / GPU 59mm
B: CPU 53mm / GPU 54mm
C: CPU 57mm / GPU 50mm
D: CPU 61mm / GPU 46mm
E: CPU 65mm / GPU 42mm</t>
      </text>
    </comment>
    <comment authorId="0" ref="M13">
      <text>
        <t xml:space="preserve">Case can be expanded with optional  top hat to support 240mm AIO</t>
      </text>
    </comment>
    <comment authorId="0" ref="Q13">
      <text>
        <t xml:space="preserve">Comes with swappable backplates
A: CPU 48mm / GPU 59mm
B: CPU 53mm / GPU 54mm
C: CPU 57mm / GPU 50mm
D: CPU 61mm / GPU 46mm
E: CPU 65mm / GPU 42mm</t>
      </text>
    </comment>
    <comment authorId="0" ref="V13">
      <text>
        <t xml:space="preserve">2x2.5" drives or 1x120mm fan under PSU +
1x2.5" drive or 1x120mm slim 12mm fan below motherboard</t>
      </text>
    </comment>
    <comment authorId="0" ref="AC13">
      <text>
        <t xml:space="preserve">1x120mm fan or 2x2.5" drives below PSU +
1x120mm slim 12mm fan or 1x2.5" drive below motherboard +
1x120mm slim 15mm fan above PSU</t>
      </text>
    </comment>
    <comment authorId="0" ref="AG14">
      <text>
        <t xml:space="preserve">2xUSB 2.0 or 2xUSB 3.2 Gen 1 ports</t>
      </text>
    </comment>
    <comment authorId="0" ref="AH14">
      <text>
        <t xml:space="preserve">2xUSB 2.0 or 2xUSB 3.2 Gen 1 ports</t>
      </text>
    </comment>
    <comment authorId="0" ref="L15">
      <text>
        <t xml:space="preserve">Adjustable between
64mm CPU / 62mm GPU
74mm CPU / 52mm GPU</t>
      </text>
    </comment>
    <comment authorId="0" ref="M15">
      <text>
        <t xml:space="preserve">Case can be expanded with optional  top hat to support 240mm AIO</t>
      </text>
    </comment>
    <comment authorId="0" ref="O15">
      <text>
        <t xml:space="preserve">205mm with 2x3.5" drives
305mm without 3.5" drives</t>
      </text>
    </comment>
    <comment authorId="0" ref="Q15">
      <text>
        <t xml:space="preserve">Adjustable between
64mm CPU / 62mm GPU
74mm CPU / 52mm GPU</t>
      </text>
    </comment>
    <comment authorId="0" ref="W15">
      <text>
        <t xml:space="preserve">2x3.5" drives with GPU length less than 205mm</t>
      </text>
    </comment>
    <comment authorId="0" ref="AC15">
      <text>
        <t xml:space="preserve">2x120mm or 2x140mm fans</t>
      </text>
    </comment>
    <comment authorId="0" ref="AD15">
      <text>
        <t xml:space="preserve">2x120mm or 2x140mm fans</t>
      </text>
    </comment>
    <comment authorId="0" ref="L17">
      <text>
        <t xml:space="preserve">43.4mm with 5.25" bracket and 3.5" drive
69mm with 5.25" bracket and no 3.5" drive
90mm without 5.25" bracket</t>
      </text>
    </comment>
    <comment authorId="0" ref="O17">
      <text>
        <t xml:space="preserve">272mm without front fans</t>
      </text>
    </comment>
    <comment authorId="0" ref="V17">
      <text>
        <t xml:space="preserve">1x2.5" drive +
1x2.5" or 1x3.5" drive</t>
      </text>
    </comment>
    <comment authorId="0" ref="W17">
      <text>
        <t xml:space="preserve">1x2.5" or 1x3.5" drive</t>
      </text>
    </comment>
    <comment authorId="0" ref="Z17">
      <text>
        <t xml:space="preserve">1x60mm or 1x80mm fan at side</t>
      </text>
    </comment>
    <comment authorId="0" ref="AA17">
      <text>
        <t xml:space="preserve">1x80mm fan at front +
1x60mm or 1x80mm fan at side</t>
      </text>
    </comment>
    <comment authorId="0" ref="M19">
      <text>
        <t xml:space="preserve">-120mm AIO supported with short GPU and additional bracket for order
-Case can be expanded with an optional AIO top hat to support 240 or 280mm AIO. 280mm AIO radiator max width is 142mm</t>
      </text>
    </comment>
    <comment authorId="0" ref="W19">
      <text>
        <t xml:space="preserve">-2x3.5" drives can be supported with short GPU and custom bracket for order
-1x3.5" drive can be supported with fan top hat expansion</t>
      </text>
    </comment>
    <comment authorId="0" ref="AC19">
      <text>
        <t xml:space="preserve">2x120mm or 2x140mm case fans can be added with optional fan or AIO top hats</t>
      </text>
    </comment>
    <comment authorId="0" ref="AD19">
      <text>
        <t xml:space="preserve">2x120mm or 2x140mm case fans can be added with optional fan or AIO top hats</t>
      </text>
    </comment>
    <comment authorId="0" ref="M20">
      <text>
        <t xml:space="preserve">-120mm AIO supported with short GPU and additional bracket for order
-Case can be expanded with an optional AIO top hat to support 240 or 280mm AIO. 280mm AIO radiator max width is 142mm</t>
      </text>
    </comment>
    <comment authorId="0" ref="W20">
      <text>
        <t xml:space="preserve">-2x3.5" drives can be supported with short GPU and custom bracket for order
-1x3.5" drive can be supported with fan top hat expansion</t>
      </text>
    </comment>
    <comment authorId="0" ref="AC20">
      <text>
        <t xml:space="preserve">2x120mm or 2x140mm case fans can be added with optional fan or AIO top hats</t>
      </text>
    </comment>
    <comment authorId="0" ref="AD20">
      <text>
        <t xml:space="preserve">2x120mm or 2x140mm case fans can be added with optional fan or AIO top hats</t>
      </text>
    </comment>
    <comment authorId="0" ref="M21">
      <text>
        <t xml:space="preserve">-120mm AIO supported with short GPU and additional bracket for order
-Case can be expanded with an optional AIO top hat to support 240 or 280mm AIO. 280mm AIO radiator max width is 142mm</t>
      </text>
    </comment>
    <comment authorId="0" ref="U21">
      <text>
        <t xml:space="preserve">up to 140mm length</t>
      </text>
    </comment>
    <comment authorId="0" ref="W21">
      <text>
        <t xml:space="preserve">-2x3.5" drives can be supported with short GPU and custom bracket for order
-1x3.5" drive can be supported with fan top hat expansion</t>
      </text>
    </comment>
    <comment authorId="0" ref="AC21">
      <text>
        <t xml:space="preserve">2x120mm or 2x140mm case fans can be added with optional fan or AIO top hats</t>
      </text>
    </comment>
    <comment authorId="0" ref="AD21">
      <text>
        <t xml:space="preserve">2x120mm or 2x140mm case fans can be added with optional fan or AIO top hats</t>
      </text>
    </comment>
    <comment authorId="0" ref="L22">
      <text>
        <t xml:space="preserve">Adjustable between:
48mm in max GPU config
77mm in max CPU config</t>
      </text>
    </comment>
    <comment authorId="0" ref="M22">
      <text>
        <t xml:space="preserve">120 radiator will reduce GPU length to 200mm maximum</t>
      </text>
    </comment>
    <comment authorId="0" ref="P22">
      <text>
        <t xml:space="preserve">max GPU config up to:
322x131x72mm or
322x145x62mm
max CPU config up to:
322x131x43mm or
322x145x33mm
</t>
      </text>
    </comment>
    <comment authorId="0" ref="Q22">
      <text>
        <t xml:space="preserve">max GPU config up to:
322x131x72mm or
322x145x62mm
max CPU config up to:
322x131x43mm or
322x145x33mm</t>
      </text>
    </comment>
    <comment authorId="0" ref="R22">
      <text>
        <t xml:space="preserve">depending on configuration</t>
      </text>
    </comment>
    <comment authorId="0" ref="AC22">
      <text>
        <t xml:space="preserve">1x120mm at bottom</t>
      </text>
    </comment>
    <comment authorId="0" ref="L23">
      <text>
        <t xml:space="preserve">https://www.sfftime.com/p-atxspecifications-compatibility</t>
      </text>
    </comment>
    <comment authorId="0" ref="M23">
      <text>
        <t xml:space="preserve">https://www.sfftime.com/p-atxspecifications-compatibility</t>
      </text>
    </comment>
    <comment authorId="0" ref="O23">
      <text>
        <t xml:space="preserve">https://www.sfftime.com/p-atxspecifications-compatibility</t>
      </text>
    </comment>
    <comment authorId="0" ref="P23">
      <text>
        <t xml:space="preserve">https://www.sfftime.com/p-atxspecifications-compatibility</t>
      </text>
    </comment>
    <comment authorId="0" ref="Q23">
      <text>
        <t xml:space="preserve">https://www.sfftime.com/p-atxspecifications-compatibility</t>
      </text>
    </comment>
    <comment authorId="0" ref="T23">
      <text>
        <t xml:space="preserve">GPU thickness up to 40mm with mDTX / mATX / ATX board
GPU thickness up to 60mm with mITX board</t>
      </text>
    </comment>
    <comment authorId="0" ref="V23">
      <text>
        <t xml:space="preserve">https://www.sfftime.com/p-atxspecifications-compatibility</t>
      </text>
    </comment>
    <comment authorId="0" ref="W23">
      <text>
        <t xml:space="preserve">https://www.sfftime.com/p-atxspecifications-compatibility</t>
      </text>
    </comment>
    <comment authorId="0" ref="AC23">
      <text>
        <t xml:space="preserve">https://www.sfftime.com/p-atxspecifications-compatibility</t>
      </text>
    </comment>
    <comment authorId="0" ref="AC26">
      <text>
        <t xml:space="preserve">2x120mm slim 15mm fans</t>
      </text>
    </comment>
    <comment authorId="0" ref="AK26">
      <text>
        <t xml:space="preserve">¥299 case only
+¥99/118 for riser cable
+¥50 for front I/O
</t>
      </text>
    </comment>
    <comment authorId="0" ref="AC27">
      <text>
        <t xml:space="preserve">2x120mm slim 15mm fans</t>
      </text>
    </comment>
    <comment authorId="0" ref="AC28">
      <text>
        <t xml:space="preserve">2x120mm slim 15mm fans</t>
      </text>
    </comment>
    <comment authorId="0" ref="L29">
      <text>
        <t xml:space="preserve">Adjustable between:
70mm CPU / 40mm GPU
58mm CPU / 60mm GPU</t>
      </text>
    </comment>
    <comment authorId="0" ref="M29">
      <text>
        <t xml:space="preserve">120mm rad without top hat
240mm rad with optional top hat</t>
      </text>
    </comment>
    <comment authorId="0" ref="Q29">
      <text>
        <t xml:space="preserve">Adjustable between:
70mm CPU / 40mm GPU
58mm CPU / 60mm GPU</t>
      </text>
    </comment>
    <comment authorId="0" ref="R29">
      <text>
        <t xml:space="preserve">Adjustable between 2 or 3 PCIe slots</t>
      </text>
    </comment>
    <comment authorId="0" ref="W29">
      <text>
        <t xml:space="preserve">1x3.5" or 1x120mm fan under PSU</t>
      </text>
    </comment>
    <comment authorId="0" ref="AC29">
      <text>
        <t xml:space="preserve">2x120mm fans on top +
1x120mm fan or 1x3.5" drive under PSU</t>
      </text>
    </comment>
    <comment authorId="0" ref="W32">
      <text>
        <t xml:space="preserve">1x3.5" drive with GPU length 225mm or less</t>
      </text>
    </comment>
    <comment authorId="0" ref="AB32">
      <text>
        <t xml:space="preserve">Slim 15mm fan</t>
      </text>
    </comment>
    <comment authorId="0" ref="AC32">
      <text>
        <t xml:space="preserve">Slim 15mm fans</t>
      </text>
    </comment>
    <comment authorId="0" ref="A33">
      <text>
        <t xml:space="preserve">Taobao store:
https://shop148102602.world.taobao.com/</t>
      </text>
    </comment>
    <comment authorId="0" ref="L33">
      <text>
        <t xml:space="preserve">Adjustable between:
2 slot: 81.5mm CPU / 40mm GPU
3 slot: 67mm CPU / 55mm GPU
4 slot: 55mm CPU / 67mm GPU</t>
      </text>
    </comment>
    <comment authorId="0" ref="Q33">
      <text>
        <t xml:space="preserve">Adjustable between:
81.5mm CPU / 40mm GPU
67mm CPU / 55mm GPU
55mm CPU / 67mm GPU</t>
      </text>
    </comment>
    <comment authorId="0" ref="U33">
      <text>
        <t xml:space="preserve">ATX PSU compatible in 3 slot and 4 slot mode</t>
      </text>
    </comment>
    <comment authorId="0" ref="AC33">
      <text>
        <t xml:space="preserve">2x120mm on bottom +
2x120mm or 2x140mm in GPU chamber in 3 or 4 slot mode</t>
      </text>
    </comment>
    <comment authorId="0" ref="AD33">
      <text>
        <t xml:space="preserve">2x120mm or 2x140mm in GPU chamber in 3 or 4 slot mode</t>
      </text>
    </comment>
    <comment authorId="0" ref="AC34">
      <text>
        <t xml:space="preserve">1x120mm or 1x140mm fan</t>
      </text>
    </comment>
    <comment authorId="0" ref="AD34">
      <text>
        <t xml:space="preserve">1x120mm or 1x140mm fan</t>
      </text>
    </comment>
    <comment authorId="0" ref="A36">
      <text>
        <t xml:space="preserve">Taobao store:
https://shop194013857.world.taobao.com/</t>
      </text>
    </comment>
    <comment authorId="0" ref="B36">
      <text>
        <t xml:space="preserve">Taobao website:
https://item.taobao.com/item.htm?id=620810511112</t>
      </text>
    </comment>
    <comment authorId="0" ref="M36">
      <text>
        <t xml:space="preserve">Optional attachment</t>
      </text>
    </comment>
    <comment authorId="0" ref="AH36">
      <text>
        <t xml:space="preserve">Optional</t>
      </text>
    </comment>
    <comment authorId="0" ref="AJ36">
      <text>
        <t xml:space="preserve">Optional</t>
      </text>
    </comment>
    <comment authorId="0" ref="A37">
      <text>
        <t xml:space="preserve">Taobao store:
https://shop194013857.world.taobao.com/</t>
      </text>
    </comment>
    <comment authorId="0" ref="B37">
      <text>
        <t xml:space="preserve">Taobao website:
https://item.taobao.com/item.htm?id=642028693883</t>
      </text>
    </comment>
    <comment authorId="0" ref="M37">
      <text>
        <t xml:space="preserve">Optional attachment</t>
      </text>
    </comment>
    <comment authorId="0" ref="AH37">
      <text>
        <t xml:space="preserve">Optional</t>
      </text>
    </comment>
    <comment authorId="0" ref="AJ37">
      <text>
        <t xml:space="preserve">Optional</t>
      </text>
    </comment>
    <comment authorId="0" ref="A38">
      <text>
        <t xml:space="preserve">Taobao store:
https://shop148102602.world.taobao.com/</t>
      </text>
    </comment>
    <comment authorId="0" ref="B38">
      <text>
        <t xml:space="preserve">Taobao store:
https://item.taobao.com/item.htm?id=643147296746</t>
      </text>
    </comment>
    <comment authorId="0" ref="L38">
      <text>
        <t xml:space="preserve">Adjustable from 50.5mm to 92mm</t>
      </text>
    </comment>
    <comment authorId="0" ref="M38">
      <text>
        <t xml:space="preserve">up to 240 radiator with up to 47.5mm of rad + fan thickness
up to 280 radiator in the GPU side with a GPU waterblock</t>
      </text>
    </comment>
    <comment authorId="0" ref="Q38">
      <text>
        <t xml:space="preserve">Adjustable from 21mm to 68mm</t>
      </text>
    </comment>
    <comment authorId="0" ref="U38">
      <text>
        <t xml:space="preserve">ATX PSU up to 140mm length</t>
      </text>
    </comment>
    <comment authorId="0" ref="A39">
      <text>
        <t xml:space="preserve">Taobao store:
https://shop148102602.world.taobao.com/</t>
      </text>
    </comment>
    <comment authorId="0" ref="B39">
      <text>
        <t xml:space="preserve">Taobao store:
https://item.taobao.com/item.htm?id=643147296746</t>
      </text>
    </comment>
    <comment authorId="0" ref="M39">
      <text>
        <t xml:space="preserve">up to 143mm height and 67mm radiator + fan thickness in the side panel</t>
      </text>
    </comment>
    <comment authorId="0" ref="AC39">
      <text>
        <t xml:space="preserve">2x120mm or 2x140mm fans at the side + 
2x120mm slim 15mm fans at top</t>
      </text>
    </comment>
    <comment authorId="0" ref="AD39">
      <text>
        <t xml:space="preserve">2x120mm or 2x140mm fans at the side</t>
      </text>
    </comment>
    <comment authorId="0" ref="B42">
      <text>
        <t xml:space="preserve">Aliexpress link:
https://www.aliexpress.com/item/10000325599644.html</t>
      </text>
    </comment>
    <comment authorId="0" ref="V42">
      <text>
        <t xml:space="preserve">2x2.5" or 1x3.5" drives</t>
      </text>
    </comment>
    <comment authorId="0" ref="W42">
      <text>
        <t xml:space="preserve">2x2.5" or 1x3.5" drives</t>
      </text>
    </comment>
    <comment authorId="0" ref="V43">
      <text>
        <t xml:space="preserve">3x2.5" drives or 
1x2.5" + 1x3.5" drives</t>
      </text>
    </comment>
    <comment authorId="0" ref="W43">
      <text>
        <t xml:space="preserve">3x2.5" drives or 
1x2.5" + 1x3.5" drives</t>
      </text>
    </comment>
    <comment authorId="0" ref="V44">
      <text>
        <t xml:space="preserve">1x2.5" drive with case fans or
3x2.5" drives without case fans</t>
      </text>
    </comment>
    <comment authorId="0" ref="AB44">
      <text>
        <t xml:space="preserve">1x92mm or 1x120mm case fan on bottom</t>
      </text>
    </comment>
    <comment authorId="0" ref="AC44">
      <text>
        <t xml:space="preserve">2x120mm 15mm slim fans on top +
1x120mm or 1x92mm case fan on bottom</t>
      </text>
    </comment>
    <comment authorId="0" ref="L48">
      <text>
        <t xml:space="preserve">Adjustable:
CPU 50mm / GPU 65mm
CPU 65mm / GPU 50mm</t>
      </text>
    </comment>
    <comment authorId="0" ref="M48">
      <text>
        <t xml:space="preserve">Radiator thickness up to 27mm
Fan thickness up to 15mm</t>
      </text>
    </comment>
    <comment authorId="0" ref="Q48">
      <text>
        <t xml:space="preserve">Adjustable:
CPU 50mm / GPU 65mm
CPU 65mm / GPU 50mm</t>
      </text>
    </comment>
    <comment authorId="0" ref="V48">
      <text>
        <t xml:space="preserve">2x2.5" or 1x3.5" drives</t>
      </text>
    </comment>
    <comment authorId="0" ref="W48">
      <text>
        <t xml:space="preserve">2x2.5" or 1x3.5" drives</t>
      </text>
    </comment>
    <comment authorId="0" ref="AC48">
      <text>
        <t xml:space="preserve">2x120mm fans at top + 
2x120mm slim 15mm fans at bottom</t>
      </text>
    </comment>
    <comment authorId="0" ref="B52">
      <text>
        <t xml:space="preserve">Taobao link:
https://detail.tmall.com/item.htm?id=628465086814</t>
      </text>
    </comment>
    <comment authorId="0" ref="AC55">
      <text>
        <t xml:space="preserve">2x slim 15mm fans on bottom +
2x fans on top</t>
      </text>
    </comment>
    <comment authorId="0" ref="M56">
      <text>
        <t xml:space="preserve">supports radiator up to 130mm wide and 40mm thickness</t>
      </text>
    </comment>
    <comment authorId="0" ref="O56">
      <text>
        <t xml:space="preserve">up to 216mm with 360 radiator
up to 340mm with 240 radiator</t>
      </text>
    </comment>
    <comment authorId="0" ref="V56">
      <text>
        <t xml:space="preserve">4x2.5" drives +
1x2.5 drive with air cooling or 120mm radiator</t>
      </text>
    </comment>
    <comment authorId="0" ref="W56">
      <text>
        <t xml:space="preserve">1x3.5" drive with air cooling or 120mm radiator</t>
      </text>
    </comment>
    <comment authorId="0" ref="O59">
      <text>
        <t xml:space="preserve">170mm length if using SFX-L PSU</t>
      </text>
    </comment>
    <comment authorId="0" ref="U59">
      <text>
        <t xml:space="preserve">SFX-L will reduce GPU length to 170mm length</t>
      </text>
    </comment>
    <comment authorId="0" ref="V59">
      <text>
        <t xml:space="preserve">2x2.5" + 2x3.5" drives or
8x2.5" drives</t>
      </text>
    </comment>
    <comment authorId="0" ref="W59">
      <text>
        <t xml:space="preserve">2x2.5" + 2x3.5" drives or
8x2.5" drives</t>
      </text>
    </comment>
    <comment authorId="0" ref="AA61">
      <text>
        <t xml:space="preserve">2x80mm or 2x92mm top case fans</t>
      </text>
    </comment>
    <comment authorId="0" ref="AB61">
      <text>
        <t xml:space="preserve">1x92mm bottom case fan + 
2x80mm or 2x92mm top case fans</t>
      </text>
    </comment>
    <comment authorId="0" ref="U62">
      <text>
        <t xml:space="preserve">up to 170mm length</t>
      </text>
    </comment>
    <comment authorId="0" ref="O63">
      <text>
        <t xml:space="preserve">Officially up to 324mm
335mm is possible but difficult to position</t>
      </text>
    </comment>
    <comment authorId="0" ref="P63">
      <text>
        <t xml:space="preserve">133mm with standard inlet
157mm with pigtail inlet</t>
      </text>
    </comment>
    <comment authorId="0" ref="Q63">
      <text>
        <t xml:space="preserve">40mm with riser in middle position
63mm with riser in 3 slot position</t>
      </text>
    </comment>
    <comment authorId="0" ref="T63">
      <text>
        <t xml:space="preserve">First revision not compatible with motherboards with integrated i/o shields and back/baseplates like Gigabyte X570I AORUS</t>
      </text>
    </comment>
    <comment authorId="0" ref="U63">
      <text>
        <t xml:space="preserve">SFX-L is supported but not recommended</t>
      </text>
    </comment>
    <comment authorId="0" ref="AC63">
      <text>
        <t xml:space="preserve">15mm thick in standard position
25mm thick with 2 slot GPU and riser moved to middle slot</t>
      </text>
    </comment>
    <comment authorId="0" ref="AL63">
      <text>
        <t xml:space="preserve">+$20 for front IO
+$30 for 2xNoctua NF-A12x15
+$20 for handle
+$10 for vertical base plate</t>
      </text>
    </comment>
    <comment authorId="0" ref="M64">
      <text>
        <t xml:space="preserve">AIO not compatible with SFX-L PSU</t>
      </text>
    </comment>
    <comment authorId="0" ref="U64">
      <text>
        <t xml:space="preserve">SFX-L not compatible with 92mm AIO</t>
      </text>
    </comment>
    <comment authorId="0" ref="M65">
      <text>
        <t xml:space="preserve">240mm rad will only fit with one 120mm fan</t>
      </text>
    </comment>
    <comment authorId="0" ref="M66">
      <text>
        <t xml:space="preserve">240mm rad will only fit with one 120mm fan</t>
      </text>
    </comment>
    <comment authorId="0" ref="T67">
      <text>
        <t xml:space="preserve">up to 226x186mm with ATX PSU
up to 230x200mm with SFX PSU</t>
      </text>
    </comment>
    <comment authorId="0" ref="U67">
      <text>
        <t xml:space="preserve">ATX PSU up to 140mm length</t>
      </text>
    </comment>
    <comment authorId="0" ref="V67">
      <text>
        <t xml:space="preserve">1x2.5" drive + 
up to 4x2.5" drives  in place of bottom case fans</t>
      </text>
    </comment>
    <comment authorId="0" ref="AB67">
      <text>
        <t xml:space="preserve">1x92mm rear case fan +
2x92mm or 2x120mm bottom case fans</t>
      </text>
    </comment>
    <comment authorId="0" ref="AC67">
      <text>
        <t xml:space="preserve">2x92mm or 2x120mm bottom case fans</t>
      </text>
    </comment>
    <comment authorId="0" ref="AC68">
      <text>
        <t xml:space="preserve">2x120mm slim fans at top +
1x120mm slim fans at bottom</t>
      </text>
    </comment>
    <comment authorId="0" ref="B70">
      <text>
        <t xml:space="preserve">Taobao link:
https://item.taobao.com/item.htm?id=642217206257</t>
      </text>
    </comment>
    <comment authorId="0" ref="U71">
      <text>
        <t xml:space="preserve">up to 160mm length</t>
      </text>
    </comment>
    <comment authorId="0" ref="W71">
      <text>
        <t xml:space="preserve">1x3.5" drive or 1x120mm fan</t>
      </text>
    </comment>
    <comment authorId="0" ref="AC71">
      <text>
        <t xml:space="preserve">1x120mm fan or 1x3.5" drive</t>
      </text>
    </comment>
    <comment authorId="0" ref="U72">
      <text>
        <t xml:space="preserve">up to 160mm length</t>
      </text>
    </comment>
    <comment authorId="0" ref="W72">
      <text>
        <t xml:space="preserve">1x3.5" drive or 1x120mm fan</t>
      </text>
    </comment>
    <comment authorId="0" ref="AC72">
      <text>
        <t xml:space="preserve">1x120mm fan or 1x3.5" drive</t>
      </text>
    </comment>
    <comment authorId="0" ref="L76">
      <text>
        <t xml:space="preserve">Include 8 heatpipe CPU passive heatsink for up to 85W TDP</t>
      </text>
    </comment>
    <comment authorId="0" ref="V76">
      <text>
        <t xml:space="preserve">2x2.5" + 1x3.5" drives or
4x2.5" drives</t>
      </text>
    </comment>
    <comment authorId="0" ref="W76">
      <text>
        <t xml:space="preserve">2x2.5" + 1x3.5" drives or
4x2.5" drives</t>
      </text>
    </comment>
    <comment authorId="0" ref="B77">
      <text>
        <t xml:space="preserve">https://www.amazon.com/LOUQE-Ghost-Limestone-Mini-ITX-Computer/dp/B088QTJMKW/</t>
      </text>
    </comment>
    <comment authorId="0" ref="M77">
      <text>
        <t xml:space="preserve">up to 56mm total thickness for radiator and fans</t>
      </text>
    </comment>
    <comment authorId="0" ref="V77">
      <text>
        <t xml:space="preserve">3x2.5" drives or 1x120mm case fan +
2x2.5" or 2x3.5" drives or 2x120mm case fans or radiator</t>
      </text>
    </comment>
    <comment authorId="0" ref="W77">
      <text>
        <t xml:space="preserve">2x2.5" or 3.5" drives or 2x120mm case fans or radiator
</t>
      </text>
    </comment>
    <comment authorId="0" ref="AC77">
      <text>
        <t xml:space="preserve">3x2.5" drives or 1x120mm case fan +
2x2.5" or 2x3.5" drives or 2x120mm case fans or radiator</t>
      </text>
    </comment>
    <comment authorId="0" ref="T78">
      <text>
        <t xml:space="preserve">up to 226x186mm with ATX PSU
up to 230x201mm with SFX PSU</t>
      </text>
    </comment>
    <comment authorId="0" ref="U78">
      <text>
        <t xml:space="preserve">ATX PSU up to 140mm length</t>
      </text>
    </comment>
    <comment authorId="0" ref="V78">
      <text>
        <t xml:space="preserve">1x2.5" drive + 
up to 4x2.5" drives  in place of bottom case fans</t>
      </text>
    </comment>
    <comment authorId="0" ref="AB78">
      <text>
        <t xml:space="preserve">1x92mm rear case fan +
2x92mm or 2x120mm bottom case fans</t>
      </text>
    </comment>
    <comment authorId="0" ref="AC78">
      <text>
        <t xml:space="preserve">2x92mm or 2x120mm bottom case fans</t>
      </text>
    </comment>
    <comment authorId="0" ref="M79">
      <text>
        <t xml:space="preserve">92mm AIO requires separate adapter plate. 
120mm AIO requires separate kit. 120mm rad+fan thickness is 72mm max. 120mm AIO kit will limit GPU length to 187mm.</t>
      </text>
    </comment>
    <comment authorId="0" ref="O79">
      <text>
        <t xml:space="preserve">Officially up to 305mm
325mm with front panel SSD tray removed
187mm with 120mm AIO kit</t>
      </text>
    </comment>
    <comment authorId="0" ref="P79">
      <text>
        <t xml:space="preserve">133mm with standard inlet
157mm with pigtail inlet</t>
      </text>
    </comment>
    <comment authorId="0" ref="U79">
      <text>
        <t xml:space="preserve">SFX-L is supported but not recommended</t>
      </text>
    </comment>
    <comment authorId="0" ref="V79">
      <text>
        <t xml:space="preserve">2x2.5" drives behind front panel +
2x (4x2.5" or 1x3.5" or 1x120mm case fan)</t>
      </text>
    </comment>
    <comment authorId="0" ref="W79">
      <text>
        <t xml:space="preserve">2x (4x2.5" or 1x3.5" or 1x120mm case fan)</t>
      </text>
    </comment>
    <comment authorId="0" ref="AC79">
      <text>
        <t xml:space="preserve">2x (4x2.5" or 1x3.5" or 1x120mm case fan)</t>
      </text>
    </comment>
    <comment authorId="0" ref="AL79">
      <text>
        <t xml:space="preserve">+$10 for white color
+$79 for bifurcation riser
+$8 for both PSU inlet options
+$10 for 92mm AIO adapter plate
+$90 for 92mm AIO adapter plate and Asetek 645LT AIO
+$10 for one 4x2.5" bracket
+$10 for one 1x3.5" bracket</t>
      </text>
    </comment>
    <comment authorId="0" ref="AC80">
      <text>
        <t xml:space="preserve">1x120mm fan at top +
1x120mm slim 15mm fan at bottom depending on GPU thickness</t>
      </text>
    </comment>
    <comment authorId="0" ref="AC81">
      <text>
        <t xml:space="preserve">15mm slim fans</t>
      </text>
    </comment>
    <comment authorId="0" ref="AC82">
      <text>
        <t xml:space="preserve">Slim 15mm fan</t>
      </text>
    </comment>
    <comment authorId="0" ref="O83">
      <text>
        <t xml:space="preserve">198mm at horizontal orientation
335mm at vertical orientation</t>
      </text>
    </comment>
    <comment authorId="0" ref="M84">
      <text>
        <t xml:space="preserve">Radiators + fans up to 55mm total thickness</t>
      </text>
    </comment>
    <comment authorId="0" ref="AL84">
      <text>
        <t xml:space="preserve">US$119.99 with PCIe 3.0 riser
US$154.99 with PCIe 4.0 riser</t>
      </text>
    </comment>
    <comment authorId="0" ref="B86">
      <text>
        <t xml:space="preserve">Taobao link:
https://item.taobao.com/item.htm?id=638719640394</t>
      </text>
    </comment>
    <comment authorId="0" ref="M86">
      <text>
        <t xml:space="preserve">up to 27mm radiator thickness
240mm radiators fit but only with a single fan. </t>
      </text>
    </comment>
    <comment authorId="0" ref="AK88">
      <text>
        <t xml:space="preserve">¥899 = double transparent tempered glass
¥988 = double coated tempered glass
¥1098 = double aluminium panels with round holes</t>
      </text>
    </comment>
    <comment authorId="0" ref="V89">
      <text>
        <t xml:space="preserve">6x2.5" or 3x3.5" drives</t>
      </text>
    </comment>
    <comment authorId="0" ref="W89">
      <text>
        <t xml:space="preserve">6x2.5" or 3x3.5" drives</t>
      </text>
    </comment>
    <comment authorId="0" ref="AC90">
      <text>
        <t xml:space="preserve">2x120mm slim 15mm fans on top +
2x120mm fans on bottom</t>
      </text>
    </comment>
    <comment authorId="0" ref="M92">
      <text>
        <t xml:space="preserve">up to 310x145mm</t>
      </text>
    </comment>
    <comment authorId="0" ref="AC92">
      <text>
        <t xml:space="preserve">2x120mm or 140mm case fans on the side panel +
2x120mm or 140mm case fans on the bottom depending on GPU thickness</t>
      </text>
    </comment>
    <comment authorId="0" ref="AD92">
      <text>
        <t xml:space="preserve">2x120mm or 140mm case fans on the side panel +
2x120mm or 140mm case fans on the bottom depending on GPU thickness</t>
      </text>
    </comment>
    <comment authorId="0" ref="AB93">
      <text>
        <t xml:space="preserve">Have room for 92mm fans instead of 80mm fans but no mounting points. Need to drill mounting holes</t>
      </text>
    </comment>
    <comment authorId="0" ref="L94">
      <text>
        <t xml:space="preserve">CPU and GPU adjustable to:
CPU 60mm / GPU 60mm
CPU 80mm / GPU 40mm</t>
      </text>
    </comment>
    <comment authorId="0" ref="Q94">
      <text>
        <t xml:space="preserve">CPU and GPU adjustable to:
CPU 60mm / GPU 60mm
CPU 80mm / GPU 40mm</t>
      </text>
    </comment>
    <comment authorId="0" ref="AC94">
      <text>
        <t xml:space="preserve">2x120mm or 2x140mm fans</t>
      </text>
    </comment>
    <comment authorId="0" ref="AD94">
      <text>
        <t xml:space="preserve">2x120mm or 2x140mm fans</t>
      </text>
    </comment>
    <comment authorId="0" ref="L95">
      <text>
        <t xml:space="preserve">A: 66mm
B: 51mm</t>
      </text>
    </comment>
    <comment authorId="0" ref="Q95">
      <text>
        <t xml:space="preserve">A: 40mm
B: 56mm</t>
      </text>
    </comment>
    <comment authorId="0" ref="M96">
      <text>
        <t xml:space="preserve">up to 282mm radiator length</t>
      </text>
    </comment>
    <comment authorId="0" ref="B98">
      <text>
        <t xml:space="preserve">Aliexpress link:
https://www.aliexpress.com/item/32788268134.html
JD link:
https://item.jd.com/4292500.html</t>
      </text>
    </comment>
    <comment authorId="0" ref="L99">
      <text>
        <t xml:space="preserve">Adjustable between CPU &amp; GPU
51mm CPU / 63mm GPU
71mm CPU / 43mm GPU</t>
      </text>
    </comment>
    <comment authorId="0" ref="M99">
      <text>
        <t xml:space="preserve">Up to 292x130x42mm rad+fan</t>
      </text>
    </comment>
    <comment authorId="0" ref="P99">
      <text>
        <t xml:space="preserve">Adjustable to between 158-168mm</t>
      </text>
    </comment>
    <comment authorId="0" ref="Q99">
      <text>
        <t xml:space="preserve">Adjustable between CPU &amp; GPU
51mm CPU / 63mm GPU
71mm CPU / 43mm GPU</t>
      </text>
    </comment>
    <comment authorId="0" ref="R99">
      <text>
        <t xml:space="preserve">Adjustable</t>
      </text>
    </comment>
    <comment authorId="0" ref="B100">
      <text>
        <t xml:space="preserve">Formerly named K99
Aliexpress Link
https://www.aliexpress.com/item/4000415786378.html</t>
      </text>
    </comment>
    <comment authorId="0" ref="W101">
      <text>
        <t xml:space="preserve">without 240 rad</t>
      </text>
    </comment>
    <comment authorId="0" ref="L102">
      <text>
        <t xml:space="preserve">Adjustable in 2 modes:
64.62mm CPU + 43mm GPU thickness
52.62mm CPU + 55mm GPU thickness</t>
      </text>
    </comment>
    <comment authorId="0" ref="Q102">
      <text>
        <t xml:space="preserve">Adjustable in 2 modes:
64.62mm CPU + 43mm GPU thickness
52.62mm CPU + 55mm GPU thickness</t>
      </text>
    </comment>
    <comment authorId="0" ref="A103">
      <text>
        <t xml:space="preserve">Taobao store:
https://shop194013857.world.taobao.com/</t>
      </text>
    </comment>
    <comment authorId="0" ref="B103">
      <text>
        <t xml:space="preserve">Taobao link:
https://item.taobao.com/item.htm?id=632808434541</t>
      </text>
    </comment>
    <comment authorId="0" ref="M103">
      <text>
        <t xml:space="preserve">Optional attachment</t>
      </text>
    </comment>
    <comment authorId="0" ref="AH103">
      <text>
        <t xml:space="preserve">Optional</t>
      </text>
    </comment>
    <comment authorId="0" ref="AJ103">
      <text>
        <t xml:space="preserve">Optional</t>
      </text>
    </comment>
    <comment authorId="0" ref="B105">
      <text>
        <t xml:space="preserve">A4 pro have some design problems, such as wrong length of power supply bracket and middle frame is curved, please refer to this blog:
https://zhuanlan.zhihu.com/p/391251566</t>
      </text>
    </comment>
    <comment authorId="0" ref="L105">
      <text>
        <t xml:space="preserve">Adjustable between
65mm CPU / 59mm GPU
73mm CPU / 51mm GPU</t>
      </text>
    </comment>
    <comment authorId="0" ref="M105">
      <text>
        <t xml:space="preserve">120mm AIO on bottom. 
Optional 120/140/240/280mm AIO with optional top hat. Up to 310x145mm max radiator size</t>
      </text>
    </comment>
    <comment authorId="0" ref="Q105">
      <text>
        <t xml:space="preserve">Adjustable between
65mm CPU / 59mm GPU
73mm CPU / 51mm GPU</t>
      </text>
    </comment>
    <comment authorId="0" ref="V105">
      <text>
        <t xml:space="preserve">2x2.5" drives +
2x2.5" drives or 1x120mm fan on bottom +
2x2.5" drives with GPU length &lt; 260mm</t>
      </text>
    </comment>
    <comment authorId="0" ref="W105">
      <text>
        <t xml:space="preserve">1x3.5" drive or 1x120mm or 140mm slim 15mm fan on top +
2x3.5" drives with GPU length &lt; 230mm</t>
      </text>
    </comment>
    <comment authorId="0" ref="AC105">
      <text>
        <t xml:space="preserve">1x120mm fan or 2x2.5" drives on bottom +
2x120mm or 2x140mm slim 15mm fan on top</t>
      </text>
    </comment>
    <comment authorId="0" ref="AD105">
      <text>
        <t xml:space="preserve">2x120mm or 2x140mm slim 15mm fan on top</t>
      </text>
    </comment>
    <comment authorId="0" ref="AI105">
      <text>
        <t xml:space="preserve">Optional</t>
      </text>
    </comment>
    <comment authorId="0" ref="M107">
      <text>
        <t xml:space="preserve">140mm AIO will reduce GPU length</t>
      </text>
    </comment>
    <comment authorId="0" ref="O107">
      <text>
        <t xml:space="preserve">236mm with 140mm case fan
270mm with 120mm case fan or no case fan</t>
      </text>
    </comment>
    <comment authorId="0" ref="Q107">
      <text>
        <t xml:space="preserve">based on user testing, managed to fit RTX 3070 Ventus 2X which is 2.5 slots, but not recommended as it will cause turbulence
More info:
https://docs.google.com/spreadsheets/d/1ewcmIe2bcqhO_JITKCrVBooKZFGrCvI4Eh0wCXl46Uo/
</t>
      </text>
    </comment>
    <comment authorId="0" ref="U107">
      <text>
        <t xml:space="preserve">up to 150mm length with drive cage. &gt;150mm will need to remove drive cage. Recommend 140mm length</t>
      </text>
    </comment>
    <comment authorId="0" ref="V107">
      <text>
        <t xml:space="preserve">1x2.5" + (2x2.5" / 1x3.5")</t>
      </text>
    </comment>
    <comment authorId="0" ref="W107">
      <text>
        <t xml:space="preserve"> 2x2.5" / 1x3.5"</t>
      </text>
    </comment>
    <comment authorId="0" ref="AC107">
      <text>
        <t xml:space="preserve">120mm or 140mm case fan</t>
      </text>
    </comment>
    <comment authorId="0" ref="AD107">
      <text>
        <t xml:space="preserve">120mm or 140mm case fan
140mm case fan will reduce GPU length to 236mm</t>
      </text>
    </comment>
    <comment authorId="0" ref="AH107">
      <text>
        <t xml:space="preserve">2xType A or
1xType A + 1xType C</t>
      </text>
    </comment>
    <comment authorId="0" ref="AI107">
      <text>
        <t xml:space="preserve">2xType A or
1xType A + 1xType C</t>
      </text>
    </comment>
    <comment authorId="0" ref="U108">
      <text>
        <t xml:space="preserve">ATX PSU up to 140mm length</t>
      </text>
    </comment>
    <comment authorId="0" ref="AB108">
      <text>
        <t xml:space="preserve">2x92mm slim 15mm fans at top +
1x92mm fan at rear +
3x92mm fans at bottom</t>
      </text>
    </comment>
    <comment authorId="0" ref="AC108">
      <text>
        <t xml:space="preserve">with optional 120 radiator bracket</t>
      </text>
    </comment>
    <comment authorId="0" ref="U109">
      <text>
        <t xml:space="preserve">ATX PSU up to 140mm length</t>
      </text>
    </comment>
    <comment authorId="0" ref="AB109">
      <text>
        <t xml:space="preserve">1x92mm at rear +
2x92mm at top +
2x92mm at bottom</t>
      </text>
    </comment>
    <comment authorId="0" ref="L110">
      <text>
        <t xml:space="preserve">100mm with SFX PSU
174mm with Pico PSU/DC-ATX</t>
      </text>
    </comment>
    <comment authorId="0" ref="M110">
      <text>
        <t xml:space="preserve">200mm rads are externally mounted</t>
      </text>
    </comment>
    <comment authorId="0" ref="AE110">
      <text>
        <t xml:space="preserve">2x180mm or 2x200mm case fans</t>
      </text>
    </comment>
    <comment authorId="0" ref="AF110">
      <text>
        <t xml:space="preserve">2x180mm or 2x200mm case fans</t>
      </text>
    </comment>
    <comment authorId="0" ref="M111">
      <text>
        <t xml:space="preserve">Optional attachment</t>
      </text>
    </comment>
    <comment authorId="0" ref="AK112">
      <text>
        <t xml:space="preserve">price exclude riser cable
¥399 = double acrylic panels
+¥60 for one aluminium side panel</t>
      </text>
    </comment>
    <comment authorId="0" ref="B113">
      <text>
        <t xml:space="preserve">please notify the seller to order the extended version</t>
      </text>
    </comment>
    <comment authorId="0" ref="AC113">
      <text>
        <t xml:space="preserve">2x slim 15mm fans on bottom +
2x fans on top</t>
      </text>
    </comment>
    <comment authorId="0" ref="AC116">
      <text>
        <t xml:space="preserve">2x120mm fan on top +
1x120mm slim 15mm fan on bottom</t>
      </text>
    </comment>
    <comment authorId="0" ref="B117">
      <text>
        <t xml:space="preserve">Aliexpress Link:
https://www.aliexpress.com/item/10000224174198.html</t>
      </text>
    </comment>
    <comment authorId="0" ref="AK117">
      <text>
        <t xml:space="preserve">+¥88 for one aluminium side panel</t>
      </text>
    </comment>
    <comment authorId="0" ref="U119">
      <text>
        <t xml:space="preserve">ATX PSU up to 140mm length</t>
      </text>
    </comment>
    <comment authorId="0" ref="AC122">
      <text>
        <t xml:space="preserve">2x120mm or 2x140mm fans</t>
      </text>
    </comment>
    <comment authorId="0" ref="AD122">
      <text>
        <t xml:space="preserve">2x120mm or 2x140mm fans</t>
      </text>
    </comment>
    <comment authorId="0" ref="O124">
      <text>
        <t xml:space="preserve">220mm with low profile card
112mm with standard height card</t>
      </text>
    </comment>
    <comment authorId="0" ref="P124">
      <text>
        <t xml:space="preserve">60.75mm with low profile card
120mm with standard height card</t>
      </text>
    </comment>
    <comment authorId="0" ref="R124">
      <text>
        <t xml:space="preserve">Length of 114mm when full-profile, 220mm when low-profile</t>
      </text>
    </comment>
    <comment authorId="0" ref="V124">
      <text>
        <t xml:space="preserve">8 Hot-Swap Bays</t>
      </text>
    </comment>
    <comment authorId="0" ref="L125">
      <text>
        <t xml:space="preserve">Configurable spine:
CPU 55mm / GPU 70mm
CPU 72mm / GPU 52mm</t>
      </text>
    </comment>
    <comment authorId="0" ref="M125">
      <text>
        <t xml:space="preserve">up to 57mm fan + radiator thickness</t>
      </text>
    </comment>
    <comment authorId="0" ref="O125">
      <text>
        <t xml:space="preserve">305mm with 1x3.5" drive
330mm without 3.5" drive</t>
      </text>
    </comment>
    <comment authorId="0" ref="Q125">
      <text>
        <t xml:space="preserve">Configurable spine:
CPU 55mm / GPU 70mm
CPU 72mm / GPU 52mm</t>
      </text>
    </comment>
    <comment authorId="0" ref="U125">
      <text>
        <t xml:space="preserve">ATX PSU up to 140mm length</t>
      </text>
    </comment>
    <comment authorId="0" ref="AC125">
      <text>
        <t xml:space="preserve">2x120mm at top +
2x120mm slim 15mm at bottom depending on configuration</t>
      </text>
    </comment>
    <comment authorId="0" ref="AK126">
      <text>
        <t xml:space="preserve">¥1688 with riser cable</t>
      </text>
    </comment>
    <comment authorId="0" ref="AK127">
      <text>
        <t xml:space="preserve">¥1899 with riser cable</t>
      </text>
    </comment>
    <comment authorId="0" ref="M128">
      <text>
        <t xml:space="preserve">240mm radiator is compatible with carbon fibre side panel and side bracket</t>
      </text>
    </comment>
    <comment authorId="0" ref="AC128">
      <text>
        <t xml:space="preserve">1x120mm case fan +
2x120mm case fan with optional side bracket</t>
      </text>
    </comment>
    <comment authorId="0" ref="AK128">
      <text>
        <t xml:space="preserve">¥1678 case with glass panel
¥1858 case with glass panel + 240mm side bracket + carbon fibre side panel</t>
      </text>
    </comment>
    <comment authorId="0" ref="V130">
      <text>
        <t xml:space="preserve">1x2.5" or 1x5.25" drive</t>
      </text>
    </comment>
    <comment authorId="0" ref="X130">
      <text>
        <t xml:space="preserve">1x5.25" or 1x2.5" drive</t>
      </text>
    </comment>
    <comment authorId="0" ref="L131">
      <text>
        <t xml:space="preserve">Can be adjusted between:
CPU 75mm / GPU 55mm
CPU 67mm / GPU 63mm
CPU 58mm / GPU 72mm
CPU 48mm / GPU 82mm</t>
      </text>
    </comment>
    <comment authorId="0" ref="M131">
      <text>
        <t xml:space="preserve">Radiator and fans up to 315x145x55mm </t>
      </text>
    </comment>
    <comment authorId="0" ref="Q131">
      <text>
        <t xml:space="preserve">Can be adjusted between:
CPU 75mm / GPU 55mm
CPU 67mm / GPU 63mm
CPU 58mm / GPU 72mm
CPU 48mm / GPU 82mm</t>
      </text>
    </comment>
    <comment authorId="0" ref="U131">
      <text>
        <t xml:space="preserve">ATX PSU up to 150mm length</t>
      </text>
    </comment>
    <comment authorId="0" ref="AC131">
      <text>
        <t xml:space="preserve">2x120mm or 2x140mm slim 15mm fans at top +
2x120mm or 2x140mm fans at bottom</t>
      </text>
    </comment>
    <comment authorId="0" ref="AD131">
      <text>
        <t xml:space="preserve">2x120mm or 2x140mm slim 15mm fans at top +
2x120mm or 2x140mm fans at bottom</t>
      </text>
    </comment>
    <comment authorId="0" ref="B132">
      <text>
        <t xml:space="preserve">Aliexpress Link:
https://www.aliexpress.com/item/4000093820853.html</t>
      </text>
    </comment>
    <comment authorId="0" ref="O133">
      <text>
        <t xml:space="preserve">200mm with SFX-L PSU
280mm with SFX PSU</t>
      </text>
    </comment>
    <comment authorId="0" ref="P133">
      <text>
        <t xml:space="preserve">125mm for &gt;265mm length
135mm for &lt;265mm length</t>
      </text>
    </comment>
    <comment authorId="0" ref="Q133">
      <text>
        <t xml:space="preserve">40mm with 2x120mm fans
50mm with 2x120mm slim fans
65mm without 2x120mm fans</t>
      </text>
    </comment>
    <comment authorId="0" ref="U133">
      <text>
        <t xml:space="preserve">200mm GPU length with SFX-L PSU
280mm GPU length with SFX PSU</t>
      </text>
    </comment>
    <comment authorId="0" ref="AC133">
      <text>
        <t xml:space="preserve">1x120mm slim 15mm fan on top +
2x120mm fans on bottom</t>
      </text>
    </comment>
    <comment authorId="0" ref="O134">
      <text>
        <t xml:space="preserve">up to 285mm if using Flex ATX PSU</t>
      </text>
    </comment>
    <comment authorId="0" ref="M136">
      <text>
        <t xml:space="preserve">240mm AIOs only fit one 120mm fan</t>
      </text>
    </comment>
    <comment authorId="0" ref="O137">
      <text>
        <t xml:space="preserve">within 
266x135x52mm or 
275x125x60mm</t>
      </text>
    </comment>
    <comment authorId="0" ref="P137">
      <text>
        <t xml:space="preserve">within 
266x135x52mm or 
275x125x60mm</t>
      </text>
    </comment>
    <comment authorId="0" ref="Q137">
      <text>
        <t xml:space="preserve">within 
266x135x52mm or 
275x125x60mm</t>
      </text>
    </comment>
    <comment authorId="0" ref="AC137">
      <text>
        <t xml:space="preserve">Slim 15mm fan</t>
      </text>
    </comment>
    <comment authorId="0" ref="L138">
      <text>
        <t xml:space="preserve">Adjustable between
64mm CPU / 62mm GPU
74mm CPU / 52mm GPU</t>
      </text>
    </comment>
    <comment authorId="0" ref="M138">
      <text>
        <t xml:space="preserve">120mm AIO with SFX PSU
Case can be expanded with optional  top hat to support 240mm AIO</t>
      </text>
    </comment>
    <comment authorId="0" ref="O138">
      <text>
        <t xml:space="preserve">260mm with 2x3.5" drives
360mm without 3.5" drives</t>
      </text>
    </comment>
    <comment authorId="0" ref="Q138">
      <text>
        <t xml:space="preserve">Adjustable between
64mm CPU / 62mm GPU
74mm CPU / 52mm GPU</t>
      </text>
    </comment>
    <comment authorId="0" ref="U138">
      <text>
        <t xml:space="preserve">a 120mm AIO can be installed with SFX PSU
ATX PSU up to 140mm length</t>
      </text>
    </comment>
    <comment authorId="0" ref="W138">
      <text>
        <t xml:space="preserve">2x3.5" drives with GPU length less than 260mm</t>
      </text>
    </comment>
    <comment authorId="0" ref="AC138">
      <text>
        <t xml:space="preserve">2x120mm or 2x140mm fans</t>
      </text>
    </comment>
    <comment authorId="0" ref="AD138">
      <text>
        <t xml:space="preserve">2x120mm or 2x140mm fans</t>
      </text>
    </comment>
    <comment authorId="0" ref="U139">
      <text>
        <t xml:space="preserve">ATX PSU up to 140mm length. ATX PSU will reduce GPU thickness to 45mm</t>
      </text>
    </comment>
    <comment authorId="0" ref="B140">
      <text>
        <t xml:space="preserve">Aliexpress link:
https://www.aliexpress.com/item/32835074662.html
JD https://item.jd.com/1071098.html</t>
      </text>
    </comment>
    <comment authorId="0" ref="AK143">
      <text>
        <t xml:space="preserve">+¥200 for top hat</t>
      </text>
    </comment>
    <comment authorId="0" ref="M144">
      <text>
        <t xml:space="preserve">159x152x27mm max radiator size</t>
      </text>
    </comment>
    <comment authorId="0" ref="AC144">
      <text>
        <t xml:space="preserve">2x120mm slim 15mm fans on top +
1x120mm fan below PSU +
1x120mm slim 15mm fan below motherboard</t>
      </text>
    </comment>
    <comment authorId="0" ref="L146">
      <text>
        <t xml:space="preserve">Adjustable between CPU and GPU:
59mm CPU / 63mm GPU
72mm CPU / 48mm GPU</t>
      </text>
    </comment>
    <comment authorId="0" ref="Q146">
      <text>
        <t xml:space="preserve">Adjustable between CPU and GPU:
59mm CPU / 63mm GPU
72mm CPU / 48mm GPU</t>
      </text>
    </comment>
    <comment authorId="0" ref="AC146">
      <text>
        <t xml:space="preserve">2x120mm slim 15mm fans at top +
2x120mm slim 15mm fans at bottom</t>
      </text>
    </comment>
    <comment authorId="0" ref="V148">
      <text>
        <t xml:space="preserve">1x2.5" or 1x3.5" drive or 1x120mm fan at bottom</t>
      </text>
    </comment>
    <comment authorId="0" ref="W148">
      <text>
        <t xml:space="preserve">1x2.5" or 1x3.5" drive or 1x120mm fan at bottom</t>
      </text>
    </comment>
    <comment authorId="0" ref="AC148">
      <text>
        <t xml:space="preserve">1x120mm fan + 1x120mm fan or 1x2.5" or 1x3.5" drive at bottom</t>
      </text>
    </comment>
    <comment authorId="0" ref="V149">
      <text>
        <t xml:space="preserve">2x2.5" drives +
1x2.5" or 1x3.5" with GPU length less than 200mm</t>
      </text>
    </comment>
    <comment authorId="0" ref="W149">
      <text>
        <t xml:space="preserve">1x2.5" or 1x3.5" with GPU length less than 200mm</t>
      </text>
    </comment>
    <comment authorId="0" ref="M151">
      <text>
        <t xml:space="preserve">up to 52mm rad+fan thickness</t>
      </text>
    </comment>
    <comment authorId="0" ref="AK151">
      <text>
        <t xml:space="preserve">¥328 double tempered glass panel
¥348 one glass + one alu panel
¥368 double aluminium panel
+¥100 riser cable</t>
      </text>
    </comment>
    <comment authorId="0" ref="B152">
      <text>
        <t xml:space="preserve">Taobao link:
https://detail.tmall.com/item.htm?id=628465086814</t>
      </text>
    </comment>
    <comment authorId="0" ref="AC154">
      <text>
        <t xml:space="preserve">Optional 2x120mm fans for radiator</t>
      </text>
    </comment>
    <comment authorId="0" ref="L156">
      <text>
        <t xml:space="preserve">Adjustable between:
CPU 58mm / GPU 65mm
CPU 68mm / GPU 55mm</t>
      </text>
    </comment>
    <comment authorId="0" ref="M156">
      <text>
        <t xml:space="preserve">Max radiator 27mm thick
Max fan 25mm thick</t>
      </text>
    </comment>
    <comment authorId="0" ref="O156">
      <text>
        <t xml:space="preserve">305mm with 3.5" drive</t>
      </text>
    </comment>
    <comment authorId="0" ref="Q156">
      <text>
        <t xml:space="preserve">Adjustable between:
CPU 58mm / GPU 65mm
CPU 68mm / GPU 55mm</t>
      </text>
    </comment>
    <comment authorId="0" ref="R156">
      <text>
        <t xml:space="preserve">Optional accessory for 3 PCIe slot rear panel</t>
      </text>
    </comment>
    <comment authorId="0" ref="V156">
      <text>
        <t xml:space="preserve">1x2.5" or 1x3.5" drive</t>
      </text>
    </comment>
    <comment authorId="0" ref="W156">
      <text>
        <t xml:space="preserve">1x2.5" or 1x3.5" drive</t>
      </text>
    </comment>
    <comment authorId="0" ref="AC156">
      <text>
        <t xml:space="preserve">2x120mm or 2x140mm at top +
2x120mm or 2x140mm at bottom</t>
      </text>
    </comment>
    <comment authorId="0" ref="AD156">
      <text>
        <t xml:space="preserve">2x120mm or 2x140mm at top +
2x120mm or 2x140mm at bottom</t>
      </text>
    </comment>
    <comment authorId="0" ref="U159">
      <text>
        <t xml:space="preserve">up to 140mm length</t>
      </text>
    </comment>
    <comment authorId="0" ref="V159">
      <text>
        <t xml:space="preserve">3x2.5" drives +
1x2.5" drive or 1x120mm fan</t>
      </text>
    </comment>
    <comment authorId="0" ref="AC159">
      <text>
        <t xml:space="preserve">2x120mm fans or 
1x120mm fan + 1x2.5" drive</t>
      </text>
    </comment>
    <comment authorId="0" ref="AD159">
      <text>
        <t xml:space="preserve">1x140mm fan included</t>
      </text>
    </comment>
    <comment authorId="0" ref="G160">
      <text>
        <t xml:space="preserve">up to 21.1L depending on expansion mode</t>
      </text>
    </comment>
    <comment authorId="0" ref="L160">
      <text>
        <t xml:space="preserve">74mm with 2 PCIe slots
54mm with 3 PCIe slots</t>
      </text>
    </comment>
    <comment authorId="0" ref="M160">
      <text>
        <t xml:space="preserve">Can support AIOs up to 45mm thick radiator in expanded mode
</t>
      </text>
    </comment>
    <comment authorId="0" ref="Q160">
      <text>
        <t xml:space="preserve">50mm with 2 PCIe slots
70mm with 3 PCIe slots</t>
      </text>
    </comment>
    <comment authorId="0" ref="R160">
      <text>
        <t xml:space="preserve">Adjustable to 2 or 3 slots</t>
      </text>
    </comment>
    <comment authorId="0" ref="W160">
      <text>
        <t xml:space="preserve">Depends on expansion</t>
      </text>
    </comment>
    <comment authorId="0" ref="AC160">
      <text>
        <t xml:space="preserve">Depends on expansion</t>
      </text>
    </comment>
    <comment authorId="0" ref="AD160">
      <text>
        <t xml:space="preserve">Depends on expansion</t>
      </text>
    </comment>
    <comment authorId="0" ref="L161">
      <text>
        <t xml:space="preserve">Adjustable between 50-65mm in exchange of GPU thickness</t>
      </text>
    </comment>
    <comment authorId="0" ref="O161">
      <text>
        <t xml:space="preserve">up to 320mm length for GPU with 50mm thickness or lower</t>
      </text>
    </comment>
    <comment authorId="0" ref="Q161">
      <text>
        <t xml:space="preserve">Adjustable between 43-56mm in exchange of CPU cooler height</t>
      </text>
    </comment>
    <comment authorId="0" ref="O162">
      <text>
        <t xml:space="preserve">240mm or less GPU length can install 1x120mm fan in front</t>
      </text>
    </comment>
    <comment authorId="0" ref="AC162">
      <text>
        <t xml:space="preserve">1x120mm fan +
1x120mm fan in front if GPU length is 240mm or less</t>
      </text>
    </comment>
    <comment authorId="0" ref="B163">
      <text>
        <t xml:space="preserve">Taobao link:
https://item.taobao.com/item.htm?id=577770767746</t>
      </text>
    </comment>
    <comment authorId="0" ref="M163">
      <text>
        <t xml:space="preserve">Radiator thickness up to 57mm
Radiator width up to 122mm</t>
      </text>
    </comment>
    <comment authorId="0" ref="U163">
      <text>
        <t xml:space="preserve">Bottom 120mm case fan cannot be installed if using SFX-L PSU</t>
      </text>
    </comment>
    <comment authorId="0" ref="AC163">
      <text>
        <t xml:space="preserve">Bottom fan cannot be installed if using SFX-L PSU</t>
      </text>
    </comment>
    <comment authorId="0" ref="M164">
      <text>
        <t xml:space="preserve">120 radiator can be installed with GPU less than 175mm length
280 radiator can be installed without GPU or with waterblocked GPU
fit radiators up to 328mm length and 144mm width</t>
      </text>
    </comment>
    <comment authorId="0" ref="O164">
      <text>
        <t xml:space="preserve">325mm with front 2.5" drive
335mm without front 2.5" drive</t>
      </text>
    </comment>
    <comment authorId="0" ref="P164">
      <text>
        <t xml:space="preserve">125mm including cable with top fans
137mm excluding cable
151mm including cable without top fans</t>
      </text>
    </comment>
    <comment authorId="0" ref="Q164">
      <text>
        <t xml:space="preserve">57mm with side fans
82mm without side fans</t>
      </text>
    </comment>
    <comment authorId="0" ref="AC164">
      <text>
        <t xml:space="preserve">2x120mm or 2x140mm fans at side</t>
      </text>
    </comment>
    <comment authorId="0" ref="AD164">
      <text>
        <t xml:space="preserve">2x120mm or 2x140mm fans at side</t>
      </text>
    </comment>
    <comment authorId="0" ref="AC165">
      <text>
        <t xml:space="preserve">1x120mm fan can be installed at the front of the case if GPU length less than 240mm</t>
      </text>
    </comment>
    <comment authorId="0" ref="B166">
      <text>
        <t xml:space="preserve">Aliexpress link:
https://www.aliexpress.com/item/32833664949.html
Banggood link:
https://usa.banggood.com/CEMO-L1-Aluminum-Mini-Chassis-for-HTPC-Mini-ITX-Desktop-Empty-Computer-Case-p-1533771.html?cur_warehouse=USA</t>
      </text>
    </comment>
    <comment authorId="0" ref="L167">
      <text>
        <t xml:space="preserve">155mm with vertical motherboard
170mm with horizontal motherboard</t>
      </text>
    </comment>
    <comment authorId="0" ref="M167">
      <text>
        <t xml:space="preserve">120mm radiator is only compatible with horizontal motherboard</t>
      </text>
    </comment>
    <comment authorId="0" ref="N167">
      <text>
        <t xml:space="preserve">Necessary for horizontal motherboard</t>
      </text>
    </comment>
    <comment authorId="0" ref="P167">
      <text>
        <t xml:space="preserve">130mm with horizontal motherboard
135mm with vertical motherboard</t>
      </text>
    </comment>
    <comment authorId="0" ref="Q167">
      <text>
        <t xml:space="preserve">44mm with horizontal motherboard
55mm with vertical motherboard</t>
      </text>
    </comment>
    <comment authorId="0" ref="T167">
      <text>
        <t xml:space="preserve">mDTX is only compatible with vertical motherboard</t>
      </text>
    </comment>
    <comment authorId="0" ref="AB167">
      <text>
        <t xml:space="preserve">92mm fan is only compatible with vertical motherboard</t>
      </text>
    </comment>
    <comment authorId="0" ref="AC167">
      <text>
        <t xml:space="preserve">120mm fan is only compatible with horizontal motherboard</t>
      </text>
    </comment>
    <comment authorId="0" ref="U168">
      <text>
        <t xml:space="preserve">ATX PSU up to 160mm length</t>
      </text>
    </comment>
    <comment authorId="0" ref="V168">
      <text>
        <t xml:space="preserve">1x2.5 or 1x3.5" drive</t>
      </text>
    </comment>
    <comment authorId="0" ref="W168">
      <text>
        <t xml:space="preserve">1x2.5 or 1x3.5" drive</t>
      </text>
    </comment>
    <comment authorId="0" ref="L169">
      <text>
        <t xml:space="preserve">130mm height with side bracket</t>
      </text>
    </comment>
    <comment authorId="0" ref="M169">
      <text>
        <t xml:space="preserve">bottom 240mm rad is only compatible with custom watercooling and waterblock for GPU</t>
      </text>
    </comment>
    <comment authorId="0" ref="O169">
      <text>
        <t xml:space="preserve">Cards 2.2 slots (45mm) or less:
-Length: 322mm
-Width: 140mm at mid-card, 130mm at rear corner, 125mm at front corner (if over 280mm long)
Cards over 2.2 slots (45mm):
-Length: 280mm (with front I/O ports), 290mm (with front I/O ports removed)
-Width: 130mm, 125mm at front corner (if over 280mm long)
Please allow 15-20mm for PCIe power connectors on GPU height limits
Also see M1 GPU Compatibility List
https://smallformfactor.net/forum/threads/ncase-m1-v6-gpu-compatibility-list.11305/</t>
      </text>
    </comment>
    <comment authorId="0" ref="P169">
      <text>
        <t xml:space="preserve">Cards 2.2 slots (45mm) or less:
-Length: 317mm
-Width: 140mm at mid-card, 130mm at rear corner, 125mm at front corner (if over 280mm long)
Cards over 2.2 slots (45mm):
-Length: 280mm (with front I/O ports), 290mm (with front I/O ports removed)
-Width: 130mm, 125mm at front corner (if over 280mm long)
Please allow 15-20mm for PCIe power connectors on GPU height limits
Also see M1 GPU Compatibility List
https://smallformfactor.net/forum/threads/ncase-m1-v6-gpu-compatibility-list.11305/</t>
      </text>
    </comment>
    <comment authorId="0" ref="Q169">
      <text>
        <t xml:space="preserve">Cards 2.2 slots (45mm) or less:
-Length: 317mm
-Width: 140mm at mid-card, 130mm at rear corner, 125mm at front corner (if over 280mm long)
Cards over 2.2 slots (45mm):
-Length: 280mm (with front I/O ports), 290mm (with front I/O ports removed)
-Width: 130mm, 125mm at front corner (if over 280mm long)
Please allow 15-20mm for PCIe power connectors on GPU height limits
Also see M1 GPU Compatibility List
https://smallformfactor.net/forum/threads/ncase-m1-v6-gpu-compatibility-list.11305/</t>
      </text>
    </comment>
    <comment authorId="0" ref="T169">
      <text>
        <t xml:space="preserve">NCase M1 can fit mATX boards up to 226x244mm with front mounted SFX PSU. Its not recommended as its not officially supported and can be difficult to install</t>
      </text>
    </comment>
    <comment authorId="0" ref="U170">
      <text>
        <t xml:space="preserve">ATX PSU up to 140mm length</t>
      </text>
    </comment>
    <comment authorId="0" ref="V170">
      <text>
        <t xml:space="preserve">1x2.5" or 1x3.5" drive</t>
      </text>
    </comment>
    <comment authorId="0" ref="W170">
      <text>
        <t xml:space="preserve">1x2.5" or 1x3.5" drive</t>
      </text>
    </comment>
    <comment authorId="0" ref="AC170">
      <text>
        <t xml:space="preserve">1x120mm slim 15mm fan +
1x120mm fan at rear</t>
      </text>
    </comment>
    <comment authorId="0" ref="L171">
      <text>
        <t xml:space="preserve">Adjustable between:
75mm CPU / 52mm GPU
55mm CPU / 72mm GPU</t>
      </text>
    </comment>
    <comment authorId="0" ref="Q171">
      <text>
        <t xml:space="preserve">Adjustable between:
75mm CPU / 52mm GPU
55mm CPU / 72mm GPU</t>
      </text>
    </comment>
    <comment authorId="0" ref="R171">
      <text>
        <t xml:space="preserve">Adjustable between 2 or 3 PCIe slots</t>
      </text>
    </comment>
    <comment authorId="0" ref="U171">
      <text>
        <t xml:space="preserve">ATX PSU up to 140mm length. ATX PSU will limit GPU thickness to 52mm</t>
      </text>
    </comment>
    <comment authorId="0" ref="W172">
      <text>
        <t xml:space="preserve">reduce GPU length</t>
      </text>
    </comment>
    <comment authorId="0" ref="O173">
      <text>
        <t xml:space="preserve">170mm length if using SFX-L PSU</t>
      </text>
    </comment>
    <comment authorId="0" ref="U173">
      <text>
        <t xml:space="preserve">SFX-L will reduce GPU length to 170mm length</t>
      </text>
    </comment>
    <comment authorId="0" ref="V173">
      <text>
        <t xml:space="preserve">2x2.5" + 2x3.5" drives or
8x2.5" drives</t>
      </text>
    </comment>
    <comment authorId="0" ref="W173">
      <text>
        <t xml:space="preserve">2x2.5" + 2x3.5" drives or
8x2.5" drives</t>
      </text>
    </comment>
    <comment authorId="0" ref="AC173">
      <text>
        <t xml:space="preserve">2x120mm fans can fit if GPU is within two slot</t>
      </text>
    </comment>
    <comment authorId="0" ref="O174">
      <text>
        <t xml:space="preserve">170mm for ATX PSU longer &gt;=170mm</t>
      </text>
    </comment>
    <comment authorId="0" ref="U174">
      <text>
        <t xml:space="preserve">ATX PSU up to 140mm length. Length &gt;=170mm will reduce GPU length to 170mm</t>
      </text>
    </comment>
    <comment authorId="0" ref="AC174">
      <text>
        <t xml:space="preserve">2x120mm slim 15mm fans on bottom +
1x120mm or 1x140mm(with 120mm mounting position) fan on top</t>
      </text>
    </comment>
    <comment authorId="0" ref="AD174">
      <text>
        <t xml:space="preserve">1x120mm or 1x140mm(with 120mm mounting position) fan on top</t>
      </text>
    </comment>
    <comment authorId="0" ref="L175">
      <text>
        <t xml:space="preserve">Can be adjusted between:
CPU 48-75mm / GPU 40-82mm</t>
      </text>
    </comment>
    <comment authorId="0" ref="M175">
      <text>
        <t xml:space="preserve">Radiator and fans up to 320x145x55mm </t>
      </text>
    </comment>
    <comment authorId="0" ref="Q175">
      <text>
        <t xml:space="preserve">Can be adjusted between:
CPU 48-75mm / GPU 40-82mm</t>
      </text>
    </comment>
    <comment authorId="0" ref="U175">
      <text>
        <t xml:space="preserve">ATX PSU up to 150mm length</t>
      </text>
    </comment>
    <comment authorId="0" ref="AC175">
      <text>
        <t xml:space="preserve">2x120mm or 2x140mm slim 15mm fans at top +
2x120mm or 2x140mm fans at bottom</t>
      </text>
    </comment>
    <comment authorId="0" ref="AD175">
      <text>
        <t xml:space="preserve">2x120mm or 2x140mm slim 15mm fans at top +
2x120mm or 2x140mm fans at bottom</t>
      </text>
    </comment>
    <comment authorId="0" ref="AK176">
      <text>
        <t xml:space="preserve">+¥99 for aluminium side panel
+¥88 for coated tempered glass
+¥29 for 2nd hard drive bracket</t>
      </text>
    </comment>
    <comment authorId="0" ref="V177">
      <text>
        <t xml:space="preserve">2x2.5" or 1x3.5" drives</t>
      </text>
    </comment>
    <comment authorId="0" ref="W177">
      <text>
        <t xml:space="preserve">2x2.5" or 1x3.5" drives</t>
      </text>
    </comment>
    <comment authorId="0" ref="M181">
      <text>
        <t xml:space="preserve">up to 60mm total thickness of rad and fans</t>
      </text>
    </comment>
    <comment authorId="0" ref="AC181">
      <text>
        <t xml:space="preserve">2x120mm or 2x140mm case fans</t>
      </text>
    </comment>
    <comment authorId="0" ref="AD181">
      <text>
        <t xml:space="preserve">2x120mm or 2x140mm case fans</t>
      </text>
    </comment>
    <comment authorId="0" ref="L182">
      <text>
        <t xml:space="preserve">85mm with ATX PSU
107-172mm with SFX PSU depending on tower cooler dimensions</t>
      </text>
    </comment>
    <comment authorId="0" ref="M182">
      <text>
        <t xml:space="preserve">120mm radiator in front is only compatible with SFX / SFX-L PSU</t>
      </text>
    </comment>
    <comment authorId="0" ref="O182">
      <text>
        <t xml:space="preserve">up to 240mm for GPU that is 55mm thick
up to 275mm for GPU that is 50mm thick</t>
      </text>
    </comment>
    <comment authorId="0" ref="Q182">
      <text>
        <t xml:space="preserve">up to 50mm for GPU longer than 240mm
up to 55mm for GPU that is 240mm or shorter</t>
      </text>
    </comment>
    <comment authorId="0" ref="V182">
      <text>
        <t xml:space="preserve">1x2.5" drive +
1x2.5" or 1x3.5" drives or 1x80mm or 1x92mm or 1x120mm fan at front</t>
      </text>
    </comment>
    <comment authorId="0" ref="W182">
      <text>
        <t xml:space="preserve">1x2.5" or 1x3.5" drives or 1x80mm or 1x92mm or 1x120mm fan at front</t>
      </text>
    </comment>
    <comment authorId="0" ref="AA182">
      <text>
        <t xml:space="preserve">1x2.5" or 1x3.5" drives or 1x80mm or 1x92mm or 1x120mm fan at front</t>
      </text>
    </comment>
    <comment authorId="0" ref="AB182">
      <text>
        <t xml:space="preserve">1x2.5" or 1x3.5" drives or 1x80mm or 1x92mm or 1x120mm fan at front</t>
      </text>
    </comment>
    <comment authorId="0" ref="AC182">
      <text>
        <t xml:space="preserve">1x120mm at rear +
1x2.5" or 1x3.5" drives or 1x80mm or 1x92mm or 1x120mm fan at front
120mm fan at front is only compatible with SFX / SFX-L PSU</t>
      </text>
    </comment>
    <comment authorId="0" ref="O183">
      <text>
        <t xml:space="preserve">300mm with front 140mm fan
330mm without front 140mm fan</t>
      </text>
    </comment>
    <comment authorId="0" ref="Q185">
      <text>
        <t xml:space="preserve">45mm with 3.5" drives
55mm with 2.5" drives
65mm without any drives</t>
      </text>
    </comment>
    <comment authorId="0" ref="V185">
      <text>
        <t xml:space="preserve">2x2.5" + 1x3.5" drives or
4x2.5" drives</t>
      </text>
    </comment>
    <comment authorId="0" ref="W185">
      <text>
        <t xml:space="preserve">2x2.5" + 1x3.5" drives or
4x2.5" drives</t>
      </text>
    </comment>
    <comment authorId="0" ref="AC185">
      <text>
        <t xml:space="preserve">1x120mm or 1x140mm slim 15mm fan
Limited compatibility for 140mm fan</t>
      </text>
    </comment>
    <comment authorId="0" ref="AD185">
      <text>
        <t xml:space="preserve">1x120mm or 1x140mm slim 15mm fan
Limited compatibility for 140mm fan</t>
      </text>
    </comment>
    <comment authorId="0" ref="AB186">
      <text>
        <t xml:space="preserve">1x92mm fan at rear + 
3x92mm or 2x120mm fans at bottom</t>
      </text>
    </comment>
    <comment authorId="0" ref="AC186">
      <text>
        <t xml:space="preserve">3x92mm or 2x120mm fans at bottom</t>
      </text>
    </comment>
    <comment authorId="0" ref="AG186">
      <text>
        <t xml:space="preserve">2xUSB 2.0 or 2xUSB 3.0</t>
      </text>
    </comment>
    <comment authorId="0" ref="AH186">
      <text>
        <t xml:space="preserve">2xUSB 2.0 or 2xUSB 3.0</t>
      </text>
    </comment>
    <comment authorId="0" ref="A188">
      <text>
        <t xml:space="preserve">Taobao Link:
https://shop127547001.world.taobao.com/</t>
      </text>
    </comment>
    <comment authorId="0" ref="B188">
      <text>
        <t xml:space="preserve">Taobao Link:
https://item.taobao.com/item.htm?id=639662314385</t>
      </text>
    </comment>
    <comment authorId="0" ref="T188">
      <text>
        <t xml:space="preserve">mDTX motherboard only compatible with SFX PSU in low position</t>
      </text>
    </comment>
    <comment authorId="0" ref="U188">
      <text>
        <t xml:space="preserve">No 2.5" drives with ATX PSU
1x2.5" drive with SFX PSU in low position
3x2.5" drives with SFX PSU in high position</t>
      </text>
    </comment>
    <comment authorId="0" ref="V188">
      <text>
        <t xml:space="preserve">No 2.5" drives with ATX PSU
1x2.5" drive with SFX PSU in low position
3x2.5" drives with SFX PSU in high position</t>
      </text>
    </comment>
    <comment authorId="0" ref="M190">
      <text>
        <t xml:space="preserve">Max dimensions 295x130x60mm</t>
      </text>
    </comment>
    <comment authorId="0" ref="V190">
      <text>
        <t xml:space="preserve">2x2.5"+1x3.5" drives or 1x120mm case fan</t>
      </text>
    </comment>
    <comment authorId="0" ref="W190">
      <text>
        <t xml:space="preserve">2x2.5"+1x3.5" drives or 1x120mm case fan</t>
      </text>
    </comment>
    <comment authorId="0" ref="AC190">
      <text>
        <t xml:space="preserve">3x120mm case fans + (1x120mm case fan or 2x2.5"+1x3.5" drives)</t>
      </text>
    </comment>
    <comment authorId="0" ref="AB191">
      <text>
        <t xml:space="preserve">Slim 15mm fans</t>
      </text>
    </comment>
    <comment authorId="0" ref="M192">
      <text>
        <t xml:space="preserve">Radiator Mounting
2x 120mm radiator on side
1x 240mm radiator on side
1x 280mm radiator on side
Dual Radiator Options (custom loop only)
1x 240mm radiator on bottom, with slim fans + choice of side radiator from above
Side Bracket Radiator + Fans must be less than 70mm thick</t>
      </text>
    </comment>
    <comment authorId="0" ref="U192">
      <text>
        <t xml:space="preserve">SFX-L is not recommended</t>
      </text>
    </comment>
    <comment authorId="0" ref="V192">
      <text>
        <t xml:space="preserve">2x2.5" drives +
optional brackets for 2x2.5" drives</t>
      </text>
    </comment>
    <comment authorId="0" ref="W192">
      <text>
        <t xml:space="preserve">Optional brackets for 3x3.5" drives</t>
      </text>
    </comment>
    <comment authorId="0" ref="AC192">
      <text>
        <t xml:space="preserve">2x120mm or 140mm fans at side bracket +
2x120mm slim 15mm fans at top +
1x120mm fan at front</t>
      </text>
    </comment>
    <comment authorId="0" ref="AD192">
      <text>
        <t xml:space="preserve">2x120mm or 140mm at side bracket</t>
      </text>
    </comment>
    <comment authorId="0" ref="B194">
      <text>
        <t xml:space="preserve">Aliexpress link:
https://www.aliexpress.com/item/1005001878905070.html</t>
      </text>
    </comment>
    <comment authorId="0" ref="W194">
      <text>
        <t xml:space="preserve">1x3.5" drive or 2x92mm or 2x120mm fans at bottom</t>
      </text>
    </comment>
    <comment authorId="0" ref="AA194">
      <text>
        <t xml:space="preserve">2x80mm or 2x92mm fans at top</t>
      </text>
    </comment>
    <comment authorId="0" ref="AB194">
      <text>
        <t xml:space="preserve">1x92mm fan at rear +
2x80mm or 2x92mm fans at top +
2x92mm or 2x120mm fans or 1x3.5" drive at bottom</t>
      </text>
    </comment>
    <comment authorId="0" ref="AC194">
      <text>
        <t xml:space="preserve">2x120mm fans at side if using side brackets +
2x92mm or 2x120mm fans or 1x3.5" drive at bottom</t>
      </text>
    </comment>
    <comment authorId="0" ref="O195">
      <text>
        <t xml:space="preserve">170mm with ATX PSU
267mm length if using an SFX PSU with ATX bracket</t>
      </text>
    </comment>
    <comment authorId="0" ref="B196">
      <text>
        <t xml:space="preserve">Aliexpress Link
https://www.aliexpress.com/item/32917669134.html</t>
      </text>
    </comment>
    <comment authorId="0" ref="L200">
      <text>
        <t xml:space="preserve">Adjustable between
65mm CPU / 59mm GPU
73mm CPU / 51mm GPU</t>
      </text>
    </comment>
    <comment authorId="0" ref="Q200">
      <text>
        <t xml:space="preserve">Adjustable between
65mm CPU / 59mm GPU
73mm CPU / 51mm GPU
Up to 51mm GPU thickness with ATX PSU</t>
      </text>
    </comment>
    <comment authorId="0" ref="AC200">
      <text>
        <t xml:space="preserve">2x120mm or 2x140mm case fans</t>
      </text>
    </comment>
    <comment authorId="0" ref="AD200">
      <text>
        <t xml:space="preserve">2x120mm or 2x140mm case fans</t>
      </text>
    </comment>
    <comment authorId="0" ref="B201">
      <text>
        <t xml:space="preserve">Aliexpress Link:
https://www.aliexpress.com/item/10000232418403.html</t>
      </text>
    </comment>
    <comment authorId="0" ref="V201">
      <text>
        <t xml:space="preserve">1x2.5 or 1x120mm case fan</t>
      </text>
    </comment>
    <comment authorId="0" ref="W201">
      <text>
        <t xml:space="preserve">1x3.5" or 1x120mm case fan</t>
      </text>
    </comment>
    <comment authorId="0" ref="AC201">
      <text>
        <t xml:space="preserve">2x120mm case fans +
1x2.5" or 1x120mm case fan +
1x3.5" or 1x120mm case fan</t>
      </text>
    </comment>
    <comment authorId="0" ref="AK201">
      <text>
        <t xml:space="preserve">price include riser cable + 2x120mm case fans</t>
      </text>
    </comment>
    <comment authorId="0" ref="AB202">
      <text>
        <t xml:space="preserve">1x92mm or 1x120mm at bottom</t>
      </text>
    </comment>
    <comment authorId="0" ref="AC202">
      <text>
        <t xml:space="preserve">2x120mm or 2x140mm at top +
1x92mm or 1x120mm at bottom</t>
      </text>
    </comment>
    <comment authorId="0" ref="AD202">
      <text>
        <t xml:space="preserve">2x120mm or 2x140mm at top</t>
      </text>
    </comment>
    <comment authorId="0" ref="B203">
      <text>
        <t xml:space="preserve">Aliexpress link:
https://www.aliexpress.com/item/10000221324472.html</t>
      </text>
    </comment>
    <comment authorId="0" ref="U205">
      <text>
        <t xml:space="preserve">ATX PSU up to 140mm length. ATX PSU will reduce GPU to 45mm thickness</t>
      </text>
    </comment>
    <comment authorId="0" ref="A207">
      <text>
        <t xml:space="preserve">Taobao store:
https://heimaike.world.taobao.com/</t>
      </text>
    </comment>
    <comment authorId="0" ref="M207">
      <text>
        <t xml:space="preserve">up to 53mm radiator + fans thickness</t>
      </text>
    </comment>
    <comment authorId="0" ref="V207">
      <text>
        <t xml:space="preserve">1x2.5" drive or 1x120mm fan at bottom</t>
      </text>
    </comment>
    <comment authorId="0" ref="AC207">
      <text>
        <t xml:space="preserve">2x120mm fans at top +
1x120mm fan or 1x2.5" drive at bottom</t>
      </text>
    </comment>
    <comment authorId="0" ref="L208">
      <text>
        <t xml:space="preserve">Include 140mm AIO</t>
      </text>
    </comment>
    <comment authorId="0" ref="M208">
      <text>
        <t xml:space="preserve">include 140mm AIO</t>
      </text>
    </comment>
    <comment authorId="0" ref="P208">
      <text>
        <t xml:space="preserve">145mm width for GPU length up to 265mm
128mm width for GPU length more than 265mm
</t>
      </text>
    </comment>
    <comment authorId="0" ref="U208">
      <text>
        <t xml:space="preserve">include modular SFX-L 650W Gold PSU</t>
      </text>
    </comment>
    <comment authorId="0" ref="AD208">
      <text>
        <t xml:space="preserve">include 1x140mm fan</t>
      </text>
    </comment>
    <comment authorId="0" ref="AL208">
      <text>
        <t xml:space="preserve">Price include modular SFX-L 650W Gold PSU, riser cable and 140mm AIO</t>
      </text>
    </comment>
    <comment authorId="0" ref="U210">
      <text>
        <t xml:space="preserve">ATX PSU up to 140mm length</t>
      </text>
    </comment>
    <comment authorId="0" ref="AC210">
      <text>
        <t xml:space="preserve">2x120mm or 2x140mm fans</t>
      </text>
    </comment>
    <comment authorId="0" ref="AD210">
      <text>
        <t xml:space="preserve">2x120mm or 2x140mm fans</t>
      </text>
    </comment>
    <comment authorId="0" ref="B212">
      <text>
        <t xml:space="preserve">Red color:
https://item.taobao.com/item.htm?id=634725009781</t>
      </text>
    </comment>
    <comment authorId="0" ref="W212">
      <text>
        <t xml:space="preserve">4x3.5" drives at top of case or 240/280 radiator +
2x3.5" drives at GPU chamber with GPU length less than 210mm +
1x3.5" drive below PSU or 1x120 or 140mm fan, not compatible with SFX-L PSU</t>
      </text>
    </comment>
    <comment authorId="0" ref="AC212">
      <text>
        <t xml:space="preserve">2x120mm or 140mm fans at top +
1x120mm or 140mm fan below PSU +
1x120mm slim 13mm fan below motherboard</t>
      </text>
    </comment>
    <comment authorId="0" ref="AD212">
      <text>
        <t xml:space="preserve">2x120mm or 140mm fans at top +
1x120mm or 140mm fan below PSU</t>
      </text>
    </comment>
    <comment authorId="0" ref="T213">
      <text>
        <t xml:space="preserve">mATX up to 244x215mm with ATX PSU
mATX up to 244x244mm with SFX PSU</t>
      </text>
    </comment>
    <comment authorId="0" ref="U213">
      <text>
        <t xml:space="preserve">ATX PSU will only fit with mATX board up to 244x215mm</t>
      </text>
    </comment>
    <comment authorId="0" ref="W213">
      <text>
        <t xml:space="preserve">1x3.5" drive or 1x120mm fan</t>
      </text>
    </comment>
    <comment authorId="0" ref="AC213">
      <text>
        <t xml:space="preserve">1x120mm fan on top +
2x120mm fan or 1x120mm + 1x3.5" drive on bottom</t>
      </text>
    </comment>
    <comment authorId="0" ref="O214">
      <text>
        <t xml:space="preserve">245mm with ATX PSU
323mm with SFX / SFX-L PSU</t>
      </text>
    </comment>
    <comment authorId="0" ref="T214">
      <text>
        <t xml:space="preserve">mATX motherboards up to 244x225mm can be fit together with ATX PSU</t>
      </text>
    </comment>
    <comment authorId="0" ref="U214">
      <text>
        <t xml:space="preserve">ATX PSU up to 140mm</t>
      </text>
    </comment>
    <comment authorId="0" ref="AB214">
      <text>
        <t xml:space="preserve">1x92mm fan at rear +
3x92mm or 2x120mm fans at bottom +
2x92mm or 1x120mm fan at top</t>
      </text>
    </comment>
    <comment authorId="0" ref="AC214">
      <text>
        <t xml:space="preserve">3x92mm or 2x120mm fans at bottom +
2x92mm or 1x120mm fan at top</t>
      </text>
    </comment>
    <comment authorId="0" ref="AA215">
      <text>
        <t xml:space="preserve">slim 15mm fan</t>
      </text>
    </comment>
    <comment authorId="0" ref="AC215">
      <text>
        <t xml:space="preserve">slim 15mm fan</t>
      </text>
    </comment>
    <comment authorId="0" ref="U216">
      <text>
        <t xml:space="preserve">up to 160mm length</t>
      </text>
    </comment>
    <comment authorId="0" ref="V216">
      <text>
        <t xml:space="preserve">2x2.5" or 1x3.5" drive or 1x120mm or 1x140mm fan at front +
2x2.5" or 1x3.5" drive or 1x120mm or 1x140mm or 1x200mm fan at bottom</t>
      </text>
    </comment>
    <comment authorId="0" ref="W216">
      <text>
        <t xml:space="preserve">2x2.5" or 1x3.5" drive or 1x120mm or 1x140mm fan at front +
2x2.5" or 1x3.5" drive or 1x120mm or 1x140mm or 1x200mm fan at bottom</t>
      </text>
    </comment>
    <comment authorId="0" ref="AC216">
      <text>
        <t xml:space="preserve">2x2.5" or 1x3.5" drive or 1x120mm or 1x140mm fan at front +
2x2.5" or 1x3.5" drive or 1x120mm or 1x140mm or 1x200mm fan at bottom</t>
      </text>
    </comment>
    <comment authorId="0" ref="AD216">
      <text>
        <t xml:space="preserve">2x2.5" or 1x3.5" drive or 1x120mm or 1x140mm fan at front +
2x2.5" or 1x3.5" drive or 1x120mm or 1x140mm or 1x200mm fan at bottom</t>
      </text>
    </comment>
    <comment authorId="0" ref="AF216">
      <text>
        <t xml:space="preserve">2x2.5" or 1x3.5" drive or 1x120mm or 1x140mm or 1x200mm fan at bottom</t>
      </text>
    </comment>
    <comment authorId="0" ref="P217">
      <text>
        <t xml:space="preserve">133mm with standard inlet
157mm with pigtail inlet</t>
      </text>
    </comment>
    <comment authorId="0" ref="U217">
      <text>
        <t xml:space="preserve">SFX-L is supported but not recommended</t>
      </text>
    </comment>
    <comment authorId="0" ref="V217">
      <text>
        <t xml:space="preserve">2x2.5" drives behind front panel +
2x (4x2.5" or 1x3.5" or 1x120mm case fan)</t>
      </text>
    </comment>
    <comment authorId="0" ref="W217">
      <text>
        <t xml:space="preserve">2x (4x2.5" or 1x3.5" or 1x120mm case fan) +
2x (2x3.5" or 1x120mm case fan or 120mm AIO)</t>
      </text>
    </comment>
    <comment authorId="0" ref="AC217">
      <text>
        <t xml:space="preserve">2x (4x2.5" or 1x3.5" or 1x120mm case fan) +
2x (2x3.5" or 1x120mm case fan or 120mm AIO)</t>
      </text>
    </comment>
    <comment authorId="0" ref="AL217">
      <text>
        <t xml:space="preserve">+$10 for matte white color
+$79 for bifurcation riser
+$8 for both PSU inlet options
+$20 for machined handle
+$15 for top 2x3.5" bracket
+$10 for bottom 1x3.5" bracket
+$10 for bottom 4x2.5" bracket</t>
      </text>
    </comment>
    <comment authorId="0" ref="M218">
      <text>
        <t xml:space="preserve">with optional watercooling side bracket</t>
      </text>
    </comment>
    <comment authorId="0" ref="AC218">
      <text>
        <t xml:space="preserve">One 15mm slim fan on top +
Two 15mm slim fan on bottom for 2 slot GPU + 
Two fans on optional watercooling side bracket</t>
      </text>
    </comment>
    <comment authorId="0" ref="W219">
      <text>
        <t xml:space="preserve">4x3.5" drives at top of case or 240/280 radiator +
2x3.5" drives at GPU chamber with GPU length less than 210mm +
1x3.5" drive below PSU or 1x120 or 140mm fan, not compatible with SFX-L PSU</t>
      </text>
    </comment>
    <comment authorId="0" ref="AC219">
      <text>
        <t xml:space="preserve">2x120mm or 140mm fans at top +
1x120mm or 140mm fan below PSU +
1x120mm slim 13mm fan below motherboard</t>
      </text>
    </comment>
    <comment authorId="0" ref="AD219">
      <text>
        <t xml:space="preserve">2x120mm or 140mm fans at top +
1x120mm or 140mm fan below PSU</t>
      </text>
    </comment>
    <comment authorId="0" ref="U221">
      <text>
        <t xml:space="preserve">ATX PSU up to 140mm length</t>
      </text>
    </comment>
    <comment authorId="0" ref="V221">
      <text>
        <t xml:space="preserve">1x2.5" drive +
up to 4x2.5" drives in place of bottom case fans</t>
      </text>
    </comment>
    <comment authorId="0" ref="AB221">
      <text>
        <t xml:space="preserve">1x92mm rear case fan +
2x92mm top case fans +
3x92mm or 2x120mm bottom case fans</t>
      </text>
    </comment>
    <comment authorId="0" ref="AC221">
      <text>
        <t xml:space="preserve">3x92mm or 2x120mm bottom case fans</t>
      </text>
    </comment>
    <comment authorId="0" ref="J222">
      <text>
        <t xml:space="preserve">Glass front panel + Aluminium side panel</t>
      </text>
    </comment>
    <comment authorId="0" ref="W222">
      <text>
        <t xml:space="preserve">1x3.5" drive or 1x120mm fan</t>
      </text>
    </comment>
    <comment authorId="0" ref="AA222">
      <text>
        <t xml:space="preserve">1x80mm or 1x92mm case fan</t>
      </text>
    </comment>
    <comment authorId="0" ref="AB222">
      <text>
        <t xml:space="preserve">1x80mm or 1x92mm case fan</t>
      </text>
    </comment>
    <comment authorId="0" ref="AC222">
      <text>
        <t xml:space="preserve">2x120mm fans on the side bracket +
1x120mm slim 15mm fan on the bottom below the motherboard + 1x120mm fan or 1x3.5" drive on bottom
</t>
      </text>
    </comment>
    <comment authorId="0" ref="U223">
      <text>
        <t xml:space="preserve">ATX PSU up to 140mm length</t>
      </text>
    </comment>
    <comment authorId="0" ref="W223">
      <text>
        <t xml:space="preserve">1x3.5" drive or 1x120mm fan</t>
      </text>
    </comment>
    <comment authorId="0" ref="AB223">
      <text>
        <t xml:space="preserve">1x92mm fan at rear + 
3x92mm or 2x120mm fans at bottom</t>
      </text>
    </comment>
    <comment authorId="0" ref="AC223">
      <text>
        <t xml:space="preserve">2x120mm fans at top +
3x92mm or 2x120mm fans at bottom</t>
      </text>
    </comment>
    <comment authorId="0" ref="L224">
      <text>
        <t xml:space="preserve">Adjustable between CPU and GPU:
59mm CPU / 63mm GPU
72mm CPU / 48mm GPU</t>
      </text>
    </comment>
    <comment authorId="0" ref="M224">
      <text>
        <t xml:space="preserve">radiators up to 30mm thick</t>
      </text>
    </comment>
    <comment authorId="0" ref="Q224">
      <text>
        <t xml:space="preserve">Adjustable between CPU and GPU:
59mm CPU / 63mm GPU
72mm CPU / 48mm GPU</t>
      </text>
    </comment>
    <comment authorId="0" ref="AC224">
      <text>
        <t xml:space="preserve">2x120mm slim 15mm fans at top +
2x120mm slim 15mm fans at bottom</t>
      </text>
    </comment>
    <comment authorId="0" ref="U225">
      <text>
        <t xml:space="preserve">up to 170mm length</t>
      </text>
    </comment>
    <comment authorId="0" ref="M226">
      <text>
        <t xml:space="preserve">240mm rad only fit by custom watercooling</t>
      </text>
    </comment>
    <comment authorId="0" ref="M227">
      <text>
        <t xml:space="preserve">240mm rad only fit by custom watercooling</t>
      </text>
    </comment>
    <comment authorId="0" ref="U228">
      <text>
        <t xml:space="preserve">up to 150mm length. Recommend 140mm length</t>
      </text>
    </comment>
    <comment authorId="0" ref="Q229">
      <text>
        <t xml:space="preserve">up to 62mm with mDTX, mATX, ATX
up to 82mm with mITX</t>
      </text>
    </comment>
    <comment authorId="0" ref="U229">
      <text>
        <t xml:space="preserve">ATX PSU up to 160mm length</t>
      </text>
    </comment>
    <comment authorId="0" ref="O230">
      <text>
        <t xml:space="preserve">without 5.25" drive</t>
      </text>
    </comment>
    <comment authorId="0" ref="V230">
      <text>
        <t xml:space="preserve">1x2.5" drive + 
1x2.5" or 1x3.5" or 1x5.25" drive</t>
      </text>
    </comment>
    <comment authorId="0" ref="W230">
      <text>
        <t xml:space="preserve">1x3.5" drive + 
1x2.5" or 1x3.5" or 1x5.25" drive</t>
      </text>
    </comment>
    <comment authorId="0" ref="X230">
      <text>
        <t xml:space="preserve">1x5.25" or 1x3.5" or 1x2.5" drive</t>
      </text>
    </comment>
    <comment authorId="0" ref="M231">
      <text>
        <t xml:space="preserve">240mm rad only fit by custom watercooling</t>
      </text>
    </comment>
    <comment authorId="0" ref="U232">
      <text>
        <t xml:space="preserve">up to 150mm length. Recommend 140mm length</t>
      </text>
    </comment>
    <comment authorId="0" ref="M233">
      <text>
        <t xml:space="preserve">Side radiator: up to 320x140x75mm including fans
Top radiator: up to 320x140x36mm  including slim 15mm fans and used with single slot GPU waterblock</t>
      </text>
    </comment>
    <comment authorId="0" ref="R233">
      <text>
        <t xml:space="preserve">3090 Founder's Edition is still compatible</t>
      </text>
    </comment>
    <comment authorId="0" ref="AC233">
      <text>
        <t xml:space="preserve">2x120mm fans at top +
2x120mm or 2x140mm fans at side bracket</t>
      </text>
    </comment>
    <comment authorId="0" ref="AD233">
      <text>
        <t xml:space="preserve">2x120mm or 2x140mm fans at side bracket</t>
      </text>
    </comment>
    <comment authorId="0" ref="AB234">
      <text>
        <t xml:space="preserve">Slim 15mm fan</t>
      </text>
    </comment>
    <comment authorId="0" ref="A238">
      <text>
        <t xml:space="preserve">Taobao Link:
https://shop163026353.taobao.com/</t>
      </text>
    </comment>
    <comment authorId="0" ref="V238">
      <text>
        <t xml:space="preserve">2x2.5" drives or 1x80mm slim 10mm fan</t>
      </text>
    </comment>
    <comment authorId="0" ref="AA238">
      <text>
        <t xml:space="preserve">1x80mm slim 10mm fan at rear +
1x80mm slim 10mm fan at top or 2x2.5" drives</t>
      </text>
    </comment>
    <comment authorId="0" ref="AC238">
      <text>
        <t xml:space="preserve">1x120mm slim 15mm fan at top +
1x120mm or 2x120mm fan at side +
2x120mm fan at bottom</t>
      </text>
    </comment>
    <comment authorId="0" ref="L239">
      <text>
        <t xml:space="preserve">Adjustable CPU &amp; GPU clearance</t>
      </text>
    </comment>
    <comment authorId="0" ref="Q239">
      <text>
        <t xml:space="preserve">Adjustable CPU &amp; GPU clearance</t>
      </text>
    </comment>
    <comment authorId="0" ref="V239">
      <text>
        <t xml:space="preserve">2x2.5" + 1x3.5" drives or
3x2.5" drives</t>
      </text>
    </comment>
    <comment authorId="0" ref="W239">
      <text>
        <t xml:space="preserve">2x2.5" + 1x3.5" drives or
3x2.5" drives</t>
      </text>
    </comment>
    <comment authorId="0" ref="AC239">
      <text>
        <t xml:space="preserve">2x120mm or 2x140mm case fans</t>
      </text>
    </comment>
    <comment authorId="0" ref="AD239">
      <text>
        <t xml:space="preserve">2x120mm or 2x140mm case fans</t>
      </text>
    </comment>
    <comment authorId="0" ref="V241">
      <text>
        <t xml:space="preserve">6 Hot-Swap Bays</t>
      </text>
    </comment>
    <comment authorId="0" ref="L242">
      <text>
        <t xml:space="preserve">Include 8 heatpipe CPU passive heatsink for up to 85W TDP</t>
      </text>
    </comment>
    <comment authorId="0" ref="Q242">
      <text>
        <t xml:space="preserve">Depends on backplate</t>
      </text>
    </comment>
    <comment authorId="0" ref="R242">
      <text>
        <t xml:space="preserve">Have two swappable backplates</t>
      </text>
    </comment>
    <comment authorId="0" ref="S242">
      <text>
        <t xml:space="preserve">Have two swappable backplates</t>
      </text>
    </comment>
    <comment authorId="0" ref="T242">
      <text>
        <t xml:space="preserve">mATX/ATX motherboards are not compatible with Flex ATX/SFX/ATX PSU</t>
      </text>
    </comment>
    <comment authorId="0" ref="U242">
      <text>
        <t xml:space="preserve">Flex ATX/SFX/ATX PSU are not compatible with mATX/ATX motherboards</t>
      </text>
    </comment>
    <comment authorId="0" ref="R243">
      <text>
        <t xml:space="preserve">4 slots with small hat</t>
      </text>
    </comment>
    <comment authorId="0" ref="T243">
      <text>
        <t xml:space="preserve">mATX compatible with small hat</t>
      </text>
    </comment>
    <comment authorId="0" ref="U243">
      <text>
        <t xml:space="preserve">ATX PSU not compatible with mATX motherboard</t>
      </text>
    </comment>
    <comment authorId="0" ref="W243">
      <text>
        <t xml:space="preserve">3.5" drives not compatible with mATX motherboard</t>
      </text>
    </comment>
    <comment authorId="0" ref="AC243">
      <text>
        <t xml:space="preserve">2x120mm fans on top +
2x120mm or 2x140mm fans on bottom with medium and large hats</t>
      </text>
    </comment>
    <comment authorId="0" ref="AD243">
      <text>
        <t xml:space="preserve">2x120mm fans on top +
2x120mm or 2x140mm fans on bottom with medium and large hats</t>
      </text>
    </comment>
    <comment authorId="0" ref="V244">
      <text>
        <t xml:space="preserve">1x2.5" drive next to PSU +
2x2.5" drives or 2x92mm fans at top</t>
      </text>
    </comment>
    <comment authorId="0" ref="W244">
      <text>
        <t xml:space="preserve">1x3.5" drive or 1x120mm fan at bottom</t>
      </text>
    </comment>
    <comment authorId="0" ref="AB244">
      <text>
        <t xml:space="preserve">1x92mm fan at rear +
2x92mm fans or 2x2.5" drives at top</t>
      </text>
    </comment>
    <comment authorId="0" ref="AC244">
      <text>
        <t xml:space="preserve">2x120mm fans or 
1x120mm fan + 1x3.5" drive at bottom</t>
      </text>
    </comment>
    <comment authorId="0" ref="V245">
      <text>
        <t xml:space="preserve">6x2.5" or 3x3.5" drives</t>
      </text>
    </comment>
    <comment authorId="0" ref="W245">
      <text>
        <t xml:space="preserve">6x2.5" or 3x3.5" drives</t>
      </text>
    </comment>
    <comment authorId="0" ref="O246">
      <text>
        <t xml:space="preserve">without 5.25" drive</t>
      </text>
    </comment>
    <comment authorId="0" ref="V246">
      <text>
        <t xml:space="preserve">1x2.5" drive + 
1x2.5" or 1x3.5" or 1x5.25" drive</t>
      </text>
    </comment>
    <comment authorId="0" ref="W246">
      <text>
        <t xml:space="preserve">1x3.5" drive + 
1x2.5" or 1x3.5" or 1x5.25" drive</t>
      </text>
    </comment>
    <comment authorId="0" ref="X246">
      <text>
        <t xml:space="preserve">1x5.25" or 1x3.5" or 1x2.5" drive</t>
      </text>
    </comment>
    <comment authorId="0" ref="AA246">
      <text>
        <t xml:space="preserve">1x80mm standard fan +
1x80mm slim 15mm fan</t>
      </text>
    </comment>
    <comment authorId="0" ref="O247">
      <text>
        <t xml:space="preserve">260mm length with SFX-L PSU
333mm length with SFX PSU</t>
      </text>
    </comment>
    <comment authorId="0" ref="U247">
      <text>
        <t xml:space="preserve">260mm GPU length with SFX-L PSU
333mm GPU length with SFX PSU</t>
      </text>
    </comment>
    <comment authorId="0" ref="V247">
      <text>
        <t xml:space="preserve">2x2.5" at the side bracket +
3x2.5" at the bottom</t>
      </text>
    </comment>
    <comment authorId="0" ref="W247">
      <text>
        <t xml:space="preserve">1x3.5" at the bottom +
1x3.5" at the side bracket</t>
      </text>
    </comment>
    <comment authorId="0" ref="AB247">
      <text>
        <t xml:space="preserve">1x92mm at the rear
3x92mm or 2x120mm at the bottom
3x92mm or 1x92mm+1x120mm at the top</t>
      </text>
    </comment>
    <comment authorId="0" ref="AC247">
      <text>
        <t xml:space="preserve">2x120mm or 3x92mm at the bottom
1x120mm or 1x120mm+1x92mm at the top</t>
      </text>
    </comment>
    <comment authorId="0" ref="R248">
      <text>
        <t xml:space="preserve">Requires Riser</t>
      </text>
    </comment>
    <comment authorId="0" ref="U248">
      <text>
        <t xml:space="preserve">250W FlexATX Unit Included</t>
      </text>
    </comment>
    <comment authorId="0" ref="W248">
      <text>
        <t xml:space="preserve">Hot Swap Drive Bays</t>
      </text>
    </comment>
    <comment authorId="0" ref="M249">
      <text>
        <t xml:space="preserve">SFX PSU:
120 / 140 / 240 / 280 radiator
Up to 325mm length without 2.5" drive at top
Up to 315mm length with 2.5" drive at top
ATX PSU:
120 radiator</t>
      </text>
    </comment>
    <comment authorId="0" ref="U249">
      <text>
        <t xml:space="preserve">ATX PSU up to 160mm length</t>
      </text>
    </comment>
    <comment authorId="0" ref="V249">
      <text>
        <t xml:space="preserve">SFX PSU:
1x3.5" + 3x2.5" drive or 4x2.5" drives
ATX PSU:
2x2.5" drives</t>
      </text>
    </comment>
    <comment authorId="0" ref="W249">
      <text>
        <t xml:space="preserve">SFX PSU:
1x3.5" + 3x2.5" drive or 4x2.5" drives
ATX PSU:
2x2.5" drives</t>
      </text>
    </comment>
    <comment authorId="0" ref="AC249">
      <text>
        <t xml:space="preserve">SFX PSU:
2x120mm or 2x140mm fans at top +
1x120mm fan at bottom
ATX PSU:
1x120mm or 1x140mm fan at top +
1x120mm fan at bottom</t>
      </text>
    </comment>
    <comment authorId="0" ref="AD249">
      <text>
        <t xml:space="preserve">SFX PSU:
2x120mm or 2x140mm fans at top +
1x120mm fan at bottom
ATX PSU:
1x120mm or 1x140mm fan at top +
1x120mm fan at bottom</t>
      </text>
    </comment>
    <comment authorId="0" ref="W251">
      <text>
        <t xml:space="preserve">2x3.5" drives or 2x120mm case fans</t>
      </text>
    </comment>
    <comment authorId="0" ref="AA251">
      <text>
        <t xml:space="preserve">1x80mm or 1x90mm case fan</t>
      </text>
    </comment>
    <comment authorId="0" ref="AB251">
      <text>
        <t xml:space="preserve">1x80mm or 1x90mm case fan</t>
      </text>
    </comment>
    <comment authorId="0" ref="AC251">
      <text>
        <t xml:space="preserve">2x120mm case fans +
2x120mm case fans or 2x3.5" drives</t>
      </text>
    </comment>
    <comment authorId="0" ref="U252">
      <text>
        <t xml:space="preserve">up to 150mm length. Recommend 140mm length</t>
      </text>
    </comment>
    <comment authorId="0" ref="U254">
      <text>
        <t xml:space="preserve">ATX PSU up to 140mm length</t>
      </text>
    </comment>
    <comment authorId="0" ref="V254">
      <text>
        <t xml:space="preserve">1x2.5" drive +
up to 4x2.5" drives in place of bottom case fans</t>
      </text>
    </comment>
    <comment authorId="0" ref="AB254">
      <text>
        <t xml:space="preserve">1x92mm rear case fan +
2x92mm top case fans +
3x92mm or 2x120mm bottom case fans</t>
      </text>
    </comment>
    <comment authorId="0" ref="AC254">
      <text>
        <t xml:space="preserve">3x92mm or 2x120mm bottom case fans</t>
      </text>
    </comment>
    <comment authorId="0" ref="L255">
      <text>
        <t xml:space="preserve">Adjustable
73mm with 3 expansion slots
53mm with 4 expansion slots</t>
      </text>
    </comment>
    <comment authorId="0" ref="M255">
      <text>
        <t xml:space="preserve">Max 143mm width and 63mm thickness with fans depending on GPU position</t>
      </text>
    </comment>
    <comment authorId="0" ref="O255">
      <text>
        <t xml:space="preserve">211mm with horizontal GPU without radiator
336mm with vertical GPU
GPU length is adjustable in vertical GPU position. The GPU length when mounting vertically depends on the setting of the GPU mounting strut to vary the amount of space available for monitor cables</t>
      </text>
    </comment>
    <comment authorId="0" ref="Q255">
      <text>
        <t xml:space="preserve">Adjustable
63mm in 3 slot mode
83mm in 4 slot mode</t>
      </text>
    </comment>
    <comment authorId="0" ref="R255">
      <text>
        <t xml:space="preserve">Adjustable
4 slots in vertical position +
3 slots in horizontal position</t>
      </text>
    </comment>
    <comment authorId="0" ref="U255">
      <text>
        <t xml:space="preserve">up to 160mm length</t>
      </text>
    </comment>
    <comment authorId="0" ref="V255">
      <text>
        <t xml:space="preserve">3x2.5" drives with vertical GPU + 4x2.5" or 2x3.5" drives with horizontal GPU</t>
      </text>
    </comment>
    <comment authorId="0" ref="W255">
      <text>
        <t xml:space="preserve">4x2.5" or 2x3.5" drives with horizontal GPU</t>
      </text>
    </comment>
    <comment authorId="0" ref="AC255">
      <text>
        <t xml:space="preserve">2x120mm or 140mm fans in front panel</t>
      </text>
    </comment>
    <comment authorId="0" ref="AD255">
      <text>
        <t xml:space="preserve">2x120mm or 140mm fans in front panel</t>
      </text>
    </comment>
    <comment authorId="0" ref="M256">
      <text>
        <t xml:space="preserve">up to 330x140x70mm radiator + fan dimensions</t>
      </text>
    </comment>
    <comment authorId="0" ref="O256">
      <text>
        <t xml:space="preserve">GPU support A: 334x137x79mm
GPU support B: 336x145x70mm</t>
      </text>
    </comment>
    <comment authorId="0" ref="P256">
      <text>
        <t xml:space="preserve">GPU support A: 334x137x79mm
GPU support B: 336x145x70mm</t>
      </text>
    </comment>
    <comment authorId="0" ref="Q256">
      <text>
        <t xml:space="preserve">GPU support A: 334x137x79mm
GPU support B: 336x145x70mm</t>
      </text>
    </comment>
    <comment authorId="0" ref="AA256">
      <text>
        <t xml:space="preserve">1x80mm or 1x92mm fan at rear</t>
      </text>
    </comment>
    <comment authorId="0" ref="AB256">
      <text>
        <t xml:space="preserve">1x80mm or 1x92mm fan at rear</t>
      </text>
    </comment>
    <comment authorId="0" ref="AC256">
      <text>
        <t xml:space="preserve">2x120mm or 140mm fans at top +
2x120mm or 140mm fans at side</t>
      </text>
    </comment>
    <comment authorId="0" ref="AD256">
      <text>
        <t xml:space="preserve">2x120mm or 140mm fans at top +
2x120mm or 140mm fans at side</t>
      </text>
    </comment>
    <comment authorId="0" ref="M257">
      <text>
        <t xml:space="preserve">radiator up to 280mm length and 50mm CPU block height</t>
      </text>
    </comment>
    <comment authorId="0" ref="U257">
      <text>
        <t xml:space="preserve">ATX PSU up to 140mm length</t>
      </text>
    </comment>
    <comment authorId="0" ref="AB257">
      <text>
        <t xml:space="preserve">1x92mm at rear +
2x92mm at top +
3x92mm at bottom</t>
      </text>
    </comment>
    <comment authorId="0" ref="AC257">
      <text>
        <t xml:space="preserve">2x120mm at side</t>
      </text>
    </comment>
    <comment authorId="0" ref="A258">
      <text>
        <t xml:space="preserve">Taobao Link:
https://shop163026353.taobao.com/</t>
      </text>
    </comment>
    <comment authorId="0" ref="B258">
      <text>
        <t xml:space="preserve">Taobao link:
https://item.taobao.com/item.htm?id=693918231676</t>
      </text>
    </comment>
    <comment authorId="0" ref="V258">
      <text>
        <t xml:space="preserve">2x2.5" drives or 1x92mm at top +
2x2.5" drives at front depending on side radiator</t>
      </text>
    </comment>
    <comment authorId="0" ref="W258">
      <text>
        <t xml:space="preserve">2x3.5" drives or 1x120mm at side</t>
      </text>
    </comment>
    <comment authorId="0" ref="AB258">
      <text>
        <t xml:space="preserve">1x92mm at rear +
1x92mm or 2x2.5" drives at top</t>
      </text>
    </comment>
    <comment authorId="0" ref="AC258">
      <text>
        <t xml:space="preserve">1x120mm slim 15mm at top +
1x120mm or 2x120mm at side +
2x120mm at bottom</t>
      </text>
    </comment>
    <comment authorId="0" ref="AC261">
      <text>
        <t xml:space="preserve">2x120mm or 2x140mm fans at top +
2x120mm or 2x140mm fans at side + 2x120mm slim 15mm fans at bottom</t>
      </text>
    </comment>
    <comment authorId="0" ref="AD261">
      <text>
        <t xml:space="preserve">2x120mm or 2x140mm fans at top +
2x120mm or 2x140mm fans at side</t>
      </text>
    </comment>
    <comment authorId="0" ref="A263">
      <text>
        <t xml:space="preserve">Taobao store:
https://shop148102602.world.taobao.com/</t>
      </text>
    </comment>
    <comment authorId="0" ref="V263">
      <text>
        <t xml:space="preserve">8x2.5" or 1x3.5" drives</t>
      </text>
    </comment>
    <comment authorId="0" ref="W263">
      <text>
        <t xml:space="preserve">8x2.5" or 1x3.5" drives</t>
      </text>
    </comment>
    <comment authorId="0" ref="AC263">
      <text>
        <t xml:space="preserve">2x120mm slim at top +
2x120mm at bottom +
2x120mm or 2x140mm at side</t>
      </text>
    </comment>
    <comment authorId="0" ref="AD263">
      <text>
        <t xml:space="preserve">2x120mm or 2x140mm at side</t>
      </text>
    </comment>
    <comment authorId="0" ref="A264">
      <text>
        <t xml:space="preserve">Taobao store:
https://shop148102602.world.taobao.com/</t>
      </text>
    </comment>
    <comment authorId="0" ref="L264">
      <text>
        <t xml:space="preserve">Adjustable between CPU and GPU
CPU 50.5mm / GPU 91mm
CPU 91mm / GPU 50.5mm</t>
      </text>
    </comment>
    <comment authorId="0" ref="Q264">
      <text>
        <t xml:space="preserve">Adjustable between CPU and GPU
CPU 50.5mm / GPU 91mm
CPU 91mm / GPU 50.5mm</t>
      </text>
    </comment>
    <comment authorId="0" ref="V264">
      <text>
        <t xml:space="preserve">8x2.5" or 2x3.5" drives</t>
      </text>
    </comment>
    <comment authorId="0" ref="W264">
      <text>
        <t xml:space="preserve">8x2.5" or 2x3.5" drives</t>
      </text>
    </comment>
    <comment authorId="0" ref="AC264">
      <text>
        <t xml:space="preserve">2x120mm slim +
2x120mm or 2x140mm</t>
      </text>
    </comment>
    <comment authorId="0" ref="AD264">
      <text>
        <t xml:space="preserve">2x120mm or 2x140mm</t>
      </text>
    </comment>
    <comment authorId="0" ref="M265">
      <text>
        <t xml:space="preserve">up to 60mm rad+fan thickness</t>
      </text>
    </comment>
    <comment authorId="0" ref="U265">
      <text>
        <t xml:space="preserve">ATX PSU up to 160mm length (modular)</t>
      </text>
    </comment>
    <comment authorId="0" ref="M267">
      <text>
        <t xml:space="preserve">up to 64mm radiator + fans thickness</t>
      </text>
    </comment>
    <comment authorId="0" ref="U267">
      <text>
        <t xml:space="preserve">ATX PSU up to 160mm length</t>
      </text>
    </comment>
    <comment authorId="0" ref="AC267">
      <text>
        <t xml:space="preserve">2x120mm or 2x140mm fans at front</t>
      </text>
    </comment>
    <comment authorId="0" ref="AD267">
      <text>
        <t xml:space="preserve">1x140mm fan at top +
2x120mm or 2x140mm fans at front</t>
      </text>
    </comment>
    <comment authorId="0" ref="M268">
      <text>
        <t xml:space="preserve">Top radiator up to 297x130x70mm
Bottom radiator up to 320x144x63mm
Side radiator up to 320x148x80mm</t>
      </text>
    </comment>
    <comment authorId="0" ref="AC268">
      <text>
        <t xml:space="preserve">1x120mm fan at rear +
1x120mm fan at top or
2x120mm fan at top with PSU Position 3</t>
      </text>
    </comment>
    <comment authorId="0" ref="AD268">
      <text>
        <t xml:space="preserve">2x140mm fans at bottom +
2x140mm fans at side</t>
      </text>
    </comment>
    <comment authorId="0" ref="AI268">
      <text>
        <t xml:space="preserve">Optional</t>
      </text>
    </comment>
    <comment authorId="0" ref="U269">
      <text>
        <t xml:space="preserve">ATX PSU up to 145mm length</t>
      </text>
    </comment>
    <comment authorId="0" ref="V269">
      <text>
        <t xml:space="preserve">1x2.5" drive or 1x80mm case fan +
2x2.5" or 2x3.5" drives</t>
      </text>
    </comment>
    <comment authorId="0" ref="W269">
      <text>
        <t xml:space="preserve">2x2.5 or 2x3.5" drives</t>
      </text>
    </comment>
    <comment authorId="0" ref="AA269">
      <text>
        <t xml:space="preserve">1x80mm case fan or 1x2.5" drive</t>
      </text>
    </comment>
    <comment authorId="0" ref="L270">
      <text>
        <t xml:space="preserve">Adjustable
74mm with 3 expansion slots
54mm with 4 expansion slots</t>
      </text>
    </comment>
    <comment authorId="0" ref="M270">
      <text>
        <t xml:space="preserve">Front radiator in ITX build
240/280 mm support max 332 mm length, 144 mm width, 63 mm thickness with fans
Right side radiator in ITX build
4 slots custom loop:
55 mm thickness of 240/280 mm radiator + fans allow GPU in 22 mm thick;
50 mm thickness of 240/280 mm radiator + fans allow GPU in 27 mm thick;
45 mm thickness of 240/280 mm radiator + fans allow GPU in 32 mm thick;
45 mm thickness of 240/280 mm radiator + fans allow GPU in 32 mm thick</t>
      </text>
    </comment>
    <comment authorId="0" ref="O270">
      <text>
        <t xml:space="preserve">239mm for SFF horizontal GPU
314mm with ATX motherboard GPU position
332mm with ITX motherboard</t>
      </text>
    </comment>
    <comment authorId="0" ref="P270">
      <text>
        <t xml:space="preserve">124mm with ATX motherboard GPU position
152mm with ITX motherboard</t>
      </text>
    </comment>
    <comment authorId="0" ref="Q270">
      <text>
        <t xml:space="preserve">Adjustable
63mm in 3 slot mode
82mm in 4 slot mode</t>
      </text>
    </comment>
    <comment authorId="0" ref="R270">
      <text>
        <t xml:space="preserve">Adjustable
4 slots in vertical position +
3 slots in horizontal position</t>
      </text>
    </comment>
    <comment authorId="0" ref="U270">
      <text>
        <t xml:space="preserve">ATX PSU up to140 mm with downward tubing AIO
ATX PSU up to 160 mm with upward tubing AIO 
ATX PSU up to 170 mm with front fan only</t>
      </text>
    </comment>
    <comment authorId="0" ref="V270">
      <text>
        <t xml:space="preserve">3x2.5" drives with vertical GPU + 4x2.5" or 2x3.5" drives with SFF horizontal GPU</t>
      </text>
    </comment>
    <comment authorId="0" ref="W270">
      <text>
        <t xml:space="preserve">4x2.5" or 2x3.5" drives with SFF horizontal GPU</t>
      </text>
    </comment>
    <comment authorId="0" ref="AC270">
      <text>
        <t xml:space="preserve">2x120mm or 140mm fans in front panel +
1x120mm slim 15mm fan at top (will reduce GPU length to 317mm) +
2x120mm fans at right side panel. 25 mm thick fans with 39 mm thick GPU or 15 mm thick fans with 49 mm thick GPU at 3 slot mode
</t>
      </text>
    </comment>
    <comment authorId="0" ref="AD270">
      <text>
        <t xml:space="preserve">2x120mm or 140mm fans in front panel</t>
      </text>
    </comment>
    <comment authorId="0" ref="L271">
      <text>
        <t xml:space="preserve">138mm with side bracket
142mm without side bracket</t>
      </text>
    </comment>
    <comment authorId="0" ref="O271">
      <text>
        <t xml:space="preserve">With 3 slots (61 mm):
325 mm length and 140 mm width;
336 mm length and 140 mm width (front I/O ports removed)
With 3.45 slots (69 mm):
325 mm length and 136 mm width;
337 mm length and 136 mm width (front I/O ports removed)
*GPU baffle not included in length and PCIe power connectors need 15-20 mm space</t>
      </text>
    </comment>
    <comment authorId="0" ref="P271">
      <text>
        <t xml:space="preserve">With 3 slots (61 mm):
325 mm length and 140 mm width;
336 mm length and 140 mm width (front I/O ports removed)
With 3.45 slots (69 mm):
325 mm length and 136 mm width;
337 mm length and 136 mm width (front I/O ports removed)
*GPU baffle not included in length and PCIe power connectors need 15-20 mm space</t>
      </text>
    </comment>
    <comment authorId="0" ref="Q271">
      <text>
        <t xml:space="preserve">With 3 slots (61 mm):
325 mm length and 140 mm width;
336 mm length and 140 mm width (front I/O ports removed)
With 3.45 slots (69 mm):
325 mm length and 136 mm width;
337 mm length and 136 mm width (front I/O ports removed)
*GPU baffle not included in length and PCIe power connectors need 15-20 mm space</t>
      </text>
    </comment>
    <comment authorId="0" ref="U271">
      <text>
        <t xml:space="preserve">ATX PSU up to 160mm length</t>
      </text>
    </comment>
    <comment authorId="0" ref="W271">
      <text>
        <t xml:space="preserve">2x3.5" with ATX PSU
3x3.5" with SFX PSU</t>
      </text>
    </comment>
    <comment authorId="0" ref="AA271">
      <text>
        <t xml:space="preserve">1x80mm or 1x92mm at rear</t>
      </text>
    </comment>
    <comment authorId="0" ref="AB271">
      <text>
        <t xml:space="preserve">1x80mm or 1x92mm at rear</t>
      </text>
    </comment>
    <comment authorId="0" ref="AC271">
      <text>
        <t xml:space="preserve">2x120mm or 2x140mm at side</t>
      </text>
    </comment>
    <comment authorId="0" ref="AD271">
      <text>
        <t xml:space="preserve">2x120mm or 2x140mm at side +
2x140mm at bottom</t>
      </text>
    </comment>
    <comment authorId="0" ref="U272">
      <text>
        <t xml:space="preserve">ATX PSU up to 145mm length</t>
      </text>
    </comment>
    <comment authorId="0" ref="V272">
      <text>
        <t xml:space="preserve">1x2.5" drive or 1x80mm case fan +
2x2.5" or 2x3.5" or 1x5.25 drives</t>
      </text>
    </comment>
    <comment authorId="0" ref="W272">
      <text>
        <t xml:space="preserve">2x2.5 or 2x3.5" or 1x5.25 drives</t>
      </text>
    </comment>
    <comment authorId="0" ref="X272">
      <text>
        <t xml:space="preserve">2x2.5 or 2x3.5" or 1x5.25 drives</t>
      </text>
    </comment>
    <comment authorId="0" ref="AA272">
      <text>
        <t xml:space="preserve">1x80mm case fan or 1x2.5" drive</t>
      </text>
    </comment>
    <comment authorId="0" ref="M273">
      <text>
        <t xml:space="preserve">refer to compatibility guide:
https://smallformfactor.net/forum/threads/sfftime-presents-n-atx-v2-15l-evolution-of-console-case-that-supports-atx-size-parts.17845/</t>
      </text>
    </comment>
    <comment authorId="0" ref="O273">
      <text>
        <t xml:space="preserve">refer to compatibility guide:
https://smallformfactor.net/forum/threads/sfftime-presents-n-atx-v2-15l-evolution-of-console-case-that-supports-atx-size-parts.17845/</t>
      </text>
    </comment>
    <comment authorId="0" ref="P273">
      <text>
        <t xml:space="preserve">refer to compatibility guide:
https://smallformfactor.net/forum/threads/sfftime-presents-n-atx-v2-15l-evolution-of-console-case-that-supports-atx-size-parts.17845/</t>
      </text>
    </comment>
    <comment authorId="0" ref="Q273">
      <text>
        <t xml:space="preserve">refer to compatibility guide:
https://smallformfactor.net/forum/threads/sfftime-presents-n-atx-v2-15l-evolution-of-console-case-that-supports-atx-size-parts.17845/</t>
      </text>
    </comment>
    <comment authorId="0" ref="T273">
      <text>
        <t xml:space="preserve">refer to compatibility guide:
https://smallformfactor.net/forum/threads/sfftime-presents-n-atx-v2-15l-evolution-of-console-case-that-supports-atx-size-parts.17845/</t>
      </text>
    </comment>
    <comment authorId="0" ref="U273">
      <text>
        <t xml:space="preserve">refer to compatibility guide:
https://smallformfactor.net/forum/threads/sfftime-presents-n-atx-v2-15l-evolution-of-console-case-that-supports-atx-size-parts.17845/</t>
      </text>
    </comment>
    <comment authorId="0" ref="V273">
      <text>
        <t xml:space="preserve">refer to compatibility guide:
https://smallformfactor.net/forum/threads/sfftime-presents-n-atx-v2-15l-evolution-of-console-case-that-supports-atx-size-parts.17845/</t>
      </text>
    </comment>
    <comment authorId="0" ref="W273">
      <text>
        <t xml:space="preserve">refer to compatibility guide:
https://smallformfactor.net/forum/threads/sfftime-presents-n-atx-v2-15l-evolution-of-console-case-that-supports-atx-size-parts.17845/</t>
      </text>
    </comment>
    <comment authorId="0" ref="AC273">
      <text>
        <t xml:space="preserve">refer to compatibility guide:
https://smallformfactor.net/forum/threads/sfftime-presents-n-atx-v2-15l-evolution-of-console-case-that-supports-atx-size-parts.17845/</t>
      </text>
    </comment>
    <comment authorId="0" ref="AD273">
      <text>
        <t xml:space="preserve">refer to compatibility guide:
https://smallformfactor.net/forum/threads/sfftime-presents-n-atx-v2-15l-evolution-of-console-case-that-supports-atx-size-parts.17845/</t>
      </text>
    </comment>
    <comment authorId="0" ref="U275">
      <text>
        <t xml:space="preserve">up to 180mm length</t>
      </text>
    </comment>
    <comment authorId="0" ref="V275">
      <text>
        <t xml:space="preserve">-3x3.5" or 
-2x3.5"+2x2.5" or 
-1x3.5"+3x2.5" or 
-4x2.5"</t>
      </text>
    </comment>
    <comment authorId="0" ref="W275">
      <text>
        <t xml:space="preserve">-3x3.5" or 
-2x3.5"+2x2.5" or 
-1x3.5"+3x2.5" or 
-4x2.5"</t>
      </text>
    </comment>
    <comment authorId="0" ref="AC275">
      <text>
        <t xml:space="preserve">120mm or 140mm case fan</t>
      </text>
    </comment>
    <comment authorId="0" ref="AD275">
      <text>
        <t xml:space="preserve">120mm or 140mm case fan</t>
      </text>
    </comment>
    <comment authorId="0" ref="M276">
      <text>
        <t xml:space="preserve">322x155x27mm max radiator size</t>
      </text>
    </comment>
    <comment authorId="0" ref="AC276">
      <text>
        <t xml:space="preserve">2x120mm slim 15mm on top +
2x120mm or 2x140mm on bottom</t>
      </text>
    </comment>
    <comment authorId="0" ref="AD276">
      <text>
        <t xml:space="preserve">2x120mm or 2x140mm on bottom</t>
      </text>
    </comment>
    <comment authorId="0" ref="M277">
      <text>
        <t xml:space="preserve">max 330x149x66mm</t>
      </text>
    </comment>
    <comment authorId="0" ref="O277">
      <text>
        <t xml:space="preserve">217mm with 3.5" drive on bottom
248mm with 2.5" drive on bottom
310mm without bottom drives</t>
      </text>
    </comment>
    <comment authorId="0" ref="U277">
      <text>
        <t xml:space="preserve">SFX-L is supported but not recommended</t>
      </text>
    </comment>
    <comment authorId="0" ref="V277">
      <text>
        <t xml:space="preserve">3x2.5" drives +
5x2.5" drives or 2x3.5" drives on bottom</t>
      </text>
    </comment>
    <comment authorId="0" ref="W277">
      <text>
        <t xml:space="preserve">5x2.5" or 2x3.5" drives on bottom</t>
      </text>
    </comment>
    <comment authorId="0" ref="AC277">
      <text>
        <t xml:space="preserve">2x120mm or 140mm fans</t>
      </text>
    </comment>
    <comment authorId="0" ref="AD277">
      <text>
        <t xml:space="preserve">2x120mm or 140mm fans</t>
      </text>
    </comment>
    <comment authorId="0" ref="M278">
      <text>
        <t xml:space="preserve">radiator up to 280mm length and 50mm CPU block height</t>
      </text>
    </comment>
    <comment authorId="0" ref="U278">
      <text>
        <t xml:space="preserve">ATX PSU up to 160mm length</t>
      </text>
    </comment>
    <comment authorId="0" ref="AB278">
      <text>
        <t xml:space="preserve">1x92mm at rear +
2x92mm at top +
3x92mm at bottom</t>
      </text>
    </comment>
    <comment authorId="0" ref="AC278">
      <text>
        <t xml:space="preserve">2x120mm at side</t>
      </text>
    </comment>
    <comment authorId="0" ref="O280">
      <text>
        <t xml:space="preserve">260mm with ATX PSU longer than 160mm length
328mm with ATX PSU at 160mm length or shorter</t>
      </text>
    </comment>
    <comment authorId="0" ref="U280">
      <text>
        <t xml:space="preserve">ATX PSU up to 160mm. Longer than 160mm will reduce GPU length to 260mm</t>
      </text>
    </comment>
    <comment authorId="0" ref="AB280">
      <text>
        <t xml:space="preserve">1x92mm fan at rear +
2x92mm or 2x120mm fans at top +
3x92mm or 2x120mm fans at bottom
</t>
      </text>
    </comment>
    <comment authorId="0" ref="AC280">
      <text>
        <t xml:space="preserve">2x92mm or 2x120mm fans at top +
3x92mm or 2x120mm fans at bottom</t>
      </text>
    </comment>
    <comment authorId="0" ref="M281">
      <text>
        <t xml:space="preserve">up to 341x148x63mm radiator + fans</t>
      </text>
    </comment>
    <comment authorId="0" ref="U281">
      <text>
        <t xml:space="preserve">recommend ATX PSU up to 150mm length
ATX PSU up to 170mm length will have difficult cable management</t>
      </text>
    </comment>
    <comment authorId="0" ref="W281">
      <text>
        <t xml:space="preserve">up to 1x3.5" drive with SFX PSU</t>
      </text>
    </comment>
    <comment authorId="0" ref="AC281">
      <text>
        <t xml:space="preserve">2x120mm or 2x140mm fans at front</t>
      </text>
    </comment>
    <comment authorId="0" ref="AD281">
      <text>
        <t xml:space="preserve">1x140mm fan at top +
2x120mm or 2x140mm fans at front
</t>
      </text>
    </comment>
    <comment authorId="0" ref="O282">
      <text>
        <t xml:space="preserve">320mm with front case fans
348mm without front case fans</t>
      </text>
    </comment>
    <comment authorId="0" ref="M283">
      <text>
        <t xml:space="preserve">up to 330x140x70mm radiator + fan dimensions</t>
      </text>
    </comment>
    <comment authorId="0" ref="AC283">
      <text>
        <t xml:space="preserve">2x120mm or 140mm fans at top +
2x120mm or 140mm fans at side</t>
      </text>
    </comment>
    <comment authorId="0" ref="AD283">
      <text>
        <t xml:space="preserve">2x120mm or 140mm fans at top +
2x120mm or 140mm fans at side</t>
      </text>
    </comment>
    <comment authorId="0" ref="O284">
      <text>
        <t xml:space="preserve">180mm with 3x2.5" or 3x3.5" drives
270mm with 1x2.5" or 1x3.5" drive</t>
      </text>
    </comment>
    <comment authorId="0" ref="V284">
      <text>
        <t xml:space="preserve">3x2.5" or 3x3.5" drives with 180mm length GPU
1x2.5" or 1x3.5" drives with 270mm length GPU</t>
      </text>
    </comment>
    <comment authorId="0" ref="W284">
      <text>
        <t xml:space="preserve">3x2.5" or 3x3.5" drives with 180mm length GPU
1x2.5" or 1x3.5" drives with 270mm length GPU</t>
      </text>
    </comment>
    <comment authorId="0" ref="O285">
      <text>
        <t xml:space="preserve">250mm with ATX PSU
340mm with SFX or SFX-L PSU</t>
      </text>
    </comment>
    <comment authorId="0" ref="U285">
      <text>
        <t xml:space="preserve">ATX PSU will reduce GPU length to 250mm</t>
      </text>
    </comment>
    <comment authorId="0" ref="U286">
      <text>
        <t xml:space="preserve">ATX PSU up to 140mm length</t>
      </text>
    </comment>
    <comment authorId="0" ref="W286">
      <text>
        <t xml:space="preserve">1x3.5" drive or 1x120mm fan</t>
      </text>
    </comment>
    <comment authorId="0" ref="AA286">
      <text>
        <t xml:space="preserve">1x80mm or 92mm fan at back +
2x80mm or 2x92mm slim 15mm fans at top</t>
      </text>
    </comment>
    <comment authorId="0" ref="AB286">
      <text>
        <t xml:space="preserve">1x80mm or 92mm fan at back +
2x80mm or 2x92mm slim 15mm fans at top</t>
      </text>
    </comment>
    <comment authorId="0" ref="AC286">
      <text>
        <t xml:space="preserve">2x120mm fans or
1x120mm fan + 1x3.5" drive </t>
      </text>
    </comment>
    <comment authorId="0" ref="U288">
      <text>
        <t xml:space="preserve">ATX PSU up to 140mm length</t>
      </text>
    </comment>
    <comment authorId="0" ref="AB288">
      <text>
        <t xml:space="preserve">1x92mm at rear +
2x92mm at top +
3x92mm at bottom</t>
      </text>
    </comment>
    <comment authorId="0" ref="U289">
      <text>
        <t xml:space="preserve">ATX PSU up to 140mm length</t>
      </text>
    </comment>
    <comment authorId="0" ref="V289">
      <text>
        <t xml:space="preserve">1x2.5" drive at front +
2x2.5" or 1x3.5" drives at front</t>
      </text>
    </comment>
    <comment authorId="0" ref="W289">
      <text>
        <t xml:space="preserve">2x2.5" or 1x3.5" drives at front +
1x3.5" drive or 1x120mm fan at bottom</t>
      </text>
    </comment>
    <comment authorId="0" ref="AB289">
      <text>
        <t xml:space="preserve">1x92mm fan at rear +
2x92mm fans at top</t>
      </text>
    </comment>
    <comment authorId="0" ref="AC289">
      <text>
        <t xml:space="preserve">2x120mm fans or 1x120mm fan and 1x3.5 drive at bottom +
2x120mm fans or 2x140mm fans at side</t>
      </text>
    </comment>
    <comment authorId="0" ref="AD289">
      <text>
        <t xml:space="preserve">2x120mm fans or 2x140mm fans at side</t>
      </text>
    </comment>
    <comment authorId="0" ref="L290">
      <text>
        <t xml:space="preserve">Include 140mm AIO</t>
      </text>
    </comment>
    <comment authorId="0" ref="M290">
      <text>
        <t xml:space="preserve">include 140mm AIO</t>
      </text>
    </comment>
    <comment authorId="0" ref="U290">
      <text>
        <t xml:space="preserve">include modular SFX 750W Gold PSU</t>
      </text>
    </comment>
    <comment authorId="0" ref="AB290">
      <text>
        <t xml:space="preserve">Include 1x92mm fan</t>
      </text>
    </comment>
    <comment authorId="0" ref="AD290">
      <text>
        <t xml:space="preserve">Include 1x140mm fan</t>
      </text>
    </comment>
    <comment authorId="0" ref="AL290">
      <text>
        <t xml:space="preserve">Price include modular SFX 750W Gold PSU, PCIe 4.0 riser cable and 140mm AIO</t>
      </text>
    </comment>
    <comment authorId="0" ref="M291">
      <text>
        <t xml:space="preserve">up to 312x155x57mm including fans</t>
      </text>
    </comment>
    <comment authorId="0" ref="V291">
      <text>
        <t xml:space="preserve">Mounting extra drives will require the drive cage add-on which will change bottom 240 or 280mm radiator compatibility to 120 or 140mm</t>
      </text>
    </comment>
    <comment authorId="0" ref="AC291">
      <text>
        <t xml:space="preserve">2x120mm or 140mm fans on bottom +
2x120mm or 140mm fans on top</t>
      </text>
    </comment>
    <comment authorId="0" ref="AD291">
      <text>
        <t xml:space="preserve">2x120mm or 140mm fans on bottom +
2x120mm or 140mm fans on top</t>
      </text>
    </comment>
    <comment authorId="0" ref="U292">
      <text>
        <t xml:space="preserve">up to 140mm length</t>
      </text>
    </comment>
    <comment authorId="0" ref="W292">
      <text>
        <t xml:space="preserve">2x3.5" drives or 1x120mm fan</t>
      </text>
    </comment>
    <comment authorId="0" ref="AB292">
      <text>
        <t xml:space="preserve">1x92mm fan at rear + 
3x92mm or 2x120mm fans at bottom</t>
      </text>
    </comment>
    <comment authorId="0" ref="AC292">
      <text>
        <t xml:space="preserve">2x120mm fans at top +
3x92mm or 2x120mm fans at bottom</t>
      </text>
    </comment>
    <comment authorId="0" ref="AB293">
      <text>
        <t xml:space="preserve">1x92mm at rear +
2x92mm at top +
3x92mm at bottom</t>
      </text>
    </comment>
    <comment authorId="0" ref="Q294">
      <text>
        <t xml:space="preserve">6mm clearance for backplate
62mm clearance for GPU</t>
      </text>
    </comment>
    <comment authorId="0" ref="U294">
      <text>
        <t xml:space="preserve">ATX PSU up to 160mm length</t>
      </text>
    </comment>
    <comment authorId="0" ref="X294">
      <text>
        <t xml:space="preserve">Available only when used with SFX / SFX-L PSU</t>
      </text>
    </comment>
    <comment authorId="0" ref="AA294">
      <text>
        <t xml:space="preserve">Slim 15mm fan</t>
      </text>
    </comment>
    <comment authorId="0" ref="C295">
      <text>
        <t xml:space="preserve">Has swappable backplates to change case style</t>
      </text>
    </comment>
    <comment authorId="0" ref="AC295">
      <text>
        <t xml:space="preserve">2x120mm fans at top panel
2x120mm fans at bottom panel</t>
      </text>
    </comment>
    <comment authorId="0" ref="C296">
      <text>
        <t xml:space="preserve">Has swappable backplates to change case style</t>
      </text>
    </comment>
    <comment authorId="0" ref="AC296">
      <text>
        <t xml:space="preserve">2x120mm fans at top panel
2x120mm fans at bottom panel</t>
      </text>
    </comment>
    <comment authorId="0" ref="C297">
      <text>
        <t xml:space="preserve">Has swappable backplates to change case style</t>
      </text>
    </comment>
    <comment authorId="0" ref="M297">
      <text>
        <t xml:space="preserve">Top radiator up to 55mm total thickness
Bottom radiator up to 43mm total thickness</t>
      </text>
    </comment>
    <comment authorId="0" ref="AC297">
      <text>
        <t xml:space="preserve">2x120mm fans at top panel
2x120mm fans at bottom panel</t>
      </text>
    </comment>
    <comment authorId="0" ref="O298">
      <text>
        <t xml:space="preserve">260mm with ATX PSU longer than 140mm length</t>
      </text>
    </comment>
    <comment authorId="0" ref="U298">
      <text>
        <t xml:space="preserve">up to 140mm length</t>
      </text>
    </comment>
    <comment authorId="0" ref="AC299">
      <text>
        <t xml:space="preserve">up to 32mm thick</t>
      </text>
    </comment>
    <comment authorId="0" ref="B300">
      <text>
        <t xml:space="preserve">Aliexpress link:
https://www.aliexpress.com/item/4000524246319.html
JD link:https://item.jd.com/100007000176.html</t>
      </text>
    </comment>
    <comment authorId="0" ref="J301">
      <text>
        <t xml:space="preserve">Front panel</t>
      </text>
    </comment>
    <comment authorId="0" ref="M304">
      <text>
        <t xml:space="preserve">240 and 280 radiator is not compatible with ATX PSU</t>
      </text>
    </comment>
    <comment authorId="0" ref="O304">
      <text>
        <t xml:space="preserve">240mm with 160mm ATX PSU
260mm with 140mm ATX PSU
330mm with SFX PSU</t>
      </text>
    </comment>
    <comment authorId="0" ref="W304">
      <text>
        <t xml:space="preserve">2x3.5" drives with SFX PSU</t>
      </text>
    </comment>
    <comment authorId="0" ref="AC304">
      <text>
        <t xml:space="preserve">1x120mm on rear +
1x120mm on top +
1x120mm or 140mm on front</t>
      </text>
    </comment>
    <comment authorId="0" ref="AD304">
      <text>
        <t xml:space="preserve">1x120mm or 140mm on front</t>
      </text>
    </comment>
    <comment authorId="0" ref="U305">
      <text>
        <t xml:space="preserve">up to 150mm length</t>
      </text>
    </comment>
    <comment authorId="0" ref="AB305">
      <text>
        <t xml:space="preserve">1x92mm fan at rear + 
3x92mm or 2x120mm fans at bottom</t>
      </text>
    </comment>
    <comment authorId="0" ref="AC305">
      <text>
        <t xml:space="preserve">3x92mm or 2x120mm fans at bottom</t>
      </text>
    </comment>
    <comment authorId="0" ref="AG305">
      <text>
        <t xml:space="preserve">2xUSB 2.0 or 2xUSB 3.0</t>
      </text>
    </comment>
    <comment authorId="0" ref="AH305">
      <text>
        <t xml:space="preserve">2xUSB 2.0 or 2xUSB 3.0</t>
      </text>
    </comment>
    <comment authorId="0" ref="L306">
      <text>
        <t xml:space="preserve">120mm AIO included</t>
      </text>
    </comment>
    <comment authorId="0" ref="M306">
      <text>
        <t xml:space="preserve">120mm AIO included</t>
      </text>
    </comment>
    <comment authorId="0" ref="U306">
      <text>
        <t xml:space="preserve">Cooler Master V850 ATX 3.0 SFX included</t>
      </text>
    </comment>
    <comment authorId="0" ref="AC306">
      <text>
        <t xml:space="preserve">2x120mm fans included</t>
      </text>
    </comment>
    <comment authorId="0" ref="L307">
      <text>
        <t xml:space="preserve">Adjustable between CPU and GPU:
59mm CPU / 63mm GPU
72mm CPU / 48mm GPU</t>
      </text>
    </comment>
    <comment authorId="0" ref="M307">
      <text>
        <t xml:space="preserve">radiators up to 30mm thick</t>
      </text>
    </comment>
    <comment authorId="0" ref="Q307">
      <text>
        <t xml:space="preserve">Adjustable between CPU and GPU:
59mm CPU / 63mm GPU
72mm CPU / 48mm GPU</t>
      </text>
    </comment>
    <comment authorId="0" ref="AC307">
      <text>
        <t xml:space="preserve">2x120mm slim 15mm fans at top +
2x120mm slim 15mm fans at bottom</t>
      </text>
    </comment>
    <comment authorId="0" ref="U308">
      <text>
        <t xml:space="preserve">up to 140mm length</t>
      </text>
    </comment>
    <comment authorId="0" ref="V308">
      <text>
        <t xml:space="preserve">1x2.5" or 1x3.5" drive</t>
      </text>
    </comment>
    <comment authorId="0" ref="W308">
      <text>
        <t xml:space="preserve">1x2.5" or 1x3.5" drive</t>
      </text>
    </comment>
    <comment authorId="0" ref="AC308">
      <text>
        <t xml:space="preserve">1x120mm at top +
1x120mm at rear +
1x120mm or 1x3.5" drive at bottom</t>
      </text>
    </comment>
    <comment authorId="0" ref="U309">
      <text>
        <t xml:space="preserve">up to 185mm length</t>
      </text>
    </comment>
    <comment authorId="0" ref="V309">
      <text>
        <t xml:space="preserve">2x2.5" or 1x3.5" drives</t>
      </text>
    </comment>
    <comment authorId="0" ref="W309">
      <text>
        <t xml:space="preserve">2x2.5" or 1x3.5" drives</t>
      </text>
    </comment>
    <comment authorId="0" ref="AC309">
      <text>
        <t xml:space="preserve">1x120mm or 1x140mm at top +
1x120mm or 1x140mm at bottom +
1x120mm or 2x2.5" or 1x3.5" drives at front</t>
      </text>
    </comment>
    <comment authorId="0" ref="AD309">
      <text>
        <t xml:space="preserve">1x120mm or 1x140mm at top +
1x120mm or 1x140mm at bottom</t>
      </text>
    </comment>
    <comment authorId="0" ref="U310">
      <text>
        <t xml:space="preserve">Include 500W 80 Plus Gold 1U PSU</t>
      </text>
    </comment>
    <comment authorId="0" ref="P311">
      <text>
        <t xml:space="preserve">133mm with standard inlet
157mm with pigtail inlet</t>
      </text>
    </comment>
    <comment authorId="0" ref="U311">
      <text>
        <t xml:space="preserve">SFX-L is supported but not recommended</t>
      </text>
    </comment>
    <comment authorId="0" ref="V311">
      <text>
        <t xml:space="preserve">2x2.5" drives behind front panel +
2x (4x2.5" or 1x3.5" or 1x120mm or 1x140mm case fan)</t>
      </text>
    </comment>
    <comment authorId="0" ref="W311">
      <text>
        <t xml:space="preserve">2x (4x2.5" or 1x3.5" or 1x120mm or 1x140mm case fan) +
2x (2x3.5" or 1x120mm or 1x140mm case fan or 120mm or 140mm AIO)</t>
      </text>
    </comment>
    <comment authorId="0" ref="AC311">
      <text>
        <t xml:space="preserve">2x (4x2.5" or 1x3.5" or 1x120mm or 1x140mm case fan) +
2x (2x3.5" or 1x120mm or 1x140mm case fan or 120mm or 140mm AIO)</t>
      </text>
    </comment>
    <comment authorId="0" ref="AD311">
      <text>
        <t xml:space="preserve">2x (4x2.5" or 1x3.5" or 1x120mm or 1x140mm case fan) +
2x (2x3.5" or 1x120mm or 1x140mm case fan or 120mm or 140mm AIO)</t>
      </text>
    </comment>
    <comment authorId="0" ref="AL311">
      <text>
        <t xml:space="preserve">+$10 for matte white color
+$79 for bifurcation riser
+$8 for both PSU inlet options
+$115 for Asetek 680LS 280mm AIO kit
+$20 for machined handle
+$15 for top 2x3.5" bracket
+$10 for bottom 1x3.5" or 120mm case fan bracket</t>
      </text>
    </comment>
    <comment authorId="0" ref="U312">
      <text>
        <t xml:space="preserve">up to 140mm length</t>
      </text>
    </comment>
    <comment authorId="0" ref="V312">
      <text>
        <t xml:space="preserve">1x2.5" or 1x3.5 drive or
1x120mm slim 15mm fan</t>
      </text>
    </comment>
    <comment authorId="0" ref="W312">
      <text>
        <t xml:space="preserve">1x2.5" or 1x3.5 drive or
1x120mm slim 15mm fan</t>
      </text>
    </comment>
    <comment authorId="0" ref="AC312">
      <text>
        <t xml:space="preserve">2x120mm fans at top +
1x2.5" or 1x3.5 drive or
1x120mm slim 15mm fan</t>
      </text>
    </comment>
    <comment authorId="0" ref="O313">
      <text>
        <t xml:space="preserve">260mm for ATX PSU longer than 150mm length
350mm for ATX PSU less than 150mm length</t>
      </text>
    </comment>
    <comment authorId="0" ref="U313">
      <text>
        <t xml:space="preserve">ATX PSU longer than 150mm length will reduce GPU length to 260mm </t>
      </text>
    </comment>
    <comment authorId="0" ref="W313">
      <text>
        <t xml:space="preserve">2x3.5" drives or 2x120mm case fans</t>
      </text>
    </comment>
    <comment authorId="0" ref="AA313">
      <text>
        <t xml:space="preserve">1x80mm or 1x90mm case fan</t>
      </text>
    </comment>
    <comment authorId="0" ref="AB313">
      <text>
        <t xml:space="preserve">1x80mm or 1x90mm case fan</t>
      </text>
    </comment>
    <comment authorId="0" ref="AC313">
      <text>
        <t xml:space="preserve">2x120mm case fans +
2x120mm case fans or 2x3.5" drives</t>
      </text>
    </comment>
    <comment authorId="0" ref="P314">
      <text>
        <t xml:space="preserve">148mm with case fans
175mm without case fans</t>
      </text>
    </comment>
    <comment authorId="0" ref="L317">
      <text>
        <t xml:space="preserve">55mm with ATX PSU
75mm with SFX PSU at rear
142mm with SFX PSU at front</t>
      </text>
    </comment>
    <comment authorId="0" ref="AC317">
      <text>
        <t xml:space="preserve">2x120mm slim 15mm fans at top +
2x120mm fans at bottom +
1x120mm fan at front or SFX PSU</t>
      </text>
    </comment>
    <comment authorId="0" ref="AH318">
      <text>
        <t xml:space="preserve">2xType A or
1xType A + 1xType C</t>
      </text>
    </comment>
    <comment authorId="0" ref="AI318">
      <text>
        <t xml:space="preserve">2xType A or
1xType A + 1xType C</t>
      </text>
    </comment>
    <comment authorId="0" ref="G319">
      <text>
        <t xml:space="preserve">13.8L according to manufacturer as its not an uniform rectangular case</t>
      </text>
    </comment>
    <comment authorId="0" ref="AC319">
      <text>
        <t xml:space="preserve">2x120mm or 2x140mm on top +
1x120mm or 1x140mm on bottom</t>
      </text>
    </comment>
    <comment authorId="0" ref="AD319">
      <text>
        <t xml:space="preserve">2x120mm or 2x140mm on top +
1x120mm or 1x140mm on bottom</t>
      </text>
    </comment>
    <comment authorId="0" ref="L320">
      <text>
        <t xml:space="preserve">55mm with ATX PSU
75mm with SFX PSU at rear
142mm with SFX PSU at front</t>
      </text>
    </comment>
    <comment authorId="0" ref="AC320">
      <text>
        <t xml:space="preserve">2x120mm slim 15mm fans at top +
2x120mm fans at bottom +
1x120mm fan at front or SFX PSU</t>
      </text>
    </comment>
    <comment authorId="0" ref="O322">
      <text>
        <t xml:space="preserve">up to:
305mm length x 143mm width or
320mm length x 131mm width</t>
      </text>
    </comment>
    <comment authorId="0" ref="P322">
      <text>
        <t xml:space="preserve">up to:
305mm length x 143mm width or
320mm length x 131mm width</t>
      </text>
    </comment>
    <comment authorId="0" ref="AC322">
      <text>
        <t xml:space="preserve">1x120mm or 1x140mm fan at top +
2x120mm slim 15mm fans at bottom</t>
      </text>
    </comment>
    <comment authorId="0" ref="AD322">
      <text>
        <t xml:space="preserve">1x120mm or 1x140mm fan at top</t>
      </text>
    </comment>
    <comment authorId="0" ref="M323">
      <text>
        <t xml:space="preserve">120mm radiator with ATX PSU
240mm radiator with SFX / SFX-L PSU</t>
      </text>
    </comment>
    <comment authorId="0" ref="O323">
      <text>
        <t xml:space="preserve">up to:
305mm length x 143mm width or
320mm length x 131mm width</t>
      </text>
    </comment>
    <comment authorId="0" ref="P323">
      <text>
        <t xml:space="preserve">up to:
305mm length x 143mm width or
320mm length x 131mm width</t>
      </text>
    </comment>
    <comment authorId="0" ref="T323">
      <text>
        <t xml:space="preserve">up to 230x205mm with ATX PSU
up to 230x230mm with SFX PSU</t>
      </text>
    </comment>
    <comment authorId="0" ref="U323">
      <text>
        <t xml:space="preserve">ATX PSU up to 140mm length</t>
      </text>
    </comment>
    <comment authorId="0" ref="L324">
      <text>
        <t xml:space="preserve">Adjustable between CPU &amp; GPU
51mm CPU / 83mm GPU
91mm CPU / 43mm GPU</t>
      </text>
    </comment>
    <comment authorId="0" ref="M324">
      <text>
        <t xml:space="preserve">Up to 343x150x53mm rad+fan</t>
      </text>
    </comment>
    <comment authorId="0" ref="P324">
      <text>
        <t xml:space="preserve">Adjustable to between 165-175mm</t>
      </text>
    </comment>
    <comment authorId="0" ref="Q324">
      <text>
        <t xml:space="preserve">Adjustable between CPU &amp; GPU
51mm CPU / 83mm GPU
91mm CPU / 43mm GPU</t>
      </text>
    </comment>
    <comment authorId="0" ref="R324">
      <text>
        <t xml:space="preserve">Adjustable</t>
      </text>
    </comment>
    <comment authorId="0" ref="AC324">
      <text>
        <t xml:space="preserve">2x120mm or 2x140mm at bottom</t>
      </text>
    </comment>
    <comment authorId="0" ref="AD324">
      <text>
        <t xml:space="preserve">2x120mm or 2x140mm at bottom</t>
      </text>
    </comment>
    <comment authorId="0" ref="V326">
      <text>
        <t xml:space="preserve">1x2.5" + 3x3.5" or
2x2.5" + 2x3.5"</t>
      </text>
    </comment>
    <comment authorId="0" ref="W326">
      <text>
        <t xml:space="preserve">1x2.5" + 3x3.5" or
2x2.5" + 2x3.5"</t>
      </text>
    </comment>
    <comment authorId="0" ref="M328">
      <text>
        <t xml:space="preserve">Radiator Mounting
2x 120mm radiator on side
1x 240mm radiator on side
1x 280mm radiator on side
Dual Radiator Options (custom loop only)
1x 240mm radiator on bottom, with slim fans + choice of side radiator from above
Side Bracket Radiator + Fans must be less than 105mm thick (Push/Pull fan configs are possible)</t>
      </text>
    </comment>
    <comment authorId="0" ref="U328">
      <text>
        <t xml:space="preserve">SFX-L not recommended</t>
      </text>
    </comment>
    <comment authorId="0" ref="V328">
      <text>
        <t xml:space="preserve">2x2.5" drives +
optional brackets for 2x2.5" drives</t>
      </text>
    </comment>
    <comment authorId="0" ref="W328">
      <text>
        <t xml:space="preserve">Optional brackets for 3x3.5" drives</t>
      </text>
    </comment>
    <comment authorId="0" ref="AC328">
      <text>
        <t xml:space="preserve">1x120mm fan at back +
2x120mm or 140mm fans at side bracket +
2x120mm or 140mm fans at bottom +
1x120mm or 140mm fan at front +
2x120mm or 140mm slim 15mm fans on top +
1x120mm fan on the side panel</t>
      </text>
    </comment>
    <comment authorId="0" ref="AD328">
      <text>
        <t xml:space="preserve">2x120mm or 140mm fans at side bracket +
2x120mm or 140mm fans at bottom +
1x120mm or 140mm fan at front</t>
      </text>
    </comment>
    <comment authorId="0" ref="A329">
      <text>
        <t xml:space="preserve">Taobao store:
https://shop194013857.world.taobao.com/</t>
      </text>
    </comment>
    <comment authorId="0" ref="B329">
      <text>
        <t xml:space="preserve">Taobao link:
https://item.taobao.com/item.htm?id=662572300433</t>
      </text>
    </comment>
    <comment authorId="0" ref="M329">
      <text>
        <t xml:space="preserve">Side radiator up to 280mm
Front radiator up to 280mm</t>
      </text>
    </comment>
    <comment authorId="0" ref="R329">
      <text>
        <t xml:space="preserve">6 horizontal + 2 vertical PCIe slots</t>
      </text>
    </comment>
    <comment authorId="0" ref="V331">
      <text>
        <t xml:space="preserve">1x2.5" drive +
1x2.5" or 1x3.5" drive</t>
      </text>
    </comment>
    <comment authorId="0" ref="W331">
      <text>
        <t xml:space="preserve">1x2.5" or 1x3.5" drive</t>
      </text>
    </comment>
    <comment authorId="0" ref="AC331">
      <text>
        <t xml:space="preserve">1x120mm fan at side +
2x120mm fans at front</t>
      </text>
    </comment>
    <comment authorId="0" ref="B332">
      <text>
        <t xml:space="preserve">Aliexpress link:
https://www.aliexpress.com/item/32950189599.html
JD link:
https://item.jd.com/1228541.html</t>
      </text>
    </comment>
    <comment authorId="0" ref="O333">
      <text>
        <t xml:space="preserve">325mm with front 140mm fan</t>
      </text>
    </comment>
    <comment authorId="0" ref="AC333">
      <text>
        <t xml:space="preserve">3x120mm fans with radiator bracket at top</t>
      </text>
    </comment>
    <comment authorId="0" ref="AD333">
      <text>
        <t xml:space="preserve">1x140mm fan at front with optional bracket</t>
      </text>
    </comment>
    <comment authorId="0" ref="AC334">
      <text>
        <t xml:space="preserve">2x120mm fans on roof +
1x120mm fan on motherboard panel</t>
      </text>
    </comment>
    <comment authorId="0" ref="J335">
      <text>
        <t xml:space="preserve">Top panel. Mesh is available for all colors with an additional Glass or Wood panel depending on case color. </t>
      </text>
    </comment>
    <comment authorId="0" ref="L335">
      <text>
        <t xml:space="preserve">-91mm with side mounted 3.5" drive
-120mm without side mounted drives</t>
      </text>
    </comment>
    <comment authorId="0" ref="M335">
      <text>
        <t xml:space="preserve">-Max radiator 125mm width and 67mm thickness
-240mm AIO not compatible with ATX PSU</t>
      </text>
    </comment>
    <comment authorId="0" ref="O335">
      <text>
        <t xml:space="preserve">-190mm with low mounted ATX PSU
-210mm with low mounted SFX PSU</t>
      </text>
    </comment>
    <comment authorId="0" ref="U335">
      <text>
        <t xml:space="preserve">-190mm GPU length with low mounted ATX PSU
-210mm GPU length with low mounted SFX/SFX-L PSU
-2x2.5" or 1x3.5" drive are not available if using ATX PSU</t>
      </text>
    </comment>
    <comment authorId="0" ref="V335">
      <text>
        <t xml:space="preserve">-2x2.5" or 1x3.5" drive on side bracket
-2x2.5" or 1x3.5" drive on SFX PSU bracket
</t>
      </text>
    </comment>
    <comment authorId="0" ref="W335">
      <text>
        <t xml:space="preserve">-1x3.5" or 2x2.5" drive in side bracket
-1x3.5" or 2x2.5" drive in SFX PSU bracket</t>
      </text>
    </comment>
    <comment authorId="0" ref="AD335">
      <text>
        <t xml:space="preserve">2x140mm fans are only available if using single slot GPU or no GPU</t>
      </text>
    </comment>
    <comment authorId="0" ref="AC336">
      <text>
        <t xml:space="preserve">1x120mm fan at top +
1x120mm slim 15mm fan at front +
1x120mm fan at side +
1x120mm fan at rear +
2x120mm fans at bottom</t>
      </text>
    </comment>
    <comment authorId="0" ref="W337">
      <text>
        <t xml:space="preserve">Hot Swap Drive Bays</t>
      </text>
    </comment>
    <comment authorId="0" ref="R338">
      <text>
        <t xml:space="preserve">Risers required</t>
      </text>
    </comment>
    <comment authorId="0" ref="W338">
      <text>
        <t xml:space="preserve">Hot Swap Drive Bays</t>
      </text>
    </comment>
    <comment authorId="0" ref="Z338">
      <text>
        <t xml:space="preserve">70mm fan included</t>
      </text>
    </comment>
    <comment authorId="0" ref="M339">
      <text>
        <t xml:space="preserve">radiator up to 280mm length and 55mm CPU block height</t>
      </text>
    </comment>
    <comment authorId="0" ref="U339">
      <text>
        <t xml:space="preserve">ATX PSU up to 160mm length</t>
      </text>
    </comment>
    <comment authorId="0" ref="AB339">
      <text>
        <t xml:space="preserve">1x92mm at rear +
2x92mm at top +
3x92mm at bottom</t>
      </text>
    </comment>
    <comment authorId="0" ref="AC339">
      <text>
        <t xml:space="preserve">2x120mm at side</t>
      </text>
    </comment>
    <comment authorId="0" ref="U342">
      <text>
        <t xml:space="preserve">-up to 140mm length for GPU &gt;190mm
-up to 220mm length for GPU &lt;190mm</t>
      </text>
    </comment>
    <comment authorId="0" ref="U343">
      <text>
        <t xml:space="preserve">-up to 140mm length for GPU &gt;190mm
-up to 220mm length for GPU &lt;190mm</t>
      </text>
    </comment>
    <comment authorId="0" ref="U344">
      <text>
        <t xml:space="preserve">-up to 140mm length for GPU &gt;190mm
-up to 220mm length for GPU &lt;190mm</t>
      </text>
    </comment>
    <comment authorId="0" ref="U345">
      <text>
        <t xml:space="preserve">-up to 140mm length for GPU &gt;190mm
-up to 220mm length for GPU &lt;190mm</t>
      </text>
    </comment>
    <comment authorId="0" ref="U346">
      <text>
        <t xml:space="preserve">ATX PSU up to 150mm length</t>
      </text>
    </comment>
    <comment authorId="0" ref="V346">
      <text>
        <t xml:space="preserve">1x2.5" or 1x3.5" drive</t>
      </text>
    </comment>
    <comment authorId="0" ref="W346">
      <text>
        <t xml:space="preserve">1x2.5" or 1x3.5" drive</t>
      </text>
    </comment>
    <comment authorId="0" ref="AB346">
      <text>
        <t xml:space="preserve">1x92mm at rear +
3x92mm at bottom</t>
      </text>
    </comment>
    <comment authorId="0" ref="AC346">
      <text>
        <t xml:space="preserve">2x120mm at top</t>
      </text>
    </comment>
    <comment authorId="0" ref="U347">
      <text>
        <t xml:space="preserve">up to 160mm length</t>
      </text>
    </comment>
    <comment authorId="0" ref="L348">
      <text>
        <t xml:space="preserve">Adjustable
73mm with 3 expansion slots
53mm with 4 expansion slots</t>
      </text>
    </comment>
    <comment authorId="0" ref="M348">
      <text>
        <t xml:space="preserve">Front radiator:
240/280 mm support max 332 mm length, 144 mm width, 88 mm thickness with fans</t>
      </text>
    </comment>
    <comment authorId="0" ref="O348">
      <text>
        <t xml:space="preserve">211mm for SFF horizontal GPU
307mm for ATX motherboard GPU low position
316mm for ATX motherboard GPU low position
332mm in 3 slot mode
336mm in 4 slot mode</t>
      </text>
    </comment>
    <comment authorId="0" ref="P348">
      <text>
        <t xml:space="preserve">124mm for ATX motherboard GPU position
155mm for normal position</t>
      </text>
    </comment>
    <comment authorId="0" ref="Q348">
      <text>
        <t xml:space="preserve">Adjustable
60mm in 3 slot mode
80mm in 4 slot mode</t>
      </text>
    </comment>
    <comment authorId="0" ref="R348">
      <text>
        <t xml:space="preserve">Adjustable
4 slots in vertical position +
3 slots in horizontal position</t>
      </text>
    </comment>
    <comment authorId="0" ref="U348">
      <text>
        <t xml:space="preserve">ATX PSU up to140 mm with downward tubing AIO
ATX PSU up to 160 mm with upward tubing AIO 
ATX PSU up to 170 mm with front fan only</t>
      </text>
    </comment>
    <comment authorId="0" ref="V348">
      <text>
        <t xml:space="preserve">3x2.5" drives with vertical GPU + 4x2.5" or 2x3.5" drives with SFF horizontal GPU</t>
      </text>
    </comment>
    <comment authorId="0" ref="W348">
      <text>
        <t xml:space="preserve">4x2.5" or 2x3.5" drives with SFF horizontal GPU</t>
      </text>
    </comment>
    <comment authorId="0" ref="AC348">
      <text>
        <t xml:space="preserve">2x120mm or 140mm fans in front panel +
1x120mm slim 15mm fan at top (will reduce GPU length to 317mm) +
2x120mm fans at right side panel. 25 mm thick fans with 39 mm thick GPU or 15 mm thick fans with 49 mm thick GPU at 3 slot mode
</t>
      </text>
    </comment>
    <comment authorId="0" ref="AD348">
      <text>
        <t xml:space="preserve">2x120mm or 140mm fans in front panel</t>
      </text>
    </comment>
    <comment authorId="0" ref="L349">
      <text>
        <t xml:space="preserve">138mm with side bracket
142mm without side bracket</t>
      </text>
    </comment>
    <comment authorId="0" ref="O349">
      <text>
        <t xml:space="preserve">With 3 slots (61 mm):
325 mm length and 140 mm width;
336 mm length and 140 mm width (front I/O ports removed)
With 4.7 slots (94 mm):
325 mm length and 136 mm width;
337 mm length and 136 mm width (front I/O ports removed)
*GPU baffle not included in length and PCIe power connectors need 15-20 mm space</t>
      </text>
    </comment>
    <comment authorId="0" ref="P349">
      <text>
        <t xml:space="preserve">With 3 slots (61 mm):
325 mm length and 140 mm width;
336 mm length and 140 mm width (front I/O ports removed)
With 4.7 slots (94 mm):
325 mm length and 136 mm width;
337 mm length and 136 mm width (front I/O ports removed)
*GPU baffle not included in length and PCIe power connectors need 15-20 mm space</t>
      </text>
    </comment>
    <comment authorId="0" ref="Q349">
      <text>
        <t xml:space="preserve">With 3 slots (61 mm):
325 mm length and 140 mm width;
336 mm length and 140 mm width (front I/O ports removed)
With 4.7 slots (94 mm):
325 mm length and 136 mm width;
337 mm length and 136 mm width (front I/O ports removed)
*GPU baffle not included in length and PCIe power connectors need 15-20 mm space</t>
      </text>
    </comment>
    <comment authorId="0" ref="U349">
      <text>
        <t xml:space="preserve">ATX PSU up to 160mm length</t>
      </text>
    </comment>
    <comment authorId="0" ref="W349">
      <text>
        <t xml:space="preserve">2x3.5" with ATX PSU
3x3.5" with SFX PSU</t>
      </text>
    </comment>
    <comment authorId="0" ref="AA349">
      <text>
        <t xml:space="preserve">1x80mm or 1x92mm at rear</t>
      </text>
    </comment>
    <comment authorId="0" ref="AB349">
      <text>
        <t xml:space="preserve">1x80mm or 1x92mm at rear</t>
      </text>
    </comment>
    <comment authorId="0" ref="AC349">
      <text>
        <t xml:space="preserve">2x120mm or 2x140mm at side +
2x120mm or 2x140mm at bottom</t>
      </text>
    </comment>
    <comment authorId="0" ref="AD349">
      <text>
        <t xml:space="preserve">2x120mm or 2x140mm at side +
2x120mm or 2x140mm at bottom</t>
      </text>
    </comment>
    <comment authorId="0" ref="A350">
      <text>
        <t xml:space="preserve">Taobao store:
https://heimaike.world.taobao.com/</t>
      </text>
    </comment>
    <comment authorId="0" ref="AB350">
      <text>
        <t xml:space="preserve">1x92mm or 1x120mm at rear</t>
      </text>
    </comment>
    <comment authorId="0" ref="AC350">
      <text>
        <t xml:space="preserve">2x120mm slim fans at top +
1x92mm or 1x120mm at rear</t>
      </text>
    </comment>
    <comment authorId="0" ref="AD350">
      <text>
        <t xml:space="preserve">2x140mm at side bracket</t>
      </text>
    </comment>
    <comment authorId="0" ref="M352">
      <text>
        <t xml:space="preserve">Radiator + Fans up to 60mm thickness</t>
      </text>
    </comment>
    <comment authorId="0" ref="U353">
      <text>
        <t xml:space="preserve">ATX PSU will limit GPU up to 220m length</t>
      </text>
    </comment>
    <comment authorId="0" ref="U354">
      <text>
        <t xml:space="preserve">ATX PSU up to 140mm length</t>
      </text>
    </comment>
    <comment authorId="0" ref="L355">
      <text>
        <t xml:space="preserve">120mm AIO included</t>
      </text>
    </comment>
    <comment authorId="0" ref="M355">
      <text>
        <t xml:space="preserve">120mm AIO included</t>
      </text>
    </comment>
    <comment authorId="0" ref="U355">
      <text>
        <t xml:space="preserve">Cooler Master V850 ATX 3.0 SFX included</t>
      </text>
    </comment>
    <comment authorId="0" ref="AC355">
      <text>
        <t xml:space="preserve">2x120mm fans included</t>
      </text>
    </comment>
    <comment authorId="0" ref="AC356">
      <text>
        <t xml:space="preserve">1x120mm at rear +
2x120mm or 2x140mm at side bracket +
2x120mm or 2x140mm at bottom +
2x120mm or 2x140mm at top</t>
      </text>
    </comment>
    <comment authorId="0" ref="AD356">
      <text>
        <t xml:space="preserve">2x120mm or 2x140mm at side bracket +
2x120mm or 2x140mm at bottom +
2x120mm or 2x140mm at top</t>
      </text>
    </comment>
    <comment authorId="0" ref="AC357">
      <text>
        <t xml:space="preserve">Slim 15mm fan</t>
      </text>
    </comment>
    <comment authorId="0" ref="AD357">
      <text>
        <t xml:space="preserve">2x140mm fans at side +
2x140mm fans at front +
1x140mm fan at top</t>
      </text>
    </comment>
    <comment authorId="0" ref="B358">
      <text>
        <t xml:space="preserve">JD link:
https://item.jd.com/100008492617.html</t>
      </text>
    </comment>
    <comment authorId="0" ref="V358">
      <text>
        <t xml:space="preserve">1x2.5" or 1x3.5" drive</t>
      </text>
    </comment>
    <comment authorId="0" ref="W358">
      <text>
        <t xml:space="preserve">1x2.5" or 1x3.5" drive</t>
      </text>
    </comment>
    <comment authorId="0" ref="U360">
      <text>
        <t xml:space="preserve">Recommended SFX</t>
      </text>
    </comment>
    <comment authorId="0" ref="AC360">
      <text>
        <t xml:space="preserve">1x120mm fan at bottom +
2x120mm or 2x140mm fans at side bracket</t>
      </text>
    </comment>
    <comment authorId="0" ref="AD360">
      <text>
        <t xml:space="preserve">2x120mm or 2x140mm fans at side bracket</t>
      </text>
    </comment>
    <comment authorId="0" ref="L362">
      <text>
        <t xml:space="preserve">An Estimate, stock Intel cooler fits fine.</t>
      </text>
    </comment>
    <comment authorId="0" ref="W362">
      <text>
        <t xml:space="preserve">Hot Swap Drive Bays, Backplane uses 2x SFF-8087</t>
      </text>
    </comment>
    <comment authorId="0" ref="M363">
      <text>
        <t xml:space="preserve">up to 55mm thickness</t>
      </text>
    </comment>
    <comment authorId="0" ref="AC363">
      <text>
        <t xml:space="preserve">1x120mm fan in rear +
2x120mm fans in bottom +
2x120mm or 140mm fans in front +
2x120mm fans or drives in top</t>
      </text>
    </comment>
    <comment authorId="0" ref="AD363">
      <text>
        <t xml:space="preserve">2x120mm or 140mm fans in front</t>
      </text>
    </comment>
    <comment authorId="0" ref="M364">
      <text>
        <t xml:space="preserve">430mm max length
149mm max width
66mm max combined fan and rad thickness</t>
      </text>
    </comment>
    <comment authorId="0" ref="O364">
      <text>
        <t xml:space="preserve">290mm with 3.5" in case bottom
324mm with 2.5" in case bottom</t>
      </text>
    </comment>
    <comment authorId="0" ref="U364">
      <text>
        <t xml:space="preserve">SFX-L is supported but not recommended</t>
      </text>
    </comment>
    <comment authorId="0" ref="V364">
      <text>
        <t xml:space="preserve">3x2.5" between CPU and PSU bracket +
4x2.5" or 2x3.5" in case bottom (restricts GPU length to 324mm)</t>
      </text>
    </comment>
    <comment authorId="0" ref="W364">
      <text>
        <t xml:space="preserve">2x3.5" or 4x2.5" in case bottom. Restricts GPU length to 290mm</t>
      </text>
    </comment>
    <comment authorId="0" ref="AL364">
      <text>
        <t xml:space="preserve">+$10 for Matte White color
+$50 for Rust Patina color
+$129 for Asetek 690LS 360mm AIO kit
+$79 for bifurcation riser</t>
      </text>
    </comment>
    <comment authorId="0" ref="M365">
      <text>
        <t xml:space="preserve">430mm max length
149mm max width
66mm max combined fan and rad thickness</t>
      </text>
    </comment>
    <comment authorId="0" ref="O365">
      <text>
        <t xml:space="preserve">290mm with 3.5" in case bottom
324mm with 2.5" in case bottom</t>
      </text>
    </comment>
    <comment authorId="0" ref="U365">
      <text>
        <t xml:space="preserve">SFX-L is supported but not recommended</t>
      </text>
    </comment>
    <comment authorId="0" ref="V365">
      <text>
        <t xml:space="preserve">14x2.5" drives + 
5x2.5" or 2x3.5" drives in bottom</t>
      </text>
    </comment>
    <comment authorId="0" ref="W365">
      <text>
        <t xml:space="preserve">5x2.5" or 2x3.5" drives in bottom</t>
      </text>
    </comment>
    <comment authorId="0" ref="AC365">
      <text>
        <t xml:space="preserve">3x120mm or 140mm fans</t>
      </text>
    </comment>
    <comment authorId="0" ref="AD365">
      <text>
        <t xml:space="preserve">3x120mm or 140mm fans</t>
      </text>
    </comment>
    <comment authorId="0" ref="B366">
      <text>
        <t xml:space="preserve">Aliexpress link:
https://www.aliexpress.com/item/1005001960478079.html</t>
      </text>
    </comment>
    <comment authorId="0" ref="U366">
      <text>
        <t xml:space="preserve">up to 140mm length</t>
      </text>
    </comment>
    <comment authorId="0" ref="AB366">
      <text>
        <t xml:space="preserve">1x120mm at back +
2x120mm or 2x140mm at bottom +
2x120mm or 2x140mm at top</t>
      </text>
    </comment>
    <comment authorId="0" ref="AC366">
      <text>
        <t xml:space="preserve">1x120mm at back +
2x120mm or 2x140mm at bottom +
2x120mm or 2x140mm at top</t>
      </text>
    </comment>
    <comment authorId="0" ref="B369">
      <text>
        <t xml:space="preserve">JD link:
https://item.jd.com/100016086972.html</t>
      </text>
    </comment>
    <comment authorId="0" ref="Q369">
      <text>
        <t xml:space="preserve">53mm for glass panel
60mm for aluminium panel</t>
      </text>
    </comment>
    <comment authorId="0" ref="U369">
      <text>
        <t xml:space="preserve">ATX PSU up to 150mm length</t>
      </text>
    </comment>
    <comment authorId="0" ref="A370">
      <text>
        <t xml:space="preserve">Taobao Link:
https://shop163026353.taobao.com/</t>
      </text>
    </comment>
    <comment authorId="0" ref="V370">
      <text>
        <t xml:space="preserve">2x2.5" or 1x3.5" drives</t>
      </text>
    </comment>
    <comment authorId="0" ref="W370">
      <text>
        <t xml:space="preserve">2x3.5" +
2x2.5" or 1x3.5" drives</t>
      </text>
    </comment>
    <comment authorId="0" ref="AB370">
      <text>
        <t xml:space="preserve">1x92mm at rear</t>
      </text>
    </comment>
    <comment authorId="0" ref="AC370">
      <text>
        <t xml:space="preserve">2x120mm at top +
2x120mm at bottom</t>
      </text>
    </comment>
    <comment authorId="0" ref="A371">
      <text>
        <t xml:space="preserve">Taobao Link:
https://shop163026353.taobao.com/</t>
      </text>
    </comment>
    <comment authorId="0" ref="V371">
      <text>
        <t xml:space="preserve">2x2.5" or 1x3.5" drives</t>
      </text>
    </comment>
    <comment authorId="0" ref="W371">
      <text>
        <t xml:space="preserve">2x3.5" +
2x2.5" or 1x3.5" drives</t>
      </text>
    </comment>
    <comment authorId="0" ref="AB371">
      <text>
        <t xml:space="preserve">1x92mm at rear</t>
      </text>
    </comment>
    <comment authorId="0" ref="AC371">
      <text>
        <t xml:space="preserve">2x120mm at top +
2x120mm at bottom</t>
      </text>
    </comment>
    <comment authorId="0" ref="B372">
      <text>
        <t xml:space="preserve">NR200 with steel panel and 1x92mm + 1x120mm case fans included
NR200P with steel and glass panels, riser cable and 2x120mm case fans included</t>
      </text>
    </comment>
    <comment authorId="0" ref="J372">
      <text>
        <t xml:space="preserve">Steel panel for NR200
Steel and glass panels for NR200P</t>
      </text>
    </comment>
    <comment authorId="0" ref="L372">
      <text>
        <t xml:space="preserve">76mm for vertical GPU installation
153mm for tempered glass side panel
155mm for vented steel side panel
158mm tower coolers like NH-U12A and Hyper 212 apparently fits with vented panel</t>
      </text>
    </comment>
    <comment authorId="0" ref="M372">
      <text>
        <t xml:space="preserve">Rear : 92mm (not compatible with vertical GPU installation)
Side Panel : 120/140/240/280mm (not compatible with vertical GPU installation)
Bottom : 120/240mm (recommended only for single slot watercooled GPU or vertical mounted GPU)</t>
      </text>
    </comment>
    <comment authorId="0" ref="N372">
      <text>
        <t xml:space="preserve">Optional GPU riser for vertical GPU installation is included in NR200P version</t>
      </text>
    </comment>
    <comment authorId="0" ref="Q372">
      <text>
        <t xml:space="preserve">70mm for horizontal GPU
60mm for vertical GPU</t>
      </text>
    </comment>
    <comment authorId="0" ref="R372">
      <text>
        <t xml:space="preserve">3 slots in standard orientation
2 slots in vertical orientation</t>
      </text>
    </comment>
    <comment authorId="0" ref="T372">
      <text>
        <t xml:space="preserve">mATX boards up to 226x244mm will fit with front mounted PSU</t>
      </text>
    </comment>
    <comment authorId="0" ref="U372">
      <text>
        <t xml:space="preserve">ATX compatible with optional ATX bracket / 3d print</t>
      </text>
    </comment>
    <comment authorId="0" ref="V372">
      <text>
        <t xml:space="preserve">2x2.5" drives on the front panel +
1x2.5" or 1x3.5" drive on PSU cage</t>
      </text>
    </comment>
    <comment authorId="0" ref="W372">
      <text>
        <t xml:space="preserve">1x3.5" drive on side bracket +
1x2.5" or 1x3.5" drive on PSU cage</t>
      </text>
    </comment>
    <comment authorId="0" ref="AB372">
      <text>
        <t xml:space="preserve">Not compatible with vertical GPU installation
1x92mm + 1x120mm case fans included in NR200
2x120mm case fans included in NR200P
</t>
      </text>
    </comment>
    <comment authorId="0" ref="AC372">
      <text>
        <t xml:space="preserve">2x120mm fans on bottom (slim fans  for GPUs wider than 2.5 slots) +
2x120mm or 2x140mm fans on side panel (not compatible with vertical GPU installation) +
2x120mm on top 
1x92mm + 1x120mm case fans included in NR200
2x120mm case fans included in NR200P</t>
      </text>
    </comment>
    <comment authorId="0" ref="AD372">
      <text>
        <t xml:space="preserve">2x120mm or 2x140mm fans on side panel (not compatible with vertical GPU installation)</t>
      </text>
    </comment>
    <comment authorId="0" ref="AL372">
      <text>
        <t xml:space="preserve">$80 NR200 with steel panel and 1x92mm + 1x120mm case fans included
$100 NR200P with steel and glass panels, riser cable and 2x120mm case fans included</t>
      </text>
    </comment>
    <comment authorId="0" ref="B373">
      <text>
        <t xml:space="preserve">NR200 with steel panel and 1x92mm + 1x120mm case fans included
NR200P with steel and glass panels, riser cable and 2x120mm case fans included</t>
      </text>
    </comment>
    <comment authorId="0" ref="J373">
      <text>
        <t xml:space="preserve">Steel panel for NR200
Steel and glass panels for NR200P</t>
      </text>
    </comment>
    <comment authorId="0" ref="L373">
      <text>
        <t xml:space="preserve">76mm for vertical GPU installation
153mm for tempered glass side panel
155mm for vented steel side panel
158mm tower coolers like NH-U12A and Hyper 212 apparently fits with vented panel</t>
      </text>
    </comment>
    <comment authorId="0" ref="M373">
      <text>
        <t xml:space="preserve">Rear : 92mm (not compatible with vertical GPU installation)
Side Panel : 120/140/240/280mm (not compatible with vertical GPU installation)
Bottom : 120/240mm (recommended only for single slot watercooled GPU or vertical mounted GPU)</t>
      </text>
    </comment>
    <comment authorId="0" ref="N373">
      <text>
        <t xml:space="preserve">Optional GPU riser for vertical GPU installation is included in NR200P version</t>
      </text>
    </comment>
    <comment authorId="0" ref="Q373">
      <text>
        <t xml:space="preserve">70mm for horizontal GPU
60mm for vertical GPU</t>
      </text>
    </comment>
    <comment authorId="0" ref="R373">
      <text>
        <t xml:space="preserve">3 slots in standard orientation
2 slots in vertical orientation</t>
      </text>
    </comment>
    <comment authorId="0" ref="T373">
      <text>
        <t xml:space="preserve">mATX boards up to 226x244mm will fit with front mounted PSU</t>
      </text>
    </comment>
    <comment authorId="0" ref="U373">
      <text>
        <t xml:space="preserve">ATX compatible with optional ATX bracket / 3d print</t>
      </text>
    </comment>
    <comment authorId="0" ref="V373">
      <text>
        <t xml:space="preserve">2x2.5" drives on the front panel +
1x2.5" or 1x3.5" drive on PSU cage</t>
      </text>
    </comment>
    <comment authorId="0" ref="W373">
      <text>
        <t xml:space="preserve">1x3.5" drive on side bracket +
1x2.5" or 1x3.5" drive on PSU cage</t>
      </text>
    </comment>
    <comment authorId="0" ref="AB373">
      <text>
        <t xml:space="preserve">Not compatible with vertical GPU installation
1x92mm + 1x120mm case fans included in NR200
2x120mm case fans included in NR200P
</t>
      </text>
    </comment>
    <comment authorId="0" ref="AC373">
      <text>
        <t xml:space="preserve">2x120mm fans on bottom (slim fans  for GPUs wider than 2.5 slots) +
2x120mm or 2x140mm fans on side panel (not compatible with vertical GPU installation) +
2x120mm on top 
1x92mm + 1x120mm case fans included in NR200
2x120mm case fans included in NR200P</t>
      </text>
    </comment>
    <comment authorId="0" ref="AD373">
      <text>
        <t xml:space="preserve">2x120mm or 2x140mm fans on side panel (not compatible with vertical GPU installation)</t>
      </text>
    </comment>
    <comment authorId="0" ref="AL373">
      <text>
        <t xml:space="preserve">$80 NR200 with steel panel and 1x92mm + 1x120mm case fans included
$100 NR200P with steel and glass panels, riser cable and 2x120mm case fans included</t>
      </text>
    </comment>
    <comment authorId="0" ref="J374">
      <text>
        <t xml:space="preserve">Comes with both panels</t>
      </text>
    </comment>
    <comment authorId="0" ref="O374">
      <text>
        <t xml:space="preserve">Exceed front bracket: 
357x160x73mm
Not exceed front bracket:
334x160x80mm</t>
      </text>
    </comment>
    <comment authorId="0" ref="P374">
      <text>
        <t xml:space="preserve">Exceed front bracket: 
357x160x73mm
Not exceed front bracket:
334x160x80mm</t>
      </text>
    </comment>
    <comment authorId="0" ref="Q374">
      <text>
        <t xml:space="preserve">Exceed front bracket: 
357x160x73mm
Not exceed front bracket:
334x160x80mm</t>
      </text>
    </comment>
    <comment authorId="0" ref="V374">
      <text>
        <t xml:space="preserve">1x2.5" in the front panel +
1x2.5" or 1x3.5" in the PSU cage</t>
      </text>
    </comment>
    <comment authorId="0" ref="W374">
      <text>
        <t xml:space="preserve">1x2.5" or 1x3.5" in the PSU cage + 
1x3.5" or 1x120mm fan at bottom</t>
      </text>
    </comment>
    <comment authorId="0" ref="AC374">
      <text>
        <t xml:space="preserve">2x120mm or 2x140mm at top +
1x120mm slim 15mm at bottom + 1x3.5" drive or 1x120mm at bottom</t>
      </text>
    </comment>
    <comment authorId="0" ref="AD374">
      <text>
        <t xml:space="preserve">2x120mm or 2x140mm at top</t>
      </text>
    </comment>
    <comment authorId="0" ref="L375">
      <text>
        <t xml:space="preserve">Include 65W passive CPU cooler heatsink, expandable to 110W</t>
      </text>
    </comment>
    <comment authorId="0" ref="A376">
      <text>
        <t xml:space="preserve">Taobao store:
https://heimaike.world.taobao.com/</t>
      </text>
    </comment>
    <comment authorId="0" ref="AC376">
      <text>
        <t xml:space="preserve">1x120mm or 1x140mm slim fan at front</t>
      </text>
    </comment>
    <comment authorId="0" ref="AD376">
      <text>
        <t xml:space="preserve">2x140mm at top +
2x140mm at side +
1x120mm or 1x140mm slim fan at front</t>
      </text>
    </comment>
    <comment authorId="0" ref="J377">
      <text>
        <t xml:space="preserve">Comes with both panels</t>
      </text>
    </comment>
    <comment authorId="0" ref="L377">
      <text>
        <t xml:space="preserve">280mm AIO included</t>
      </text>
    </comment>
    <comment authorId="0" ref="M377">
      <text>
        <t xml:space="preserve">280mm AIO included</t>
      </text>
    </comment>
    <comment authorId="0" ref="U377">
      <text>
        <t xml:space="preserve">Cooler Master V850 SFX included</t>
      </text>
    </comment>
    <comment authorId="0" ref="V377">
      <text>
        <t xml:space="preserve">2x2.5" drives in the front panel +
1x2.5" drive or 1x3.5" drive in the PSU cage</t>
      </text>
    </comment>
    <comment authorId="0" ref="W377">
      <text>
        <t xml:space="preserve">1x2.5" or 1x3.5" drive in the PSU cage + 
1x3.5" drive or 1x120mm slim 15mm fan at bottom</t>
      </text>
    </comment>
    <comment authorId="0" ref="AC377">
      <text>
        <t xml:space="preserve">2x120mm or 2x140mm fans at top +
2x120mm slim 15mm fans or 1x120mm slim 15mm fan + 1x3.5" drive at bottom</t>
      </text>
    </comment>
    <comment authorId="0" ref="AD377">
      <text>
        <t xml:space="preserve">2x120mm or 2x140mm fans at top
2x140mm fans included</t>
      </text>
    </comment>
    <comment authorId="0" ref="AL377">
      <text>
        <t xml:space="preserve">280mm AIO and 850W Gold SFX PSU included in the price</t>
      </text>
    </comment>
    <comment authorId="0" ref="M378">
      <text>
        <t xml:space="preserve">Up to 35mm thick</t>
      </text>
    </comment>
    <comment authorId="0" ref="U378">
      <text>
        <t xml:space="preserve">700W 80 Plus Gold included</t>
      </text>
    </comment>
    <comment authorId="0" ref="AA378">
      <text>
        <t xml:space="preserve">Slim 15mm fan at top</t>
      </text>
    </comment>
    <comment authorId="0" ref="AC378">
      <text>
        <t xml:space="preserve">2x120mm or 140mm fans in side panel</t>
      </text>
    </comment>
    <comment authorId="0" ref="AD378">
      <text>
        <t xml:space="preserve">2x120mm or 140mm fans in side panel</t>
      </text>
    </comment>
    <comment authorId="0" ref="M379">
      <text>
        <t xml:space="preserve">Optional</t>
      </text>
    </comment>
    <comment authorId="0" ref="U380">
      <text>
        <t xml:space="preserve">Include 500W 80 Plus Gold 1U PSU</t>
      </text>
    </comment>
    <comment authorId="0" ref="O382">
      <text>
        <t xml:space="preserve">250mm with front case fans
267mm without front case fans</t>
      </text>
    </comment>
    <comment authorId="0" ref="AA382">
      <text>
        <t xml:space="preserve">2xfront case fans will reduce GPU length to 250mm</t>
      </text>
    </comment>
    <comment authorId="0" ref="O383">
      <text>
        <t xml:space="preserve">up to 336x135x80mm or
330x142x80mm</t>
      </text>
    </comment>
    <comment authorId="0" ref="P383">
      <text>
        <t xml:space="preserve">up to 336x135x80mm or
330x142x80mm</t>
      </text>
    </comment>
    <comment authorId="0" ref="U383">
      <text>
        <t xml:space="preserve">ATX PSU up to 140mm length</t>
      </text>
    </comment>
    <comment authorId="0" ref="V383">
      <text>
        <t xml:space="preserve">1x2.5" drive or 1x92mm or 1x120mm fan at front</t>
      </text>
    </comment>
    <comment authorId="0" ref="W383">
      <text>
        <t xml:space="preserve">1x3.5" drive or 2x120mm fans at bottom</t>
      </text>
    </comment>
    <comment authorId="0" ref="AA383">
      <text>
        <t xml:space="preserve">2x80mm or 1x92mm at rear</t>
      </text>
    </comment>
    <comment authorId="0" ref="AB383">
      <text>
        <t xml:space="preserve">2x80mm or 1x92mm at rear +
1x92mm or 1x120mm or 1x2.5" drive at front</t>
      </text>
    </comment>
    <comment authorId="0" ref="AC383">
      <text>
        <t xml:space="preserve">2x120mm at top +
1x92mm or 1x120mm or 1x2.5" drive at front +
2x120mm or 1x3.5" drive at bottom</t>
      </text>
    </comment>
    <comment authorId="0" ref="T384">
      <text>
        <t xml:space="preserve">mATX board only compatible with SFX PSU</t>
      </text>
    </comment>
    <comment authorId="0" ref="U384">
      <text>
        <t xml:space="preserve">ATX PSUs only compatible with mITX boards.</t>
      </text>
    </comment>
    <comment authorId="0" ref="AC386">
      <text>
        <t xml:space="preserve">Slim 15mm fan</t>
      </text>
    </comment>
    <comment authorId="0" ref="AD386">
      <text>
        <t xml:space="preserve">2x140mm fans at side +
2x140mm fans at front +
1x140mm fan at top</t>
      </text>
    </comment>
    <comment authorId="0" ref="M387">
      <text>
        <t xml:space="preserve">240 radiator only compatible with SFX / SFX-L PSU</t>
      </text>
    </comment>
    <comment authorId="0" ref="O387">
      <text>
        <t xml:space="preserve">240mm with ATX PSU &gt; 140mm</t>
      </text>
    </comment>
    <comment authorId="0" ref="U387">
      <text>
        <t xml:space="preserve">ATX PSU more than 140mm length will reduce GPU length to 240mm</t>
      </text>
    </comment>
    <comment authorId="0" ref="V387">
      <text>
        <t xml:space="preserve">2x2.5" or 2x3.5" drives</t>
      </text>
    </comment>
    <comment authorId="0" ref="W387">
      <text>
        <t xml:space="preserve">2x2.5" or 2x3.5" drives</t>
      </text>
    </comment>
    <comment authorId="0" ref="AC387">
      <text>
        <t xml:space="preserve">2x120mm fans at top +
1x120mm fan at rear +
2x120mm fans at bottom</t>
      </text>
    </comment>
    <comment authorId="0" ref="P388">
      <text>
        <t xml:space="preserve">135mm with AIO
161mm with case fans</t>
      </text>
    </comment>
    <comment authorId="0" ref="L389">
      <text>
        <t xml:space="preserve">49mm with mITX motherboard
161mm with mATX motherboard</t>
      </text>
    </comment>
    <comment authorId="0" ref="O389">
      <text>
        <t xml:space="preserve">208mm with 240 AIO
235mm with top 2x120mm fans
259mm with 120 AIO or 1x120mm fan</t>
      </text>
    </comment>
    <comment authorId="0" ref="U389">
      <text>
        <t xml:space="preserve">up to 160mm depth</t>
      </text>
    </comment>
    <comment authorId="0" ref="AC389">
      <text>
        <t xml:space="preserve">2x120mm at top +
2x120mm at front +
1x120mm at rear</t>
      </text>
    </comment>
    <comment authorId="0" ref="L390">
      <text>
        <t xml:space="preserve">139mm with glass panel
141mm with aluminium panel</t>
      </text>
    </comment>
    <comment authorId="0" ref="P390">
      <text>
        <t xml:space="preserve">144mm with glass panel
146mm with aluminium panel</t>
      </text>
    </comment>
    <comment authorId="0" ref="L391">
      <text>
        <t xml:space="preserve">139mm with glass panel
141mm with aluminium panel</t>
      </text>
    </comment>
    <comment authorId="0" ref="P391">
      <text>
        <t xml:space="preserve">144mm with glass panel
146mm with aluminium panel</t>
      </text>
    </comment>
    <comment authorId="0" ref="U393">
      <text>
        <t xml:space="preserve">ATX PSU up to 140mm length</t>
      </text>
    </comment>
    <comment authorId="0" ref="V393">
      <text>
        <t xml:space="preserve">1x2.5" or 1x3.5" or 1x120mm at front</t>
      </text>
    </comment>
    <comment authorId="0" ref="W393">
      <text>
        <t xml:space="preserve">1x2.5" or 1x3.5" or 1x120mm at front</t>
      </text>
    </comment>
    <comment authorId="0" ref="AC393">
      <text>
        <t xml:space="preserve">1x120mm at rear +
2x120mm at top +
1x120mm or 1x2.5" or 1x3.5" at front </t>
      </text>
    </comment>
    <comment authorId="0" ref="L394">
      <text>
        <t xml:space="preserve">182mm without top 120mm fan</t>
      </text>
    </comment>
    <comment authorId="0" ref="M394">
      <text>
        <t xml:space="preserve">without 3.5" drives</t>
      </text>
    </comment>
    <comment authorId="0" ref="U394">
      <text>
        <t xml:space="preserve">up to 150mm length</t>
      </text>
    </comment>
    <comment authorId="0" ref="W394">
      <text>
        <t xml:space="preserve">2x3.5" or 240mm radiator</t>
      </text>
    </comment>
    <comment authorId="0" ref="AC394">
      <text>
        <t xml:space="preserve">1x120mm or 140mm fan at rear +
2x120mm or 2x140mm fans at side panel +
1x120mm fan at top panel</t>
      </text>
    </comment>
    <comment authorId="0" ref="AD394">
      <text>
        <t xml:space="preserve">1x120mm or 140mm fan at rear + 
2x120mm or 2x140mm fans at side panel</t>
      </text>
    </comment>
    <comment authorId="0" ref="B396">
      <text>
        <t xml:space="preserve">Aliexpress link:
https://www.aliexpress.com/item/32871174002.html
JD link:
https://item.jd.com/922044.html</t>
      </text>
    </comment>
    <comment authorId="0" ref="U397">
      <text>
        <t xml:space="preserve">ATX PSU up to 140mm length</t>
      </text>
    </comment>
    <comment authorId="0" ref="AB397">
      <text>
        <t xml:space="preserve">3x92mm fans at top +
1x92mm fan at rear +
3x92mm fans at bottom</t>
      </text>
    </comment>
    <comment authorId="0" ref="U398">
      <text>
        <t xml:space="preserve">up to 150mm length</t>
      </text>
    </comment>
    <comment authorId="0" ref="U399">
      <text>
        <t xml:space="preserve">up to 160mm length</t>
      </text>
    </comment>
    <comment authorId="0" ref="W399">
      <text>
        <t xml:space="preserve">1x3.5" drive or radiator</t>
      </text>
    </comment>
    <comment authorId="0" ref="AC399">
      <text>
        <t xml:space="preserve">2x120mm or 2x140mm at top</t>
      </text>
    </comment>
    <comment authorId="0" ref="AD399">
      <text>
        <t xml:space="preserve">2x120mm or 2x140mm at top</t>
      </text>
    </comment>
    <comment authorId="0" ref="AC400">
      <text>
        <t xml:space="preserve">2x120mm slim 15mm fans at top +
2x120mm fans at bottom +
1x120mm fan at rear</t>
      </text>
    </comment>
    <comment authorId="0" ref="AC401">
      <text>
        <t xml:space="preserve">2x120mm at side</t>
      </text>
    </comment>
    <comment authorId="0" ref="AC402">
      <text>
        <t xml:space="preserve">2x120mm at side</t>
      </text>
    </comment>
    <comment authorId="0" ref="M404">
      <text>
        <t xml:space="preserve">120/140mm at rear panel
120/140/240/280mm at top panel. Not compatible with 5.25" drive</t>
      </text>
    </comment>
    <comment authorId="0" ref="O404">
      <text>
        <t xml:space="preserve">170mm for ATX PSUs more than 170mm length</t>
      </text>
    </comment>
    <comment authorId="0" ref="U404">
      <text>
        <t xml:space="preserve">up to 170mm length for non-modular PSU
up to 160mm length for modular PSU</t>
      </text>
    </comment>
    <comment authorId="0" ref="X404">
      <text>
        <t xml:space="preserve">Not compatible with 240/280mm AIO at top panel</t>
      </text>
    </comment>
    <comment authorId="0" ref="AC404">
      <text>
        <t xml:space="preserve">1x120/140mm at rear panel +
2x120/140mm at top panel</t>
      </text>
    </comment>
    <comment authorId="0" ref="AD404">
      <text>
        <t xml:space="preserve">1x120/140mm at rear panel +
2x120/140mm at top panel</t>
      </text>
    </comment>
    <comment authorId="0" ref="L405">
      <text>
        <t xml:space="preserve">182mm without top 120mm fan</t>
      </text>
    </comment>
    <comment authorId="0" ref="M405">
      <text>
        <t xml:space="preserve">without 5.25" and 3.5" drives</t>
      </text>
    </comment>
    <comment authorId="0" ref="U405">
      <text>
        <t xml:space="preserve">up to 150mm length</t>
      </text>
    </comment>
    <comment authorId="0" ref="W405">
      <text>
        <t xml:space="preserve">2x3.5" or 1x5.25 drives or 240mm radiator</t>
      </text>
    </comment>
    <comment authorId="0" ref="X405">
      <text>
        <t xml:space="preserve">2x3.5" or 1x5.25 drives or 240mm radiator</t>
      </text>
    </comment>
    <comment authorId="0" ref="AC405">
      <text>
        <t xml:space="preserve">1x120mm or 140mm fan at rear +
2x120mm or 2x140mm fans at the side +
1x120mm fan at top panel</t>
      </text>
    </comment>
    <comment authorId="0" ref="AD405">
      <text>
        <t xml:space="preserve">1x120mm or 140mm fan at the rear +
2x120mm or 2x140mm fans at the side</t>
      </text>
    </comment>
    <comment authorId="0" ref="L407">
      <text>
        <t xml:space="preserve">95mm with vertical GPU
135mm with horizontal GPU</t>
      </text>
    </comment>
    <comment authorId="0" ref="N407">
      <text>
        <t xml:space="preserve">optional for vertical GPU mount</t>
      </text>
    </comment>
    <comment authorId="0" ref="Q407">
      <text>
        <t xml:space="preserve">40mm for vertical GPU
60mm for horizontal GPU</t>
      </text>
    </comment>
    <comment authorId="0" ref="R407">
      <text>
        <t xml:space="preserve">3 horizontal PCIe slots +
2 vertical PCIe slots</t>
      </text>
    </comment>
    <comment authorId="0" ref="V407">
      <text>
        <t xml:space="preserve">1x2.5" or 1x3.5" drive at SFX PSU bracket +
4x2.5" drives or 2x120mm fans at front panel</t>
      </text>
    </comment>
    <comment authorId="0" ref="W407">
      <text>
        <t xml:space="preserve">1x2.5" or 1x3.5" drive at SFX PSU bracket</t>
      </text>
    </comment>
    <comment authorId="0" ref="AC407">
      <text>
        <t xml:space="preserve">2x120mm fans at top+
2x120mm fans at bottom +
4x2.5" drives or 2x120mm fans at front panel</t>
      </text>
    </comment>
    <comment authorId="0" ref="M408">
      <text>
        <t xml:space="preserve">Up to 2x280 rad at front and rear</t>
      </text>
    </comment>
    <comment authorId="0" ref="AC408">
      <text>
        <t xml:space="preserve">2x120mm or 2x140mm at rear +
2x120mm or 2x140mm at front</t>
      </text>
    </comment>
    <comment authorId="0" ref="AD408">
      <text>
        <t xml:space="preserve">2x120mm or 2x140mm at rear +
2x120mm or 2x140mm at front</t>
      </text>
    </comment>
    <comment authorId="0" ref="O409">
      <text>
        <t xml:space="preserve">170mm for PSU longer than 160mm
310mm when 1 HDD bracket is removed</t>
      </text>
    </comment>
    <comment authorId="0" ref="U409">
      <text>
        <t xml:space="preserve">PSU longer than 160mm length will reduce GPU length to 170mm</t>
      </text>
    </comment>
    <comment authorId="0" ref="V409">
      <text>
        <t xml:space="preserve">6x2.5" or 6x3.5" drives
4x2.5" or 4x3.5" drives for GPUs up to 310mm length</t>
      </text>
    </comment>
    <comment authorId="0" ref="W409">
      <text>
        <t xml:space="preserve">6x2.5" or 6x3.5" drives
4x2.5" or 4x3.5" drives for GPUs up to 310mm length</t>
      </text>
    </comment>
    <comment authorId="0" ref="AA409">
      <text>
        <t xml:space="preserve">2x80mm or 2x92mm case fans</t>
      </text>
    </comment>
    <comment authorId="0" ref="AB409">
      <text>
        <t xml:space="preserve">2x80mm or 2x92mm case fans</t>
      </text>
    </comment>
    <comment authorId="0" ref="AC409">
      <text>
        <t xml:space="preserve">1x120mm or 1x140mm case fan</t>
      </text>
    </comment>
    <comment authorId="0" ref="AD409">
      <text>
        <t xml:space="preserve">1x120mm or 1x140mm case fan</t>
      </text>
    </comment>
    <comment authorId="0" ref="U410">
      <text>
        <t xml:space="preserve">140mm length</t>
      </text>
    </comment>
    <comment authorId="0" ref="V410">
      <text>
        <t xml:space="preserve">4x2.5" + 1x3.5" drives or
2x2.5" + 2x3.5" drives
1x3.5" drive or 1x120mm case fan on top
1x3.5" drive or 2x2.5" drives next to power supply</t>
      </text>
    </comment>
    <comment authorId="0" ref="W410">
      <text>
        <t xml:space="preserve">4x2.5" + 1x3.5" drives or
2x2.5" + 2x3.5" drives
1x3.5" drive or 1x120mm case fan on top
1x3.5" drive or 2x2.5" drives next to power supply</t>
      </text>
    </comment>
    <comment authorId="0" ref="AA410">
      <text>
        <t xml:space="preserve">80mm or 92mm case fan</t>
      </text>
    </comment>
    <comment authorId="0" ref="AB410">
      <text>
        <t xml:space="preserve">80mm or 92mm case fan</t>
      </text>
    </comment>
    <comment authorId="0" ref="AC410">
      <text>
        <t xml:space="preserve">3x120mm case fan + 
1x120mm case fan or 1x3.5" drive</t>
      </text>
    </comment>
    <comment authorId="0" ref="AL412">
      <text>
        <t xml:space="preserve">+$15 for Matte White color
+$15 for left window panel
-$5 for left unvented panel
+$10 for right vented panel
-$10 for SFX/SFX-L/ATX plate
+$25 for chrome handle
+$30 for black handle
+$20 for chrome aluminium feet
+$10 for top mount bracket
+$10 for window 2x2.5" bracket
+$10 for one 2x2.5" bracket
+$15 for one 1x3.5" bracket</t>
      </text>
    </comment>
    <comment authorId="0" ref="AC413">
      <text>
        <t xml:space="preserve">2x120mm slim 15mm fans at top +
2x120mm fans at bottom +
1x120mm fan at rear</t>
      </text>
    </comment>
    <comment authorId="0" ref="O414">
      <text>
        <t xml:space="preserve">320mm with 200mm top fan
345mm without 200mm top fan</t>
      </text>
    </comment>
    <comment authorId="0" ref="AC414">
      <text>
        <t xml:space="preserve">2x120mm at side +
1x120mm or 1x140mm at bottom +
1x120mm or 1x140mm or 1x200mm at top</t>
      </text>
    </comment>
    <comment authorId="0" ref="AD414">
      <text>
        <t xml:space="preserve">1x120mm or 1x140mm at bottom +
1x120mm or 1x140mm or 1x200mm at top</t>
      </text>
    </comment>
    <comment authorId="0" ref="AF414">
      <text>
        <t xml:space="preserve">1x120mm or 1x140mm or 1x200mm at top</t>
      </text>
    </comment>
    <comment authorId="0" ref="M415">
      <text>
        <t xml:space="preserve">Top: 280mm rad up to 323x168.9x57.2mm
Side: 280mm rad
Bottom: 240mm or 280mm rad up to 323x168.9mm</t>
      </text>
    </comment>
    <comment authorId="0" ref="AC415">
      <text>
        <t xml:space="preserve">2x120mm or 2x140mm fans at bottom</t>
      </text>
    </comment>
    <comment authorId="0" ref="AD415">
      <text>
        <t xml:space="preserve">2x140mm fans at top +
2x140mm fans at side +
2x120mm or 2x140mm fans at bottom</t>
      </text>
    </comment>
    <comment authorId="0" ref="U416">
      <text>
        <t xml:space="preserve">142mm length will full cable management
180mm length with less cable management</t>
      </text>
    </comment>
    <comment authorId="0" ref="V416">
      <text>
        <t xml:space="preserve">-2x2.5" or 1x3.5 or 1x5.25" in 5.25" bay
-1x2.5" or 1x3.5" in side bracket
-1x2.5" or 1x3.5" in bottom panel
-1x2.5" under 5.25" bay</t>
      </text>
    </comment>
    <comment authorId="0" ref="W416">
      <text>
        <t xml:space="preserve">-2x2.5" or 1x3.5 or 1x5.25" in 5.25" bay
-1x2.5" or 1x3.5" in side bracket
-1x2.5" or 1x3.5" in bottom panel</t>
      </text>
    </comment>
    <comment authorId="0" ref="X416">
      <text>
        <t xml:space="preserve">2x2.5" or 1x3.5 or 1x5.25" in 5.25" bay</t>
      </text>
    </comment>
    <comment authorId="0" ref="AA416">
      <text>
        <t xml:space="preserve">15mm thick</t>
      </text>
    </comment>
    <comment authorId="0" ref="AC416">
      <text>
        <t xml:space="preserve">With AIO, can install 2 fans in push-pull config</t>
      </text>
    </comment>
    <comment authorId="0" ref="U417">
      <text>
        <t xml:space="preserve">up to 160mm length</t>
      </text>
    </comment>
    <comment authorId="0" ref="V417">
      <text>
        <t xml:space="preserve">3x2.5" drives or
2x2.5" + 1x3.5" drives</t>
      </text>
    </comment>
    <comment authorId="0" ref="W417">
      <text>
        <t xml:space="preserve">3x2.5" drives or
2x2.5" + 1x3.5" drives</t>
      </text>
    </comment>
    <comment authorId="0" ref="W418">
      <text>
        <t xml:space="preserve">1x3.5" drive or 240 radiator</t>
      </text>
    </comment>
    <comment authorId="0" ref="AC418">
      <text>
        <t xml:space="preserve">2x120mm fans at bottom +
2x120mm fans at rear
2x120mm fans included</t>
      </text>
    </comment>
    <comment authorId="0" ref="M419">
      <text>
        <t xml:space="preserve">up to 52mm radiator + fans thickness</t>
      </text>
    </comment>
    <comment authorId="0" ref="U419">
      <text>
        <t xml:space="preserve">ATX PSU up to 140mm length</t>
      </text>
    </comment>
    <comment authorId="0" ref="W419">
      <text>
        <t xml:space="preserve">2x3.5" drives if GPU length &lt;185mm</t>
      </text>
    </comment>
    <comment authorId="0" ref="AC419">
      <text>
        <t xml:space="preserve">2x120mm or 2x140mm fans</t>
      </text>
    </comment>
    <comment authorId="0" ref="AD419">
      <text>
        <t xml:space="preserve">2x120mm or 2x140mm fans</t>
      </text>
    </comment>
    <comment authorId="0" ref="M420">
      <text>
        <t xml:space="preserve">240mm radiator with dual fans is compatible with SFX PSU. ATX PSU will only allow one fan to be mounted</t>
      </text>
    </comment>
    <comment authorId="0" ref="U420">
      <text>
        <t xml:space="preserve">up to 140mm length</t>
      </text>
    </comment>
    <comment authorId="0" ref="L422">
      <text>
        <t xml:space="preserve">107mm to edge</t>
      </text>
    </comment>
    <comment authorId="0" ref="P422">
      <text>
        <t xml:space="preserve">Adjustable between 130mm to 145mm</t>
      </text>
    </comment>
    <comment authorId="0" ref="Q422">
      <text>
        <t xml:space="preserve">87mm to edge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(Cyan = Taobao / JD)
(Light Yellow = Outside Taobao / JD)
Can filter by color to exclude or include Taobao/JD cases</t>
      </text>
    </comment>
    <comment authorId="0" ref="C1">
      <text>
        <t xml:space="preserve">APU = no GPU
Sandwich = GPU &amp; MB back-to-back with riser (i.e. Dan A4-SFX)
Console = GPU &amp; MB side-by-side with riser or cases with LP slots laid horizontal/vertical similar to game consoles (i.e. Node 202/RVZ03)
Classic = Tower/Cube layout without riser (i.e. SG13/NCase M1/NZXT H210)
Open = Open air case/test bench</t>
      </text>
    </comment>
    <comment authorId="0" ref="G1">
      <text>
        <t xml:space="preserve">Approximate volume excluding protrusions, case feet, etc. if available unless noted otherwise</t>
      </text>
    </comment>
    <comment authorId="0" ref="H1">
      <text>
        <t xml:space="preserve">Approximate desk space (Length x Width)</t>
      </text>
    </comment>
    <comment authorId="0" ref="Q1">
      <text>
        <t xml:space="preserve">Assume 20mm per PCIe slot by default unless mentioned otherwise</t>
      </text>
    </comment>
    <comment authorId="0" ref="R1">
      <text>
        <t xml:space="preserve">Physical PCIe slots. Some cases can support thicker GPUs. Refer to GPU height / thickness</t>
      </text>
    </comment>
    <comment authorId="0" ref="T1">
      <text>
        <t xml:space="preserve">Height x Width
mSTX = 147x140 mm
mITX = 170x170 mm
mDTX = 203x170 mm
FlexATX = 229x191 mm
DTX = 203x244 mm
mATX = 244x244 mm
ATX = 305x244 mm
SSI-CEB = 305x267mm
SSI-EEB = 305x330 mm</t>
      </text>
    </comment>
    <comment authorId="0" ref="U1">
      <text>
        <t xml:space="preserve">WxHxD
Flex ATX = 81.5x40.5x150mm
TFX = 85x65x175mm
SFX = 125x63.5x100mm
SFX-L = 125x63.5x130mm
ATX = 150x86x140-200mm
</t>
      </text>
    </comment>
    <comment authorId="0" ref="U2">
      <text>
        <t xml:space="preserve">300W SFX PSU included</t>
      </text>
    </comment>
    <comment authorId="0" ref="U3">
      <text>
        <t xml:space="preserve">up to 160mm length</t>
      </text>
    </comment>
    <comment authorId="0" ref="AC3">
      <text>
        <t xml:space="preserve">1x120mm at rear +
2x120mm or 2x140mm at top +
2x120mm or 2x140mm at side +
2x120mm or 2x140mm at bottom +
2x120mm at front</t>
      </text>
    </comment>
    <comment authorId="0" ref="AD3">
      <text>
        <t xml:space="preserve">2x120mm or 2x140mm at top +
2x120mm or 2x140mm at side +
2x120mm or 2x140mm at bottom</t>
      </text>
    </comment>
    <comment authorId="0" ref="U4">
      <text>
        <t xml:space="preserve">Up to 180mm length. Recommended 140mm or lower</t>
      </text>
    </comment>
    <comment authorId="0" ref="AB4">
      <text>
        <t xml:space="preserve">1x92mm or 1x120mm at rear</t>
      </text>
    </comment>
    <comment authorId="0" ref="AC4">
      <text>
        <t xml:space="preserve">1x92mm or 1x120mm at rear +
2x120mm or 2x140mm at top +
2x120mm or 2x140mm at bottom</t>
      </text>
    </comment>
    <comment authorId="0" ref="AD4">
      <text>
        <t xml:space="preserve">2x120mm or 2x140mm at top +
2x120mm or 2x140mm at bottom</t>
      </text>
    </comment>
    <comment authorId="0" ref="Q5">
      <text>
        <t xml:space="preserve">GPU with thickness up to 50mm can fit 25mm fans on bottom
GPU with thickness up to 60mm can fit 15mm slim fans on bottom</t>
      </text>
    </comment>
    <comment authorId="0" ref="AB5">
      <text>
        <t xml:space="preserve">15mm thickness with 280mm rad
25mm thickness with 240mm rad</t>
      </text>
    </comment>
    <comment authorId="0" ref="AC5">
      <text>
        <t xml:space="preserve">2x120mm or 2x140mm fans on top +
2x120mm or 2x140mm fans on bottom
GPU with thickness up to 50mm can fit 25mm fans on bottom
GPU with thickness up to 60mm can fit 15mm slim fans on bottom</t>
      </text>
    </comment>
    <comment authorId="0" ref="AD5">
      <text>
        <t xml:space="preserve">2x120mm or 2x140mm fans on top +
2x120mm or 2x140mm fans on bottom
GPU with thickness up to 50mm can fit 25mm fans on bottom
GPU with thickness up to 60mm can fit 15mm slim fans on bottom</t>
      </text>
    </comment>
    <comment authorId="0" ref="U6">
      <text>
        <t xml:space="preserve">up to 150mm length</t>
      </text>
    </comment>
    <comment authorId="0" ref="U7">
      <text>
        <t xml:space="preserve">ATX PSU up to 140mm length</t>
      </text>
    </comment>
    <comment authorId="0" ref="V7">
      <text>
        <t xml:space="preserve">3x2.5" or 1x3.5" drives</t>
      </text>
    </comment>
    <comment authorId="0" ref="W7">
      <text>
        <t xml:space="preserve">3x2.5" or 1x3.5" drives</t>
      </text>
    </comment>
    <comment authorId="0" ref="AC7">
      <text>
        <t xml:space="preserve">2x120mm or 2x140mm at top +
2x120mm or 2x140mm at bottom +
1x120mm at rear</t>
      </text>
    </comment>
    <comment authorId="0" ref="AD7">
      <text>
        <t xml:space="preserve">2x120mm or 2x140mm at top +
2x120mm or 2x140mm at bottom</t>
      </text>
    </comment>
    <comment authorId="0" ref="V8">
      <text>
        <t xml:space="preserve">1x2.5" +
1x2.5" or 1x180mm fan at top</t>
      </text>
    </comment>
    <comment authorId="0" ref="W8">
      <text>
        <t xml:space="preserve">1x3.5" or 1x120mm or 1x140mm at side</t>
      </text>
    </comment>
    <comment authorId="0" ref="AC8">
      <text>
        <t xml:space="preserve">2x120mm or 2x140mm or
1x120mm + 1x3.5" or 1x140mm + 1x3.5" at side</t>
      </text>
    </comment>
    <comment authorId="0" ref="AD8">
      <text>
        <t xml:space="preserve">2x120mm or 2x140mm or
1x120mm + 1x3.5" or 1x140mm + 1x3.5" at side</t>
      </text>
    </comment>
    <comment authorId="0" ref="AE8">
      <text>
        <t xml:space="preserve">1x180mm or 1x2.5" at top</t>
      </text>
    </comment>
    <comment authorId="0" ref="L9">
      <text>
        <t xml:space="preserve">62.5mm with 120 / 240 radiator
110mm with air cooler</t>
      </text>
    </comment>
    <comment authorId="0" ref="U11">
      <text>
        <t xml:space="preserve">ATX PSU up to 140mm length</t>
      </text>
    </comment>
    <comment authorId="0" ref="W11">
      <text>
        <t xml:space="preserve">1x3.5" drive in PSU cage +
1x3.5" drive or 1x120mm fan at bottom</t>
      </text>
    </comment>
    <comment authorId="0" ref="AC11">
      <text>
        <t xml:space="preserve">1x120mm fan at rear +
2x120mm or 2x140mm fans at top +
3x120mm fans or 2x120mm fans and 1x3.5" drive at bottom</t>
      </text>
    </comment>
    <comment authorId="0" ref="AD11">
      <text>
        <t xml:space="preserve">2x120mm or 2x140mm fans at top</t>
      </text>
    </comment>
    <comment authorId="0" ref="B12">
      <text>
        <t xml:space="preserve">Aliexpress link:
https://aliexpress.com/item/1005003043777472.html</t>
      </text>
    </comment>
    <comment authorId="0" ref="L12">
      <text>
        <t xml:space="preserve">160mm with glass panel
165mm with mesh panel</t>
      </text>
    </comment>
    <comment authorId="0" ref="U12">
      <text>
        <t xml:space="preserve">ATX PSU up to 170mm length</t>
      </text>
    </comment>
    <comment authorId="0" ref="AC12">
      <text>
        <t xml:space="preserve">2x120mm or 2x140mm at top +
2x120mm or 2x140mm at bottom</t>
      </text>
    </comment>
    <comment authorId="0" ref="AD12">
      <text>
        <t xml:space="preserve">2x120mm or 2x140mm at top +
2x120mm or 2x140mm at bottom</t>
      </text>
    </comment>
    <comment authorId="0" ref="O13">
      <text>
        <t xml:space="preserve">289mm with ATX PSU longer than 160mm length</t>
      </text>
    </comment>
    <comment authorId="0" ref="U13">
      <text>
        <t xml:space="preserve">ATX PSU up to 160mm length
ATX PSU longer than 160mm will limit GPU length to 289mm</t>
      </text>
    </comment>
    <comment authorId="0" ref="AC13">
      <text>
        <t xml:space="preserve">2x120mm at top +
3x120mm at bottom</t>
      </text>
    </comment>
    <comment authorId="0" ref="O14">
      <text>
        <t xml:space="preserve">255mm with ATX PSU longer than 140mm length
350mm with 140mm ATX PSU or SFX/SFX-L PSU</t>
      </text>
    </comment>
    <comment authorId="0" ref="U14">
      <text>
        <t xml:space="preserve">ATX PSU up to 140mm length
ATX PSU longer than 140mm will limit GPU length to 255mm</t>
      </text>
    </comment>
    <comment authorId="0" ref="AC14">
      <text>
        <t xml:space="preserve">1x120mm at rear +
2x120mm at top +
2x120mm at bottom +
2x120mm or 2x140mm at side</t>
      </text>
    </comment>
    <comment authorId="0" ref="AD14">
      <text>
        <t xml:space="preserve">2x120mm or 2x140mm at side</t>
      </text>
    </comment>
    <comment authorId="0" ref="B15">
      <text>
        <t xml:space="preserve">Aliexpress link:
https://www.aliexpress.com/item/4000332564585.html
JD link:
https://item.jd.com/932299.html</t>
      </text>
    </comment>
    <comment authorId="0" ref="U16">
      <text>
        <t xml:space="preserve">ATX PSU up to 140mm length</t>
      </text>
    </comment>
    <comment authorId="0" ref="W16">
      <text>
        <t xml:space="preserve">1x3.5" drive or 2x120mm fans at bottom</t>
      </text>
    </comment>
    <comment authorId="0" ref="AC16">
      <text>
        <t xml:space="preserve">2x120mm fans at top +
3x120mm fans or 1x120mm fan and 1x3.5" drive at bottom</t>
      </text>
    </comment>
    <comment authorId="0" ref="M17">
      <text>
        <t xml:space="preserve">up to 55mm rad + fan thickness</t>
      </text>
    </comment>
    <comment authorId="0" ref="U17">
      <text>
        <t xml:space="preserve">up to 160mm length</t>
      </text>
    </comment>
    <comment authorId="0" ref="W17">
      <text>
        <t xml:space="preserve">1x3.5" drive or 240/280 rad</t>
      </text>
    </comment>
    <comment authorId="0" ref="AC17">
      <text>
        <t xml:space="preserve">2x120mm or 2x140mm fans at top
2x120mm fans included</t>
      </text>
    </comment>
    <comment authorId="0" ref="AD17">
      <text>
        <t xml:space="preserve">2x120mm or 2x140mm fans at top</t>
      </text>
    </comment>
    <comment authorId="0" ref="B18">
      <text>
        <t xml:space="preserve">FSP CST351:
https://www.fsplifestyle.com/tw/product/CST351.html</t>
      </text>
    </comment>
    <comment authorId="0" ref="L18">
      <text>
        <t xml:space="preserve">90mm with vertical GPU
138mm with horizontal GPU</t>
      </text>
    </comment>
    <comment authorId="0" ref="R18">
      <text>
        <t xml:space="preserve">3 in horizontal position + 3 in vertical position</t>
      </text>
    </comment>
    <comment authorId="0" ref="W18">
      <text>
        <t xml:space="preserve">2x3.5" drives or 2x120mm fans at bottom</t>
      </text>
    </comment>
    <comment authorId="0" ref="AA18">
      <text>
        <t xml:space="preserve">1x80mm at rear</t>
      </text>
    </comment>
    <comment authorId="0" ref="AC18">
      <text>
        <t xml:space="preserve">2x120mm fans at top +
2x120mm fans at front +
2x120mm fans </t>
      </text>
    </comment>
    <comment authorId="0" ref="U21">
      <text>
        <t xml:space="preserve">ATX PSU up to 170mm length</t>
      </text>
    </comment>
    <comment authorId="0" ref="AC21">
      <text>
        <t xml:space="preserve">1x120mm at rear +
2x120mm at top +
2x120mm at bottom</t>
      </text>
    </comment>
    <comment authorId="0" ref="U22">
      <text>
        <t xml:space="preserve">up to 200mm length</t>
      </text>
    </comment>
    <comment authorId="0" ref="W22">
      <text>
        <t xml:space="preserve">1x3.5" drive without NAS bay
6x3.5" drives with NAS bay</t>
      </text>
    </comment>
    <comment authorId="0" ref="AC22">
      <text>
        <t xml:space="preserve">1x120mm at front +
2x120mm or 2x140mm at top</t>
      </text>
    </comment>
    <comment authorId="0" ref="AD22">
      <text>
        <t xml:space="preserve">2x120mm or 2x140mm at top</t>
      </text>
    </comment>
    <comment authorId="0" ref="B24">
      <text>
        <t xml:space="preserve">Aliexpress link:
https://www.aliexpress.com/item/32839151844.html
JD link:
https://item.jd.com/1309955.html</t>
      </text>
    </comment>
    <comment authorId="0" ref="L25">
      <text>
        <t xml:space="preserve">105mm to edge</t>
      </text>
    </comment>
    <comment authorId="0" ref="P25">
      <text>
        <t xml:space="preserve">Adjustable between 130mm to 145mm</t>
      </text>
    </comment>
    <comment authorId="0" ref="Q25">
      <text>
        <t xml:space="preserve">87mm to edge</t>
      </text>
    </comment>
    <comment authorId="0" ref="B27">
      <text>
        <t xml:space="preserve">Aliexpress link:
https://www.aliexpress.com/item/1005001888717139.html</t>
      </text>
    </comment>
    <comment authorId="0" ref="R27">
      <text>
        <t xml:space="preserve">7 horizontal + 2 vertical slots for ATX option
5 horizontal + 2 vertical slots for mATX option</t>
      </text>
    </comment>
    <comment authorId="0" ref="U27">
      <text>
        <t xml:space="preserve">ATX PSU up to 160mm length</t>
      </text>
    </comment>
    <comment authorId="0" ref="W27">
      <text>
        <t xml:space="preserve">2x3.5" drives or 2x120mm or 2x140mm fans at bottom</t>
      </text>
    </comment>
    <comment authorId="0" ref="AC27">
      <text>
        <t xml:space="preserve">2x120mm or 2x140mm at top +
2x120mm or 2x140mm or 2x3.5" drives at bottom +
2x120mm at front +
1x120mm at rear</t>
      </text>
    </comment>
    <comment authorId="0" ref="AD27">
      <text>
        <t xml:space="preserve">2x120mm or 2x140mm at top +
2x120mm or 2x140mm or 2x3.5" drives at bottom</t>
      </text>
    </comment>
    <comment authorId="0" ref="V28">
      <text>
        <t xml:space="preserve">4x2.5" drives +
8x2.5" or 8x3.5" hot-swap drive bays</t>
      </text>
    </comment>
    <comment authorId="0" ref="W28">
      <text>
        <t xml:space="preserve">8x2.5" or 8x3.5" hot swap drive bays</t>
      </text>
    </comment>
    <comment authorId="0" ref="N29">
      <text>
        <t xml:space="preserve">Optional for vertical GPU</t>
      </text>
    </comment>
    <comment authorId="0" ref="P29">
      <text>
        <t xml:space="preserve">148mm for vertical GPU
152mm for horizontal GPU</t>
      </text>
    </comment>
    <comment authorId="0" ref="Q29">
      <text>
        <t xml:space="preserve">74mm for vertical GPU
90mm for horizontal GPU</t>
      </text>
    </comment>
    <comment authorId="0" ref="R29">
      <text>
        <t xml:space="preserve">3 slots for vertical GPU
4 slots for horizontal GPU</t>
      </text>
    </comment>
    <comment authorId="0" ref="AC29">
      <text>
        <t xml:space="preserve">2x120mm fans at top panel
3x120mm fans at side panel
3x120mm fans at bottom panel</t>
      </text>
    </comment>
    <comment authorId="0" ref="U30">
      <text>
        <t xml:space="preserve">include 600W Bronze PSU</t>
      </text>
    </comment>
    <comment authorId="0" ref="U31">
      <text>
        <t xml:space="preserve">include 650W Gold PSU</t>
      </text>
    </comment>
    <comment authorId="0" ref="AC31">
      <text>
        <t xml:space="preserve">include 2x120mm case fans</t>
      </text>
    </comment>
    <comment authorId="0" ref="U32">
      <text>
        <t xml:space="preserve">include 750W Gold PSU</t>
      </text>
    </comment>
    <comment authorId="0" ref="AC32">
      <text>
        <t xml:space="preserve">include 2x120mm case fans</t>
      </text>
    </comment>
    <comment authorId="0" ref="B33">
      <text>
        <t xml:space="preserve">SAMA IM01:
https://www.newegg.com/p/N82E16811197012
SAMA IM02:
https://www.newegg.com/p/N82E16811197018
先马 趣造I'm:
https://item.jd.com/100015656110.html
Krux Naos:
https://krux.tech/product/krux-naos/
Itek Evoke:
https://www.itekevo.com/en/product/case-evoke/
Tecware Fusion:
https://www.tecware.co/fusion
Cubegaming Axel:
http://cubegaming.id/?p=1776
Nox Hummer Vault:
https://www.nox-xtreme.com/en/chassis/hummer-vault
Zebronics Zeb-Woodan:
https://zebclan.com/collections/premium-gaming-cabinets/products/zeb-woodan
Inter-Tech IM-1 Pocket:
https://www.inter-tech.de/en/products/case/micro-tower/im-1-pocket
FSP CST350:
https://www.fsplifestyle.com/tw/product/CST350.html
FSP CST350 PLUS:
https://www.fsplifestyle.com/en/product/CST350PLUS.html
Sapphire NITRO M01:
https://www.sapphiretech.com/zh-cn/consumer/chassis_nitro-m01_c
Microcenter PowerSpec 185M:
https://www.microcenter.com/product/645592/powerspec-g511-gaming-pc
Galax REV-03
https://www.galax.com/en/revolution-03.html
Lian Li LANCOOL 185M:
https://www.microcenter.com/product/643547/lian-li-lancool-185m-tempered-glass-microatx-modular-tower-computer-case-black
Vinga CS135B:
https://vinga.ua/ru/korpus_vinga_cs315b_2p10019</t>
      </text>
    </comment>
    <comment authorId="0" ref="L33">
      <text>
        <t xml:space="preserve">88mm with vertical GPU
155mm with horizontal GPU</t>
      </text>
    </comment>
    <comment authorId="0" ref="O33">
      <text>
        <t xml:space="preserve">245mm with ATX PSU longer than 140mm length</t>
      </text>
    </comment>
    <comment authorId="0" ref="R33">
      <text>
        <t xml:space="preserve">4 PCIe slots in horizontal +
2 PCIe slots in vertical orientation</t>
      </text>
    </comment>
    <comment authorId="0" ref="U33">
      <text>
        <t xml:space="preserve">ATX PSU more than 140mm length will reduce GPU length to 245mm</t>
      </text>
    </comment>
    <comment authorId="0" ref="U34">
      <text>
        <t xml:space="preserve">ATX PSU up to 160mm length</t>
      </text>
    </comment>
    <comment authorId="0" ref="V34">
      <text>
        <t xml:space="preserve">2x2.5" drives +
1x2.5" or 1x3.5" drive</t>
      </text>
    </comment>
    <comment authorId="0" ref="AC34">
      <text>
        <t xml:space="preserve">1x120mm fan at rear +
1x120mm or 1x140mm fan at top +
2x120mm or 2x140mm fans at bottom</t>
      </text>
    </comment>
    <comment authorId="0" ref="AD34">
      <text>
        <t xml:space="preserve">1x120mm fan at rear +
1x120mm or 1x140mm fan at top +
2x120mm or 2x140mm fans at bottom</t>
      </text>
    </comment>
    <comment authorId="0" ref="O36">
      <text>
        <t xml:space="preserve">245mm with ATX PSU longer than 140mm length</t>
      </text>
    </comment>
    <comment authorId="0" ref="U36">
      <text>
        <t xml:space="preserve">ATX PSU more than 140mm length will reduce GPU length to 245mm</t>
      </text>
    </comment>
    <comment authorId="0" ref="V36">
      <text>
        <t xml:space="preserve">2x2.5" drives in the front panel +
2x2.5" or 1x3.5" drives or 2x120mm fans at bottom +
2x2.5" or 1x3.5" drives or 2x120mm fans at top +
1x2.5" or 1x3.5" drive in SFX PSU cage</t>
      </text>
    </comment>
    <comment authorId="0" ref="W36">
      <text>
        <t xml:space="preserve">2x2.5" or 1x3.5" drives or 2x120mm fans at bottom +
2x2.5" or 1x3.5" drives or 2x120mm fans at top +
1x2.5" or 1x3.5" drive in SFX PSU cage</t>
      </text>
    </comment>
    <comment authorId="0" ref="AC36">
      <text>
        <t xml:space="preserve">2x2.5" or 1x3.5" drives or 2x120mm fans at bottom +
2x2.5" or 1x3.5" drives or 2x120mm fans at top +
2x120mm fans at side bracket with vented steel panel</t>
      </text>
    </comment>
    <comment authorId="0" ref="M38">
      <text>
        <t xml:space="preserve">up to 285x124x56mm dimensions</t>
      </text>
    </comment>
    <comment authorId="0" ref="U38">
      <text>
        <t xml:space="preserve">up to 160mm length</t>
      </text>
    </comment>
    <comment authorId="0" ref="AC45">
      <text>
        <t xml:space="preserve">1x120mm or 1x140mm or 1x200m fan at front</t>
      </text>
    </comment>
    <comment authorId="0" ref="AD45">
      <text>
        <t xml:space="preserve">1x120mm or 1x140mm or 1x200m fan at front</t>
      </text>
    </comment>
    <comment authorId="0" ref="AF45">
      <text>
        <t xml:space="preserve">1x120mm or 1x140mm or 1x200m fan at front</t>
      </text>
    </comment>
    <comment authorId="0" ref="U46">
      <text>
        <t xml:space="preserve">up to 160mm length</t>
      </text>
    </comment>
    <comment authorId="0" ref="V46">
      <text>
        <t xml:space="preserve">8x2.5" drives internal +
5x2.5" or 5x3.5" drives hotswap</t>
      </text>
    </comment>
    <comment authorId="0" ref="W46">
      <text>
        <t xml:space="preserve">2x3.5" drives internal +
5x2.5" or 5x3.5" drives hotswap</t>
      </text>
    </comment>
    <comment authorId="0" ref="M47">
      <text>
        <t xml:space="preserve">157x148x30mm with SFX-L PSU
157x148x45mm with SFX PSU</t>
      </text>
    </comment>
    <comment authorId="0" ref="AC47">
      <text>
        <t xml:space="preserve">3x120mm or 140mm fans
1x120mm fan included</t>
      </text>
    </comment>
    <comment authorId="0" ref="AD47">
      <text>
        <t xml:space="preserve">3x120mm or 140mm fans</t>
      </text>
    </comment>
    <comment authorId="0" ref="M48">
      <text>
        <t xml:space="preserve">157x148x30mm with SFX-L PSU
157x148x45mm with SFX PSU</t>
      </text>
    </comment>
    <comment authorId="0" ref="AC48">
      <text>
        <t xml:space="preserve">3x120mm or 140mm fans
1x120mm fan included</t>
      </text>
    </comment>
    <comment authorId="0" ref="AD48">
      <text>
        <t xml:space="preserve">3x120mm or 140mm fans</t>
      </text>
    </comment>
    <comment authorId="0" ref="O54">
      <text>
        <t xml:space="preserve">285mm for waterblocked GPU and front radiator
346mm for aircooled GPU</t>
      </text>
    </comment>
    <comment authorId="0" ref="P54">
      <text>
        <t xml:space="preserve">128mm for horizontal GPU
190mm for vertical GPU</t>
      </text>
    </comment>
    <comment authorId="0" ref="AC54">
      <text>
        <t xml:space="preserve">1x120mm and SFX PSU or 2x120mm fans at top +
1x120mm and SFX PSU or 3x120mm fans at front +
2x120mm fans at bottom</t>
      </text>
    </comment>
    <comment authorId="0" ref="AC55">
      <text>
        <t xml:space="preserve">2x120mm top +
2x120mm front</t>
      </text>
    </comment>
    <comment authorId="0" ref="AC56">
      <text>
        <t xml:space="preserve">2x120mm top +
2x120mm front</t>
      </text>
    </comment>
    <comment authorId="0" ref="O58">
      <text>
        <t xml:space="preserve">270mm for waterblocked GPU and 45mm front radiator
285mm for waterblocked GPU and 30mm front radiator</t>
      </text>
    </comment>
    <comment authorId="0" ref="AC58">
      <text>
        <t xml:space="preserve">1x120mm fan at top +
3x120mm fans at front +
2x120mm fans at bottom</t>
      </text>
    </comment>
    <comment authorId="0" ref="O59">
      <text>
        <t xml:space="preserve">260mm without front fan</t>
      </text>
    </comment>
    <comment authorId="0" ref="O60">
      <text>
        <t xml:space="preserve">260mm without front fan</t>
      </text>
    </comment>
    <comment authorId="0" ref="U61">
      <text>
        <t xml:space="preserve">up to 159mm length</t>
      </text>
    </comment>
    <comment authorId="0" ref="U63">
      <text>
        <t xml:space="preserve">up to 200mm length</t>
      </text>
    </comment>
    <comment authorId="0" ref="AB63">
      <text>
        <t xml:space="preserve">92mm fan at bottom</t>
      </text>
    </comment>
    <comment authorId="0" ref="AC63">
      <text>
        <t xml:space="preserve">2x120mm fans at rear +
2x120mm or 2x140mm fans at front</t>
      </text>
    </comment>
    <comment authorId="0" ref="AD63">
      <text>
        <t xml:space="preserve">2x120mm or 2x140mm fans at front</t>
      </text>
    </comment>
    <comment authorId="0" ref="L64">
      <text>
        <t xml:space="preserve">167mm without side fan</t>
      </text>
    </comment>
    <comment authorId="0" ref="M64">
      <text>
        <t xml:space="preserve">120mm radiator with 5.25" drive
240mm radiator without 5.25" drive</t>
      </text>
    </comment>
    <comment authorId="0" ref="O64">
      <text>
        <t xml:space="preserve">without front radiator</t>
      </text>
    </comment>
    <comment authorId="0" ref="U64">
      <text>
        <t xml:space="preserve">up to 154mm length</t>
      </text>
    </comment>
    <comment authorId="0" ref="AC67">
      <text>
        <t xml:space="preserve">2x120mm top +
2x120mm front</t>
      </text>
    </comment>
    <comment authorId="0" ref="M68">
      <text>
        <t xml:space="preserve">1 x 120 / 240 / 360 mm radiator (max length 413 mm / max width 125 mm)
or
1 x 140 / 280 mm radiator (max length 344 mm / max width 145 mm)</t>
      </text>
    </comment>
    <comment authorId="0" ref="O68">
      <text>
        <t xml:space="preserve">340mm with 70.5mm thick GPU
350mm with 65mm thick GPU</t>
      </text>
    </comment>
    <comment authorId="0" ref="Q68">
      <text>
        <t xml:space="preserve">340mm with 70.5mm thick GPU
350mm with 65mm thick GPU</t>
      </text>
    </comment>
    <comment authorId="0" ref="V68">
      <text>
        <t xml:space="preserve">3x2.5" or 2x3.5" drives</t>
      </text>
    </comment>
    <comment authorId="0" ref="W68">
      <text>
        <t xml:space="preserve">3x2.5" or 2x3.5" drives</t>
      </text>
    </comment>
    <comment authorId="0" ref="AC68">
      <text>
        <t xml:space="preserve">3x120mm or 2x140mm at rear</t>
      </text>
    </comment>
    <comment authorId="0" ref="AD68">
      <text>
        <t xml:space="preserve">3x120mm or 2x140mm at rear</t>
      </text>
    </comment>
    <comment authorId="0" ref="N69">
      <text>
        <t xml:space="preserve">Optional for vertical GPU</t>
      </text>
    </comment>
    <comment authorId="0" ref="O69">
      <text>
        <t xml:space="preserve">415mm for vertical GPU
410mm for horizontal GPU</t>
      </text>
    </comment>
    <comment authorId="0" ref="P69">
      <text>
        <t xml:space="preserve">152mm for vertical GPU
160mm for horizontal GPU</t>
      </text>
    </comment>
    <comment authorId="0" ref="Q69">
      <text>
        <t xml:space="preserve">78mm for vertical GPU
80mm for horizontal GPU</t>
      </text>
    </comment>
    <comment authorId="0" ref="R69">
      <text>
        <t xml:space="preserve">3 slots for vertical GPU
4 slots for horizontal GPU</t>
      </text>
    </comment>
    <comment authorId="0" ref="U69">
      <text>
        <t xml:space="preserve">up to 210mm length</t>
      </text>
    </comment>
    <comment authorId="0" ref="AC69">
      <text>
        <t xml:space="preserve">3x120mm at top +
3x120mm at side +
3x120mm at bottom</t>
      </text>
    </comment>
    <comment authorId="0" ref="B73">
      <text>
        <t xml:space="preserve">JD.com link:
https://item.jd.com/100011852537.html</t>
      </text>
    </comment>
    <comment authorId="0" ref="O73">
      <text>
        <t xml:space="preserve">230mm with 3.5" drive
330mm without 3.5" drive</t>
      </text>
    </comment>
    <comment authorId="0" ref="W73">
      <text>
        <t xml:space="preserve">1x3.5" drive will reduce GPU length to 230mm</t>
      </text>
    </comment>
    <comment authorId="0" ref="AC73">
      <text>
        <t xml:space="preserve">2x120mm or 2x140mm fans</t>
      </text>
    </comment>
    <comment authorId="0" ref="AD73">
      <text>
        <t xml:space="preserve">2x120mm or 2x140mm fans</t>
      </text>
    </comment>
    <comment authorId="0" ref="B74">
      <text>
        <t xml:space="preserve">Aliexpress link:
https://www.aliexpress.com/item/32949722703.html
JD link:
https://item.jd.com/1465890.html</t>
      </text>
    </comment>
    <comment authorId="0" ref="X75">
      <text>
        <t xml:space="preserve">Only for F12C-OPT model</t>
      </text>
    </comment>
    <comment authorId="0" ref="AH75">
      <text>
        <t xml:space="preserve">F12C with Optical drive model only</t>
      </text>
    </comment>
    <comment authorId="0" ref="AC76">
      <text>
        <t xml:space="preserve">3x120mm at front +
3x120mm or 2x140mm at side +
2x120mm at rear</t>
      </text>
    </comment>
    <comment authorId="0" ref="AD76">
      <text>
        <t xml:space="preserve">3x120mm or 2x140mm at side</t>
      </text>
    </comment>
    <comment authorId="0" ref="AC77">
      <text>
        <t xml:space="preserve">3x120mm at front +
3x120mm or 2x140mm at side +
2x120mm at rear</t>
      </text>
    </comment>
    <comment authorId="0" ref="AD77">
      <text>
        <t xml:space="preserve">3x120mm or 2x140mm at side</t>
      </text>
    </comment>
    <comment authorId="0" ref="V78">
      <text>
        <t xml:space="preserve">5x2.5" or 3x3.5" drives</t>
      </text>
    </comment>
    <comment authorId="0" ref="W78">
      <text>
        <t xml:space="preserve">5x2.5" or 3x3.5" drives</t>
      </text>
    </comment>
    <comment authorId="0" ref="AC78">
      <text>
        <t xml:space="preserve">1x120mm or 1x140mm fan at rear +
2x120mm or 2x140mm fans at front +
2x120mm or 2x140mm fans at side +
1x120mm or 1x140mm fan at bottom</t>
      </text>
    </comment>
    <comment authorId="0" ref="AD78">
      <text>
        <t xml:space="preserve">1x120mm or 1x140mm fan at rear +
2x120mm or 2x140mm fans at front +
2x120mm or 2x140mm fans at side +
1x120mm or 1x140mm fan at bottom</t>
      </text>
    </comment>
    <comment authorId="0" ref="U81">
      <text>
        <t xml:space="preserve">up to 160mm length</t>
      </text>
    </comment>
    <comment authorId="0" ref="V81">
      <text>
        <t xml:space="preserve">2x2.5" drives +
1x2.5" or 1x3.5" drive or 2x120mm fans at bottom</t>
      </text>
    </comment>
    <comment authorId="0" ref="W81">
      <text>
        <t xml:space="preserve">1x2.5" or 1x3.5" drive or 2x120mm fans at bottom</t>
      </text>
    </comment>
    <comment authorId="0" ref="AA81">
      <text>
        <t xml:space="preserve">1x80mm at rear</t>
      </text>
    </comment>
    <comment authorId="0" ref="AC81">
      <text>
        <t xml:space="preserve">2x120mm at top +
1x120mm at front +
2x120mm at rear or 1x2.5" or 1x3.5" drive</t>
      </text>
    </comment>
    <comment authorId="0" ref="U82">
      <text>
        <t xml:space="preserve">up to 160mm length</t>
      </text>
    </comment>
    <comment authorId="0" ref="V82">
      <text>
        <t xml:space="preserve">2x2.5" drives +
1x2.5" or 1x3.5" drive or 2x120mm fans at bottom</t>
      </text>
    </comment>
    <comment authorId="0" ref="W82">
      <text>
        <t xml:space="preserve">1x2.5" or 1x3.5" drive or 2x120mm fans at bottom</t>
      </text>
    </comment>
    <comment authorId="0" ref="AA82">
      <text>
        <t xml:space="preserve">1x80mm at rear</t>
      </text>
    </comment>
    <comment authorId="0" ref="AC82">
      <text>
        <t xml:space="preserve">2x120mm at top +
1x120mm at front +
2x120mm at rear or 1x2.5" or 1x3.5" drive</t>
      </text>
    </comment>
    <comment authorId="0" ref="U83">
      <text>
        <t xml:space="preserve">up to 160mm length</t>
      </text>
    </comment>
    <comment authorId="0" ref="AC83">
      <text>
        <t xml:space="preserve">1x120mm or 1x200mm fan at top +
2x120mm or 1x140mm fans at side</t>
      </text>
    </comment>
    <comment authorId="0" ref="AD83">
      <text>
        <t xml:space="preserve">2x120mm or 1x140mm fans at side</t>
      </text>
    </comment>
    <comment authorId="0" ref="AF83">
      <text>
        <t xml:space="preserve">1x120mm or 1x200mm fan at top</t>
      </text>
    </comment>
    <comment authorId="0" ref="AB84">
      <text>
        <t xml:space="preserve">2x92mm fans at rear +
3x92mmm or 2x120mm fans at bottom</t>
      </text>
    </comment>
    <comment authorId="0" ref="AC84">
      <text>
        <t xml:space="preserve">2x120mm fans at top +
2x120mm fans at side +
3x92mm or 2x120mm fans at bottom +
2x120mm fans at front if using ventilated panel</t>
      </text>
    </comment>
    <comment authorId="0" ref="B87">
      <text>
        <t xml:space="preserve">JD link:
https://item.jd.com/100007730415.html</t>
      </text>
    </comment>
    <comment authorId="0" ref="AC87">
      <text>
        <t xml:space="preserve">2x120mm case fans +
1x120mm or 1x140mm case fan</t>
      </text>
    </comment>
    <comment authorId="0" ref="AD87">
      <text>
        <t xml:space="preserve">1x120mm or 1x140mm case fan</t>
      </text>
    </comment>
    <comment authorId="0" ref="M95">
      <text>
        <t xml:space="preserve">Top radiator + fan thickness up to 70mm
Front radiator + fan thickness up to 80mm</t>
      </text>
    </comment>
    <comment authorId="0" ref="V95">
      <text>
        <t xml:space="preserve">1x2.5" drive behind PSU +
3x2.5" drives or 1x3.5" drive above PSU</t>
      </text>
    </comment>
    <comment authorId="0" ref="W95">
      <text>
        <t xml:space="preserve">3x2.5" drives or 1x3.5" drive above PSU</t>
      </text>
    </comment>
    <comment authorId="0" ref="L96">
      <text>
        <t xml:space="preserve">77mm with vertical GPU mount
166mm with horizontal GPU mount</t>
      </text>
    </comment>
    <comment authorId="0" ref="M96">
      <text>
        <t xml:space="preserve">55mm max rad + fan thickness</t>
      </text>
    </comment>
    <comment authorId="0" ref="O96">
      <text>
        <t xml:space="preserve">345mm with SSD cage
373mm without SSD cage</t>
      </text>
    </comment>
    <comment authorId="0" ref="U96">
      <text>
        <t xml:space="preserve">up to 140mm ATX PSU length for horizontal GPU mount
up to 175mm ATX PSU length for vertical GPU mount</t>
      </text>
    </comment>
    <comment authorId="0" ref="V96">
      <text>
        <t xml:space="preserve">2x2.5" + 1x3.5" drives or
3x2.5" drives</t>
      </text>
    </comment>
    <comment authorId="0" ref="W96">
      <text>
        <t xml:space="preserve">2x2.5" + 1x3.5" drives or
3x2.5" drives</t>
      </text>
    </comment>
    <comment authorId="0" ref="AC96">
      <text>
        <t xml:space="preserve">3x120mm or 2x140mm fans on top +
3x120mm or 2x140mm fans on bottom</t>
      </text>
    </comment>
    <comment authorId="0" ref="AD96">
      <text>
        <t xml:space="preserve">3x120mm or 2x140mm fans on top +
3x120mm or 2x140mm fans on bottom</t>
      </text>
    </comment>
    <comment authorId="0" ref="B99">
      <text>
        <t xml:space="preserve">IM01 Pro:
https://www.newegg.com/white-sama-im-series-atx-micro-atx-itx/p/2AM-009W-00038
先马 趣造2:
https://item.jd.com/100058080907.html</t>
      </text>
    </comment>
    <comment authorId="0" ref="O99">
      <text>
        <t xml:space="preserve">280mm with ATX PSU at low position
355mm with ATX PSU at high position</t>
      </text>
    </comment>
    <comment authorId="0" ref="AC99">
      <text>
        <t xml:space="preserve">1x120mm at front +
1x120mm at rear +
2x120mm or 1x140mm at top +
3x120mm or 2x140mm at bottom</t>
      </text>
    </comment>
    <comment authorId="0" ref="AD99">
      <text>
        <t xml:space="preserve">2x120mm or 1x140mm at top +
3x120mm or 2x140mm at bottom</t>
      </text>
    </comment>
    <comment authorId="0" ref="L100">
      <text>
        <t xml:space="preserve">158mm with side bracket
170mm without side bracket</t>
      </text>
    </comment>
    <comment authorId="0" ref="M100">
      <text>
        <t xml:space="preserve">120 / 140 / 240 / 280 / 360 at top
120 / 240 / 360 at side</t>
      </text>
    </comment>
    <comment authorId="0" ref="U100">
      <text>
        <t xml:space="preserve">140mm PSU with mATX
215mm PSU with mITX / mDTX</t>
      </text>
    </comment>
    <comment authorId="0" ref="V100">
      <text>
        <t xml:space="preserve">2x2.5" drives +
1x2.5" or 1x3.5" drive</t>
      </text>
    </comment>
    <comment authorId="0" ref="W100">
      <text>
        <t xml:space="preserve">1x2.5" or 1x3.5" drive</t>
      </text>
    </comment>
    <comment authorId="0" ref="AC100">
      <text>
        <t xml:space="preserve">1x120mm at rear +
3x120mm at side +
3x120mm or 2x140mm at top</t>
      </text>
    </comment>
    <comment authorId="0" ref="AD100">
      <text>
        <t xml:space="preserve">3x120mm or 2x140mm at top</t>
      </text>
    </comment>
    <comment authorId="0" ref="O101">
      <text>
        <t xml:space="preserve">334mm with ATX PSU at the front
415mm with SFX or ATX PSU at side</t>
      </text>
    </comment>
    <comment authorId="0" ref="U101">
      <text>
        <t xml:space="preserve">ATX PSU up to 220mm</t>
      </text>
    </comment>
    <comment authorId="0" ref="V101">
      <text>
        <t xml:space="preserve">2x2.5" + 1x2.5" or 1x3.5"</t>
      </text>
    </comment>
    <comment authorId="0" ref="W101">
      <text>
        <t xml:space="preserve">2x2.5" + 1x2.5" or 1x3.5"</t>
      </text>
    </comment>
    <comment authorId="0" ref="AC101">
      <text>
        <t xml:space="preserve">1x120mm at rear +
3x120mm or 2x140mm at top +
3x120mm or 2x140mm at side +
3x120mm at bottom</t>
      </text>
    </comment>
    <comment authorId="0" ref="AD101">
      <text>
        <t xml:space="preserve">3x120mm or 2x140mm at top +
3x120mm or 2x140mm at side</t>
      </text>
    </comment>
    <comment authorId="0" ref="M102">
      <text>
        <t xml:space="preserve">120 rad at rear +
120 / 240 rad at top up to 52mm total radiator and fan thickness +
120 / 240 at bottom with GPU waterblock</t>
      </text>
    </comment>
    <comment authorId="0" ref="O102">
      <text>
        <t xml:space="preserve">305mm with ATX PSU longer than 170mm length
355mm with ATX PSU 170mm or shorter length</t>
      </text>
    </comment>
    <comment authorId="0" ref="U102">
      <text>
        <t xml:space="preserve">up to 220m length. ATX PSU longer than 170mm will reduce GPU length  to 305mm</t>
      </text>
    </comment>
    <comment authorId="0" ref="V102">
      <text>
        <t xml:space="preserve">3x2.5" drives + 
1x2.5" or 1x3.5" drive at bottom</t>
      </text>
    </comment>
    <comment authorId="0" ref="W102">
      <text>
        <t xml:space="preserve">1x2.5" or 1x3.5" drive at bottom</t>
      </text>
    </comment>
    <comment authorId="0" ref="AC102">
      <text>
        <t xml:space="preserve">1x120mm fan at rear +
2x120mm or 2x140mm fans at top +
3x120mm or 2x140mm fans at bottom</t>
      </text>
    </comment>
    <comment authorId="0" ref="AD102">
      <text>
        <t xml:space="preserve">2x120mm or 2x140mm fans at top +
3x120mm or 2x140mm fans at bottom</t>
      </text>
    </comment>
    <comment authorId="0" ref="M103">
      <text>
        <t xml:space="preserve">Supports 240+240, 120 + 280, or up to 3x 120 and a 240.</t>
      </text>
    </comment>
    <comment authorId="0" ref="O104">
      <text>
        <t xml:space="preserve">354mm with front fans installed</t>
      </text>
    </comment>
    <comment authorId="0" ref="U104">
      <text>
        <t xml:space="preserve">up to 140mm length</t>
      </text>
    </comment>
    <comment authorId="0" ref="V104">
      <text>
        <t xml:space="preserve">1x2.5" drive +
1x2.5" or 1x3.5" drive +
1x2.5" or 1x3.5" or 1x5.25" drive</t>
      </text>
    </comment>
    <comment authorId="0" ref="W104">
      <text>
        <t xml:space="preserve">1x3.5" drive +
1x2.5" or 1x3.5" drive +
1x2.5" or 1x3.5" or 1x5.25" drive</t>
      </text>
    </comment>
    <comment authorId="0" ref="X104">
      <text>
        <t xml:space="preserve">1x2.5" or 1x3.5" or 1x5.25" drive</t>
      </text>
    </comment>
    <comment authorId="0" ref="AC104">
      <text>
        <t xml:space="preserve">1x120mm fan at rear +
2x120mm or 2x140mm fans at front</t>
      </text>
    </comment>
    <comment authorId="0" ref="AD104">
      <text>
        <t xml:space="preserve">2x120mm or 2x140mm fans at front</t>
      </text>
    </comment>
    <comment authorId="0" ref="M105">
      <text>
        <t xml:space="preserve">front radiator up to 316mm length and 146mm width</t>
      </text>
    </comment>
    <comment authorId="0" ref="O105">
      <text>
        <t xml:space="preserve">306mm with 25mm front fan
331mm without front fan</t>
      </text>
    </comment>
    <comment authorId="0" ref="U105">
      <text>
        <t xml:space="preserve">ATX PSU up to 165mm length recommended (200 mm without 3.5" drive tray and modular air duct)</t>
      </text>
    </comment>
    <comment authorId="0" ref="V105">
      <text>
        <t xml:space="preserve">3x2.5" drives (2 included) +
1x2.5" or 1x3.5" drive or 1x120mm fan at bottom</t>
      </text>
    </comment>
    <comment authorId="0" ref="W105">
      <text>
        <t xml:space="preserve">1x2.5" or 1x3.5" drive or 1x120mm fan at bottom</t>
      </text>
    </comment>
    <comment authorId="0" ref="AC105">
      <text>
        <t xml:space="preserve">1x120mm fan at rear +
2x120mm fans or 1x140mm slim 15mm fan at top +
2x120mm or 2x140mm fans at front +
1x120mm fan or 1x2.5" or 1x3.5" drive at bottom</t>
      </text>
    </comment>
    <comment authorId="0" ref="AD105">
      <text>
        <t xml:space="preserve">2x120mm fans or 1x140mm slim 15mm fan at top +
2x120mm or 2x140mm fans at front</t>
      </text>
    </comment>
    <comment authorId="0" ref="O108">
      <text>
        <t xml:space="preserve">300mm with ATX PSU longer than 180mm length</t>
      </text>
    </comment>
    <comment authorId="0" ref="V108">
      <text>
        <t xml:space="preserve">4x2.5" drives or
3x2.5" + 1x3.5" drive</t>
      </text>
    </comment>
    <comment authorId="0" ref="W108">
      <text>
        <t xml:space="preserve">4x2.5" drives or
3x2.5" + 1x3.5" drive</t>
      </text>
    </comment>
    <comment authorId="0" ref="AC108">
      <text>
        <t xml:space="preserve">1x120mm at rear +
2x120mm or 2x140mm at top +
3x120mm or 2x140mm at bottom</t>
      </text>
    </comment>
    <comment authorId="0" ref="AD108">
      <text>
        <t xml:space="preserve">2x120mm or 2x140mm at top +
3x120mm or 2x140mm at bottom</t>
      </text>
    </comment>
    <comment authorId="0" ref="O109">
      <text>
        <t xml:space="preserve">300mm with SSD holder
330mm without SSD holder</t>
      </text>
    </comment>
    <comment authorId="0" ref="M110">
      <text>
        <t xml:space="preserve">front radiator up to 316mm length and 146mm width</t>
      </text>
    </comment>
    <comment authorId="0" ref="O110">
      <text>
        <t xml:space="preserve">306mm with 25mm front fan
331mm without front fan</t>
      </text>
    </comment>
    <comment authorId="0" ref="U110">
      <text>
        <t xml:space="preserve">ATX PSU up to 165mm length recommended (200 mm without 3.5" drive tray and modular air duct)</t>
      </text>
    </comment>
    <comment authorId="0" ref="V110">
      <text>
        <t xml:space="preserve">3x2.5" drives (2 included) +
1x2.5" or 1x3.5" drive or 1x120mm fan at bottom</t>
      </text>
    </comment>
    <comment authorId="0" ref="W110">
      <text>
        <t xml:space="preserve">1x2.5" or 1x3.5" drive or 1x120mm fan at bottom</t>
      </text>
    </comment>
    <comment authorId="0" ref="AC110">
      <text>
        <t xml:space="preserve">1x120mm fan at rear +
2x120mm fans or 1x140mm slim 15mm fan at top +
2x120mm or 2x140mm fans at front +
1x120mm fan or 1x2.5" or 1x3.5" drive at bottom</t>
      </text>
    </comment>
    <comment authorId="0" ref="AD110">
      <text>
        <t xml:space="preserve">2x120mm fans or 1x140mm slim 15mm fan at top +
2x120mm or 2x140mm fans at front</t>
      </text>
    </comment>
    <comment authorId="0" ref="B112">
      <text>
        <t xml:space="preserve">Aliexpress link:
https://www.aliexpress.com/item/32954735885.html
JD link:
https://item.jd.com/2065353.html</t>
      </text>
    </comment>
    <comment authorId="0" ref="V115">
      <text>
        <t xml:space="preserve">4x2.5" drives or
3x2.5" + 1x3.5" drives</t>
      </text>
    </comment>
    <comment authorId="0" ref="W115">
      <text>
        <t xml:space="preserve">4x2.5" drives or
3x2.5" + 1x3.5" drives</t>
      </text>
    </comment>
    <comment authorId="0" ref="AC115">
      <text>
        <t xml:space="preserve">1x120mm at rear+
2x120mm or 2x140mm at top +
3x120mm or 2x140mm at bottom</t>
      </text>
    </comment>
    <comment authorId="0" ref="AD115">
      <text>
        <t xml:space="preserve">2x120mm or 2x140mm at top +
3x120mm or 2x140mm at bottom</t>
      </text>
    </comment>
    <comment authorId="0" ref="U116">
      <text>
        <t xml:space="preserve">up to 160mm length</t>
      </text>
    </comment>
    <comment authorId="0" ref="AC116">
      <text>
        <t xml:space="preserve">1x120mm at rear +
1x120mm at bottom +
2x120mm at top +
2x120mm or 2x140mm at front</t>
      </text>
    </comment>
    <comment authorId="0" ref="AD116">
      <text>
        <t xml:space="preserve">2x120mm or 2x140mm at front</t>
      </text>
    </comment>
    <comment authorId="0" ref="B117">
      <text>
        <t xml:space="preserve">IM01 Pro:
https://www.newegg.com/white-sama-im-series-atx-micro-atx-itx/p/2AM-009W-00038
先马 趣造2:
https://item.jd.com/100058080907.html</t>
      </text>
    </comment>
    <comment authorId="0" ref="O117">
      <text>
        <t xml:space="preserve">280mm with ATX PSU at low position
355mm with ATX PSU at high position</t>
      </text>
    </comment>
    <comment authorId="0" ref="AC117">
      <text>
        <t xml:space="preserve">1x120mm at front +
1x120mm at rear +
3x120mm or 2x140mm at top +
3x120mm or 2x140mm at bottom</t>
      </text>
    </comment>
    <comment authorId="0" ref="AD117">
      <text>
        <t xml:space="preserve">3x120mm or 2x140mm at top +
3x120mm or 2x140mm at bottom</t>
      </text>
    </comment>
    <comment authorId="0" ref="AC118">
      <text>
        <t xml:space="preserve">1x120mm at rear +
2x120mm at bottom +
3x120mm or 2x140mm at top +
3x120mm or 2x140mm at side</t>
      </text>
    </comment>
    <comment authorId="0" ref="AD118">
      <text>
        <t xml:space="preserve">3x120mm or 2x140mm at top +
3x120mm or 2x140mm at side</t>
      </text>
    </comment>
    <comment authorId="0" ref="B119">
      <text>
        <t xml:space="preserve">Aliexpress link:
https://www.aliexpress.com/item/32951059664.html
JD link:
https://item.jd.com/4209217.html</t>
      </text>
    </comment>
    <comment authorId="0" ref="O120">
      <text>
        <t xml:space="preserve">280mm with ATX PSU longer than 170mm
340mm with ATX PSU 170mm length or shorter</t>
      </text>
    </comment>
    <comment authorId="0" ref="U120">
      <text>
        <t xml:space="preserve">ATX PSU longer than 170mm length will reduce GPU length to 280mm</t>
      </text>
    </comment>
    <comment authorId="0" ref="V120">
      <text>
        <t xml:space="preserve">1x2.5" drive +
2x2.5" or 2x3.5" drives</t>
      </text>
    </comment>
    <comment authorId="0" ref="W120">
      <text>
        <t xml:space="preserve">2x2.5" or 2x3.5" drives</t>
      </text>
    </comment>
    <comment authorId="0" ref="AC120">
      <text>
        <t xml:space="preserve">2x120mm fans at top +
1x120mm fan at rear +
2x120mm fans at bottom</t>
      </text>
    </comment>
    <comment authorId="0" ref="M121">
      <text>
        <t xml:space="preserve">120 rad at rear +
120 / 240 rad at side +
120 / 140 / 240 / 280 rad at front</t>
      </text>
    </comment>
    <comment authorId="0" ref="N121">
      <text>
        <t xml:space="preserve">optional riser can be bought for vertical GPU</t>
      </text>
    </comment>
    <comment authorId="0" ref="R121">
      <text>
        <t xml:space="preserve">Can be switched between horizontal and vertical</t>
      </text>
    </comment>
    <comment authorId="0" ref="U121">
      <text>
        <t xml:space="preserve">up to 205mm length</t>
      </text>
    </comment>
    <comment authorId="0" ref="W121">
      <text>
        <t xml:space="preserve">with optional brackets</t>
      </text>
    </comment>
    <comment authorId="0" ref="AC121">
      <text>
        <t xml:space="preserve">1x120mm fan at rear +
2x120mm fans at bottom +
2x120mm fans at side +
2x120mm or 2x140mm fans at front</t>
      </text>
    </comment>
    <comment authorId="0" ref="AD121">
      <text>
        <t xml:space="preserve">2x120mm or 2x140mm fans at front</t>
      </text>
    </comment>
    <comment authorId="0" ref="R122">
      <text>
        <t xml:space="preserve">Adjustable</t>
      </text>
    </comment>
    <comment authorId="0" ref="M123">
      <text>
        <t xml:space="preserve">front radiators up to 280 with 361mm length and 146mm width
top radiators up to 240 with 121mm width and 35mm RAM height
</t>
      </text>
    </comment>
    <comment authorId="0" ref="O123">
      <text>
        <t xml:space="preserve">306mm with 25mm front fan
331mm without front fan</t>
      </text>
    </comment>
    <comment authorId="0" ref="U123">
      <text>
        <t xml:space="preserve">ATX PSU up to 165mm length recommended (200 mm without 3.5" drive tray and modular air duct)</t>
      </text>
    </comment>
    <comment authorId="0" ref="V123">
      <text>
        <t xml:space="preserve">4x2.5" drives (2 included) +
2x2.5" or 2x3.5" drives or 1x120mm fan at bottom</t>
      </text>
    </comment>
    <comment authorId="0" ref="W123">
      <text>
        <t xml:space="preserve">2x2.5" or 2x3.5" drives or 1x120mm fan at bottom</t>
      </text>
    </comment>
    <comment authorId="0" ref="AC123">
      <text>
        <t xml:space="preserve">1x120mm fan at rear +
2x120mm or 2x140mm fans at top +
3x120mm or 2x140mm fans at front +
1x120mm fan or 2x2.5" or 2x3.5" drive at bottom</t>
      </text>
    </comment>
    <comment authorId="0" ref="AD123">
      <text>
        <t xml:space="preserve">2x120mm or 2x140mm fans at top +
3x120mm or 2x140mm fans at front </t>
      </text>
    </comment>
    <comment authorId="0" ref="AC124">
      <text>
        <t xml:space="preserve">1x120mm at rear +
2x120mm at top</t>
      </text>
    </comment>
    <comment authorId="0" ref="U126">
      <text>
        <t xml:space="preserve">ATX PSU up to 180mm length if a 120mm fan is installed next to the PSU</t>
      </text>
    </comment>
    <comment authorId="0" ref="V126">
      <text>
        <t xml:space="preserve">1x2.5" or 1x3.5" drive +
2x3.5" drives</t>
      </text>
    </comment>
    <comment authorId="0" ref="W126">
      <text>
        <t xml:space="preserve">1x2.5" or 1x3.5" drive +
2x3.5" drives</t>
      </text>
    </comment>
    <comment authorId="0" ref="V127">
      <text>
        <t xml:space="preserve">2x2.5" or 2x3.5" drives or 2x120mm fans at rear +
2x2.5" or 2x3.5" drives or 3x120mm fans or 120 / 240 / 360 rad at side
</t>
      </text>
    </comment>
    <comment authorId="0" ref="W127">
      <text>
        <t xml:space="preserve">2x2.5" or 2x3.5" drives or 2x120mm fans at rear +
2x2.5" or 2x3.5" drives or 3x120mm fans or 120 / 240 / 360 rad at side
</t>
      </text>
    </comment>
    <comment authorId="0" ref="AC127">
      <text>
        <t xml:space="preserve">2x2.5" or 2x3.5" drives or 2x120mm fans at rear +
2x2.5" or 2x3.5" drives or 3x120mm fans or 120 / 240 / 360 rad at side</t>
      </text>
    </comment>
    <comment authorId="0" ref="M128">
      <text>
        <t xml:space="preserve">front radiators up to 280 with 361mm length and 146mm width
top radiators up to 240 with 121mm width and 37mm RAM height
</t>
      </text>
    </comment>
    <comment authorId="0" ref="O128">
      <text>
        <t xml:space="preserve">306mm with 25mm front fan
331mm without front fan</t>
      </text>
    </comment>
    <comment authorId="0" ref="U128">
      <text>
        <t xml:space="preserve">ATX PSU up to 165mm length recommended (200 mm without 3.5" drive tray and modular air duct)</t>
      </text>
    </comment>
    <comment authorId="0" ref="V128">
      <text>
        <t xml:space="preserve">4x2.5" drives (2 included) +
2x2.5" or 2x3.5" drives or 1x120mm fan at bottom</t>
      </text>
    </comment>
    <comment authorId="0" ref="W128">
      <text>
        <t xml:space="preserve">2x2.5" or 2x3.5" drives or 1x120mm fan at bottom</t>
      </text>
    </comment>
    <comment authorId="0" ref="AC128">
      <text>
        <t xml:space="preserve">1x120mm fan at rear +
2x120mm or 2x140mm fans at top +
3x120mm or 2x140mm fans at front +
1x120mm fan or 2x2.5" or 2x3.5" drive at bottom</t>
      </text>
    </comment>
    <comment authorId="0" ref="AD128">
      <text>
        <t xml:space="preserve">2x120mm or 2x140mm fans at top +
3x120mm or 2x140mm fans at front </t>
      </text>
    </comment>
    <comment authorId="0" ref="U129">
      <text>
        <t xml:space="preserve">up to 160mm length</t>
      </text>
    </comment>
    <comment authorId="0" ref="AC129">
      <text>
        <t xml:space="preserve">2x120mm at top +
1x120mm at rear +
3x120mm at bottom</t>
      </text>
    </comment>
    <comment authorId="0" ref="O130">
      <text>
        <t xml:space="preserve">330mm to 400mm depending on ATX PSU position and length</t>
      </text>
    </comment>
    <comment authorId="0" ref="U130">
      <text>
        <t xml:space="preserve">ATX PSU up to 220m length</t>
      </text>
    </comment>
    <comment authorId="0" ref="AC130">
      <text>
        <t xml:space="preserve">1x120mm rear +
1x120mm front +
3x120mm or 2x140mm top +
3x120mm or 2x140mm bottom</t>
      </text>
    </comment>
    <comment authorId="0" ref="AD130">
      <text>
        <t xml:space="preserve">3x120mm or 2x140mm top +
3x120mm or 2x140mm bottom</t>
      </text>
    </comment>
    <comment authorId="0" ref="U131">
      <text>
        <t xml:space="preserve">up to 220mm length</t>
      </text>
    </comment>
    <comment authorId="0" ref="V131">
      <text>
        <t xml:space="preserve">1x2.5" or 1x3.5" drive</t>
      </text>
    </comment>
    <comment authorId="0" ref="W131">
      <text>
        <t xml:space="preserve">1x3.5" drive +
1x2.5" or 1x3.5" drive</t>
      </text>
    </comment>
    <comment authorId="0" ref="AC131">
      <text>
        <t xml:space="preserve">2x120mm at top +
2x120mm at bottom</t>
      </text>
    </comment>
    <comment authorId="0" ref="U132">
      <text>
        <t xml:space="preserve">up to 180mm length</t>
      </text>
    </comment>
    <comment authorId="0" ref="U133">
      <text>
        <t xml:space="preserve">up to 180mm length</t>
      </text>
    </comment>
    <comment authorId="0" ref="W133">
      <text>
        <t xml:space="preserve">2x3.5" drives or 1x120mm or 1x140mm case fan at rear</t>
      </text>
    </comment>
    <comment authorId="0" ref="AC133">
      <text>
        <t xml:space="preserve">1x120mm or 1x140mm at top +
1x120mm or 1x140mm at top of PSU cover +
1x120mm or 1x140mm or 2x3.5" drives at rear</t>
      </text>
    </comment>
    <comment authorId="0" ref="AD133">
      <text>
        <t xml:space="preserve">1x120mm or 1x140mm at top +
1x120mm or 1x140mm at top of PSU cover +
1x120mm or 1x140mm or 2x3.5" drives at rear</t>
      </text>
    </comment>
    <comment authorId="0" ref="U134">
      <text>
        <t xml:space="preserve">up to 180mm length</t>
      </text>
    </comment>
    <comment authorId="0" ref="V134">
      <text>
        <t xml:space="preserve">1x2.5" drive +
3x2.5" or 3x3.5" drives</t>
      </text>
    </comment>
    <comment authorId="0" ref="W134">
      <text>
        <t xml:space="preserve">3x2.5" or 3x3.5" drives</t>
      </text>
    </comment>
    <comment authorId="0" ref="AC134">
      <text>
        <t xml:space="preserve">1x120mm fan at rear +
2x120mm fans at bottom +
3x120mm or 2x140mm fans at top</t>
      </text>
    </comment>
    <comment authorId="0" ref="AD134">
      <text>
        <t xml:space="preserve">3x120mm or 2x140mm fans at top</t>
      </text>
    </comment>
    <comment authorId="0" ref="M135">
      <text>
        <t xml:space="preserve">front radiators up to 144mm width
top radiators up to 40mm component height</t>
      </text>
    </comment>
    <comment authorId="0" ref="O135">
      <text>
        <t xml:space="preserve">315mm with front fans
335mm without front fans</t>
      </text>
    </comment>
    <comment authorId="0" ref="U135">
      <text>
        <t xml:space="preserve">ATX PSU up to 175mm length</t>
      </text>
    </comment>
    <comment authorId="0" ref="V135">
      <text>
        <t xml:space="preserve">3x2.5" drives +
2x2.5" or 2x3.5" drives or 1x120mm fan at bottom</t>
      </text>
    </comment>
    <comment authorId="0" ref="W135">
      <text>
        <t xml:space="preserve">2x2.5" or 2x3.5" drives or 1x120mm fan at bottom</t>
      </text>
    </comment>
    <comment authorId="0" ref="AC135">
      <text>
        <t xml:space="preserve">1x120mm fan at rear +
2x120mm or 2x140mm fans at top +
3x120mm or 2x140mm fans at front +
1x120mm fan or 2x2.5" or 2x3.5" drive at bottom</t>
      </text>
    </comment>
    <comment authorId="0" ref="AD135">
      <text>
        <t xml:space="preserve">2x120mm or 2x140mm fans at top +
3x120mm or 2x140mm fans at front</t>
      </text>
    </comment>
    <comment authorId="0" ref="L136">
      <text>
        <t xml:space="preserve">164mm with side bracket
172mm without side bracket</t>
      </text>
    </comment>
    <comment authorId="0" ref="U136">
      <text>
        <t xml:space="preserve">up to 173mm to first GPU slot, 216 maximum space (w/o cable management space), 332mm space mounted in bottom (w/o cable management space)</t>
      </text>
    </comment>
    <comment authorId="0" ref="AC136">
      <text>
        <t xml:space="preserve">1x120mm at rear +
2x120mm or 2x140mm at top +
2x120mm or 2x140mm at front +
2x120mm or 2x140mm at side +
2x120mm or 2x140mm at bottom</t>
      </text>
    </comment>
    <comment authorId="0" ref="AD136">
      <text>
        <t xml:space="preserve">2x120mm or 2x140mm at top +
2x120mm or 2x140mm at front +
2x120mm or 2x140mm at side +
2x120mm or 2x140mm at bottom</t>
      </text>
    </comment>
    <comment authorId="0" ref="V137">
      <text>
        <t xml:space="preserve">4x2.5" drives or
3x2.5" + 1x3.5" drives</t>
      </text>
    </comment>
    <comment authorId="0" ref="W137">
      <text>
        <t xml:space="preserve">4x2.5" drives or
3x2.5" + 1x3.5" drives</t>
      </text>
    </comment>
    <comment authorId="0" ref="AC137">
      <text>
        <t xml:space="preserve">1x120mm at rear+
2x120mm or 2x140mm at top +
3x120mm or 2x140mm at bottom</t>
      </text>
    </comment>
    <comment authorId="0" ref="AD137">
      <text>
        <t xml:space="preserve">2x120mm or 2x140mm at top +
3x120mm or 2x140mm at bottom</t>
      </text>
    </comment>
    <comment authorId="0" ref="V138">
      <text>
        <t xml:space="preserve">4x2.5" drives or
3x2.5" + 1x3.5" drives</t>
      </text>
    </comment>
    <comment authorId="0" ref="W138">
      <text>
        <t xml:space="preserve">4x2.5" drives or
3x2.5" + 1x3.5" drives</t>
      </text>
    </comment>
    <comment authorId="0" ref="AC138">
      <text>
        <t xml:space="preserve">1x120mm at rear+
2x120mm or 2x140mm at top +
3x120mm or 2x140mm at bottom</t>
      </text>
    </comment>
    <comment authorId="0" ref="AD138">
      <text>
        <t xml:space="preserve">2x120mm or 2x140mm at top +
3x120mm or 2x140mm at bottom</t>
      </text>
    </comment>
    <comment authorId="0" ref="O139">
      <text>
        <t xml:space="preserve">270mm clearance with ATX PSUs longer than 160mm</t>
      </text>
    </comment>
    <comment authorId="0" ref="U139">
      <text>
        <t xml:space="preserve">ATX PSUs longer than 160mm with reduce GPU clearance to 270mm</t>
      </text>
    </comment>
    <comment authorId="0" ref="V139">
      <text>
        <t xml:space="preserve">2 brackets for two 2.5 drives or 1 3.5 drive each</t>
      </text>
    </comment>
    <comment authorId="0" ref="W139">
      <text>
        <t xml:space="preserve">2 brackets for two 2.5 drives or 1 3.5 drive each</t>
      </text>
    </comment>
    <comment authorId="0" ref="AC139">
      <text>
        <t xml:space="preserve">2 top fans support 120/140 case fans</t>
      </text>
    </comment>
    <comment authorId="0" ref="AD139">
      <text>
        <t xml:space="preserve">2 top fans support 120/140 case fans</t>
      </text>
    </comment>
    <comment authorId="0" ref="U142">
      <text>
        <t xml:space="preserve">up to 190mm length</t>
      </text>
    </comment>
    <comment authorId="0" ref="V142">
      <text>
        <t xml:space="preserve">2x2.5" or 1x3.5" drives</t>
      </text>
    </comment>
    <comment authorId="0" ref="W142">
      <text>
        <t xml:space="preserve">2x2.5" or 1x3.5" drives</t>
      </text>
    </comment>
    <comment authorId="0" ref="AC142">
      <text>
        <t xml:space="preserve">2x120mm top +
1x120mm rear +
2x120mm bottom</t>
      </text>
    </comment>
    <comment authorId="0" ref="U143">
      <text>
        <t xml:space="preserve">up to 200mm length</t>
      </text>
    </comment>
    <comment authorId="0" ref="V143">
      <text>
        <t xml:space="preserve">2x2.5" drives +
1x2.5" or 1x3.5" drive</t>
      </text>
    </comment>
    <comment authorId="0" ref="W143">
      <text>
        <t xml:space="preserve">1x2.5" or 1x3.5" drive</t>
      </text>
    </comment>
    <comment authorId="0" ref="AC143">
      <text>
        <t xml:space="preserve">1x120mm fan at rear +
2x120mm or 2x140mm fans at bottom +
2x120mm or 2x140mm or 1x180mm fans at front</t>
      </text>
    </comment>
    <comment authorId="0" ref="AD143">
      <text>
        <t xml:space="preserve">2x120mm or 2x140mm fans at bottom +
2x120mm or 2x140mm or 1x180mm fans at front</t>
      </text>
    </comment>
    <comment authorId="0" ref="AE143">
      <text>
        <t xml:space="preserve">2x120mm or 2x140mm or 1x180mm fan at front
1x180mm fan included</t>
      </text>
    </comment>
    <comment authorId="0" ref="O144">
      <text>
        <t xml:space="preserve">280mm with ATX PSU longer than 170mm
340mm with ATX PSU 170mm length or shorter</t>
      </text>
    </comment>
    <comment authorId="0" ref="U144">
      <text>
        <t xml:space="preserve">ATX PSU longer than 170mm length will reduce GPU length to 280mm</t>
      </text>
    </comment>
    <comment authorId="0" ref="V144">
      <text>
        <t xml:space="preserve">2x2.5" drive +
2x2.5" or 2x3.5" drives</t>
      </text>
    </comment>
    <comment authorId="0" ref="W144">
      <text>
        <t xml:space="preserve">2x2.5" or 2x3.5" drives</t>
      </text>
    </comment>
    <comment authorId="0" ref="AC144">
      <text>
        <t xml:space="preserve">2x120mm fans at top +
1x120mm fan at rear +
2x120mm fans at bottom</t>
      </text>
    </comment>
    <comment authorId="0" ref="U145">
      <text>
        <t xml:space="preserve">up to 180mm length</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M3">
      <text>
        <t xml:space="preserve">Blower fan</t>
      </text>
    </comment>
    <comment authorId="0" ref="S3">
      <text>
        <t xml:space="preserve">AM4 is compatible if using the mounting brackets from Metalfish Z39</t>
      </text>
    </comment>
    <comment authorId="0" ref="S14">
      <text>
        <t xml:space="preserve">Upgrade kit required</t>
      </text>
    </comment>
    <comment authorId="0" ref="B18">
      <text>
        <t xml:space="preserve">Aliexpress link:
https://www.aliexpress.com/item/20000004223841.html</t>
      </text>
    </comment>
    <comment authorId="0" ref="B19">
      <text>
        <t xml:space="preserve">Tmall link:
https://detail.tmall.com/item.htm?id=644549606697</t>
      </text>
    </comment>
    <comment authorId="0" ref="S19">
      <text>
        <t xml:space="preserve">Compatible with AM5 but mounting is difficult</t>
      </text>
    </comment>
    <comment authorId="0" ref="W19">
      <text>
        <t xml:space="preserve">With LGA1700-AXP90 X mounting kit</t>
      </text>
    </comment>
    <comment authorId="0" ref="B20">
      <text>
        <t xml:space="preserve">Taobao link:
https://detail.tmall.com/item.htm?id=650407978308</t>
      </text>
    </comment>
    <comment authorId="0" ref="S20">
      <text>
        <t xml:space="preserve">Compatible with AM5 but mounting is difficult</t>
      </text>
    </comment>
    <comment authorId="0" ref="W20">
      <text>
        <t xml:space="preserve">With LGA1700-AXP90 X mounting kit</t>
      </text>
    </comment>
    <comment authorId="0" ref="S23">
      <text>
        <t xml:space="preserve">NM-AM4-L9aL9i kit required for AM4 NM-AM5-L9aL9i kit required for AM5</t>
      </text>
    </comment>
    <comment authorId="0" ref="S24">
      <text>
        <t xml:space="preserve">NM-AM5-L9aL9i kit required for AM5</t>
      </text>
    </comment>
    <comment authorId="0" ref="S25">
      <text>
        <t xml:space="preserve">NM-AM5-L9aL9i kit required for AM5</t>
      </text>
    </comment>
    <comment authorId="0" ref="S26">
      <text>
        <t xml:space="preserve">AM5 only</t>
      </text>
    </comment>
    <comment authorId="0" ref="S27">
      <text>
        <t xml:space="preserve">AM5 only</t>
      </text>
    </comment>
    <comment authorId="0" ref="S28">
      <text>
        <t xml:space="preserve">NM-AM4-L9aL9i kit required for AM4 NM-AM5-L9aL9i kit required for AM5</t>
      </text>
    </comment>
    <comment authorId="0" ref="S29">
      <text>
        <t xml:space="preserve">NM-AM4-L9aL9i kit required for AM4 NM-AM5-L9aL9i kit required for AM5</t>
      </text>
    </comment>
    <comment authorId="0" ref="S43">
      <text>
        <t xml:space="preserve">Upgrade kit required</t>
      </text>
    </comment>
    <comment authorId="0" ref="W43">
      <text>
        <t xml:space="preserve">with 1700 upgrade kit</t>
      </text>
    </comment>
    <comment authorId="0" ref="K52">
      <text>
        <t xml:space="preserve">VLP RAM</t>
      </text>
    </comment>
    <comment authorId="0" ref="W52">
      <text>
        <t xml:space="preserve">with 1700 upgrade kit</t>
      </text>
    </comment>
    <comment authorId="0" ref="W53">
      <text>
        <t xml:space="preserve">with 1700 upgrade kit</t>
      </text>
    </comment>
    <comment authorId="0" ref="B67">
      <text>
        <t xml:space="preserve">Aliexpress link:
https://www.aliexpress.com/item/1005001394493149.html
TMall link:
https://detail.tmall.com/item.htm?id=625541836556</t>
      </text>
    </comment>
    <comment authorId="0" ref="S67">
      <text>
        <t xml:space="preserve">Not compatible with AM5</t>
      </text>
    </comment>
    <comment authorId="0" ref="B68">
      <text>
        <t xml:space="preserve">Aliexpress:
https://www.aliexpress.com/item/4000564265384.html</t>
      </text>
    </comment>
    <comment authorId="0" ref="B69">
      <text>
        <t xml:space="preserve">Aliexpress:
https://www.aliexpress.com/item/4000564265384.html</t>
      </text>
    </comment>
    <comment authorId="0" ref="B70">
      <text>
        <t xml:space="preserve">Aliexpress:
https://www.aliexpress.com/item/4000564265384.html</t>
      </text>
    </comment>
    <comment authorId="0" ref="S70">
      <text>
        <t xml:space="preserve">Not compatible with AM5</t>
      </text>
    </comment>
    <comment authorId="0" ref="B71">
      <text>
        <t xml:space="preserve">Aliexpress:
https://www.aliexpress.com/item/4000564265384.html</t>
      </text>
    </comment>
    <comment authorId="0" ref="S71">
      <text>
        <t xml:space="preserve">Not compatible with AM5</t>
      </text>
    </comment>
    <comment authorId="0" ref="B72">
      <text>
        <t xml:space="preserve">TMall link:
https://detail.tmall.com/item.htm?id=640849964967</t>
      </text>
    </comment>
    <comment authorId="0" ref="S72">
      <text>
        <t xml:space="preserve">Compatible with AM5 but mounting is difficult</t>
      </text>
    </comment>
    <comment authorId="0" ref="W72">
      <text>
        <t xml:space="preserve">With LGA1700-AXP90 X mounting kit</t>
      </text>
    </comment>
    <comment authorId="0" ref="B73">
      <text>
        <t xml:space="preserve">Taobao Link:
https://detail.tmall.com/item.htm?id=644162441953</t>
      </text>
    </comment>
    <comment authorId="0" ref="S73">
      <text>
        <t xml:space="preserve">Compatible with AM5 but mounting is difficult</t>
      </text>
    </comment>
    <comment authorId="0" ref="W73">
      <text>
        <t xml:space="preserve">With LGA1700-AXP90 X mounting kit</t>
      </text>
    </comment>
    <comment authorId="0" ref="B74">
      <text>
        <t xml:space="preserve">Taobao link:
https://detail.tmall.com/item.htm?id=650424214794</t>
      </text>
    </comment>
    <comment authorId="0" ref="S74">
      <text>
        <t xml:space="preserve">Compatible with AM5 but mounting is difficult</t>
      </text>
    </comment>
    <comment authorId="0" ref="W74">
      <text>
        <t xml:space="preserve">With LGA1700-AXP90 X mounting kit</t>
      </text>
    </comment>
    <comment authorId="0" ref="B75">
      <text>
        <t xml:space="preserve">Taobao link:
https://detail.tmall.com/item.htm?id=649405811476</t>
      </text>
    </comment>
    <comment authorId="0" ref="S75">
      <text>
        <t xml:space="preserve">Compatible with AM5 but mounting is difficult</t>
      </text>
    </comment>
    <comment authorId="0" ref="W75">
      <text>
        <t xml:space="preserve">With LGA1700-AXP90 X mounting kit</t>
      </text>
    </comment>
    <comment authorId="0" ref="B83">
      <text>
        <t xml:space="preserve">TMall link:
https://detail.tmall.com/item.htm?id=630409330574</t>
      </text>
    </comment>
    <comment authorId="0" ref="S83">
      <text>
        <t xml:space="preserve">Compatible with AM5 but mounting is difficult</t>
      </text>
    </comment>
    <comment authorId="0" ref="W83">
      <text>
        <t xml:space="preserve">With LGA1700-AXP90 X mounting kit</t>
      </text>
    </comment>
    <comment authorId="0" ref="B84">
      <text>
        <t xml:space="preserve">Taobao Link:
https://detail.tmall.com/item.htm?id=644293782010</t>
      </text>
    </comment>
    <comment authorId="0" ref="S84">
      <text>
        <t xml:space="preserve">Compatible with AM5 but mounting is difficult</t>
      </text>
    </comment>
    <comment authorId="0" ref="W84">
      <text>
        <t xml:space="preserve">With LGA1700-AXP90 X mounting kit</t>
      </text>
    </comment>
    <comment authorId="0" ref="B86">
      <text>
        <t xml:space="preserve">TMall link:
https://detail.tmall.com/item.htm?id=634862671097</t>
      </text>
    </comment>
    <comment authorId="0" ref="S86">
      <text>
        <t xml:space="preserve">Compatible with AM5 but mounting is difficult</t>
      </text>
    </comment>
    <comment authorId="0" ref="W86">
      <text>
        <t xml:space="preserve">With LGA1700-AXP90 X mounting kit</t>
      </text>
    </comment>
    <comment authorId="0" ref="S87">
      <text>
        <t xml:space="preserve">Compatible with AM5 but mounting is difficult</t>
      </text>
    </comment>
    <comment authorId="0" ref="W93">
      <text>
        <t xml:space="preserve">Compatible with 1700 socket in new stock</t>
      </text>
    </comment>
    <comment authorId="0" ref="K94">
      <text>
        <t xml:space="preserve">Depends on cooler orientation and motherboard compatibility. If heatsink overhangs RAM, clearance is 33mm</t>
      </text>
    </comment>
    <comment authorId="0" ref="K95">
      <text>
        <t xml:space="preserve">Depends on cooler orientation and motherboard compatibility. If heatsink overhangs RAM, clearance is 33mm</t>
      </text>
    </comment>
    <comment authorId="0" ref="K96">
      <text>
        <t xml:space="preserve">Depends on cooler orientation and motherboard compatibility. If heatsink overhangs RAM, clearance is 33mm</t>
      </text>
    </comment>
    <comment authorId="0" ref="K97">
      <text>
        <t xml:space="preserve">Depends on cooler orientation and motherboard compatibility. If heatsink overhangs RAM, clearance is 33mm</t>
      </text>
    </comment>
    <comment authorId="0" ref="W99">
      <text>
        <t xml:space="preserve">Upgrade kit required</t>
      </text>
    </comment>
    <comment authorId="0" ref="W101">
      <text>
        <t xml:space="preserve">with LGA1700-A2 mounting kit</t>
      </text>
    </comment>
    <comment authorId="0" ref="S102">
      <text>
        <t xml:space="preserve">Upgrade kit required</t>
      </text>
    </comment>
    <comment authorId="0" ref="W104">
      <text>
        <t xml:space="preserve">with 1700 upgrade kit</t>
      </text>
    </comment>
    <comment authorId="0" ref="N107">
      <text>
        <t xml:space="preserve">2500rpm for 92x92x15mm fan</t>
      </text>
    </comment>
    <comment authorId="0" ref="O107">
      <text>
        <t xml:space="preserve">44.3 CFM for 92x92x15mm fan</t>
      </text>
    </comment>
    <comment authorId="0" ref="Q107">
      <text>
        <t xml:space="preserve">33 dB(A) for 92x92x15mm fan</t>
      </text>
    </comment>
    <comment authorId="0" ref="N108">
      <text>
        <t xml:space="preserve">2500rpm for 92x92x15mm fan</t>
      </text>
    </comment>
    <comment authorId="0" ref="O108">
      <text>
        <t xml:space="preserve">44.3 CFM for 92x92x15mm fan</t>
      </text>
    </comment>
    <comment authorId="0" ref="Q108">
      <text>
        <t xml:space="preserve">33 dB(A) for 92x92x15mm fan</t>
      </text>
    </comment>
    <comment authorId="0" ref="W111">
      <text>
        <t xml:space="preserve">with NM-i17xx-MP83 mounting kit</t>
      </text>
    </comment>
    <comment authorId="0" ref="W113">
      <text>
        <t xml:space="preserve">with LGA1700-A2 mounting kit</t>
      </text>
    </comment>
    <comment authorId="0" ref="W114">
      <text>
        <t xml:space="preserve">with LGA1700-A1 mounting kit</t>
      </text>
    </comment>
    <comment authorId="0" ref="W115">
      <text>
        <t xml:space="preserve">with LGA1700-A1 mounting kit</t>
      </text>
    </comment>
    <comment authorId="0" ref="S118">
      <text>
        <t xml:space="preserve">NM-AM4 kit required</t>
      </text>
    </comment>
    <comment authorId="0" ref="W118">
      <text>
        <t xml:space="preserve">with NM-i17xx-MP83 mounting kit</t>
      </text>
    </comment>
    <comment authorId="0" ref="W119">
      <text>
        <t xml:space="preserve">with NM-i17xx-MP78 mounting kit</t>
      </text>
    </comment>
    <comment authorId="0" ref="K122">
      <text>
        <t xml:space="preserve">Depending on the orientation, no limit or 43mm</t>
      </text>
    </comment>
    <comment authorId="0" ref="K123">
      <text>
        <t xml:space="preserve">Depending on the orientation, no limit or 43mm</t>
      </text>
    </comment>
    <comment authorId="0" ref="W132">
      <text>
        <t xml:space="preserve">Upgrade kit required</t>
      </text>
    </comment>
    <comment authorId="0" ref="W133">
      <text>
        <t xml:space="preserve">Upgrade kit required</t>
      </text>
    </comment>
    <comment authorId="0" ref="W136">
      <text>
        <t xml:space="preserve">with NM-i17xx-MP78 mounting kit</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W12">
      <text>
        <t xml:space="preserve">with NM-i17xx-MP83</t>
      </text>
    </comment>
    <comment authorId="0" ref="W15">
      <text>
        <t xml:space="preserve">With LGA1700-SS2 mounting kit</t>
      </text>
    </comment>
    <comment authorId="0" ref="W16">
      <text>
        <t xml:space="preserve">With LGA1700-SS2 mounting kit</t>
      </text>
    </comment>
    <comment authorId="0" ref="W19">
      <text>
        <t xml:space="preserve">with NM-i17xx-MP83 mounting kit</t>
      </text>
    </comment>
    <comment authorId="0" ref="W26">
      <text>
        <t xml:space="preserve">with NM-i17xx-MP78 mounting kit</t>
      </text>
    </comment>
    <comment authorId="0" ref="W27">
      <text>
        <t xml:space="preserve">with NM-i17xx-MP78 chromax.black mounting kit</t>
      </text>
    </comment>
    <comment authorId="0" ref="F41">
      <text>
        <t xml:space="preserve">130mm without stock fan
132mm with stock fan</t>
      </text>
    </comment>
    <comment authorId="0" ref="W41">
      <text>
        <t xml:space="preserve">With LGA1700-B2 mounting kit</t>
      </text>
    </comment>
    <comment authorId="0" ref="N44">
      <text>
        <t xml:space="preserve">Top fan 1300rpm
Bottom fan 1400 rpm</t>
      </text>
    </comment>
    <comment authorId="0" ref="W44">
      <text>
        <t xml:space="preserve">With LGA1700 mounting kit</t>
      </text>
    </comment>
    <comment authorId="0" ref="W50">
      <text>
        <t xml:space="preserve">With 1700 mounting kit</t>
      </text>
    </comment>
    <comment authorId="0" ref="W55">
      <text>
        <t xml:space="preserve">With LGA1700-SS2 mounting kit</t>
      </text>
    </comment>
    <comment authorId="0" ref="W56">
      <text>
        <t xml:space="preserve">With LGA1700-SS2 mounting kit</t>
      </text>
    </comment>
    <comment authorId="0" ref="W57">
      <text>
        <t xml:space="preserve">With LGA1700-SS2 mounting kit</t>
      </text>
    </comment>
    <comment authorId="0" ref="W60">
      <text>
        <t xml:space="preserve">with LGA1700-SS2 mounting kit</t>
      </text>
    </comment>
    <comment authorId="0" ref="N102">
      <text>
        <t xml:space="preserve">Kaze Flex II 120 Slim: 1500 rpm
Kaze Flex II 120: 1500 rpm</t>
      </text>
    </comment>
    <comment authorId="0" ref="O102">
      <text>
        <t xml:space="preserve">Kaze Flex II 120 Slim: 39.44 CFM
Kaze Flex II 120: 67.62 CFM</t>
      </text>
    </comment>
    <comment authorId="0" ref="P102">
      <text>
        <t xml:space="preserve">Kaze Flex II 120 Slim: 0.96 mmH2O
Kaze Flex II 120: 1.50 mmH2O</t>
      </text>
    </comment>
    <comment authorId="0" ref="Q102">
      <text>
        <t xml:space="preserve">Kaze Flex II 120 Slim: 23.80 dB(A)
Kaze Flex II 120: 28.60 dB(A)</t>
      </text>
    </comment>
    <comment authorId="0" ref="W112">
      <text>
        <t xml:space="preserve">Upgrade kit required</t>
      </text>
    </comment>
    <comment authorId="0" ref="N115">
      <text>
        <t xml:space="preserve">Kaze Flex 120 Slim: 1200 rpm
Kaze Flex 120: 1200 rpm</t>
      </text>
    </comment>
    <comment authorId="0" ref="O115">
      <text>
        <t xml:space="preserve">Kaze Flex 120 Slim: 33.86 CFM
Kaze Flex 120: 51.17 CFM</t>
      </text>
    </comment>
    <comment authorId="0" ref="P115">
      <text>
        <t xml:space="preserve">Kaze Flex 120 Slim: 0.90 mmH2O
Kaze Flex 120: 1.05 mmH2O</t>
      </text>
    </comment>
    <comment authorId="0" ref="Q115">
      <text>
        <t xml:space="preserve">Kaze Flex 120 Slim: 23.9 dB(A)
Kaze Flex 120: 24.9 dB(A)</t>
      </text>
    </comment>
    <comment authorId="0" ref="W115">
      <text>
        <t xml:space="preserve">Upgrade kit required</t>
      </text>
    </comment>
    <comment authorId="0" ref="N116">
      <text>
        <t xml:space="preserve">Kaze Flex II 120 Slim: 1500 rpm
Kaze Flex II 120: 1500 rpm</t>
      </text>
    </comment>
    <comment authorId="0" ref="O116">
      <text>
        <t xml:space="preserve">Kaze Flex II 120 Slim: 39.44 CFM
Kaze Flex II 120: 67.62 CFM</t>
      </text>
    </comment>
    <comment authorId="0" ref="P116">
      <text>
        <t xml:space="preserve">Kaze Flex II 120 Slim: 0.96 mmH2O
Kaze Flex II 120: 1.50 mmH2O</t>
      </text>
    </comment>
    <comment authorId="0" ref="Q116">
      <text>
        <t xml:space="preserve">Kaze Flex II 120 Slim: 23.80 dB(A)
Kaze Flex II 120: 28.60 dB(A)</t>
      </text>
    </comment>
    <comment authorId="0" ref="W131">
      <text>
        <t xml:space="preserve">with LGA1700-SS2 mounting kit</t>
      </text>
    </comment>
    <comment authorId="0" ref="W132">
      <text>
        <t xml:space="preserve">with LGA1700-SS2 mounting kit</t>
      </text>
    </comment>
    <comment authorId="0" ref="W143">
      <text>
        <t xml:space="preserve">with LGA1700-SS2 mounting kit</t>
      </text>
    </comment>
    <comment authorId="0" ref="W144">
      <text>
        <t xml:space="preserve">with LGA1700-SS2 mounting kit</t>
      </text>
    </comment>
    <comment authorId="0" ref="W146">
      <text>
        <t xml:space="preserve">with LGA1700-SS2 mounting kit</t>
      </text>
    </comment>
    <comment authorId="0" ref="W147">
      <text>
        <t xml:space="preserve">with LGA1700-SS2 mounting kit</t>
      </text>
    </comment>
    <comment authorId="0" ref="W154">
      <text>
        <t xml:space="preserve">with NM-i17xx-MP78 mounting kit</t>
      </text>
    </comment>
    <comment authorId="0" ref="W155">
      <text>
        <t xml:space="preserve">with NM-i17xx-MP78 mounting kit</t>
      </text>
    </comment>
    <comment authorId="0" ref="K163">
      <text>
        <t xml:space="preserve">40mm with 120mm fan</t>
      </text>
    </comment>
    <comment authorId="0" ref="N163">
      <text>
        <t xml:space="preserve">140mm: 1400 rpm
120mm: 1800 rpm</t>
      </text>
    </comment>
    <comment authorId="0" ref="O163">
      <text>
        <t xml:space="preserve">140mm: 67 CFM
120mm: 62 CFM</t>
      </text>
    </comment>
    <comment authorId="0" ref="P163">
      <text>
        <t xml:space="preserve">140mm: 2.25 mmH2O
120mm: 2.5 mmH2O</t>
      </text>
    </comment>
    <comment authorId="0" ref="Q163">
      <text>
        <t xml:space="preserve">140mm: 27 dB(A)
120mm: 27 dB(A)</t>
      </text>
    </comment>
    <comment authorId="0" ref="K171">
      <text>
        <t xml:space="preserve">45mm with included 120mm fan</t>
      </text>
    </comment>
    <comment authorId="0" ref="F174">
      <text>
        <t xml:space="preserve">158mm heatsink
160mm with stock 140mm fan</t>
      </text>
    </comment>
    <comment authorId="0" ref="N174">
      <text>
        <t xml:space="preserve">TL-C12 PRO: 1850 rpm
TL-D14X-B: 1800 rpm</t>
      </text>
    </comment>
    <comment authorId="0" ref="O174">
      <text>
        <t xml:space="preserve">TL-C12 PRO: 82 CFM
TL-D14X-B: 95.5 CFM</t>
      </text>
    </comment>
    <comment authorId="0" ref="P174">
      <text>
        <t xml:space="preserve">TL-C12 PRO: 2.10 mmH2O
TL-D14X-B: 2.25 mmH2O</t>
      </text>
    </comment>
    <comment authorId="0" ref="Q174">
      <text>
        <t xml:space="preserve">TL-C12 PRO: 29.6 dB(A)
TL-D14X-B: 30.2 dB(A)</t>
      </text>
    </comment>
    <comment authorId="0" ref="W174">
      <text>
        <t xml:space="preserve">with LGA1700-SS2 mounting kit</t>
      </text>
    </comment>
    <comment authorId="0" ref="F175">
      <text>
        <t xml:space="preserve">158mm heatsink
160mm with stock 140mm fan</t>
      </text>
    </comment>
    <comment authorId="0" ref="N175">
      <text>
        <t xml:space="preserve">TL-C12 PRO: 1850 rpm
TL-D14X-B: 1800 rpm</t>
      </text>
    </comment>
    <comment authorId="0" ref="O175">
      <text>
        <t xml:space="preserve">TL-C12 PRO: 82 CFM
TL-D14X-B: 95.5 CFM</t>
      </text>
    </comment>
    <comment authorId="0" ref="P175">
      <text>
        <t xml:space="preserve">TL-C12 PRO: 2.10 mmH2O
TL-D14X-B: 2.25 mmH2O</t>
      </text>
    </comment>
    <comment authorId="0" ref="Q175">
      <text>
        <t xml:space="preserve">TL-C12 PRO: 29.6 dB(A)
TL-D14X-B: 30.2 dB(A)</t>
      </text>
    </comment>
    <comment authorId="0" ref="W175">
      <text>
        <t xml:space="preserve">with LGA1700-SS2 mounting kit</t>
      </text>
    </comment>
    <comment authorId="0" ref="F176">
      <text>
        <t xml:space="preserve">158mm heatsink
160mm with stock 140mm fan</t>
      </text>
    </comment>
    <comment authorId="0" ref="N176">
      <text>
        <t xml:space="preserve">TL-C12B: 1500 rpm
TL-D14B: 1500 rpm</t>
      </text>
    </comment>
    <comment authorId="0" ref="O176">
      <text>
        <t xml:space="preserve">TL-C12B: 66.17 CFM
TL-D14B: 77.80 CFM</t>
      </text>
    </comment>
    <comment authorId="0" ref="P176">
      <text>
        <t xml:space="preserve">TL-C12B: 1.53 mmH2O
TL-D14B: 2.09 mmH2O</t>
      </text>
    </comment>
    <comment authorId="0" ref="Q176">
      <text>
        <t xml:space="preserve">TL-C12B: 25.6 dB(A)
TL-D14B: 25.6 dB(A)</t>
      </text>
    </comment>
    <comment authorId="0" ref="W176">
      <text>
        <t xml:space="preserve">with LGA1700-SS2 mounting kit</t>
      </text>
    </comment>
    <comment authorId="0" ref="F177">
      <text>
        <t xml:space="preserve">158mm heatsink
160mm with stock 140mm fan</t>
      </text>
    </comment>
    <comment authorId="0" ref="N177">
      <text>
        <t xml:space="preserve">TL-C12B: 1500 rpm
TL-D14B: 1500 rpm</t>
      </text>
    </comment>
    <comment authorId="0" ref="O177">
      <text>
        <t xml:space="preserve">TL-C12B: 66.17 CFM
TL-D14B: 77.80 CFM</t>
      </text>
    </comment>
    <comment authorId="0" ref="P177">
      <text>
        <t xml:space="preserve">TL-C12B: 1.53 mmH2O
TL-D14B: 2.09 mmH2O</t>
      </text>
    </comment>
    <comment authorId="0" ref="Q177">
      <text>
        <t xml:space="preserve">TL-C12B: 25.6 dB(A)
TL-D14B: 25.6 dB(A)</t>
      </text>
    </comment>
    <comment authorId="0" ref="W177">
      <text>
        <t xml:space="preserve">with LGA1700-SS2 mounting kit</t>
      </text>
    </comment>
    <comment authorId="0" ref="N184">
      <text>
        <t xml:space="preserve">Silent Wings 135mm: 1200rpm
Silent Wings 3 120mm: 1500rpm</t>
      </text>
    </comment>
    <comment authorId="0" ref="K187">
      <text>
        <t xml:space="preserve">28mm in dual fan mode
58mm in single fan mode</t>
      </text>
    </comment>
    <comment authorId="0" ref="N189">
      <text>
        <t xml:space="preserve">140mm: 1700 rpm
120mm: 1700 rpm</t>
      </text>
    </comment>
    <comment authorId="0" ref="O189">
      <text>
        <t xml:space="preserve">140mm: 79.10 CFM
120mm: 58.06 CFM</t>
      </text>
    </comment>
    <comment authorId="0" ref="P189">
      <text>
        <t xml:space="preserve">140mm: 2.44 mmH2O
120mm: 2.10 mmH2O</t>
      </text>
    </comment>
    <comment authorId="0" ref="Q189">
      <text>
        <t xml:space="preserve">140mm: 29.3 dB(A)
120mm: 29.3 dB(A)</t>
      </text>
    </comment>
    <comment authorId="0" ref="K190">
      <text>
        <t xml:space="preserve">29.8mm in dual fan mode
</t>
      </text>
    </comment>
    <comment authorId="0" ref="K191">
      <text>
        <t xml:space="preserve">30mm in dual fan mode
49mm in single fan mode</t>
      </text>
    </comment>
    <comment authorId="0" ref="K192">
      <text>
        <t xml:space="preserve">32mm in dual fan mode
66mm in single fan mode</t>
      </text>
    </comment>
    <comment authorId="0" ref="K193">
      <text>
        <t xml:space="preserve">32mm in dual fan mode
66mm in single fan mode</t>
      </text>
    </comment>
    <comment authorId="0" ref="N195">
      <text>
        <t xml:space="preserve">Mobius 135mm: 1550 rpm
Mobius 120mm: 1950 rpm</t>
      </text>
    </comment>
    <comment authorId="0" ref="O195">
      <text>
        <t xml:space="preserve">Mobius 135mm: 63.6 CFM
Mobius 120mm: 63.1 CFM</t>
      </text>
    </comment>
    <comment authorId="0" ref="P195">
      <text>
        <t xml:space="preserve">Mobius 135mm: 1.92 mmH2O
Mobius 120mm: 2.69 mmH2O</t>
      </text>
    </comment>
    <comment authorId="0" ref="Q195">
      <text>
        <t xml:space="preserve">Mobius 135mm: 24.6 dB(A)
Mobius 120mm: 22.6 dB(A)</t>
      </text>
    </comment>
    <comment authorId="0" ref="N197">
      <text>
        <t xml:space="preserve">Silent Wings 135mm: 1500 rpm
Silent Wings 4 120mm: 2000 rpm</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L1">
      <text>
        <t xml:space="preserve">CPU = Pump in CPU block
Rad = Pump in Radiator
Tube = Pump in Tubes</t>
      </text>
    </comment>
    <comment authorId="0" ref="J17">
      <text>
        <t xml:space="preserve">Tubes from top of CPU block</t>
      </text>
    </comment>
    <comment authorId="0" ref="J18">
      <text>
        <t xml:space="preserve">Tubes from top of CPU block</t>
      </text>
    </comment>
    <comment authorId="0" ref="J19">
      <text>
        <t xml:space="preserve">Tubes from top of CPU block</t>
      </text>
    </comment>
    <comment authorId="0" ref="J20">
      <text>
        <t xml:space="preserve">Tubes from top of CPU block</t>
      </text>
    </comment>
    <comment authorId="0" ref="J21">
      <text>
        <t xml:space="preserve">Tubes from top of CPU block</t>
      </text>
    </comment>
    <comment authorId="0" ref="J22">
      <text>
        <t xml:space="preserve">Tubes from top of CPU block</t>
      </text>
    </comment>
    <comment authorId="0" ref="J23">
      <text>
        <t xml:space="preserve">Tubes from top of CPU block</t>
      </text>
    </comment>
    <comment authorId="0" ref="J24">
      <text>
        <t xml:space="preserve">Tubes from top of CPU block</t>
      </text>
    </comment>
    <comment authorId="0" ref="J25">
      <text>
        <t xml:space="preserve">Tubes from top of CPU block</t>
      </text>
    </comment>
    <comment authorId="0" ref="N28">
      <text>
        <t xml:space="preserve">No fan included, compatible with 92mm fan</t>
      </text>
    </comment>
    <comment authorId="0" ref="U28">
      <text>
        <t xml:space="preserve">No fan included</t>
      </text>
    </comment>
    <comment authorId="0" ref="J33">
      <text>
        <t xml:space="preserve">Tubes from top of CPU block</t>
      </text>
    </comment>
    <comment authorId="0" ref="J34">
      <text>
        <t xml:space="preserve">Tubes from top of CPU block</t>
      </text>
    </comment>
    <comment authorId="0" ref="J35">
      <text>
        <t xml:space="preserve">Tubes from top of CPU block</t>
      </text>
    </comment>
    <comment authorId="0" ref="J36">
      <text>
        <t xml:space="preserve">Tubes from top of CPU block</t>
      </text>
    </comment>
    <comment authorId="0" ref="J37">
      <text>
        <t xml:space="preserve">Tubes from top of CPU block</t>
      </text>
    </comment>
    <comment authorId="0" ref="J53">
      <text>
        <t xml:space="preserve">Tubes from top of CPU block</t>
      </text>
    </comment>
    <comment authorId="0" ref="AE53">
      <text>
        <t xml:space="preserve">Kit available</t>
      </text>
    </comment>
    <comment authorId="0" ref="J54">
      <text>
        <t xml:space="preserve">Tubes from top of CPU block</t>
      </text>
    </comment>
    <comment authorId="0" ref="AE54">
      <text>
        <t xml:space="preserve">Kit available</t>
      </text>
    </comment>
    <comment authorId="0" ref="J55">
      <text>
        <t xml:space="preserve">Tubes from top of CPU block</t>
      </text>
    </comment>
    <comment authorId="0" ref="AE55">
      <text>
        <t xml:space="preserve">Kit available</t>
      </text>
    </comment>
    <comment authorId="0" ref="J56">
      <text>
        <t xml:space="preserve">Tubes from top of CPU block</t>
      </text>
    </comment>
    <comment authorId="0" ref="AE56">
      <text>
        <t xml:space="preserve">Kit available</t>
      </text>
    </comment>
    <comment authorId="0" ref="J57">
      <text>
        <t xml:space="preserve">Tubes from top of CPU block</t>
      </text>
    </comment>
    <comment authorId="0" ref="AE57">
      <text>
        <t xml:space="preserve">Kit available</t>
      </text>
    </comment>
    <comment authorId="0" ref="J58">
      <text>
        <t xml:space="preserve">Tubes from top of CPU block</t>
      </text>
    </comment>
    <comment authorId="0" ref="AE58">
      <text>
        <t xml:space="preserve">Kit available</t>
      </text>
    </comment>
    <comment authorId="0" ref="J59">
      <text>
        <t xml:space="preserve">Tubes from top of CPU block</t>
      </text>
    </comment>
    <comment authorId="0" ref="AE59">
      <text>
        <t xml:space="preserve">Kit available</t>
      </text>
    </comment>
    <comment authorId="0" ref="J60">
      <text>
        <t xml:space="preserve">Tubes from top of CPU block</t>
      </text>
    </comment>
    <comment authorId="0" ref="AE60">
      <text>
        <t xml:space="preserve">Kit available</t>
      </text>
    </comment>
    <comment authorId="0" ref="J61">
      <text>
        <t xml:space="preserve">Tubes from top of CPU block</t>
      </text>
    </comment>
    <comment authorId="0" ref="AE61">
      <text>
        <t xml:space="preserve">Kit available</t>
      </text>
    </comment>
    <comment authorId="0" ref="J62">
      <text>
        <t xml:space="preserve">Tubes from top of CPU block</t>
      </text>
    </comment>
    <comment authorId="0" ref="AE62">
      <text>
        <t xml:space="preserve">Kit available</t>
      </text>
    </comment>
    <comment authorId="0" ref="J63">
      <text>
        <t xml:space="preserve">Tubes from top of CPU block</t>
      </text>
    </comment>
    <comment authorId="0" ref="AE63">
      <text>
        <t xml:space="preserve">Kit available</t>
      </text>
    </comment>
    <comment authorId="0" ref="J64">
      <text>
        <t xml:space="preserve">Tubes from top of CPU block</t>
      </text>
    </comment>
    <comment authorId="0" ref="AE64">
      <text>
        <t xml:space="preserve">Kit available</t>
      </text>
    </comment>
    <comment authorId="0" ref="J65">
      <text>
        <t xml:space="preserve">Tubes from top of CPU block</t>
      </text>
    </comment>
    <comment authorId="0" ref="AE65">
      <text>
        <t xml:space="preserve">Kit available</t>
      </text>
    </comment>
    <comment authorId="0" ref="N78">
      <text>
        <t xml:space="preserve">No fan included, compatible with 92mm fan</t>
      </text>
    </comment>
    <comment authorId="0" ref="U78">
      <text>
        <t xml:space="preserve">No fan included</t>
      </text>
    </comment>
    <comment authorId="0" ref="AE146">
      <text>
        <t xml:space="preserve">with LGA1700 upgrade kit</t>
      </text>
    </comment>
    <comment authorId="0" ref="AE147">
      <text>
        <t xml:space="preserve">with LGA1700 upgrade kit</t>
      </text>
    </comment>
    <comment authorId="0" ref="AE150">
      <text>
        <t xml:space="preserve">with LGA1700 upgrade kit</t>
      </text>
    </comment>
    <comment authorId="0" ref="AE154">
      <text>
        <t xml:space="preserve">with LGA1700 upgrade kit</t>
      </text>
    </comment>
    <comment authorId="0" ref="AE161">
      <text>
        <t xml:space="preserve">with LGA1700 upgrade kit</t>
      </text>
    </comment>
    <comment authorId="0" ref="AE163">
      <text>
        <t xml:space="preserve">with LGA1700 upgrade kit</t>
      </text>
    </comment>
    <comment authorId="0" ref="AE164">
      <text>
        <t xml:space="preserve">with LGA1700 upgrade kit</t>
      </text>
    </comment>
    <comment authorId="0" ref="AE165">
      <text>
        <t xml:space="preserve">with LGA1700 upgrade kit</t>
      </text>
    </comment>
    <comment authorId="0" ref="AE168">
      <text>
        <t xml:space="preserve">with LGA1700 upgrade kit</t>
      </text>
    </comment>
    <comment authorId="0" ref="AE169">
      <text>
        <t xml:space="preserve">with LGA1700 upgrade kit</t>
      </text>
    </comment>
    <comment authorId="0" ref="AE181">
      <text>
        <t xml:space="preserve">with LGA1700 mounting kit</t>
      </text>
    </comment>
    <comment authorId="0" ref="AE182">
      <text>
        <t xml:space="preserve">with LGA1700 mounting kit</t>
      </text>
    </comment>
    <comment authorId="0" ref="J183">
      <text>
        <t xml:space="preserve">Tubes from top of CPU block</t>
      </text>
    </comment>
    <comment authorId="0" ref="AE184">
      <text>
        <t xml:space="preserve">with LGA1700 mounting kit</t>
      </text>
    </comment>
    <comment authorId="0" ref="AE186">
      <text>
        <t xml:space="preserve">with LGA1700 mounting kit</t>
      </text>
    </comment>
    <comment authorId="0" ref="AE187">
      <text>
        <t xml:space="preserve">with LGA1700 mounting kit</t>
      </text>
    </comment>
    <comment authorId="0" ref="AE189">
      <text>
        <t xml:space="preserve">with LGA1700 mounting kit</t>
      </text>
    </comment>
    <comment authorId="0" ref="AE191">
      <text>
        <t xml:space="preserve">with LGA1700 mounting kit</t>
      </text>
    </comment>
    <comment authorId="0" ref="AE199">
      <text>
        <t xml:space="preserve">with LGA1700 mounting kit</t>
      </text>
    </comment>
    <comment authorId="0" ref="AE204">
      <text>
        <t xml:space="preserve">with LGA1700 mounting kit</t>
      </text>
    </comment>
    <comment authorId="0" ref="J224">
      <text>
        <t xml:space="preserve">52.8mm without fan
116.2mm with fan</t>
      </text>
    </comment>
    <comment authorId="0" ref="J225">
      <text>
        <t xml:space="preserve">52.8mm without fan
116.2mm with fan</t>
      </text>
    </comment>
    <comment authorId="0" ref="J226">
      <text>
        <t xml:space="preserve">52.8mm without fan
116.2mm with fan</t>
      </text>
    </comment>
    <comment authorId="0" ref="AE292">
      <text>
        <t xml:space="preserve">with upgrade kit</t>
      </text>
    </comment>
    <comment authorId="0" ref="AE293">
      <text>
        <t xml:space="preserve">with upgrade kit</t>
      </text>
    </comment>
    <comment authorId="0" ref="AE294">
      <text>
        <t xml:space="preserve">with upgrade kit</t>
      </text>
    </comment>
    <comment authorId="0" ref="AE295">
      <text>
        <t xml:space="preserve">with upgrade kit</t>
      </text>
    </comment>
    <comment authorId="0" ref="AE296">
      <text>
        <t xml:space="preserve">with upgrade kit</t>
      </text>
    </comment>
    <comment authorId="0" ref="AE297">
      <text>
        <t xml:space="preserve">with upgrade kit</t>
      </text>
    </comment>
    <comment authorId="0" ref="AE298">
      <text>
        <t xml:space="preserve">with upgrade kit</t>
      </text>
    </comment>
    <comment authorId="0" ref="AE299">
      <text>
        <t xml:space="preserve">with upgrade kit</t>
      </text>
    </comment>
    <comment authorId="0" ref="J326">
      <text>
        <t xml:space="preserve">Tubes from top of CPU block</t>
      </text>
    </comment>
    <comment authorId="0" ref="J327">
      <text>
        <t xml:space="preserve">Tubes from top of CPU block</t>
      </text>
    </comment>
    <comment authorId="0" ref="J328">
      <text>
        <t xml:space="preserve">Tubes from top of CPU block</t>
      </text>
    </comment>
    <comment authorId="0" ref="J329">
      <text>
        <t xml:space="preserve">Tubes from top of CPU block</t>
      </text>
    </comment>
    <comment authorId="0" ref="J330">
      <text>
        <t xml:space="preserve">Tubes from top of CPU block</t>
      </text>
    </comment>
    <comment authorId="0" ref="J334">
      <text>
        <t xml:space="preserve">Tubes from top of CPU block</t>
      </text>
    </comment>
    <comment authorId="0" ref="AE334">
      <text>
        <t xml:space="preserve">With upgrade kit</t>
      </text>
    </comment>
    <comment authorId="0" ref="J335">
      <text>
        <t xml:space="preserve">Tubes from top of CPU block</t>
      </text>
    </comment>
    <comment authorId="0" ref="AE335">
      <text>
        <t xml:space="preserve">With upgrade kit</t>
      </text>
    </comment>
    <comment authorId="0" ref="AE336">
      <text>
        <t xml:space="preserve">With upgrade kit</t>
      </text>
    </comment>
    <comment authorId="0" ref="AE337">
      <text>
        <t xml:space="preserve">With upgrade kit</t>
      </text>
    </comment>
    <comment authorId="0" ref="AE338">
      <text>
        <t xml:space="preserve">With upgrade kit</t>
      </text>
    </comment>
    <comment authorId="0" ref="AE339">
      <text>
        <t xml:space="preserve">With upgrade kit</t>
      </text>
    </comment>
    <comment authorId="0" ref="AE340">
      <text>
        <t xml:space="preserve">With upgrade kit</t>
      </text>
    </comment>
    <comment authorId="0" ref="AE341">
      <text>
        <t xml:space="preserve">With upgrade kit</t>
      </text>
    </comment>
    <comment authorId="0" ref="AE342">
      <text>
        <t xml:space="preserve">With upgrade kit</t>
      </text>
    </comment>
    <comment authorId="0" ref="AE343">
      <text>
        <t xml:space="preserve">With upgrade kit</t>
      </text>
    </comment>
    <comment authorId="0" ref="AE344">
      <text>
        <t xml:space="preserve">With upgrade kit</t>
      </text>
    </comment>
    <comment authorId="0" ref="AE345">
      <text>
        <t xml:space="preserve">With upgrade kit</t>
      </text>
    </comment>
    <comment authorId="0" ref="AE346">
      <text>
        <t xml:space="preserve">With upgrade kit</t>
      </text>
    </comment>
    <comment authorId="0" ref="AE347">
      <text>
        <t xml:space="preserve">With upgrade kit</t>
      </text>
    </comment>
    <comment authorId="0" ref="J374">
      <text>
        <t xml:space="preserve">Tubes from top of CPU block</t>
      </text>
    </comment>
    <comment authorId="0" ref="J376">
      <text>
        <t xml:space="preserve">Tubes from top of CPU block</t>
      </text>
    </comment>
    <comment authorId="0" ref="J387">
      <text>
        <t xml:space="preserve">Tubes from top of CPU block</t>
      </text>
    </comment>
    <comment authorId="0" ref="AE467">
      <text>
        <t xml:space="preserve">With mounting kit</t>
      </text>
    </comment>
    <comment authorId="0" ref="AE468">
      <text>
        <t xml:space="preserve">With mounting kit</t>
      </text>
    </comment>
    <comment authorId="0" ref="AE469">
      <text>
        <t xml:space="preserve">With mounting kit</t>
      </text>
    </comment>
    <comment authorId="0" ref="AE470">
      <text>
        <t xml:space="preserve">With mounting kit</t>
      </text>
    </comment>
    <comment authorId="0" ref="AE479">
      <text>
        <t xml:space="preserve">Require upgrade kit</t>
      </text>
    </comment>
    <comment authorId="0" ref="AE483">
      <text>
        <t xml:space="preserve">Require upgrade kit</t>
      </text>
    </comment>
    <comment authorId="0" ref="AE485">
      <text>
        <t xml:space="preserve">Require upgrade kit</t>
      </text>
    </comment>
    <comment authorId="0" ref="AE503">
      <text>
        <t xml:space="preserve">Require upgrade kit</t>
      </text>
    </comment>
    <comment authorId="0" ref="AE505">
      <text>
        <t xml:space="preserve">Require upgrade kit</t>
      </text>
    </comment>
    <comment authorId="0" ref="AE507">
      <text>
        <t xml:space="preserve">Require 1700 bracket</t>
      </text>
    </comment>
    <comment authorId="0" ref="AE520">
      <text>
        <t xml:space="preserve">Require 1700 bracket</t>
      </text>
    </comment>
    <comment authorId="0" ref="AE521">
      <text>
        <t xml:space="preserve">Require 1700 bracket</t>
      </text>
    </comment>
    <comment authorId="0" ref="AE522">
      <text>
        <t xml:space="preserve">Require 1700 bracket</t>
      </text>
    </comment>
    <comment authorId="0" ref="AE523">
      <text>
        <t xml:space="preserve">Require 1700 bracket</t>
      </text>
    </comment>
    <comment authorId="0" ref="AE524">
      <text>
        <t xml:space="preserve">Require 1700 bracket</t>
      </text>
    </comment>
    <comment authorId="0" ref="AE525">
      <text>
        <t xml:space="preserve">Require 1700 bracket</t>
      </text>
    </comment>
    <comment authorId="0" ref="AE526">
      <text>
        <t xml:space="preserve">Require 1700 bracket</t>
      </text>
    </comment>
    <comment authorId="0" ref="AE527">
      <text>
        <t xml:space="preserve">Require 1700 bracket</t>
      </text>
    </comment>
    <comment authorId="0" ref="AE528">
      <text>
        <t xml:space="preserve">Require 1700 bracket</t>
      </text>
    </comment>
    <comment authorId="0" ref="AE529">
      <text>
        <t xml:space="preserve">Require 1700 bracket</t>
      </text>
    </comment>
    <comment authorId="0" ref="AE530">
      <text>
        <t xml:space="preserve">Require 1700 bracket</t>
      </text>
    </comment>
    <comment authorId="0" ref="AE531">
      <text>
        <t xml:space="preserve">Require 1700 bracket</t>
      </text>
    </comment>
    <comment authorId="0" ref="AE532">
      <text>
        <t xml:space="preserve">Require 1700 bracket</t>
      </text>
    </comment>
    <comment authorId="0" ref="AE587">
      <text>
        <t xml:space="preserve">With mounting bracket
V2 includes 1700 bracket in the box</t>
      </text>
    </comment>
    <comment authorId="0" ref="AE588">
      <text>
        <t xml:space="preserve">With mounting bracket
V2 includes 1700 bracket in the box</t>
      </text>
    </comment>
    <comment authorId="0" ref="AE589">
      <text>
        <t xml:space="preserve">With mounting bracket
V2 includes 1700 bracket in the box</t>
      </text>
    </comment>
    <comment authorId="0" ref="AE590">
      <text>
        <t xml:space="preserve">With mounting bracket
V2 includes 1700 bracket in the box</t>
      </text>
    </comment>
    <comment authorId="0" ref="AE591">
      <text>
        <t xml:space="preserve">With mounting bracket
V2 includes 1700 bracket in the box</t>
      </text>
    </comment>
    <comment authorId="0" ref="AE633">
      <text>
        <t xml:space="preserve">With LGA1700-AIO mounting kit</t>
      </text>
    </comment>
    <comment authorId="0" ref="AE635">
      <text>
        <t xml:space="preserve">With LGA1700-AIO mounting kit</t>
      </text>
    </comment>
    <comment authorId="0" ref="AE636">
      <text>
        <t xml:space="preserve">With LGA1700-AIO mounting kit</t>
      </text>
    </comment>
    <comment authorId="0" ref="AE637">
      <text>
        <t xml:space="preserve">With LGA1700-AIO mounting kit</t>
      </text>
    </comment>
    <comment authorId="0" ref="AE641">
      <text>
        <t xml:space="preserve">With LGA1700-AIO mounting kit</t>
      </text>
    </comment>
    <comment authorId="0" ref="AE645">
      <text>
        <t xml:space="preserve">With LGA1700-AIO mounting kit</t>
      </text>
    </comment>
    <comment authorId="0" ref="AE646">
      <text>
        <t xml:space="preserve">With LGA1700-AIO mounting kit</t>
      </text>
    </comment>
    <comment authorId="0" ref="AE647">
      <text>
        <t xml:space="preserve">With LGA1700-AIO mounting kit</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K1">
      <text>
        <t xml:space="preserve">PWM = 4-pin
DC = 3-pin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VLP height = 18.75mm
Standard height = 31.25mm</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B5">
      <text>
        <t xml:space="preserve">AliExpress Link:
https://www.aliexpress.com/item/1005001950034681.html
Taobao Link:
https://item.taobao.com/item.htm?id=635062530455</t>
      </text>
    </comment>
    <comment authorId="0" ref="B6">
      <text>
        <t xml:space="preserve">AliExpress Link:
https://www.aliexpress.com/item/1005001953283381.html
Taobao Link:
https://item.taobao.com/item.htm?id=635431923650</t>
      </text>
    </comment>
    <comment authorId="0" ref="B7">
      <text>
        <t xml:space="preserve">Aliexpress Link:
https://www.aliexpress.com/item/1005003944561532.html
Taobao Link:
https://item.taobao.com/item.htm?id=561003619490</t>
      </text>
    </comment>
    <comment authorId="0" ref="B8">
      <text>
        <t xml:space="preserve">Aliexpress Link:
https://www.aliexpress.com/item/1005003944561532.html
Taobao Link:
https://item.taobao.com/item.htm?id=561003619490</t>
      </text>
    </comment>
    <comment authorId="0" ref="B9">
      <text>
        <t xml:space="preserve">AliExpress Link:
https://www.aliexpress.com/item/4000695605714.html
Taobao Link:
https://item.taobao.com/item.htm?id=606812379312</t>
      </text>
    </comment>
    <comment authorId="0" ref="B10">
      <text>
        <t xml:space="preserve">Aliexpress Link:
https://www.aliexpress.com/item/1005002770894980.html
Taobao Link:
https://item.taobao.com/item.htm?id=561003619490</t>
      </text>
    </comment>
    <comment authorId="0" ref="B11">
      <text>
        <t xml:space="preserve">Aliexpress Link:
https://www.aliexpress.com/item/1005002770894980.html
Taobao Link:
https://item.taobao.com/item.htm?id=561003619490</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K1">
      <text>
        <t xml:space="preserve">The listed TDP is based on official specification of the chip. Each card  may have a custom TDP depending on the brand and cooler models</t>
      </text>
    </comment>
    <comment authorId="0" ref="L1">
      <text>
        <t xml:space="preserve">PCIe Slot = 75W
6-pin = 75W
8-pin = 150W
12+4-pin / 12VHPWR = 600W</t>
      </text>
    </comment>
    <comment authorId="0" ref="L465">
      <text>
        <t xml:space="preserve">Include 8pin to 12pin adapter</t>
      </text>
    </comment>
    <comment authorId="0" ref="L514">
      <text>
        <t xml:space="preserve">Includes 3x8pin to 12+4pin adapter</t>
      </text>
    </comment>
    <comment authorId="0" ref="L515">
      <text>
        <t xml:space="preserve">Includes 3x8pin to 12+4pin adapter</t>
      </text>
    </comment>
    <comment authorId="0" ref="L516">
      <text>
        <t xml:space="preserve">Includes 4x8pin to 12+4pin adapter</t>
      </text>
    </comment>
    <comment authorId="0" ref="L517">
      <text>
        <t xml:space="preserve">Includes 4x8pin to 12+4pin adapter</t>
      </text>
    </comment>
    <comment authorId="0" ref="L518">
      <text>
        <t xml:space="preserve">Includes 4x8pin to 12+4pin adapter</t>
      </text>
    </comment>
    <comment authorId="0" ref="L519">
      <text>
        <t xml:space="preserve">Includes 4x8pin to 12+4pin adapter</t>
      </text>
    </comment>
  </commentLi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1">
      <text>
        <t xml:space="preserve">The listed TDP is based on official specification of the chip. Each card  may have a custom TDP depending on the brand and cooler models</t>
      </text>
    </comment>
    <comment authorId="0" ref="L1">
      <text>
        <t xml:space="preserve">PCIe Slot = 75W
6-pin = 75W
8-pin = 150W
12+4-pin / 12VHPWR / 12V-2x6 = 600W</t>
      </text>
    </comment>
    <comment authorId="0" ref="N1399">
      <text>
        <t xml:space="preserve">2 Mini DisplayPort + 1 DisplayPort</t>
      </text>
    </comment>
    <comment authorId="0" ref="L1777">
      <text>
        <t xml:space="preserve">Includes 8pin to 12pin adapter</t>
      </text>
    </comment>
    <comment authorId="0" ref="L1835">
      <text>
        <t xml:space="preserve">Includes 8pin to 12pin adapter</t>
      </text>
    </comment>
    <comment authorId="0" ref="L1863">
      <text>
        <t xml:space="preserve">Includes 8pin to 12pin adapter</t>
      </text>
    </comment>
    <comment authorId="0" ref="L1978">
      <text>
        <t xml:space="preserve">Includes 8pin to 12pin adapter</t>
      </text>
    </comment>
    <comment authorId="0" ref="L2006">
      <text>
        <t xml:space="preserve">Includes 8pin to 12pin adapter</t>
      </text>
    </comment>
    <comment authorId="0" ref="L2019">
      <text>
        <t xml:space="preserve">Includes 8pin to 12pin adapter</t>
      </text>
    </comment>
    <comment authorId="0" ref="L2020">
      <text>
        <t xml:space="preserve">Includes 8pin to 12pin adapter</t>
      </text>
    </comment>
    <comment authorId="0" ref="L2049">
      <text>
        <t xml:space="preserve">Includes 2x8pin to 12pin adapter</t>
      </text>
    </comment>
    <comment authorId="0" ref="L2050">
      <text>
        <t xml:space="preserve">Includes 2x8pin to 12pin adapter</t>
      </text>
    </comment>
    <comment authorId="0" ref="L2106">
      <text>
        <t xml:space="preserve">Includes 2x8pin to 12pin adapter</t>
      </text>
    </comment>
    <comment authorId="0" ref="L2110">
      <text>
        <t xml:space="preserve">Includes 2x8pin to 12pin adapter</t>
      </text>
    </comment>
    <comment authorId="0" ref="L2289">
      <text>
        <t xml:space="preserve">Includes 2x8pin to 12pin adapter</t>
      </text>
    </comment>
    <comment authorId="0" ref="L2448">
      <text>
        <t xml:space="preserve">Includes 2x8pin to 12pin adapter</t>
      </text>
    </comment>
    <comment authorId="0" ref="L2551">
      <text>
        <t xml:space="preserve">Includes 2x8pin to 12pin adapter</t>
      </text>
    </comment>
    <comment authorId="0" ref="L2566">
      <text>
        <t xml:space="preserve">Includes 3x8pin to 12+4pin adapter</t>
      </text>
    </comment>
    <comment authorId="0" ref="L2567">
      <text>
        <t xml:space="preserve">Includes 3x8pin to 12+4pin adapter</t>
      </text>
    </comment>
    <comment authorId="0" ref="L2568">
      <text>
        <t xml:space="preserve">Includes 3x8pin to 12+4pin adapter</t>
      </text>
    </comment>
    <comment authorId="0" ref="L2569">
      <text>
        <t xml:space="preserve">Includes 3x8pin to 12+4pin adapter</t>
      </text>
    </comment>
    <comment authorId="0" ref="L2570">
      <text>
        <t xml:space="preserve">Includes 3x8pin to 12+4pin adapter</t>
      </text>
    </comment>
    <comment authorId="0" ref="L2571">
      <text>
        <t xml:space="preserve">Includes 3x8pin to 12+4pin adapter</t>
      </text>
    </comment>
    <comment authorId="0" ref="L2572">
      <text>
        <t xml:space="preserve">Includes 3x8pin to 12+4pin adapter</t>
      </text>
    </comment>
    <comment authorId="0" ref="L2573">
      <text>
        <t xml:space="preserve">Includes 3x8pin to 12+4pin adapter</t>
      </text>
    </comment>
    <comment authorId="0" ref="L2574">
      <text>
        <t xml:space="preserve">Includes 3x8pin to 12+4pin adapter</t>
      </text>
    </comment>
    <comment authorId="0" ref="L2575">
      <text>
        <t xml:space="preserve">Includes 3x8pin to 12+4pin adapter</t>
      </text>
    </comment>
    <comment authorId="0" ref="L2576">
      <text>
        <t xml:space="preserve">Includes 3x8pin to 12+4pin adapter</t>
      </text>
    </comment>
    <comment authorId="0" ref="L2577">
      <text>
        <t xml:space="preserve">Includes 3x8pin to 12+4pin adapter</t>
      </text>
    </comment>
    <comment authorId="0" ref="L2578">
      <text>
        <t xml:space="preserve">Includes 3x8pin to 12+4pin adapter</t>
      </text>
    </comment>
    <comment authorId="0" ref="L2579">
      <text>
        <t xml:space="preserve">Includes 3x8pin to 12+4pin adapter</t>
      </text>
    </comment>
    <comment authorId="0" ref="L2580">
      <text>
        <t xml:space="preserve">Includes 3x8pin to 12+4pin adapter</t>
      </text>
    </comment>
    <comment authorId="0" ref="L2581">
      <text>
        <t xml:space="preserve">Includes 3x8pin to 12+4pin adapter</t>
      </text>
    </comment>
    <comment authorId="0" ref="L2582">
      <text>
        <t xml:space="preserve">Includes 3x8pin to 12+4pin adapter</t>
      </text>
    </comment>
    <comment authorId="0" ref="L2583">
      <text>
        <t xml:space="preserve">Includes 3x8pin to 12+4pin adapter</t>
      </text>
    </comment>
    <comment authorId="0" ref="L2584">
      <text>
        <t xml:space="preserve">Includes 3x8pin to 12+4pin adapter</t>
      </text>
    </comment>
    <comment authorId="0" ref="L2585">
      <text>
        <t xml:space="preserve">Includes 3x8pin to 12+4pin adapter</t>
      </text>
    </comment>
    <comment authorId="0" ref="L2586">
      <text>
        <t xml:space="preserve">Includes 3x8pin to 12+4pin adapter</t>
      </text>
    </comment>
    <comment authorId="0" ref="L2587">
      <text>
        <t xml:space="preserve">Includes 3x8pin to 12+4pin adapter</t>
      </text>
    </comment>
    <comment authorId="0" ref="L2588">
      <text>
        <t xml:space="preserve">Includes 3x8pin to 12+4pin adapter</t>
      </text>
    </comment>
    <comment authorId="0" ref="L2589">
      <text>
        <t xml:space="preserve">Includes 3x8pin to 12+4pin adapter</t>
      </text>
    </comment>
    <comment authorId="0" ref="L2590">
      <text>
        <t xml:space="preserve">Includes 3x8pin to 12+4pin adapter</t>
      </text>
    </comment>
    <comment authorId="0" ref="L2591">
      <text>
        <t xml:space="preserve">Includes 3x8pin to 12+4pin adapter</t>
      </text>
    </comment>
    <comment authorId="0" ref="L2592">
      <text>
        <t xml:space="preserve">Includes 3x8pin to 12+4pin adapter</t>
      </text>
    </comment>
    <comment authorId="0" ref="L2593">
      <text>
        <t xml:space="preserve">Includes 3x8pin to 12+4pin adapter</t>
      </text>
    </comment>
    <comment authorId="0" ref="L2594">
      <text>
        <t xml:space="preserve">Includes 3x8pin to 12+4pin adapter</t>
      </text>
    </comment>
    <comment authorId="0" ref="L2595">
      <text>
        <t xml:space="preserve">Includes 3x8pin to 12+4pin adapter</t>
      </text>
    </comment>
    <comment authorId="0" ref="L2596">
      <text>
        <t xml:space="preserve">Includes 3x8pin to 12+4pin adapter</t>
      </text>
    </comment>
    <comment authorId="0" ref="L2597">
      <text>
        <t xml:space="preserve">Includes 3x8pin to 12+4pin adapter</t>
      </text>
    </comment>
    <comment authorId="0" ref="L2598">
      <text>
        <t xml:space="preserve">Includes 3x8pin to 12+4pin adapter</t>
      </text>
    </comment>
    <comment authorId="0" ref="L2599">
      <text>
        <t xml:space="preserve">Includes 3x8pin to 12+4pin adapter</t>
      </text>
    </comment>
    <comment authorId="0" ref="L2600">
      <text>
        <t xml:space="preserve">Includes 3x8pin to 12+4pin adapter</t>
      </text>
    </comment>
    <comment authorId="0" ref="L2601">
      <text>
        <t xml:space="preserve">Includes 3x8pin to 12+4pin adapter</t>
      </text>
    </comment>
    <comment authorId="0" ref="L2602">
      <text>
        <t xml:space="preserve">Includes 3x8pin to 12+4pin adapter</t>
      </text>
    </comment>
    <comment authorId="0" ref="L2603">
      <text>
        <t xml:space="preserve">Includes 3x8pin to 12+4pin adapter</t>
      </text>
    </comment>
    <comment authorId="0" ref="L2604">
      <text>
        <t xml:space="preserve">Includes 3x8pin to 12+4pin adapter</t>
      </text>
    </comment>
    <comment authorId="0" ref="L2605">
      <text>
        <t xml:space="preserve">Includes 3x8pin to 12+4pin adapter</t>
      </text>
    </comment>
    <comment authorId="0" ref="L2738">
      <text>
        <t xml:space="preserve">Includes 8pin to 12+4pin adapter</t>
      </text>
    </comment>
    <comment authorId="0" ref="L2813">
      <text>
        <t xml:space="preserve">Includes 2x8pin to 12+4pin adapter</t>
      </text>
    </comment>
    <comment authorId="0" ref="L2814">
      <text>
        <t xml:space="preserve">Includes 2x8pin to 12+4pin adapter</t>
      </text>
    </comment>
    <comment authorId="0" ref="L2819">
      <text>
        <t xml:space="preserve">Includes 2x8pin to 12+4pin adapter</t>
      </text>
    </comment>
    <comment authorId="0" ref="L2820">
      <text>
        <t xml:space="preserve">Includes 2x8pin to 12+4pin adapter</t>
      </text>
    </comment>
    <comment authorId="0" ref="L2821">
      <text>
        <t xml:space="preserve">Includes 2x8pin to 12+4pin adapter</t>
      </text>
    </comment>
    <comment authorId="0" ref="L2830">
      <text>
        <t xml:space="preserve">Includes 2x8pin to 12+4pin adapter</t>
      </text>
    </comment>
    <comment authorId="0" ref="L2831">
      <text>
        <t xml:space="preserve">Includes 2x8pin to 12+4pin adapter</t>
      </text>
    </comment>
    <comment authorId="0" ref="L2832">
      <text>
        <t xml:space="preserve">Includes 2x8pin to 12+4pin adapter</t>
      </text>
    </comment>
    <comment authorId="0" ref="L2846">
      <text>
        <t xml:space="preserve">Includes 2x8pin to 12+4pin adapter</t>
      </text>
    </comment>
    <comment authorId="0" ref="L2847">
      <text>
        <t xml:space="preserve">Includes 2x8pin to 12+4pin adapter</t>
      </text>
    </comment>
    <comment authorId="0" ref="L2849">
      <text>
        <t xml:space="preserve">Includes 2x8pin to 12+4pin adapter</t>
      </text>
    </comment>
    <comment authorId="0" ref="L2850">
      <text>
        <t xml:space="preserve">Includes 2x8pin to 12+4pin adapter</t>
      </text>
    </comment>
    <comment authorId="0" ref="L2852">
      <text>
        <t xml:space="preserve">Includes 2x8pin to 12+4pin adapter</t>
      </text>
    </comment>
    <comment authorId="0" ref="L2857">
      <text>
        <t xml:space="preserve">Includes 2x8pin to 12+4pin adapter</t>
      </text>
    </comment>
    <comment authorId="0" ref="L2862">
      <text>
        <t xml:space="preserve">Includes 2x8pin to 12+4pin adapter</t>
      </text>
    </comment>
    <comment authorId="0" ref="L2864">
      <text>
        <t xml:space="preserve">Includes 2x8pin to 12+4pin adapter</t>
      </text>
    </comment>
    <comment authorId="0" ref="L2875">
      <text>
        <t xml:space="preserve">Includes 2x8pin to 12+4pin adapter</t>
      </text>
    </comment>
    <comment authorId="0" ref="L2876">
      <text>
        <t xml:space="preserve">Includes 2x8pin to 12+4pin adapter</t>
      </text>
    </comment>
    <comment authorId="0" ref="L2877">
      <text>
        <t xml:space="preserve">Includes 2x8pin to 12+4pin adapter</t>
      </text>
    </comment>
    <comment authorId="0" ref="L2878">
      <text>
        <t xml:space="preserve">Includes 2x8pin to 12+4pin adapter</t>
      </text>
    </comment>
    <comment authorId="0" ref="L2879">
      <text>
        <t xml:space="preserve">Includes 2x8pin to 12+4pin adapter</t>
      </text>
    </comment>
    <comment authorId="0" ref="L2880">
      <text>
        <t xml:space="preserve">Includes 2x8pin to 12+4pin adapter</t>
      </text>
    </comment>
    <comment authorId="0" ref="L2881">
      <text>
        <t xml:space="preserve">Includes 2x8pin to 12+4pin adapter</t>
      </text>
    </comment>
    <comment authorId="0" ref="L2886">
      <text>
        <t xml:space="preserve">Includes 2x8pin to 12+4pin adapter</t>
      </text>
    </comment>
    <comment authorId="0" ref="L2887">
      <text>
        <t xml:space="preserve">Includes 2x8pin to 12+4pin adapter</t>
      </text>
    </comment>
    <comment authorId="0" ref="L2893">
      <text>
        <t xml:space="preserve">Includes 2x8pin to 12+4pin adapter</t>
      </text>
    </comment>
    <comment authorId="0" ref="L2895">
      <text>
        <t xml:space="preserve">Includes 2x8pin to 12+4pin adapter</t>
      </text>
    </comment>
    <comment authorId="0" ref="L2896">
      <text>
        <t xml:space="preserve">Includes 2x8pin to 12+4pin adapter</t>
      </text>
    </comment>
    <comment authorId="0" ref="L2900">
      <text>
        <t xml:space="preserve">Includes 2x8pin to 12+4pin adapter</t>
      </text>
    </comment>
    <comment authorId="0" ref="L2901">
      <text>
        <t xml:space="preserve">Includes 2x8pin to 12+4pin adapter</t>
      </text>
    </comment>
    <comment authorId="0" ref="L2902">
      <text>
        <t xml:space="preserve">Includes 2x8pin to 12+4pin adapter</t>
      </text>
    </comment>
    <comment authorId="0" ref="L2903">
      <text>
        <t xml:space="preserve">Includes 2x8pin to 12+4pin adapter</t>
      </text>
    </comment>
    <comment authorId="0" ref="L2904">
      <text>
        <t xml:space="preserve">Includes 2x8pin to 12+4pin adapter</t>
      </text>
    </comment>
    <comment authorId="0" ref="L2905">
      <text>
        <t xml:space="preserve">Includes 2x8pin to 12+4pin adapter</t>
      </text>
    </comment>
    <comment authorId="0" ref="L2906">
      <text>
        <t xml:space="preserve">Includes 2x8pin to 12+4pin adapter</t>
      </text>
    </comment>
    <comment authorId="0" ref="L2907">
      <text>
        <t xml:space="preserve">Includes 2x8pin to 12+4pin adapter</t>
      </text>
    </comment>
    <comment authorId="0" ref="L2908">
      <text>
        <t xml:space="preserve">Includes 2x8pin to 12+4pin adapter</t>
      </text>
    </comment>
    <comment authorId="0" ref="L2909">
      <text>
        <t xml:space="preserve">Includes 2x8pin to 12+4pin adapter</t>
      </text>
    </comment>
    <comment authorId="0" ref="L2910">
      <text>
        <t xml:space="preserve">Includes 2x8pin to 12+4pin adapter</t>
      </text>
    </comment>
    <comment authorId="0" ref="L2911">
      <text>
        <t xml:space="preserve">Includes 2x8pin to 12+4pin adapter</t>
      </text>
    </comment>
    <comment authorId="0" ref="L2912">
      <text>
        <t xml:space="preserve">Includes 2x8pin to 12+4pin adapter</t>
      </text>
    </comment>
    <comment authorId="0" ref="L2913">
      <text>
        <t xml:space="preserve">Includes 2x8pin to 12+4pin adapter</t>
      </text>
    </comment>
    <comment authorId="0" ref="L2914">
      <text>
        <t xml:space="preserve">Includes 2x8pin to 12+4pin adapter</t>
      </text>
    </comment>
    <comment authorId="0" ref="L2915">
      <text>
        <t xml:space="preserve">Includes 2x8pin to 12+4pin adapter</t>
      </text>
    </comment>
    <comment authorId="0" ref="L2916">
      <text>
        <t xml:space="preserve">Includes 2x8pin to 12+4pin adapter</t>
      </text>
    </comment>
    <comment authorId="0" ref="L2917">
      <text>
        <t xml:space="preserve">Includes 2x8pin to 12+4pin adapter</t>
      </text>
    </comment>
    <comment authorId="0" ref="L2918">
      <text>
        <t xml:space="preserve">Includes 2x8pin to 12+4pin adapter</t>
      </text>
    </comment>
    <comment authorId="0" ref="L2919">
      <text>
        <t xml:space="preserve">Includes 2x8pin to 12+4pin adapter</t>
      </text>
    </comment>
    <comment authorId="0" ref="L2920">
      <text>
        <t xml:space="preserve">Includes 2x8pin to 12+4pin adapter</t>
      </text>
    </comment>
    <comment authorId="0" ref="L2921">
      <text>
        <t xml:space="preserve">Includes 2x8pin to 12+4pin adapter</t>
      </text>
    </comment>
    <comment authorId="0" ref="L2922">
      <text>
        <t xml:space="preserve">Includes 2x8pin to 12+4pin adapter</t>
      </text>
    </comment>
    <comment authorId="0" ref="L2923">
      <text>
        <t xml:space="preserve">Includes 2x8pin to 12+4pin adapter</t>
      </text>
    </comment>
    <comment authorId="0" ref="L2924">
      <text>
        <t xml:space="preserve">Includes 2x8pin to 12+4pin adapter</t>
      </text>
    </comment>
    <comment authorId="0" ref="L2925">
      <text>
        <t xml:space="preserve">Includes 2x8pin to 12+4pin adapter</t>
      </text>
    </comment>
    <comment authorId="0" ref="L2926">
      <text>
        <t xml:space="preserve">Includes 2x8pin to 12+4pin adapter</t>
      </text>
    </comment>
    <comment authorId="0" ref="L2927">
      <text>
        <t xml:space="preserve">Includes 2x8pin to 12+4pin adapter</t>
      </text>
    </comment>
    <comment authorId="0" ref="L2928">
      <text>
        <t xml:space="preserve">Includes 2x8pin to 12+4pin adapter</t>
      </text>
    </comment>
    <comment authorId="0" ref="L2929">
      <text>
        <t xml:space="preserve">Includes 2x8pin to 12+4pin adapter</t>
      </text>
    </comment>
    <comment authorId="0" ref="L2930">
      <text>
        <t xml:space="preserve">Includes 2x8pin to 12+4pin adapter</t>
      </text>
    </comment>
    <comment authorId="0" ref="L2931">
      <text>
        <t xml:space="preserve">Includes 2x8pin to 12+4pin adapter</t>
      </text>
    </comment>
    <comment authorId="0" ref="L2932">
      <text>
        <t xml:space="preserve">Includes 2x8pin to 12+4pin adapter</t>
      </text>
    </comment>
    <comment authorId="0" ref="L2933">
      <text>
        <t xml:space="preserve">Includes 2x8pin to 12+4pin adapter</t>
      </text>
    </comment>
    <comment authorId="0" ref="L2934">
      <text>
        <t xml:space="preserve">Includes 2x8pin to 12+4pin adapter</t>
      </text>
    </comment>
    <comment authorId="0" ref="L2935">
      <text>
        <t xml:space="preserve">Includes 2x8pin to 12+4pin adapter</t>
      </text>
    </comment>
    <comment authorId="0" ref="L2936">
      <text>
        <t xml:space="preserve">Includes 2x8pin to 12+4pin adapter</t>
      </text>
    </comment>
    <comment authorId="0" ref="L2937">
      <text>
        <t xml:space="preserve">Includes 2x8pin to 12+4pin adapter</t>
      </text>
    </comment>
    <comment authorId="0" ref="L2938">
      <text>
        <t xml:space="preserve">Includes 2x8pin to 12+4pin adapter</t>
      </text>
    </comment>
    <comment authorId="0" ref="L2939">
      <text>
        <t xml:space="preserve">Includes 2x8pin to 12+4pin adapter</t>
      </text>
    </comment>
    <comment authorId="0" ref="L2940">
      <text>
        <t xml:space="preserve">Includes 2x8pin to 12+4pin adapter</t>
      </text>
    </comment>
    <comment authorId="0" ref="L2941">
      <text>
        <t xml:space="preserve">Includes 2x8pin to 12+4pin adapter</t>
      </text>
    </comment>
    <comment authorId="0" ref="L2942">
      <text>
        <t xml:space="preserve">Includes 2x8pin to 12+4pin adapter</t>
      </text>
    </comment>
    <comment authorId="0" ref="L2943">
      <text>
        <t xml:space="preserve">Includes 2x8pin to 12+4pin adapter</t>
      </text>
    </comment>
    <comment authorId="0" ref="L2944">
      <text>
        <t xml:space="preserve">Includes 2x8pin to 12+4pin adapter</t>
      </text>
    </comment>
    <comment authorId="0" ref="L2945">
      <text>
        <t xml:space="preserve">Includes 2x8pin to 12+4pin adapter</t>
      </text>
    </comment>
    <comment authorId="0" ref="L2946">
      <text>
        <t xml:space="preserve">Includes 2x8pin to 12+4pin adapter</t>
      </text>
    </comment>
    <comment authorId="0" ref="L2947">
      <text>
        <t xml:space="preserve">Includes 2x8pin to 12+4pin adapter</t>
      </text>
    </comment>
    <comment authorId="0" ref="L2948">
      <text>
        <t xml:space="preserve">Includes 2x8pin to 12+4pin adapter</t>
      </text>
    </comment>
    <comment authorId="0" ref="L2949">
      <text>
        <t xml:space="preserve">Includes 2x8pin to 12+4pin adapter</t>
      </text>
    </comment>
    <comment authorId="0" ref="L2950">
      <text>
        <t xml:space="preserve">Includes 2x8pin to 12+4pin adapter</t>
      </text>
    </comment>
    <comment authorId="0" ref="L2951">
      <text>
        <t xml:space="preserve">Includes 2x8pin to 12+4pin adapter</t>
      </text>
    </comment>
    <comment authorId="0" ref="L2952">
      <text>
        <t xml:space="preserve">Includes 2x8pin to 12+4pin adapter</t>
      </text>
    </comment>
    <comment authorId="0" ref="L2953">
      <text>
        <t xml:space="preserve">Includes 2x8pin to 12+4pin adapter</t>
      </text>
    </comment>
    <comment authorId="0" ref="L2954">
      <text>
        <t xml:space="preserve">Includes 2x8pin to 12+4pin adapter</t>
      </text>
    </comment>
    <comment authorId="0" ref="L2955">
      <text>
        <t xml:space="preserve">Includes 2x8pin to 12+4pin adapter</t>
      </text>
    </comment>
    <comment authorId="0" ref="L2956">
      <text>
        <t xml:space="preserve">Includes 2x8pin to 12+4pin adapter</t>
      </text>
    </comment>
    <comment authorId="0" ref="L2957">
      <text>
        <t xml:space="preserve">Includes 2x8pin to 12+4pin adapter</t>
      </text>
    </comment>
    <comment authorId="0" ref="L2958">
      <text>
        <t xml:space="preserve">Includes 2x8pin to 12+4pin adapter</t>
      </text>
    </comment>
    <comment authorId="0" ref="L2959">
      <text>
        <t xml:space="preserve">Includes 2x8pin to 12+4pin adapter</t>
      </text>
    </comment>
    <comment authorId="0" ref="L2960">
      <text>
        <t xml:space="preserve">Includes 2x8pin to 12+4pin adapter</t>
      </text>
    </comment>
    <comment authorId="0" ref="L2961">
      <text>
        <t xml:space="preserve">Includes 2x8pin to 12+4pin adapter</t>
      </text>
    </comment>
    <comment authorId="0" ref="L2962">
      <text>
        <t xml:space="preserve">Includes 2x8pin to 12+4pin adapter</t>
      </text>
    </comment>
    <comment authorId="0" ref="L2963">
      <text>
        <t xml:space="preserve">Includes 2x8pin to 12+4pin adapter</t>
      </text>
    </comment>
    <comment authorId="0" ref="L2964">
      <text>
        <t xml:space="preserve">Includes 2x8pin to 12+4pin adapter</t>
      </text>
    </comment>
    <comment authorId="0" ref="L2965">
      <text>
        <t xml:space="preserve">Includes 2x8pin to 12+4pin adapter</t>
      </text>
    </comment>
    <comment authorId="0" ref="L2966">
      <text>
        <t xml:space="preserve">Includes 2x8pin to 12+4pin adapter</t>
      </text>
    </comment>
    <comment authorId="0" ref="L2967">
      <text>
        <t xml:space="preserve">Includes 2x8pin to 12+4pin adapter</t>
      </text>
    </comment>
    <comment authorId="0" ref="L2968">
      <text>
        <t xml:space="preserve">Includes 2x8pin to 12+4pin adapter</t>
      </text>
    </comment>
    <comment authorId="0" ref="L2969">
      <text>
        <t xml:space="preserve">Includes 2x8pin to 12+4pin adapter</t>
      </text>
    </comment>
    <comment authorId="0" ref="L2970">
      <text>
        <t xml:space="preserve">Includes 2x8pin to 12+4pin adapter</t>
      </text>
    </comment>
    <comment authorId="0" ref="L2971">
      <text>
        <t xml:space="preserve">Includes 2x8pin to 12+4pin adapter</t>
      </text>
    </comment>
    <comment authorId="0" ref="L2972">
      <text>
        <t xml:space="preserve">Includes 2x8pin to 12+4pin adapter</t>
      </text>
    </comment>
    <comment authorId="0" ref="L2973">
      <text>
        <t xml:space="preserve">Includes 2x8pin to 12+4pin adapter</t>
      </text>
    </comment>
    <comment authorId="0" ref="L2974">
      <text>
        <t xml:space="preserve">Includes 2x8pin to 12+4pin adapter</t>
      </text>
    </comment>
    <comment authorId="0" ref="L2975">
      <text>
        <t xml:space="preserve">Includes 2x8pin to 12+4pin adapter</t>
      </text>
    </comment>
    <comment authorId="0" ref="L2976">
      <text>
        <t xml:space="preserve">Includes 2x8pin to 12+4pin adapter</t>
      </text>
    </comment>
    <comment authorId="0" ref="L2977">
      <text>
        <t xml:space="preserve">Includes 2x8pin to 12+4pin adapter</t>
      </text>
    </comment>
    <comment authorId="0" ref="L2978">
      <text>
        <t xml:space="preserve">Includes 2x8pin to 12+4pin adapter</t>
      </text>
    </comment>
    <comment authorId="0" ref="L2979">
      <text>
        <t xml:space="preserve">Includes 2x8pin to 12+4pin adapter</t>
      </text>
    </comment>
    <comment authorId="0" ref="L2980">
      <text>
        <t xml:space="preserve">Includes 2x8pin to 12+4pin adapter</t>
      </text>
    </comment>
    <comment authorId="0" ref="L2981">
      <text>
        <t xml:space="preserve">Includes 2x8pin to 12+4pin adapter</t>
      </text>
    </comment>
    <comment authorId="0" ref="L2982">
      <text>
        <t xml:space="preserve">Includes 2x8pin to 12+4pin adapter</t>
      </text>
    </comment>
    <comment authorId="0" ref="L2983">
      <text>
        <t xml:space="preserve">Includes 2x8pin to 12+4pin adapter</t>
      </text>
    </comment>
    <comment authorId="0" ref="L2984">
      <text>
        <t xml:space="preserve">Includes 2x8pin to 12+4pin adapter</t>
      </text>
    </comment>
    <comment authorId="0" ref="L2985">
      <text>
        <t xml:space="preserve">Includes 2x8pin to 12+4pin adapter</t>
      </text>
    </comment>
    <comment authorId="0" ref="L2986">
      <text>
        <t xml:space="preserve">Includes 2x8pin to 12+4pin adapter</t>
      </text>
    </comment>
    <comment authorId="0" ref="L2987">
      <text>
        <t xml:space="preserve">Includes 2x8pin to 12+4pin adapter</t>
      </text>
    </comment>
    <comment authorId="0" ref="L2988">
      <text>
        <t xml:space="preserve">Includes 2x8pin to 12+4pin adapter</t>
      </text>
    </comment>
    <comment authorId="0" ref="L2989">
      <text>
        <t xml:space="preserve">Includes 2x8pin to 12+4pin adapter</t>
      </text>
    </comment>
    <comment authorId="0" ref="L2990">
      <text>
        <t xml:space="preserve">Includes 2x8pin to 12+4pin adapter</t>
      </text>
    </comment>
    <comment authorId="0" ref="L2991">
      <text>
        <t xml:space="preserve">Includes 2x8pin to 12+4pin adapter</t>
      </text>
    </comment>
    <comment authorId="0" ref="L2992">
      <text>
        <t xml:space="preserve">Includes 2x8pin to 12+4pin adapter</t>
      </text>
    </comment>
    <comment authorId="0" ref="L2993">
      <text>
        <t xml:space="preserve">Includes 2x8pin to 12+4pin adapter</t>
      </text>
    </comment>
    <comment authorId="0" ref="L2994">
      <text>
        <t xml:space="preserve">Includes 2x8pin to 12+4pin adapter</t>
      </text>
    </comment>
    <comment authorId="0" ref="L2995">
      <text>
        <t xml:space="preserve">Includes 2x8pin to 12+4pin adapter</t>
      </text>
    </comment>
    <comment authorId="0" ref="L2996">
      <text>
        <t xml:space="preserve">Includes 2x8pin to 12+4pin adapter</t>
      </text>
    </comment>
    <comment authorId="0" ref="L2997">
      <text>
        <t xml:space="preserve">Includes 2x8pin to 12+4pin adapter</t>
      </text>
    </comment>
    <comment authorId="0" ref="L2998">
      <text>
        <t xml:space="preserve">Includes 2x8pin to 12+4pin adapter</t>
      </text>
    </comment>
    <comment authorId="0" ref="L2999">
      <text>
        <t xml:space="preserve">Includes 2x8pin to 12+4pin adapter</t>
      </text>
    </comment>
    <comment authorId="0" ref="L3000">
      <text>
        <t xml:space="preserve">Includes 2x8pin to 12+4pin adapter</t>
      </text>
    </comment>
    <comment authorId="0" ref="L3001">
      <text>
        <t xml:space="preserve">Includes 2x8pin to 12+4pin adapter</t>
      </text>
    </comment>
    <comment authorId="0" ref="L3002">
      <text>
        <t xml:space="preserve">Includes 2x8pin to 12+4pin adapter</t>
      </text>
    </comment>
    <comment authorId="0" ref="L3003">
      <text>
        <t xml:space="preserve">Includes 2x8pin to 12+4pin adapter</t>
      </text>
    </comment>
    <comment authorId="0" ref="L3004">
      <text>
        <t xml:space="preserve">Includes 2x8pin to 12+4pin adapter</t>
      </text>
    </comment>
    <comment authorId="0" ref="L3005">
      <text>
        <t xml:space="preserve">Includes 2x8pin to 12+4pin adapter</t>
      </text>
    </comment>
    <comment authorId="0" ref="L3006">
      <text>
        <t xml:space="preserve">Includes 2x8pin to 12+4pin adapter</t>
      </text>
    </comment>
    <comment authorId="0" ref="L3007">
      <text>
        <t xml:space="preserve">Includes 2x8pin to 12+4pin adapter</t>
      </text>
    </comment>
    <comment authorId="0" ref="L3008">
      <text>
        <t xml:space="preserve">Includes 2x8pin to 12+4pin adapter</t>
      </text>
    </comment>
    <comment authorId="0" ref="L3009">
      <text>
        <t xml:space="preserve">Includes 2x8pin to 12+4pin adapter</t>
      </text>
    </comment>
    <comment authorId="0" ref="L3010">
      <text>
        <t xml:space="preserve">Includes 2x8pin to 12+4pin adapter</t>
      </text>
    </comment>
    <comment authorId="0" ref="L3011">
      <text>
        <t xml:space="preserve">Includes 2x8pin to 12+4pin adapter</t>
      </text>
    </comment>
    <comment authorId="0" ref="L3012">
      <text>
        <t xml:space="preserve">Includes 2x8pin to 12+4pin adapter</t>
      </text>
    </comment>
    <comment authorId="0" ref="L3013">
      <text>
        <t xml:space="preserve">Includes 2x8pin to 12+4pin adapter</t>
      </text>
    </comment>
    <comment authorId="0" ref="L3014">
      <text>
        <t xml:space="preserve">Includes 2x8pin to 12+4pin adapter</t>
      </text>
    </comment>
    <comment authorId="0" ref="L3015">
      <text>
        <t xml:space="preserve">Includes 2x8pin to 12+4pin adapter</t>
      </text>
    </comment>
    <comment authorId="0" ref="L3016">
      <text>
        <t xml:space="preserve">Includes 2x8pin to 12+4pin adapter</t>
      </text>
    </comment>
    <comment authorId="0" ref="L3017">
      <text>
        <t xml:space="preserve">Includes 2x8pin to 12+4pin adapter</t>
      </text>
    </comment>
    <comment authorId="0" ref="L3018">
      <text>
        <t xml:space="preserve">Includes 2x8pin to 12+4pin adapter</t>
      </text>
    </comment>
    <comment authorId="0" ref="L3019">
      <text>
        <t xml:space="preserve">Includes 2x8pin to 12+4pin adapter</t>
      </text>
    </comment>
    <comment authorId="0" ref="L3020">
      <text>
        <t xml:space="preserve">Includes 2x8pin to 12+4pin adapter</t>
      </text>
    </comment>
    <comment authorId="0" ref="L3021">
      <text>
        <t xml:space="preserve">Includes 2x8pin to 12+4pin adapter</t>
      </text>
    </comment>
    <comment authorId="0" ref="L3022">
      <text>
        <t xml:space="preserve">Includes 2x8pin to 12+4pin adapter</t>
      </text>
    </comment>
    <comment authorId="0" ref="L3023">
      <text>
        <t xml:space="preserve">Includes 2x8pin to 12+4pin adapter</t>
      </text>
    </comment>
    <comment authorId="0" ref="L3024">
      <text>
        <t xml:space="preserve">Includes 2x8pin to 12+4pin adapter</t>
      </text>
    </comment>
    <comment authorId="0" ref="L3025">
      <text>
        <t xml:space="preserve">Includes 2x8pin to 12+4pin adapter</t>
      </text>
    </comment>
    <comment authorId="0" ref="L3026">
      <text>
        <t xml:space="preserve">Includes 2x8pin to 12+4pin adapter</t>
      </text>
    </comment>
    <comment authorId="0" ref="L3027">
      <text>
        <t xml:space="preserve">Includes 2x8pin to 12+4pin adapter</t>
      </text>
    </comment>
    <comment authorId="0" ref="L3028">
      <text>
        <t xml:space="preserve">Includes 2x8pin to 12+4pin adapter</t>
      </text>
    </comment>
    <comment authorId="0" ref="L3029">
      <text>
        <t xml:space="preserve">Includes 2x8pin to 12+4pin adapter</t>
      </text>
    </comment>
    <comment authorId="0" ref="L3030">
      <text>
        <t xml:space="preserve">Includes 2x8pin to 12+4pin adapter</t>
      </text>
    </comment>
    <comment authorId="0" ref="L3031">
      <text>
        <t xml:space="preserve">Includes 2x8pin to 12+4pin adapter</t>
      </text>
    </comment>
    <comment authorId="0" ref="L3032">
      <text>
        <t xml:space="preserve">Includes 2x8pin to 12+4pin adapter</t>
      </text>
    </comment>
    <comment authorId="0" ref="L3033">
      <text>
        <t xml:space="preserve">Includes 2x8pin to 12+4pin adapter</t>
      </text>
    </comment>
    <comment authorId="0" ref="L3034">
      <text>
        <t xml:space="preserve">Includes 2x8pin to 12+4pin adapter</t>
      </text>
    </comment>
    <comment authorId="0" ref="L3035">
      <text>
        <t xml:space="preserve">Includes 2x8pin to 12+4pin adapter</t>
      </text>
    </comment>
    <comment authorId="0" ref="L3036">
      <text>
        <t xml:space="preserve">Includes 2x8pin to 12+4pin adapter</t>
      </text>
    </comment>
    <comment authorId="0" ref="L3037">
      <text>
        <t xml:space="preserve">Includes 2x8pin to 12+4pin adapter</t>
      </text>
    </comment>
    <comment authorId="0" ref="L3038">
      <text>
        <t xml:space="preserve">Includes 2x8pin to 12+4pin adapter</t>
      </text>
    </comment>
    <comment authorId="0" ref="L3039">
      <text>
        <t xml:space="preserve">Includes 2x8pin to 12+4pin adapter</t>
      </text>
    </comment>
    <comment authorId="0" ref="L3040">
      <text>
        <t xml:space="preserve">Includes 2x8pin to 12+4pin adapter</t>
      </text>
    </comment>
    <comment authorId="0" ref="L3041">
      <text>
        <t xml:space="preserve">Includes 2x8pin to 12+4pin adapter</t>
      </text>
    </comment>
    <comment authorId="0" ref="L3042">
      <text>
        <t xml:space="preserve">Includes 2x8pin to 12+4pin adapter</t>
      </text>
    </comment>
    <comment authorId="0" ref="L3043">
      <text>
        <t xml:space="preserve">Includes 2x8pin to 12+4pin adapter</t>
      </text>
    </comment>
    <comment authorId="0" ref="L3044">
      <text>
        <t xml:space="preserve">Includes 2x8pin to 12+4pin adapter</t>
      </text>
    </comment>
    <comment authorId="0" ref="L3045">
      <text>
        <t xml:space="preserve">Includes 2x8pin to 12+4pin adapter</t>
      </text>
    </comment>
    <comment authorId="0" ref="L3046">
      <text>
        <t xml:space="preserve">Includes 2x8pin to 12+4pin adapter</t>
      </text>
    </comment>
    <comment authorId="0" ref="L3047">
      <text>
        <t xml:space="preserve">Includes 2x8pin to 12+4pin adapter</t>
      </text>
    </comment>
    <comment authorId="0" ref="L3048">
      <text>
        <t xml:space="preserve">Includes 2x8pin to 12+4pin adapter</t>
      </text>
    </comment>
    <comment authorId="0" ref="L3049">
      <text>
        <t xml:space="preserve">Includes 2x8pin to 12+4pin adapter</t>
      </text>
    </comment>
    <comment authorId="0" ref="L3050">
      <text>
        <t xml:space="preserve">Includes 2x8pin to 12+4pin adapter</t>
      </text>
    </comment>
    <comment authorId="0" ref="L3051">
      <text>
        <t xml:space="preserve">Includes 2x8pin to 12+4pin adapter</t>
      </text>
    </comment>
    <comment authorId="0" ref="L3052">
      <text>
        <t xml:space="preserve">Includes 2x8pin to 12+4pin adapter</t>
      </text>
    </comment>
    <comment authorId="0" ref="L3053">
      <text>
        <t xml:space="preserve">Includes 2x8pin to 12+4pin adapter</t>
      </text>
    </comment>
    <comment authorId="0" ref="L3054">
      <text>
        <t xml:space="preserve">Includes 2x8pin to 12+4pin adapter</t>
      </text>
    </comment>
    <comment authorId="0" ref="L3055">
      <text>
        <t xml:space="preserve">Includes 2x8pin to 12+4pin adapter</t>
      </text>
    </comment>
    <comment authorId="0" ref="L3056">
      <text>
        <t xml:space="preserve">Includes 2x8pin to 12+4pin adapter</t>
      </text>
    </comment>
    <comment authorId="0" ref="L3057">
      <text>
        <t xml:space="preserve">Includes 2x8pin to 12+4pin adapter</t>
      </text>
    </comment>
    <comment authorId="0" ref="L3058">
      <text>
        <t xml:space="preserve">Includes 2x8pin to 12+4pin adapter</t>
      </text>
    </comment>
    <comment authorId="0" ref="L3059">
      <text>
        <t xml:space="preserve">Includes 2x8pin to 12+4pin adapter</t>
      </text>
    </comment>
    <comment authorId="0" ref="L3060">
      <text>
        <t xml:space="preserve">Includes 2x8pin to 12+4pin adapter</t>
      </text>
    </comment>
    <comment authorId="0" ref="L3061">
      <text>
        <t xml:space="preserve">Includes 2x8pin to 12+4pin adapter</t>
      </text>
    </comment>
    <comment authorId="0" ref="L3062">
      <text>
        <t xml:space="preserve">Includes 2x8pin to 12+4pin adapter</t>
      </text>
    </comment>
    <comment authorId="0" ref="L3063">
      <text>
        <t xml:space="preserve">Includes 2x8pin to 12+4pin adapter</t>
      </text>
    </comment>
    <comment authorId="0" ref="L3064">
      <text>
        <t xml:space="preserve">Includes 2x8pin to 12+4pin adapter</t>
      </text>
    </comment>
    <comment authorId="0" ref="L3065">
      <text>
        <t xml:space="preserve">Includes 2x8pin to 12+4pin adapter</t>
      </text>
    </comment>
    <comment authorId="0" ref="L3066">
      <text>
        <t xml:space="preserve">Includes 2x8pin to 12+4pin adapter</t>
      </text>
    </comment>
    <comment authorId="0" ref="L3067">
      <text>
        <t xml:space="preserve">Includes 2x8pin to 12+4pin adapter</t>
      </text>
    </comment>
    <comment authorId="0" ref="L3068">
      <text>
        <t xml:space="preserve">Includes 2x8pin to 12+4pin adapter</t>
      </text>
    </comment>
    <comment authorId="0" ref="L3069">
      <text>
        <t xml:space="preserve">Includes 2x8pin to 12+4pin adapter</t>
      </text>
    </comment>
    <comment authorId="0" ref="L3070">
      <text>
        <t xml:space="preserve">Includes 2x8pin to 12+4pin adapter</t>
      </text>
    </comment>
    <comment authorId="0" ref="L3071">
      <text>
        <t xml:space="preserve">Includes 2x8pin to 12+4pin adapter</t>
      </text>
    </comment>
    <comment authorId="0" ref="L3072">
      <text>
        <t xml:space="preserve">Includes 2x8pin to 12+4pin adapter</t>
      </text>
    </comment>
    <comment authorId="0" ref="L3073">
      <text>
        <t xml:space="preserve">Includes 2x8pin to 12+4pin adapter</t>
      </text>
    </comment>
    <comment authorId="0" ref="L3074">
      <text>
        <t xml:space="preserve">Includes 2x8pin to 12+4pin adapter</t>
      </text>
    </comment>
    <comment authorId="0" ref="L3075">
      <text>
        <t xml:space="preserve">Includes 2x8pin to 12+4pin adapter</t>
      </text>
    </comment>
    <comment authorId="0" ref="L3076">
      <text>
        <t xml:space="preserve">Includes 2x8pin to 12+4pin adapter</t>
      </text>
    </comment>
    <comment authorId="0" ref="L3077">
      <text>
        <t xml:space="preserve">Includes 2x8pin to 12+4pin adapter</t>
      </text>
    </comment>
    <comment authorId="0" ref="L3078">
      <text>
        <t xml:space="preserve">Includes 2x8pin to 12+4pin adapter</t>
      </text>
    </comment>
    <comment authorId="0" ref="L3079">
      <text>
        <t xml:space="preserve">Includes 2x8pin to 12+4pin adapter</t>
      </text>
    </comment>
    <comment authorId="0" ref="L3080">
      <text>
        <t xml:space="preserve">Includes 2x8pin to 12+4pin adapter</t>
      </text>
    </comment>
    <comment authorId="0" ref="L3081">
      <text>
        <t xml:space="preserve">Includes 2x8pin to 12+4pin adapter</t>
      </text>
    </comment>
    <comment authorId="0" ref="L3082">
      <text>
        <t xml:space="preserve">Includes 2x8pin to 12+4pin adapter</t>
      </text>
    </comment>
    <comment authorId="0" ref="L3083">
      <text>
        <t xml:space="preserve">Includes 2x8pin to 12+4pin adapter</t>
      </text>
    </comment>
    <comment authorId="0" ref="L3084">
      <text>
        <t xml:space="preserve">Includes 2x8pin to 12+4pin adapter</t>
      </text>
    </comment>
    <comment authorId="0" ref="L3085">
      <text>
        <t xml:space="preserve">Includes 2x8pin to 12+4pin adapter</t>
      </text>
    </comment>
    <comment authorId="0" ref="L3086">
      <text>
        <t xml:space="preserve">Includes 2x8pin to 12+4pin adapter</t>
      </text>
    </comment>
    <comment authorId="0" ref="L3087">
      <text>
        <t xml:space="preserve">Includes 2x8pin to 12+4pin adapter</t>
      </text>
    </comment>
    <comment authorId="0" ref="L3088">
      <text>
        <t xml:space="preserve">Includes 2x8pin to 12+4pin adapter</t>
      </text>
    </comment>
    <comment authorId="0" ref="L3089">
      <text>
        <t xml:space="preserve">Includes 2x8pin to 12+4pin adapter</t>
      </text>
    </comment>
    <comment authorId="0" ref="L3090">
      <text>
        <t xml:space="preserve">Includes 2x8pin to 12+4pin adapter</t>
      </text>
    </comment>
    <comment authorId="0" ref="L3091">
      <text>
        <t xml:space="preserve">Includes 2x8pin to 12+4pin adapter</t>
      </text>
    </comment>
    <comment authorId="0" ref="L3092">
      <text>
        <t xml:space="preserve">Includes 2x8pin to 12+4pin adapter</t>
      </text>
    </comment>
    <comment authorId="0" ref="L3093">
      <text>
        <t xml:space="preserve">Includes 2x8pin to 12+4pin adapter</t>
      </text>
    </comment>
    <comment authorId="0" ref="L3094">
      <text>
        <t xml:space="preserve">Includes 2x8pin to 12+4pin adapter</t>
      </text>
    </comment>
    <comment authorId="0" ref="L3095">
      <text>
        <t xml:space="preserve">Includes 2x8pin to 12+4pin adapter</t>
      </text>
    </comment>
    <comment authorId="0" ref="L3096">
      <text>
        <t xml:space="preserve">Includes 2x8pin to 12+4pin adapter</t>
      </text>
    </comment>
    <comment authorId="0" ref="L3097">
      <text>
        <t xml:space="preserve">Includes 2x8pin to 12+4pin adapter</t>
      </text>
    </comment>
    <comment authorId="0" ref="L3098">
      <text>
        <t xml:space="preserve">Includes 2x8pin to 12+4pin adapter</t>
      </text>
    </comment>
    <comment authorId="0" ref="L3099">
      <text>
        <t xml:space="preserve">Includes 2x8pin to 12+4pin adapter</t>
      </text>
    </comment>
    <comment authorId="0" ref="L3100">
      <text>
        <t xml:space="preserve">Includes 2x8pin to 12+4pin adapter</t>
      </text>
    </comment>
    <comment authorId="0" ref="L3101">
      <text>
        <t xml:space="preserve">Includes 2x8pin to 12+4pin adapter</t>
      </text>
    </comment>
    <comment authorId="0" ref="L3102">
      <text>
        <t xml:space="preserve">Includes 2x8pin to 12+4pin adapter</t>
      </text>
    </comment>
    <comment authorId="0" ref="L3103">
      <text>
        <t xml:space="preserve">Includes 2x8pin to 12+4pin adapter</t>
      </text>
    </comment>
    <comment authorId="0" ref="L3104">
      <text>
        <t xml:space="preserve">Includes 2x8pin to 12+4pin adapter</t>
      </text>
    </comment>
    <comment authorId="0" ref="L3105">
      <text>
        <t xml:space="preserve">Includes 2x8pin to 12+4pin adapter</t>
      </text>
    </comment>
    <comment authorId="0" ref="L3106">
      <text>
        <t xml:space="preserve">Includes 2x8pin to 12+4pin adapter</t>
      </text>
    </comment>
    <comment authorId="0" ref="L3107">
      <text>
        <t xml:space="preserve">Includes 2x8pin to 12+4pin adapter</t>
      </text>
    </comment>
    <comment authorId="0" ref="L3108">
      <text>
        <t xml:space="preserve">Includes 2x8pin to 12+4pin adapter</t>
      </text>
    </comment>
    <comment authorId="0" ref="L3109">
      <text>
        <t xml:space="preserve">Includes 2x8pin to 12+4pin adapter</t>
      </text>
    </comment>
    <comment authorId="0" ref="L3110">
      <text>
        <t xml:space="preserve">Includes 2x8pin to 12+4pin adapter</t>
      </text>
    </comment>
    <comment authorId="0" ref="L3111">
      <text>
        <t xml:space="preserve">Includes 2x8pin to 12+4pin adapter</t>
      </text>
    </comment>
    <comment authorId="0" ref="L3112">
      <text>
        <t xml:space="preserve">Includes 2x8pin to 12+4pin adapter</t>
      </text>
    </comment>
    <comment authorId="0" ref="L3113">
      <text>
        <t xml:space="preserve">Includes 2x8pin to 12+4pin adapter</t>
      </text>
    </comment>
    <comment authorId="0" ref="L3114">
      <text>
        <t xml:space="preserve">Includes 2x8pin to 12+4pin adapter</t>
      </text>
    </comment>
    <comment authorId="0" ref="L3115">
      <text>
        <t xml:space="preserve">Includes 2x8pin to 12+4pin adapter</t>
      </text>
    </comment>
    <comment authorId="0" ref="L3116">
      <text>
        <t xml:space="preserve">Includes 2x8pin to 12+4pin adapter</t>
      </text>
    </comment>
    <comment authorId="0" ref="L3117">
      <text>
        <t xml:space="preserve">Includes 2x8pin to 12+4pin adapter</t>
      </text>
    </comment>
    <comment authorId="0" ref="L3118">
      <text>
        <t xml:space="preserve">Includes 2x8pin to 12+4pin adapter</t>
      </text>
    </comment>
    <comment authorId="0" ref="L3119">
      <text>
        <t xml:space="preserve">Includes 2x8pin to 12+4pin adapter</t>
      </text>
    </comment>
    <comment authorId="0" ref="L3120">
      <text>
        <t xml:space="preserve">Includes 2x8pin to 12+4pin adapter</t>
      </text>
    </comment>
    <comment authorId="0" ref="L3121">
      <text>
        <t xml:space="preserve">Includes 2x8pin to 12+4pin adapter</t>
      </text>
    </comment>
    <comment authorId="0" ref="L3122">
      <text>
        <t xml:space="preserve">Includes 2x8pin to 12+4pin adapter</t>
      </text>
    </comment>
    <comment authorId="0" ref="L3123">
      <text>
        <t xml:space="preserve">Includes 2x8pin to 12+4pin adapter</t>
      </text>
    </comment>
    <comment authorId="0" ref="L3124">
      <text>
        <t xml:space="preserve">Includes 2x8pin to 12+4pin adapter</t>
      </text>
    </comment>
    <comment authorId="0" ref="L3125">
      <text>
        <t xml:space="preserve">Includes 2x8pin to 12+4pin adapter</t>
      </text>
    </comment>
    <comment authorId="0" ref="L3126">
      <text>
        <t xml:space="preserve">Includes 2x8pin to 12+4pin adapter</t>
      </text>
    </comment>
    <comment authorId="0" ref="L3127">
      <text>
        <t xml:space="preserve">Includes 2x8pin to 12+4pin adapter</t>
      </text>
    </comment>
    <comment authorId="0" ref="L3128">
      <text>
        <t xml:space="preserve">Includes 2x8pin to 12+4pin adapter</t>
      </text>
    </comment>
    <comment authorId="0" ref="L3129">
      <text>
        <t xml:space="preserve">Includes 2x8pin to 12+4pin adapter</t>
      </text>
    </comment>
    <comment authorId="0" ref="L3130">
      <text>
        <t xml:space="preserve">Includes 2x8pin to 12+4pin adapter</t>
      </text>
    </comment>
    <comment authorId="0" ref="L3131">
      <text>
        <t xml:space="preserve">Includes 2x8pin to 12+4pin adapter</t>
      </text>
    </comment>
    <comment authorId="0" ref="L3132">
      <text>
        <t xml:space="preserve">Includes 2x8pin to 12+4pin adapter</t>
      </text>
    </comment>
    <comment authorId="0" ref="L3133">
      <text>
        <t xml:space="preserve">Includes 2x8pin to 12+4pin adapter</t>
      </text>
    </comment>
    <comment authorId="0" ref="L3134">
      <text>
        <t xml:space="preserve">Includes 2x8pin to 12+4pin adapter</t>
      </text>
    </comment>
    <comment authorId="0" ref="L3135">
      <text>
        <t xml:space="preserve">Includes 2x8pin to 12+4pin adapter</t>
      </text>
    </comment>
    <comment authorId="0" ref="L3136">
      <text>
        <t xml:space="preserve">Includes 2x8pin to 12+4pin adapter</t>
      </text>
    </comment>
    <comment authorId="0" ref="L3137">
      <text>
        <t xml:space="preserve">Includes 2x8pin to 12+4pin adapter</t>
      </text>
    </comment>
    <comment authorId="0" ref="L3138">
      <text>
        <t xml:space="preserve">Includes 2x8pin to 12+4pin adapter</t>
      </text>
    </comment>
    <comment authorId="0" ref="L3139">
      <text>
        <t xml:space="preserve">Includes 2x8pin to 12+4pin adapter</t>
      </text>
    </comment>
    <comment authorId="0" ref="L3140">
      <text>
        <t xml:space="preserve">Includes 2x8pin to 12+4pin adapter</t>
      </text>
    </comment>
    <comment authorId="0" ref="L3141">
      <text>
        <t xml:space="preserve">Includes 3x8pin to 12+4pin adapter</t>
      </text>
    </comment>
    <comment authorId="0" ref="L3142">
      <text>
        <t xml:space="preserve">Includes 3x8pin to 12+4pin adapter</t>
      </text>
    </comment>
    <comment authorId="0" ref="L3143">
      <text>
        <t xml:space="preserve">Includes 3x8pin to 12+4pin adapter</t>
      </text>
    </comment>
    <comment authorId="0" ref="L3144">
      <text>
        <t xml:space="preserve">Includes 3x8pin to 12+4pin adapter</t>
      </text>
    </comment>
    <comment authorId="0" ref="L3145">
      <text>
        <t xml:space="preserve">Includes 3x8pin to 12+4pin adapter</t>
      </text>
    </comment>
    <comment authorId="0" ref="L3146">
      <text>
        <t xml:space="preserve">Includes 3x8pin to 12+4pin adapter</t>
      </text>
    </comment>
    <comment authorId="0" ref="L3147">
      <text>
        <t xml:space="preserve">Includes 3x8pin to 12+4pin adapter</t>
      </text>
    </comment>
    <comment authorId="0" ref="L3148">
      <text>
        <t xml:space="preserve">Includes 3x8pin to 12+4pin adapter</t>
      </text>
    </comment>
    <comment authorId="0" ref="L3149">
      <text>
        <t xml:space="preserve">Includes 3x8pin to 12+4pin adapter</t>
      </text>
    </comment>
    <comment authorId="0" ref="L3150">
      <text>
        <t xml:space="preserve">Includes 3x8pin to 12+4pin adapter</t>
      </text>
    </comment>
    <comment authorId="0" ref="L3151">
      <text>
        <t xml:space="preserve">Includes 3x8pin to 12+4pin adapter</t>
      </text>
    </comment>
    <comment authorId="0" ref="L3152">
      <text>
        <t xml:space="preserve">Includes 3x8pin to 12+4pin adapter</t>
      </text>
    </comment>
    <comment authorId="0" ref="L3153">
      <text>
        <t xml:space="preserve">Includes 3x8pin to 12+4pin adapter</t>
      </text>
    </comment>
    <comment authorId="0" ref="L3154">
      <text>
        <t xml:space="preserve">Includes 3x8pin to 12+4pin adapter</t>
      </text>
    </comment>
    <comment authorId="0" ref="L3155">
      <text>
        <t xml:space="preserve">Includes 3x8pin to 12+4pin adapter</t>
      </text>
    </comment>
    <comment authorId="0" ref="L3156">
      <text>
        <t xml:space="preserve">Includes 3x8pin to 12+4pin adapter</t>
      </text>
    </comment>
    <comment authorId="0" ref="L3157">
      <text>
        <t xml:space="preserve">Includes 3x8pin to 12+4pin adapter</t>
      </text>
    </comment>
    <comment authorId="0" ref="L3158">
      <text>
        <t xml:space="preserve">Includes 3x8pin to 12+4pin adapter</t>
      </text>
    </comment>
    <comment authorId="0" ref="L3159">
      <text>
        <t xml:space="preserve">Includes 3x8pin to 12+4pin adapter</t>
      </text>
    </comment>
    <comment authorId="0" ref="L3160">
      <text>
        <t xml:space="preserve">Includes 3x8pin to 12+4pin adapter</t>
      </text>
    </comment>
    <comment authorId="0" ref="L3161">
      <text>
        <t xml:space="preserve">Includes 3x8pin to 12+4pin adapter</t>
      </text>
    </comment>
    <comment authorId="0" ref="L3162">
      <text>
        <t xml:space="preserve">Includes 3x8pin to 12+4pin adapter</t>
      </text>
    </comment>
    <comment authorId="0" ref="L3163">
      <text>
        <t xml:space="preserve">Includes 3x8pin to 12+4pin adapter</t>
      </text>
    </comment>
    <comment authorId="0" ref="L3164">
      <text>
        <t xml:space="preserve">Includes 3x8pin to 12+4pin adapter</t>
      </text>
    </comment>
    <comment authorId="0" ref="L3165">
      <text>
        <t xml:space="preserve">Includes 3x8pin to 12+4pin adapter</t>
      </text>
    </comment>
    <comment authorId="0" ref="L3166">
      <text>
        <t xml:space="preserve">Includes 3x8pin to 12+4pin adapter</t>
      </text>
    </comment>
    <comment authorId="0" ref="L3167">
      <text>
        <t xml:space="preserve">Includes 4x8pin to 12+4pin adapter</t>
      </text>
    </comment>
    <comment authorId="0" ref="L3168">
      <text>
        <t xml:space="preserve">Includes 4x8pin to 12+4pin adapter</t>
      </text>
    </comment>
    <comment authorId="0" ref="L3169">
      <text>
        <t xml:space="preserve">Includes 4x8pin to 12+4pin adapter</t>
      </text>
    </comment>
    <comment authorId="0" ref="L3170">
      <text>
        <t xml:space="preserve">Includes 3x8pin to 12+4pin adapter</t>
      </text>
    </comment>
    <comment authorId="0" ref="L3171">
      <text>
        <t xml:space="preserve">Includes 3x8pin to 12+4pin adapter</t>
      </text>
    </comment>
    <comment authorId="0" ref="L3172">
      <text>
        <t xml:space="preserve">Includes 3x8pin to 12+4pin adapter</t>
      </text>
    </comment>
    <comment authorId="0" ref="L3173">
      <text>
        <t xml:space="preserve">Includes 3x8pin to 12+4pin adapter</t>
      </text>
    </comment>
    <comment authorId="0" ref="L3174">
      <text>
        <t xml:space="preserve">Includes 3x8pin to 12+4pin adapter</t>
      </text>
    </comment>
    <comment authorId="0" ref="L3175">
      <text>
        <t xml:space="preserve">Includes 3x8pin to 12+4pin adapter</t>
      </text>
    </comment>
    <comment authorId="0" ref="L3176">
      <text>
        <t xml:space="preserve">Includes 3x8pin to 12+4pin adapter</t>
      </text>
    </comment>
    <comment authorId="0" ref="L3177">
      <text>
        <t xml:space="preserve">Includes 3x8pin to 12+4pin adapter</t>
      </text>
    </comment>
    <comment authorId="0" ref="L3178">
      <text>
        <t xml:space="preserve">Includes 3x8pin to 12+4pin adapter</t>
      </text>
    </comment>
    <comment authorId="0" ref="L3179">
      <text>
        <t xml:space="preserve">Includes 3x8pin to 12+4pin adapter</t>
      </text>
    </comment>
    <comment authorId="0" ref="L3180">
      <text>
        <t xml:space="preserve">Includes 3x8pin to 12+4pin adapter</t>
      </text>
    </comment>
    <comment authorId="0" ref="L3181">
      <text>
        <t xml:space="preserve">Includes 3x8pin to 12+4pin adapter</t>
      </text>
    </comment>
    <comment authorId="0" ref="L3182">
      <text>
        <t xml:space="preserve">Includes 3x8pin to 12+4pin adapter</t>
      </text>
    </comment>
    <comment authorId="0" ref="L3183">
      <text>
        <t xml:space="preserve">Includes 3x8pin to 12+4pin adapter</t>
      </text>
    </comment>
    <comment authorId="0" ref="L3184">
      <text>
        <t xml:space="preserve">Includes 3x8pin to 12+4pin adapter</t>
      </text>
    </comment>
    <comment authorId="0" ref="L3185">
      <text>
        <t xml:space="preserve">Includes 3x8pin to 12+4pin adapter</t>
      </text>
    </comment>
    <comment authorId="0" ref="L3186">
      <text>
        <t xml:space="preserve">Includes 3x8pin to 12+4pin adapter</t>
      </text>
    </comment>
    <comment authorId="0" ref="L3187">
      <text>
        <t xml:space="preserve">Includes 3x8pin to 12+4pin adapter</t>
      </text>
    </comment>
    <comment authorId="0" ref="L3188">
      <text>
        <t xml:space="preserve">Includes 3x8pin to 12+4pin adapter</t>
      </text>
    </comment>
    <comment authorId="0" ref="L3189">
      <text>
        <t xml:space="preserve">Includes 3x8pin to 12+4pin adapter</t>
      </text>
    </comment>
    <comment authorId="0" ref="L3190">
      <text>
        <t xml:space="preserve">Includes 3x8pin to 12+4pin adapter</t>
      </text>
    </comment>
    <comment authorId="0" ref="L3191">
      <text>
        <t xml:space="preserve">Includes 3x8pin to 12+4pin adapter</t>
      </text>
    </comment>
    <comment authorId="0" ref="L3192">
      <text>
        <t xml:space="preserve">Includes 3x8pin to 12+4pin adapter</t>
      </text>
    </comment>
    <comment authorId="0" ref="L3193">
      <text>
        <t xml:space="preserve">Includes 3x8pin to 12+4pin adapter</t>
      </text>
    </comment>
    <comment authorId="0" ref="L3194">
      <text>
        <t xml:space="preserve">Includes 3x8pin to 12+4pin adapter</t>
      </text>
    </comment>
    <comment authorId="0" ref="L3195">
      <text>
        <t xml:space="preserve">Includes 3x8pin to 12+4pin adapter</t>
      </text>
    </comment>
    <comment authorId="0" ref="L3196">
      <text>
        <t xml:space="preserve">Includes 3x8pin to 12+4pin adapter</t>
      </text>
    </comment>
    <comment authorId="0" ref="L3197">
      <text>
        <t xml:space="preserve">Includes 3x8pin to 12+4pin adapter</t>
      </text>
    </comment>
    <comment authorId="0" ref="L3198">
      <text>
        <t xml:space="preserve">Includes 3x8pin to 12+4pin adapter</t>
      </text>
    </comment>
    <comment authorId="0" ref="L3199">
      <text>
        <t xml:space="preserve">Includes 3x8pin to 12+4pin adapter</t>
      </text>
    </comment>
    <comment authorId="0" ref="L3200">
      <text>
        <t xml:space="preserve">Includes 3x8pin to 12+4pin adapter</t>
      </text>
    </comment>
    <comment authorId="0" ref="L3201">
      <text>
        <t xml:space="preserve">Includes 3x8pin to 12+4pin adapter</t>
      </text>
    </comment>
    <comment authorId="0" ref="L3202">
      <text>
        <t xml:space="preserve">Includes 3x8pin to 12+4pin adapter</t>
      </text>
    </comment>
    <comment authorId="0" ref="L3203">
      <text>
        <t xml:space="preserve">Includes 3x8pin to 12+4pin adapter</t>
      </text>
    </comment>
    <comment authorId="0" ref="L3204">
      <text>
        <t xml:space="preserve">Includes 3x8pin to 12+4pin adapter</t>
      </text>
    </comment>
    <comment authorId="0" ref="L3205">
      <text>
        <t xml:space="preserve">Includes 3x8pin to 12+4pin adapter</t>
      </text>
    </comment>
    <comment authorId="0" ref="L3206">
      <text>
        <t xml:space="preserve">Includes 3x8pin to 12+4pin adapter</t>
      </text>
    </comment>
    <comment authorId="0" ref="L3207">
      <text>
        <t xml:space="preserve">Includes 3x8pin to 12+4pin adapter</t>
      </text>
    </comment>
    <comment authorId="0" ref="L3208">
      <text>
        <t xml:space="preserve">Includes 3x8pin to 12+4pin adapter</t>
      </text>
    </comment>
    <comment authorId="0" ref="L3209">
      <text>
        <t xml:space="preserve">Includes 3x8pin to 12+4pin adapter</t>
      </text>
    </comment>
    <comment authorId="0" ref="L3210">
      <text>
        <t xml:space="preserve">Includes 3x8pin to 12+4pin adapter</t>
      </text>
    </comment>
    <comment authorId="0" ref="L3211">
      <text>
        <t xml:space="preserve">Includes 3x8pin to 12+4pin adapter</t>
      </text>
    </comment>
    <comment authorId="0" ref="L3212">
      <text>
        <t xml:space="preserve">Includes 3x8pin to 12+4pin adapter</t>
      </text>
    </comment>
    <comment authorId="0" ref="L3213">
      <text>
        <t xml:space="preserve">Includes 3x8pin to 12+4pin adapter</t>
      </text>
    </comment>
    <comment authorId="0" ref="L3214">
      <text>
        <t xml:space="preserve">Includes 3x8pin to 12+4pin adapter</t>
      </text>
    </comment>
    <comment authorId="0" ref="L3215">
      <text>
        <t xml:space="preserve">Includes 3x8pin to 12+4pin adapter</t>
      </text>
    </comment>
    <comment authorId="0" ref="L3216">
      <text>
        <t xml:space="preserve">Includes 3x8pin to 12+4pin adapter</t>
      </text>
    </comment>
    <comment authorId="0" ref="L3217">
      <text>
        <t xml:space="preserve">Includes 3x8pin to 12+4pin adapter</t>
      </text>
    </comment>
    <comment authorId="0" ref="L3218">
      <text>
        <t xml:space="preserve">Includes 3x8pin to 12+4pin adapter</t>
      </text>
    </comment>
    <comment authorId="0" ref="L3219">
      <text>
        <t xml:space="preserve">Includes 3x8pin to 12+4pin adapter</t>
      </text>
    </comment>
    <comment authorId="0" ref="L3220">
      <text>
        <t xml:space="preserve">Includes 3x8pin to 12+4pin adapter</t>
      </text>
    </comment>
    <comment authorId="0" ref="L3221">
      <text>
        <t xml:space="preserve">Includes 3x8pin to 12+4pin adapter</t>
      </text>
    </comment>
    <comment authorId="0" ref="L3222">
      <text>
        <t xml:space="preserve">Includes 3x8pin to 12+4pin adapter</t>
      </text>
    </comment>
    <comment authorId="0" ref="L3223">
      <text>
        <t xml:space="preserve">Includes 3x8pin to 12+4pin adapter</t>
      </text>
    </comment>
    <comment authorId="0" ref="L3224">
      <text>
        <t xml:space="preserve">Includes 3x8pin to 12+4pin adapter</t>
      </text>
    </comment>
    <comment authorId="0" ref="L3225">
      <text>
        <t xml:space="preserve">Includes 3x8pin to 12+4pin adapter</t>
      </text>
    </comment>
    <comment authorId="0" ref="L3226">
      <text>
        <t xml:space="preserve">Includes 3x8pin to 12+4pin adapter</t>
      </text>
    </comment>
    <comment authorId="0" ref="L3227">
      <text>
        <t xml:space="preserve">Includes 3x8pin to 12+4pin adapter</t>
      </text>
    </comment>
    <comment authorId="0" ref="L3228">
      <text>
        <t xml:space="preserve">Includes 3x8pin to 12+4pin adapter</t>
      </text>
    </comment>
    <comment authorId="0" ref="L3229">
      <text>
        <t xml:space="preserve">Includes 3x8pin to 12+4pin adapter</t>
      </text>
    </comment>
    <comment authorId="0" ref="L3230">
      <text>
        <t xml:space="preserve">Includes 3x8pin to 12+4pin adapter</t>
      </text>
    </comment>
    <comment authorId="0" ref="L3231">
      <text>
        <t xml:space="preserve">Includes 3x8pin to 12+4pin adapter</t>
      </text>
    </comment>
    <comment authorId="0" ref="L3232">
      <text>
        <t xml:space="preserve">Includes 3x8pin to 12+4pin adapter</t>
      </text>
    </comment>
    <comment authorId="0" ref="L3233">
      <text>
        <t xml:space="preserve">Includes 3x8pin to 12+4pin adapter</t>
      </text>
    </comment>
    <comment authorId="0" ref="L3234">
      <text>
        <t xml:space="preserve">Includes 3x8pin to 12+4pin adapter</t>
      </text>
    </comment>
    <comment authorId="0" ref="L3235">
      <text>
        <t xml:space="preserve">Includes 3x8pin to 12+4pin adapter</t>
      </text>
    </comment>
    <comment authorId="0" ref="L3236">
      <text>
        <t xml:space="preserve">Includes 3x8pin to 12+4pin adapter</t>
      </text>
    </comment>
    <comment authorId="0" ref="L3237">
      <text>
        <t xml:space="preserve">Includes 3x8pin to 12+4pin adapter</t>
      </text>
    </comment>
    <comment authorId="0" ref="L3238">
      <text>
        <t xml:space="preserve">Includes 3x8pin to 12+4pin adapter</t>
      </text>
    </comment>
    <comment authorId="0" ref="L3239">
      <text>
        <t xml:space="preserve">Includes 3x8pin to 12+4pin adapter</t>
      </text>
    </comment>
    <comment authorId="0" ref="L3240">
      <text>
        <t xml:space="preserve">Includes 3x8pin to 12+4pin adapter</t>
      </text>
    </comment>
    <comment authorId="0" ref="L3241">
      <text>
        <t xml:space="preserve">Includes 3x8pin to 12+4pin adapter</t>
      </text>
    </comment>
    <comment authorId="0" ref="L3242">
      <text>
        <t xml:space="preserve">Includes 3x8pin to 12+4pin adapter</t>
      </text>
    </comment>
    <comment authorId="0" ref="L3243">
      <text>
        <t xml:space="preserve">Includes 3x8pin to 12+4pin adapter</t>
      </text>
    </comment>
    <comment authorId="0" ref="L3244">
      <text>
        <t xml:space="preserve">Includes 3x8pin to 12+4pin adapter</t>
      </text>
    </comment>
    <comment authorId="0" ref="L3245">
      <text>
        <t xml:space="preserve">Includes 3x8pin to 12+4pin adapter</t>
      </text>
    </comment>
    <comment authorId="0" ref="L3246">
      <text>
        <t xml:space="preserve">Includes 3x8pin to 12+4pin adapter</t>
      </text>
    </comment>
    <comment authorId="0" ref="L3247">
      <text>
        <t xml:space="preserve">Includes 3x8pin to 12+4pin adapter</t>
      </text>
    </comment>
    <comment authorId="0" ref="L3248">
      <text>
        <t xml:space="preserve">Includes 3x8pin to 12+4pin adapter</t>
      </text>
    </comment>
    <comment authorId="0" ref="L3249">
      <text>
        <t xml:space="preserve">Includes 3x8pin to 12+4pin adapter</t>
      </text>
    </comment>
    <comment authorId="0" ref="L3250">
      <text>
        <t xml:space="preserve">Includes 3x8pin to 12+4pin adapter</t>
      </text>
    </comment>
    <comment authorId="0" ref="L3251">
      <text>
        <t xml:space="preserve">Includes 3x8pin to 12+4pin adapter</t>
      </text>
    </comment>
    <comment authorId="0" ref="L3252">
      <text>
        <t xml:space="preserve">Includes 3x8pin to 12+4pin adapter</t>
      </text>
    </comment>
    <comment authorId="0" ref="L3253">
      <text>
        <t xml:space="preserve">Includes 3x8pin to 12+4pin adapter</t>
      </text>
    </comment>
    <comment authorId="0" ref="L3254">
      <text>
        <t xml:space="preserve">Includes 3x8pin to 12+4pin adapter</t>
      </text>
    </comment>
    <comment authorId="0" ref="L3255">
      <text>
        <t xml:space="preserve">Includes 3x8pin to 12+4pin adapter</t>
      </text>
    </comment>
    <comment authorId="0" ref="L3256">
      <text>
        <t xml:space="preserve">Includes 3x8pin to 12+4pin adapter</t>
      </text>
    </comment>
    <comment authorId="0" ref="L3257">
      <text>
        <t xml:space="preserve">Includes 3x8pin to 12+4pin adapter</t>
      </text>
    </comment>
    <comment authorId="0" ref="L3258">
      <text>
        <t xml:space="preserve">Includes 3x8pin to 12+4pin adapter</t>
      </text>
    </comment>
    <comment authorId="0" ref="L3259">
      <text>
        <t xml:space="preserve">Includes 3x8pin to 12+4pin adapter</t>
      </text>
    </comment>
    <comment authorId="0" ref="L3260">
      <text>
        <t xml:space="preserve">Includes 3x8pin to 12+4pin adapter</t>
      </text>
    </comment>
    <comment authorId="0" ref="L3261">
      <text>
        <t xml:space="preserve">Includes 3x8pin to 12+4pin adapter</t>
      </text>
    </comment>
    <comment authorId="0" ref="L3262">
      <text>
        <t xml:space="preserve">Includes 3x8pin to 12+4pin adapter</t>
      </text>
    </comment>
    <comment authorId="0" ref="L3263">
      <text>
        <t xml:space="preserve">Includes 3x8pin to 12+4pin adapter</t>
      </text>
    </comment>
    <comment authorId="0" ref="L3264">
      <text>
        <t xml:space="preserve">Includes 3x8pin to 12+4pin adapter</t>
      </text>
    </comment>
    <comment authorId="0" ref="L3265">
      <text>
        <t xml:space="preserve">Includes 3x8pin to 12+4pin adapter</t>
      </text>
    </comment>
    <comment authorId="0" ref="L3266">
      <text>
        <t xml:space="preserve">Includes 3x8pin to 12+4pin adapter</t>
      </text>
    </comment>
    <comment authorId="0" ref="L3267">
      <text>
        <t xml:space="preserve">Includes 3x8pin to 12+4pin adapter</t>
      </text>
    </comment>
    <comment authorId="0" ref="L3268">
      <text>
        <t xml:space="preserve">Includes 3x8pin to 12+4pin adapter</t>
      </text>
    </comment>
    <comment authorId="0" ref="L3269">
      <text>
        <t xml:space="preserve">Includes 3x8pin to 12+4pin adapter</t>
      </text>
    </comment>
    <comment authorId="0" ref="L3270">
      <text>
        <t xml:space="preserve">Includes 3x8pin to 12+4pin adapter</t>
      </text>
    </comment>
    <comment authorId="0" ref="L3271">
      <text>
        <t xml:space="preserve">Includes 3x8pin to 12+4pin adapter</t>
      </text>
    </comment>
    <comment authorId="0" ref="L3272">
      <text>
        <t xml:space="preserve">Includes 3x8pin to 12+4pin adapter</t>
      </text>
    </comment>
    <comment authorId="0" ref="L3273">
      <text>
        <t xml:space="preserve">Includes 3x8pin to 12+4pin adapter</t>
      </text>
    </comment>
    <comment authorId="0" ref="L3274">
      <text>
        <t xml:space="preserve">Includes 3x8pin to 12+4pin adapter</t>
      </text>
    </comment>
    <comment authorId="0" ref="L3275">
      <text>
        <t xml:space="preserve">Includes 3x8pin to 12+4pin adapter</t>
      </text>
    </comment>
    <comment authorId="0" ref="L3276">
      <text>
        <t xml:space="preserve">Includes 3x8pin to 12+4pin adapter</t>
      </text>
    </comment>
    <comment authorId="0" ref="L3277">
      <text>
        <t xml:space="preserve">Includes 3x8pin to 12+4pin adapter</t>
      </text>
    </comment>
    <comment authorId="0" ref="L3278">
      <text>
        <t xml:space="preserve">Includes 3x8pin to 12+4pin adapter</t>
      </text>
    </comment>
    <comment authorId="0" ref="L3279">
      <text>
        <t xml:space="preserve">Includes 3x8pin to 12+4pin adapter</t>
      </text>
    </comment>
    <comment authorId="0" ref="L3280">
      <text>
        <t xml:space="preserve">Includes 3x8pin to 12+4pin adapter</t>
      </text>
    </comment>
    <comment authorId="0" ref="L3281">
      <text>
        <t xml:space="preserve">Includes 3x8pin to 12+4pin adapter</t>
      </text>
    </comment>
    <comment authorId="0" ref="L3282">
      <text>
        <t xml:space="preserve">Includes 3x8pin to 12+4pin adapter</t>
      </text>
    </comment>
    <comment authorId="0" ref="L3283">
      <text>
        <t xml:space="preserve">Includes 4x8pin to 12+4pin adapter</t>
      </text>
    </comment>
    <comment authorId="0" ref="L3284">
      <text>
        <t xml:space="preserve">Includes 4x8pin to 12+4pin adapter</t>
      </text>
    </comment>
    <comment authorId="0" ref="L3285">
      <text>
        <t xml:space="preserve">Includes 4x8pin to 12+4pin adapter</t>
      </text>
    </comment>
    <comment authorId="0" ref="L3286">
      <text>
        <t xml:space="preserve">Includes 4x8pin to 12+4pin adapter</t>
      </text>
    </comment>
    <comment authorId="0" ref="L3287">
      <text>
        <t xml:space="preserve">Includes 4x8pin to 12+4pin adapter</t>
      </text>
    </comment>
    <comment authorId="0" ref="L3288">
      <text>
        <t xml:space="preserve">Includes 4x8pin to 12+4pin adapter</t>
      </text>
    </comment>
    <comment authorId="0" ref="L3289">
      <text>
        <t xml:space="preserve">Includes 4x8pin to 12+4pin adapter</t>
      </text>
    </comment>
    <comment authorId="0" ref="L3290">
      <text>
        <t xml:space="preserve">Includes 4x8pin to 12+4pin adapter</t>
      </text>
    </comment>
    <comment authorId="0" ref="L3291">
      <text>
        <t xml:space="preserve">Includes 4x8pin to 12+4pin adapter</t>
      </text>
    </comment>
    <comment authorId="0" ref="L3292">
      <text>
        <t xml:space="preserve">Includes 4x8pin to 12+4pin adapter</t>
      </text>
    </comment>
    <comment authorId="0" ref="L3293">
      <text>
        <t xml:space="preserve">Includes 4x8pin to 12+4pin adapter</t>
      </text>
    </comment>
    <comment authorId="0" ref="L3294">
      <text>
        <t xml:space="preserve">Includes 4x8pin to 12+4pin adapter</t>
      </text>
    </comment>
    <comment authorId="0" ref="L3295">
      <text>
        <t xml:space="preserve">Includes 4x8pin to 12+4pin adapter</t>
      </text>
    </comment>
    <comment authorId="0" ref="L3296">
      <text>
        <t xml:space="preserve">Includes 4x8pin to 12+4pin adapter</t>
      </text>
    </comment>
    <comment authorId="0" ref="L3297">
      <text>
        <t xml:space="preserve">Includes 4x8pin to 12+4pin adapter</t>
      </text>
    </comment>
    <comment authorId="0" ref="L3298">
      <text>
        <t xml:space="preserve">Includes 4x8pin to 12+4pin adapter</t>
      </text>
    </comment>
    <comment authorId="0" ref="L3299">
      <text>
        <t xml:space="preserve">Includes 4x8pin to 12+4pin adapter</t>
      </text>
    </comment>
    <comment authorId="0" ref="L3300">
      <text>
        <t xml:space="preserve">Includes 4x8pin to 12+4pin adapter</t>
      </text>
    </comment>
    <comment authorId="0" ref="L3301">
      <text>
        <t xml:space="preserve">Includes 4x8pin to 12+4pin adapter</t>
      </text>
    </comment>
    <comment authorId="0" ref="L3302">
      <text>
        <t xml:space="preserve">Includes 4x8pin to 12+4pin adapter</t>
      </text>
    </comment>
    <comment authorId="0" ref="L3303">
      <text>
        <t xml:space="preserve">Includes 4x8pin to 12+4pin adapter</t>
      </text>
    </comment>
    <comment authorId="0" ref="L3304">
      <text>
        <t xml:space="preserve">Includes 4x8pin to 12+4pin adapter</t>
      </text>
    </comment>
    <comment authorId="0" ref="L3305">
      <text>
        <t xml:space="preserve">Includes 4x8pin to 12+4pin adapter</t>
      </text>
    </comment>
    <comment authorId="0" ref="L3306">
      <text>
        <t xml:space="preserve">Includes 4x8pin to 12+4pin adapter</t>
      </text>
    </comment>
    <comment authorId="0" ref="L3307">
      <text>
        <t xml:space="preserve">Includes 4x8pin to 12+4pin adapter</t>
      </text>
    </comment>
    <comment authorId="0" ref="L3308">
      <text>
        <t xml:space="preserve">Includes 4x8pin to 12+4pin adapter</t>
      </text>
    </comment>
    <comment authorId="0" ref="L3309">
      <text>
        <t xml:space="preserve">Includes 4x8pin to 12+4pin adapter</t>
      </text>
    </comment>
    <comment authorId="0" ref="L3310">
      <text>
        <t xml:space="preserve">Includes 4x8pin to 12+4pin adapter</t>
      </text>
    </comment>
    <comment authorId="0" ref="L3311">
      <text>
        <t xml:space="preserve">Includes 4x8pin to 12+4pin adapter</t>
      </text>
    </comment>
    <comment authorId="0" ref="L3312">
      <text>
        <t xml:space="preserve">Includes 4x8pin to 12+4pin adapter</t>
      </text>
    </comment>
    <comment authorId="0" ref="L3313">
      <text>
        <t xml:space="preserve">Includes 4x8pin to 12+4pin adapter</t>
      </text>
    </comment>
    <comment authorId="0" ref="L3314">
      <text>
        <t xml:space="preserve">Includes 4x8pin to 12+4pin adapter</t>
      </text>
    </comment>
    <comment authorId="0" ref="L3315">
      <text>
        <t xml:space="preserve">Includes 4x8pin to 12+4pin adapter</t>
      </text>
    </comment>
    <comment authorId="0" ref="L3316">
      <text>
        <t xml:space="preserve">Includes 4x8pin to 12+4pin adapter</t>
      </text>
    </comment>
    <comment authorId="0" ref="L3317">
      <text>
        <t xml:space="preserve">Includes 4x8pin to 12+4pin adapter</t>
      </text>
    </comment>
    <comment authorId="0" ref="L3318">
      <text>
        <t xml:space="preserve">Includes 4x8pin to 12+4pin adapter</t>
      </text>
    </comment>
    <comment authorId="0" ref="L3319">
      <text>
        <t xml:space="preserve">Includes 4x8pin to 12+4pin adapter</t>
      </text>
    </comment>
    <comment authorId="0" ref="L3320">
      <text>
        <t xml:space="preserve">Includes 4x8pin to 12+4pin adapter</t>
      </text>
    </comment>
    <comment authorId="0" ref="L3321">
      <text>
        <t xml:space="preserve">Includes 4x8pin to 12+4pin adapter</t>
      </text>
    </comment>
    <comment authorId="0" ref="L3322">
      <text>
        <t xml:space="preserve">Includes 4x8pin to 12+4pin adapter</t>
      </text>
    </comment>
    <comment authorId="0" ref="L3323">
      <text>
        <t xml:space="preserve">Includes 4x8pin to 12+4pin adapter</t>
      </text>
    </comment>
    <comment authorId="0" ref="L3324">
      <text>
        <t xml:space="preserve">Includes 4x8pin to 12+4pin adapter</t>
      </text>
    </comment>
    <comment authorId="0" ref="L3325">
      <text>
        <t xml:space="preserve">Includes 4x8pin to 12+4pin adapter</t>
      </text>
    </comment>
    <comment authorId="0" ref="L3326">
      <text>
        <t xml:space="preserve">Includes 4x8pin to 12+4pin adapter</t>
      </text>
    </comment>
    <comment authorId="0" ref="L3327">
      <text>
        <t xml:space="preserve">Includes 4x8pin to 12+4pin adapter</t>
      </text>
    </comment>
    <comment authorId="0" ref="L3328">
      <text>
        <t xml:space="preserve">Includes 4x8pin to 12+4pin adapter</t>
      </text>
    </comment>
    <comment authorId="0" ref="L3329">
      <text>
        <t xml:space="preserve">Includes 4x8pin to 12+4pin adapter</t>
      </text>
    </comment>
    <comment authorId="0" ref="L3330">
      <text>
        <t xml:space="preserve">Includes 4x8pin to 12+4pin adapter</t>
      </text>
    </comment>
    <comment authorId="0" ref="L3331">
      <text>
        <t xml:space="preserve">Includes 4x8pin to 12+4pin adapter</t>
      </text>
    </comment>
    <comment authorId="0" ref="L3332">
      <text>
        <t xml:space="preserve">Includes 4x8pin to 12+4pin adapter</t>
      </text>
    </comment>
    <comment authorId="0" ref="L3333">
      <text>
        <t xml:space="preserve">Includes 4x8pin to 12+4pin adapter</t>
      </text>
    </comment>
    <comment authorId="0" ref="L3334">
      <text>
        <t xml:space="preserve">Includes 4x8pin to 12+4pin adapter</t>
      </text>
    </comment>
    <comment authorId="0" ref="L3335">
      <text>
        <t xml:space="preserve">Includes 4x8pin to 12+4pin adapter</t>
      </text>
    </comment>
    <comment authorId="0" ref="L3336">
      <text>
        <t xml:space="preserve">Includes 4x8pin to 12+4pin adapter</t>
      </text>
    </comment>
    <comment authorId="0" ref="L3337">
      <text>
        <t xml:space="preserve">Includes 4x8pin to 12+4pin adapter</t>
      </text>
    </comment>
    <comment authorId="0" ref="L3338">
      <text>
        <t xml:space="preserve">Includes 4x8pin to 12+4pin adapter</t>
      </text>
    </comment>
    <comment authorId="0" ref="L3339">
      <text>
        <t xml:space="preserve">Includes 4x8pin to 12+4pin adapter</t>
      </text>
    </comment>
    <comment authorId="0" ref="L3340">
      <text>
        <t xml:space="preserve">Includes 4x8pin to 12+4pin adapter</t>
      </text>
    </comment>
    <comment authorId="0" ref="L3341">
      <text>
        <t xml:space="preserve">Includes 4x8pin to 12+4pin adapter</t>
      </text>
    </comment>
    <comment authorId="0" ref="L3342">
      <text>
        <t xml:space="preserve">Includes 4x8pin to 12+4pin adapter</t>
      </text>
    </comment>
    <comment authorId="0" ref="L3343">
      <text>
        <t xml:space="preserve">Includes 4x8pin to 12+4pin adapter</t>
      </text>
    </comment>
    <comment authorId="0" ref="L3344">
      <text>
        <t xml:space="preserve">Includes 4x8pin to 12+4pin adapter</t>
      </text>
    </comment>
    <comment authorId="0" ref="L3345">
      <text>
        <t xml:space="preserve">Includes 4x8pin to 12+4pin adapter</t>
      </text>
    </comment>
    <comment authorId="0" ref="L3346">
      <text>
        <t xml:space="preserve">Includes 4x8pin to 12+4pin adapter</t>
      </text>
    </comment>
    <comment authorId="0" ref="L3347">
      <text>
        <t xml:space="preserve">Includes 4x8pin to 12+4pin adapter</t>
      </text>
    </comment>
    <comment authorId="0" ref="L3348">
      <text>
        <t xml:space="preserve">Includes 4x8pin to 12+4pin adapter</t>
      </text>
    </comment>
    <comment authorId="0" ref="L3349">
      <text>
        <t xml:space="preserve">Includes 4x8pin to 12+4pin adapter</t>
      </text>
    </comment>
    <comment authorId="0" ref="L3350">
      <text>
        <t xml:space="preserve">Includes 4x8pin to 12+4pin adapter</t>
      </text>
    </comment>
    <comment authorId="0" ref="L3351">
      <text>
        <t xml:space="preserve">Includes 4x8pin to 12+4pin adapter</t>
      </text>
    </comment>
    <comment authorId="0" ref="L3352">
      <text>
        <t xml:space="preserve">Includes 4x8pin to 12+4pin adapter</t>
      </text>
    </comment>
    <comment authorId="0" ref="L3353">
      <text>
        <t xml:space="preserve">Includes 4x8pin to 12+4pin adapter</t>
      </text>
    </comment>
    <comment authorId="0" ref="L3354">
      <text>
        <t xml:space="preserve">Includes 4x8pin to 12+4pin adapter</t>
      </text>
    </comment>
    <comment authorId="0" ref="L3355">
      <text>
        <t xml:space="preserve">Includes 4x8pin to 12+4pin adapter</t>
      </text>
    </comment>
    <comment authorId="0" ref="L3356">
      <text>
        <t xml:space="preserve">Includes 4x8pin to 12+4pin adapter</t>
      </text>
    </comment>
    <comment authorId="0" ref="L3357">
      <text>
        <t xml:space="preserve">Includes 4x8pin to 12+4pin adapter</t>
      </text>
    </comment>
    <comment authorId="0" ref="L3358">
      <text>
        <t xml:space="preserve">Includes 4x8pin to 12+4pin adapter</t>
      </text>
    </comment>
    <comment authorId="0" ref="L3359">
      <text>
        <t xml:space="preserve">Includes 4x8pin to 12+4pin adapter</t>
      </text>
    </comment>
    <comment authorId="0" ref="L3360">
      <text>
        <t xml:space="preserve">Includes 4x8pin to 12+4pin adapter</t>
      </text>
    </comment>
    <comment authorId="0" ref="L3361">
      <text>
        <t xml:space="preserve">Includes 4x8pin to 12+4pin adapter</t>
      </text>
    </comment>
    <comment authorId="0" ref="L3362">
      <text>
        <t xml:space="preserve">Includes 4x8pin to 12+4pin adapter</t>
      </text>
    </comment>
  </commentLi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5">
      <text>
        <t xml:space="preserve">300mm2 GCD + 6x37mm2 MCD</t>
      </text>
    </comment>
    <comment authorId="0" ref="K46">
      <text>
        <t xml:space="preserve">300mm2 GCD + 6x37mm2 MCD</t>
      </text>
    </comment>
    <comment authorId="0" ref="K47">
      <text>
        <t xml:space="preserve">300mm2 GCD + 6x37mm2 MCD</t>
      </text>
    </comment>
    <comment authorId="0" ref="K48">
      <text>
        <t xml:space="preserve">300mm2 GCD + 6x37mm2 MCD</t>
      </text>
    </comment>
    <comment authorId="0" ref="K49">
      <text>
        <t xml:space="preserve">300mm2 GCD + 6x37mm2 MCD</t>
      </text>
    </comment>
    <comment authorId="0" ref="D135">
      <text>
        <t xml:space="preserve">China exclusive</t>
      </text>
    </comment>
  </commentLi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H1">
      <text>
        <t xml:space="preserve">Both CPU and motherboard have to support overclock to be applicable</t>
      </text>
    </comment>
    <comment authorId="0" ref="O1">
      <text>
        <t xml:space="preserve">Depends on CPU, can be overclocked higher than officially supported if RAM Overclock column is Yes</t>
      </text>
    </comment>
    <comment authorId="0" ref="T1">
      <text>
        <t xml:space="preserve">Same as USB 3.0 / USB 3.1 Gen 1</t>
      </text>
    </comment>
    <comment authorId="0" ref="U1">
      <text>
        <t xml:space="preserve">Same as USB 3.0 or USB 3.1 Gen 1</t>
      </text>
    </comment>
    <comment authorId="0" ref="V1">
      <text>
        <t xml:space="preserve">Same as USB 3.1 Gen 2</t>
      </text>
    </comment>
    <comment authorId="0" ref="W1">
      <text>
        <t xml:space="preserve">Same as USB 3.1 Gen 2</t>
      </text>
    </comment>
    <comment authorId="0" ref="AE1">
      <text>
        <t xml:space="preserve">Sometimes referred as Type E header. Can be 5Gbps, 10Gbps or 20Gbps speed</t>
      </text>
    </comment>
    <comment authorId="0" ref="AJ1">
      <text>
        <t xml:space="preserve">Wi-Fi 4 = 802.11n
Wi-Fi 5 = 802.11ac
Wi-Fi 6/6E = 802.11ax</t>
      </text>
    </comment>
    <comment authorId="0" ref="BA1">
      <text>
        <t xml:space="preserve">Credit to spreadsheets by Raison John Bassig:
Intel 1151 v2 motherboards:
https://docs.google.com/spreadsheets/d/1IY6W6YhyjnzSvi8BqEqiK1xykSiTDF2Lt1FO8cNhI6I/edit
AMD AM4 motherboards:
https://docs.google.com/spreadsheets/d/1wmsTYK9Z3-jUX5LGRoFnsZYZiW1pfiDZnKCjaXyzd1o/edit</t>
      </text>
    </comment>
    <comment authorId="0" ref="BD1">
      <text>
        <t xml:space="preserve">True VRM phases x MOSFETs per phase x doubler
Total phases does not mean its better, depends more on the MOSFET quality, true phases, doublers, etc.</t>
      </text>
    </comment>
    <comment authorId="0" ref="BE1">
      <text>
        <t xml:space="preserve">Credit to spreadsheets by Raison John Bassig:
Intel 1151 v2 motherboards:
https://docs.google.com/spreadsheets/d/1IY6W6YhyjnzSvi8BqEqiK1xykSiTDF2Lt1FO8cNhI6I/edit
AMD AM4 motherboards:
https://docs.google.com/spreadsheets/d/1wmsTYK9Z3-jUX5LGRoFnsZYZiW1pfiDZnKCjaXyzd1o/edit</t>
      </text>
    </comment>
    <comment authorId="0" ref="AS2">
      <text>
        <t xml:space="preserve">HDMI 1.4</t>
      </text>
    </comment>
    <comment authorId="0" ref="AS3">
      <text>
        <t xml:space="preserve">HDMI 1.4b</t>
      </text>
    </comment>
    <comment authorId="0" ref="AS4">
      <text>
        <t xml:space="preserve">HDMI 1.4</t>
      </text>
    </comment>
    <comment authorId="0" ref="AR7">
      <text>
        <t xml:space="preserve">DisplayPort 1.2</t>
      </text>
    </comment>
    <comment authorId="0" ref="AS7">
      <text>
        <t xml:space="preserve">HDMI 1.4</t>
      </text>
    </comment>
    <comment authorId="0" ref="AR8">
      <text>
        <t xml:space="preserve">DisplayPort 1.2</t>
      </text>
    </comment>
    <comment authorId="0" ref="AS8">
      <text>
        <t xml:space="preserve">HDMI 1.4</t>
      </text>
    </comment>
    <comment authorId="0" ref="Q12">
      <text>
        <t xml:space="preserve">M2_1 = PCIe 3.0x4 or SATA 3.0</t>
      </text>
    </comment>
    <comment authorId="0" ref="AR12">
      <text>
        <t xml:space="preserve">DisplayPort 1.2</t>
      </text>
    </comment>
    <comment authorId="0" ref="AS12">
      <text>
        <t xml:space="preserve">HDMI 2.0</t>
      </text>
    </comment>
    <comment authorId="0" ref="Q13">
      <text>
        <t xml:space="preserve">M2_1 = PCIe 3.0x4 or SATA 3.0
M2_2 = PCIe 3.0x4. Shares bandwidth with PCIe x16 slot. Bandwidth will be reduced from x16 to x8 when M2_2 is populated</t>
      </text>
    </comment>
    <comment authorId="0" ref="AS13">
      <text>
        <t xml:space="preserve">HDMI 2.0b</t>
      </text>
    </comment>
    <comment authorId="0" ref="Q14">
      <text>
        <t xml:space="preserve">M2_1 = PCIe 3.0x4 or SATA 3.0</t>
      </text>
    </comment>
    <comment authorId="0" ref="Q15">
      <text>
        <t xml:space="preserve">M2_1 = PCIe 3.0x4 or SATA 3.0</t>
      </text>
    </comment>
    <comment authorId="0" ref="AR15">
      <text>
        <t xml:space="preserve">DisplayPort 1.2</t>
      </text>
    </comment>
    <comment authorId="0" ref="AS15">
      <text>
        <t xml:space="preserve">HDMI 2.0</t>
      </text>
    </comment>
    <comment authorId="0" ref="Q16">
      <text>
        <t xml:space="preserve">M2_1 = PCIe 3.0x4 or SATA 3.0</t>
      </text>
    </comment>
    <comment authorId="0" ref="AS16">
      <text>
        <t xml:space="preserve">HDMI 1.4</t>
      </text>
    </comment>
    <comment authorId="0" ref="Q17">
      <text>
        <t xml:space="preserve">M2_1 = PCIe 3.0x4 or SATA 3.0</t>
      </text>
    </comment>
    <comment authorId="0" ref="AS17">
      <text>
        <t xml:space="preserve">HDMI 1.4</t>
      </text>
    </comment>
    <comment authorId="0" ref="Q18">
      <text>
        <t xml:space="preserve">M2_1 = PCIe 3.0x4 or SATA 3.0</t>
      </text>
    </comment>
    <comment authorId="0" ref="AR18">
      <text>
        <t xml:space="preserve">DisplayPort 1.2</t>
      </text>
    </comment>
    <comment authorId="0" ref="AS18">
      <text>
        <t xml:space="preserve">HDMI 2.0</t>
      </text>
    </comment>
    <comment authorId="0" ref="Q19">
      <text>
        <t xml:space="preserve">M2_1 = PCIe 3.0x4 or SATA 3.0
M2_2 = PCIe 3.0x4. Shares bandwidth with PCIe x16 slot. Bandwidth will be reduced from x16 to x8 when M2_2 is populated</t>
      </text>
    </comment>
    <comment authorId="0" ref="AS19">
      <text>
        <t xml:space="preserve">HDMI 2.0b</t>
      </text>
    </comment>
    <comment authorId="0" ref="Q20">
      <text>
        <t xml:space="preserve">M2_1 = PCIe 3.0x4 or SATA 3.0</t>
      </text>
    </comment>
    <comment authorId="0" ref="AS20">
      <text>
        <t xml:space="preserve">HDMI 1.4</t>
      </text>
    </comment>
    <comment authorId="0" ref="Q21">
      <text>
        <t xml:space="preserve">M2_1 = PCIe 3.0x4 or SATA 3.0</t>
      </text>
    </comment>
    <comment authorId="0" ref="Q22">
      <text>
        <t xml:space="preserve">M2_1 = PCIe 3.0x4 or SATA 3.0</t>
      </text>
    </comment>
    <comment authorId="0" ref="AR22">
      <text>
        <t xml:space="preserve">DisplayPort 1.4</t>
      </text>
    </comment>
    <comment authorId="0" ref="AS22">
      <text>
        <t xml:space="preserve">HDMI 2.1</t>
      </text>
    </comment>
    <comment authorId="0" ref="Q23">
      <text>
        <t xml:space="preserve">M2_1 = PCIe 3.0x4 or SATA 3.0</t>
      </text>
    </comment>
    <comment authorId="0" ref="AR23">
      <text>
        <t xml:space="preserve">DisplayPort 1.4</t>
      </text>
    </comment>
    <comment authorId="0" ref="AS23">
      <text>
        <t xml:space="preserve">HDMI 2.1</t>
      </text>
    </comment>
    <comment authorId="0" ref="AV23">
      <text>
        <t xml:space="preserve">2x4pins + 1xmini 4pin</t>
      </text>
    </comment>
    <comment authorId="0" ref="L24">
      <text>
        <t xml:space="preserve">SODIMM Memory</t>
      </text>
    </comment>
    <comment authorId="0" ref="Q24">
      <text>
        <t xml:space="preserve">M2_1 = PCIe 3.0x4 or SATA 3.0</t>
      </text>
    </comment>
    <comment authorId="0" ref="AR24">
      <text>
        <t xml:space="preserve">DisplayPort 1.4</t>
      </text>
    </comment>
    <comment authorId="0" ref="AS24">
      <text>
        <t xml:space="preserve">HDMI 2.1</t>
      </text>
    </comment>
    <comment authorId="0" ref="Q25">
      <text>
        <t xml:space="preserve">M2_1 = PCIe 4.0x4 or SATA 3.0</t>
      </text>
    </comment>
    <comment authorId="0" ref="AR25">
      <text>
        <t xml:space="preserve">DisplayPort 1.4</t>
      </text>
    </comment>
    <comment authorId="0" ref="AS25">
      <text>
        <t xml:space="preserve">HDMI 2.1</t>
      </text>
    </comment>
    <comment authorId="0" ref="P26">
      <text>
        <t xml:space="preserve">Right-angle ports may cause issues in some SFF cases</t>
      </text>
    </comment>
    <comment authorId="0" ref="Q26">
      <text>
        <t xml:space="preserve">M2_1 = PCIe 4.0x4
M2_2 = PCIe 3.0x4 or SATA 3.0</t>
      </text>
    </comment>
    <comment authorId="0" ref="AR26">
      <text>
        <t xml:space="preserve">DisplayPort 1.4</t>
      </text>
    </comment>
    <comment authorId="0" ref="AS26">
      <text>
        <t xml:space="preserve">HDMI 2.1</t>
      </text>
    </comment>
    <comment authorId="0" ref="G27">
      <text>
        <t xml:space="preserve">Bifurcation support added in newer bios</t>
      </text>
    </comment>
    <comment authorId="0" ref="J27">
      <text>
        <t xml:space="preserve">Please note that CPU needs to be plugged in for BIOS flashing. Seems incompatible CPU can still be used for BIOS Flashback</t>
      </text>
    </comment>
    <comment authorId="0" ref="Q27">
      <text>
        <t xml:space="preserve">M2_1 = PCIe 4.0x4 or SATA 3.0
M2_2 = PCIe 3.0x4 or SATA 3.0</t>
      </text>
    </comment>
    <comment authorId="0" ref="S27">
      <text>
        <t xml:space="preserve">"Audio Type-C" port with included dongle</t>
      </text>
    </comment>
    <comment authorId="0" ref="AR27">
      <text>
        <t xml:space="preserve">DisplayPort 1.4</t>
      </text>
    </comment>
    <comment authorId="0" ref="AS27">
      <text>
        <t xml:space="preserve">HDMI 2.1</t>
      </text>
    </comment>
    <comment authorId="0" ref="Q28">
      <text>
        <t xml:space="preserve">M2_1 = PCIe 4.0x4 or SATA 3.0</t>
      </text>
    </comment>
    <comment authorId="0" ref="Q29">
      <text>
        <t xml:space="preserve">M2_1 = PCIe 4.0x4 or SATA 3.0
M2_2 = PCIe 3.0x4 or SATA 3.0</t>
      </text>
    </comment>
    <comment authorId="0" ref="AJ29">
      <text>
        <t xml:space="preserve">Wi-Fi 6 with PCB rev 1.0
Wi-Fi 6E with PCB rev 1.1</t>
      </text>
    </comment>
    <comment authorId="0" ref="AK29">
      <text>
        <t xml:space="preserve">Intel Wi-Fi 6 AX200 with PCB rev 1.0
AMD Wi-Fi 6E RZ608 (Mediatek MT7921K) with PCB rev 1.1</t>
      </text>
    </comment>
    <comment authorId="0" ref="AL29">
      <text>
        <t xml:space="preserve">2400 Mbps with PCB rev 1.0
1200 Mbps with PCB rev 1.1</t>
      </text>
    </comment>
    <comment authorId="0" ref="AR29">
      <text>
        <t xml:space="preserve">DisplayPort 1.4</t>
      </text>
    </comment>
    <comment authorId="0" ref="AS29">
      <text>
        <t xml:space="preserve">HDMI 2.1</t>
      </text>
    </comment>
    <comment authorId="0" ref="AV29">
      <text>
        <t xml:space="preserve">2x4pins + 1xmini 4pin</t>
      </text>
    </comment>
    <comment authorId="0" ref="Q30">
      <text>
        <t xml:space="preserve">M2_1 = PCIe 4.0x4 or SATA 3.0
M2_2 = PCIe 3.0x4</t>
      </text>
    </comment>
    <comment authorId="0" ref="AS30">
      <text>
        <t xml:space="preserve">HDMI 2.1</t>
      </text>
    </comment>
    <comment authorId="0" ref="Q31">
      <text>
        <t xml:space="preserve">M2_1 = PCIe 4.0x4 or SATA 3.0
M2_2 = PCIe 3.0x4</t>
      </text>
    </comment>
    <comment authorId="0" ref="AS31">
      <text>
        <t xml:space="preserve">HDMI 2.1</t>
      </text>
    </comment>
    <comment authorId="0" ref="Q32">
      <text>
        <t xml:space="preserve">M2_1 = PCIe 3.0x4 or SATA 3.0
M2_2 = PCIe 3.0x4 or SATA 3.0</t>
      </text>
    </comment>
    <comment authorId="0" ref="AR32">
      <text>
        <t xml:space="preserve">DisplayPort 1.4</t>
      </text>
    </comment>
    <comment authorId="0" ref="AS32">
      <text>
        <t xml:space="preserve">HDMI 2.1</t>
      </text>
    </comment>
    <comment authorId="0" ref="P33">
      <text>
        <t xml:space="preserve">Right-angle ports may cause issues in some SFF cases</t>
      </text>
    </comment>
    <comment authorId="0" ref="Q33">
      <text>
        <t xml:space="preserve">M2_1 = PCIe 4.0x4</t>
      </text>
    </comment>
    <comment authorId="0" ref="AR33">
      <text>
        <t xml:space="preserve">DisplayPort 1.4
DisplayPort Input for Thunderbolt Passthrough</t>
      </text>
    </comment>
    <comment authorId="0" ref="AS33">
      <text>
        <t xml:space="preserve">HDMI 2.0</t>
      </text>
    </comment>
    <comment authorId="0" ref="J34">
      <text>
        <t xml:space="preserve">Can update BIOS without CPU through BMC</t>
      </text>
    </comment>
    <comment authorId="0" ref="L34">
      <text>
        <t xml:space="preserve">SODIMM Memory</t>
      </text>
    </comment>
    <comment authorId="0" ref="M34">
      <text>
        <t xml:space="preserve">ECC Support</t>
      </text>
    </comment>
    <comment authorId="0" ref="P34">
      <text>
        <t xml:space="preserve">via two OCuLink connectors</t>
      </text>
    </comment>
    <comment authorId="0" ref="Q34">
      <text>
        <t xml:space="preserve">M2_1 = PCIe 4.0x4 or SATA 3.0</t>
      </text>
    </comment>
    <comment authorId="0" ref="AU34">
      <text>
        <t xml:space="preserve">VGA output provided by ASPEED AST2500 </t>
      </text>
    </comment>
    <comment authorId="0" ref="J35">
      <text>
        <t xml:space="preserve">Can update BIOS without CPU through BMC</t>
      </text>
    </comment>
    <comment authorId="0" ref="L35">
      <text>
        <t xml:space="preserve">SODIMM Memory</t>
      </text>
    </comment>
    <comment authorId="0" ref="M35">
      <text>
        <t xml:space="preserve">ECC Support</t>
      </text>
    </comment>
    <comment authorId="0" ref="P35">
      <text>
        <t xml:space="preserve">via two OCuLink connectors</t>
      </text>
    </comment>
    <comment authorId="0" ref="Q35">
      <text>
        <t xml:space="preserve">M2_1 = PCIe 4.0x4 or SATA 3.0</t>
      </text>
    </comment>
    <comment authorId="0" ref="AU35">
      <text>
        <t xml:space="preserve">VGA output provided by ASPEED AST2500 </t>
      </text>
    </comment>
    <comment authorId="0" ref="Q36">
      <text>
        <t xml:space="preserve">M2_1 = PCIe 4.0x4 or SATA 3.0
M2_2 = PCIe 4.0x4 or SATA 3.0</t>
      </text>
    </comment>
    <comment authorId="0" ref="AR36">
      <text>
        <t xml:space="preserve">DisplayPort 1.4</t>
      </text>
    </comment>
    <comment authorId="0" ref="AS36">
      <text>
        <t xml:space="preserve">HDMI 2.0b</t>
      </text>
    </comment>
    <comment authorId="0" ref="Q37">
      <text>
        <t xml:space="preserve">M2_1 = PCIe 4.0x4 or SATA 3.0
M2_2 = PCIe 4.0x4 or SATA 3.0</t>
      </text>
    </comment>
    <comment authorId="0" ref="AR37">
      <text>
        <t xml:space="preserve">DisplayPort 1.2</t>
      </text>
    </comment>
    <comment authorId="0" ref="AS37">
      <text>
        <t xml:space="preserve">HDMI 2.0</t>
      </text>
    </comment>
    <comment authorId="0" ref="Q38">
      <text>
        <t xml:space="preserve">M2_1 = PCIe 4.0x4 or SATA 3.0
M2_2 = PCIe 4.0x4 or SATA 3.0</t>
      </text>
    </comment>
    <comment authorId="0" ref="AJ38">
      <text>
        <t xml:space="preserve">Wi-Fi 6 with PCB rev 1.0
Wi-Fi 6E with PCB rev 1.1</t>
      </text>
    </comment>
    <comment authorId="0" ref="AK38">
      <text>
        <t xml:space="preserve">Intel Wi-Fi 6 AX200 with PCB rev 1.0
AMD Wi-Fi 6E RZ608 (Mediatek MT7921K) with PCB rev 1.1</t>
      </text>
    </comment>
    <comment authorId="0" ref="AL38">
      <text>
        <t xml:space="preserve">2400 Mbps with PCB rev 1.0
1200 Mbps with PCB rev 1.1</t>
      </text>
    </comment>
    <comment authorId="0" ref="AR38">
      <text>
        <t xml:space="preserve">DisplayPort 1.4</t>
      </text>
    </comment>
    <comment authorId="0" ref="AS38">
      <text>
        <t xml:space="preserve">HDMI 2.1</t>
      </text>
    </comment>
    <comment authorId="0" ref="AV38">
      <text>
        <t xml:space="preserve">1x4pin + 2xmini 4pins</t>
      </text>
    </comment>
    <comment authorId="0" ref="Q39">
      <text>
        <t xml:space="preserve">M2_1 = PCIe 4.0x4
M2_2 = PCIe 3.0x4</t>
      </text>
    </comment>
    <comment authorId="0" ref="AS39">
      <text>
        <t xml:space="preserve">HDMI 2.1</t>
      </text>
    </comment>
    <comment authorId="0" ref="Q40">
      <text>
        <t xml:space="preserve">M2_1 = PCIe 4.0x4</t>
      </text>
    </comment>
    <comment authorId="0" ref="AR40">
      <text>
        <t xml:space="preserve">DisplayPort 1.4</t>
      </text>
    </comment>
    <comment authorId="0" ref="AS40">
      <text>
        <t xml:space="preserve">HDMI 2.1</t>
      </text>
    </comment>
    <comment authorId="0" ref="Q41">
      <text>
        <t xml:space="preserve">M2_1 = PCIe 5.0x4
M2_2 = PCIe 4.0x4</t>
      </text>
    </comment>
    <comment authorId="0" ref="AS41">
      <text>
        <t xml:space="preserve">HDMI 2.1</t>
      </text>
    </comment>
    <comment authorId="0" ref="Q42">
      <text>
        <t xml:space="preserve">M2_1 = PCIe 5.0x4
M2_2 = PCIe 4.0x4
M2_3 = PCIe 4.0x4</t>
      </text>
    </comment>
    <comment authorId="0" ref="AR42">
      <text>
        <t xml:space="preserve">1xDisplayPort 1.4
1xUSB-C through DP-Alt mode</t>
      </text>
    </comment>
    <comment authorId="0" ref="AS42">
      <text>
        <t xml:space="preserve">HDMI 2.1</t>
      </text>
    </comment>
    <comment authorId="0" ref="AV42">
      <text>
        <t xml:space="preserve">1x4pin + 2xmini 4pins</t>
      </text>
    </comment>
    <comment authorId="0" ref="Q43">
      <text>
        <t xml:space="preserve">M2_1 = PCIe 4.0x4</t>
      </text>
    </comment>
    <comment authorId="0" ref="AR43">
      <text>
        <t xml:space="preserve">DisplayPort 1.4</t>
      </text>
    </comment>
    <comment authorId="0" ref="AS43">
      <text>
        <t xml:space="preserve">HDMI 2.1</t>
      </text>
    </comment>
    <comment authorId="0" ref="Q44">
      <text>
        <t xml:space="preserve">M2_1 = PCIe 4.0x4
M2_2 = PCIe 4.0x4</t>
      </text>
    </comment>
    <comment authorId="0" ref="AS44">
      <text>
        <t xml:space="preserve">HDMI 2.1</t>
      </text>
    </comment>
    <comment authorId="0" ref="Q45">
      <text>
        <t xml:space="preserve">M2_1 = PCIe 5.0x4
M2_2 = PCIe 4.0x4</t>
      </text>
    </comment>
    <comment authorId="0" ref="AS45">
      <text>
        <t xml:space="preserve">HDMI 2.1</t>
      </text>
    </comment>
    <comment authorId="0" ref="Q46">
      <text>
        <t xml:space="preserve">M2_1 = PCIe 5.0x4
M2_2 = PCIe 4.0x4</t>
      </text>
    </comment>
    <comment authorId="0" ref="AR46">
      <text>
        <t xml:space="preserve">via USB-C DP-Alt mode</t>
      </text>
    </comment>
    <comment authorId="0" ref="AS46">
      <text>
        <t xml:space="preserve">HDMI 2.1</t>
      </text>
    </comment>
    <comment authorId="0" ref="J47">
      <text>
        <t xml:space="preserve">From external ROG Strix Hive Dock</t>
      </text>
    </comment>
    <comment authorId="0" ref="Q47">
      <text>
        <t xml:space="preserve">M2_1 = PCIe 5.0x4
M2_2 = PCIe 4.0x4</t>
      </text>
    </comment>
    <comment authorId="0" ref="R47">
      <text>
        <t xml:space="preserve">3 ports in rear I/O + 1 port from ROG Strix Hive Dock</t>
      </text>
    </comment>
    <comment authorId="0" ref="W47">
      <text>
        <t xml:space="preserve">from ROG Strix Hive Dock</t>
      </text>
    </comment>
    <comment authorId="0" ref="AN47">
      <text>
        <t xml:space="preserve">From external ROG Strix Hive Dock</t>
      </text>
    </comment>
    <comment authorId="0" ref="AO47">
      <text>
        <t xml:space="preserve">From external ROG Strix Hive Dock</t>
      </text>
    </comment>
    <comment authorId="0" ref="AP47">
      <text>
        <t xml:space="preserve">From external ROG Strix Hive Dock</t>
      </text>
    </comment>
    <comment authorId="0" ref="AR47">
      <text>
        <t xml:space="preserve">via USB4 DP-Alt mode</t>
      </text>
    </comment>
    <comment authorId="0" ref="AS47">
      <text>
        <t xml:space="preserve">HDMI 2.1</t>
      </text>
    </comment>
    <comment authorId="0" ref="AY47">
      <text>
        <t xml:space="preserve">From external ROG Strix Hive Dock</t>
      </text>
    </comment>
    <comment authorId="0" ref="AS52">
      <text>
        <t xml:space="preserve">HDMI 1.4</t>
      </text>
    </comment>
    <comment authorId="0" ref="AS53">
      <text>
        <t xml:space="preserve">HDMI 1.4</t>
      </text>
    </comment>
    <comment authorId="0" ref="AS57">
      <text>
        <t xml:space="preserve">HDMI 1.4</t>
      </text>
    </comment>
    <comment authorId="0" ref="AS58">
      <text>
        <t xml:space="preserve">HDMI 1.4</t>
      </text>
    </comment>
    <comment authorId="0" ref="AS59">
      <text>
        <t xml:space="preserve">HDMI 1.4</t>
      </text>
    </comment>
    <comment authorId="0" ref="AS60">
      <text>
        <t xml:space="preserve">HDMI 1.4</t>
      </text>
    </comment>
    <comment authorId="0" ref="AS65">
      <text>
        <t xml:space="preserve">HDMI 1.4</t>
      </text>
    </comment>
    <comment authorId="0" ref="AS66">
      <text>
        <t xml:space="preserve">HDMI 1.4</t>
      </text>
    </comment>
    <comment authorId="0" ref="AR67">
      <text>
        <t xml:space="preserve">DisplayPort 1.2</t>
      </text>
    </comment>
    <comment authorId="0" ref="AS67">
      <text>
        <t xml:space="preserve">1xHDMI 2.0 + 1xHDMI 1.4</t>
      </text>
    </comment>
    <comment authorId="0" ref="AR68">
      <text>
        <t xml:space="preserve">DisplayPort 1.2</t>
      </text>
    </comment>
    <comment authorId="0" ref="AS71">
      <text>
        <t xml:space="preserve">HDMI 1.4a</t>
      </text>
    </comment>
    <comment authorId="0" ref="AR72">
      <text>
        <t xml:space="preserve">DisplayPort 1.2</t>
      </text>
    </comment>
    <comment authorId="0" ref="AS72">
      <text>
        <t xml:space="preserve">HDMI 1.4</t>
      </text>
    </comment>
    <comment authorId="0" ref="AS73">
      <text>
        <t xml:space="preserve">HDMI 1.4</t>
      </text>
    </comment>
    <comment authorId="0" ref="AS74">
      <text>
        <t xml:space="preserve">HDMI 1.4</t>
      </text>
    </comment>
    <comment authorId="0" ref="AS75">
      <text>
        <t xml:space="preserve">HDMI 1.4</t>
      </text>
    </comment>
    <comment authorId="0" ref="AR76">
      <text>
        <t xml:space="preserve">DisplayPort 1.2</t>
      </text>
    </comment>
    <comment authorId="0" ref="AR77">
      <text>
        <t xml:space="preserve">DisplayPort 1.2</t>
      </text>
    </comment>
    <comment authorId="0" ref="AS77">
      <text>
        <t xml:space="preserve">HDMI 1.4</t>
      </text>
    </comment>
    <comment authorId="0" ref="AR81">
      <text>
        <t xml:space="preserve">DisplayPort 1.2</t>
      </text>
    </comment>
    <comment authorId="0" ref="AS82">
      <text>
        <t xml:space="preserve">HDMI 1.4</t>
      </text>
    </comment>
    <comment authorId="0" ref="AR84">
      <text>
        <t xml:space="preserve">DisplayPort 1.2</t>
      </text>
    </comment>
    <comment authorId="0" ref="AS84">
      <text>
        <t xml:space="preserve">HDMI 2.0</t>
      </text>
    </comment>
    <comment authorId="0" ref="AR87">
      <text>
        <t xml:space="preserve">DisplayPort 1.2</t>
      </text>
    </comment>
    <comment authorId="0" ref="AS87">
      <text>
        <t xml:space="preserve">HDMI 1.4</t>
      </text>
    </comment>
    <comment authorId="0" ref="AR88">
      <text>
        <t xml:space="preserve">DisplayPort 1.2</t>
      </text>
    </comment>
    <comment authorId="0" ref="AS88">
      <text>
        <t xml:space="preserve">HDMI 1.4</t>
      </text>
    </comment>
    <comment authorId="0" ref="AS89">
      <text>
        <t xml:space="preserve">HDMI 1.4</t>
      </text>
    </comment>
    <comment authorId="0" ref="AR90">
      <text>
        <t xml:space="preserve">DisplayPort 1.2</t>
      </text>
    </comment>
    <comment authorId="0" ref="AS90">
      <text>
        <t xml:space="preserve">HDMI 1.4</t>
      </text>
    </comment>
    <comment authorId="0" ref="AR91">
      <text>
        <t xml:space="preserve">DisplayPort 1.2</t>
      </text>
    </comment>
    <comment authorId="0" ref="AS92">
      <text>
        <t xml:space="preserve">HDMI 1.4b</t>
      </text>
    </comment>
    <comment authorId="0" ref="AS93">
      <text>
        <t xml:space="preserve">HDMI 1.4b</t>
      </text>
    </comment>
    <comment authorId="0" ref="AS94">
      <text>
        <t xml:space="preserve">HDMI 1.4</t>
      </text>
    </comment>
    <comment authorId="0" ref="AR96">
      <text>
        <t xml:space="preserve">DisplayPort 1.2</t>
      </text>
    </comment>
    <comment authorId="0" ref="AS96">
      <text>
        <t xml:space="preserve">HDMI 1.4</t>
      </text>
    </comment>
    <comment authorId="0" ref="AR97">
      <text>
        <t xml:space="preserve">DisplayPort 1.2</t>
      </text>
    </comment>
    <comment authorId="0" ref="AR98">
      <text>
        <t xml:space="preserve">DisplayPort 1.2</t>
      </text>
    </comment>
    <comment authorId="0" ref="AS98">
      <text>
        <t xml:space="preserve">HDMI 1.4</t>
      </text>
    </comment>
    <comment authorId="0" ref="AS99">
      <text>
        <t xml:space="preserve">HDMI 1.4</t>
      </text>
    </comment>
    <comment authorId="0" ref="AS100">
      <text>
        <t xml:space="preserve">HDMI 1.4</t>
      </text>
    </comment>
    <comment authorId="0" ref="AR102">
      <text>
        <t xml:space="preserve">DisplayPort 1.2</t>
      </text>
    </comment>
    <comment authorId="0" ref="AS102">
      <text>
        <t xml:space="preserve">HDMI 1.4</t>
      </text>
    </comment>
    <comment authorId="0" ref="AR103">
      <text>
        <t xml:space="preserve">DisplayPort 1.2</t>
      </text>
    </comment>
    <comment authorId="0" ref="AR104">
      <text>
        <t xml:space="preserve">DisplayPort 1.2</t>
      </text>
    </comment>
    <comment authorId="0" ref="AR105">
      <text>
        <t xml:space="preserve">DisplayPort 1.2</t>
      </text>
    </comment>
    <comment authorId="0" ref="AS105">
      <text>
        <t xml:space="preserve">HDMI 2.0</t>
      </text>
    </comment>
    <comment authorId="0" ref="AR106">
      <text>
        <t xml:space="preserve">DisplayPort 1.2</t>
      </text>
    </comment>
    <comment authorId="0" ref="AS106">
      <text>
        <t xml:space="preserve">1xHDMI 2.0 + 1xHDMI 1.4</t>
      </text>
    </comment>
    <comment authorId="0" ref="AR107">
      <text>
        <t xml:space="preserve">DisplayPort 1.2</t>
      </text>
    </comment>
    <comment authorId="0" ref="AS107">
      <text>
        <t xml:space="preserve">HDMI 2.0</t>
      </text>
    </comment>
    <comment authorId="0" ref="AR108">
      <text>
        <t xml:space="preserve">DisplayPort 1.2</t>
      </text>
    </comment>
    <comment authorId="0" ref="AR110">
      <text>
        <t xml:space="preserve">DisplayPort 1.2</t>
      </text>
    </comment>
    <comment authorId="0" ref="AS110">
      <text>
        <t xml:space="preserve">1xHDMI 2.0 + 1xHDMI 1.4</t>
      </text>
    </comment>
    <comment authorId="0" ref="AR111">
      <text>
        <t xml:space="preserve">DisplayPort 1.2</t>
      </text>
    </comment>
    <comment authorId="0" ref="AS111">
      <text>
        <t xml:space="preserve">HDMI 1.4</t>
      </text>
    </comment>
    <comment authorId="0" ref="AR112">
      <text>
        <t xml:space="preserve">DisplayPort 1.2</t>
      </text>
    </comment>
    <comment authorId="0" ref="AS112">
      <text>
        <t xml:space="preserve">HDMI 2.0</t>
      </text>
    </comment>
    <comment authorId="0" ref="AR113">
      <text>
        <t xml:space="preserve">DisplayPort 1.2</t>
      </text>
    </comment>
    <comment authorId="0" ref="AS113">
      <text>
        <t xml:space="preserve">HDMI 1.4</t>
      </text>
    </comment>
    <comment authorId="0" ref="AR114">
      <text>
        <t xml:space="preserve">DisplayPort 1.2</t>
      </text>
    </comment>
    <comment authorId="0" ref="AS114">
      <text>
        <t xml:space="preserve">HDMI 2.0</t>
      </text>
    </comment>
    <comment authorId="0" ref="AR115">
      <text>
        <t xml:space="preserve">DisplayPort 1.2</t>
      </text>
    </comment>
    <comment authorId="0" ref="AS115">
      <text>
        <t xml:space="preserve">HDMI 2.0</t>
      </text>
    </comment>
    <comment authorId="0" ref="Q117">
      <text>
        <t xml:space="preserve">M2_1 = PCIe 3.0x4 or SATA 3.0</t>
      </text>
    </comment>
    <comment authorId="0" ref="AR117">
      <text>
        <t xml:space="preserve">DisplayPort 1.4</t>
      </text>
    </comment>
    <comment authorId="0" ref="AS117">
      <text>
        <t xml:space="preserve">HDMI 1.4</t>
      </text>
    </comment>
    <comment authorId="0" ref="Q118">
      <text>
        <t xml:space="preserve">M2_1 = PCIe 3.0x4</t>
      </text>
    </comment>
    <comment authorId="0" ref="AS118">
      <text>
        <t xml:space="preserve">HDMI 1.4b</t>
      </text>
    </comment>
    <comment authorId="0" ref="L119">
      <text>
        <t xml:space="preserve">SODIMM Memory</t>
      </text>
    </comment>
    <comment authorId="0" ref="Q119">
      <text>
        <t xml:space="preserve">M2_1 = PCIe 3.0x4 or SATA 3.0</t>
      </text>
    </comment>
    <comment authorId="0" ref="AR119">
      <text>
        <t xml:space="preserve">DisplayPort 1.2</t>
      </text>
    </comment>
    <comment authorId="0" ref="AS119">
      <text>
        <t xml:space="preserve">HDMI 2.0</t>
      </text>
    </comment>
    <comment authorId="0" ref="Q120">
      <text>
        <t xml:space="preserve">M2_1 = PCIe 3.0x4 or SATA 3.0</t>
      </text>
    </comment>
    <comment authorId="0" ref="Q121">
      <text>
        <t xml:space="preserve">M2_1 = PCIe 3.0x4 or SATA 3.0</t>
      </text>
    </comment>
    <comment authorId="0" ref="AR121">
      <text>
        <t xml:space="preserve">DisplayPort 1.4</t>
      </text>
    </comment>
    <comment authorId="0" ref="AS121">
      <text>
        <t xml:space="preserve">HDMI 1.4</t>
      </text>
    </comment>
    <comment authorId="0" ref="Q122">
      <text>
        <t xml:space="preserve">M2_1 = PCIe 3.0x4</t>
      </text>
    </comment>
    <comment authorId="0" ref="AR122">
      <text>
        <t xml:space="preserve">DisplayPort 1.4</t>
      </text>
    </comment>
    <comment authorId="0" ref="AS122">
      <text>
        <t xml:space="preserve">HDMI 1.4b</t>
      </text>
    </comment>
    <comment authorId="0" ref="Q123">
      <text>
        <t xml:space="preserve">M2_1 = PCIe 3.0x4 or SATA 3.0
M2_2 = PCIe 3.0x4</t>
      </text>
    </comment>
    <comment authorId="0" ref="S123">
      <text>
        <t xml:space="preserve">"Audio Type-C" port with included dongle</t>
      </text>
    </comment>
    <comment authorId="0" ref="AR123">
      <text>
        <t xml:space="preserve">DisplayPort 1.4</t>
      </text>
    </comment>
    <comment authorId="0" ref="AS123">
      <text>
        <t xml:space="preserve">HDMI 1.4b</t>
      </text>
    </comment>
    <comment authorId="0" ref="Q124">
      <text>
        <t xml:space="preserve">M2_1 = PCIe 3.0x4 or SATA 3.0</t>
      </text>
    </comment>
    <comment authorId="0" ref="Q125">
      <text>
        <t xml:space="preserve">M2_1 = PCIe 3.0x4 or SATA 3.0</t>
      </text>
    </comment>
    <comment authorId="0" ref="L126">
      <text>
        <t xml:space="preserve">SODIMM Memory</t>
      </text>
    </comment>
    <comment authorId="0" ref="Q126">
      <text>
        <t xml:space="preserve">M2_1 = PCIe 3.0x4 or SATA 3.0</t>
      </text>
    </comment>
    <comment authorId="0" ref="AR126">
      <text>
        <t xml:space="preserve">DisplayPort 1.2</t>
      </text>
    </comment>
    <comment authorId="0" ref="AS126">
      <text>
        <t xml:space="preserve">HDMI 2.0</t>
      </text>
    </comment>
    <comment authorId="0" ref="Q127">
      <text>
        <t xml:space="preserve">M2_1 = PCIe 3.0x4 or SATA 3.0
M2_2 = PCIe 3.0x4</t>
      </text>
    </comment>
    <comment authorId="0" ref="Q128">
      <text>
        <t xml:space="preserve">M2_1 = PCIe 3.0x4 or SATA 3.0
M2_2 = PCIe 3.0x4</t>
      </text>
    </comment>
    <comment authorId="0" ref="AR128">
      <text>
        <t xml:space="preserve">DisplayPort 1.4</t>
      </text>
    </comment>
    <comment authorId="0" ref="AS128">
      <text>
        <t xml:space="preserve">HDMI 1.4</t>
      </text>
    </comment>
    <comment authorId="0" ref="Q129">
      <text>
        <t xml:space="preserve">M2_1 = PCIe 3.0x4 or SATA 3.0
M2_2 = PCIe 3.0x4</t>
      </text>
    </comment>
    <comment authorId="0" ref="S129">
      <text>
        <t xml:space="preserve">"Audio Type-C" port with included dongle</t>
      </text>
    </comment>
    <comment authorId="0" ref="AR129">
      <text>
        <t xml:space="preserve">DisplayPort 1.4</t>
      </text>
    </comment>
    <comment authorId="0" ref="AS129">
      <text>
        <t xml:space="preserve">HDMI 1.4b</t>
      </text>
    </comment>
    <comment authorId="0" ref="Q130">
      <text>
        <t xml:space="preserve">M2_1 = PCIe 3.0x4 or SATA 3.0
M2_2 = PCIe 3.0x4</t>
      </text>
    </comment>
    <comment authorId="0" ref="AR130">
      <text>
        <t xml:space="preserve">DisplayPort 1.4</t>
      </text>
    </comment>
    <comment authorId="0" ref="AS130">
      <text>
        <t xml:space="preserve">1xHDMI 2.0 + 1xHDMI 1.4</t>
      </text>
    </comment>
    <comment authorId="0" ref="AV130">
      <text>
        <t xml:space="preserve">1x4-pin + 2xMini 4-pins</t>
      </text>
    </comment>
    <comment authorId="0" ref="Q131">
      <text>
        <t xml:space="preserve">M2_1 = PCIe 3.0x4 or SATA 3.0
M2_2 = PCIe 3.0x4</t>
      </text>
    </comment>
    <comment authorId="0" ref="AR131">
      <text>
        <t xml:space="preserve">DisplayPort 1.4</t>
      </text>
    </comment>
    <comment authorId="0" ref="AS131">
      <text>
        <t xml:space="preserve">HDMI 1.4</t>
      </text>
    </comment>
    <comment authorId="0" ref="Q132">
      <text>
        <t xml:space="preserve">M2_1 = PCIe 3.0x4 or SATA 3.0
M2_2 = PCIe 3.0x4 or SATA 3.0</t>
      </text>
    </comment>
    <comment authorId="0" ref="AR132">
      <text>
        <t xml:space="preserve">DisplayPort 1.4</t>
      </text>
    </comment>
    <comment authorId="0" ref="AS132">
      <text>
        <t xml:space="preserve">HDMI 2.0</t>
      </text>
    </comment>
    <comment authorId="0" ref="Q133">
      <text>
        <t xml:space="preserve">M2_1 = PCIe 3.0x4 or SATA 3.0
M2_2 = PCIe 3.0x4 or SATA 3.0</t>
      </text>
    </comment>
    <comment authorId="0" ref="AR133">
      <text>
        <t xml:space="preserve">DisplayPort 1.4</t>
      </text>
    </comment>
    <comment authorId="0" ref="AS133">
      <text>
        <t xml:space="preserve">HDMI 2.0a</t>
      </text>
    </comment>
    <comment authorId="0" ref="Q134">
      <text>
        <t xml:space="preserve">M2_1 = PCIe 3.0x4 or SATA 3.0</t>
      </text>
    </comment>
    <comment authorId="0" ref="Q135">
      <text>
        <t xml:space="preserve">M2_1 = PCIe 3.0x4 or SATA 3.0</t>
      </text>
    </comment>
    <comment authorId="0" ref="Q136">
      <text>
        <t xml:space="preserve">M2_1 = PCIe 3.0x4 or SATA 3.0
M2_2 = PCIe 3.0x4 or SATA 3.0</t>
      </text>
    </comment>
    <comment authorId="0" ref="AR136">
      <text>
        <t xml:space="preserve">DisplayPort 1.4</t>
      </text>
    </comment>
    <comment authorId="0" ref="AS136">
      <text>
        <t xml:space="preserve">HDMI 2.0</t>
      </text>
    </comment>
    <comment authorId="0" ref="AV136">
      <text>
        <t xml:space="preserve">1x4-pin + 3xMini 4-pins</t>
      </text>
    </comment>
    <comment authorId="0" ref="Q137">
      <text>
        <t xml:space="preserve">M2_1 = PCIe 4.0x4 with 11th Gen CPU. PCIe 3.0x4 or SATA 3.0 with 10th Gen CPU
M2_2 = PCIe 3.0x4</t>
      </text>
    </comment>
    <comment authorId="0" ref="F138">
      <text>
        <t xml:space="preserve">PCIe 4.0x16 with 11th Gen Intel Rocket Lake S CPU
PCIe 3.0x16 with 10th Gen Intel Comet Lake S CPU</t>
      </text>
    </comment>
    <comment authorId="0" ref="Q138">
      <text>
        <t xml:space="preserve">M2_1 = PCIe 3.0x4 or SATA 3.0</t>
      </text>
    </comment>
    <comment authorId="0" ref="AR138">
      <text>
        <t xml:space="preserve">DisplayPort 1.4</t>
      </text>
    </comment>
    <comment authorId="0" ref="AS138">
      <text>
        <t xml:space="preserve">HDMI 2.0</t>
      </text>
    </comment>
    <comment authorId="0" ref="F139">
      <text>
        <t xml:space="preserve">PCIe 4.0x16 with 11th Gen Intel Rocket Lake S CPU
PCIe 3.0x16 with 10th Gen Intel Comet Lake S CPU</t>
      </text>
    </comment>
    <comment authorId="0" ref="Q139">
      <text>
        <t xml:space="preserve">M2_1 = PCIe 3.0x4 or SATA 3.0</t>
      </text>
    </comment>
    <comment authorId="0" ref="AR139">
      <text>
        <t xml:space="preserve">DisplayPort 1.4</t>
      </text>
    </comment>
    <comment authorId="0" ref="AS139">
      <text>
        <t xml:space="preserve">HDMI 2.0b</t>
      </text>
    </comment>
    <comment authorId="0" ref="F140">
      <text>
        <t xml:space="preserve">PCIe 4.0x16 with 11th Gen Intel Rocket Lake S CPU
PCIe 3.0x16 with 10th Gen Intel Comet Lake S CPU</t>
      </text>
    </comment>
    <comment authorId="0" ref="Q140">
      <text>
        <t xml:space="preserve">M2_1 = PCIe 4.0x4 or SATA 3.0 with 11th Gen CPU. PCIe 3.0x4 or SATA 3.0 with 10th Gen CPU</t>
      </text>
    </comment>
    <comment authorId="0" ref="AR140">
      <text>
        <t xml:space="preserve">DisplayPort 1.4</t>
      </text>
    </comment>
    <comment authorId="0" ref="AS140">
      <text>
        <t xml:space="preserve">HDMI 2.0</t>
      </text>
    </comment>
    <comment authorId="0" ref="F141">
      <text>
        <t xml:space="preserve">PCIe 4.0x16 with 11th Gen Intel Rocket Lake S CPU
PCIe 3.0x16 with 10th Gen Intel Comet Lake S CPU</t>
      </text>
    </comment>
    <comment authorId="0" ref="Q141">
      <text>
        <t xml:space="preserve">M2_1 = PCIe 4.0x4 with 11th Gen CPU. Disabled with 10th Gen CPU
M2_2 = PCIe 3.0x4 or SATA 3.0</t>
      </text>
    </comment>
    <comment authorId="0" ref="AR141">
      <text>
        <t xml:space="preserve">DisplayPort 1.4</t>
      </text>
    </comment>
    <comment authorId="0" ref="AS141">
      <text>
        <t xml:space="preserve">HDMI 2.0</t>
      </text>
    </comment>
    <comment authorId="0" ref="F142">
      <text>
        <t xml:space="preserve">PCIe 4.0x16 with 11th Gen Intel Rocket Lake S CPU
PCIe 3.0x16 with 10th Gen Intel Comet Lake S CPU</t>
      </text>
    </comment>
    <comment authorId="0" ref="Q142">
      <text>
        <t xml:space="preserve">M2_1 = PCIe 3.0x4 or SATA 3.0</t>
      </text>
    </comment>
    <comment authorId="0" ref="F143">
      <text>
        <t xml:space="preserve">PCIe 4.0x16 with 11th Gen Intel Rocket Lake S CPU
PCIe 3.0x16 with 10th Gen Intel Comet Lake S CPU</t>
      </text>
    </comment>
    <comment authorId="0" ref="Q143">
      <text>
        <t xml:space="preserve">M2_1 = PCIe 3.0x4 or SATA 3.0</t>
      </text>
    </comment>
    <comment authorId="0" ref="F144">
      <text>
        <t xml:space="preserve">PCIe 4.0x16 with 11th Gen Intel Rocket Lake S CPU
PCIe 3.0x16 with 10th Gen Intel Comet Lake S CPU</t>
      </text>
    </comment>
    <comment authorId="0" ref="Q144">
      <text>
        <t xml:space="preserve">M2_1 = PCIe 4.0x4 with 11th Gen CPU. Disabled with 10th Gen CPU
M2_2 = PCIe 3.0x4 or SATA 3.0</t>
      </text>
    </comment>
    <comment authorId="0" ref="AR144">
      <text>
        <t xml:space="preserve">DisplayPort 1.2</t>
      </text>
    </comment>
    <comment authorId="0" ref="AS144">
      <text>
        <t xml:space="preserve">HDMI 2.0</t>
      </text>
    </comment>
    <comment authorId="0" ref="AV144">
      <text>
        <t xml:space="preserve">1x4-pin + 2xMini 4-pins</t>
      </text>
    </comment>
    <comment authorId="0" ref="F145">
      <text>
        <t xml:space="preserve">PCIe 4.0x16 with 11th Gen Intel Rocket Lake S CPU
PCIe 3.0x16 with 10th Gen Intel Comet Lake S CPU</t>
      </text>
    </comment>
    <comment authorId="0" ref="Q145">
      <text>
        <t xml:space="preserve">M2_1 = PCIe 4.0x4 with 11th Gen CPU. PCIe 3.0x4 or SATA 3.0 with 10th Gen CPU
M2_2 = PCIe 3.0x4</t>
      </text>
    </comment>
    <comment authorId="0" ref="AR145">
      <text>
        <t xml:space="preserve">DisplayPort 1.4</t>
      </text>
    </comment>
    <comment authorId="0" ref="AS145">
      <text>
        <t xml:space="preserve">HDMI 2.0b</t>
      </text>
    </comment>
    <comment authorId="0" ref="F146">
      <text>
        <t xml:space="preserve">PCIe 4.0x16 with 11th Gen Intel Rocket Lake S CPU
PCIe 3.0x16 with 10th Gen Intel Comet Lake S CPU</t>
      </text>
    </comment>
    <comment authorId="0" ref="Q146">
      <text>
        <t xml:space="preserve">M2_1 = PCIe 4.0x4 with 11th Gen CPU. Disabled with 10th Gen CPU
M2_2 = PCIe 3.0x4 or SATA 3.0</t>
      </text>
    </comment>
    <comment authorId="0" ref="AR146">
      <text>
        <t xml:space="preserve">DisplayPort 1.4</t>
      </text>
    </comment>
    <comment authorId="0" ref="AS146">
      <text>
        <t xml:space="preserve">HDMI 2.0</t>
      </text>
    </comment>
    <comment authorId="0" ref="F147">
      <text>
        <t xml:space="preserve">PCIe 4.0x16 with 11th Gen Intel Rocket Lake S CPU
PCIe 3.0x16 with 10th Gen Intel Comet Lake S CPU</t>
      </text>
    </comment>
    <comment authorId="0" ref="Q147">
      <text>
        <t xml:space="preserve">M2_1 = PCIe 4.0x4 with 11th Gen CPU. Disabled with 10th Gen CPU
M2_2 = PCIe 3.0x4 or SATA 3.0</t>
      </text>
    </comment>
    <comment authorId="0" ref="AR147">
      <text>
        <t xml:space="preserve">DisplayPort 1.4</t>
      </text>
    </comment>
    <comment authorId="0" ref="AS147">
      <text>
        <t xml:space="preserve">HDMI 2.0</t>
      </text>
    </comment>
    <comment authorId="0" ref="F148">
      <text>
        <t xml:space="preserve">PCIe 4.0x16 with 11th Gen Intel Rocket Lake S CPU
PCIe 3.0x16 with 10th Gen Intel Comet Lake S CPU</t>
      </text>
    </comment>
    <comment authorId="0" ref="Q148">
      <text>
        <t xml:space="preserve">M2_1 = PCIe 4.0x4 with 11th Gen CPU. Disabled with 10th Gen CPU
M2_2 = PCIe 3.0x4 or SATA 3.0</t>
      </text>
    </comment>
    <comment authorId="0" ref="AR148">
      <text>
        <t xml:space="preserve">DisplayPort 1.4</t>
      </text>
    </comment>
    <comment authorId="0" ref="AS148">
      <text>
        <t xml:space="preserve">HDMI 2.0</t>
      </text>
    </comment>
    <comment authorId="0" ref="F149">
      <text>
        <t xml:space="preserve">PCIe 4.0x16 with 11th Gen Intel Rocket Lake S CPU
PCIe 3.0x16 with 10th Gen Intel Comet Lake S CPU</t>
      </text>
    </comment>
    <comment authorId="0" ref="Q149">
      <text>
        <t xml:space="preserve">M2_1 = PCIe 4.0x4 with 11th Gen CPU. Disabled with 10th Gen CPU
M2_2 = PCIe 3.0x4 or SATA 3.0</t>
      </text>
    </comment>
    <comment authorId="0" ref="AS149">
      <text>
        <t xml:space="preserve">HDMI 2.0</t>
      </text>
    </comment>
    <comment authorId="0" ref="F150">
      <text>
        <t xml:space="preserve">PCIe 4.0x16 with 11th Gen Intel Rocket Lake S CPU
PCIe 3.0x16 with 10th Gen Intel Comet Lake S CPU</t>
      </text>
    </comment>
    <comment authorId="0" ref="Q150">
      <text>
        <t xml:space="preserve">M2_1 = PCIe 4.0x4 with 11th Gen CPU. Disabled with 10th Gen CPU
M2_2 = PCIe 3.0x4 or SATA 3.0</t>
      </text>
    </comment>
    <comment authorId="0" ref="AS150">
      <text>
        <t xml:space="preserve">HDMI 2.0</t>
      </text>
    </comment>
    <comment authorId="0" ref="F151">
      <text>
        <t xml:space="preserve">PCIe 4.0x16 with 11th Gen Intel Rocket Lake S CPU
PCIe 3.0x16 with 10th Gen Intel Comet Lake S CPU</t>
      </text>
    </comment>
    <comment authorId="0" ref="Q151">
      <text>
        <t xml:space="preserve">M2_1 = PCIe 4.0x4 with 11th Gen CPU. Disabled with 10th Gen CPU
M2_2 = PCIe 3.0x4 or SATA 3.0</t>
      </text>
    </comment>
    <comment authorId="0" ref="AR151">
      <text>
        <t xml:space="preserve">DisplayPort 1.4</t>
      </text>
    </comment>
    <comment authorId="0" ref="AS151">
      <text>
        <t xml:space="preserve">HDMI 2.0</t>
      </text>
    </comment>
    <comment authorId="0" ref="AV151">
      <text>
        <t xml:space="preserve">1x4-pin + 3xMini 4-pins</t>
      </text>
    </comment>
    <comment authorId="0" ref="F152">
      <text>
        <t xml:space="preserve">PCIe 4.0x16 with 11th Gen Intel Rocket Lake S CPU
PCIe 3.0x16 with 10th Gen Intel Comet Lake S CPU</t>
      </text>
    </comment>
    <comment authorId="0" ref="Q152">
      <text>
        <t xml:space="preserve">M2_1 = PCIe 4.0x4 with 11th Gen CPU. Disabled with 10th Gen CPU
M2_2 = PCIe 3.0x4 or SATA 3.0</t>
      </text>
    </comment>
    <comment authorId="0" ref="AR152">
      <text>
        <t xml:space="preserve">DisplayPort In Port for passthrough to Thunderbolt 4 port</t>
      </text>
    </comment>
    <comment authorId="0" ref="AV152">
      <text>
        <t xml:space="preserve">1x4-pin + 3xMini 4-pins</t>
      </text>
    </comment>
    <comment authorId="0" ref="F153">
      <text>
        <t xml:space="preserve">PCIe 4.0x16 with 11th Gen Intel Rocket Lake S CPU
PCIe 3.0x16 with 10th Gen Intel Comet Lake S CPU</t>
      </text>
    </comment>
    <comment authorId="0" ref="Q153">
      <text>
        <t xml:space="preserve">M2_1 = PCIe 4.0x4 with 11th Gen CPU. PCIe 3.0x4 or SATA 3.0 with 10th Gen CPU
M2_2 = PCIe 3.0x4</t>
      </text>
    </comment>
    <comment authorId="0" ref="AR153">
      <text>
        <t xml:space="preserve">1 x DisplayPort 1.4 +
2 x Mini DisplayPort input for passthrough to Thunderbolt 4 ports</t>
      </text>
    </comment>
    <comment authorId="0" ref="AS153">
      <text>
        <t xml:space="preserve">HDMI 2.0b</t>
      </text>
    </comment>
    <comment authorId="0" ref="Q154">
      <text>
        <t xml:space="preserve">M2_1 = PCIe 3.0x4 or SATA 3.0</t>
      </text>
    </comment>
    <comment authorId="0" ref="AR154">
      <text>
        <t xml:space="preserve">DisplayPort 1.4</t>
      </text>
    </comment>
    <comment authorId="0" ref="AS154">
      <text>
        <t xml:space="preserve">HDMI 2.1</t>
      </text>
    </comment>
    <comment authorId="0" ref="Q155">
      <text>
        <t xml:space="preserve">M2_1 = PCIe 3.0x4</t>
      </text>
    </comment>
    <comment authorId="0" ref="AR155">
      <text>
        <t xml:space="preserve">DisplayPort 1.4</t>
      </text>
    </comment>
    <comment authorId="0" ref="AS155">
      <text>
        <t xml:space="preserve">HDMI 2.1</t>
      </text>
    </comment>
    <comment authorId="0" ref="Q156">
      <text>
        <t xml:space="preserve">M2_1 = PCIe 3.0x4</t>
      </text>
    </comment>
    <comment authorId="0" ref="AR156">
      <text>
        <t xml:space="preserve">DisplayPort 1.2</t>
      </text>
    </comment>
    <comment authorId="0" ref="AS156">
      <text>
        <t xml:space="preserve">HDMI 2.1</t>
      </text>
    </comment>
    <comment authorId="0" ref="AV156">
      <text>
        <t xml:space="preserve">1x4-pin + 2xMini 4-pins</t>
      </text>
    </comment>
    <comment authorId="0" ref="Q157">
      <text>
        <t xml:space="preserve">M2_1 = PCIe 3.0x4</t>
      </text>
    </comment>
    <comment authorId="0" ref="AR157">
      <text>
        <t xml:space="preserve">DisplayPort 1.4</t>
      </text>
    </comment>
    <comment authorId="0" ref="AS157">
      <text>
        <t xml:space="preserve">HDMI 2.0</t>
      </text>
    </comment>
    <comment authorId="0" ref="Q158">
      <text>
        <t xml:space="preserve">M2_1 = PCIe 4.0x4 or SATA 3.0</t>
      </text>
    </comment>
    <comment authorId="0" ref="AR158">
      <text>
        <t xml:space="preserve">DisplayPort 1.4</t>
      </text>
    </comment>
    <comment authorId="0" ref="AS158">
      <text>
        <t xml:space="preserve">HDMI 2.1</t>
      </text>
    </comment>
    <comment authorId="0" ref="Q159">
      <text>
        <t xml:space="preserve">M2_1 = PCIe 4.0x4
M2_2 = PCIe 4.0x4</t>
      </text>
    </comment>
    <comment authorId="0" ref="AR159">
      <text>
        <t xml:space="preserve">DisplayPort 1.4</t>
      </text>
    </comment>
    <comment authorId="0" ref="AS159">
      <text>
        <t xml:space="preserve">HDMI 2.1</t>
      </text>
    </comment>
    <comment authorId="0" ref="Q160">
      <text>
        <t xml:space="preserve">M2_1 = PCIe 4.0x4
M2_2 = PCIe 4.0x4 or SATA 3.0</t>
      </text>
    </comment>
    <comment authorId="0" ref="Q161">
      <text>
        <t xml:space="preserve">M2_1 = PCIe 4.0x4
M2_2 = PCIe 4.0x4 or SATA 3.0</t>
      </text>
    </comment>
    <comment authorId="0" ref="Q162">
      <text>
        <t xml:space="preserve">M2_1 = PCIe 4.0x4 or SATA 3.0
M2_2 = PCIe 3.0x4</t>
      </text>
    </comment>
    <comment authorId="0" ref="Q163">
      <text>
        <t xml:space="preserve">M2_1 = PCIe 4.0x4 or SATA 3.0
M2_2 = PCIe 3.0x4</t>
      </text>
    </comment>
    <comment authorId="0" ref="Q164">
      <text>
        <t xml:space="preserve">M2_1 = PCIe 4.0x4</t>
      </text>
    </comment>
    <comment authorId="0" ref="AR164">
      <text>
        <t xml:space="preserve">DisplayPort 1.2</t>
      </text>
    </comment>
    <comment authorId="0" ref="AS164">
      <text>
        <t xml:space="preserve">HDMI 2.1</t>
      </text>
    </comment>
    <comment authorId="0" ref="AV164">
      <text>
        <t xml:space="preserve">1x4-pin + 2xMini 4-pins</t>
      </text>
    </comment>
    <comment authorId="0" ref="Q165">
      <text>
        <t xml:space="preserve">M2_1 = PCIe 4.0x4
M2_2 = PCIe 4.0x4 or SATA 3.0</t>
      </text>
    </comment>
    <comment authorId="0" ref="AR165">
      <text>
        <t xml:space="preserve">DisplayPort 1.4</t>
      </text>
    </comment>
    <comment authorId="0" ref="AS165">
      <text>
        <t xml:space="preserve">HDMI 2.1</t>
      </text>
    </comment>
    <comment authorId="0" ref="Q166">
      <text>
        <t xml:space="preserve">M2_1 = PCIe 4.0x4
M2_2 = PCIe 4.0x4 or SATA 3.0</t>
      </text>
    </comment>
    <comment authorId="0" ref="AR166">
      <text>
        <t xml:space="preserve">DisplayPort 1.4</t>
      </text>
    </comment>
    <comment authorId="0" ref="AS166">
      <text>
        <t xml:space="preserve">HDMI 2.1</t>
      </text>
    </comment>
    <comment authorId="0" ref="Q167">
      <text>
        <t xml:space="preserve">M2_1 = PCIe 4.0x4
M2_2 = PCIe 4.0x4 or SATA 3.0</t>
      </text>
    </comment>
    <comment authorId="0" ref="AR167">
      <text>
        <t xml:space="preserve">DisplayPort 1.4</t>
      </text>
    </comment>
    <comment authorId="0" ref="AS167">
      <text>
        <t xml:space="preserve">HDMI 2.1</t>
      </text>
    </comment>
    <comment authorId="0" ref="Q168">
      <text>
        <t xml:space="preserve">M2_1 = PCIe 4.0x4
M2_2 = PCIe 4.0x4 or SATA 3.0</t>
      </text>
    </comment>
    <comment authorId="0" ref="AS168">
      <text>
        <t xml:space="preserve">HDMI 2.1</t>
      </text>
    </comment>
    <comment authorId="0" ref="Q169">
      <text>
        <t xml:space="preserve">M2_1 = PCIe 4.0x4
M2_2 = PCIe 4.0x4</t>
      </text>
    </comment>
    <comment authorId="0" ref="AR169">
      <text>
        <t xml:space="preserve">DisplayPort 1.4</t>
      </text>
    </comment>
    <comment authorId="0" ref="AS169">
      <text>
        <t xml:space="preserve">HDMI 2.0</t>
      </text>
    </comment>
    <comment authorId="0" ref="AV169">
      <text>
        <t xml:space="preserve">1x4-pin + 3xMini 4-pins</t>
      </text>
    </comment>
    <comment authorId="0" ref="Q170">
      <text>
        <t xml:space="preserve">M2_1 = PCIe 4.0x4
M2_2 = PCIe 4.0x4</t>
      </text>
    </comment>
    <comment authorId="0" ref="AR170">
      <text>
        <t xml:space="preserve">DisplayPort 1.4</t>
      </text>
    </comment>
    <comment authorId="0" ref="AS170">
      <text>
        <t xml:space="preserve">HDMI 2.0</t>
      </text>
    </comment>
    <comment authorId="0" ref="AV170">
      <text>
        <t xml:space="preserve">1x4-pin + 3xMini 4-pins</t>
      </text>
    </comment>
    <comment authorId="0" ref="Q171">
      <text>
        <t xml:space="preserve">M2_1 = PCIe 4.0x4
M2_2 = PCIe 4.0x4</t>
      </text>
    </comment>
    <comment authorId="0" ref="AR171">
      <text>
        <t xml:space="preserve">DisplayPort 1.4</t>
      </text>
    </comment>
    <comment authorId="0" ref="AS171">
      <text>
        <t xml:space="preserve">HDMI 2.1</t>
      </text>
    </comment>
    <comment authorId="0" ref="AV171">
      <text>
        <t xml:space="preserve">1x4-pin + 3xMini 4-pins</t>
      </text>
    </comment>
    <comment authorId="0" ref="Q172">
      <text>
        <t xml:space="preserve">M2_1 = PCIe 4.0x4
M2_2 = PCIe 4.0x4</t>
      </text>
    </comment>
    <comment authorId="0" ref="AR172">
      <text>
        <t xml:space="preserve">DisplayPort 1.4</t>
      </text>
    </comment>
    <comment authorId="0" ref="AS172">
      <text>
        <t xml:space="preserve">HDMI 2.0</t>
      </text>
    </comment>
    <comment authorId="0" ref="AV172">
      <text>
        <t xml:space="preserve">1x4-pin + 3xMini 4-pins</t>
      </text>
    </comment>
    <comment authorId="0" ref="Q173">
      <text>
        <t xml:space="preserve">M2_1 = PCIe 4.0x4
M2_2 = PCIe 4.0x4</t>
      </text>
    </comment>
    <comment authorId="0" ref="AR173">
      <text>
        <t xml:space="preserve">DisplayPort 1.4</t>
      </text>
    </comment>
    <comment authorId="0" ref="AS173">
      <text>
        <t xml:space="preserve">HDMI 2.1</t>
      </text>
    </comment>
    <comment authorId="0" ref="AV173">
      <text>
        <t xml:space="preserve">1x4-pin + 3xMini 4-pins</t>
      </text>
    </comment>
    <comment authorId="0" ref="Q174">
      <text>
        <t xml:space="preserve">M2_1 = PCIe 4.0x4
M2_2 = PCIe 4.0x4</t>
      </text>
    </comment>
    <comment authorId="0" ref="AR174">
      <text>
        <t xml:space="preserve">DisplayPort 1.4</t>
      </text>
    </comment>
    <comment authorId="0" ref="AS174">
      <text>
        <t xml:space="preserve">HDMI 2.0</t>
      </text>
    </comment>
    <comment authorId="0" ref="AV174">
      <text>
        <t xml:space="preserve">1x4-pin + 3xMini 4-pins</t>
      </text>
    </comment>
    <comment authorId="0" ref="Q175">
      <text>
        <t xml:space="preserve">M2_1 = PCIe 4.0x4
M2_2 = PCIe 4.0x4 or SATA 3.0</t>
      </text>
    </comment>
    <comment authorId="0" ref="AR175">
      <text>
        <t xml:space="preserve">DisplayPort 1.4</t>
      </text>
    </comment>
    <comment authorId="0" ref="AS175">
      <text>
        <t xml:space="preserve">HDMI 2.0</t>
      </text>
    </comment>
    <comment authorId="0" ref="Q176">
      <text>
        <t xml:space="preserve">M2_1 slot: PCIe 4.0x4
M2_2 slot: PCIe 3.0x4 or SATA 3.0
M2_3 slot: PCIe 4.0x4</t>
      </text>
    </comment>
    <comment authorId="0" ref="AR176">
      <text>
        <t xml:space="preserve">1 x DisplayPort 1.4 +
2 x Mini DisplayPort input for passthrough to Thunderbolt 4 ports</t>
      </text>
    </comment>
    <comment authorId="0" ref="AS176">
      <text>
        <t xml:space="preserve">HDMI 2.1</t>
      </text>
    </comment>
    <comment authorId="0" ref="Q177">
      <text>
        <t xml:space="preserve">M2_1 = PCIe 4.0x4</t>
      </text>
    </comment>
    <comment authorId="0" ref="AR177">
      <text>
        <t xml:space="preserve">DisplayPort 1.4</t>
      </text>
    </comment>
    <comment authorId="0" ref="AS177">
      <text>
        <t xml:space="preserve">HDMI 2.1</t>
      </text>
    </comment>
    <comment authorId="0" ref="Q178">
      <text>
        <t xml:space="preserve">M2_1 = PCIe 4.0x4
M2_2 = PCIe 4.0x4</t>
      </text>
    </comment>
    <comment authorId="0" ref="AR178">
      <text>
        <t xml:space="preserve">DisplayPort 1.4</t>
      </text>
    </comment>
    <comment authorId="0" ref="AS178">
      <text>
        <t xml:space="preserve">HDMI 2.1</t>
      </text>
    </comment>
    <comment authorId="0" ref="Q179">
      <text>
        <t xml:space="preserve">M2_1 = PCIe 4.0x4
M2_2 = PCIe 4.0x4</t>
      </text>
    </comment>
    <comment authorId="0" ref="AR179">
      <text>
        <t xml:space="preserve">DisplayPort 1.4</t>
      </text>
    </comment>
    <comment authorId="0" ref="AS179">
      <text>
        <t xml:space="preserve">HDMI 2.1</t>
      </text>
    </comment>
    <comment authorId="0" ref="Q180">
      <text>
        <t xml:space="preserve">M2_1 = PCIe 4.0x4 or SATA 3.0
M2_2 = PCIe 4.0x4</t>
      </text>
    </comment>
    <comment authorId="0" ref="Q181">
      <text>
        <t xml:space="preserve">M2_1 = PCIe 4.0x4
M2_2 = PCIe 4.0x4</t>
      </text>
    </comment>
    <comment authorId="0" ref="AR181">
      <text>
        <t xml:space="preserve">DisplayPort 1.2</t>
      </text>
    </comment>
    <comment authorId="0" ref="AS181">
      <text>
        <t xml:space="preserve">HDMI 2.0</t>
      </text>
    </comment>
    <comment authorId="0" ref="Q182">
      <text>
        <t xml:space="preserve">M2_1 = PCIe 4.0x4
M2_2 = PCIe 4.0x4</t>
      </text>
    </comment>
    <comment authorId="0" ref="AR182">
      <text>
        <t xml:space="preserve">DisplayPort 1.2</t>
      </text>
    </comment>
    <comment authorId="0" ref="AS182">
      <text>
        <t xml:space="preserve">HDMI 2.0</t>
      </text>
    </comment>
    <comment authorId="0" ref="Q183">
      <text>
        <t xml:space="preserve">M2_1 = PCIe 4.0x4
M2_2 = PCIe 4.0x4</t>
      </text>
    </comment>
    <comment authorId="0" ref="AR183">
      <text>
        <t xml:space="preserve">DisplayPort 1.2</t>
      </text>
    </comment>
    <comment authorId="0" ref="AS183">
      <text>
        <t xml:space="preserve">HDMI 2.0</t>
      </text>
    </comment>
    <comment authorId="0" ref="AV183">
      <text>
        <t xml:space="preserve">1x4-pin + 2xMini 4-pins</t>
      </text>
    </comment>
    <comment authorId="0" ref="Q184">
      <text>
        <t xml:space="preserve">M2_1 = PCIe 4.0x4
M2_2 = PCIe 4.0x4</t>
      </text>
    </comment>
    <comment authorId="0" ref="AR184">
      <text>
        <t xml:space="preserve">DisplayPort 1.2</t>
      </text>
    </comment>
    <comment authorId="0" ref="AS184">
      <text>
        <t xml:space="preserve">HDMI 2.0</t>
      </text>
    </comment>
    <comment authorId="0" ref="AV184">
      <text>
        <t xml:space="preserve">1x4-pin + 2xMini 4-pins</t>
      </text>
    </comment>
    <comment authorId="0" ref="Q185">
      <text>
        <t xml:space="preserve">M2_1 = PCIe 4.0x4
M2_2 = PCIe 4.0x4 or SATA 3.0</t>
      </text>
    </comment>
    <comment authorId="0" ref="AR185">
      <text>
        <t xml:space="preserve">DisplayPort 1.4</t>
      </text>
    </comment>
    <comment authorId="0" ref="AS185">
      <text>
        <t xml:space="preserve">HDMI 2.1</t>
      </text>
    </comment>
    <comment authorId="0" ref="Q186">
      <text>
        <t xml:space="preserve">M2_1 = PCIe 4.0x4
M2_2 = PCIe 4.0x4 or SATA 3.0</t>
      </text>
    </comment>
    <comment authorId="0" ref="AR186">
      <text>
        <t xml:space="preserve">DisplayPort 1.4</t>
      </text>
    </comment>
    <comment authorId="0" ref="AS186">
      <text>
        <t xml:space="preserve">HDMI 2.1</t>
      </text>
    </comment>
    <comment authorId="0" ref="Q187">
      <text>
        <t xml:space="preserve">M2_1 = PCIe 4.0x4
M2_2 = PCIe 4.0x4 or SATA 3.0</t>
      </text>
    </comment>
    <comment authorId="0" ref="Q188">
      <text>
        <t xml:space="preserve">M2_1 slot: PCIe 4.0x4
M2_2 slot: PCIe 3.0x4 or SATA 3.0
M2_3 slot: PCIe 4.0x4</t>
      </text>
    </comment>
    <comment authorId="0" ref="Q189">
      <text>
        <t xml:space="preserve">M2_1 = PCIe 4.0x4
M2_2 = PCIe 4.0x4</t>
      </text>
    </comment>
    <comment authorId="0" ref="AR189">
      <text>
        <t xml:space="preserve">DisplayPort 1.4</t>
      </text>
    </comment>
    <comment authorId="0" ref="AS189">
      <text>
        <t xml:space="preserve">HDMI 2.1</t>
      </text>
    </comment>
    <comment authorId="0" ref="J190">
      <text>
        <t xml:space="preserve">From external ROG Strix Hive Dock</t>
      </text>
    </comment>
    <comment authorId="0" ref="Q190">
      <text>
        <t xml:space="preserve">M2_1 = PCIe 5.0x4 (using a PCIe 5.0x4 M.2 will reduce GPU lanes to 5.0x8, PCIe 4.0x4 M.2 will maintain 5.0x16 lanes for GPU)
M2_2 = PCIe 4.0x4</t>
      </text>
    </comment>
    <comment authorId="0" ref="AN190">
      <text>
        <t xml:space="preserve">From external ROG Strix Hive Dock</t>
      </text>
    </comment>
    <comment authorId="0" ref="AO190">
      <text>
        <t xml:space="preserve">From external ROG Strix Hive Dock</t>
      </text>
    </comment>
    <comment authorId="0" ref="AP190">
      <text>
        <t xml:space="preserve">From external ROG Strix Hive Dock</t>
      </text>
    </comment>
    <comment authorId="0" ref="AS190">
      <text>
        <t xml:space="preserve">HDMI 2.1</t>
      </text>
    </comment>
    <comment authorId="0" ref="AY190">
      <text>
        <t xml:space="preserve">From external ROG Strix Hive Dock</t>
      </text>
    </comment>
    <comment authorId="0" ref="Q191">
      <text>
        <t xml:space="preserve">M2_1 = PCIe 4.0x4
M2_2 = PCIe 4.0x4</t>
      </text>
    </comment>
    <comment authorId="0" ref="AR191">
      <text>
        <t xml:space="preserve">DisplayPort 1.4</t>
      </text>
    </comment>
    <comment authorId="0" ref="AS191">
      <text>
        <t xml:space="preserve">HDMI 2.0</t>
      </text>
    </comment>
    <comment authorId="0" ref="AV191">
      <text>
        <t xml:space="preserve">1x4-pin + 3xMini 4-pins</t>
      </text>
    </comment>
    <comment authorId="0" ref="Q192">
      <text>
        <t xml:space="preserve">M2_1 slot: PCIe 4.0x4
M2_2 slot: PCIe 3.0x4 or SATA 3.0
M2_3 slot: PCIe 4.0x4</t>
      </text>
    </comment>
    <comment authorId="0" ref="AR192">
      <text>
        <t xml:space="preserve">DisplayPort 1.4</t>
      </text>
    </comment>
    <comment authorId="0" ref="AS192">
      <text>
        <t xml:space="preserve">HDMI 2.1</t>
      </text>
    </comment>
    <comment authorId="0" ref="L193">
      <text>
        <t xml:space="preserve">SODIMM Memory</t>
      </text>
    </comment>
    <comment authorId="0" ref="Q193">
      <text>
        <t xml:space="preserve">M2_1 slot: PCIe 3.0x4 or SATA 3.0
M2_2 slot: PCIe 3.0x4
M2_3 slot: PCIe 3.0x4</t>
      </text>
    </comment>
  </commentLi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
      <text>
        <t xml:space="preserve">Height x Width
mITX = 170x170mm
mDTX = 203x170 mm
FlexATX = 229x191 mm
DTX = 203x244 mm
mATX = 244x244 mm</t>
      </text>
    </comment>
    <comment authorId="0" ref="G1">
      <text>
        <t xml:space="preserve">Height x Width
mITX = 170x170mm
mDTX = 203x170 mm
FlexATX = 229x191 mm
DTX = 203x244 mm
mATX = 244x244 mm</t>
      </text>
    </comment>
    <comment authorId="0" ref="H1">
      <text>
        <t xml:space="preserve">Max PCIe speed usually reserved for the first PCIe slot. Other slots in the motherboard may have slower speed</t>
      </text>
    </comment>
    <comment authorId="0" ref="N1">
      <text>
        <t xml:space="preserve">Both CPU and motherboard have to support overclock to be applicable</t>
      </text>
    </comment>
    <comment authorId="0" ref="U1">
      <text>
        <t xml:space="preserve">Depends on CPU, some can be overclocked higher than supported</t>
      </text>
    </comment>
    <comment authorId="0" ref="AN1">
      <text>
        <t xml:space="preserve">Wi-Fi 4 = 802.11n
Wi-Fi 5 = 802.11ac
Wi-Fi 6/6E = 802.11ax</t>
      </text>
    </comment>
    <comment authorId="0" ref="BE1">
      <text>
        <t xml:space="preserve">Credit to spreadsheets by Raison John Bassig:
Intel 1151 v2 motherboards:
https://docs.google.com/spreadsheets/d/1IY6W6YhyjnzSvi8BqEqiK1xykSiTDF2Lt1FO8cNhI6I/edit#gid=585498417&amp;fvid=90725005
AMD AM4 motherboards:
https://docs.google.com/spreadsheets/d/1wmsTYK9Z3-jUX5LGRoFnsZYZiW1pfiDZnKCjaXyzd1o/edit#gid=2112472504</t>
      </text>
    </comment>
    <comment authorId="0" ref="BH1">
      <text>
        <t xml:space="preserve">True VRM phases x MOSFETs per phase x doubler
Total phases does not mean its better, depends more on the MOSFET quality, true phases, doublers, etc.</t>
      </text>
    </comment>
    <comment authorId="0" ref="BI1">
      <text>
        <t xml:space="preserve">Credit to spreadsheets by Raison John Bassig:
Intel 1151 v2 motherboards:
https://docs.google.com/spreadsheets/d/1IY6W6YhyjnzSvi8BqEqiK1xykSiTDF2Lt1FO8cNhI6I/edit#gid=585498417&amp;fvid=90725005
AMD AM4 motherboards:
https://docs.google.com/spreadsheets/d/1wmsTYK9Z3-jUX5LGRoFnsZYZiW1pfiDZnKCjaXyzd1o/edit#gid=2112472504</t>
      </text>
    </comment>
    <comment authorId="0" ref="W2">
      <text>
        <t xml:space="preserve">M2_1 = PCIe 3.0x4 or SATA 3.0</t>
      </text>
    </comment>
    <comment authorId="0" ref="AW2">
      <text>
        <t xml:space="preserve">HDMI 1.4</t>
      </text>
    </comment>
    <comment authorId="0" ref="W3">
      <text>
        <t xml:space="preserve">M2_1 = PCIe 3.0x4 or SATA 3.0</t>
      </text>
    </comment>
    <comment authorId="0" ref="W4">
      <text>
        <t xml:space="preserve">M2_1 = PCIe 3.0x4 or SATA 3.0</t>
      </text>
    </comment>
    <comment authorId="0" ref="AW4">
      <text>
        <t xml:space="preserve">HDMI 2.0b</t>
      </text>
    </comment>
    <comment authorId="0" ref="W5">
      <text>
        <t xml:space="preserve">M2_1 = PCIe 3.0x4 or SATA 3.0</t>
      </text>
    </comment>
    <comment authorId="0" ref="AW5">
      <text>
        <t xml:space="preserve">HDMI 1.4</t>
      </text>
    </comment>
    <comment authorId="0" ref="AW6">
      <text>
        <t xml:space="preserve">HDMI 1.4</t>
      </text>
    </comment>
    <comment authorId="0" ref="M7">
      <text>
        <t xml:space="preserve">1 slot run in PCIe 3.0x4 speed</t>
      </text>
    </comment>
    <comment authorId="0" ref="W7">
      <text>
        <t xml:space="preserve">M2_1 = PCIe 3.0x4 or SATA 3.0</t>
      </text>
    </comment>
    <comment authorId="0" ref="AW7">
      <text>
        <t xml:space="preserve">HDMI 2.0</t>
      </text>
    </comment>
    <comment authorId="0" ref="M8">
      <text>
        <t xml:space="preserve">1 slot run in PCIe 3.0x4 speed</t>
      </text>
    </comment>
    <comment authorId="0" ref="W8">
      <text>
        <t xml:space="preserve">M2_1 = PCIe 3.0x4 or SATA 3.0</t>
      </text>
    </comment>
    <comment authorId="0" ref="AW8">
      <text>
        <t xml:space="preserve">HDMI 2.0</t>
      </text>
    </comment>
    <comment authorId="0" ref="M9">
      <text>
        <t xml:space="preserve">1 slot run in PCIe 3.0x1 speed</t>
      </text>
    </comment>
    <comment authorId="0" ref="W9">
      <text>
        <t xml:space="preserve">M2_1 = PCIe 3.0x4 or SATA 3.0</t>
      </text>
    </comment>
    <comment authorId="0" ref="AW9">
      <text>
        <t xml:space="preserve">HDMI 2.0</t>
      </text>
    </comment>
    <comment authorId="0" ref="W10">
      <text>
        <t xml:space="preserve">M2_1 = PCIe 3.0x4 or SATA 3.0</t>
      </text>
    </comment>
    <comment authorId="0" ref="AW10">
      <text>
        <t xml:space="preserve">HDMI 2.0</t>
      </text>
    </comment>
    <comment authorId="0" ref="W11">
      <text>
        <t xml:space="preserve">M2_1 = PCIe 3.0x4 or SATA 3.0</t>
      </text>
    </comment>
    <comment authorId="0" ref="AW11">
      <text>
        <t xml:space="preserve">HDMI 2.0</t>
      </text>
    </comment>
    <comment authorId="0" ref="W12">
      <text>
        <t xml:space="preserve">M2_1 = PCIe 3.0x4 or SATA 3.0</t>
      </text>
    </comment>
    <comment authorId="0" ref="AW12">
      <text>
        <t xml:space="preserve">HDMI 2.0</t>
      </text>
    </comment>
    <comment authorId="0" ref="W13">
      <text>
        <t xml:space="preserve">M2_1 = PCIe 3.0x4 or SATA 3.0</t>
      </text>
    </comment>
    <comment authorId="0" ref="AW13">
      <text>
        <t xml:space="preserve">HDMI 1.4</t>
      </text>
    </comment>
    <comment authorId="0" ref="W14">
      <text>
        <t xml:space="preserve">M2_1 = PCIe 3.0x4 or SATA 3.0</t>
      </text>
    </comment>
    <comment authorId="0" ref="AW14">
      <text>
        <t xml:space="preserve">HDMI 1.4</t>
      </text>
    </comment>
    <comment authorId="0" ref="W15">
      <text>
        <t xml:space="preserve">M2_1 = PCIe 3.0x4 or SATA 3.0</t>
      </text>
    </comment>
    <comment authorId="0" ref="AW15">
      <text>
        <t xml:space="preserve">HDMI 1.4</t>
      </text>
    </comment>
    <comment authorId="0" ref="W16">
      <text>
        <t xml:space="preserve">M2_1 = PCIe 3.0x4 or SATA 3.0</t>
      </text>
    </comment>
    <comment authorId="0" ref="W17">
      <text>
        <t xml:space="preserve">M2_1 = PCIe 3.0x4 or SATA 3.0</t>
      </text>
    </comment>
    <comment authorId="0" ref="AW17">
      <text>
        <t xml:space="preserve">HDMI 1.4</t>
      </text>
    </comment>
    <comment authorId="0" ref="M18">
      <text>
        <t xml:space="preserve">PCIE_1 = PCIe 3.0x16
PCIE_2 = PCIe 3.0x1</t>
      </text>
    </comment>
    <comment authorId="0" ref="W18">
      <text>
        <t xml:space="preserve">M2_1 = PCIe 3.0x4 or SATA 3.0</t>
      </text>
    </comment>
    <comment authorId="0" ref="W19">
      <text>
        <t xml:space="preserve">M2_1 = PCIe 3.0x4 or SATA 3.0</t>
      </text>
    </comment>
    <comment authorId="0" ref="W20">
      <text>
        <t xml:space="preserve">M2_1 = PCIe 3.0x4 or SATA 3.0</t>
      </text>
    </comment>
    <comment authorId="0" ref="AW20">
      <text>
        <t xml:space="preserve">HDMI 2.1</t>
      </text>
    </comment>
    <comment authorId="0" ref="W21">
      <text>
        <t xml:space="preserve">M2_1 = PCIe 3.0x4 or SATA 3.0</t>
      </text>
    </comment>
    <comment authorId="0" ref="AW21">
      <text>
        <t xml:space="preserve">HDMI 2.1</t>
      </text>
    </comment>
    <comment authorId="0" ref="W22">
      <text>
        <t xml:space="preserve">M2_1 = PCIe 3.0x4 or SATA 3.0</t>
      </text>
    </comment>
    <comment authorId="0" ref="AV22">
      <text>
        <t xml:space="preserve">DisplayPort 1.4</t>
      </text>
    </comment>
    <comment authorId="0" ref="AW22">
      <text>
        <t xml:space="preserve">HDMI 2.1</t>
      </text>
    </comment>
    <comment authorId="0" ref="W23">
      <text>
        <t xml:space="preserve">M2_1 = PCIe 3.0x4 or SATA 3.0</t>
      </text>
    </comment>
    <comment authorId="0" ref="AV23">
      <text>
        <t xml:space="preserve">DisplayPort 1.4</t>
      </text>
    </comment>
    <comment authorId="0" ref="AW23">
      <text>
        <t xml:space="preserve">HDMI 2.1</t>
      </text>
    </comment>
    <comment authorId="0" ref="W24">
      <text>
        <t xml:space="preserve">M2_1 = PCIe 3.0x4 or SATA 3.0</t>
      </text>
    </comment>
    <comment authorId="0" ref="AW24">
      <text>
        <t xml:space="preserve">HDMI 2.1</t>
      </text>
    </comment>
    <comment authorId="0" ref="M25">
      <text>
        <t xml:space="preserve">PCIE_1 = PCIe 3.0x16
PCIE_2 = PCIe 3.0x2</t>
      </text>
    </comment>
    <comment authorId="0" ref="W25">
      <text>
        <t xml:space="preserve">M2_1 = PCIe 3.0x4
M2_2 = PCIe 3.0x2 or SATA 3.0</t>
      </text>
    </comment>
    <comment authorId="0" ref="AV25">
      <text>
        <t xml:space="preserve">DisplayPort 1.4</t>
      </text>
    </comment>
    <comment authorId="0" ref="AW25">
      <text>
        <t xml:space="preserve">HDMI 2.1</t>
      </text>
    </comment>
    <comment authorId="0" ref="M26">
      <text>
        <t xml:space="preserve">PCIE_1 = PCIe 3.0x16
PCIE_2 = PCIe 3.0x2</t>
      </text>
    </comment>
    <comment authorId="0" ref="W26">
      <text>
        <t xml:space="preserve">M2_1 = PCIe 3.0x4
M2_2 = PCIe 3.0x2 or SATA 3.0</t>
      </text>
    </comment>
    <comment authorId="0" ref="AV26">
      <text>
        <t xml:space="preserve">DisplayPort 1.4</t>
      </text>
    </comment>
    <comment authorId="0" ref="AW26">
      <text>
        <t xml:space="preserve">HDMI 2.1</t>
      </text>
    </comment>
    <comment authorId="0" ref="W27">
      <text>
        <t xml:space="preserve">M2_1 = PCIe 3.0x4 or SATA 3.0</t>
      </text>
    </comment>
    <comment authorId="0" ref="AW27">
      <text>
        <t xml:space="preserve">HDMI 2.1</t>
      </text>
    </comment>
    <comment authorId="0" ref="W28">
      <text>
        <t xml:space="preserve">M2_1 = PCIe 3.0x4 or SATA 3.0</t>
      </text>
    </comment>
    <comment authorId="0" ref="AV28">
      <text>
        <t xml:space="preserve">DisplayPort 1.4</t>
      </text>
    </comment>
    <comment authorId="0" ref="AW28">
      <text>
        <t xml:space="preserve">HDMI 2.1</t>
      </text>
    </comment>
    <comment authorId="0" ref="W29">
      <text>
        <t xml:space="preserve">M2_1 = PCIe 3.0x4 or SATA 3.0</t>
      </text>
    </comment>
    <comment authorId="0" ref="AW29">
      <text>
        <t xml:space="preserve">HDMI 2.1</t>
      </text>
    </comment>
    <comment authorId="0" ref="W30">
      <text>
        <t xml:space="preserve">M2_1 = PCIe 3.0x4 or SATA 3.0</t>
      </text>
    </comment>
    <comment authorId="0" ref="AW30">
      <text>
        <t xml:space="preserve">HDMI 2.1</t>
      </text>
    </comment>
    <comment authorId="0" ref="W31">
      <text>
        <t xml:space="preserve">M2_1 = PCIe 3.0x4 or SATA 3.0</t>
      </text>
    </comment>
    <comment authorId="0" ref="AW31">
      <text>
        <t xml:space="preserve">HDMI 2.1</t>
      </text>
    </comment>
    <comment authorId="0" ref="W32">
      <text>
        <t xml:space="preserve">M2_1 = PCIe 3.0x4 or SATA 3.0</t>
      </text>
    </comment>
    <comment authorId="0" ref="AW32">
      <text>
        <t xml:space="preserve">HDMI 2.1</t>
      </text>
    </comment>
    <comment authorId="0" ref="W33">
      <text>
        <t xml:space="preserve">M2_1 = PCIe 3.0x4 or SATA 3.0</t>
      </text>
    </comment>
    <comment authorId="0" ref="AV33">
      <text>
        <t xml:space="preserve">DisplayPort 1.2</t>
      </text>
    </comment>
    <comment authorId="0" ref="AW33">
      <text>
        <t xml:space="preserve">HDMI 2.1</t>
      </text>
    </comment>
    <comment authorId="0" ref="W34">
      <text>
        <t xml:space="preserve">M2_1 = PCIe 3.0x4 or SATA 3.0</t>
      </text>
    </comment>
    <comment authorId="0" ref="W35">
      <text>
        <t xml:space="preserve">M2_1 = PCIe 3.0x4 or SATA 3.0</t>
      </text>
    </comment>
    <comment authorId="0" ref="AW35">
      <text>
        <t xml:space="preserve">HDMI 2.1</t>
      </text>
    </comment>
    <comment authorId="0" ref="W36">
      <text>
        <t xml:space="preserve">M2_1 = PCIe 3.0x4 or SATA 3.0</t>
      </text>
    </comment>
    <comment authorId="0" ref="AV36">
      <text>
        <t xml:space="preserve">DisplayPort 1.4</t>
      </text>
    </comment>
    <comment authorId="0" ref="AW36">
      <text>
        <t xml:space="preserve">HDMI 2.1</t>
      </text>
    </comment>
    <comment authorId="0" ref="W37">
      <text>
        <t xml:space="preserve">M2_1 = PCIe 3.0x4 or SATA 3.0</t>
      </text>
    </comment>
    <comment authorId="0" ref="AV37">
      <text>
        <t xml:space="preserve">DisplayPort 1.4</t>
      </text>
    </comment>
    <comment authorId="0" ref="AW37">
      <text>
        <t xml:space="preserve">HDMI 2.1</t>
      </text>
    </comment>
    <comment authorId="0" ref="W38">
      <text>
        <t xml:space="preserve">M2_1 = PCIe 3.0x4 or SATA 3.0</t>
      </text>
    </comment>
    <comment authorId="0" ref="AW38">
      <text>
        <t xml:space="preserve">HDMI 2.1</t>
      </text>
    </comment>
    <comment authorId="0" ref="W39">
      <text>
        <t xml:space="preserve">M2_1 = PCIe 3.0x4 or SATA 3.0</t>
      </text>
    </comment>
    <comment authorId="0" ref="AW39">
      <text>
        <t xml:space="preserve">HDMI 2.1</t>
      </text>
    </comment>
    <comment authorId="0" ref="W40">
      <text>
        <t xml:space="preserve">M2_1 = PCIe 3.0x4 or SATA 3.0</t>
      </text>
    </comment>
    <comment authorId="0" ref="AW40">
      <text>
        <t xml:space="preserve">HDMI 2.1</t>
      </text>
    </comment>
    <comment authorId="0" ref="W41">
      <text>
        <t xml:space="preserve">M2_1 = PCIe 3.0x4 or SATA 3.0</t>
      </text>
    </comment>
    <comment authorId="0" ref="AW41">
      <text>
        <t xml:space="preserve">HDMI 2.1</t>
      </text>
    </comment>
    <comment authorId="0" ref="W42">
      <text>
        <t xml:space="preserve">M2_1 = PCIe 3.0x4 or SATA 3.0</t>
      </text>
    </comment>
    <comment authorId="0" ref="AV42">
      <text>
        <t xml:space="preserve">DisplayPort 1.4</t>
      </text>
    </comment>
    <comment authorId="0" ref="AW42">
      <text>
        <t xml:space="preserve">HDMI 2.1</t>
      </text>
    </comment>
    <comment authorId="0" ref="W43">
      <text>
        <t xml:space="preserve">M2_1 = PCIe 3.0x4 or SATA 3.0</t>
      </text>
    </comment>
    <comment authorId="0" ref="AW43">
      <text>
        <t xml:space="preserve">HDMI 2.1</t>
      </text>
    </comment>
    <comment authorId="0" ref="W44">
      <text>
        <t xml:space="preserve">M2_1 = PCIe 3.0x4 or SATA 3.0</t>
      </text>
    </comment>
    <comment authorId="0" ref="AW44">
      <text>
        <t xml:space="preserve">HDMI 2.1</t>
      </text>
    </comment>
    <comment authorId="0" ref="W45">
      <text>
        <t xml:space="preserve">M2_1 = PCIe 3.0x4 or SATA 3.0</t>
      </text>
    </comment>
    <comment authorId="0" ref="AV45">
      <text>
        <t xml:space="preserve">DisplayPort 1.4</t>
      </text>
    </comment>
    <comment authorId="0" ref="AW45">
      <text>
        <t xml:space="preserve">HDMI 2.1</t>
      </text>
    </comment>
    <comment authorId="0" ref="W46">
      <text>
        <t xml:space="preserve">M2_1 = PCIe 3.0x4 or SATA 3.0</t>
      </text>
    </comment>
    <comment authorId="0" ref="AW46">
      <text>
        <t xml:space="preserve">HDMI 2.1</t>
      </text>
    </comment>
    <comment authorId="0" ref="W47">
      <text>
        <t xml:space="preserve">M2_1 = PCIe 4.0x4 or SATA 3.0</t>
      </text>
    </comment>
    <comment authorId="0" ref="AW47">
      <text>
        <t xml:space="preserve">HDMI 2.1</t>
      </text>
    </comment>
    <comment authorId="0" ref="M48">
      <text>
        <t xml:space="preserve">PCIE_1 = PCIe 4.0x16
PCIE_2 = PCIe 3.0x4</t>
      </text>
    </comment>
    <comment authorId="0" ref="W48">
      <text>
        <t xml:space="preserve">M2_1 = PCIe 4.0x4</t>
      </text>
    </comment>
    <comment authorId="0" ref="AW48">
      <text>
        <t xml:space="preserve">HDMI 2.1</t>
      </text>
    </comment>
    <comment authorId="0" ref="M49">
      <text>
        <t xml:space="preserve">PCIE_1 = PCIe 4.0x16
PCIE_2 = PCIe 3.0x4</t>
      </text>
    </comment>
    <comment authorId="0" ref="W49">
      <text>
        <t xml:space="preserve">M2_1 = PCIe 4.0x4
M2_2 = PCIe 3.0x2 or SATA 3.0</t>
      </text>
    </comment>
    <comment authorId="0" ref="AV49">
      <text>
        <t xml:space="preserve">DisplayPort 1.4</t>
      </text>
    </comment>
    <comment authorId="0" ref="AW49">
      <text>
        <t xml:space="preserve">HDMI 2.1</t>
      </text>
    </comment>
    <comment authorId="0" ref="M50">
      <text>
        <t xml:space="preserve">PCIE_1 = PCIe 4.0x16
PCIE_2 = PCIe 3.0x4</t>
      </text>
    </comment>
    <comment authorId="0" ref="W50">
      <text>
        <t xml:space="preserve">M2_1 = PCIe 4.0x4
M2_2 = PCIe 3.0x2 or SATA 3.0</t>
      </text>
    </comment>
    <comment authorId="0" ref="AV50">
      <text>
        <t xml:space="preserve">DisplayPort 1.4</t>
      </text>
    </comment>
    <comment authorId="0" ref="AW50">
      <text>
        <t xml:space="preserve">HDMI 2.1</t>
      </text>
    </comment>
    <comment authorId="0" ref="M51">
      <text>
        <t xml:space="preserve">PCIE_1 = PCIe 4.0x16
PCIE_2 = PCIe 3.0x4</t>
      </text>
    </comment>
    <comment authorId="0" ref="W51">
      <text>
        <t xml:space="preserve">M2_1 = PCIe 4.0x4
M2_2 = PCIe 3.0x2 or SATA 3.0</t>
      </text>
    </comment>
    <comment authorId="0" ref="AV51">
      <text>
        <t xml:space="preserve">DisplayPort 1.4</t>
      </text>
    </comment>
    <comment authorId="0" ref="AW51">
      <text>
        <t xml:space="preserve">HDMI 2.1</t>
      </text>
    </comment>
    <comment authorId="0" ref="M52">
      <text>
        <t xml:space="preserve">PCIE_1 = PCIe 4.0x16
PCIE_2 = PCIe 3.0x4</t>
      </text>
    </comment>
    <comment authorId="0" ref="W52">
      <text>
        <t xml:space="preserve">M2_1 = PCIe 4.0x4
M2_2 = PCIe 3.0x2 or SATA 3.0</t>
      </text>
    </comment>
    <comment authorId="0" ref="AV52">
      <text>
        <t xml:space="preserve">DisplayPort 1.4</t>
      </text>
    </comment>
    <comment authorId="0" ref="AW52">
      <text>
        <t xml:space="preserve">HDMI 2.1</t>
      </text>
    </comment>
    <comment authorId="0" ref="V53">
      <text>
        <t xml:space="preserve">Up to 8 SATA from 2 OCuLink connectors</t>
      </text>
    </comment>
    <comment authorId="0" ref="W53">
      <text>
        <t xml:space="preserve">M2_1 = PCIe 4.0x4 or SATA 3.0
M2_2 = PCIe 3.0x2 or SATA 3.0</t>
      </text>
    </comment>
    <comment authorId="0" ref="W54">
      <text>
        <t xml:space="preserve">M2_1 = PCIe 3.0x4 or SATA 3.0
M2_2 = PCIe 3.0x2</t>
      </text>
    </comment>
    <comment authorId="0" ref="W55">
      <text>
        <t xml:space="preserve">M2_1 = PCIe 3.0x4 or SATA 3.0</t>
      </text>
    </comment>
    <comment authorId="0" ref="W56">
      <text>
        <t xml:space="preserve">M2_1 = PCIe 4.0x4 or SATA 3.0
M2_2 = PCIe 3.0x4 or SATA 3.0</t>
      </text>
    </comment>
    <comment authorId="0" ref="AW56">
      <text>
        <t xml:space="preserve">HDMI 2.1</t>
      </text>
    </comment>
    <comment authorId="0" ref="W57">
      <text>
        <t xml:space="preserve">M2_1 = PCIe 4.0x4 or SATA 3.0
M2_2 = PCIe 3.0x4 or SATA 3.0</t>
      </text>
    </comment>
    <comment authorId="0" ref="AW57">
      <text>
        <t xml:space="preserve">HDMI 2.1</t>
      </text>
    </comment>
    <comment authorId="0" ref="W58">
      <text>
        <t xml:space="preserve">M2_1 = PCIe 4.0x4 or SATA 3.0
M2_2 = PCIe 3.0x4 or SATA 3.0</t>
      </text>
    </comment>
    <comment authorId="0" ref="AW58">
      <text>
        <t xml:space="preserve">HDMI 2.1</t>
      </text>
    </comment>
    <comment authorId="0" ref="W59">
      <text>
        <t xml:space="preserve">M2_1 = PCIe 4.0x4 or SATA 3.0
M2_2 = PCIe 3.0x4 or SATA 3.0</t>
      </text>
    </comment>
    <comment authorId="0" ref="AW59">
      <text>
        <t xml:space="preserve">HDMI 2.1</t>
      </text>
    </comment>
    <comment authorId="0" ref="W60">
      <text>
        <t xml:space="preserve">M2_1 = PCIe 4.0x4 or SATA 3.0
M2_2 = PCIe 3.0x4 or SATA 3.0</t>
      </text>
    </comment>
    <comment authorId="0" ref="AW60">
      <text>
        <t xml:space="preserve">HDMI 2.1</t>
      </text>
    </comment>
    <comment authorId="0" ref="W61">
      <text>
        <t xml:space="preserve">M2_1 = PCIe 4.0x4 or SATA 3.0
M2_2 = PCIe 3.0x4 or SATA 3.0</t>
      </text>
    </comment>
    <comment authorId="0" ref="AV61">
      <text>
        <t xml:space="preserve">DisplayPort 1.2</t>
      </text>
    </comment>
    <comment authorId="0" ref="AW61">
      <text>
        <t xml:space="preserve">HDMI 2.1</t>
      </text>
    </comment>
    <comment authorId="0" ref="W62">
      <text>
        <t xml:space="preserve">M2_1 = PCIe 4.0x4 or SATA 3.0
M2_2 = PCIe 3.0x4 or SATA 3.0</t>
      </text>
    </comment>
    <comment authorId="0" ref="AV62">
      <text>
        <t xml:space="preserve">DisplayPort 1.2</t>
      </text>
    </comment>
    <comment authorId="0" ref="AW62">
      <text>
        <t xml:space="preserve">HDMI 2.1</t>
      </text>
    </comment>
    <comment authorId="0" ref="M63">
      <text>
        <t xml:space="preserve">PCIE_1 = PCIe 4.0x16
PCIE_2 = PCIe 3.0x4</t>
      </text>
    </comment>
    <comment authorId="0" ref="W63">
      <text>
        <t xml:space="preserve">M2_1 = PCIe 4.0x4 or SATA 3.0
M2_2 = PCIe 3.0x4 or SATA 3.0</t>
      </text>
    </comment>
    <comment authorId="0" ref="AV63">
      <text>
        <t xml:space="preserve">DisplayPort 1.2</t>
      </text>
    </comment>
    <comment authorId="0" ref="AW63">
      <text>
        <t xml:space="preserve">HDMI 2.1</t>
      </text>
    </comment>
    <comment authorId="0" ref="M64">
      <text>
        <t xml:space="preserve">PCIE_1 = PCIe 4.0x16
PCIE_2 = PCIe 3.0x4</t>
      </text>
    </comment>
    <comment authorId="0" ref="W64">
      <text>
        <t xml:space="preserve">M2_1 = PCIe 4.0x4 or SATA 3.0
M2_2 = PCIe 3.0x4 or SATA 3.0</t>
      </text>
    </comment>
    <comment authorId="0" ref="AV64">
      <text>
        <t xml:space="preserve">DisplayPort 1.2</t>
      </text>
    </comment>
    <comment authorId="0" ref="AW64">
      <text>
        <t xml:space="preserve">HDMI 2.1</t>
      </text>
    </comment>
    <comment authorId="0" ref="M65">
      <text>
        <t xml:space="preserve">PCIE_1 = PCIe 4.0x16
PCIE_2 = PCIe 3.0x4</t>
      </text>
    </comment>
    <comment authorId="0" ref="W65">
      <text>
        <t xml:space="preserve">M2_1 = PCIe 4.0x4 or SATA 3.0
M2_2 = PCIe 3.0x4 or SATA 3.0</t>
      </text>
    </comment>
    <comment authorId="0" ref="AV65">
      <text>
        <t xml:space="preserve">DisplayPort 1.2</t>
      </text>
    </comment>
    <comment authorId="0" ref="AW65">
      <text>
        <t xml:space="preserve">HDMI 2.1</t>
      </text>
    </comment>
    <comment authorId="0" ref="M66">
      <text>
        <t xml:space="preserve">PCIE_1 = PCIe 4.0x16
PCIE_2 = PCIe 3.0x4</t>
      </text>
    </comment>
    <comment authorId="0" ref="W66">
      <text>
        <t xml:space="preserve">M2_1 = PCIe 4.0x4 or SATA 3.0
M2_2 = PCIe 3.0x4 or SATA 3.0</t>
      </text>
    </comment>
    <comment authorId="0" ref="AV66">
      <text>
        <t xml:space="preserve">DisplayPort 1.2</t>
      </text>
    </comment>
    <comment authorId="0" ref="AW66">
      <text>
        <t xml:space="preserve">HDMI 2.1</t>
      </text>
    </comment>
    <comment authorId="0" ref="M67">
      <text>
        <t xml:space="preserve">PCIE_1 = PCIe 4.0x16
PCIE_2 = PCIe 3.0x4</t>
      </text>
    </comment>
    <comment authorId="0" ref="W67">
      <text>
        <t xml:space="preserve">M2_1 = PCIe 4.0x4 or SATA 3.0
M2_2 = PCIe 3.0x4 or SATA 3.0</t>
      </text>
    </comment>
    <comment authorId="0" ref="W68">
      <text>
        <t xml:space="preserve">M2_1 = PCIe 4.0x4 or SATA 3.0</t>
      </text>
    </comment>
    <comment authorId="0" ref="M69">
      <text>
        <t xml:space="preserve">PCIE_1 = PCIe 4.0x16
PCIE_2 = PCIe 3.0x4</t>
      </text>
    </comment>
    <comment authorId="0" ref="W69">
      <text>
        <t xml:space="preserve">M2_1 = PCIe 4.0x4 or SATA 3.0
M2_2 = PCIe 3.0x4 or SATA 3.0</t>
      </text>
    </comment>
    <comment authorId="0" ref="M70">
      <text>
        <t xml:space="preserve">PCIE_1 = PCIe 4.0x16
PCIE_2 = PCIe 3.0x4</t>
      </text>
    </comment>
    <comment authorId="0" ref="W70">
      <text>
        <t xml:space="preserve">M2_1 = PCIe 4.0x4 or SATA 3.0
M2_2 = PCIe 3.0x4 or SATA 3.0</t>
      </text>
    </comment>
    <comment authorId="0" ref="M71">
      <text>
        <t xml:space="preserve">PCIE_1 = PCIe 4.0x16
PCIE_2 = PCIe 3.0x4</t>
      </text>
    </comment>
    <comment authorId="0" ref="W71">
      <text>
        <t xml:space="preserve">M2_1 = PCIe 4.0x4 or SATA 3.0
M2_2 = PCIe 3.0x2 or SATA 3.0</t>
      </text>
    </comment>
    <comment authorId="0" ref="AW71">
      <text>
        <t xml:space="preserve">HDMI 2.1</t>
      </text>
    </comment>
    <comment authorId="0" ref="M72">
      <text>
        <t xml:space="preserve">PCIE_1 = PCIe 4.0x16
PCIE_2 = PCIe 3.0x2</t>
      </text>
    </comment>
    <comment authorId="0" ref="W72">
      <text>
        <t xml:space="preserve">M2_1 = PCIe 4.0x4 or SATA 3.0
M2_2 = PCIe 3.0x4 or SATA 3.0</t>
      </text>
    </comment>
    <comment authorId="0" ref="AV72">
      <text>
        <t xml:space="preserve">DisplayPort 1.4</t>
      </text>
    </comment>
    <comment authorId="0" ref="AW72">
      <text>
        <t xml:space="preserve">HDMI 2.1</t>
      </text>
    </comment>
    <comment authorId="0" ref="M73">
      <text>
        <t xml:space="preserve">PCIE_1 = PCIe 4.0x16
PCIE_2 = PCIe 3.0x2</t>
      </text>
    </comment>
    <comment authorId="0" ref="W73">
      <text>
        <t xml:space="preserve">M2_1 = PCIe 4.0x4 or SATA 3.0
M2_2 = PCIe 3.0x4 or SATA 3.0</t>
      </text>
    </comment>
    <comment authorId="0" ref="AV73">
      <text>
        <t xml:space="preserve">DisplayPort 1.4</t>
      </text>
    </comment>
    <comment authorId="0" ref="AW73">
      <text>
        <t xml:space="preserve">HDMI 2.1</t>
      </text>
    </comment>
    <comment authorId="0" ref="M74">
      <text>
        <t xml:space="preserve">PCIE_1 = PCIe 4.0x16
PCIE_2 = PCIe 3.0x2</t>
      </text>
    </comment>
    <comment authorId="0" ref="W74">
      <text>
        <t xml:space="preserve">M2_1 = PCIe 4.0x4 or SATA 3.0
M2_2 = PCIe 3.0x4 or SATA 3.0</t>
      </text>
    </comment>
    <comment authorId="0" ref="AN74">
      <text>
        <t xml:space="preserve">Wi-Fi 6 with PCB rev 1.0
Wi-Fi 6E with PCB rev 1.1</t>
      </text>
    </comment>
    <comment authorId="0" ref="AO74">
      <text>
        <t xml:space="preserve">Intel Wi-Fi 6 AX200 with PCB rev 1.0
AMD Wi-Fi 6E RZ608 (Mediatek MT7921K) with PCB rev 1.1</t>
      </text>
    </comment>
    <comment authorId="0" ref="AP74">
      <text>
        <t xml:space="preserve">2400 Mbps with PCB rev 1.0
1200 Mbps with PCB rev 1.1</t>
      </text>
    </comment>
    <comment authorId="0" ref="AV74">
      <text>
        <t xml:space="preserve">DisplayPort 1.4</t>
      </text>
    </comment>
    <comment authorId="0" ref="AW74">
      <text>
        <t xml:space="preserve">HDMI 2.1</t>
      </text>
    </comment>
    <comment authorId="0" ref="M75">
      <text>
        <t xml:space="preserve">PCIE_1 = PCIe 4.0x16
PCIE_2 = PCIe 3.0x2</t>
      </text>
    </comment>
    <comment authorId="0" ref="W75">
      <text>
        <t xml:space="preserve">M2_1 = PCIe 4.0x4 or SATA 3.0
M2_2 = PCIe 3.0x2 or SATA 3.0</t>
      </text>
    </comment>
    <comment authorId="0" ref="AW75">
      <text>
        <t xml:space="preserve">HDMI 2.1</t>
      </text>
    </comment>
    <comment authorId="0" ref="M76">
      <text>
        <t xml:space="preserve">PCIE_1 = PCIe 4.0x16
PCIE_2 = PCIe 3.0x2</t>
      </text>
    </comment>
    <comment authorId="0" ref="W76">
      <text>
        <t xml:space="preserve">M2_1 = PCIe 4.0x4 or SATA 3.0
M2_2 = PCIe 3.0x2 or SATA 3.0</t>
      </text>
    </comment>
    <comment authorId="0" ref="AW76">
      <text>
        <t xml:space="preserve">HDMI 2.1</t>
      </text>
    </comment>
    <comment authorId="0" ref="W77">
      <text>
        <t xml:space="preserve">M2_1 = PCIe 4.0x4 or SATA 3.0</t>
      </text>
    </comment>
    <comment authorId="0" ref="AW77">
      <text>
        <t xml:space="preserve">HDMI 2.1</t>
      </text>
    </comment>
    <comment authorId="0" ref="W78">
      <text>
        <t xml:space="preserve">M2_1 = PCIe 4.0x4 or SATA 3.0</t>
      </text>
    </comment>
    <comment authorId="0" ref="AW78">
      <text>
        <t xml:space="preserve">HDMI 2.1</t>
      </text>
    </comment>
    <comment authorId="0" ref="W79">
      <text>
        <t xml:space="preserve">M2_1 = PCIe 4.0x4 or SATA 3.0</t>
      </text>
    </comment>
    <comment authorId="0" ref="AW79">
      <text>
        <t xml:space="preserve">HDMI 2.1</t>
      </text>
    </comment>
    <comment authorId="0" ref="W80">
      <text>
        <t xml:space="preserve">M2_1 = PCIe 4.0x4 or SATA 3.0</t>
      </text>
    </comment>
    <comment authorId="0" ref="AW80">
      <text>
        <t xml:space="preserve">HDMI 2.1</t>
      </text>
    </comment>
    <comment authorId="0" ref="W81">
      <text>
        <t xml:space="preserve">M2_1 = PCIe 4.0x4 or SATA 3.0</t>
      </text>
    </comment>
    <comment authorId="0" ref="AW81">
      <text>
        <t xml:space="preserve">HDMI 2.1</t>
      </text>
    </comment>
    <comment authorId="0" ref="W82">
      <text>
        <t xml:space="preserve">M2_1 = PCIe 4.0x4 or SATA 3.0
M2_2 = PCIe 3.0x4</t>
      </text>
    </comment>
    <comment authorId="0" ref="AV82">
      <text>
        <t xml:space="preserve">DisplayPort 1.4</t>
      </text>
    </comment>
    <comment authorId="0" ref="AW82">
      <text>
        <t xml:space="preserve">HDMI 2.1</t>
      </text>
    </comment>
    <comment authorId="0" ref="W83">
      <text>
        <t xml:space="preserve">M2_1 = PCIe 4.0x4 or SATA 3.0
M2_2 = PCIe 3.0x4</t>
      </text>
    </comment>
    <comment authorId="0" ref="AV83">
      <text>
        <t xml:space="preserve">DisplayPort 1.4</t>
      </text>
    </comment>
    <comment authorId="0" ref="AW83">
      <text>
        <t xml:space="preserve">HDMI 2.1</t>
      </text>
    </comment>
    <comment authorId="0" ref="W84">
      <text>
        <t xml:space="preserve">M2_1 = PCIe 4.0x4 or SATA 3.0
M2_2 = PCIe 3.0x4</t>
      </text>
    </comment>
    <comment authorId="0" ref="AV84">
      <text>
        <t xml:space="preserve">DisplayPort 1.4</t>
      </text>
    </comment>
    <comment authorId="0" ref="AW84">
      <text>
        <t xml:space="preserve">HDMI 2.1</t>
      </text>
    </comment>
    <comment authorId="0" ref="M85">
      <text>
        <t xml:space="preserve">PCIE_1 = PCIe 4.0x16
PCIE_2 = PCIe 3.0x1
PCIE_3 = PCIe 3.0x1
PCIE_4 = PCIe 3.0x1</t>
      </text>
    </comment>
    <comment authorId="0" ref="W85">
      <text>
        <t xml:space="preserve">M2_1 = PCIe 4.0x4 or SATA 3.0
M2_2 = PCIe 3.0x4</t>
      </text>
    </comment>
    <comment authorId="0" ref="AV85">
      <text>
        <t xml:space="preserve">DisplayPort 1.4</t>
      </text>
    </comment>
    <comment authorId="0" ref="AW85">
      <text>
        <t xml:space="preserve">HDMI 2.1</t>
      </text>
    </comment>
    <comment authorId="0" ref="W86">
      <text>
        <t xml:space="preserve">M2_1 = PCIe 4.0x4 or SATA 3.0
M2_2 = PCIe 3.0x4</t>
      </text>
    </comment>
    <comment authorId="0" ref="AV86">
      <text>
        <t xml:space="preserve">DisplayPort 1.4</t>
      </text>
    </comment>
    <comment authorId="0" ref="AW86">
      <text>
        <t xml:space="preserve">HDMI 2.1</t>
      </text>
    </comment>
    <comment authorId="0" ref="M87">
      <text>
        <t xml:space="preserve">PCIE_1 = PCIe 4.0x16
PCIE_2 = PCIe 3.0x4</t>
      </text>
    </comment>
    <comment authorId="0" ref="W87">
      <text>
        <t xml:space="preserve">M2_1 = PCIe 4.0x4 or SATA 3.0
M2_2 = PCIe 3.0x4</t>
      </text>
    </comment>
    <comment authorId="0" ref="AV87">
      <text>
        <t xml:space="preserve">DisplayPort 1.4</t>
      </text>
    </comment>
    <comment authorId="0" ref="AW87">
      <text>
        <t xml:space="preserve">HDMI 2.1</t>
      </text>
    </comment>
    <comment authorId="0" ref="M88">
      <text>
        <t xml:space="preserve">PCIE_1 = PCIe 4.0x16
PCIE_2 = PCIe 3.0x4</t>
      </text>
    </comment>
    <comment authorId="0" ref="W88">
      <text>
        <t xml:space="preserve">M2_1 = PCIe 4.0x4 or SATA 3.0
M2_2 = PCIe 3.0x4</t>
      </text>
    </comment>
    <comment authorId="0" ref="AV88">
      <text>
        <t xml:space="preserve">DisplayPort 1.4</t>
      </text>
    </comment>
    <comment authorId="0" ref="AW88">
      <text>
        <t xml:space="preserve">HDMI 2.1</t>
      </text>
    </comment>
    <comment authorId="0" ref="M89">
      <text>
        <t xml:space="preserve">PCIE_1 = PCIe 4.0x16
PCIE_2 = PCIe 3.0x4</t>
      </text>
    </comment>
    <comment authorId="0" ref="W89">
      <text>
        <t xml:space="preserve">M2_1 = PCIe 4.0x4 or SATA 3.0
M2_2 = PCIe 3.0x4</t>
      </text>
    </comment>
    <comment authorId="0" ref="AV89">
      <text>
        <t xml:space="preserve">DisplayPort 1.4</t>
      </text>
    </comment>
    <comment authorId="0" ref="AW89">
      <text>
        <t xml:space="preserve">HDMI 2.1</t>
      </text>
    </comment>
    <comment authorId="0" ref="W90">
      <text>
        <t xml:space="preserve">M2_1 = PCIe 4.0x4 or SATA 3.0</t>
      </text>
    </comment>
    <comment authorId="0" ref="AW90">
      <text>
        <t xml:space="preserve">HDMI 2.1</t>
      </text>
    </comment>
    <comment authorId="0" ref="W91">
      <text>
        <t xml:space="preserve">M2_1 = PCIe 3.0x4 or SATA 3.0</t>
      </text>
    </comment>
    <comment authorId="0" ref="AW91">
      <text>
        <t xml:space="preserve">HDMI 1.4</t>
      </text>
    </comment>
    <comment authorId="0" ref="M92">
      <text>
        <t xml:space="preserve">PCIE_1 = PCIe 4.0x16
PCIE_2 = PCIe 4.0x4</t>
      </text>
    </comment>
    <comment authorId="0" ref="W92">
      <text>
        <t xml:space="preserve">M2_1 = PCIe 4.0x4
M2_2 = PCIe 4.0x4 or SATA 3.0</t>
      </text>
    </comment>
    <comment authorId="0" ref="AV92">
      <text>
        <t xml:space="preserve">DisplayPort 1.2</t>
      </text>
    </comment>
    <comment authorId="0" ref="AW92">
      <text>
        <t xml:space="preserve">HDMI 2.0</t>
      </text>
    </comment>
    <comment authorId="0" ref="W93">
      <text>
        <t xml:space="preserve">M2_1 = PCIe 4.0x4 or SATA 3.0
M2_2 = PCIe 4.0x4 or SATA 3.0</t>
      </text>
    </comment>
    <comment authorId="0" ref="W94">
      <text>
        <t xml:space="preserve">M2_1 = PCIe 4.0x4 or SATA 3.0
M2_2 = PCIe 4.0x4 or SATA 3.0</t>
      </text>
    </comment>
    <comment authorId="0" ref="W95">
      <text>
        <t xml:space="preserve">M2_1 = PCIe 4.0x4</t>
      </text>
    </comment>
    <comment authorId="0" ref="W96">
      <text>
        <t xml:space="preserve">M2_1 = PCIe 5.0x4</t>
      </text>
    </comment>
    <comment authorId="0" ref="W97">
      <text>
        <t xml:space="preserve">M2_1 = PCIe 4.0x4
M2_2 = PCIe 3.0x2 or SATA 3.0</t>
      </text>
    </comment>
    <comment authorId="0" ref="AV97">
      <text>
        <t xml:space="preserve">DisplayPort 1.4</t>
      </text>
    </comment>
    <comment authorId="0" ref="AW97">
      <text>
        <t xml:space="preserve">HDMI 2.1</t>
      </text>
    </comment>
    <comment authorId="0" ref="W98">
      <text>
        <t xml:space="preserve">M2_1 = PCIe 4.0x4
M2_2 = PCIe 4.0x4</t>
      </text>
    </comment>
    <comment authorId="0" ref="AV98">
      <text>
        <t xml:space="preserve">DisplayPort 1.4</t>
      </text>
    </comment>
    <comment authorId="0" ref="AW98">
      <text>
        <t xml:space="preserve">HDMI 2.1</t>
      </text>
    </comment>
    <comment authorId="0" ref="W99">
      <text>
        <t xml:space="preserve">M2_1 = PCIe 4.0x4
M2_2 = PCIe 4.0x4
M2_3 = PCIe 3.0x2</t>
      </text>
    </comment>
    <comment authorId="0" ref="AV99">
      <text>
        <t xml:space="preserve">DisplayPort 1.4</t>
      </text>
    </comment>
    <comment authorId="0" ref="AW99">
      <text>
        <t xml:space="preserve">HDMI 2.1</t>
      </text>
    </comment>
    <comment authorId="0" ref="W100">
      <text>
        <t xml:space="preserve">M2_1 = PCIe 4.0x4
M2_2 = PCIe 4.0x4
M2_3 = PCIe 3.0x2</t>
      </text>
    </comment>
    <comment authorId="0" ref="AP100">
      <text>
        <t xml:space="preserve">RZ608: 1200Mbps
RZ616: 2400Mbps</t>
      </text>
    </comment>
    <comment authorId="0" ref="AV100">
      <text>
        <t xml:space="preserve">DisplayPort 1.4</t>
      </text>
    </comment>
    <comment authorId="0" ref="AW100">
      <text>
        <t xml:space="preserve">HDMI 2.1</t>
      </text>
    </comment>
    <comment authorId="0" ref="W101">
      <text>
        <t xml:space="preserve">M2_1 = PCIe 4.0x4
M2_2 = PCIe 4.0x4</t>
      </text>
    </comment>
    <comment authorId="0" ref="AV101">
      <text>
        <t xml:space="preserve">DisplayPort 1.4</t>
      </text>
    </comment>
    <comment authorId="0" ref="AW101">
      <text>
        <t xml:space="preserve">HDMI 2.1</t>
      </text>
    </comment>
    <comment authorId="0" ref="W102">
      <text>
        <t xml:space="preserve">M2_1 = PCIe 4.0x4</t>
      </text>
    </comment>
    <comment authorId="0" ref="AV102">
      <text>
        <t xml:space="preserve">DisplayPort 1.4</t>
      </text>
    </comment>
    <comment authorId="0" ref="AW102">
      <text>
        <t xml:space="preserve">HDMI 2.1</t>
      </text>
    </comment>
    <comment authorId="0" ref="W103">
      <text>
        <t xml:space="preserve">M2_1 = PCIe 4.0x4</t>
      </text>
    </comment>
    <comment authorId="0" ref="AW103">
      <text>
        <t xml:space="preserve">HDMI 2.1</t>
      </text>
    </comment>
    <comment authorId="0" ref="W104">
      <text>
        <t xml:space="preserve">M2_1 = PCIe 4.0x4
M2_2 = PCIe 4.0x4</t>
      </text>
    </comment>
    <comment authorId="0" ref="AV104">
      <text>
        <t xml:space="preserve">DisplayPort 1.4</t>
      </text>
    </comment>
    <comment authorId="0" ref="AW104">
      <text>
        <t xml:space="preserve">HDMI 2.1</t>
      </text>
    </comment>
    <comment authorId="0" ref="W105">
      <text>
        <t xml:space="preserve">M2_1 = PCIe 4.0x4
M2_2 = PCIe 4.0x4</t>
      </text>
    </comment>
    <comment authorId="0" ref="AV105">
      <text>
        <t xml:space="preserve">DisplayPort 1.4</t>
      </text>
    </comment>
    <comment authorId="0" ref="AW105">
      <text>
        <t xml:space="preserve">HDMI 2.1</t>
      </text>
    </comment>
    <comment authorId="0" ref="W106">
      <text>
        <t xml:space="preserve">M2_1 = PCIe 4.0x4</t>
      </text>
    </comment>
    <comment authorId="0" ref="W107">
      <text>
        <t xml:space="preserve">M2_1 = PCIe 4.0x4</t>
      </text>
    </comment>
    <comment authorId="0" ref="AV107">
      <text>
        <t xml:space="preserve">DisplayPort 1.4</t>
      </text>
    </comment>
    <comment authorId="0" ref="AW107">
      <text>
        <t xml:space="preserve">HDMI 2.1</t>
      </text>
    </comment>
    <comment authorId="0" ref="W108">
      <text>
        <t xml:space="preserve">M2_1 = PCIe 4.0x4</t>
      </text>
    </comment>
    <comment authorId="0" ref="AV108">
      <text>
        <t xml:space="preserve">DisplayPort 1.4</t>
      </text>
    </comment>
    <comment authorId="0" ref="AW108">
      <text>
        <t xml:space="preserve">HDMI 2.1</t>
      </text>
    </comment>
    <comment authorId="0" ref="W109">
      <text>
        <t xml:space="preserve">M2_1 = PCIe 4.0x4</t>
      </text>
    </comment>
    <comment authorId="0" ref="AV109">
      <text>
        <t xml:space="preserve">DisplayPort 1.4</t>
      </text>
    </comment>
    <comment authorId="0" ref="AW109">
      <text>
        <t xml:space="preserve">HDMI 2.1</t>
      </text>
    </comment>
    <comment authorId="0" ref="W110">
      <text>
        <t xml:space="preserve">M2_1 = PCIe 4.0x4</t>
      </text>
    </comment>
    <comment authorId="0" ref="AV110">
      <text>
        <t xml:space="preserve">DisplayPort 1.4</t>
      </text>
    </comment>
    <comment authorId="0" ref="AW110">
      <text>
        <t xml:space="preserve">HDMI 2.1</t>
      </text>
    </comment>
    <comment authorId="0" ref="W111">
      <text>
        <t xml:space="preserve">M2_1 = PCIe 4.0x4</t>
      </text>
    </comment>
    <comment authorId="0" ref="AV111">
      <text>
        <t xml:space="preserve">DisplayPort 1.4</t>
      </text>
    </comment>
    <comment authorId="0" ref="AW111">
      <text>
        <t xml:space="preserve">HDMI 2.1</t>
      </text>
    </comment>
    <comment authorId="0" ref="W112">
      <text>
        <t xml:space="preserve">M2_1 = PCIe 4.0x4</t>
      </text>
    </comment>
    <comment authorId="0" ref="AW112">
      <text>
        <t xml:space="preserve">HDMI 2.1</t>
      </text>
    </comment>
    <comment authorId="0" ref="M113">
      <text>
        <t xml:space="preserve">PCIE_1 = PCIe 4.0x16
PCIE_2 = PCIe 4.0x4</t>
      </text>
    </comment>
    <comment authorId="0" ref="W113">
      <text>
        <t xml:space="preserve">M2_1 = PCIe 5.0x4
M2_2 = PCIe 4.0x4</t>
      </text>
    </comment>
    <comment authorId="0" ref="AV113">
      <text>
        <t xml:space="preserve">DisplayPort 1.4</t>
      </text>
    </comment>
    <comment authorId="0" ref="AW113">
      <text>
        <t xml:space="preserve">HDMI 2.1</t>
      </text>
    </comment>
    <comment authorId="0" ref="M114">
      <text>
        <t xml:space="preserve">PCIE_1 = PCIe 4.0x16
PCIE_2 = PCIe 4.0x4</t>
      </text>
    </comment>
    <comment authorId="0" ref="W114">
      <text>
        <t xml:space="preserve">M2_1 = PCIe 5.0x4
M2_2 = PCIe 4.0x4</t>
      </text>
    </comment>
    <comment authorId="0" ref="AV114">
      <text>
        <t xml:space="preserve">DisplayPort 1.4</t>
      </text>
    </comment>
    <comment authorId="0" ref="AW114">
      <text>
        <t xml:space="preserve">HDMI 2.1</t>
      </text>
    </comment>
    <comment authorId="0" ref="M115">
      <text>
        <t xml:space="preserve">PCIE_1 = PCIe 4.0x16
PCIE_2 = PCIe 4.0x4</t>
      </text>
    </comment>
    <comment authorId="0" ref="W115">
      <text>
        <t xml:space="preserve">M2_1 = PCIe 5.0x4
M2_2 = PCIe 4.0x4</t>
      </text>
    </comment>
    <comment authorId="0" ref="AP115">
      <text>
        <t xml:space="preserve">RZ608: 1200Mbps
RZ616: 2400Mbps</t>
      </text>
    </comment>
    <comment authorId="0" ref="AV115">
      <text>
        <t xml:space="preserve">DisplayPort 1.4</t>
      </text>
    </comment>
    <comment authorId="0" ref="AW115">
      <text>
        <t xml:space="preserve">HDMI 2.1</t>
      </text>
    </comment>
    <comment authorId="0" ref="M116">
      <text>
        <t xml:space="preserve">PCIE_1 = PCIe 4.0x16
PCIE_2 = PCIe 4.0x4</t>
      </text>
    </comment>
    <comment authorId="0" ref="W116">
      <text>
        <t xml:space="preserve">M2_1 = PCIe 5.0x4
M2_2 = PCIe 4.0x4
M2_3 = PCIe 4.0x2</t>
      </text>
    </comment>
    <comment authorId="0" ref="AV116">
      <text>
        <t xml:space="preserve">DisplayPort 1.4</t>
      </text>
    </comment>
    <comment authorId="0" ref="AW116">
      <text>
        <t xml:space="preserve">HDMI 2.1</t>
      </text>
    </comment>
    <comment authorId="0" ref="M117">
      <text>
        <t xml:space="preserve">PCIE_1 = PCIe 4.0x16
PCIE_2 = PCIe 4.0x4</t>
      </text>
    </comment>
    <comment authorId="0" ref="W117">
      <text>
        <t xml:space="preserve">M2_1 = PCIe 5.0x4
M2_2 = PCIe 4.0x4
M2_3 = PCIe 4.0x2</t>
      </text>
    </comment>
    <comment authorId="0" ref="AV117">
      <text>
        <t xml:space="preserve">DisplayPort 1.4</t>
      </text>
    </comment>
    <comment authorId="0" ref="AW117">
      <text>
        <t xml:space="preserve">HDMI 2.1</t>
      </text>
    </comment>
    <comment authorId="0" ref="M118">
      <text>
        <t xml:space="preserve">PCIE_1 = PCIe 4.0x16
PCIE_2 = PCIe 4.0x1
PCIE_3 = PCIe 4.0x1</t>
      </text>
    </comment>
    <comment authorId="0" ref="W118">
      <text>
        <t xml:space="preserve">M2_1 = PCIe 5.0x4
M2_2 = PCIe 4.0x4</t>
      </text>
    </comment>
    <comment authorId="0" ref="AV118">
      <text>
        <t xml:space="preserve">DisplayPort 1.4</t>
      </text>
    </comment>
    <comment authorId="0" ref="AW118">
      <text>
        <t xml:space="preserve">HDMI 2.1</t>
      </text>
    </comment>
    <comment authorId="0" ref="M119">
      <text>
        <t xml:space="preserve">PCIE_1 = PCIe 4.0x16
PCIE_2 = PCIe 4.0x1
PCIE_3 = PCIe 4.0x1</t>
      </text>
    </comment>
    <comment authorId="0" ref="W119">
      <text>
        <t xml:space="preserve">M2_1 = PCIe 5.0x4
M2_2 = PCIe 4.0x4</t>
      </text>
    </comment>
    <comment authorId="0" ref="AV119">
      <text>
        <t xml:space="preserve">DisplayPort 1.4</t>
      </text>
    </comment>
    <comment authorId="0" ref="AW119">
      <text>
        <t xml:space="preserve">HDMI 2.1</t>
      </text>
    </comment>
    <comment authorId="0" ref="M120">
      <text>
        <t xml:space="preserve">PCIE_1 = PCIe 4.0x16
PCIE_2 = PCIe 4.0x1
PCIE_3 = PCIe 4.0x1</t>
      </text>
    </comment>
    <comment authorId="0" ref="W120">
      <text>
        <t xml:space="preserve">M2_1 = PCIe 5.0x4
M2_2 = PCIe 4.0x4</t>
      </text>
    </comment>
    <comment authorId="0" ref="AV120">
      <text>
        <t xml:space="preserve">DisplayPort 1.4</t>
      </text>
    </comment>
    <comment authorId="0" ref="AW120">
      <text>
        <t xml:space="preserve">HDMI 2.1</t>
      </text>
    </comment>
    <comment authorId="0" ref="M121">
      <text>
        <t xml:space="preserve">PCIE_1 = PCIe 4.0x16
PCIE_2 = PCIe 4.0x1
PCIE_3 = PCIe 4.0x1
PCIE_4 = PCIe 4.0x1</t>
      </text>
    </comment>
    <comment authorId="0" ref="W121">
      <text>
        <t xml:space="preserve">M2_1 = PCIe 5.0x4
M2_2 = PCIe 4.0x4</t>
      </text>
    </comment>
    <comment authorId="0" ref="AV121">
      <text>
        <t xml:space="preserve">DisplayPort 1.4</t>
      </text>
    </comment>
    <comment authorId="0" ref="AW121">
      <text>
        <t xml:space="preserve">HDMI 2.1</t>
      </text>
    </comment>
    <comment authorId="0" ref="M122">
      <text>
        <t xml:space="preserve">PCIE_1 = PCIe 4.0x16
PCIE_2 = PCIe 4.0x1
PCIE_3 = PCIe 4.0x1
PCIE_4 = PCIe 4.0x1</t>
      </text>
    </comment>
    <comment authorId="0" ref="W122">
      <text>
        <t xml:space="preserve">M2_1 = PCIe 5.0x4
M2_2 = PCIe 4.0x4</t>
      </text>
    </comment>
    <comment authorId="0" ref="AV122">
      <text>
        <t xml:space="preserve">DisplayPort 1.4</t>
      </text>
    </comment>
    <comment authorId="0" ref="AW122">
      <text>
        <t xml:space="preserve">HDMI 2.1</t>
      </text>
    </comment>
    <comment authorId="0" ref="W123">
      <text>
        <t xml:space="preserve">M2_1 = PCIe 5.0x4
M2_2 = PCIe 4.0x4</t>
      </text>
    </comment>
    <comment authorId="0" ref="AW123">
      <text>
        <t xml:space="preserve">HDMI 2.1</t>
      </text>
    </comment>
    <comment authorId="0" ref="W124">
      <text>
        <t xml:space="preserve">M2_1 = PCIe 5.0x4
M2_2 = PCIe 4.0x4</t>
      </text>
    </comment>
    <comment authorId="0" ref="AV124">
      <text>
        <t xml:space="preserve">DisplayPort 1.4</t>
      </text>
    </comment>
    <comment authorId="0" ref="AW124">
      <text>
        <t xml:space="preserve">HDMI 2.1</t>
      </text>
    </comment>
    <comment authorId="0" ref="W125">
      <text>
        <t xml:space="preserve">M2_1 = PCIe 5.0x4
M2_2 = PCIe 4.0x4</t>
      </text>
    </comment>
    <comment authorId="0" ref="AV125">
      <text>
        <t xml:space="preserve">DisplayPort 1.4</t>
      </text>
    </comment>
    <comment authorId="0" ref="AW125">
      <text>
        <t xml:space="preserve">HDMI 2.1</t>
      </text>
    </comment>
    <comment authorId="0" ref="M126">
      <text>
        <t xml:space="preserve">PCIE_1 = PCIe 4.0x16
PCIE_2 = PCIe 4.0x4</t>
      </text>
    </comment>
    <comment authorId="0" ref="W126">
      <text>
        <t xml:space="preserve">M2_1 = PCIe 5.0x4
M2_2 = PCIe 4.0x4</t>
      </text>
    </comment>
    <comment authorId="0" ref="AV126">
      <text>
        <t xml:space="preserve">DisplayPort 1.4</t>
      </text>
    </comment>
    <comment authorId="0" ref="AW126">
      <text>
        <t xml:space="preserve">HDMI 2.1</t>
      </text>
    </comment>
    <comment authorId="0" ref="M127">
      <text>
        <t xml:space="preserve">PCIE_1 = PCIe 4.0x16
PCIE_2 = PCIe 4.0x4</t>
      </text>
    </comment>
    <comment authorId="0" ref="W127">
      <text>
        <t xml:space="preserve">M2_1 = PCIe 5.0x4
M2_2 = PCIe 4.0x4</t>
      </text>
    </comment>
    <comment authorId="0" ref="AP127">
      <text>
        <t xml:space="preserve">Mediatek MT7921: 1200Mbps
Realtek RTL8852BE: 1800Mbps</t>
      </text>
    </comment>
    <comment authorId="0" ref="AV127">
      <text>
        <t xml:space="preserve">DisplayPort 1.4</t>
      </text>
    </comment>
    <comment authorId="0" ref="AW127">
      <text>
        <t xml:space="preserve">HDMI 2.1</t>
      </text>
    </comment>
    <comment authorId="0" ref="M128">
      <text>
        <t xml:space="preserve">PCIE_1 = PCIe 4.0x16
PCIE_2 = PCIe 4.0x4</t>
      </text>
    </comment>
    <comment authorId="0" ref="W128">
      <text>
        <t xml:space="preserve">M2_1 = PCIe 4.0x4
M2_2 = PCIe 4.0x4</t>
      </text>
    </comment>
    <comment authorId="0" ref="AV128">
      <text>
        <t xml:space="preserve">DisplayPort 1.2</t>
      </text>
    </comment>
    <comment authorId="0" ref="AW128">
      <text>
        <t xml:space="preserve">HDMI 1.4</t>
      </text>
    </comment>
    <comment authorId="0" ref="W129">
      <text>
        <t xml:space="preserve">M2_1 = PCIe 4.0x4
M2_2 = PCIe 4.0x4</t>
      </text>
    </comment>
    <comment authorId="0" ref="W130">
      <text>
        <t xml:space="preserve">M2_1 = PCIe 4.0x4
M2_2 = PCIe 4.0x4</t>
      </text>
    </comment>
    <comment authorId="0" ref="M131">
      <text>
        <t xml:space="preserve">PCIE_1 = PCIe 4.0x16
PCIE_2 = PCIe 4.0x4</t>
      </text>
    </comment>
    <comment authorId="0" ref="W131">
      <text>
        <t xml:space="preserve">M2_1 = PCIe 5.0x4
M2_2 = PCIe 4.0x4</t>
      </text>
    </comment>
    <comment authorId="0" ref="AV131">
      <text>
        <t xml:space="preserve">DisplayPort 1.4</t>
      </text>
    </comment>
    <comment authorId="0" ref="AW131">
      <text>
        <t xml:space="preserve">HDMI 2.0</t>
      </text>
    </comment>
    <comment authorId="0" ref="M132">
      <text>
        <t xml:space="preserve">PCIE_1 = PCIe 4.0x16
PCIE_2 = PCIe 4.0x4</t>
      </text>
    </comment>
    <comment authorId="0" ref="W132">
      <text>
        <t xml:space="preserve">M2_1 = PCIe 5.0x4
M2_2 = PCIe 4.0x4</t>
      </text>
    </comment>
    <comment authorId="0" ref="AV132">
      <text>
        <t xml:space="preserve">DisplayPort 1.4</t>
      </text>
    </comment>
    <comment authorId="0" ref="AW132">
      <text>
        <t xml:space="preserve">HDMI 2.0</t>
      </text>
    </comment>
    <comment authorId="0" ref="M133">
      <text>
        <t xml:space="preserve">PCIE_1 = PCIe 4.0x16
PCIE_2 = PCIe 4.0x4</t>
      </text>
    </comment>
    <comment authorId="0" ref="W133">
      <text>
        <t xml:space="preserve">M2_1 = PCIe 5.0x4
M2_2 = PCIe 4.0x4</t>
      </text>
    </comment>
    <comment authorId="0" ref="AV133">
      <text>
        <t xml:space="preserve">DisplayPort 1.4</t>
      </text>
    </comment>
    <comment authorId="0" ref="AW133">
      <text>
        <t xml:space="preserve">HDMI 2.0</t>
      </text>
    </comment>
    <comment authorId="0" ref="M134">
      <text>
        <t xml:space="preserve">PCIE_1 = PCIe 4.0x16
PCIE_2 = PCIe 3.0x1
PCIE_3 = PCIe 3.0x1
PCIE_4 = PCIe 3.0x1</t>
      </text>
    </comment>
    <comment authorId="0" ref="W134">
      <text>
        <t xml:space="preserve">M2_1 = PCIe 4.0x4
M2_2 = PCIe 3.0x1
M2_3 = PCIe 3.0x1</t>
      </text>
    </comment>
    <comment authorId="0" ref="AW134">
      <text>
        <t xml:space="preserve">HDMI 2.1</t>
      </text>
    </comment>
    <comment authorId="0" ref="W135">
      <text>
        <t xml:space="preserve">M2_1 = PCIe 4.0x4
M2_2 = PCIe 4.0x4</t>
      </text>
    </comment>
    <comment authorId="0" ref="AV135">
      <text>
        <t xml:space="preserve">DisplayPort 1.4</t>
      </text>
    </comment>
    <comment authorId="0" ref="AW135">
      <text>
        <t xml:space="preserve">HDMI 2.1</t>
      </text>
    </comment>
    <comment authorId="0" ref="W136">
      <text>
        <t xml:space="preserve">M2_1 = PCIe 4.0x4
M2_2 = PCIe 4.0x4</t>
      </text>
    </comment>
    <comment authorId="0" ref="AV136">
      <text>
        <t xml:space="preserve">DisplayPort 1.4</t>
      </text>
    </comment>
    <comment authorId="0" ref="AW136">
      <text>
        <t xml:space="preserve">HDMI 2.1</t>
      </text>
    </comment>
    <comment authorId="0" ref="W137">
      <text>
        <t xml:space="preserve">M2_1 = PCIe 4.0x4
M2_2 = PCIe 4.0x4</t>
      </text>
    </comment>
    <comment authorId="0" ref="AV137">
      <text>
        <t xml:space="preserve">DisplayPort 1.4</t>
      </text>
    </comment>
    <comment authorId="0" ref="AW137">
      <text>
        <t xml:space="preserve">HDMI 2.1</t>
      </text>
    </comment>
    <comment authorId="0" ref="M138">
      <text>
        <t xml:space="preserve">PCIE_1 = PCIe 4.0x16
PCIE_2 = PCIe 4.0x4</t>
      </text>
    </comment>
    <comment authorId="0" ref="W138">
      <text>
        <t xml:space="preserve">M2_1 = PCIe 4.0x4
M2_2 = PCIe 4.0x4</t>
      </text>
    </comment>
    <comment authorId="0" ref="AV138">
      <text>
        <t xml:space="preserve">DisplayPort 1.4</t>
      </text>
    </comment>
    <comment authorId="0" ref="AW138">
      <text>
        <t xml:space="preserve">HDMI 2.1</t>
      </text>
    </comment>
    <comment authorId="0" ref="M139">
      <text>
        <t xml:space="preserve">PCIE_1 = PCIe 4.0x16
PCIE_2 = PCIe 4.0x4</t>
      </text>
    </comment>
    <comment authorId="0" ref="W139">
      <text>
        <t xml:space="preserve">M2_1 = PCIe 4.0x4
M2_2 = PCIe 4.0x4</t>
      </text>
    </comment>
    <comment authorId="0" ref="AV139">
      <text>
        <t xml:space="preserve">DisplayPort 1.4</t>
      </text>
    </comment>
    <comment authorId="0" ref="AW139">
      <text>
        <t xml:space="preserve">HDMI 2.1</t>
      </text>
    </comment>
    <comment authorId="0" ref="M140">
      <text>
        <t xml:space="preserve">PCIE_1 = PCIe 4.0x16
PCIE_2 = PCIe 4.0x4</t>
      </text>
    </comment>
    <comment authorId="0" ref="W140">
      <text>
        <t xml:space="preserve">M2_1 = PCIe 4.0x4
M2_2 = PCIe 4.0x4</t>
      </text>
    </comment>
    <comment authorId="0" ref="AV140">
      <text>
        <t xml:space="preserve">DisplayPort 1.4</t>
      </text>
    </comment>
    <comment authorId="0" ref="AW140">
      <text>
        <t xml:space="preserve">HDMI 2.1</t>
      </text>
    </comment>
    <comment authorId="0" ref="M141">
      <text>
        <t xml:space="preserve">PCIE_1 = PCIe 4.0x16
PCIE_2 = PCIe 4.0x4</t>
      </text>
    </comment>
    <comment authorId="0" ref="W141">
      <text>
        <t xml:space="preserve">M2_1 = PCIe 4.0x4
M2_2 = PCIe 4.0x4</t>
      </text>
    </comment>
    <comment authorId="0" ref="AV141">
      <text>
        <t xml:space="preserve">DisplayPort 1.4</t>
      </text>
    </comment>
    <comment authorId="0" ref="AW141">
      <text>
        <t xml:space="preserve">HDMI 2.1</t>
      </text>
    </comment>
    <comment authorId="0" ref="W142">
      <text>
        <t xml:space="preserve">M2_1 = PCIe 4.0x4
M2_2 = PCIe 4.0x4</t>
      </text>
    </comment>
    <comment authorId="0" ref="AV142">
      <text>
        <t xml:space="preserve">DisplayPort 1.4</t>
      </text>
    </comment>
    <comment authorId="0" ref="AW142">
      <text>
        <t xml:space="preserve">HDMI 2.1</t>
      </text>
    </comment>
    <comment authorId="0" ref="W143">
      <text>
        <t xml:space="preserve">M2_1 = PCIe 5.0x4</t>
      </text>
    </comment>
    <comment authorId="0" ref="W144">
      <text>
        <t xml:space="preserve">M2_1 = PCIe 5.0x4</t>
      </text>
    </comment>
    <comment authorId="0" ref="M145">
      <text>
        <t xml:space="preserve">PCIE_1 = PCIe 5.0x16
PCIE_2 = PCIe 4.0x4</t>
      </text>
    </comment>
    <comment authorId="0" ref="W145">
      <text>
        <t xml:space="preserve">M2_1 = PCIe 5.0x4
M2_2 = PCIe 5.0x4
M2_3 = PCIe 4.0x4</t>
      </text>
    </comment>
    <comment authorId="0" ref="AV145">
      <text>
        <t xml:space="preserve">DisplayPort 1.2</t>
      </text>
    </comment>
    <comment authorId="0" ref="AW145">
      <text>
        <t xml:space="preserve">HDMI 1.4</t>
      </text>
    </comment>
    <comment authorId="0" ref="W146">
      <text>
        <t xml:space="preserve">M2_1 = PCIe 5.0x4
M2_2 = PCIe 5.0x4
M2_3 = PCIe 4.0x4</t>
      </text>
    </comment>
    <comment authorId="0" ref="AV146">
      <text>
        <t xml:space="preserve">via USB4 DP-Alt mode</t>
      </text>
    </comment>
    <comment authorId="0" ref="V147">
      <text>
        <t xml:space="preserve">Supports up to 16 SATA from 2 Slimline connectors</t>
      </text>
    </comment>
    <comment authorId="0" ref="W147">
      <text>
        <t xml:space="preserve">M2_1 = PCIe 4.0x4 or SATA 3.0</t>
      </text>
    </comment>
    <comment authorId="0" ref="AW149">
      <text>
        <t xml:space="preserve">HDMI 1.4</t>
      </text>
    </comment>
    <comment authorId="0" ref="AW151">
      <text>
        <t xml:space="preserve">HDMI 1.4</t>
      </text>
    </comment>
    <comment authorId="0" ref="AW152">
      <text>
        <t xml:space="preserve">HDMI 1.4</t>
      </text>
    </comment>
    <comment authorId="0" ref="AW153">
      <text>
        <t xml:space="preserve">HDMI 1.4</t>
      </text>
    </comment>
    <comment authorId="0" ref="AW154">
      <text>
        <t xml:space="preserve">HDMI 1.4</t>
      </text>
    </comment>
    <comment authorId="0" ref="AW155">
      <text>
        <t xml:space="preserve">HDMI 1.4b</t>
      </text>
    </comment>
    <comment authorId="0" ref="AW156">
      <text>
        <t xml:space="preserve">HDMI 1.4b</t>
      </text>
    </comment>
    <comment authorId="0" ref="AW159">
      <text>
        <t xml:space="preserve">HDMI 1.4b</t>
      </text>
    </comment>
    <comment authorId="0" ref="AW160">
      <text>
        <t xml:space="preserve">HDMI 1.4b</t>
      </text>
    </comment>
    <comment authorId="0" ref="AW161">
      <text>
        <t xml:space="preserve">HDMI 1.4b</t>
      </text>
    </comment>
    <comment authorId="0" ref="AV167">
      <text>
        <t xml:space="preserve">DisplayPort 1.2</t>
      </text>
    </comment>
    <comment authorId="0" ref="AW167">
      <text>
        <t xml:space="preserve">HDMI 1.4</t>
      </text>
    </comment>
    <comment authorId="0" ref="AW170">
      <text>
        <t xml:space="preserve">HDMI 1.4</t>
      </text>
    </comment>
    <comment authorId="0" ref="AW171">
      <text>
        <t xml:space="preserve">HDMI 1.4</t>
      </text>
    </comment>
    <comment authorId="0" ref="AW173">
      <text>
        <t xml:space="preserve">HDMI 1.4</t>
      </text>
    </comment>
    <comment authorId="0" ref="AW174">
      <text>
        <t xml:space="preserve">HDMI 1.4</t>
      </text>
    </comment>
    <comment authorId="0" ref="AW176">
      <text>
        <t xml:space="preserve">HDMI 1.4</t>
      </text>
    </comment>
    <comment authorId="0" ref="AW177">
      <text>
        <t xml:space="preserve">HDMI 1.4</t>
      </text>
    </comment>
    <comment authorId="0" ref="AW179">
      <text>
        <t xml:space="preserve">HDMI 1.4</t>
      </text>
    </comment>
    <comment authorId="0" ref="AW180">
      <text>
        <t xml:space="preserve">HDMI 1.4</t>
      </text>
    </comment>
    <comment authorId="0" ref="AW187">
      <text>
        <t xml:space="preserve">HDMI 1.4</t>
      </text>
    </comment>
    <comment authorId="0" ref="AW188">
      <text>
        <t xml:space="preserve">HDMI 1.4b</t>
      </text>
    </comment>
    <comment authorId="0" ref="AW189">
      <text>
        <t xml:space="preserve">HDMI 1.4b</t>
      </text>
    </comment>
    <comment authorId="0" ref="M193">
      <text>
        <t xml:space="preserve">1 slot run in PCIe 3.0x4 speed</t>
      </text>
    </comment>
    <comment authorId="0" ref="AW193">
      <text>
        <t xml:space="preserve">HDMI 1.4</t>
      </text>
    </comment>
    <comment authorId="0" ref="AW194">
      <text>
        <t xml:space="preserve">HDMI 1.4</t>
      </text>
    </comment>
    <comment authorId="0" ref="M196">
      <text>
        <t xml:space="preserve">1 slot run in PCIe 3.0x4 speed</t>
      </text>
    </comment>
    <comment authorId="0" ref="AW196">
      <text>
        <t xml:space="preserve">HDMI 1.4</t>
      </text>
    </comment>
    <comment authorId="0" ref="M198">
      <text>
        <t xml:space="preserve">1 slot run in PCIe 3.0x4 speed</t>
      </text>
    </comment>
    <comment authorId="0" ref="AV198">
      <text>
        <t xml:space="preserve">DisplayPort 1.2</t>
      </text>
    </comment>
    <comment authorId="0" ref="AW198">
      <text>
        <t xml:space="preserve">HDMI 1.4</t>
      </text>
    </comment>
    <comment authorId="0" ref="M199">
      <text>
        <t xml:space="preserve">1 slot run in PCIe 3.0x4 speed</t>
      </text>
    </comment>
    <comment authorId="0" ref="AV199">
      <text>
        <t xml:space="preserve">DisplayPort 1.2</t>
      </text>
    </comment>
    <comment authorId="0" ref="AW199">
      <text>
        <t xml:space="preserve">HDMI 1.4</t>
      </text>
    </comment>
    <comment authorId="0" ref="M200">
      <text>
        <t xml:space="preserve">1 slot run in PCIe 3.0x4 speed</t>
      </text>
    </comment>
    <comment authorId="0" ref="AV200">
      <text>
        <t xml:space="preserve">DisplayPort 1.2</t>
      </text>
    </comment>
    <comment authorId="0" ref="AW202">
      <text>
        <t xml:space="preserve">HDMI 1.4</t>
      </text>
    </comment>
    <comment authorId="0" ref="AW203">
      <text>
        <t xml:space="preserve">HDMI 1.4</t>
      </text>
    </comment>
    <comment authorId="0" ref="AW204">
      <text>
        <t xml:space="preserve">HDMI 1.4</t>
      </text>
    </comment>
    <comment authorId="0" ref="M205">
      <text>
        <t xml:space="preserve">1 slot run in PCIe 3.0x4 speed</t>
      </text>
    </comment>
    <comment authorId="0" ref="AW205">
      <text>
        <t xml:space="preserve">HDMI 1.4</t>
      </text>
    </comment>
    <comment authorId="0" ref="AW206">
      <text>
        <t xml:space="preserve">HDMI 1.4</t>
      </text>
    </comment>
    <comment authorId="0" ref="AW209">
      <text>
        <t xml:space="preserve">HDMI 1.4</t>
      </text>
    </comment>
    <comment authorId="0" ref="M210">
      <text>
        <t xml:space="preserve">1 slot run in PCIe 3.0x4 speed</t>
      </text>
    </comment>
    <comment authorId="0" ref="AW210">
      <text>
        <t xml:space="preserve">HDMI 1.4</t>
      </text>
    </comment>
    <comment authorId="0" ref="AW211">
      <text>
        <t xml:space="preserve">HDMI 1.4b</t>
      </text>
    </comment>
    <comment authorId="0" ref="M214">
      <text>
        <t xml:space="preserve">1 slot run in PCIe 3.0x4 speed</t>
      </text>
    </comment>
    <comment authorId="0" ref="AV214">
      <text>
        <t xml:space="preserve">DisplayPort 1.2</t>
      </text>
    </comment>
    <comment authorId="0" ref="AW214">
      <text>
        <t xml:space="preserve">HDMI 1.4</t>
      </text>
    </comment>
    <comment authorId="0" ref="AW215">
      <text>
        <t xml:space="preserve">HDMI 1.4</t>
      </text>
    </comment>
    <comment authorId="0" ref="AW216">
      <text>
        <t xml:space="preserve">HDMI 1.4</t>
      </text>
    </comment>
    <comment authorId="0" ref="M217">
      <text>
        <t xml:space="preserve">1 slot run in PCIe 3.0x4 speed</t>
      </text>
    </comment>
    <comment authorId="0" ref="AW217">
      <text>
        <t xml:space="preserve">HDMI 1.4</t>
      </text>
    </comment>
    <comment authorId="0" ref="M218">
      <text>
        <t xml:space="preserve">1 slot run in PCIe 3.0x4 speed</t>
      </text>
    </comment>
    <comment authorId="0" ref="AW218">
      <text>
        <t xml:space="preserve">HDMI 1.4</t>
      </text>
    </comment>
    <comment authorId="0" ref="M219">
      <text>
        <t xml:space="preserve">1 slot run in PCIe 3.0x4 speed</t>
      </text>
    </comment>
    <comment authorId="0" ref="AW219">
      <text>
        <t xml:space="preserve">HDMI 1.4</t>
      </text>
    </comment>
    <comment authorId="0" ref="AW220">
      <text>
        <t xml:space="preserve">HDMI 1.4</t>
      </text>
    </comment>
    <comment authorId="0" ref="AW221">
      <text>
        <t xml:space="preserve">HDMI 1.4b</t>
      </text>
    </comment>
    <comment authorId="0" ref="AW222">
      <text>
        <t xml:space="preserve">HDMI 1.4</t>
      </text>
    </comment>
    <comment authorId="0" ref="AW223">
      <text>
        <t xml:space="preserve">HDMI 1.4</t>
      </text>
    </comment>
    <comment authorId="0" ref="AW224">
      <text>
        <t xml:space="preserve">HDMI 1.4</t>
      </text>
    </comment>
    <comment authorId="0" ref="AW225">
      <text>
        <t xml:space="preserve">HDMI 1.4</t>
      </text>
    </comment>
    <comment authorId="0" ref="AW226">
      <text>
        <t xml:space="preserve">HDMI 1.4</t>
      </text>
    </comment>
    <comment authorId="0" ref="AW227">
      <text>
        <t xml:space="preserve">HDMI 1.4</t>
      </text>
    </comment>
    <comment authorId="0" ref="AW228">
      <text>
        <t xml:space="preserve">HDMI 1.4b</t>
      </text>
    </comment>
    <comment authorId="0" ref="AW229">
      <text>
        <t xml:space="preserve">HDMI 1.4b</t>
      </text>
    </comment>
    <comment authorId="0" ref="AW230">
      <text>
        <t xml:space="preserve">HDMI 1.4b</t>
      </text>
    </comment>
    <comment authorId="0" ref="AW232">
      <text>
        <t xml:space="preserve">HDMI 1.4b</t>
      </text>
    </comment>
    <comment authorId="0" ref="AW236">
      <text>
        <t xml:space="preserve">HDMI 1.4</t>
      </text>
    </comment>
    <comment authorId="0" ref="AW237">
      <text>
        <t xml:space="preserve">HDMI 1.4</t>
      </text>
    </comment>
    <comment authorId="0" ref="AW238">
      <text>
        <t xml:space="preserve">HDMI 1.4</t>
      </text>
    </comment>
    <comment authorId="0" ref="AW240">
      <text>
        <t xml:space="preserve">HDMI 1.4</t>
      </text>
    </comment>
    <comment authorId="0" ref="M241">
      <text>
        <t xml:space="preserve">1 slot run in PCIe 3.0x4 speed</t>
      </text>
    </comment>
    <comment authorId="0" ref="AV241">
      <text>
        <t xml:space="preserve">DisplayPort 1.4</t>
      </text>
    </comment>
    <comment authorId="0" ref="AW241">
      <text>
        <t xml:space="preserve">HDMI 1.4</t>
      </text>
    </comment>
    <comment authorId="0" ref="AW242">
      <text>
        <t xml:space="preserve">HDMI 1.4b</t>
      </text>
    </comment>
    <comment authorId="0" ref="AV243">
      <text>
        <t xml:space="preserve">DisplayPort 1.4</t>
      </text>
    </comment>
    <comment authorId="0" ref="AW243">
      <text>
        <t xml:space="preserve">HDMI 1.4b</t>
      </text>
    </comment>
    <comment authorId="0" ref="AW246">
      <text>
        <t xml:space="preserve">HDMI 1.4</t>
      </text>
    </comment>
    <comment authorId="0" ref="AW247">
      <text>
        <t xml:space="preserve">HDMI 1.4</t>
      </text>
    </comment>
    <comment authorId="0" ref="AW248">
      <text>
        <t xml:space="preserve">HDMI 1.4</t>
      </text>
    </comment>
    <comment authorId="0" ref="AW249">
      <text>
        <t xml:space="preserve">HDMI 1.4</t>
      </text>
    </comment>
    <comment authorId="0" ref="AW250">
      <text>
        <t xml:space="preserve">HDMI 1.4</t>
      </text>
    </comment>
    <comment authorId="0" ref="H251">
      <text>
        <t xml:space="preserve">PCIe Gen4 only with 11th Gen Intel Rocket Lake S CPU</t>
      </text>
    </comment>
    <comment authorId="0" ref="AW251">
      <text>
        <t xml:space="preserve">HDMI 2.0</t>
      </text>
    </comment>
    <comment authorId="0" ref="H252">
      <text>
        <t xml:space="preserve">PCIe Gen4 only with 11th Gen Intel Rocket Lake S CPU</t>
      </text>
    </comment>
    <comment authorId="0" ref="AW252">
      <text>
        <t xml:space="preserve">HDMI 2.0</t>
      </text>
    </comment>
    <comment authorId="0" ref="H253">
      <text>
        <t xml:space="preserve">PCIe Gen4 only with 11th Gen Intel Rocket Lake S CPU</t>
      </text>
    </comment>
    <comment authorId="0" ref="AW253">
      <text>
        <t xml:space="preserve">HDMI 2.0</t>
      </text>
    </comment>
    <comment authorId="0" ref="H254">
      <text>
        <t xml:space="preserve">PCIe Gen4 only with 11th Gen Intel Rocket Lake S CPU</t>
      </text>
    </comment>
    <comment authorId="0" ref="AW254">
      <text>
        <t xml:space="preserve">HDMI 2.0</t>
      </text>
    </comment>
    <comment authorId="0" ref="H255">
      <text>
        <t xml:space="preserve">PCIe Gen4 only with 11th Gen Intel Rocket Lake S CPU</t>
      </text>
    </comment>
    <comment authorId="0" ref="AW255">
      <text>
        <t xml:space="preserve">HDMI 2.0</t>
      </text>
    </comment>
    <comment authorId="0" ref="H256">
      <text>
        <t xml:space="preserve">PCIe Gen4 only with 11th Gen Intel Rocket Lake S CPU</t>
      </text>
    </comment>
    <comment authorId="0" ref="AV256">
      <text>
        <t xml:space="preserve">DisplayPort 1.4</t>
      </text>
    </comment>
    <comment authorId="0" ref="AW256">
      <text>
        <t xml:space="preserve">HDMI 2.0</t>
      </text>
    </comment>
    <comment authorId="0" ref="H257">
      <text>
        <t xml:space="preserve">PCIe Gen4 only with 11th Gen Intel Rocket Lake S CPU</t>
      </text>
    </comment>
    <comment authorId="0" ref="AV257">
      <text>
        <t xml:space="preserve">DisplayPort 1.4</t>
      </text>
    </comment>
    <comment authorId="0" ref="AW257">
      <text>
        <t xml:space="preserve">HDMI 2.0</t>
      </text>
    </comment>
    <comment authorId="0" ref="H258">
      <text>
        <t xml:space="preserve">PCIe Gen4 only with 11th Gen Intel Rocket Lake S CPU</t>
      </text>
    </comment>
    <comment authorId="0" ref="AW258">
      <text>
        <t xml:space="preserve">HDMI 2.0</t>
      </text>
    </comment>
    <comment authorId="0" ref="H259">
      <text>
        <t xml:space="preserve">PCIe Gen4 only with 11th Gen Intel Rocket Lake S CPU</t>
      </text>
    </comment>
    <comment authorId="0" ref="AV259">
      <text>
        <t xml:space="preserve">DisplayPort 1.4</t>
      </text>
    </comment>
    <comment authorId="0" ref="AW259">
      <text>
        <t xml:space="preserve">HDMI 2.0</t>
      </text>
    </comment>
    <comment authorId="0" ref="H260">
      <text>
        <t xml:space="preserve">PCIe Gen4 only with 11th Gen Intel Rocket Lake S CPU</t>
      </text>
    </comment>
    <comment authorId="0" ref="H261">
      <text>
        <t xml:space="preserve">PCIe Gen4 only with 11th Gen Intel Rocket Lake S CPU</t>
      </text>
    </comment>
    <comment authorId="0" ref="AV261">
      <text>
        <t xml:space="preserve">DisplayPort 1.4</t>
      </text>
    </comment>
    <comment authorId="0" ref="AW261">
      <text>
        <t xml:space="preserve">HDMI 2.0</t>
      </text>
    </comment>
    <comment authorId="0" ref="H262">
      <text>
        <t xml:space="preserve">PCIe Gen4 only with 11th Gen Intel Rocket Lake S CPU</t>
      </text>
    </comment>
    <comment authorId="0" ref="AV262">
      <text>
        <t xml:space="preserve">DisplayPort 1.4</t>
      </text>
    </comment>
    <comment authorId="0" ref="AW262">
      <text>
        <t xml:space="preserve">HDMI 2.0</t>
      </text>
    </comment>
    <comment authorId="0" ref="H263">
      <text>
        <t xml:space="preserve">PCIe Gen4 only with 11th Gen Intel Rocket Lake S CPU</t>
      </text>
    </comment>
    <comment authorId="0" ref="H264">
      <text>
        <t xml:space="preserve">PCIe Gen4 only with 11th Gen Intel Rocket Lake S CPU</t>
      </text>
    </comment>
    <comment authorId="0" ref="H265">
      <text>
        <t xml:space="preserve">PCIe Gen4 only with 11th Gen Intel Rocket Lake S CPU</t>
      </text>
    </comment>
    <comment authorId="0" ref="AV265">
      <text>
        <t xml:space="preserve">DisplayPort 1.2</t>
      </text>
    </comment>
    <comment authorId="0" ref="AW265">
      <text>
        <t xml:space="preserve">HDMI 1.4</t>
      </text>
    </comment>
    <comment authorId="0" ref="H266">
      <text>
        <t xml:space="preserve">PCIe Gen4 only with 11th Gen Intel Rocket Lake S CPU</t>
      </text>
    </comment>
    <comment authorId="0" ref="H267">
      <text>
        <t xml:space="preserve">PCIe Gen4 only with 11th Gen Intel Rocket Lake S CPU</t>
      </text>
    </comment>
    <comment authorId="0" ref="H268">
      <text>
        <t xml:space="preserve">PCIe Gen4 only with 11th Gen Intel Rocket Lake S CPU</t>
      </text>
    </comment>
    <comment authorId="0" ref="AW268">
      <text>
        <t xml:space="preserve">HDMI 1.4</t>
      </text>
    </comment>
    <comment authorId="0" ref="H269">
      <text>
        <t xml:space="preserve">PCIe Gen4 only with 11th Gen Intel Rocket Lake S CPU</t>
      </text>
    </comment>
    <comment authorId="0" ref="H270">
      <text>
        <t xml:space="preserve">PCIe Gen4 only with 11th Gen Intel Rocket Lake S CPU</t>
      </text>
    </comment>
    <comment authorId="0" ref="AV270">
      <text>
        <t xml:space="preserve">DisplayPort 1.2</t>
      </text>
    </comment>
    <comment authorId="0" ref="AW270">
      <text>
        <t xml:space="preserve">HDMI 1.4</t>
      </text>
    </comment>
    <comment authorId="0" ref="H271">
      <text>
        <t xml:space="preserve">PCIe Gen4 only with 11th Gen Intel Rocket Lake S CPU</t>
      </text>
    </comment>
    <comment authorId="0" ref="AV271">
      <text>
        <t xml:space="preserve">DisplayPort 1.4</t>
      </text>
    </comment>
    <comment authorId="0" ref="AW271">
      <text>
        <t xml:space="preserve">HDMI 2.0b</t>
      </text>
    </comment>
    <comment authorId="0" ref="H272">
      <text>
        <t xml:space="preserve">PCIe Gen4 only with 11th Gen Intel Rocket Lake S CPU</t>
      </text>
    </comment>
    <comment authorId="0" ref="AW272">
      <text>
        <t xml:space="preserve">HDMI 2.0b</t>
      </text>
    </comment>
    <comment authorId="0" ref="H273">
      <text>
        <t xml:space="preserve">PCIe Gen4 only with 11th Gen Intel Rocket Lake S CPU</t>
      </text>
    </comment>
    <comment authorId="0" ref="W273">
      <text>
        <t xml:space="preserve">M2_1 = PCIe Gen4 (Gen4 only with 11th Gen Intel Rocket Lake S CPU)
M2_2 = PCIe Gen3</t>
      </text>
    </comment>
    <comment authorId="0" ref="AW273">
      <text>
        <t xml:space="preserve">HDMI 2.0</t>
      </text>
    </comment>
    <comment authorId="0" ref="H274">
      <text>
        <t xml:space="preserve">PCIe Gen4 only with 11th Gen Intel Rocket Lake S CPU</t>
      </text>
    </comment>
    <comment authorId="0" ref="W274">
      <text>
        <t xml:space="preserve">M2_1 = PCIe Gen4 (Gen4 only with 11th Gen Intel Rocket Lake S CPU)
M2_2 = PCIe Gen3</t>
      </text>
    </comment>
    <comment authorId="0" ref="AW274">
      <text>
        <t xml:space="preserve">HDMI 2.0</t>
      </text>
    </comment>
    <comment authorId="0" ref="H275">
      <text>
        <t xml:space="preserve">PCIe Gen4 only with 11th Gen Intel Rocket Lake S CPU</t>
      </text>
    </comment>
    <comment authorId="0" ref="M275">
      <text>
        <t xml:space="preserve">1 slot run in PCIe 3.0x4 speed</t>
      </text>
    </comment>
    <comment authorId="0" ref="W275">
      <text>
        <t xml:space="preserve">M2_1 = PCIe Gen4 (Gen4 only with 11th Gen Intel Rocket Lake S CPU)
M2_2 = PCIe Gen3</t>
      </text>
    </comment>
    <comment authorId="0" ref="AV275">
      <text>
        <t xml:space="preserve">DisplayPort 1.4</t>
      </text>
    </comment>
    <comment authorId="0" ref="AW275">
      <text>
        <t xml:space="preserve">HDMI 2.0</t>
      </text>
    </comment>
    <comment authorId="0" ref="H276">
      <text>
        <t xml:space="preserve">PCIe Gen4 only with 11th Gen Intel Rocket Lake S CPU</t>
      </text>
    </comment>
    <comment authorId="0" ref="W276">
      <text>
        <t xml:space="preserve">M2_1 = PCIe Gen4 (Gen4 only with 11th Gen Intel Rocket Lake S CPU)
M2_2 = PCIe Gen3</t>
      </text>
    </comment>
    <comment authorId="0" ref="AW276">
      <text>
        <t xml:space="preserve">HDMI 2.0</t>
      </text>
    </comment>
    <comment authorId="0" ref="H277">
      <text>
        <t xml:space="preserve">PCIe Gen4 only with 11th Gen Intel Rocket Lake S CPU</t>
      </text>
    </comment>
    <comment authorId="0" ref="W277">
      <text>
        <t xml:space="preserve">M2_1 = PCIe Gen4 (Gen4 only with 11th Gen Intel Rocket Lake S CPU)
M2_2 = PCIe Gen3</t>
      </text>
    </comment>
    <comment authorId="0" ref="H278">
      <text>
        <t xml:space="preserve">PCIe Gen4 only with 11th Gen Intel Rocket Lake S CPU</t>
      </text>
    </comment>
    <comment authorId="0" ref="W278">
      <text>
        <t xml:space="preserve">M2_1 = PCIe Gen4 (Gen4 only with 11th Gen Intel Rocket Lake S CPU)
M2_2 = PCIe Gen3</t>
      </text>
    </comment>
    <comment authorId="0" ref="AW278">
      <text>
        <t xml:space="preserve">HDMI 1.4</t>
      </text>
    </comment>
    <comment authorId="0" ref="H279">
      <text>
        <t xml:space="preserve">PCIe Gen4 only with 11th Gen Intel Rocket Lake S CPU</t>
      </text>
    </comment>
    <comment authorId="0" ref="W279">
      <text>
        <t xml:space="preserve">M2_1 = PCIe Gen4 (Gen4 only with 11th Gen Intel Rocket Lake S CPU)
M2_2 = PCIe Gen3</t>
      </text>
    </comment>
    <comment authorId="0" ref="AW279">
      <text>
        <t xml:space="preserve">HDMI 1.4</t>
      </text>
    </comment>
    <comment authorId="0" ref="H280">
      <text>
        <t xml:space="preserve">PCIe Gen4 only with 11th Gen Intel Rocket Lake S CPU</t>
      </text>
    </comment>
    <comment authorId="0" ref="W280">
      <text>
        <t xml:space="preserve">M2_1 = PCIe Gen4 (Gen4 only with 11th Gen Intel Rocket Lake S CPU)
M2_2 = PCIe Gen3</t>
      </text>
    </comment>
    <comment authorId="0" ref="AW280">
      <text>
        <t xml:space="preserve">HDMI 1.4</t>
      </text>
    </comment>
    <comment authorId="0" ref="H281">
      <text>
        <t xml:space="preserve">PCIe Gen4 only with 11th Gen Intel Rocket Lake S CPU</t>
      </text>
    </comment>
    <comment authorId="0" ref="AV281">
      <text>
        <t xml:space="preserve">DisplayPort 1.4</t>
      </text>
    </comment>
    <comment authorId="0" ref="AW281">
      <text>
        <t xml:space="preserve">HDMI 2.0b</t>
      </text>
    </comment>
    <comment authorId="0" ref="H282">
      <text>
        <t xml:space="preserve">PCIe Gen4 only with 11th Gen Intel Rocket Lake S CPU</t>
      </text>
    </comment>
    <comment authorId="0" ref="AV282">
      <text>
        <t xml:space="preserve">DisplayPort 1.4</t>
      </text>
    </comment>
    <comment authorId="0" ref="AW282">
      <text>
        <t xml:space="preserve">HDMI 2.0b</t>
      </text>
    </comment>
    <comment authorId="0" ref="H283">
      <text>
        <t xml:space="preserve">PCIe Gen4 only with 11th Gen Intel Rocket Lake S CPU</t>
      </text>
    </comment>
    <comment authorId="0" ref="AW283">
      <text>
        <t xml:space="preserve">HDMI 2.0b</t>
      </text>
    </comment>
    <comment authorId="0" ref="H284">
      <text>
        <t xml:space="preserve">PCIe Gen4 only with 11th Gen Intel Rocket Lake S CPU</t>
      </text>
    </comment>
    <comment authorId="0" ref="AW284">
      <text>
        <t xml:space="preserve">HDMI 2.0b</t>
      </text>
    </comment>
    <comment authorId="0" ref="H285">
      <text>
        <t xml:space="preserve">PCIe Gen4 only with 11th Gen Intel Rocket Lake S CPU</t>
      </text>
    </comment>
    <comment authorId="0" ref="W285">
      <text>
        <t xml:space="preserve">M2_1 = PCIe 4.0x4 with 11th Gen CPU. Disabled with 10th Gen CPU
M2_2 = PCIe 3.0x4 or SATA 3.0</t>
      </text>
    </comment>
    <comment authorId="0" ref="AW285">
      <text>
        <t xml:space="preserve">HDMI 2.0</t>
      </text>
    </comment>
    <comment authorId="0" ref="H286">
      <text>
        <t xml:space="preserve">PCIe Gen4 only with 11th Gen Intel Rocket Lake S CPU</t>
      </text>
    </comment>
    <comment authorId="0" ref="M286">
      <text>
        <t xml:space="preserve">PCIE_1 = PCIe 4.0x16
PCIE_2 = PCIe 3.0x4</t>
      </text>
    </comment>
    <comment authorId="0" ref="W286">
      <text>
        <t xml:space="preserve">M2_1 = PCIe 4.0x4 with 11th Gen CPU or PCIe 3.0x4 with 10th Gen CPU or SATA 3.0
M2_2 = PCIe 3.0x4 or SATA 3.0</t>
      </text>
    </comment>
    <comment authorId="0" ref="AV286">
      <text>
        <t xml:space="preserve">DisplayPort 1.4</t>
      </text>
    </comment>
    <comment authorId="0" ref="AW286">
      <text>
        <t xml:space="preserve">HDMI 2.0</t>
      </text>
    </comment>
    <comment authorId="0" ref="H287">
      <text>
        <t xml:space="preserve">PCIe Gen4 only with 11th Gen Intel Rocket Lake S CPU</t>
      </text>
    </comment>
    <comment authorId="0" ref="M287">
      <text>
        <t xml:space="preserve">PCIE_1 = PCIe 4.0x16
PCIE_2 = PCIe 3.0x4</t>
      </text>
    </comment>
    <comment authorId="0" ref="W287">
      <text>
        <t xml:space="preserve">M2_1 = PCIe 4.0x4 with 11th Gen CPU. Disabled with 10th Gen CPU
M2_2 = PCIe 3.0x4 or SATA 3.0
M2_3 = PCIe 3.0x4</t>
      </text>
    </comment>
    <comment authorId="0" ref="AV287">
      <text>
        <t xml:space="preserve">DisplayPort 1.4</t>
      </text>
    </comment>
    <comment authorId="0" ref="AW287">
      <text>
        <t xml:space="preserve">HDMI 2.0</t>
      </text>
    </comment>
    <comment authorId="0" ref="H288">
      <text>
        <t xml:space="preserve">PCIe Gen4 only with 11th Gen Intel Rocket Lake S CPU</t>
      </text>
    </comment>
    <comment authorId="0" ref="M288">
      <text>
        <t xml:space="preserve">PCIE_1 = PCIe 4.0x16
PCIE_2 = PCIe 3.0x4</t>
      </text>
    </comment>
    <comment authorId="0" ref="W288">
      <text>
        <t xml:space="preserve">M2_1 = PCIe 4.0x4 with 11th Gen CPU. Disabled with 10th Gen CPU
M2_2 = PCIe 3.0x4 or SATA 3.0</t>
      </text>
    </comment>
    <comment authorId="0" ref="H289">
      <text>
        <t xml:space="preserve">PCIe Gen4 only with 11th Gen Intel Rocket Lake S CPU</t>
      </text>
    </comment>
    <comment authorId="0" ref="M289">
      <text>
        <t xml:space="preserve">PCIE_1 = PCIe 4.0x16
PCIE_2 = PCIe 3.0x4</t>
      </text>
    </comment>
    <comment authorId="0" ref="W289">
      <text>
        <t xml:space="preserve">M2_1 = PCIe 4.0x4 with 11th Gen CPU. Disabled with 10th Gen CPU
M2_2 = PCIe 3.0x4 or SATA 3.0</t>
      </text>
    </comment>
    <comment authorId="0" ref="H290">
      <text>
        <t xml:space="preserve">PCIe Gen4 only with 11th Gen Intel Rocket Lake S CPU</t>
      </text>
    </comment>
    <comment authorId="0" ref="M290">
      <text>
        <t xml:space="preserve">PCIE_1 = PCIe 4.0x16
PCIE_2 = PCIe 3.0x4</t>
      </text>
    </comment>
    <comment authorId="0" ref="W290">
      <text>
        <t xml:space="preserve">M2_1 = PCIe 4.0x4 with 11th Gen CPU. Disabled with 10th Gen CPU
M2_2 = PCIe 3.0x4 or SATA 3.0</t>
      </text>
    </comment>
    <comment authorId="0" ref="H291">
      <text>
        <t xml:space="preserve">PCIe Gen4 only with 11th Gen Intel Rocket Lake S CPU</t>
      </text>
    </comment>
    <comment authorId="0" ref="M291">
      <text>
        <t xml:space="preserve">PCIE_1 = PCIe 4.0x16
PCIE_2 = PCIe 3.0x4</t>
      </text>
    </comment>
    <comment authorId="0" ref="W291">
      <text>
        <t xml:space="preserve">M2_1 = PCIe 4.0x4 with 11th Gen CPU. Disabled with 10th Gen CPU
M2_2 = PCIe 3.0x4 or SATA 3.0</t>
      </text>
    </comment>
    <comment authorId="0" ref="AV291">
      <text>
        <t xml:space="preserve">DisplayPort 1.2</t>
      </text>
    </comment>
    <comment authorId="0" ref="AW291">
      <text>
        <t xml:space="preserve">HDMI 1.4</t>
      </text>
    </comment>
    <comment authorId="0" ref="H292">
      <text>
        <t xml:space="preserve">PCIe Gen4 only with 11th Gen Intel Rocket Lake S CPU</t>
      </text>
    </comment>
    <comment authorId="0" ref="M292">
      <text>
        <t xml:space="preserve">PCIE_1 = PCIe 4.0x16
PCIE_2 = PCIe 3.0x4</t>
      </text>
    </comment>
    <comment authorId="0" ref="W292">
      <text>
        <t xml:space="preserve">M2_1 = PCIe 4.0x4 with 11th Gen CPU. Disabled with 10th Gen CPU
M2_2 = PCIe 3.0x4 or SATA 3.0</t>
      </text>
    </comment>
    <comment authorId="0" ref="AV292">
      <text>
        <t xml:space="preserve">DisplayPort 1.2</t>
      </text>
    </comment>
    <comment authorId="0" ref="AW292">
      <text>
        <t xml:space="preserve">HDMI 1.4</t>
      </text>
    </comment>
    <comment authorId="0" ref="H293">
      <text>
        <t xml:space="preserve">PCIe Gen4 only with 11th Gen Intel Rocket Lake S CPU</t>
      </text>
    </comment>
    <comment authorId="0" ref="M293">
      <text>
        <t xml:space="preserve">PCIE_1 = PCIe 4.0x16
PCIE_2 = PCIe 3.0x4</t>
      </text>
    </comment>
    <comment authorId="0" ref="W293">
      <text>
        <t xml:space="preserve">M2_1 = PCIe 4.0x4 with 11th Gen CPU. Disabled with 10th Gen CPU
M2_2 = PCIe 3.0x4 or SATA 3.0</t>
      </text>
    </comment>
    <comment authorId="0" ref="AV293">
      <text>
        <t xml:space="preserve">DisplayPort 1.4</t>
      </text>
    </comment>
    <comment authorId="0" ref="AW293">
      <text>
        <t xml:space="preserve">HDMI 2.0b</t>
      </text>
    </comment>
    <comment authorId="0" ref="H294">
      <text>
        <t xml:space="preserve">PCIe Gen4 only with 11th Gen Intel Rocket Lake S CPU</t>
      </text>
    </comment>
    <comment authorId="0" ref="W294">
      <text>
        <t xml:space="preserve">M2_1 = PCIe 4.0x4 with 11th Gen CPU. PCIe 3.0x4 or SATA 3.0 with 10th Gen CPU
M2_2 = PCIe 3.0x4</t>
      </text>
    </comment>
    <comment authorId="0" ref="AV294">
      <text>
        <t xml:space="preserve">DisplayPort 1.4</t>
      </text>
    </comment>
    <comment authorId="0" ref="AW294">
      <text>
        <t xml:space="preserve">HDMI 2.0b</t>
      </text>
    </comment>
    <comment authorId="0" ref="AV295">
      <text>
        <t xml:space="preserve">DisplayPort 1.4</t>
      </text>
    </comment>
    <comment authorId="0" ref="AW295">
      <text>
        <t xml:space="preserve">HDMI 2.1</t>
      </text>
    </comment>
    <comment authorId="0" ref="W296">
      <text>
        <t xml:space="preserve">M2_1 = PCIe 3.0x4 or SATA 3.0</t>
      </text>
    </comment>
    <comment authorId="0" ref="AV296">
      <text>
        <t xml:space="preserve">DisplayPort 1.4</t>
      </text>
    </comment>
    <comment authorId="0" ref="AW296">
      <text>
        <t xml:space="preserve">HDMI 2.1</t>
      </text>
    </comment>
    <comment authorId="0" ref="W297">
      <text>
        <t xml:space="preserve">M2_1 = PCIe 3.0x4 or SATA 3.0</t>
      </text>
    </comment>
    <comment authorId="0" ref="AV297">
      <text>
        <t xml:space="preserve">DisplayPort 1.4</t>
      </text>
    </comment>
    <comment authorId="0" ref="AW297">
      <text>
        <t xml:space="preserve">HDMI 2.1</t>
      </text>
    </comment>
    <comment authorId="0" ref="AW298">
      <text>
        <t xml:space="preserve">HDMI 2.1</t>
      </text>
    </comment>
    <comment authorId="0" ref="AW299">
      <text>
        <t xml:space="preserve">HDMI 2.1</t>
      </text>
    </comment>
    <comment authorId="0" ref="W300">
      <text>
        <t xml:space="preserve">M2_1 = PCIe 3.0x4
M2_2 = PCIe 3.0x2</t>
      </text>
    </comment>
    <comment authorId="0" ref="AV300">
      <text>
        <t xml:space="preserve">DisplayPort 1.4</t>
      </text>
    </comment>
    <comment authorId="0" ref="AW300">
      <text>
        <t xml:space="preserve">HDMI 2.1</t>
      </text>
    </comment>
    <comment authorId="0" ref="W301">
      <text>
        <t xml:space="preserve">M2_1 = PCIe 3.0x4
M2_2 = PCIe 3.0x2</t>
      </text>
    </comment>
    <comment authorId="0" ref="AV301">
      <text>
        <t xml:space="preserve">DisplayPort 1.4</t>
      </text>
    </comment>
    <comment authorId="0" ref="AW301">
      <text>
        <t xml:space="preserve">HDMI 2.1</t>
      </text>
    </comment>
    <comment authorId="0" ref="W302">
      <text>
        <t xml:space="preserve">M2_1 = PCIe 3.0x4 or SATA 3.0</t>
      </text>
    </comment>
    <comment authorId="0" ref="AW302">
      <text>
        <t xml:space="preserve">HDMI 2.1</t>
      </text>
    </comment>
    <comment authorId="0" ref="W303">
      <text>
        <t xml:space="preserve">M2_1 = PCIe 3.0x4
M2_2 = PCIe 3.0x2</t>
      </text>
    </comment>
    <comment authorId="0" ref="AV303">
      <text>
        <t xml:space="preserve">DisplayPort 1.4</t>
      </text>
    </comment>
    <comment authorId="0" ref="AW303">
      <text>
        <t xml:space="preserve">HDMI 2.1</t>
      </text>
    </comment>
    <comment authorId="0" ref="W304">
      <text>
        <t xml:space="preserve">M2_1 = PCIe 3.0x4
M2_2 = PCIe 3.0x2</t>
      </text>
    </comment>
    <comment authorId="0" ref="AV304">
      <text>
        <t xml:space="preserve">DisplayPort 1.4</t>
      </text>
    </comment>
    <comment authorId="0" ref="AW304">
      <text>
        <t xml:space="preserve">HDMI 2.1</t>
      </text>
    </comment>
    <comment authorId="0" ref="W305">
      <text>
        <t xml:space="preserve">M2_1 = PCIe 3.0x4</t>
      </text>
    </comment>
    <comment authorId="0" ref="W306">
      <text>
        <t xml:space="preserve">M2_1 = PCIe 3.0x4 or SATA 3.0</t>
      </text>
    </comment>
    <comment authorId="0" ref="AW306">
      <text>
        <t xml:space="preserve">HDMI 2.1</t>
      </text>
    </comment>
    <comment authorId="0" ref="W307">
      <text>
        <t xml:space="preserve">M2_1 = PCIe 3.0x4</t>
      </text>
    </comment>
    <comment authorId="0" ref="AV307">
      <text>
        <t xml:space="preserve">DisplayPort 1.4</t>
      </text>
    </comment>
    <comment authorId="0" ref="AW307">
      <text>
        <t xml:space="preserve">HDMI 2.1</t>
      </text>
    </comment>
    <comment authorId="0" ref="W308">
      <text>
        <t xml:space="preserve">M2_1 = PCIe 3.0x4</t>
      </text>
    </comment>
    <comment authorId="0" ref="AV308">
      <text>
        <t xml:space="preserve">DisplayPort 1.4</t>
      </text>
    </comment>
    <comment authorId="0" ref="AW308">
      <text>
        <t xml:space="preserve">HDMI 2.1</t>
      </text>
    </comment>
    <comment authorId="0" ref="W309">
      <text>
        <t xml:space="preserve">M2_1 = PCIe 3.0x4 or SATA 3.0</t>
      </text>
    </comment>
    <comment authorId="0" ref="W310">
      <text>
        <t xml:space="preserve">M2_1 = PCIe 3.0x4 or SATA 3.0</t>
      </text>
    </comment>
    <comment authorId="0" ref="W311">
      <text>
        <t xml:space="preserve">M2_1 = PCIe 3.0x4 or SATA 3.0</t>
      </text>
    </comment>
    <comment authorId="0" ref="W312">
      <text>
        <t xml:space="preserve">M2_1 = PCIe 3.0x4</t>
      </text>
    </comment>
    <comment authorId="0" ref="AW312">
      <text>
        <t xml:space="preserve">HDMI 2.1</t>
      </text>
    </comment>
    <comment authorId="0" ref="W313">
      <text>
        <t xml:space="preserve">M2_1 = PCIe 3.0x4 or SATA 3.0</t>
      </text>
    </comment>
    <comment authorId="0" ref="AV313">
      <text>
        <t xml:space="preserve">DisplayPort 1.2</t>
      </text>
    </comment>
    <comment authorId="0" ref="AW313">
      <text>
        <t xml:space="preserve">HDMI 2.1</t>
      </text>
    </comment>
    <comment authorId="0" ref="W314">
      <text>
        <t xml:space="preserve">M2_1 = PCIe 3.0x4</t>
      </text>
    </comment>
    <comment authorId="0" ref="W315">
      <text>
        <t xml:space="preserve">M2_1 = PCIe 3.0x4</t>
      </text>
    </comment>
    <comment authorId="0" ref="AV315">
      <text>
        <t xml:space="preserve">DisplayPort 1.2</t>
      </text>
    </comment>
    <comment authorId="0" ref="AW315">
      <text>
        <t xml:space="preserve">HDMI 2.1</t>
      </text>
    </comment>
    <comment authorId="0" ref="W316">
      <text>
        <t xml:space="preserve">M2_1 = PCIe 3.0x4</t>
      </text>
    </comment>
    <comment authorId="0" ref="W317">
      <text>
        <t xml:space="preserve">M2_1 = PCIe 3.0x4 or SATA 3.0</t>
      </text>
    </comment>
    <comment authorId="0" ref="AW317">
      <text>
        <t xml:space="preserve">HDMI 2.1</t>
      </text>
    </comment>
    <comment authorId="0" ref="W318">
      <text>
        <t xml:space="preserve">M2_1 = PCIe 3.0x4 or SATA 3.0</t>
      </text>
    </comment>
    <comment authorId="0" ref="AV318">
      <text>
        <t xml:space="preserve">DisplayPort 1.4</t>
      </text>
    </comment>
    <comment authorId="0" ref="AW318">
      <text>
        <t xml:space="preserve">HDMI 2.1</t>
      </text>
    </comment>
    <comment authorId="0" ref="W319">
      <text>
        <t xml:space="preserve">M2_1 = PCIe 3.0x4 or SATA 3.0</t>
      </text>
    </comment>
    <comment authorId="0" ref="AV319">
      <text>
        <t xml:space="preserve">DisplayPort 1.4</t>
      </text>
    </comment>
    <comment authorId="0" ref="AW319">
      <text>
        <t xml:space="preserve">HDMI 2.1</t>
      </text>
    </comment>
    <comment authorId="0" ref="W320">
      <text>
        <t xml:space="preserve">M2_1 = PCIe 3.0x4</t>
      </text>
    </comment>
    <comment authorId="0" ref="AW320">
      <text>
        <t xml:space="preserve">HDMI 2.1</t>
      </text>
    </comment>
    <comment authorId="0" ref="W321">
      <text>
        <t xml:space="preserve">M2_1 = PCIe 3.0x4 or SATA 3.0</t>
      </text>
    </comment>
    <comment authorId="0" ref="AV321">
      <text>
        <t xml:space="preserve">DisplayPort 1.4</t>
      </text>
    </comment>
    <comment authorId="0" ref="AW321">
      <text>
        <t xml:space="preserve">HDMI 2.1</t>
      </text>
    </comment>
    <comment authorId="0" ref="W322">
      <text>
        <t xml:space="preserve">M2_1 = PCIe 3.0x4 or SATA 3.0</t>
      </text>
    </comment>
    <comment authorId="0" ref="AV322">
      <text>
        <t xml:space="preserve">DisplayPort 1.4</t>
      </text>
    </comment>
    <comment authorId="0" ref="AW322">
      <text>
        <t xml:space="preserve">HDMI 2.1</t>
      </text>
    </comment>
    <comment authorId="0" ref="W323">
      <text>
        <t xml:space="preserve">M2_1 = PCIe 3.0x4 or SATA 3.0</t>
      </text>
    </comment>
    <comment authorId="0" ref="AV323">
      <text>
        <t xml:space="preserve">DisplayPort 1.4</t>
      </text>
    </comment>
    <comment authorId="0" ref="AW323">
      <text>
        <t xml:space="preserve">HDMI 2.1</t>
      </text>
    </comment>
    <comment authorId="0" ref="W324">
      <text>
        <t xml:space="preserve">M2_1 = PCIe 4.0x4
M2_2 = PCIe 3.0x4 or SATA 3.0</t>
      </text>
    </comment>
    <comment authorId="0" ref="AV324">
      <text>
        <t xml:space="preserve">DisplayPort 1.4</t>
      </text>
    </comment>
    <comment authorId="0" ref="AW324">
      <text>
        <t xml:space="preserve">HDMI 2.1</t>
      </text>
    </comment>
    <comment authorId="0" ref="W325">
      <text>
        <t xml:space="preserve">M2_1 = PCIe 3.0x4 or SATA 3.0</t>
      </text>
    </comment>
    <comment authorId="0" ref="AV325">
      <text>
        <t xml:space="preserve">DisplayPort 1.4</t>
      </text>
    </comment>
    <comment authorId="0" ref="AW325">
      <text>
        <t xml:space="preserve">HDMI 2.1</t>
      </text>
    </comment>
    <comment authorId="0" ref="W326">
      <text>
        <t xml:space="preserve">M2_1 = PCIe 4.0x4
M2_2 = PCIe 4.0x4</t>
      </text>
    </comment>
    <comment authorId="0" ref="AV326">
      <text>
        <t xml:space="preserve">DisplayPort 1.4</t>
      </text>
    </comment>
    <comment authorId="0" ref="AW326">
      <text>
        <t xml:space="preserve">HDMI 2.1</t>
      </text>
    </comment>
    <comment authorId="0" ref="M327">
      <text>
        <t xml:space="preserve">PCIE_1 = PCIe 4.0x16
PCIE_2 = PCIe 3.0x4</t>
      </text>
    </comment>
    <comment authorId="0" ref="W327">
      <text>
        <t xml:space="preserve">M2_1 = PCIe 4.0x4
M2_2 = PCIe 4.0x4</t>
      </text>
    </comment>
    <comment authorId="0" ref="AV327">
      <text>
        <t xml:space="preserve">DisplayPort 1.4</t>
      </text>
    </comment>
    <comment authorId="0" ref="AW327">
      <text>
        <t xml:space="preserve">HDMI 2.1</t>
      </text>
    </comment>
    <comment authorId="0" ref="M328">
      <text>
        <t xml:space="preserve">PCIE_1 = PCIe 4.0x16
PCIE_2 = PCIe 3.0x4</t>
      </text>
    </comment>
    <comment authorId="0" ref="W328">
      <text>
        <t xml:space="preserve">M2_1 = PCIe 4.0x4
M2_2 = PCIe 3.0x4 or SATA 3.0</t>
      </text>
    </comment>
    <comment authorId="0" ref="AV328">
      <text>
        <t xml:space="preserve">DisplayPort 1.4</t>
      </text>
    </comment>
    <comment authorId="0" ref="AW328">
      <text>
        <t xml:space="preserve">HDMI 2.1</t>
      </text>
    </comment>
    <comment authorId="0" ref="W329">
      <text>
        <t xml:space="preserve">M2_1 = PCIe 4.0x4
M2_2 = PCIe 4.0x4
M2_3 = PCIe 3.0x4</t>
      </text>
    </comment>
    <comment authorId="0" ref="AV329">
      <text>
        <t xml:space="preserve">DisplayPort 1.4</t>
      </text>
    </comment>
    <comment authorId="0" ref="AW329">
      <text>
        <t xml:space="preserve">HDMI 2.1</t>
      </text>
    </comment>
    <comment authorId="0" ref="W330">
      <text>
        <t xml:space="preserve">M2_1 = PCIe 4.0x4
M2_2 = PCIe 4.0x4 or SATA 3.0</t>
      </text>
    </comment>
    <comment authorId="0" ref="AV330">
      <text>
        <t xml:space="preserve">DisplayPort 1.4</t>
      </text>
    </comment>
    <comment authorId="0" ref="AW330">
      <text>
        <t xml:space="preserve">HDMI 2.1</t>
      </text>
    </comment>
    <comment authorId="0" ref="W331">
      <text>
        <t xml:space="preserve">M2_1 = PCIe 4.0x4
M2_2 = PCIe 4.0x4</t>
      </text>
    </comment>
    <comment authorId="0" ref="AW331">
      <text>
        <t xml:space="preserve">HDMI 2.1</t>
      </text>
    </comment>
    <comment authorId="0" ref="W332">
      <text>
        <t xml:space="preserve">M2_1 = PCIe 4.0x4
M2_2 = PCIe 4.0x4</t>
      </text>
    </comment>
    <comment authorId="0" ref="AW332">
      <text>
        <t xml:space="preserve">HDMI 2.1</t>
      </text>
    </comment>
    <comment authorId="0" ref="M333">
      <text>
        <t xml:space="preserve">PCIE_1 = PCIe 4.0x16
PCIE_2 = PCIe 3.0x4
PCIE_3 = PCIe 3.0x1</t>
      </text>
    </comment>
    <comment authorId="0" ref="W333">
      <text>
        <t xml:space="preserve">M2_1 = PCIe 4.0x4
M2_2 = PCIe 4.0x4</t>
      </text>
    </comment>
    <comment authorId="0" ref="AV333">
      <text>
        <t xml:space="preserve">DisplayPort 1.4</t>
      </text>
    </comment>
    <comment authorId="0" ref="AW333">
      <text>
        <t xml:space="preserve">HDMI 2.1</t>
      </text>
    </comment>
    <comment authorId="0" ref="M334">
      <text>
        <t xml:space="preserve">PCIE_1 = PCIe 4.0x16
PCIE_2 = PCIe 3.0x4
PCIE_3 = PCIe 3.0x1</t>
      </text>
    </comment>
    <comment authorId="0" ref="W334">
      <text>
        <t xml:space="preserve">M2_1 = PCIe 4.0x4
M2_2 = PCIe 4.0x4</t>
      </text>
    </comment>
    <comment authorId="0" ref="AV334">
      <text>
        <t xml:space="preserve">DisplayPort 1.4</t>
      </text>
    </comment>
    <comment authorId="0" ref="AW334">
      <text>
        <t xml:space="preserve">HDMI 2.1</t>
      </text>
    </comment>
    <comment authorId="0" ref="W335">
      <text>
        <t xml:space="preserve">M2_1 = PCIe 4.0x4
M2_2 = PCIe 4.0x4</t>
      </text>
    </comment>
    <comment authorId="0" ref="AW335">
      <text>
        <t xml:space="preserve">HDMI 2.1</t>
      </text>
    </comment>
    <comment authorId="0" ref="W336">
      <text>
        <t xml:space="preserve">M2_1 = PCIe 4.0x4
M2_2 = PCIe 4.0x4</t>
      </text>
    </comment>
    <comment authorId="0" ref="AV336">
      <text>
        <t xml:space="preserve">DisplayPort 1.4</t>
      </text>
    </comment>
    <comment authorId="0" ref="AW336">
      <text>
        <t xml:space="preserve">HDMI 2.1</t>
      </text>
    </comment>
    <comment authorId="0" ref="W337">
      <text>
        <t xml:space="preserve">M2_1 = PCIe 4.0x4
M2_2 = PCIe 4.0x4</t>
      </text>
    </comment>
    <comment authorId="0" ref="AV337">
      <text>
        <t xml:space="preserve">DisplayPort 1.4</t>
      </text>
    </comment>
    <comment authorId="0" ref="AW337">
      <text>
        <t xml:space="preserve">HDMI 2.1</t>
      </text>
    </comment>
    <comment authorId="0" ref="M338">
      <text>
        <t xml:space="preserve">PCIE_1 = PCIe 5.0x16
PCIE_2 = PCIe 3.0x4</t>
      </text>
    </comment>
    <comment authorId="0" ref="W338">
      <text>
        <t xml:space="preserve">M2_1 = PCIe 4.0x4
M2_2 = PCIe 4.0x4</t>
      </text>
    </comment>
    <comment authorId="0" ref="AV338">
      <text>
        <t xml:space="preserve">DisplayPort 1.4</t>
      </text>
    </comment>
    <comment authorId="0" ref="AW338">
      <text>
        <t xml:space="preserve">HDMI 2.1</t>
      </text>
    </comment>
    <comment authorId="0" ref="M339">
      <text>
        <t xml:space="preserve">PCIE_1 = PCIe 4.0x16
PCIE_2 = PCIe 3.0x4</t>
      </text>
    </comment>
    <comment authorId="0" ref="W339">
      <text>
        <t xml:space="preserve">M2_1 = PCIe 4.0x4
M2_2 = PCIe 4.0x4</t>
      </text>
    </comment>
    <comment authorId="0" ref="AV339">
      <text>
        <t xml:space="preserve">DisplayPort 1.4</t>
      </text>
    </comment>
    <comment authorId="0" ref="AW339">
      <text>
        <t xml:space="preserve">HDMI 2.1</t>
      </text>
    </comment>
    <comment authorId="0" ref="M340">
      <text>
        <t xml:space="preserve">PCIE_1 = PCIe 5.0x16
PCIE_2 = PCIe 3.0x4</t>
      </text>
    </comment>
    <comment authorId="0" ref="W340">
      <text>
        <t xml:space="preserve">M2_1 = PCIe 4.0x4
M2_2 = PCIe 4.0x4</t>
      </text>
    </comment>
    <comment authorId="0" ref="AV340">
      <text>
        <t xml:space="preserve">DisplayPort 1.4</t>
      </text>
    </comment>
    <comment authorId="0" ref="AW340">
      <text>
        <t xml:space="preserve">HDMI 2.1</t>
      </text>
    </comment>
    <comment authorId="0" ref="M341">
      <text>
        <t xml:space="preserve">PCIE_1 = PCIe 5.0x16
PCIE_2 = PCIe 3.0x4</t>
      </text>
    </comment>
    <comment authorId="0" ref="W341">
      <text>
        <t xml:space="preserve">M2_1 = PCIe 4.0x4
M2_2 = PCIe 4.0x4</t>
      </text>
    </comment>
    <comment authorId="0" ref="AV341">
      <text>
        <t xml:space="preserve">DisplayPort 1.4</t>
      </text>
    </comment>
    <comment authorId="0" ref="AW341">
      <text>
        <t xml:space="preserve">HDMI 2.1</t>
      </text>
    </comment>
    <comment authorId="0" ref="M342">
      <text>
        <t xml:space="preserve">PCIE_1 = PCIe 5.0x16
PCIE_2 = PCIe 3.0x4</t>
      </text>
    </comment>
    <comment authorId="0" ref="W342">
      <text>
        <t xml:space="preserve">M2_1 = PCIe 4.0x4
M2_2 = PCIe 4.0x4</t>
      </text>
    </comment>
    <comment authorId="0" ref="AV342">
      <text>
        <t xml:space="preserve">DisplayPort 1.4</t>
      </text>
    </comment>
    <comment authorId="0" ref="AW342">
      <text>
        <t xml:space="preserve">HDMI 2.1</t>
      </text>
    </comment>
    <comment authorId="0" ref="M343">
      <text>
        <t xml:space="preserve">PCIE_1 = PCIe 5.0x16
PCIE_2 = PCIe 3.0x4</t>
      </text>
    </comment>
    <comment authorId="0" ref="W343">
      <text>
        <t xml:space="preserve">M2_1 = PCIe 4.0x4
M2_2 = PCIe 4.0x4 or SATA 3.0</t>
      </text>
    </comment>
    <comment authorId="0" ref="W344">
      <text>
        <t xml:space="preserve">M2_1 = PCIe 3.0x4 or SATA 3.0</t>
      </text>
    </comment>
    <comment authorId="0" ref="M345">
      <text>
        <t xml:space="preserve">PCIE_1 = PCIe 4.0x16
PCIE_2 = PCIe 3.0x4</t>
      </text>
    </comment>
    <comment authorId="0" ref="W345">
      <text>
        <t xml:space="preserve">M2_1 = PCIe 4.0x4
M2_2 = PCIe 4.0x4 or SATA 3.0</t>
      </text>
    </comment>
    <comment authorId="0" ref="M346">
      <text>
        <t xml:space="preserve">PCIE_1 = PCIe 4.0x16
PCIE_2 = PCIe 3.0x1
PCIE_3 = PCIe 3.0x1
PCIE_4 = PCIe 3.0x1</t>
      </text>
    </comment>
    <comment authorId="0" ref="W346">
      <text>
        <t xml:space="preserve">M2_1 = PCIe 4.0x4
M2_2 = PCIe 3.0x4 or SATA 3.0</t>
      </text>
    </comment>
    <comment authorId="0" ref="M347">
      <text>
        <t xml:space="preserve">PCIE_1 = PCIe 5.0x16
PCIE_2 = PCIe 3.0x4</t>
      </text>
    </comment>
    <comment authorId="0" ref="W347">
      <text>
        <t xml:space="preserve">M2_1 = PCIe 4.0x4
M2_2 = PCIe 4.0x4 or SATA 3.0</t>
      </text>
    </comment>
    <comment authorId="0" ref="W348">
      <text>
        <t xml:space="preserve">M2_1 = PCIe 4.0x4
M2_2 = PCIe 4.0x4 or SATA 3.0</t>
      </text>
    </comment>
    <comment authorId="0" ref="W349">
      <text>
        <t xml:space="preserve">M2_1 = PCIe 4.0x4
M2_2 = PCIe 4.0x4 or SATA 3.0</t>
      </text>
    </comment>
    <comment authorId="0" ref="W350">
      <text>
        <t xml:space="preserve">M2_1 = PCIe 4.0x4
M2_2 = PCIe 4.0x4 or SATA 3.0</t>
      </text>
    </comment>
    <comment authorId="0" ref="M351">
      <text>
        <t xml:space="preserve">PCIE_1 = PCIe 4.0x16
PCIE_2 = PCIe 3.0x4</t>
      </text>
    </comment>
    <comment authorId="0" ref="W351">
      <text>
        <t xml:space="preserve">M2_1 = PCIe 4.0x4
M2_2 = PCIe 4.0x4</t>
      </text>
    </comment>
    <comment authorId="0" ref="AV351">
      <text>
        <t xml:space="preserve">DisplayPort 1.2</t>
      </text>
    </comment>
    <comment authorId="0" ref="AW351">
      <text>
        <t xml:space="preserve">HDMI 2.1</t>
      </text>
    </comment>
    <comment authorId="0" ref="M352">
      <text>
        <t xml:space="preserve">PCIE_1 = PCIe 4.0x16
PCIE_2 = PCIe 3.0x4</t>
      </text>
    </comment>
    <comment authorId="0" ref="W352">
      <text>
        <t xml:space="preserve">M2_1 = PCIe 4.0x4
M2_2 = PCIe 4.0x4</t>
      </text>
    </comment>
    <comment authorId="0" ref="AV352">
      <text>
        <t xml:space="preserve">DisplayPort 1.2</t>
      </text>
    </comment>
    <comment authorId="0" ref="AW352">
      <text>
        <t xml:space="preserve">HDMI 2.1</t>
      </text>
    </comment>
    <comment authorId="0" ref="M353">
      <text>
        <t xml:space="preserve">PCIE_1 = PCIe 4.0x16
PCIE_2 = PCIe 3.0x4</t>
      </text>
    </comment>
    <comment authorId="0" ref="W353">
      <text>
        <t xml:space="preserve">M2_1 = PCIe 4.0x4
M2_2 = PCIe 4.0x4</t>
      </text>
    </comment>
    <comment authorId="0" ref="AV353">
      <text>
        <t xml:space="preserve">DisplayPort 1.2</t>
      </text>
    </comment>
    <comment authorId="0" ref="AW353">
      <text>
        <t xml:space="preserve">HDMI 2.1</t>
      </text>
    </comment>
    <comment authorId="0" ref="M354">
      <text>
        <t xml:space="preserve">PCIE_1 = PCIe 4.0x16
PCIE_2 = PCIe 3.0x4</t>
      </text>
    </comment>
    <comment authorId="0" ref="W354">
      <text>
        <t xml:space="preserve">M2_1 = PCIe 4.0x4
M2_2 = PCIe 4.0x4</t>
      </text>
    </comment>
    <comment authorId="0" ref="AV354">
      <text>
        <t xml:space="preserve">DisplayPort 1.2</t>
      </text>
    </comment>
    <comment authorId="0" ref="AW354">
      <text>
        <t xml:space="preserve">HDMI 2.1</t>
      </text>
    </comment>
    <comment authorId="0" ref="M355">
      <text>
        <t xml:space="preserve">PCIE_1 = PCIe 4.0x16
PCIE_2 = PCIe 3.0x4</t>
      </text>
    </comment>
    <comment authorId="0" ref="W355">
      <text>
        <t xml:space="preserve">M2_1 = PCIe 4.0x4
M2_2 = PCIe 4.0x4</t>
      </text>
    </comment>
    <comment authorId="0" ref="AV355">
      <text>
        <t xml:space="preserve">DisplayPort 1.2</t>
      </text>
    </comment>
    <comment authorId="0" ref="AW355">
      <text>
        <t xml:space="preserve">HDMI 2.1</t>
      </text>
    </comment>
    <comment authorId="0" ref="M356">
      <text>
        <t xml:space="preserve">PCIE_1 = PCIe 4.0x16
PCIE_2 = PCIe 3.0x4</t>
      </text>
    </comment>
    <comment authorId="0" ref="W356">
      <text>
        <t xml:space="preserve">M2_1 = PCIe 4.0x4
M2_2 = PCIe 4.0x4</t>
      </text>
    </comment>
    <comment authorId="0" ref="AV356">
      <text>
        <t xml:space="preserve">DisplayPort 1.2</t>
      </text>
    </comment>
    <comment authorId="0" ref="AW356">
      <text>
        <t xml:space="preserve">HDMI 2.1</t>
      </text>
    </comment>
    <comment authorId="0" ref="W357">
      <text>
        <t xml:space="preserve">M2_1 = PCIe 4.0x4
M2_2 = PCIe 4.0x4</t>
      </text>
    </comment>
    <comment authorId="0" ref="AW357">
      <text>
        <t xml:space="preserve">HDMI 2.1</t>
      </text>
    </comment>
    <comment authorId="0" ref="M358">
      <text>
        <t xml:space="preserve">PCIE_1 = PCIe 4.0x16
PCIE_2 = PCIe 3.0x4</t>
      </text>
    </comment>
    <comment authorId="0" ref="W358">
      <text>
        <t xml:space="preserve">M2_1 = PCIe 4.0x4
M2_2 = PCIe 4.0x4</t>
      </text>
    </comment>
    <comment authorId="0" ref="AV358">
      <text>
        <t xml:space="preserve">DisplayPort 1.2</t>
      </text>
    </comment>
    <comment authorId="0" ref="AW358">
      <text>
        <t xml:space="preserve">HDMI 2.1</t>
      </text>
    </comment>
    <comment authorId="0" ref="W359">
      <text>
        <t xml:space="preserve">M2_1 = PCIe 4.0x4
M2_2 = PCIe 4.0x4</t>
      </text>
    </comment>
    <comment authorId="0" ref="AN359">
      <text>
        <t xml:space="preserve">Wi-Fi 6 for rev 1.0
Wi-Fi 6 for rev 1.1
Wi-Fi 6E for rev 1.2</t>
      </text>
    </comment>
    <comment authorId="0" ref="AO359">
      <text>
        <t xml:space="preserve">Intel Wi-Fi 6 AX201 for rev 1.0
Intel Wi-Fi 6 AX200 for rev 1.1
Intel Wi-Fi 6E AX211 for rev 1.2</t>
      </text>
    </comment>
    <comment authorId="0" ref="AV359">
      <text>
        <t xml:space="preserve">DisplayPort 1.2</t>
      </text>
    </comment>
    <comment authorId="0" ref="AW359">
      <text>
        <t xml:space="preserve">HDMI 2.1</t>
      </text>
    </comment>
    <comment authorId="0" ref="W360">
      <text>
        <t xml:space="preserve">M2_1 = PCIe 4.0x4
M2_2 = PCIe 4.0x4</t>
      </text>
    </comment>
    <comment authorId="0" ref="AV360">
      <text>
        <t xml:space="preserve">DisplayPort 1.2</t>
      </text>
    </comment>
    <comment authorId="0" ref="AW360">
      <text>
        <t xml:space="preserve">HDMI 2.1</t>
      </text>
    </comment>
    <comment authorId="0" ref="W361">
      <text>
        <t xml:space="preserve">M2_1 = PCIe 4.0x4
M2_2 = PCIe 4.0x4</t>
      </text>
    </comment>
    <comment authorId="0" ref="AV361">
      <text>
        <t xml:space="preserve">DisplayPort 1.2</t>
      </text>
    </comment>
    <comment authorId="0" ref="AW361">
      <text>
        <t xml:space="preserve">HDMI 2.1</t>
      </text>
    </comment>
    <comment authorId="0" ref="W362">
      <text>
        <t xml:space="preserve">M2_1 = PCIe 4.0x4
M2_2 = PCIe 4.0x4</t>
      </text>
    </comment>
    <comment authorId="0" ref="AV362">
      <text>
        <t xml:space="preserve">DisplayPort 1.2</t>
      </text>
    </comment>
    <comment authorId="0" ref="AW362">
      <text>
        <t xml:space="preserve">HDMI 2.1</t>
      </text>
    </comment>
    <comment authorId="0" ref="M363">
      <text>
        <t xml:space="preserve">PCIE_1 = PCIe 4.0x16
PCIE_2 = PCIe 3.0x4</t>
      </text>
    </comment>
    <comment authorId="0" ref="W363">
      <text>
        <t xml:space="preserve">M2_1 = PCIe 4.0x4
M2_2 = PCIe 4.0x4</t>
      </text>
    </comment>
    <comment authorId="0" ref="AV363">
      <text>
        <t xml:space="preserve">DisplayPort 1.2</t>
      </text>
    </comment>
    <comment authorId="0" ref="AW363">
      <text>
        <t xml:space="preserve">HDMI 2.1</t>
      </text>
    </comment>
    <comment authorId="0" ref="M364">
      <text>
        <t xml:space="preserve">PCIE_1 = PCIe 4.0x16
PCIE_2 = PCIe 3.0x4</t>
      </text>
    </comment>
    <comment authorId="0" ref="W364">
      <text>
        <t xml:space="preserve">M2_1 = PCIe 4.0x4
M2_2 = PCIe 4.0x4</t>
      </text>
    </comment>
    <comment authorId="0" ref="AV364">
      <text>
        <t xml:space="preserve">DisplayPort 1.2</t>
      </text>
    </comment>
    <comment authorId="0" ref="AW364">
      <text>
        <t xml:space="preserve">HDMI 2.1</t>
      </text>
    </comment>
    <comment authorId="0" ref="M365">
      <text>
        <t xml:space="preserve">PCIE_1 = PCIe 4.0x16
PCIE_2 = PCIe 3.0x4</t>
      </text>
    </comment>
    <comment authorId="0" ref="W365">
      <text>
        <t xml:space="preserve">M2_1 = PCIe 4.0x4
M2_2 = PCIe 4.0x4</t>
      </text>
    </comment>
    <comment authorId="0" ref="AN365">
      <text>
        <t xml:space="preserve">Wi-Fi 6 for rev 1.0
Wi-Fi 6E for rev 1.1</t>
      </text>
    </comment>
    <comment authorId="0" ref="AO365">
      <text>
        <t xml:space="preserve">Intel Wi-Fi 6 AX200 for rev 1.0
Intel Wi-Fi 6E AX211 for rev 1.1</t>
      </text>
    </comment>
    <comment authorId="0" ref="AV365">
      <text>
        <t xml:space="preserve">DisplayPort 1.2</t>
      </text>
    </comment>
    <comment authorId="0" ref="AW365">
      <text>
        <t xml:space="preserve">HDMI 2.1</t>
      </text>
    </comment>
    <comment authorId="0" ref="M366">
      <text>
        <t xml:space="preserve">PCIE_1 = PCIe 4.0x16
PCIE_2 = PCIe 3.0x4</t>
      </text>
    </comment>
    <comment authorId="0" ref="W366">
      <text>
        <t xml:space="preserve">M2_1 = PCIe 4.0x4
M2_2 = PCIe 4.0x4</t>
      </text>
    </comment>
    <comment authorId="0" ref="AV366">
      <text>
        <t xml:space="preserve">DisplayPort 1.2</t>
      </text>
    </comment>
    <comment authorId="0" ref="AW366">
      <text>
        <t xml:space="preserve">HDMI 2.1</t>
      </text>
    </comment>
    <comment authorId="0" ref="W367">
      <text>
        <t xml:space="preserve">M2_1 = PCIe 4.0x4
M2_2 = PCIe 4.0x4</t>
      </text>
    </comment>
    <comment authorId="0" ref="AW367">
      <text>
        <t xml:space="preserve">HDMI 2.1</t>
      </text>
    </comment>
    <comment authorId="0" ref="W368">
      <text>
        <t xml:space="preserve">M2_1 = PCIe 4.0x4
M2_2 = PCIe 4.0x4</t>
      </text>
    </comment>
    <comment authorId="0" ref="W369">
      <text>
        <t xml:space="preserve">M2_1 = PCIe 4.0x4
M2_2 = PCIe 3.0x4
M2_3 = PCIe 4.0x4</t>
      </text>
    </comment>
    <comment authorId="0" ref="M370">
      <text>
        <t xml:space="preserve">PCIE_1 = PCIe 4.0x16
PCIE_2 = PCIe 3.0x4</t>
      </text>
    </comment>
    <comment authorId="0" ref="W370">
      <text>
        <t xml:space="preserve">M2_1 = PCIe 4.0x4
M2_2 = PCIe 4.0x4</t>
      </text>
    </comment>
    <comment authorId="0" ref="M371">
      <text>
        <t xml:space="preserve">PCIE_1 = PCIe 4.0x16
PCIE_2 = PCIe 3.0x4</t>
      </text>
    </comment>
    <comment authorId="0" ref="W371">
      <text>
        <t xml:space="preserve">M2_1 = PCIe 4.0x4
M2_2 = PCIe 4.0x4 or SATA 3.0</t>
      </text>
    </comment>
    <comment authorId="0" ref="AV371">
      <text>
        <t xml:space="preserve">DisplayPort 1.4</t>
      </text>
    </comment>
    <comment authorId="0" ref="AW371">
      <text>
        <t xml:space="preserve">HDMI 2.1</t>
      </text>
    </comment>
    <comment authorId="0" ref="M372">
      <text>
        <t xml:space="preserve">PCIE_1 = PCIe 4.0x16
PCIE_2 = PCIe 3.0x4</t>
      </text>
    </comment>
    <comment authorId="0" ref="W372">
      <text>
        <t xml:space="preserve">M2_1 = PCIe 4.0x4
M2_2 = PCIe 4.0x4 or SATA 3.0</t>
      </text>
    </comment>
    <comment authorId="0" ref="AV372">
      <text>
        <t xml:space="preserve">DisplayPort 1.4</t>
      </text>
    </comment>
    <comment authorId="0" ref="AW372">
      <text>
        <t xml:space="preserve">HDMI 2.1</t>
      </text>
    </comment>
    <comment authorId="0" ref="M373">
      <text>
        <t xml:space="preserve">PCIE_1 = PCIe 4.0x16
PCIE_2 = PCIe 3.0x4</t>
      </text>
    </comment>
    <comment authorId="0" ref="W373">
      <text>
        <t xml:space="preserve">M2_1 = PCIe 4.0x4
M2_2 = PCIe 4.0x4 or SATA 3.0</t>
      </text>
    </comment>
    <comment authorId="0" ref="AV373">
      <text>
        <t xml:space="preserve">DisplayPort 1.4</t>
      </text>
    </comment>
    <comment authorId="0" ref="AW373">
      <text>
        <t xml:space="preserve">HDMI 2.1</t>
      </text>
    </comment>
    <comment authorId="0" ref="M374">
      <text>
        <t xml:space="preserve">PCIE_1 = PCIe 4.0x16
PCIE_2 = PCIe 3.0x4</t>
      </text>
    </comment>
    <comment authorId="0" ref="W374">
      <text>
        <t xml:space="preserve">M2_1 = PCIe 4.0x4
M2_2 = PCIe 4.0x4 or SATA 3.0</t>
      </text>
    </comment>
    <comment authorId="0" ref="AV374">
      <text>
        <t xml:space="preserve">DisplayPort 1.4</t>
      </text>
    </comment>
    <comment authorId="0" ref="AW374">
      <text>
        <t xml:space="preserve">HDMI 2.1</t>
      </text>
    </comment>
    <comment authorId="0" ref="M375">
      <text>
        <t xml:space="preserve">PCIE_1 = PCIe 5.0x16
PCIE_2 = PCIe 3.0x4</t>
      </text>
    </comment>
    <comment authorId="0" ref="W375">
      <text>
        <t xml:space="preserve">M2_1 = PCIe 4.0x4
M2_2 = PCIe 4.0x4 or SATA 3.0</t>
      </text>
    </comment>
    <comment authorId="0" ref="AV375">
      <text>
        <t xml:space="preserve">DisplayPort 1.4</t>
      </text>
    </comment>
    <comment authorId="0" ref="AW375">
      <text>
        <t xml:space="preserve">HDMI 2.1</t>
      </text>
    </comment>
    <comment authorId="0" ref="M376">
      <text>
        <t xml:space="preserve">PCIE_1 = PCIe 4.0x16
PCIE_2 = PCIe 3.0x4</t>
      </text>
    </comment>
    <comment authorId="0" ref="W376">
      <text>
        <t xml:space="preserve">M2_1 = PCIe 4.0x4
M2_2 = PCIe 4.0x4 or SATA 3.0</t>
      </text>
    </comment>
    <comment authorId="0" ref="AV376">
      <text>
        <t xml:space="preserve">DisplayPort 1.4</t>
      </text>
    </comment>
    <comment authorId="0" ref="AW376">
      <text>
        <t xml:space="preserve">HDMI 2.1</t>
      </text>
    </comment>
    <comment authorId="0" ref="M377">
      <text>
        <t xml:space="preserve">PCIE_1 = PCIe 4.0x16
PCIE_2 = PCIe 3.0x4</t>
      </text>
    </comment>
    <comment authorId="0" ref="W377">
      <text>
        <t xml:space="preserve">M2_1 = PCIe 4.0x4
M2_2 = PCIe 4.0x4 or SATA 3.0</t>
      </text>
    </comment>
    <comment authorId="0" ref="AV377">
      <text>
        <t xml:space="preserve">DisplayPort 1.4</t>
      </text>
    </comment>
    <comment authorId="0" ref="AW377">
      <text>
        <t xml:space="preserve">HDMI 2.1</t>
      </text>
    </comment>
    <comment authorId="0" ref="M378">
      <text>
        <t xml:space="preserve">PCIE_1 = PCIe 4.0x16
PCIE_2 = PCIe 3.0x4</t>
      </text>
    </comment>
    <comment authorId="0" ref="W378">
      <text>
        <t xml:space="preserve">M2_1 = PCIe 4.0x4
M2_2 = PCIe 4.0x4 or SATA 3.0</t>
      </text>
    </comment>
    <comment authorId="0" ref="AV378">
      <text>
        <t xml:space="preserve">DisplayPort 1.4</t>
      </text>
    </comment>
    <comment authorId="0" ref="AW378">
      <text>
        <t xml:space="preserve">HDMI 2.1</t>
      </text>
    </comment>
    <comment authorId="0" ref="M379">
      <text>
        <t xml:space="preserve">PCIE_1 = PCIe 4.0x16
PCIE_2 = PCIe 3.0x1
PCIE_3 = PCIe 3.0x1
PCIE_4 = PCIe 3.0x1</t>
      </text>
    </comment>
    <comment authorId="0" ref="W379">
      <text>
        <t xml:space="preserve">M2_1 = PCIe 4.0x4
M2_2 = PCIe 4.0x4 or SATA 3.0</t>
      </text>
    </comment>
    <comment authorId="0" ref="AW379">
      <text>
        <t xml:space="preserve">HDMI 2.1</t>
      </text>
    </comment>
    <comment authorId="0" ref="M380">
      <text>
        <t xml:space="preserve">PCIE_1 = PCIe 4.0x16
PCIE_2 = PCIe 3.0x4</t>
      </text>
    </comment>
    <comment authorId="0" ref="W380">
      <text>
        <t xml:space="preserve">M2_1 = PCIe 4.0x4
M2_2 = PCIe 4.0x4 or SATA 3.0</t>
      </text>
    </comment>
    <comment authorId="0" ref="AV380">
      <text>
        <t xml:space="preserve">DisplayPort 1.4</t>
      </text>
    </comment>
    <comment authorId="0" ref="AW380">
      <text>
        <t xml:space="preserve">HDMI 2.1</t>
      </text>
    </comment>
    <comment authorId="0" ref="M381">
      <text>
        <t xml:space="preserve">PCIE_1 = PCIe 4.0x16
PCIE_2 = PCIe 3.0x4</t>
      </text>
    </comment>
    <comment authorId="0" ref="W381">
      <text>
        <t xml:space="preserve">M2_1 = PCIe 4.0x4
M2_2 = PCIe 4.0x4 or SATA 3.0</t>
      </text>
    </comment>
    <comment authorId="0" ref="AV381">
      <text>
        <t xml:space="preserve">DisplayPort 1.4</t>
      </text>
    </comment>
    <comment authorId="0" ref="AW381">
      <text>
        <t xml:space="preserve">HDMI 2.1</t>
      </text>
    </comment>
    <comment authorId="0" ref="M382">
      <text>
        <t xml:space="preserve">PCIE_1 = PCIe 4.0x16
PCIE_2 = PCIe 3.0x4</t>
      </text>
    </comment>
    <comment authorId="0" ref="W382">
      <text>
        <t xml:space="preserve">M2_1 = PCIe 4.0x4
M2_2 = PCIe 4.0x4 or SATA 3.0</t>
      </text>
    </comment>
    <comment authorId="0" ref="AV382">
      <text>
        <t xml:space="preserve">DisplayPort 1.4</t>
      </text>
    </comment>
    <comment authorId="0" ref="AW382">
      <text>
        <t xml:space="preserve">HDMI 2.1</t>
      </text>
    </comment>
    <comment authorId="0" ref="W383">
      <text>
        <t xml:space="preserve">M2_1 = PCIe 4.0x4 or SATA 3.0</t>
      </text>
    </comment>
    <comment authorId="0" ref="AW383">
      <text>
        <t xml:space="preserve">HDMI 2.1</t>
      </text>
    </comment>
    <comment authorId="0" ref="W384">
      <text>
        <t xml:space="preserve">M2_1 = PCIe 4.0x4</t>
      </text>
    </comment>
    <comment authorId="0" ref="AW384">
      <text>
        <t xml:space="preserve">HDMI 2.1</t>
      </text>
    </comment>
    <comment authorId="0" ref="W385">
      <text>
        <t xml:space="preserve">M2_1 = PCIe 3.0x4 or SATA 3.0</t>
      </text>
    </comment>
    <comment authorId="0" ref="AW385">
      <text>
        <t xml:space="preserve">HDMI 2.1</t>
      </text>
    </comment>
    <comment authorId="0" ref="W386">
      <text>
        <t xml:space="preserve">M2_1 = PCIe 4.0x4
M2_2 = PCIe 4.0x4 or SATA 3.0</t>
      </text>
    </comment>
    <comment authorId="0" ref="AV386">
      <text>
        <t xml:space="preserve">DisplayPort 1.4</t>
      </text>
    </comment>
    <comment authorId="0" ref="AW386">
      <text>
        <t xml:space="preserve">HDMI 2.1</t>
      </text>
    </comment>
    <comment authorId="0" ref="W387">
      <text>
        <t xml:space="preserve">M2_1 = PCIe 4.0x4
M2_2 = PCIe 4.0x4 or SATA 3.0</t>
      </text>
    </comment>
    <comment authorId="0" ref="AV387">
      <text>
        <t xml:space="preserve">DisplayPort 1.4</t>
      </text>
    </comment>
    <comment authorId="0" ref="AW387">
      <text>
        <t xml:space="preserve">HDMI 2.1</t>
      </text>
    </comment>
    <comment authorId="0" ref="W388">
      <text>
        <t xml:space="preserve">M2_1 = PCIe 4.0x4</t>
      </text>
    </comment>
    <comment authorId="0" ref="AV388">
      <text>
        <t xml:space="preserve">DisplayPort 1.4</t>
      </text>
    </comment>
    <comment authorId="0" ref="AW388">
      <text>
        <t xml:space="preserve">HDMI 1.4</t>
      </text>
    </comment>
    <comment authorId="0" ref="W389">
      <text>
        <t xml:space="preserve">M2_1 = PCIe 4.0x4</t>
      </text>
    </comment>
    <comment authorId="0" ref="AV389">
      <text>
        <t xml:space="preserve">DisplayPort 1.4</t>
      </text>
    </comment>
    <comment authorId="0" ref="AW389">
      <text>
        <t xml:space="preserve">HDMI 1.4</t>
      </text>
    </comment>
    <comment authorId="0" ref="M390">
      <text>
        <t xml:space="preserve">PCIE_1 = PCIe 4.0x16
PCIE_2 = PCIe 3.0x4</t>
      </text>
    </comment>
    <comment authorId="0" ref="W390">
      <text>
        <t xml:space="preserve">M2_1 = PCIe 4.0x4
M2_2 = PCIe 4.0x4 or SATA 3.0</t>
      </text>
    </comment>
    <comment authorId="0" ref="AV390">
      <text>
        <t xml:space="preserve">DisplayPort 1.4</t>
      </text>
    </comment>
    <comment authorId="0" ref="AW390">
      <text>
        <t xml:space="preserve">HDMI 2.1</t>
      </text>
    </comment>
    <comment authorId="0" ref="M391">
      <text>
        <t xml:space="preserve">PCIE_1 = PCIe 5.0x16
PCIE_2 = PCIe 4.0x4</t>
      </text>
    </comment>
    <comment authorId="0" ref="W391">
      <text>
        <t xml:space="preserve">M2_1 = PCIe 4.0x4
M2_2 = PCIe 4.0x4 or SATA 3.0</t>
      </text>
    </comment>
    <comment authorId="0" ref="AV391">
      <text>
        <t xml:space="preserve">DisplayPort 1.4</t>
      </text>
    </comment>
    <comment authorId="0" ref="AW391">
      <text>
        <t xml:space="preserve">HDMI 2.1</t>
      </text>
    </comment>
    <comment authorId="0" ref="M392">
      <text>
        <t xml:space="preserve">PCIE_1 = PCIe 4.0x16
PCIE_2 = PCIe 3.0x4</t>
      </text>
    </comment>
    <comment authorId="0" ref="W392">
      <text>
        <t xml:space="preserve">M2_1 = PCIe 4.0x4
M2_2 = PCIe 4.0x4 or SATA 3.0</t>
      </text>
    </comment>
    <comment authorId="0" ref="AW392">
      <text>
        <t xml:space="preserve">HDMI 2.1</t>
      </text>
    </comment>
    <comment authorId="0" ref="V393">
      <text>
        <t xml:space="preserve">Up to 8 SATA from 2 OCuLink connectors</t>
      </text>
    </comment>
    <comment authorId="0" ref="W393">
      <text>
        <t xml:space="preserve">M2_1 = PCIe 4.0x4
M2_2 = PCIe 4.0x4</t>
      </text>
    </comment>
    <comment authorId="0" ref="M394">
      <text>
        <t xml:space="preserve">PCIE_1 = PCIe 5.0x16
PCIE_2 = PCIe 4.0x4</t>
      </text>
    </comment>
    <comment authorId="0" ref="W394">
      <text>
        <t xml:space="preserve">M2_1 = PCIe 4.0x4
M2_2 = PCIe 4.0x4
M2_3 = PCIe 4.0x4 or SATA 3.0</t>
      </text>
    </comment>
    <comment authorId="0" ref="AV394">
      <text>
        <t xml:space="preserve">DisplayPort 1.4</t>
      </text>
    </comment>
    <comment authorId="0" ref="AW394">
      <text>
        <t xml:space="preserve">HDMI 2.1</t>
      </text>
    </comment>
    <comment authorId="0" ref="M395">
      <text>
        <t xml:space="preserve">PCIE_1 = PCIe 5.0x16
PCIE_2 = PCIe 4.0x4</t>
      </text>
    </comment>
    <comment authorId="0" ref="W395">
      <text>
        <t xml:space="preserve">M2_1 = PCIe 4.0x4
M2_2 = PCIe 4.0x4
M2_3 = PCIe 4.0x4 or SATA 3.0</t>
      </text>
    </comment>
    <comment authorId="0" ref="AV395">
      <text>
        <t xml:space="preserve">DisplayPort 1.4</t>
      </text>
    </comment>
    <comment authorId="0" ref="AW395">
      <text>
        <t xml:space="preserve">HDMI 2.1</t>
      </text>
    </comment>
    <comment authorId="0" ref="W396">
      <text>
        <t xml:space="preserve">M2_1 = PCIe 4.0x4
M2_2 = PCIe 4.0x4 or SATA 3.0</t>
      </text>
    </comment>
    <comment authorId="0" ref="W397">
      <text>
        <t xml:space="preserve">M2_1 = PCIe 4.0x4
M2_2 = PCIe 4.0x4 or SATA 3.0</t>
      </text>
    </comment>
    <comment authorId="0" ref="M398">
      <text>
        <t xml:space="preserve">PCIE_1 = PCIe 5.0x16
PCIE_2 = PCIe 3.0x4</t>
      </text>
    </comment>
    <comment authorId="0" ref="W398">
      <text>
        <t xml:space="preserve">M2_1 = PCIe 4.0x4
M2_2 = PCIe 4.0x4
M2_3 = PCIe 4.0x4</t>
      </text>
    </comment>
    <comment authorId="0" ref="AV398">
      <text>
        <t xml:space="preserve">DisplayPort 1.2</t>
      </text>
    </comment>
    <comment authorId="0" ref="AW398">
      <text>
        <t xml:space="preserve">HDMI 2.1</t>
      </text>
    </comment>
    <comment authorId="0" ref="M399">
      <text>
        <t xml:space="preserve">PCIE_1 = PCIe 5.0x16
PCIE_2 = PCIe 3.0x4</t>
      </text>
    </comment>
    <comment authorId="0" ref="W399">
      <text>
        <t xml:space="preserve">M2_1 = PCIe 4.0x4
M2_2 = PCIe 4.0x4
M2_3 = PCIe 4.0x4</t>
      </text>
    </comment>
    <comment authorId="0" ref="AV399">
      <text>
        <t xml:space="preserve">DisplayPort 1.2</t>
      </text>
    </comment>
    <comment authorId="0" ref="AW399">
      <text>
        <t xml:space="preserve">HDMI 2.1</t>
      </text>
    </comment>
    <comment authorId="0" ref="M400">
      <text>
        <t xml:space="preserve">PCIE_1 = PCIe 4.0x16
PCIE_2 = PCIe 3.0x4</t>
      </text>
    </comment>
    <comment authorId="0" ref="W400">
      <text>
        <t xml:space="preserve">M2_1 = PCIe 4.0x4
M2_2 = PCIe 4.0x4</t>
      </text>
    </comment>
    <comment authorId="0" ref="AV400">
      <text>
        <t xml:space="preserve">DisplayPort 1.2</t>
      </text>
    </comment>
    <comment authorId="0" ref="AW400">
      <text>
        <t xml:space="preserve">HDMI 2.1</t>
      </text>
    </comment>
    <comment authorId="0" ref="M401">
      <text>
        <t xml:space="preserve">PCIE_1 = PCIe 4.0x16
PCIE_2 = PCIe 3.0x4</t>
      </text>
    </comment>
    <comment authorId="0" ref="W401">
      <text>
        <t xml:space="preserve">M2_1 = PCIe 4.0x4
M2_2 = PCIe 4.0x4 or SATA 3.0</t>
      </text>
    </comment>
    <comment authorId="0" ref="AV401">
      <text>
        <t xml:space="preserve">DisplayPort 1.4</t>
      </text>
    </comment>
    <comment authorId="0" ref="AW401">
      <text>
        <t xml:space="preserve">HDMI 2.1</t>
      </text>
    </comment>
    <comment authorId="0" ref="W402">
      <text>
        <t xml:space="preserve">M2_1 = PCIe 4.0x4
M2_2 = PCIe 3.0x4</t>
      </text>
    </comment>
    <comment authorId="0" ref="AV402">
      <text>
        <t xml:space="preserve">DisplayPort 1.4</t>
      </text>
    </comment>
    <comment authorId="0" ref="AW402">
      <text>
        <t xml:space="preserve">HDMI 2.1</t>
      </text>
    </comment>
    <comment authorId="0" ref="W403">
      <text>
        <t xml:space="preserve">M2_1 = PCIe 4.0x4
M2_2 = PCIe 4.0x4</t>
      </text>
    </comment>
    <comment authorId="0" ref="AV403">
      <text>
        <t xml:space="preserve">DisplayPort 1.4</t>
      </text>
    </comment>
    <comment authorId="0" ref="AW403">
      <text>
        <t xml:space="preserve">HDMI 2.1</t>
      </text>
    </comment>
    <comment authorId="0" ref="W404">
      <text>
        <t xml:space="preserve">M2_1 = PCIe 4.0x4
M2_2 = PCIe 3.0x4 or SATA 3.0</t>
      </text>
    </comment>
    <comment authorId="0" ref="AV404">
      <text>
        <t xml:space="preserve">DisplayPort 1.4</t>
      </text>
    </comment>
    <comment authorId="0" ref="AW404">
      <text>
        <t xml:space="preserve">HDMI 2.1</t>
      </text>
    </comment>
    <comment authorId="0" ref="W405">
      <text>
        <t xml:space="preserve">M2_1 = PCIe 4.0x4
M2_2 = PCIe 4.0x4</t>
      </text>
    </comment>
    <comment authorId="0" ref="AV405">
      <text>
        <t xml:space="preserve">DisplayPort 1.4</t>
      </text>
    </comment>
    <comment authorId="0" ref="AW405">
      <text>
        <t xml:space="preserve">HDMI 2.1</t>
      </text>
    </comment>
    <comment authorId="0" ref="M406">
      <text>
        <t xml:space="preserve">PCIE_1 = PCIe 4.0x16
PCIE_2 = PCIe 4.0x4</t>
      </text>
    </comment>
    <comment authorId="0" ref="W406">
      <text>
        <t xml:space="preserve">M2_1 = PCIe 4.0x4
M2_2 = PCIe 4.0x4</t>
      </text>
    </comment>
    <comment authorId="0" ref="AV406">
      <text>
        <t xml:space="preserve">DisplayPort 1.4</t>
      </text>
    </comment>
    <comment authorId="0" ref="AW406">
      <text>
        <t xml:space="preserve">HDMI 2.1</t>
      </text>
    </comment>
    <comment authorId="0" ref="M407">
      <text>
        <t xml:space="preserve">PCIE_1 = PCIe 5.0x16
PCIE_2 = PCIe 3.0x4</t>
      </text>
    </comment>
    <comment authorId="0" ref="W407">
      <text>
        <t xml:space="preserve">M2_1 = PCIe 4.0x4
M2_2 = PCIe 4.0x4
M2_3 = PCIe 4.0x4</t>
      </text>
    </comment>
    <comment authorId="0" ref="AV407">
      <text>
        <t xml:space="preserve">DisplayPort 1.4</t>
      </text>
    </comment>
    <comment authorId="0" ref="AW407">
      <text>
        <t xml:space="preserve">HDMI 2.1</t>
      </text>
    </comment>
    <comment authorId="0" ref="M408">
      <text>
        <t xml:space="preserve">PCIE_1 = PCIe 5.0x16
PCIE_2 = PCIe 3.0x4</t>
      </text>
    </comment>
    <comment authorId="0" ref="W408">
      <text>
        <t xml:space="preserve">M2_1 = PCIe 4.0x4
M2_2 = PCIe 4.0x4
M2_3 = PCIe 4.0x4</t>
      </text>
    </comment>
    <comment authorId="0" ref="AV408">
      <text>
        <t xml:space="preserve">DisplayPort 1.4</t>
      </text>
    </comment>
    <comment authorId="0" ref="AW408">
      <text>
        <t xml:space="preserve">HDMI 2.1</t>
      </text>
    </comment>
    <comment authorId="0" ref="W409">
      <text>
        <t xml:space="preserve">M2_1 = PCIe 4.0x4
M2_2 = PCIe 4.0x4</t>
      </text>
    </comment>
    <comment authorId="0" ref="AV409">
      <text>
        <t xml:space="preserve">DisplayPort 1.4</t>
      </text>
    </comment>
    <comment authorId="0" ref="AW409">
      <text>
        <t xml:space="preserve">HDMI 2.1</t>
      </text>
    </comment>
    <comment authorId="0" ref="W410">
      <text>
        <t xml:space="preserve">M2_1 = PCIe 4.0x4
M2_2 = PCIe 4.0x4</t>
      </text>
    </comment>
    <comment authorId="0" ref="AV410">
      <text>
        <t xml:space="preserve">DisplayPort 1.4</t>
      </text>
    </comment>
    <comment authorId="0" ref="AW410">
      <text>
        <t xml:space="preserve">HDMI 2.1</t>
      </text>
    </comment>
    <comment authorId="0" ref="W411">
      <text>
        <t xml:space="preserve">M2_1 = PCIe 4.0x4
M2_2 = PCIe 4.0x4
M2_3 = PCIe 4.0x4</t>
      </text>
    </comment>
    <comment authorId="0" ref="AV411">
      <text>
        <t xml:space="preserve">DisplayPort 1.4</t>
      </text>
    </comment>
    <comment authorId="0" ref="AW411">
      <text>
        <t xml:space="preserve">HDMI 2.1</t>
      </text>
    </comment>
    <comment authorId="0" ref="M412">
      <text>
        <t xml:space="preserve">PCIE_1 = PCIe 4.0x16
PCIE_2 = PCIe 3.0x4</t>
      </text>
    </comment>
    <comment authorId="0" ref="W412">
      <text>
        <t xml:space="preserve">M2_1 = PCIe 4.0x4
M2_2 = PCIe 4.0x4
M2_3 = PCIe 4.0x4</t>
      </text>
    </comment>
    <comment authorId="0" ref="AV412">
      <text>
        <t xml:space="preserve">DisplayPort 1.4</t>
      </text>
    </comment>
    <comment authorId="0" ref="AW412">
      <text>
        <t xml:space="preserve">HDMI 2.1</t>
      </text>
    </comment>
    <comment authorId="0" ref="M413">
      <text>
        <t xml:space="preserve">PCIE_1 = PCIe 4.0x16
PCIE_2 = PCIe 4.0x4</t>
      </text>
    </comment>
    <comment authorId="0" ref="W413">
      <text>
        <t xml:space="preserve">M2_1 = PCIe 4.0x4
M2_2 = PCIe 4.0x4</t>
      </text>
    </comment>
    <comment authorId="0" ref="AV413">
      <text>
        <t xml:space="preserve">DisplayPort 1.4</t>
      </text>
    </comment>
    <comment authorId="0" ref="AW413">
      <text>
        <t xml:space="preserve">HDMI 2.1</t>
      </text>
    </comment>
    <comment authorId="0" ref="M414">
      <text>
        <t xml:space="preserve">PCIE_1 = PCIe 4.0x16
PCIE_2 = PCIe 4.0x4</t>
      </text>
    </comment>
    <comment authorId="0" ref="W414">
      <text>
        <t xml:space="preserve">M2_1 = PCIe 4.0x4
M2_2 = PCIe 4.0x4</t>
      </text>
    </comment>
    <comment authorId="0" ref="AV414">
      <text>
        <t xml:space="preserve">DisplayPort 1.4</t>
      </text>
    </comment>
    <comment authorId="0" ref="AW414">
      <text>
        <t xml:space="preserve">HDMI 2.1</t>
      </text>
    </comment>
    <comment authorId="0" ref="W415">
      <text>
        <t xml:space="preserve">M2_1 = PCIe 4.0x4
M2_2 = PCIe 4.0x4
M2_3 = PCIe 4.0x4</t>
      </text>
    </comment>
    <comment authorId="0" ref="AV415">
      <text>
        <t xml:space="preserve">DisplayPort 1.4</t>
      </text>
    </comment>
    <comment authorId="0" ref="AW415">
      <text>
        <t xml:space="preserve">HDMI 2.1</t>
      </text>
    </comment>
    <comment authorId="0" ref="W416">
      <text>
        <t xml:space="preserve">M2_1 = PCIe 4.0x4
M2_2 = PCIe 4.0x4</t>
      </text>
    </comment>
    <comment authorId="0" ref="AW416">
      <text>
        <t xml:space="preserve">HDMI 2.1</t>
      </text>
    </comment>
    <comment authorId="0" ref="W417">
      <text>
        <t xml:space="preserve">M2_1 = PCIe 4.0x4
M2_2 = PCIe 4.0x4</t>
      </text>
    </comment>
    <comment authorId="0" ref="AW417">
      <text>
        <t xml:space="preserve">HDMI 2.1</t>
      </text>
    </comment>
    <comment authorId="0" ref="M418">
      <text>
        <t xml:space="preserve">PCIE_1 = PCIe 4.0x16
PCIE_2 = PCIe 4.0x4
PCIE_3 = PCIe 4.0x1</t>
      </text>
    </comment>
    <comment authorId="0" ref="W418">
      <text>
        <t xml:space="preserve">M2_1 = PCIe 4.0x4
M2_2 = PCIe 4.0x4</t>
      </text>
    </comment>
    <comment authorId="0" ref="AV418">
      <text>
        <t xml:space="preserve">DisplayPort 1.4</t>
      </text>
    </comment>
    <comment authorId="0" ref="AW418">
      <text>
        <t xml:space="preserve">HDMI 2.1</t>
      </text>
    </comment>
    <comment authorId="0" ref="M419">
      <text>
        <t xml:space="preserve">PCIE_1 = PCIe 4.0x16
PCIE_2 = PCIe 4.0x4
PCIE_3 = PCIe 4.0x1</t>
      </text>
    </comment>
    <comment authorId="0" ref="W419">
      <text>
        <t xml:space="preserve">M2_1 = PCIe 4.0x4
M2_2 = PCIe 4.0x4</t>
      </text>
    </comment>
    <comment authorId="0" ref="AV419">
      <text>
        <t xml:space="preserve">DisplayPort 1.4</t>
      </text>
    </comment>
    <comment authorId="0" ref="AW419">
      <text>
        <t xml:space="preserve">HDMI 2.1</t>
      </text>
    </comment>
    <comment authorId="0" ref="M420">
      <text>
        <t xml:space="preserve">PCIE_1 = PCIe 4.0x16
PCIE_2 = PCIe 4.0x4
PCIE_3 = PCIe 4.0x1</t>
      </text>
    </comment>
    <comment authorId="0" ref="W420">
      <text>
        <t xml:space="preserve">M2_1 = PCIe 4.0x4
M2_2 = PCIe 4.0x4</t>
      </text>
    </comment>
    <comment authorId="0" ref="AV420">
      <text>
        <t xml:space="preserve">DisplayPort 1.4</t>
      </text>
    </comment>
    <comment authorId="0" ref="AW420">
      <text>
        <t xml:space="preserve">HDMI 2.1</t>
      </text>
    </comment>
    <comment authorId="0" ref="M421">
      <text>
        <t xml:space="preserve">PCIE_1 = PCIe 4.0x16
PCIE_2 = PCIe 4.0x4
PCIE_3 = PCIe 4.0x1</t>
      </text>
    </comment>
    <comment authorId="0" ref="W421">
      <text>
        <t xml:space="preserve">M2_1 = PCIe 4.0x4
M2_2 = PCIe 4.0x4</t>
      </text>
    </comment>
    <comment authorId="0" ref="AV421">
      <text>
        <t xml:space="preserve">DisplayPort 1.4</t>
      </text>
    </comment>
    <comment authorId="0" ref="AW421">
      <text>
        <t xml:space="preserve">HDMI 2.1</t>
      </text>
    </comment>
    <comment authorId="0" ref="M422">
      <text>
        <t xml:space="preserve">PCIE_1 = PCIe 4.0x16
PCIE_2 = PCIe 4.0x4
PCIE_3 = PCIe 4.0x1</t>
      </text>
    </comment>
    <comment authorId="0" ref="W422">
      <text>
        <t xml:space="preserve">M2_1 = PCIe 4.0x4
M2_2 = PCIe 4.0x4</t>
      </text>
    </comment>
    <comment authorId="0" ref="AV422">
      <text>
        <t xml:space="preserve">DisplayPort 1.4</t>
      </text>
    </comment>
    <comment authorId="0" ref="AW422">
      <text>
        <t xml:space="preserve">HDMI 2.1</t>
      </text>
    </comment>
    <comment authorId="0" ref="M423">
      <text>
        <t xml:space="preserve">PCIE_1 = PCIe 4.0x16
PCIE_2 = PCIe 4.0x4
PCIE_3 = PCIe 4.0x1</t>
      </text>
    </comment>
    <comment authorId="0" ref="W423">
      <text>
        <t xml:space="preserve">M2_1 = PCIe 4.0x4
M2_2 = PCIe 4.0x4</t>
      </text>
    </comment>
    <comment authorId="0" ref="AV423">
      <text>
        <t xml:space="preserve">DisplayPort 1.4</t>
      </text>
    </comment>
    <comment authorId="0" ref="AW423">
      <text>
        <t xml:space="preserve">HDMI 2.1</t>
      </text>
    </comment>
    <comment authorId="0" ref="W424">
      <text>
        <t xml:space="preserve">M2_1 = PCIe 4.0x4
M2_2 = PCIe 4.0x4</t>
      </text>
    </comment>
    <comment authorId="0" ref="AW424">
      <text>
        <t xml:space="preserve">HDMI 2.1</t>
      </text>
    </comment>
    <comment authorId="0" ref="W425">
      <text>
        <t xml:space="preserve">M2_1 = PCIe 4.0x4
M2_2 = PCIe 4.0x4</t>
      </text>
    </comment>
    <comment authorId="0" ref="AW425">
      <text>
        <t xml:space="preserve">HDMI 2.1</t>
      </text>
    </comment>
    <comment authorId="0" ref="M426">
      <text>
        <t xml:space="preserve">PCIE_1 = PCIe 5.0x16
PCIE_2 = PCIe 4.0x4</t>
      </text>
    </comment>
    <comment authorId="0" ref="W426">
      <text>
        <t xml:space="preserve">M2_1 = PCIe 4.0x4
M2_2 = PCIe 4.0x4</t>
      </text>
    </comment>
    <comment authorId="0" ref="AV426">
      <text>
        <t xml:space="preserve">DisplayPort 1.4</t>
      </text>
    </comment>
    <comment authorId="0" ref="AW426">
      <text>
        <t xml:space="preserve">HDMI 2.1</t>
      </text>
    </comment>
    <comment authorId="0" ref="M427">
      <text>
        <t xml:space="preserve">PCIE_1 = PCIe 5.0x16
PCIE_2 = PCIe 4.0x4</t>
      </text>
    </comment>
    <comment authorId="0" ref="W427">
      <text>
        <t xml:space="preserve">M2_1 = PCIe 4.0x4
M2_2 = PCIe 4.0x4</t>
      </text>
    </comment>
    <comment authorId="0" ref="AV427">
      <text>
        <t xml:space="preserve">DisplayPort 1.4</t>
      </text>
    </comment>
    <comment authorId="0" ref="AW427">
      <text>
        <t xml:space="preserve">HDMI 2.1</t>
      </text>
    </comment>
    <comment authorId="0" ref="M428">
      <text>
        <t xml:space="preserve">PCIE_1 = PCIe 4.0x16
PCIE_2 = PCIe 4.0x4</t>
      </text>
    </comment>
    <comment authorId="0" ref="W428">
      <text>
        <t xml:space="preserve">M2_1 = PCIe 4.0x4
M2_2 = PCIe 4.0x4</t>
      </text>
    </comment>
    <comment authorId="0" ref="AV428">
      <text>
        <t xml:space="preserve">DisplayPort 1.4</t>
      </text>
    </comment>
    <comment authorId="0" ref="AW428">
      <text>
        <t xml:space="preserve">HDMI 2.1</t>
      </text>
    </comment>
    <comment authorId="0" ref="M429">
      <text>
        <t xml:space="preserve">PCIE_1 = PCIe 5.0x16
PCIE_2 = PCIe 4.0x4</t>
      </text>
    </comment>
    <comment authorId="0" ref="W429">
      <text>
        <t xml:space="preserve">M2_1 = PCIe 4.0x4
M2_2 = PCIe 4.0x4</t>
      </text>
    </comment>
    <comment authorId="0" ref="AV429">
      <text>
        <t xml:space="preserve">DisplayPort 1.4</t>
      </text>
    </comment>
    <comment authorId="0" ref="AW429">
      <text>
        <t xml:space="preserve">HDMI 2.1</t>
      </text>
    </comment>
    <comment authorId="0" ref="M430">
      <text>
        <t xml:space="preserve">PCIE_1 = PCIe 5.0x16
PCIE_2 = PCIe 4.0x4</t>
      </text>
    </comment>
    <comment authorId="0" ref="W430">
      <text>
        <t xml:space="preserve">M2_1 = PCIe 4.0x4
M2_2 = PCIe 4.0x4</t>
      </text>
    </comment>
    <comment authorId="0" ref="AV430">
      <text>
        <t xml:space="preserve">DisplayPort 1.4</t>
      </text>
    </comment>
    <comment authorId="0" ref="AW430">
      <text>
        <t xml:space="preserve">HDMI 2.1</t>
      </text>
    </comment>
    <comment authorId="0" ref="M431">
      <text>
        <t xml:space="preserve">PCIE_1 = PCIe 5.0x16
PCIE_2 = PCIe 4.0x4</t>
      </text>
    </comment>
    <comment authorId="0" ref="W431">
      <text>
        <t xml:space="preserve">M2_1 = PCIe 4.0x4
M2_2 = PCIe 4.0x4</t>
      </text>
    </comment>
    <comment authorId="0" ref="AV431">
      <text>
        <t xml:space="preserve">DisplayPort 1.4</t>
      </text>
    </comment>
    <comment authorId="0" ref="AW431">
      <text>
        <t xml:space="preserve">HDMI 2.1</t>
      </text>
    </comment>
    <comment authorId="0" ref="M432">
      <text>
        <t xml:space="preserve">PCIE_1 = PCIe 5.0x16
PCIE_2 = PCIe 4.0x4</t>
      </text>
    </comment>
    <comment authorId="0" ref="W432">
      <text>
        <t xml:space="preserve">M2_1 = PCIe 4.0x4
M2_2 = PCIe 4.0x4</t>
      </text>
    </comment>
    <comment authorId="0" ref="AV432">
      <text>
        <t xml:space="preserve">DisplayPort 1.4</t>
      </text>
    </comment>
    <comment authorId="0" ref="AW432">
      <text>
        <t xml:space="preserve">HDMI 2.1</t>
      </text>
    </comment>
    <comment authorId="0" ref="M433">
      <text>
        <t xml:space="preserve">PCIE_1 = PCIe 5.0x16
PCIE_2 = PCIe 4.0x4</t>
      </text>
    </comment>
    <comment authorId="0" ref="W433">
      <text>
        <t xml:space="preserve">M2_1 = PCIe 4.0x4
M2_2 = PCIe 4.0x4 or SATA 3.0</t>
      </text>
    </comment>
    <comment authorId="0" ref="AV433">
      <text>
        <t xml:space="preserve">DisplayPort 1.2</t>
      </text>
    </comment>
    <comment authorId="0" ref="AW433">
      <text>
        <t xml:space="preserve">HDMI 2.1</t>
      </text>
    </comment>
    <comment authorId="0" ref="W434">
      <text>
        <t xml:space="preserve">M2_1 = PCIe 4.0x4 or SATA 3.0</t>
      </text>
    </comment>
    <comment authorId="0" ref="W435">
      <text>
        <t xml:space="preserve">M2_1 = PCIe 4.0x4 or SATA 3.0</t>
      </text>
    </comment>
    <comment authorId="0" ref="W436">
      <text>
        <t xml:space="preserve">M2_1 = PCIe 4.0x4 or SATA 3.0</t>
      </text>
    </comment>
    <comment authorId="0" ref="W437">
      <text>
        <t xml:space="preserve">M2_1 = PCIe 4.0x4 or SATA 3.0</t>
      </text>
    </comment>
    <comment authorId="0" ref="W438">
      <text>
        <t xml:space="preserve">M2_1 = PCIe 4.0x4 or SATA 3.0</t>
      </text>
    </comment>
    <comment authorId="0" ref="W439">
      <text>
        <t xml:space="preserve">M2_1 = PCIe 4.0x4
M2_2 = PCIe 4.0x4</t>
      </text>
    </comment>
    <comment authorId="0" ref="M440">
      <text>
        <t xml:space="preserve">PCIE_1 = PCIe 4.0x16
PCIE_2 = PCIe 3.0x1
PCIE_3 = PCIe 3.0x1
PCIE_4 = PCIe 3.0x1</t>
      </text>
    </comment>
    <comment authorId="0" ref="W440">
      <text>
        <t xml:space="preserve">M2_1 = PCIe 4.0x4
M2_2 = PCIe 4.0x4</t>
      </text>
    </comment>
    <comment authorId="0" ref="M441">
      <text>
        <t xml:space="preserve">PCIE_1 = PCIe 4.0x16
PCIE_2 = PCIe 3.0x1
PCIE_3 = PCIe 3.0x1
PCIE_4 = PCIe 3.0x1</t>
      </text>
    </comment>
    <comment authorId="0" ref="W441">
      <text>
        <t xml:space="preserve">M2_1 = PCIe 4.0x4
M2_2 = PCIe 3.0x4 or SATA 3.0</t>
      </text>
    </comment>
    <comment authorId="0" ref="M442">
      <text>
        <t xml:space="preserve">PCIE_1 = PCIe 4.0x16
PCIE_2 = PCIe 3.0x4</t>
      </text>
    </comment>
    <comment authorId="0" ref="W442">
      <text>
        <t xml:space="preserve">M2_1 = PCIe 4.0x4
M2_2 = PCIe 4.0x4</t>
      </text>
    </comment>
    <comment authorId="0" ref="AV442">
      <text>
        <t xml:space="preserve">DisplayPort 1.2</t>
      </text>
    </comment>
    <comment authorId="0" ref="AW442">
      <text>
        <t xml:space="preserve">HDMI 2.1</t>
      </text>
    </comment>
    <comment authorId="0" ref="W443">
      <text>
        <t xml:space="preserve">M2_1 = PCIe 4.0x4
M2_2 = PCIe 4.0x4 or SATA 3.0</t>
      </text>
    </comment>
    <comment authorId="0" ref="AV443">
      <text>
        <t xml:space="preserve">DisplayPort 1.2</t>
      </text>
    </comment>
    <comment authorId="0" ref="AW443">
      <text>
        <t xml:space="preserve">HDMI 2.0</t>
      </text>
    </comment>
    <comment authorId="0" ref="W444">
      <text>
        <t xml:space="preserve">M2_1 = PCIe 4.0x4
M2_2 = PCIe 4.0x4
M2_3 = PCIe 4.0x4</t>
      </text>
    </comment>
    <comment authorId="0" ref="AV444">
      <text>
        <t xml:space="preserve">DisplayPort 1.2</t>
      </text>
    </comment>
    <comment authorId="0" ref="AW444">
      <text>
        <t xml:space="preserve">HDMI 2.0</t>
      </text>
    </comment>
    <comment authorId="0" ref="W445">
      <text>
        <t xml:space="preserve">M2_1 = PCIe 4.0x4
M2_2 = PCIe 4.0x4
M2_3 = PCIe 4.0x4</t>
      </text>
    </comment>
    <comment authorId="0" ref="AV445">
      <text>
        <t xml:space="preserve">DisplayPort 1.2</t>
      </text>
    </comment>
    <comment authorId="0" ref="AW445">
      <text>
        <t xml:space="preserve">HDMI 2.0</t>
      </text>
    </comment>
    <comment authorId="0" ref="W446">
      <text>
        <t xml:space="preserve">M2_1 = PCIe 4.0x4
M2_2 = PCIe 4.0x4
M2_3 = PCIe 4.0x4</t>
      </text>
    </comment>
    <comment authorId="0" ref="AV446">
      <text>
        <t xml:space="preserve">DisplayPort 1.2</t>
      </text>
    </comment>
    <comment authorId="0" ref="AW446">
      <text>
        <t xml:space="preserve">HDMI 2.0</t>
      </text>
    </comment>
    <comment authorId="0" ref="M447">
      <text>
        <t xml:space="preserve">PCIE_1 = PCIe 4.0x16
PCIE_2 = PCIe 4.0x4</t>
      </text>
    </comment>
    <comment authorId="0" ref="W447">
      <text>
        <t xml:space="preserve">M2_1 = PCIe 4.0x4
M2_2 = PCIe 4.0x4</t>
      </text>
    </comment>
    <comment authorId="0" ref="AV447">
      <text>
        <t xml:space="preserve">DisplayPort 1.2</t>
      </text>
    </comment>
    <comment authorId="0" ref="AW447">
      <text>
        <t xml:space="preserve">HDMI 2.0</t>
      </text>
    </comment>
    <comment authorId="0" ref="M448">
      <text>
        <t xml:space="preserve">PCIE_1 = PCIe 4.0x16
PCIE_2 = PCIe 4.0x4</t>
      </text>
    </comment>
    <comment authorId="0" ref="W448">
      <text>
        <t xml:space="preserve">M2_1 = PCIe 4.0x4
M2_2 = PCIe 4.0x4</t>
      </text>
    </comment>
    <comment authorId="0" ref="AV448">
      <text>
        <t xml:space="preserve">DisplayPort 1.2</t>
      </text>
    </comment>
    <comment authorId="0" ref="AW448">
      <text>
        <t xml:space="preserve">HDMI 2.0</t>
      </text>
    </comment>
    <comment authorId="0" ref="M449">
      <text>
        <t xml:space="preserve">PCIE_1 = PCIe 4.0x16
PCIE_2 = PCIe 4.0x4</t>
      </text>
    </comment>
    <comment authorId="0" ref="W449">
      <text>
        <t xml:space="preserve">M2_1 = PCIe 4.0x4
M2_2 = PCIe 4.0x4</t>
      </text>
    </comment>
    <comment authorId="0" ref="AV449">
      <text>
        <t xml:space="preserve">DisplayPort 1.2</t>
      </text>
    </comment>
    <comment authorId="0" ref="AW449">
      <text>
        <t xml:space="preserve">HDMI 2.0</t>
      </text>
    </comment>
    <comment authorId="0" ref="M450">
      <text>
        <t xml:space="preserve">PCIE_1 = PCIe 4.0x16
PCIE_2 = PCIe 4.0x4</t>
      </text>
    </comment>
    <comment authorId="0" ref="W450">
      <text>
        <t xml:space="preserve">M2_1 = PCIe 4.0x4
M2_2 = PCIe 4.0x4</t>
      </text>
    </comment>
    <comment authorId="0" ref="AV450">
      <text>
        <t xml:space="preserve">DisplayPort 1.2</t>
      </text>
    </comment>
    <comment authorId="0" ref="AW450">
      <text>
        <t xml:space="preserve">HDMI 2.0</t>
      </text>
    </comment>
    <comment authorId="0" ref="M451">
      <text>
        <t xml:space="preserve">PCIE_1 = PCIe 4.0x16
PCIE_2 = PCIe 4.0x4</t>
      </text>
    </comment>
    <comment authorId="0" ref="W451">
      <text>
        <t xml:space="preserve">M2_1 = PCIe 4.0x4
M2_2 = PCIe 4.0x4</t>
      </text>
    </comment>
    <comment authorId="0" ref="AV451">
      <text>
        <t xml:space="preserve">DisplayPort 1.2</t>
      </text>
    </comment>
    <comment authorId="0" ref="AW451">
      <text>
        <t xml:space="preserve">HDMI 2.0</t>
      </text>
    </comment>
    <comment authorId="0" ref="M452">
      <text>
        <t xml:space="preserve">PCIE_1 = PCIe 5.0x16
PCIE_2 = PCIe 4.0x4</t>
      </text>
    </comment>
    <comment authorId="0" ref="W452">
      <text>
        <t xml:space="preserve">M2_1 = PCIe 4.0x4
M2_2 = PCIe 4.0x4</t>
      </text>
    </comment>
    <comment authorId="0" ref="AV452">
      <text>
        <t xml:space="preserve">DisplayPort 1.2</t>
      </text>
    </comment>
    <comment authorId="0" ref="AW452">
      <text>
        <t xml:space="preserve">HDMI 2.0</t>
      </text>
    </comment>
    <comment authorId="0" ref="M453">
      <text>
        <t xml:space="preserve">PCIE_1 = PCIe 4.0x16
PCIE_2 = PCIe 4.0x4</t>
      </text>
    </comment>
    <comment authorId="0" ref="W453">
      <text>
        <t xml:space="preserve">M2_1 = PCIe 4.0x4
M2_2 = PCIe 4.0x4</t>
      </text>
    </comment>
    <comment authorId="0" ref="AV453">
      <text>
        <t xml:space="preserve">DisplayPort 1.2</t>
      </text>
    </comment>
    <comment authorId="0" ref="AW453">
      <text>
        <t xml:space="preserve">HDMI 2.0</t>
      </text>
    </comment>
    <comment authorId="0" ref="M454">
      <text>
        <t xml:space="preserve">PCIE_1 = PCIe 4.0x16
PCIE_2 = PCIe 4.0x4</t>
      </text>
    </comment>
    <comment authorId="0" ref="W454">
      <text>
        <t xml:space="preserve">M2_1 = PCIe 4.0x4
M2_2 = PCIe 4.0x4</t>
      </text>
    </comment>
    <comment authorId="0" ref="AV454">
      <text>
        <t xml:space="preserve">DisplayPort 1.2</t>
      </text>
    </comment>
    <comment authorId="0" ref="AW454">
      <text>
        <t xml:space="preserve">HDMI 2.0</t>
      </text>
    </comment>
    <comment authorId="0" ref="M455">
      <text>
        <t xml:space="preserve">PCIE_1 = PCIe 4.0x16
PCIE_2 = PCIe 4.0x4</t>
      </text>
    </comment>
    <comment authorId="0" ref="W455">
      <text>
        <t xml:space="preserve">M2_1 = PCIe 4.0x4
M2_2 = PCIe 4.0x4</t>
      </text>
    </comment>
    <comment authorId="0" ref="AV455">
      <text>
        <t xml:space="preserve">DisplayPort 1.2</t>
      </text>
    </comment>
    <comment authorId="0" ref="AW455">
      <text>
        <t xml:space="preserve">HDMI 2.0</t>
      </text>
    </comment>
    <comment authorId="0" ref="M456">
      <text>
        <t xml:space="preserve">PCIE_1 = PCIe 4.0x16
PCIE_2 = PCIe 4.0x4</t>
      </text>
    </comment>
    <comment authorId="0" ref="W456">
      <text>
        <t xml:space="preserve">M2_1 = PCIe 4.0x4
M2_2 = PCIe 4.0x4</t>
      </text>
    </comment>
    <comment authorId="0" ref="AV456">
      <text>
        <t xml:space="preserve">DisplayPort 1.2</t>
      </text>
    </comment>
    <comment authorId="0" ref="AW456">
      <text>
        <t xml:space="preserve">HDMI 2.0</t>
      </text>
    </comment>
    <comment authorId="0" ref="M457">
      <text>
        <t xml:space="preserve">PCIE_1 = PCIe 4.0x16
PCIE_2 = PCIe 3.0x4
PCIE_3 = PCIe 3.0x1
PCIE_4 = PCIe 3.0x1</t>
      </text>
    </comment>
    <comment authorId="0" ref="W457">
      <text>
        <t xml:space="preserve">M2_1 = PCIe 4.0x4
M2_2 = PCIe 4.0x4
M2_3 = PCIe 3.0x1
M2_4 = PCIe 3.0x1</t>
      </text>
    </comment>
    <comment authorId="0" ref="AV457">
      <text>
        <t xml:space="preserve">DisplayPort 1.2</t>
      </text>
    </comment>
    <comment authorId="0" ref="AW457">
      <text>
        <t xml:space="preserve">HDMI 2.0</t>
      </text>
    </comment>
    <comment authorId="0" ref="W458">
      <text>
        <t xml:space="preserve">M2_1 = PCIe 4.0x4
M2_2 = PCIe 4.0x4</t>
      </text>
    </comment>
    <comment authorId="0" ref="AW458">
      <text>
        <t xml:space="preserve">HDMI 2.0</t>
      </text>
    </comment>
    <comment authorId="0" ref="W459">
      <text>
        <t xml:space="preserve">M2_1 = PCIe 4.0x4
M2_2 = PCIe 4.0x4</t>
      </text>
    </comment>
    <comment authorId="0" ref="AW459">
      <text>
        <t xml:space="preserve">HDMI 2.0</t>
      </text>
    </comment>
    <comment authorId="0" ref="W460">
      <text>
        <t xml:space="preserve">M2_1 = PCIe 4.0x4
M2_2 = PCIe 4.0x4</t>
      </text>
    </comment>
    <comment authorId="0" ref="AW460">
      <text>
        <t xml:space="preserve">HDMI 2.0</t>
      </text>
    </comment>
    <comment authorId="0" ref="M461">
      <text>
        <t xml:space="preserve">PCIE_1 = PCIe 4.0x16
PCIE_2 = PCIe 4.0x4</t>
      </text>
    </comment>
    <comment authorId="0" ref="W461">
      <text>
        <t xml:space="preserve">M2_1 = PCIe 4.0x4
M2_2 = PCIe 4.0x4</t>
      </text>
    </comment>
    <comment authorId="0" ref="AV461">
      <text>
        <t xml:space="preserve">DisplayPort 1.2</t>
      </text>
    </comment>
    <comment authorId="0" ref="AW461">
      <text>
        <t xml:space="preserve">HDMI 2.0</t>
      </text>
    </comment>
    <comment authorId="0" ref="W462">
      <text>
        <t xml:space="preserve">M2_1 = PCIe 4.0x4
M2_2 = PCIe 4.0x4</t>
      </text>
    </comment>
    <comment authorId="0" ref="AV462">
      <text>
        <t xml:space="preserve">DisplayPort 1.2</t>
      </text>
    </comment>
    <comment authorId="0" ref="AW462">
      <text>
        <t xml:space="preserve">HDMI 2.0</t>
      </text>
    </comment>
    <comment authorId="0" ref="W463">
      <text>
        <t xml:space="preserve">M2_1 = PCIe 4.0x4
M2_2 = PCIe 4.0x4</t>
      </text>
    </comment>
    <comment authorId="0" ref="AV463">
      <text>
        <t xml:space="preserve">DisplayPort 1.2</t>
      </text>
    </comment>
    <comment authorId="0" ref="AW463">
      <text>
        <t xml:space="preserve">HDMI 2.0</t>
      </text>
    </comment>
    <comment authorId="0" ref="W464">
      <text>
        <t xml:space="preserve">M2_1 = PCIe 4.0x4
M2_2 = PCIe 4.0x4</t>
      </text>
    </comment>
    <comment authorId="0" ref="AV464">
      <text>
        <t xml:space="preserve">DisplayPort 1.2</t>
      </text>
    </comment>
    <comment authorId="0" ref="AW464">
      <text>
        <t xml:space="preserve">HDMI 2.0</t>
      </text>
    </comment>
    <comment authorId="0" ref="W465">
      <text>
        <t xml:space="preserve">M2_1 = PCIe 4.0x4
M2_2 = PCIe 4.0x4</t>
      </text>
    </comment>
    <comment authorId="0" ref="AV465">
      <text>
        <t xml:space="preserve">DisplayPort 1.2</t>
      </text>
    </comment>
    <comment authorId="0" ref="AW465">
      <text>
        <t xml:space="preserve">HDMI 2.0</t>
      </text>
    </comment>
    <comment authorId="0" ref="W466">
      <text>
        <t xml:space="preserve">M2_1 = PCIe 4.0x4
M2_2 = PCIe 4.0x4</t>
      </text>
    </comment>
    <comment authorId="0" ref="AV466">
      <text>
        <t xml:space="preserve">DisplayPort 1.2</t>
      </text>
    </comment>
    <comment authorId="0" ref="AW466">
      <text>
        <t xml:space="preserve">HDMI 2.0</t>
      </text>
    </comment>
    <comment authorId="0" ref="W467">
      <text>
        <t xml:space="preserve">M2_1 = PCIe 4.0x4
M2_2 = PCIe 4.0x4</t>
      </text>
    </comment>
    <comment authorId="0" ref="AV467">
      <text>
        <t xml:space="preserve">DisplayPort 1.2</t>
      </text>
    </comment>
    <comment authorId="0" ref="AW467">
      <text>
        <t xml:space="preserve">HDMI 2.0</t>
      </text>
    </comment>
    <comment authorId="0" ref="W468">
      <text>
        <t xml:space="preserve">M2_1 = PCIe 4.0x4
M2_2 = PCIe 4.0x4</t>
      </text>
    </comment>
    <comment authorId="0" ref="AV468">
      <text>
        <t xml:space="preserve">DisplayPort 1.2</t>
      </text>
    </comment>
    <comment authorId="0" ref="AW468">
      <text>
        <t xml:space="preserve">HDMI 2.0</t>
      </text>
    </comment>
    <comment authorId="0" ref="W469">
      <text>
        <t xml:space="preserve">M2_1 = PCIe 4.0x4
M2_2 = PCIe 4.0x4</t>
      </text>
    </comment>
    <comment authorId="0" ref="AV469">
      <text>
        <t xml:space="preserve">DisplayPort 1.2</t>
      </text>
    </comment>
    <comment authorId="0" ref="AW469">
      <text>
        <t xml:space="preserve">HDMI 2.0</t>
      </text>
    </comment>
    <comment authorId="0" ref="W470">
      <text>
        <t xml:space="preserve">M2_1 = PCIe 4.0x4
M2_2 = PCIe 4.0x4</t>
      </text>
    </comment>
    <comment authorId="0" ref="AV470">
      <text>
        <t xml:space="preserve">DisplayPort 1.2</t>
      </text>
    </comment>
    <comment authorId="0" ref="AW470">
      <text>
        <t xml:space="preserve">HDMI 2.0</t>
      </text>
    </comment>
    <comment authorId="0" ref="M471">
      <text>
        <t xml:space="preserve">PCIE_1 = PCIe 4.0x16
PCIE_2 = PCIe 4.0x4</t>
      </text>
    </comment>
    <comment authorId="0" ref="W471">
      <text>
        <t xml:space="preserve">M2_1 = PCIe 4.0x4
M2_2 = PCIe 4.0x4</t>
      </text>
    </comment>
    <comment authorId="0" ref="AV471">
      <text>
        <t xml:space="preserve">DisplayPort 1.2</t>
      </text>
    </comment>
    <comment authorId="0" ref="AW471">
      <text>
        <t xml:space="preserve">HDMI 2.0</t>
      </text>
    </comment>
    <comment authorId="0" ref="M472">
      <text>
        <t xml:space="preserve">PCIE_1 = PCIe 4.0x16
PCIE_2 = PCIe 4.0x4</t>
      </text>
    </comment>
    <comment authorId="0" ref="W472">
      <text>
        <t xml:space="preserve">M2_1 = PCIe 4.0x4
M2_2 = PCIe 4.0x4</t>
      </text>
    </comment>
    <comment authorId="0" ref="AV472">
      <text>
        <t xml:space="preserve">DisplayPort 1.2</t>
      </text>
    </comment>
    <comment authorId="0" ref="AW472">
      <text>
        <t xml:space="preserve">HDMI 2.0</t>
      </text>
    </comment>
    <comment authorId="0" ref="M473">
      <text>
        <t xml:space="preserve">PCIE_1 = PCIe 4.0x16
PCIE_2 = PCIe 4.0x4</t>
      </text>
    </comment>
    <comment authorId="0" ref="W473">
      <text>
        <t xml:space="preserve">M2_1 = PCIe 4.0x4
M2_2 = PCIe 4.0x4</t>
      </text>
    </comment>
    <comment authorId="0" ref="AV473">
      <text>
        <t xml:space="preserve">DisplayPort 1.2</t>
      </text>
    </comment>
    <comment authorId="0" ref="AW473">
      <text>
        <t xml:space="preserve">HDMI 2.0</t>
      </text>
    </comment>
    <comment authorId="0" ref="M474">
      <text>
        <t xml:space="preserve">PCIE_1 = PCIe 4.0x16
PCIE_2 = PCIe 4.0x4</t>
      </text>
    </comment>
    <comment authorId="0" ref="W474">
      <text>
        <t xml:space="preserve">M2_1 = PCIe 4.0x4
M2_2 = PCIe 4.0x4</t>
      </text>
    </comment>
    <comment authorId="0" ref="AV474">
      <text>
        <t xml:space="preserve">DisplayPort 1.2</t>
      </text>
    </comment>
    <comment authorId="0" ref="AW474">
      <text>
        <t xml:space="preserve">HDMI 2.0</t>
      </text>
    </comment>
    <comment authorId="0" ref="W475">
      <text>
        <t xml:space="preserve">M2_1 = PCIe 4.0x4
M2_2 = PCIe 4.0x4</t>
      </text>
    </comment>
    <comment authorId="0" ref="AW475">
      <text>
        <t xml:space="preserve">HDMI 2.0</t>
      </text>
    </comment>
    <comment authorId="0" ref="W476">
      <text>
        <t xml:space="preserve">M2_1 = PCIe 4.0x4
M2_2 = PCIe 4.0x4</t>
      </text>
    </comment>
    <comment authorId="0" ref="AW476">
      <text>
        <t xml:space="preserve">HDMI 2.0</t>
      </text>
    </comment>
    <comment authorId="0" ref="W477">
      <text>
        <t xml:space="preserve">M2_1 = PCIe 4.0x4
M2_2 = PCIe 4.0x4</t>
      </text>
    </comment>
    <comment authorId="0" ref="AW477">
      <text>
        <t xml:space="preserve">HDMI 2.0</t>
      </text>
    </comment>
    <comment authorId="0" ref="W478">
      <text>
        <t xml:space="preserve">M2_1 = PCIe 4.0x4
M2_2 = PCIe 4.0x4</t>
      </text>
    </comment>
    <comment authorId="0" ref="AW478">
      <text>
        <t xml:space="preserve">HDMI 2.0</t>
      </text>
    </comment>
    <comment authorId="0" ref="W479">
      <text>
        <t xml:space="preserve">M2_1 = PCIe 4.0x4
M2_2 = PCIe 4.0x4
M2_3 = PCIe 4.0x4</t>
      </text>
    </comment>
    <comment authorId="0" ref="W480">
      <text>
        <t xml:space="preserve">M2_1 = PCIe 4.0x4
M2_2 = PCIe 4.0x4
M2_3 = PCIe 4.0x4</t>
      </text>
    </comment>
    <comment authorId="0" ref="W481">
      <text>
        <t xml:space="preserve">M2_1 = PCIe 4.0x4
M2_2 = PCIe 4.0x4 or SATA 3.0</t>
      </text>
    </comment>
    <comment authorId="0" ref="AW481">
      <text>
        <t xml:space="preserve">HDMI 2.1</t>
      </text>
    </comment>
    <comment authorId="0" ref="M482">
      <text>
        <t xml:space="preserve">PCIE_1 = PCIe 5.0x16
PCIE_2 = PCIe 4.0x4</t>
      </text>
    </comment>
    <comment authorId="0" ref="W482">
      <text>
        <t xml:space="preserve">M2_1 = PCIe 4.0x4
M2_2 = PCIe 4.0x4</t>
      </text>
    </comment>
    <comment authorId="0" ref="AV482">
      <text>
        <t xml:space="preserve">DisplayPort 1.4</t>
      </text>
    </comment>
    <comment authorId="0" ref="AW482">
      <text>
        <t xml:space="preserve">HDMI 2.1</t>
      </text>
    </comment>
    <comment authorId="0" ref="W483">
      <text>
        <t xml:space="preserve">M2_1 = PCIe 4.0x4
M2_2 = PCIe 4.0x4
M2_3 = PCIe 4.0x4 or SATA 3.0</t>
      </text>
    </comment>
    <comment authorId="0" ref="AV483">
      <text>
        <t xml:space="preserve">DisplayPort 1.4</t>
      </text>
    </comment>
    <comment authorId="0" ref="AW483">
      <text>
        <t xml:space="preserve">HDMI 2.1</t>
      </text>
    </comment>
    <comment authorId="0" ref="M484">
      <text>
        <t xml:space="preserve">PCIE_1 = PCIe 5.0x16
PCIE_2 = PCIe 4.0x4</t>
      </text>
    </comment>
    <comment authorId="0" ref="W484">
      <text>
        <t xml:space="preserve">M2_1 = PCIe 4.0x4
M2_2 = PCIe 4.0x4</t>
      </text>
    </comment>
    <comment authorId="0" ref="AV484">
      <text>
        <t xml:space="preserve">DisplayPort 1.4</t>
      </text>
    </comment>
    <comment authorId="0" ref="AW484">
      <text>
        <t xml:space="preserve">HDMI 2.1</t>
      </text>
    </comment>
    <comment authorId="0" ref="M485">
      <text>
        <t xml:space="preserve">PCIE_1 = PCIe 5.0x16
PCIE_2 = PCIe 4.0x4</t>
      </text>
    </comment>
    <comment authorId="0" ref="W485">
      <text>
        <t xml:space="preserve">M2_1 = PCIe 4.0x4
M2_2 = PCIe 4.0x4</t>
      </text>
    </comment>
    <comment authorId="0" ref="AV485">
      <text>
        <t xml:space="preserve">DisplayPort 1.4</t>
      </text>
    </comment>
    <comment authorId="0" ref="AW485">
      <text>
        <t xml:space="preserve">HDMI 2.1</t>
      </text>
    </comment>
    <comment authorId="0" ref="M486">
      <text>
        <t xml:space="preserve">PCIE_1 = PCIe 5.0x16
PCIE_2 = PCIe 4.0x4</t>
      </text>
    </comment>
    <comment authorId="0" ref="W486">
      <text>
        <t xml:space="preserve">M2_1 = PCIe 4.0x4
M2_2 = PCIe 4.0x4</t>
      </text>
    </comment>
    <comment authorId="0" ref="AV486">
      <text>
        <t xml:space="preserve">DisplayPort 1.4</t>
      </text>
    </comment>
    <comment authorId="0" ref="AW486">
      <text>
        <t xml:space="preserve">HDMI 2.1</t>
      </text>
    </comment>
    <comment authorId="0" ref="M487">
      <text>
        <t xml:space="preserve">PCIE_1 = PCIe 5.0x16
PCIE_2 = PCIe 4.0x4</t>
      </text>
    </comment>
    <comment authorId="0" ref="W487">
      <text>
        <t xml:space="preserve">M2_1 = PCIe 4.0x4
M2_2 = PCIe 4.0x4</t>
      </text>
    </comment>
    <comment authorId="0" ref="AV487">
      <text>
        <t xml:space="preserve">DisplayPort 1.4</t>
      </text>
    </comment>
    <comment authorId="0" ref="AW487">
      <text>
        <t xml:space="preserve">HDMI 2.1</t>
      </text>
    </comment>
    <comment authorId="0" ref="W488">
      <text>
        <t xml:space="preserve">M2_1 = PCIe 4.0x4
M2_2 = PCIe 4.0x4
M2_3 = PCIe 4.0x4 or SATA 3.0</t>
      </text>
    </comment>
    <comment authorId="0" ref="AV488">
      <text>
        <t xml:space="preserve">DisplayPort 1.4</t>
      </text>
    </comment>
    <comment authorId="0" ref="AW488">
      <text>
        <t xml:space="preserve">HDMI 2.1</t>
      </text>
    </comment>
    <comment authorId="0" ref="M489">
      <text>
        <t xml:space="preserve">PCIE_1 = PCIe 5.0x16
PCIE_2 = PCIe 4.0x4</t>
      </text>
    </comment>
    <comment authorId="0" ref="W489">
      <text>
        <t xml:space="preserve">M2_1 = PCIe 4.0x4
M2_2 = PCIe 4.0x4</t>
      </text>
    </comment>
    <comment authorId="0" ref="AV489">
      <text>
        <t xml:space="preserve">DisplayPort 1.4</t>
      </text>
    </comment>
    <comment authorId="0" ref="AW489">
      <text>
        <t xml:space="preserve">HDMI 2.1</t>
      </text>
    </comment>
    <comment authorId="0" ref="W490">
      <text>
        <t xml:space="preserve">M2_1 = PCIe 4.0x4
M2_2 = PCIe 4.0x4
M2_3 = PCIe 4.0x4 or SATA 3.0</t>
      </text>
    </comment>
    <comment authorId="0" ref="AV490">
      <text>
        <t xml:space="preserve">DisplayPort 1.4</t>
      </text>
    </comment>
    <comment authorId="0" ref="AW490">
      <text>
        <t xml:space="preserve">HDMI 2.1</t>
      </text>
    </comment>
    <comment authorId="0" ref="M491">
      <text>
        <t xml:space="preserve">PCIE_1 = PCIe 4.0x16
PCIE_2 = PCIe 4.0x4</t>
      </text>
    </comment>
    <comment authorId="0" ref="W491">
      <text>
        <t xml:space="preserve">M2_1 = PCIe 4.0x4
M2_2 = PCIe 4.0x4 or SATA 3.0</t>
      </text>
    </comment>
    <comment authorId="0" ref="AV491">
      <text>
        <t xml:space="preserve">DisplayPort 1.4</t>
      </text>
    </comment>
    <comment authorId="0" ref="AW491">
      <text>
        <t xml:space="preserve">HDMI 2.1</t>
      </text>
    </comment>
    <comment authorId="0" ref="M492">
      <text>
        <t xml:space="preserve">PCIE_1 = PCIe 4.0x16
PCIE_2 = PCIe 4.0x4</t>
      </text>
    </comment>
    <comment authorId="0" ref="W492">
      <text>
        <t xml:space="preserve">M2_1 = PCIe 4.0x4
M2_2 = PCIe 4.0x4 or SATA 3.0</t>
      </text>
    </comment>
    <comment authorId="0" ref="AV492">
      <text>
        <t xml:space="preserve">DisplayPort 1.4</t>
      </text>
    </comment>
    <comment authorId="0" ref="AW492">
      <text>
        <t xml:space="preserve">HDMI 2.1</t>
      </text>
    </comment>
    <comment authorId="0" ref="M493">
      <text>
        <t xml:space="preserve">PCIE_1 = PCIe 4.0x16
PCIE_2 = PCIe 4.0x4</t>
      </text>
    </comment>
    <comment authorId="0" ref="W493">
      <text>
        <t xml:space="preserve">M2_1 = PCIe 4.0x4
M2_2 = PCIe 4.0x4 or SATA 3.0</t>
      </text>
    </comment>
    <comment authorId="0" ref="AV493">
      <text>
        <t xml:space="preserve">DisplayPort 1.4</t>
      </text>
    </comment>
    <comment authorId="0" ref="AW493">
      <text>
        <t xml:space="preserve">HDMI 2.1</t>
      </text>
    </comment>
    <comment authorId="0" ref="M494">
      <text>
        <t xml:space="preserve">PCIE_1 = PCIe 4.0x16
PCIE_2 = PCIe 4.0x4</t>
      </text>
    </comment>
    <comment authorId="0" ref="W494">
      <text>
        <t xml:space="preserve">M2_1 = PCIe 4.0x4
M2_2 = PCIe 4.0x4 or SATA 3.0</t>
      </text>
    </comment>
    <comment authorId="0" ref="AV494">
      <text>
        <t xml:space="preserve">DisplayPort 1.4</t>
      </text>
    </comment>
    <comment authorId="0" ref="AW494">
      <text>
        <t xml:space="preserve">HDMI 2.1</t>
      </text>
    </comment>
    <comment authorId="0" ref="W495">
      <text>
        <t xml:space="preserve">M2_1 = PCIe 4.0x4</t>
      </text>
    </comment>
    <comment authorId="0" ref="AW495">
      <text>
        <t xml:space="preserve">HDMI 2.1</t>
      </text>
    </comment>
    <comment authorId="0" ref="W496">
      <text>
        <t xml:space="preserve">M2_1 = PCIe 4.0x4 or SATA 3.0</t>
      </text>
    </comment>
    <comment authorId="0" ref="AW496">
      <text>
        <t xml:space="preserve">HDMI 1.4</t>
      </text>
    </comment>
    <comment authorId="0" ref="W497">
      <text>
        <t xml:space="preserve">M2_1 = PCIe 4.0x4
M2_2 = PCIe 4.0x4 or SATA 3.0</t>
      </text>
    </comment>
    <comment authorId="0" ref="AV497">
      <text>
        <t xml:space="preserve">DisplayPort 1.4</t>
      </text>
    </comment>
    <comment authorId="0" ref="AW497">
      <text>
        <t xml:space="preserve">HDMI 2.1</t>
      </text>
    </comment>
    <comment authorId="0" ref="W498">
      <text>
        <t xml:space="preserve">M2_1 = PCIe 4.0x4
M2_2 = PCIe 4.0x4 or SATA 3.0</t>
      </text>
    </comment>
    <comment authorId="0" ref="AV498">
      <text>
        <t xml:space="preserve">DisplayPort 1.4</t>
      </text>
    </comment>
    <comment authorId="0" ref="AW498">
      <text>
        <t xml:space="preserve">HDMI 2.1</t>
      </text>
    </comment>
    <comment authorId="0" ref="W499">
      <text>
        <t xml:space="preserve">M2_1 = PCIe 4.0x4
M2_2 = PCIe 4.0x4 or SATA 3.0</t>
      </text>
    </comment>
    <comment authorId="0" ref="AV499">
      <text>
        <t xml:space="preserve">DisplayPort 1.4</t>
      </text>
    </comment>
    <comment authorId="0" ref="AW499">
      <text>
        <t xml:space="preserve">HDMI 1.4</t>
      </text>
    </comment>
    <comment authorId="0" ref="W500">
      <text>
        <t xml:space="preserve">M2_1 = PCIe 4.0x4
M2_2 = PCIe 4.0x4 or SATA 3.0</t>
      </text>
    </comment>
    <comment authorId="0" ref="AV500">
      <text>
        <t xml:space="preserve">DisplayPort 1.4</t>
      </text>
    </comment>
    <comment authorId="0" ref="AW500">
      <text>
        <t xml:space="preserve">HDMI 1.4</t>
      </text>
    </comment>
    <comment authorId="0" ref="M501">
      <text>
        <t xml:space="preserve">PCIE_1 = PCIe 4.0x16
PCIE_2 = PCIe 3.0x4</t>
      </text>
    </comment>
    <comment authorId="0" ref="W501">
      <text>
        <t xml:space="preserve">M2_1 = PCIe 4.0x4
M2_2 = PCIe 4.0x4 or SATA 3.0</t>
      </text>
    </comment>
    <comment authorId="0" ref="AW501">
      <text>
        <t xml:space="preserve">HDMI 2.1</t>
      </text>
    </comment>
    <comment authorId="0" ref="M502">
      <text>
        <t xml:space="preserve">PCIE_1 = PCIe 5.0x16
PCIE_2 = PCIe 4.0x4</t>
      </text>
    </comment>
    <comment authorId="0" ref="W502">
      <text>
        <t xml:space="preserve">M2_1 = PCIe 4.0x4
M2_2 = PCIe 4.0x4
M2_3 = PCIe 4.0x4 or SATA 3.0</t>
      </text>
    </comment>
    <comment authorId="0" ref="AV502">
      <text>
        <t xml:space="preserve">DisplayPort 1.4</t>
      </text>
    </comment>
    <comment authorId="0" ref="AW502">
      <text>
        <t xml:space="preserve">HDMI 2.1</t>
      </text>
    </comment>
    <comment authorId="0" ref="M503">
      <text>
        <t xml:space="preserve">PCIE_1 = PCIe 5.0x16
PCIE_2 = PCIe 4.0x4</t>
      </text>
    </comment>
    <comment authorId="0" ref="W503">
      <text>
        <t xml:space="preserve">M2_1 = PCIe 4.0x4
M2_2 = PCIe 4.0x4
M2_3 = PCIe 4.0x4 or SATA 3.0</t>
      </text>
    </comment>
    <comment authorId="0" ref="AV503">
      <text>
        <t xml:space="preserve">DisplayPort 1.4</t>
      </text>
    </comment>
    <comment authorId="0" ref="AW503">
      <text>
        <t xml:space="preserve">HDMI 2.1</t>
      </text>
    </comment>
    <comment authorId="0" ref="W504">
      <text>
        <t xml:space="preserve">M2_1 = PCIe 4.0x4
M2_2 = PCIe 4.0x4
M2_3 = PCIe 4.0x4</t>
      </text>
    </comment>
    <comment authorId="0" ref="AV504">
      <text>
        <t xml:space="preserve">DisplayPort 1.2</t>
      </text>
    </comment>
    <comment authorId="0" ref="AW504">
      <text>
        <t xml:space="preserve">HDMI 2.0</t>
      </text>
    </comment>
    <comment authorId="0" ref="W505">
      <text>
        <t xml:space="preserve">M2_1 = PCIe 4.0x4
M2_2 = PCIe 4.0x4
M2_3 = PCIe 4.0x4</t>
      </text>
    </comment>
    <comment authorId="0" ref="AV505">
      <text>
        <t xml:space="preserve">DisplayPort 1.2</t>
      </text>
    </comment>
    <comment authorId="0" ref="AW505">
      <text>
        <t xml:space="preserve">HDMI 2.0</t>
      </text>
    </comment>
    <comment authorId="0" ref="W506">
      <text>
        <t xml:space="preserve">M2_1 = PCIe 4.0x4
M2_2 = PCIe 4.0x4
M2_3 = PCIe 4.0x4</t>
      </text>
    </comment>
    <comment authorId="0" ref="AV506">
      <text>
        <t xml:space="preserve">DisplayPort 1.2</t>
      </text>
    </comment>
    <comment authorId="0" ref="AW506">
      <text>
        <t xml:space="preserve">HDMI 2.0</t>
      </text>
    </comment>
    <comment authorId="0" ref="M507">
      <text>
        <t xml:space="preserve">PCIE_1 = PCIe 5.0x16
PCIE_2 = PCIe 4.0x4</t>
      </text>
    </comment>
    <comment authorId="0" ref="W507">
      <text>
        <t xml:space="preserve">M2_1 = PCIe 4.0x4
M2_2 = PCIe 4.0x4
M2_3 = PCIe 4.0x4</t>
      </text>
    </comment>
    <comment authorId="0" ref="AV507">
      <text>
        <t xml:space="preserve">DisplayPort 1.2</t>
      </text>
    </comment>
    <comment authorId="0" ref="AW507">
      <text>
        <t xml:space="preserve">HDMI 2.0</t>
      </text>
    </comment>
    <comment authorId="0" ref="M508">
      <text>
        <t xml:space="preserve">PCIE_1 = PCIe 5.0x16
PCIE_2 = PCIe 4.0x4</t>
      </text>
    </comment>
    <comment authorId="0" ref="W508">
      <text>
        <t xml:space="preserve">M2_1 = PCIe 4.0x4
M2_2 = PCIe 4.0x4
M2_3 = PCIe 4.0x4</t>
      </text>
    </comment>
    <comment authorId="0" ref="AV508">
      <text>
        <t xml:space="preserve">DisplayPort 1.2</t>
      </text>
    </comment>
    <comment authorId="0" ref="AW508">
      <text>
        <t xml:space="preserve">HDMI 2.0</t>
      </text>
    </comment>
    <comment authorId="0" ref="M509">
      <text>
        <t xml:space="preserve">PCIE_1 = PCIe 5.0x16
PCIE_2 = PCIe 4.0x4</t>
      </text>
    </comment>
    <comment authorId="0" ref="W509">
      <text>
        <t xml:space="preserve">M2_1 = PCIe 4.0x4
M2_2 = PCIe 4.0x4
M2_3 = PCIe 4.0x4</t>
      </text>
    </comment>
    <comment authorId="0" ref="AV509">
      <text>
        <t xml:space="preserve">DisplayPort 1.2</t>
      </text>
    </comment>
    <comment authorId="0" ref="AW509">
      <text>
        <t xml:space="preserve">HDMI 2.0</t>
      </text>
    </comment>
    <comment authorId="0" ref="M510">
      <text>
        <t xml:space="preserve">PCIE_1 = PCIe 5.0x16
PCIE_2 = PCIe 4.0x4</t>
      </text>
    </comment>
    <comment authorId="0" ref="W510">
      <text>
        <t xml:space="preserve">M2_1 = PCIe 4.0x4
M2_2 = PCIe 4.0x4
M2_3 = PCIe 4.0x4</t>
      </text>
    </comment>
    <comment authorId="0" ref="AV510">
      <text>
        <t xml:space="preserve">DisplayPort 1.2</t>
      </text>
    </comment>
    <comment authorId="0" ref="AW510">
      <text>
        <t xml:space="preserve">HDMI 2.0</t>
      </text>
    </comment>
    <comment authorId="0" ref="W511">
      <text>
        <t xml:space="preserve">M2_1 = PCIe 4.0x4
M2_2 = PCIe 4.0x4
M2_3 = PCIe 4.0x4
M2_4 = PCIe 4.0x4
M2_5 = PCIe 4.0x4</t>
      </text>
    </comment>
  </commentLi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WxHxD
Flex ATX = 81.5x40.5x150mm
SFX = 125x63.5x100mm
SFX-L = 125x63.5x130mm
</t>
      </text>
    </comment>
    <comment authorId="0" ref="G1">
      <text>
        <t xml:space="preserve">https://www.clearesult.com/80plus/</t>
      </text>
    </comment>
    <comment authorId="0" ref="I1">
      <text>
        <t xml:space="preserve">https://www.cybenetics.com/index.php?option=eta_9-51-40</t>
      </text>
    </comment>
    <comment authorId="0" ref="J1">
      <text>
        <t xml:space="preserve">https://www.cybenetics.com/index.php?option=eta_9-51-40</t>
      </text>
    </comment>
    <comment authorId="0" ref="K1">
      <text>
        <t xml:space="preserve">https://www.cybenetics.com/index.php?option=lambda-(psus)
Noise Rating:
A++	&lt;15 dB(A)
A+   15-20 dB(A)
A	20-25 dB(A)
A-	25-30 dB(A)
Standard++ 30-35 dB(A)
Standard+   35-40 dB(A)
Standard     40-45 dB(A)</t>
      </text>
    </comment>
    <comment authorId="0" ref="L1">
      <text>
        <t xml:space="preserve">https://www.cybenetics.com/index.php?option=lambda-(psus)
Noise Rating:
A++	&lt;15 dB(A)
A+   15-20 dB(A)
A	20-25 dB(A)
A-	25-30 dB(A)
Standard++ 30-35 dB(A)
Standard+   35-40 dB(A)
Standard     40-45 dB(A)</t>
      </text>
    </comment>
    <comment authorId="0" ref="N1">
      <text>
        <t xml:space="preserve">https://www.cybenetics.com/index.php?option=lambda-(psus)
A++	&lt;15 dB(A)
A+   15-20 dB(A)
A	20-25 dB(A)
A-	25-30 dB(A)
Standard++ 30-35 dB(A)
Standard+   35-40 dB(A)
Standard     40-45 dB(A)</t>
      </text>
    </comment>
    <comment authorId="0" ref="W1">
      <text>
        <t xml:space="preserve">Assume 6+2/8-pin by default if not mentioned otherwise</t>
      </text>
    </comment>
    <comment authorId="0" ref="S3">
      <text>
        <t xml:space="preserve">18AWG</t>
      </text>
    </comment>
    <comment authorId="0" ref="T3">
      <text>
        <t xml:space="preserve">18AWG</t>
      </text>
    </comment>
    <comment authorId="0" ref="V3">
      <text>
        <t xml:space="preserve">18AWG</t>
      </text>
    </comment>
    <comment authorId="0" ref="Z3">
      <text>
        <t xml:space="preserve">18AWG</t>
      </text>
    </comment>
    <comment authorId="0" ref="AB3">
      <text>
        <t xml:space="preserve">18AWG</t>
      </text>
    </comment>
    <comment authorId="0" ref="S4">
      <text>
        <t xml:space="preserve">18AWG</t>
      </text>
    </comment>
    <comment authorId="0" ref="T4">
      <text>
        <t xml:space="preserve">18AWG</t>
      </text>
    </comment>
    <comment authorId="0" ref="V4">
      <text>
        <t xml:space="preserve">18AWG</t>
      </text>
    </comment>
    <comment authorId="0" ref="Z4">
      <text>
        <t xml:space="preserve">18AWG</t>
      </text>
    </comment>
    <comment authorId="0" ref="AB4">
      <text>
        <t xml:space="preserve">18AWG</t>
      </text>
    </comment>
    <comment authorId="0" ref="S5">
      <text>
        <t xml:space="preserve">18AWG</t>
      </text>
    </comment>
    <comment authorId="0" ref="T5">
      <text>
        <t xml:space="preserve">18AWG</t>
      </text>
    </comment>
    <comment authorId="0" ref="V5">
      <text>
        <t xml:space="preserve">18AWG</t>
      </text>
    </comment>
    <comment authorId="0" ref="Z5">
      <text>
        <t xml:space="preserve">18AWG</t>
      </text>
    </comment>
    <comment authorId="0" ref="AB5">
      <text>
        <t xml:space="preserve">18AWG</t>
      </text>
    </comment>
    <comment authorId="0" ref="AD6">
      <text>
        <t xml:space="preserve">Maybe Helly</t>
      </text>
    </comment>
    <comment authorId="0" ref="AD7">
      <text>
        <t xml:space="preserve">Maybe Helly</t>
      </text>
    </comment>
    <comment authorId="0" ref="AD8">
      <text>
        <t xml:space="preserve">Maybe Helly</t>
      </text>
    </comment>
    <comment authorId="0" ref="AD9">
      <text>
        <t xml:space="preserve">Maybe Helly</t>
      </text>
    </comment>
    <comment authorId="0" ref="AD10">
      <text>
        <t xml:space="preserve">Maybe Helly</t>
      </text>
    </comment>
    <comment authorId="0" ref="AD11">
      <text>
        <t xml:space="preserve">Maybe Helly</t>
      </text>
    </comment>
    <comment authorId="0" ref="AD12">
      <text>
        <t xml:space="preserve">Maybe Helly</t>
      </text>
    </comment>
    <comment authorId="0" ref="AD13">
      <text>
        <t xml:space="preserve">Maybe Helly</t>
      </text>
    </comment>
    <comment authorId="0" ref="S21">
      <text>
        <t xml:space="preserve">18AWG</t>
      </text>
    </comment>
    <comment authorId="0" ref="T21">
      <text>
        <t xml:space="preserve">16AWG</t>
      </text>
    </comment>
    <comment authorId="0" ref="V21">
      <text>
        <t xml:space="preserve">16-18AWG</t>
      </text>
    </comment>
    <comment authorId="0" ref="X21">
      <text>
        <t xml:space="preserve">16-24AWG</t>
      </text>
    </comment>
    <comment authorId="0" ref="Z21">
      <text>
        <t xml:space="preserve">18AWG</t>
      </text>
    </comment>
    <comment authorId="0" ref="AB21">
      <text>
        <t xml:space="preserve">18AWG</t>
      </text>
    </comment>
    <comment authorId="0" ref="S22">
      <text>
        <t xml:space="preserve">18AWG</t>
      </text>
    </comment>
    <comment authorId="0" ref="T22">
      <text>
        <t xml:space="preserve">16AWG</t>
      </text>
    </comment>
    <comment authorId="0" ref="V22">
      <text>
        <t xml:space="preserve">16-18AWG</t>
      </text>
    </comment>
    <comment authorId="0" ref="X22">
      <text>
        <t xml:space="preserve">16-24AWG</t>
      </text>
    </comment>
    <comment authorId="0" ref="Z22">
      <text>
        <t xml:space="preserve">18AWG</t>
      </text>
    </comment>
    <comment authorId="0" ref="AB22">
      <text>
        <t xml:space="preserve">18AWG</t>
      </text>
    </comment>
    <comment authorId="0" ref="S23">
      <text>
        <t xml:space="preserve">18AWG</t>
      </text>
    </comment>
    <comment authorId="0" ref="T23">
      <text>
        <t xml:space="preserve">16AWG</t>
      </text>
    </comment>
    <comment authorId="0" ref="V23">
      <text>
        <t xml:space="preserve">16-18AWG</t>
      </text>
    </comment>
    <comment authorId="0" ref="X23">
      <text>
        <t xml:space="preserve">16-24AWG</t>
      </text>
    </comment>
    <comment authorId="0" ref="Z23">
      <text>
        <t xml:space="preserve">18AWG</t>
      </text>
    </comment>
    <comment authorId="0" ref="AB23">
      <text>
        <t xml:space="preserve">18AWG</t>
      </text>
    </comment>
    <comment authorId="0" ref="S24">
      <text>
        <t xml:space="preserve">18AWG</t>
      </text>
    </comment>
    <comment authorId="0" ref="T24">
      <text>
        <t xml:space="preserve">16AWG</t>
      </text>
    </comment>
    <comment authorId="0" ref="V24">
      <text>
        <t xml:space="preserve">18AWG</t>
      </text>
    </comment>
    <comment authorId="0" ref="X24">
      <text>
        <t xml:space="preserve">16-24AWG</t>
      </text>
    </comment>
    <comment authorId="0" ref="Z24">
      <text>
        <t xml:space="preserve">18AWG</t>
      </text>
    </comment>
    <comment authorId="0" ref="AB24">
      <text>
        <t xml:space="preserve">18AWG</t>
      </text>
    </comment>
    <comment authorId="0" ref="S25">
      <text>
        <t xml:space="preserve">16-20AWG</t>
      </text>
    </comment>
    <comment authorId="0" ref="T25">
      <text>
        <t xml:space="preserve">16-18AWG</t>
      </text>
    </comment>
    <comment authorId="0" ref="V25">
      <text>
        <t xml:space="preserve">16-18AWG</t>
      </text>
    </comment>
    <comment authorId="0" ref="X25">
      <text>
        <t xml:space="preserve">16-24AWG</t>
      </text>
    </comment>
    <comment authorId="0" ref="Z25">
      <text>
        <t xml:space="preserve">18AWG</t>
      </text>
    </comment>
    <comment authorId="0" ref="AB25">
      <text>
        <t xml:space="preserve">18AWG</t>
      </text>
    </comment>
    <comment authorId="0" ref="S30">
      <text>
        <t xml:space="preserve">18AWG</t>
      </text>
    </comment>
    <comment authorId="0" ref="T30">
      <text>
        <t xml:space="preserve">18AWG</t>
      </text>
    </comment>
    <comment authorId="0" ref="V30">
      <text>
        <t xml:space="preserve">18AWG</t>
      </text>
    </comment>
    <comment authorId="0" ref="Z30">
      <text>
        <t xml:space="preserve">18AWG</t>
      </text>
    </comment>
    <comment authorId="0" ref="AB30">
      <text>
        <t xml:space="preserve">18AWG</t>
      </text>
    </comment>
    <comment authorId="0" ref="S31">
      <text>
        <t xml:space="preserve">18AWG</t>
      </text>
    </comment>
    <comment authorId="0" ref="T31">
      <text>
        <t xml:space="preserve">18AWG</t>
      </text>
    </comment>
    <comment authorId="0" ref="V31">
      <text>
        <t xml:space="preserve">18AWG</t>
      </text>
    </comment>
    <comment authorId="0" ref="Z31">
      <text>
        <t xml:space="preserve">18AWG</t>
      </text>
    </comment>
    <comment authorId="0" ref="AB31">
      <text>
        <t xml:space="preserve">18AWG</t>
      </text>
    </comment>
    <comment authorId="0" ref="O32">
      <text>
        <t xml:space="preserve">Pre-revision has 15% load semi-passive fan</t>
      </text>
    </comment>
    <comment authorId="0" ref="P32">
      <text>
        <t xml:space="preserve">Pre-revision has 15% load semi-passive fan</t>
      </text>
    </comment>
    <comment authorId="0" ref="S32">
      <text>
        <t xml:space="preserve">18-22AWG</t>
      </text>
    </comment>
    <comment authorId="0" ref="T32">
      <text>
        <t xml:space="preserve">18AWG</t>
      </text>
    </comment>
    <comment authorId="0" ref="V32">
      <text>
        <t xml:space="preserve">18AWG</t>
      </text>
    </comment>
    <comment authorId="0" ref="Z32">
      <text>
        <t xml:space="preserve">18AWG</t>
      </text>
    </comment>
    <comment authorId="0" ref="AB32">
      <text>
        <t xml:space="preserve">18AWG</t>
      </text>
    </comment>
    <comment authorId="0" ref="O33">
      <text>
        <t xml:space="preserve">Pre-revision has 15% load semi-passive fan</t>
      </text>
    </comment>
    <comment authorId="0" ref="P33">
      <text>
        <t xml:space="preserve">Pre-revision has 15% load semi-passive fan</t>
      </text>
    </comment>
    <comment authorId="0" ref="S33">
      <text>
        <t xml:space="preserve">18-22AWG</t>
      </text>
    </comment>
    <comment authorId="0" ref="T33">
      <text>
        <t xml:space="preserve">18AWG</t>
      </text>
    </comment>
    <comment authorId="0" ref="V33">
      <text>
        <t xml:space="preserve">18AWG</t>
      </text>
    </comment>
    <comment authorId="0" ref="Z33">
      <text>
        <t xml:space="preserve">18AWG</t>
      </text>
    </comment>
    <comment authorId="0" ref="AB33">
      <text>
        <t xml:space="preserve">18AWG</t>
      </text>
    </comment>
    <comment authorId="0" ref="O34">
      <text>
        <t xml:space="preserve">Pre-revision has 15% load semi-passive fan</t>
      </text>
    </comment>
    <comment authorId="0" ref="P34">
      <text>
        <t xml:space="preserve">Pre-revision has 15% load semi-passive fan</t>
      </text>
    </comment>
    <comment authorId="0" ref="S34">
      <text>
        <t xml:space="preserve">18-22AWG</t>
      </text>
    </comment>
    <comment authorId="0" ref="T34">
      <text>
        <t xml:space="preserve">18AWG</t>
      </text>
    </comment>
    <comment authorId="0" ref="V34">
      <text>
        <t xml:space="preserve">18AWG</t>
      </text>
    </comment>
    <comment authorId="0" ref="Z34">
      <text>
        <t xml:space="preserve">18AWG</t>
      </text>
    </comment>
    <comment authorId="0" ref="AB34">
      <text>
        <t xml:space="preserve">18AWG</t>
      </text>
    </comment>
    <comment authorId="0" ref="O35">
      <text>
        <t xml:space="preserve">Pre-revision has 15% load semi-passive fan</t>
      </text>
    </comment>
    <comment authorId="0" ref="P35">
      <text>
        <t xml:space="preserve">Pre-revision has 15% load semi-passive fan</t>
      </text>
    </comment>
    <comment authorId="0" ref="S35">
      <text>
        <t xml:space="preserve">18-22AWG</t>
      </text>
    </comment>
    <comment authorId="0" ref="T35">
      <text>
        <t xml:space="preserve">18AWG</t>
      </text>
    </comment>
    <comment authorId="0" ref="V35">
      <text>
        <t xml:space="preserve">18AWG</t>
      </text>
    </comment>
    <comment authorId="0" ref="Z35">
      <text>
        <t xml:space="preserve">18AWG</t>
      </text>
    </comment>
    <comment authorId="0" ref="AB35">
      <text>
        <t xml:space="preserve">18AWG</t>
      </text>
    </comment>
    <comment authorId="0" ref="O38">
      <text>
        <t xml:space="preserve">Pre-revision has 15% load semi-passive fan</t>
      </text>
    </comment>
    <comment authorId="0" ref="P38">
      <text>
        <t xml:space="preserve">Pre-revision has 15% load semi-passive fan</t>
      </text>
    </comment>
    <comment authorId="0" ref="S38">
      <text>
        <t xml:space="preserve">18-22AWG</t>
      </text>
    </comment>
    <comment authorId="0" ref="T38">
      <text>
        <t xml:space="preserve">18AWG</t>
      </text>
    </comment>
    <comment authorId="0" ref="V38">
      <text>
        <t xml:space="preserve">18AWG</t>
      </text>
    </comment>
    <comment authorId="0" ref="Z38">
      <text>
        <t xml:space="preserve">18AWG</t>
      </text>
    </comment>
    <comment authorId="0" ref="AB38">
      <text>
        <t xml:space="preserve">18AWG</t>
      </text>
    </comment>
    <comment authorId="0" ref="O39">
      <text>
        <t xml:space="preserve">Pre-revision has 15% load semi-passive fan</t>
      </text>
    </comment>
    <comment authorId="0" ref="P39">
      <text>
        <t xml:space="preserve">Pre-revision has 15% load semi-passive fan</t>
      </text>
    </comment>
    <comment authorId="0" ref="S39">
      <text>
        <t xml:space="preserve">18-22AWG</t>
      </text>
    </comment>
    <comment authorId="0" ref="T39">
      <text>
        <t xml:space="preserve">18AWG</t>
      </text>
    </comment>
    <comment authorId="0" ref="V39">
      <text>
        <t xml:space="preserve">18AWG</t>
      </text>
    </comment>
    <comment authorId="0" ref="Z39">
      <text>
        <t xml:space="preserve">18AWG</t>
      </text>
    </comment>
    <comment authorId="0" ref="AB39">
      <text>
        <t xml:space="preserve">18AWG</t>
      </text>
    </comment>
    <comment authorId="0" ref="S42">
      <text>
        <t xml:space="preserve">18AWG</t>
      </text>
    </comment>
    <comment authorId="0" ref="T42">
      <text>
        <t xml:space="preserve">16AWG</t>
      </text>
    </comment>
    <comment authorId="0" ref="V42">
      <text>
        <t xml:space="preserve">16-18AWG</t>
      </text>
    </comment>
    <comment authorId="0" ref="X42">
      <text>
        <t xml:space="preserve">16-28AWG</t>
      </text>
    </comment>
    <comment authorId="0" ref="Z42">
      <text>
        <t xml:space="preserve">18AWG</t>
      </text>
    </comment>
    <comment authorId="0" ref="AB42">
      <text>
        <t xml:space="preserve">18AWG</t>
      </text>
    </comment>
    <comment authorId="0" ref="S43">
      <text>
        <t xml:space="preserve">18AWG</t>
      </text>
    </comment>
    <comment authorId="0" ref="T43">
      <text>
        <t xml:space="preserve">16AWG</t>
      </text>
    </comment>
    <comment authorId="0" ref="V43">
      <text>
        <t xml:space="preserve">16-18AWG</t>
      </text>
    </comment>
    <comment authorId="0" ref="X43">
      <text>
        <t xml:space="preserve">16-28AWG</t>
      </text>
    </comment>
    <comment authorId="0" ref="Z43">
      <text>
        <t xml:space="preserve">18AWG</t>
      </text>
    </comment>
    <comment authorId="0" ref="AB43">
      <text>
        <t xml:space="preserve">18AWG</t>
      </text>
    </comment>
    <comment authorId="0" ref="S44">
      <text>
        <t xml:space="preserve">18AWG</t>
      </text>
    </comment>
    <comment authorId="0" ref="T44">
      <text>
        <t xml:space="preserve">18AWG</t>
      </text>
    </comment>
    <comment authorId="0" ref="V44">
      <text>
        <t xml:space="preserve">18AWG</t>
      </text>
    </comment>
    <comment authorId="0" ref="Z44">
      <text>
        <t xml:space="preserve">18AWG</t>
      </text>
    </comment>
    <comment authorId="0" ref="AB44">
      <text>
        <t xml:space="preserve">18AWG</t>
      </text>
    </comment>
    <comment authorId="0" ref="S45">
      <text>
        <t xml:space="preserve">16-18AWG</t>
      </text>
    </comment>
    <comment authorId="0" ref="T45">
      <text>
        <t xml:space="preserve">16AWG</t>
      </text>
    </comment>
    <comment authorId="0" ref="V45">
      <text>
        <t xml:space="preserve">16AWG</t>
      </text>
    </comment>
    <comment authorId="0" ref="Z45">
      <text>
        <t xml:space="preserve">18AWG</t>
      </text>
    </comment>
    <comment authorId="0" ref="AB45">
      <text>
        <t xml:space="preserve">18AWG</t>
      </text>
    </comment>
    <comment authorId="0" ref="S46">
      <text>
        <t xml:space="preserve">18AWG</t>
      </text>
    </comment>
    <comment authorId="0" ref="T46">
      <text>
        <t xml:space="preserve">18AWG</t>
      </text>
    </comment>
    <comment authorId="0" ref="V46">
      <text>
        <t xml:space="preserve">18AWG</t>
      </text>
    </comment>
    <comment authorId="0" ref="Z46">
      <text>
        <t xml:space="preserve">18AWG</t>
      </text>
    </comment>
    <comment authorId="0" ref="AB46">
      <text>
        <t xml:space="preserve">18AWG</t>
      </text>
    </comment>
    <comment authorId="0" ref="S47">
      <text>
        <t xml:space="preserve">16-18AWG</t>
      </text>
    </comment>
    <comment authorId="0" ref="T47">
      <text>
        <t xml:space="preserve">16AWG</t>
      </text>
    </comment>
    <comment authorId="0" ref="V47">
      <text>
        <t xml:space="preserve">16AWG</t>
      </text>
    </comment>
    <comment authorId="0" ref="Z47">
      <text>
        <t xml:space="preserve">18AWG</t>
      </text>
    </comment>
    <comment authorId="0" ref="AB47">
      <text>
        <t xml:space="preserve">18AWG</t>
      </text>
    </comment>
    <comment authorId="0" ref="S48">
      <text>
        <t xml:space="preserve">16-18AWG</t>
      </text>
    </comment>
    <comment authorId="0" ref="T48">
      <text>
        <t xml:space="preserve">16AWG</t>
      </text>
    </comment>
    <comment authorId="0" ref="V48">
      <text>
        <t xml:space="preserve">16AWG</t>
      </text>
    </comment>
    <comment authorId="0" ref="Z48">
      <text>
        <t xml:space="preserve">18AWG</t>
      </text>
    </comment>
    <comment authorId="0" ref="AB48">
      <text>
        <t xml:space="preserve">18AWG</t>
      </text>
    </comment>
    <comment authorId="0" ref="S49">
      <text>
        <t xml:space="preserve">16-20AWG</t>
      </text>
    </comment>
    <comment authorId="0" ref="T49">
      <text>
        <t xml:space="preserve">16AWG</t>
      </text>
    </comment>
    <comment authorId="0" ref="V49">
      <text>
        <t xml:space="preserve">16AWG</t>
      </text>
    </comment>
    <comment authorId="0" ref="X49">
      <text>
        <t xml:space="preserve">16-24AWG</t>
      </text>
    </comment>
    <comment authorId="0" ref="Z49">
      <text>
        <t xml:space="preserve">18AWG</t>
      </text>
    </comment>
    <comment authorId="0" ref="AB49">
      <text>
        <t xml:space="preserve">18AWG</t>
      </text>
    </comment>
    <comment authorId="0" ref="S50">
      <text>
        <t xml:space="preserve">16-20AWG</t>
      </text>
    </comment>
    <comment authorId="0" ref="T50">
      <text>
        <t xml:space="preserve">16AWG</t>
      </text>
    </comment>
    <comment authorId="0" ref="V50">
      <text>
        <t xml:space="preserve">16AWG</t>
      </text>
    </comment>
    <comment authorId="0" ref="X50">
      <text>
        <t xml:space="preserve">16-24AWG</t>
      </text>
    </comment>
    <comment authorId="0" ref="Z50">
      <text>
        <t xml:space="preserve">18AWG</t>
      </text>
    </comment>
    <comment authorId="0" ref="AB50">
      <text>
        <t xml:space="preserve">18AWG</t>
      </text>
    </comment>
    <comment authorId="0" ref="S51">
      <text>
        <t xml:space="preserve">16-20AWG</t>
      </text>
    </comment>
    <comment authorId="0" ref="T51">
      <text>
        <t xml:space="preserve">16AWG</t>
      </text>
    </comment>
    <comment authorId="0" ref="V51">
      <text>
        <t xml:space="preserve">16-18AWG</t>
      </text>
    </comment>
    <comment authorId="0" ref="X51">
      <text>
        <t xml:space="preserve">16-24AWG</t>
      </text>
    </comment>
    <comment authorId="0" ref="Z51">
      <text>
        <t xml:space="preserve">18AWG</t>
      </text>
    </comment>
    <comment authorId="0" ref="AB51">
      <text>
        <t xml:space="preserve">18AWG</t>
      </text>
    </comment>
    <comment authorId="0" ref="S52">
      <text>
        <t xml:space="preserve">16-20AWG</t>
      </text>
    </comment>
    <comment authorId="0" ref="T52">
      <text>
        <t xml:space="preserve">16AWG</t>
      </text>
    </comment>
    <comment authorId="0" ref="V52">
      <text>
        <t xml:space="preserve">16AWG</t>
      </text>
    </comment>
    <comment authorId="0" ref="X52">
      <text>
        <t xml:space="preserve">16-24AWG</t>
      </text>
    </comment>
    <comment authorId="0" ref="Z52">
      <text>
        <t xml:space="preserve">18AWG</t>
      </text>
    </comment>
    <comment authorId="0" ref="AB52">
      <text>
        <t xml:space="preserve">18AWG</t>
      </text>
    </comment>
    <comment authorId="0" ref="S53">
      <text>
        <t xml:space="preserve">16-20AWG</t>
      </text>
    </comment>
    <comment authorId="0" ref="T53">
      <text>
        <t xml:space="preserve">16AWG</t>
      </text>
    </comment>
    <comment authorId="0" ref="V53">
      <text>
        <t xml:space="preserve">16-18AWG</t>
      </text>
    </comment>
    <comment authorId="0" ref="X53">
      <text>
        <t xml:space="preserve">16-24AWG</t>
      </text>
    </comment>
    <comment authorId="0" ref="Z53">
      <text>
        <t xml:space="preserve">18AWG</t>
      </text>
    </comment>
    <comment authorId="0" ref="AB53">
      <text>
        <t xml:space="preserve">18AWG</t>
      </text>
    </comment>
    <comment authorId="0" ref="S55">
      <text>
        <t xml:space="preserve">18AWG</t>
      </text>
    </comment>
    <comment authorId="0" ref="T55">
      <text>
        <t xml:space="preserve">18AWG</t>
      </text>
    </comment>
    <comment authorId="0" ref="V55">
      <text>
        <t xml:space="preserve">18AWG</t>
      </text>
    </comment>
    <comment authorId="0" ref="Z55">
      <text>
        <t xml:space="preserve">18AWG</t>
      </text>
    </comment>
    <comment authorId="0" ref="AB55">
      <text>
        <t xml:space="preserve">18AWG</t>
      </text>
    </comment>
    <comment authorId="0" ref="C59">
      <text>
        <t xml:space="preserve">165mm long vs 150mm length in standard Flex ATX PSU</t>
      </text>
    </comment>
    <comment authorId="0" ref="S62">
      <text>
        <t xml:space="preserve">18-22AWG</t>
      </text>
    </comment>
    <comment authorId="0" ref="T62">
      <text>
        <t xml:space="preserve">18AWG</t>
      </text>
    </comment>
    <comment authorId="0" ref="V62">
      <text>
        <t xml:space="preserve">18AWG</t>
      </text>
    </comment>
    <comment authorId="0" ref="Z62">
      <text>
        <t xml:space="preserve">18AWG</t>
      </text>
    </comment>
    <comment authorId="0" ref="AB62">
      <text>
        <t xml:space="preserve">18AWG</t>
      </text>
    </comment>
    <comment authorId="0" ref="S66">
      <text>
        <t xml:space="preserve">18-22AWG</t>
      </text>
    </comment>
    <comment authorId="0" ref="T66">
      <text>
        <t xml:space="preserve">18AWG</t>
      </text>
    </comment>
    <comment authorId="0" ref="V66">
      <text>
        <t xml:space="preserve">18AWG</t>
      </text>
    </comment>
    <comment authorId="0" ref="Z66">
      <text>
        <t xml:space="preserve">18AWG</t>
      </text>
    </comment>
    <comment authorId="0" ref="AB66">
      <text>
        <t xml:space="preserve">18AWG</t>
      </text>
    </comment>
    <comment authorId="0" ref="S67">
      <text>
        <t xml:space="preserve">18-22AWG</t>
      </text>
    </comment>
    <comment authorId="0" ref="T67">
      <text>
        <t xml:space="preserve">18AWG</t>
      </text>
    </comment>
    <comment authorId="0" ref="V67">
      <text>
        <t xml:space="preserve">18AWG</t>
      </text>
    </comment>
    <comment authorId="0" ref="Z67">
      <text>
        <t xml:space="preserve">18AWG</t>
      </text>
    </comment>
    <comment authorId="0" ref="AB67">
      <text>
        <t xml:space="preserve">18AWG</t>
      </text>
    </comment>
    <comment authorId="0" ref="C68">
      <text>
        <t xml:space="preserve">110mm length</t>
      </text>
    </comment>
    <comment authorId="0" ref="Z68">
      <text>
        <t xml:space="preserve">2x650mm cables for a mix of SATA and Peripheral</t>
      </text>
    </comment>
    <comment authorId="0" ref="AB68">
      <text>
        <t xml:space="preserve">2x650mm cables for a mix of SATA and Peripheral</t>
      </text>
    </comment>
    <comment authorId="0" ref="C69">
      <text>
        <t xml:space="preserve">110mm length</t>
      </text>
    </comment>
    <comment authorId="0" ref="S69">
      <text>
        <t xml:space="preserve">18-22AWG</t>
      </text>
    </comment>
    <comment authorId="0" ref="T69">
      <text>
        <t xml:space="preserve">18AWG</t>
      </text>
    </comment>
    <comment authorId="0" ref="V69">
      <text>
        <t xml:space="preserve">18AWG</t>
      </text>
    </comment>
    <comment authorId="0" ref="Z69">
      <text>
        <t xml:space="preserve">2x650mm cables for a mix of SATA and Peripheral. 18-22AWG</t>
      </text>
    </comment>
    <comment authorId="0" ref="AB69">
      <text>
        <t xml:space="preserve">2x650mm cables for a mix of SATA and Peripheral. 18-22AWG</t>
      </text>
    </comment>
    <comment authorId="0" ref="Z70">
      <text>
        <t xml:space="preserve">2x650mm cables for a mix of SATA and Peripheral</t>
      </text>
    </comment>
    <comment authorId="0" ref="AB70">
      <text>
        <t xml:space="preserve">2x650mm cables for a mix of SATA and Peripheral</t>
      </text>
    </comment>
    <comment authorId="0" ref="S71">
      <text>
        <t xml:space="preserve">18-22AWG</t>
      </text>
    </comment>
    <comment authorId="0" ref="T71">
      <text>
        <t xml:space="preserve">18AWG</t>
      </text>
    </comment>
    <comment authorId="0" ref="V71">
      <text>
        <t xml:space="preserve">18AWG</t>
      </text>
    </comment>
    <comment authorId="0" ref="Z71">
      <text>
        <t xml:space="preserve">2x650mm cables for a mix of SATA and Peripheral. 18-22AWG</t>
      </text>
    </comment>
    <comment authorId="0" ref="AB71">
      <text>
        <t xml:space="preserve">2x650mm cables for a mix of SATA and Peripheral. 18-22AWG</t>
      </text>
    </comment>
    <comment authorId="0" ref="Z72">
      <text>
        <t xml:space="preserve">2x650mm cables for a mix of SATA and Peripheral</t>
      </text>
    </comment>
    <comment authorId="0" ref="AB72">
      <text>
        <t xml:space="preserve">2x650mm cables for a mix of SATA and Peripheral</t>
      </text>
    </comment>
    <comment authorId="0" ref="S73">
      <text>
        <t xml:space="preserve">18-22AWG</t>
      </text>
    </comment>
    <comment authorId="0" ref="T73">
      <text>
        <t xml:space="preserve">18AWG</t>
      </text>
    </comment>
    <comment authorId="0" ref="V73">
      <text>
        <t xml:space="preserve">18AWG</t>
      </text>
    </comment>
    <comment authorId="0" ref="Z73">
      <text>
        <t xml:space="preserve">2x650mm cables for a mix of SATA and Peripheral. 18-22AWG</t>
      </text>
    </comment>
    <comment authorId="0" ref="AB73">
      <text>
        <t xml:space="preserve">2x650mm cables for a mix of SATA and Peripheral. 18-22AWG</t>
      </text>
    </comment>
    <comment authorId="0" ref="Z77">
      <text>
        <t xml:space="preserve">1x510mm cable for SATA and Peripheral</t>
      </text>
    </comment>
    <comment authorId="0" ref="AB77">
      <text>
        <t xml:space="preserve">1x510mm cable for SATA and Peripheral</t>
      </text>
    </comment>
    <comment authorId="0" ref="Z86">
      <text>
        <t xml:space="preserve">1x600mm cable for SATA and Peripheral</t>
      </text>
    </comment>
    <comment authorId="0" ref="AB86">
      <text>
        <t xml:space="preserve">1x600mm cable for SATA and Peripheral</t>
      </text>
    </comment>
    <comment authorId="0" ref="Z87">
      <text>
        <t xml:space="preserve">2x450mm cable for SATA and Peripheral</t>
      </text>
    </comment>
    <comment authorId="0" ref="AB87">
      <text>
        <t xml:space="preserve">2x450mm cable for SATA and Peripheral</t>
      </text>
    </comment>
    <comment authorId="0" ref="Z88">
      <text>
        <t xml:space="preserve">2x600mm cable for SATA and Peripheral</t>
      </text>
    </comment>
    <comment authorId="0" ref="AB88">
      <text>
        <t xml:space="preserve">2x600mm cable for SATA and Peripheral</t>
      </text>
    </comment>
    <comment authorId="0" ref="Z89">
      <text>
        <t xml:space="preserve">2x600mm cable for SATA and Peripheral</t>
      </text>
    </comment>
    <comment authorId="0" ref="AB89">
      <text>
        <t xml:space="preserve">2x600mm cable for SATA and Peripheral</t>
      </text>
    </comment>
    <comment authorId="0" ref="Z90">
      <text>
        <t xml:space="preserve">2x450mm cable for SATA and Peripheral</t>
      </text>
    </comment>
    <comment authorId="0" ref="AB90">
      <text>
        <t xml:space="preserve">2x450mm cable for SATA and Peripheral</t>
      </text>
    </comment>
    <comment authorId="0" ref="Z91">
      <text>
        <t xml:space="preserve">2x600mm cable for SATA and Peripheral</t>
      </text>
    </comment>
    <comment authorId="0" ref="AB91">
      <text>
        <t xml:space="preserve">2x600mm cable for SATA and Peripheral</t>
      </text>
    </comment>
    <comment authorId="0" ref="Z92">
      <text>
        <t xml:space="preserve">1x450mm and 1x600mm cables for SATA and Peripheral</t>
      </text>
    </comment>
    <comment authorId="0" ref="AB92">
      <text>
        <t xml:space="preserve">1x450mm and 1x600mm cables for SATA and Peripheral</t>
      </text>
    </comment>
    <comment authorId="0" ref="C99">
      <text>
        <t xml:space="preserve">170x55x25mm</t>
      </text>
    </comment>
    <comment authorId="0" ref="C100">
      <text>
        <t xml:space="preserve">200x55x40mm</t>
      </text>
    </comment>
    <comment authorId="0" ref="S103">
      <text>
        <t xml:space="preserve">20-22AWG</t>
      </text>
    </comment>
    <comment authorId="0" ref="T103">
      <text>
        <t xml:space="preserve">18-20AWG</t>
      </text>
    </comment>
    <comment authorId="0" ref="V103">
      <text>
        <t xml:space="preserve">18-20AWG</t>
      </text>
    </comment>
    <comment authorId="0" ref="Z103">
      <text>
        <t xml:space="preserve">20AWG</t>
      </text>
    </comment>
    <comment authorId="0" ref="AB103">
      <text>
        <t xml:space="preserve">20AWG</t>
      </text>
    </comment>
    <comment authorId="0" ref="S104">
      <text>
        <t xml:space="preserve">18-22AWG</t>
      </text>
    </comment>
    <comment authorId="0" ref="T104">
      <text>
        <t xml:space="preserve">18-20AWG</t>
      </text>
    </comment>
    <comment authorId="0" ref="V104">
      <text>
        <t xml:space="preserve">18-20AWG</t>
      </text>
    </comment>
    <comment authorId="0" ref="Z104">
      <text>
        <t xml:space="preserve">2x600mm cable for SATA and Peripheral. 20AWG</t>
      </text>
    </comment>
    <comment authorId="0" ref="AB104">
      <text>
        <t xml:space="preserve">2x600mm cable for SATA and Peripheral. 20AWG</t>
      </text>
    </comment>
    <comment authorId="0" ref="S105">
      <text>
        <t xml:space="preserve">16-20AWG</t>
      </text>
    </comment>
    <comment authorId="0" ref="T105">
      <text>
        <t xml:space="preserve">18AWG</t>
      </text>
    </comment>
    <comment authorId="0" ref="V105">
      <text>
        <t xml:space="preserve">18AWG</t>
      </text>
    </comment>
    <comment authorId="0" ref="Z105">
      <text>
        <t xml:space="preserve">18AWG</t>
      </text>
    </comment>
    <comment authorId="0" ref="AB105">
      <text>
        <t xml:space="preserve">18AWG</t>
      </text>
    </comment>
    <comment authorId="0" ref="S106">
      <text>
        <t xml:space="preserve">16-20AWG</t>
      </text>
    </comment>
    <comment authorId="0" ref="T106">
      <text>
        <t xml:space="preserve">16AWG</t>
      </text>
    </comment>
    <comment authorId="0" ref="V106">
      <text>
        <t xml:space="preserve">18AWG</t>
      </text>
    </comment>
    <comment authorId="0" ref="Z106">
      <text>
        <t xml:space="preserve">18AWG</t>
      </text>
    </comment>
    <comment authorId="0" ref="AB106">
      <text>
        <t xml:space="preserve">18AWG</t>
      </text>
    </comment>
    <comment authorId="0" ref="AD107">
      <text>
        <t xml:space="preserve">Might be High Power</t>
      </text>
    </comment>
    <comment authorId="0" ref="AD108">
      <text>
        <t xml:space="preserve">Might be High Power</t>
      </text>
    </comment>
    <comment authorId="0" ref="Z111">
      <text>
        <t xml:space="preserve">2x500mm cable for SATA and Peripheral</t>
      </text>
    </comment>
    <comment authorId="0" ref="AB111">
      <text>
        <t xml:space="preserve">2x500mm cable for SATA and Peripheral</t>
      </text>
    </comment>
    <comment authorId="0" ref="S116">
      <text>
        <t xml:space="preserve">18-20AWG</t>
      </text>
    </comment>
    <comment authorId="0" ref="T116">
      <text>
        <t xml:space="preserve">18AWG</t>
      </text>
    </comment>
    <comment authorId="0" ref="V116">
      <text>
        <t xml:space="preserve">18AWG</t>
      </text>
    </comment>
    <comment authorId="0" ref="Z116">
      <text>
        <t xml:space="preserve">18AWG</t>
      </text>
    </comment>
    <comment authorId="0" ref="AB116">
      <text>
        <t xml:space="preserve">18AWG</t>
      </text>
    </comment>
    <comment authorId="0" ref="S117">
      <text>
        <t xml:space="preserve">18-20AWG</t>
      </text>
    </comment>
    <comment authorId="0" ref="T117">
      <text>
        <t xml:space="preserve">18AWG</t>
      </text>
    </comment>
    <comment authorId="0" ref="V117">
      <text>
        <t xml:space="preserve">18AWG</t>
      </text>
    </comment>
    <comment authorId="0" ref="Z117">
      <text>
        <t xml:space="preserve">18AWG</t>
      </text>
    </comment>
    <comment authorId="0" ref="AB117">
      <text>
        <t xml:space="preserve">18AWG</t>
      </text>
    </comment>
    <comment authorId="0" ref="AD118">
      <text>
        <t xml:space="preserve">Might be Helly</t>
      </text>
    </comment>
    <comment authorId="0" ref="AD119">
      <text>
        <t xml:space="preserve">Might be Helly</t>
      </text>
    </comment>
    <comment authorId="0" ref="S125">
      <text>
        <t xml:space="preserve">18AWG</t>
      </text>
    </comment>
    <comment authorId="0" ref="T125">
      <text>
        <t xml:space="preserve">18AWG</t>
      </text>
    </comment>
    <comment authorId="0" ref="V125">
      <text>
        <t xml:space="preserve">18AWG</t>
      </text>
    </comment>
    <comment authorId="0" ref="Z125">
      <text>
        <t xml:space="preserve">18AWG</t>
      </text>
    </comment>
    <comment authorId="0" ref="AB125">
      <text>
        <t xml:space="preserve">18AWG</t>
      </text>
    </comment>
    <comment authorId="0" ref="S126">
      <text>
        <t xml:space="preserve">18AWG</t>
      </text>
    </comment>
    <comment authorId="0" ref="T126">
      <text>
        <t xml:space="preserve">18AWG</t>
      </text>
    </comment>
    <comment authorId="0" ref="V126">
      <text>
        <t xml:space="preserve">18AWG</t>
      </text>
    </comment>
    <comment authorId="0" ref="Z126">
      <text>
        <t xml:space="preserve">18AWG</t>
      </text>
    </comment>
    <comment authorId="0" ref="AB126">
      <text>
        <t xml:space="preserve">18AWG</t>
      </text>
    </comment>
    <comment authorId="0" ref="S131">
      <text>
        <t xml:space="preserve">16-18AWG</t>
      </text>
    </comment>
    <comment authorId="0" ref="T131">
      <text>
        <t xml:space="preserve">16AWG</t>
      </text>
    </comment>
    <comment authorId="0" ref="V131">
      <text>
        <t xml:space="preserve">16-18AWG</t>
      </text>
    </comment>
    <comment authorId="0" ref="Z131">
      <text>
        <t xml:space="preserve">18AWG</t>
      </text>
    </comment>
    <comment authorId="0" ref="AB131">
      <text>
        <t xml:space="preserve">18AWG</t>
      </text>
    </comment>
    <comment authorId="0" ref="S134">
      <text>
        <t xml:space="preserve">18AWG</t>
      </text>
    </comment>
    <comment authorId="0" ref="T134">
      <text>
        <t xml:space="preserve">18AWG</t>
      </text>
    </comment>
    <comment authorId="0" ref="V134">
      <text>
        <t xml:space="preserve">18AWG</t>
      </text>
    </comment>
    <comment authorId="0" ref="X134">
      <text>
        <t xml:space="preserve">16-24AWG</t>
      </text>
    </comment>
    <comment authorId="0" ref="Z134">
      <text>
        <t xml:space="preserve">18AWG</t>
      </text>
    </comment>
    <comment authorId="0" ref="AB134">
      <text>
        <t xml:space="preserve">Adapter +155mm (18AWG)</t>
      </text>
    </comment>
    <comment authorId="0" ref="S135">
      <text>
        <t xml:space="preserve">18AWG</t>
      </text>
    </comment>
    <comment authorId="0" ref="T135">
      <text>
        <t xml:space="preserve">18AWG</t>
      </text>
    </comment>
    <comment authorId="0" ref="V135">
      <text>
        <t xml:space="preserve">18AWG</t>
      </text>
    </comment>
    <comment authorId="0" ref="X135">
      <text>
        <t xml:space="preserve">16-24AWG</t>
      </text>
    </comment>
    <comment authorId="0" ref="Z135">
      <text>
        <t xml:space="preserve">18AWG</t>
      </text>
    </comment>
    <comment authorId="0" ref="AB135">
      <text>
        <t xml:space="preserve">Adapter +155mm (18AWG)</t>
      </text>
    </comment>
    <comment authorId="0" ref="S136">
      <text>
        <t xml:space="preserve">18AWG</t>
      </text>
    </comment>
    <comment authorId="0" ref="T136">
      <text>
        <t xml:space="preserve">18AWG</t>
      </text>
    </comment>
    <comment authorId="0" ref="V136">
      <text>
        <t xml:space="preserve">18AWG</t>
      </text>
    </comment>
    <comment authorId="0" ref="X136">
      <text>
        <t xml:space="preserve">16-24AWG</t>
      </text>
    </comment>
    <comment authorId="0" ref="Z136">
      <text>
        <t xml:space="preserve">18AWG</t>
      </text>
    </comment>
    <comment authorId="0" ref="AB136">
      <text>
        <t xml:space="preserve">Adapter +155mm (18AWG)</t>
      </text>
    </comment>
    <comment authorId="0" ref="Z139">
      <text>
        <t xml:space="preserve">Each 750mm cable has 2 SATA and 1 Peripheral connector</t>
      </text>
    </comment>
    <comment authorId="0" ref="AB139">
      <text>
        <t xml:space="preserve">Each 750mm cable has 2 SATA and 1 Peripheral connector</t>
      </text>
    </comment>
    <comment authorId="0" ref="S142">
      <text>
        <t xml:space="preserve">16-18AWG</t>
      </text>
    </comment>
    <comment authorId="0" ref="T142">
      <text>
        <t xml:space="preserve">16AWG</t>
      </text>
    </comment>
    <comment authorId="0" ref="V142">
      <text>
        <t xml:space="preserve">16-18AWG</t>
      </text>
    </comment>
    <comment authorId="0" ref="X142">
      <text>
        <t xml:space="preserve">16-24AWG</t>
      </text>
    </comment>
    <comment authorId="0" ref="Z142">
      <text>
        <t xml:space="preserve">18AWG</t>
      </text>
    </comment>
    <comment authorId="0" ref="AB142">
      <text>
        <t xml:space="preserve">18-22AWG</t>
      </text>
    </comment>
    <comment authorId="0" ref="S143">
      <text>
        <t xml:space="preserve">16-18AWG</t>
      </text>
    </comment>
    <comment authorId="0" ref="T143">
      <text>
        <t xml:space="preserve">16AWG</t>
      </text>
    </comment>
    <comment authorId="0" ref="V143">
      <text>
        <t xml:space="preserve">16AWG</t>
      </text>
    </comment>
    <comment authorId="0" ref="X143">
      <text>
        <t xml:space="preserve">16-24AWG</t>
      </text>
    </comment>
    <comment authorId="0" ref="Z143">
      <text>
        <t xml:space="preserve">16AWG</t>
      </text>
    </comment>
    <comment authorId="0" ref="AB143">
      <text>
        <t xml:space="preserve">16-24AWG</t>
      </text>
    </comment>
    <comment authorId="0" ref="S146">
      <text>
        <t xml:space="preserve">18-22AWG</t>
      </text>
    </comment>
    <comment authorId="0" ref="T146">
      <text>
        <t xml:space="preserve">18AWG</t>
      </text>
    </comment>
    <comment authorId="0" ref="V146">
      <text>
        <t xml:space="preserve">18AWG</t>
      </text>
    </comment>
    <comment authorId="0" ref="Z146">
      <text>
        <t xml:space="preserve">18AWG</t>
      </text>
    </comment>
    <comment authorId="0" ref="AB146">
      <text>
        <t xml:space="preserve">18-22AWG</t>
      </text>
    </comment>
    <comment authorId="0" ref="S147">
      <text>
        <t xml:space="preserve">16-22AWG</t>
      </text>
    </comment>
    <comment authorId="0" ref="T147">
      <text>
        <t xml:space="preserve">16AWG</t>
      </text>
    </comment>
    <comment authorId="0" ref="V147">
      <text>
        <t xml:space="preserve">16-18AWG</t>
      </text>
    </comment>
    <comment authorId="0" ref="Z147">
      <text>
        <t xml:space="preserve">18AWG</t>
      </text>
    </comment>
    <comment authorId="0" ref="AB147">
      <text>
        <t xml:space="preserve">18AWG</t>
      </text>
    </comment>
    <comment authorId="0" ref="S152">
      <text>
        <t xml:space="preserve">18-20AWG</t>
      </text>
    </comment>
    <comment authorId="0" ref="T152">
      <text>
        <t xml:space="preserve">18-20AWG</t>
      </text>
    </comment>
    <comment authorId="0" ref="V152">
      <text>
        <t xml:space="preserve">18-20AWG</t>
      </text>
    </comment>
    <comment authorId="0" ref="Z152">
      <text>
        <t xml:space="preserve">20AWG</t>
      </text>
    </comment>
    <comment authorId="0" ref="AB152">
      <text>
        <t xml:space="preserve">20-22AWG</t>
      </text>
    </comment>
    <comment authorId="0" ref="S153">
      <text>
        <t xml:space="preserve">20-22AWG</t>
      </text>
    </comment>
    <comment authorId="0" ref="T153">
      <text>
        <t xml:space="preserve">20AWG</t>
      </text>
    </comment>
    <comment authorId="0" ref="V153">
      <text>
        <t xml:space="preserve">20AWG</t>
      </text>
    </comment>
    <comment authorId="0" ref="Z153">
      <text>
        <t xml:space="preserve">20AWG</t>
      </text>
    </comment>
    <comment authorId="0" ref="AB153">
      <text>
        <t xml:space="preserve">20-22AWG</t>
      </text>
    </comment>
    <comment authorId="0" ref="S155">
      <text>
        <t xml:space="preserve">16-22AWG</t>
      </text>
    </comment>
    <comment authorId="0" ref="T155">
      <text>
        <t xml:space="preserve">18AWG</t>
      </text>
    </comment>
    <comment authorId="0" ref="V155">
      <text>
        <t xml:space="preserve">18AWG</t>
      </text>
    </comment>
    <comment authorId="0" ref="Z155">
      <text>
        <t xml:space="preserve">18AWG</t>
      </text>
    </comment>
    <comment authorId="0" ref="AB155">
      <text>
        <t xml:space="preserve">18AWG</t>
      </text>
    </comment>
    <comment authorId="0" ref="S156">
      <text>
        <t xml:space="preserve">18AWG</t>
      </text>
    </comment>
    <comment authorId="0" ref="T156">
      <text>
        <t xml:space="preserve">18AWG</t>
      </text>
    </comment>
    <comment authorId="0" ref="V156">
      <text>
        <t xml:space="preserve">18AWG</t>
      </text>
    </comment>
    <comment authorId="0" ref="Z156">
      <text>
        <t xml:space="preserve">18AWG</t>
      </text>
    </comment>
    <comment authorId="0" ref="AB156">
      <text>
        <t xml:space="preserve">18AWG</t>
      </text>
    </comment>
    <comment authorId="0" ref="S157">
      <text>
        <t xml:space="preserve">20AWG</t>
      </text>
    </comment>
    <comment authorId="0" ref="T157">
      <text>
        <t xml:space="preserve">18AWG</t>
      </text>
    </comment>
    <comment authorId="0" ref="V157">
      <text>
        <t xml:space="preserve">18AWG</t>
      </text>
    </comment>
    <comment authorId="0" ref="Z157">
      <text>
        <t xml:space="preserve">20AWG</t>
      </text>
    </comment>
    <comment authorId="0" ref="AB157">
      <text>
        <t xml:space="preserve">20-22AWG</t>
      </text>
    </comment>
    <comment authorId="0" ref="S158">
      <text>
        <t xml:space="preserve">18AWG</t>
      </text>
    </comment>
    <comment authorId="0" ref="T158">
      <text>
        <t xml:space="preserve">18AWG</t>
      </text>
    </comment>
    <comment authorId="0" ref="V158">
      <text>
        <t xml:space="preserve">18AWG</t>
      </text>
    </comment>
    <comment authorId="0" ref="Z158">
      <text>
        <t xml:space="preserve">18AWG</t>
      </text>
    </comment>
    <comment authorId="0" ref="AB158">
      <text>
        <t xml:space="preserve">18AWG</t>
      </text>
    </comment>
    <comment authorId="0" ref="S159">
      <text>
        <t xml:space="preserve">16-22AWG</t>
      </text>
    </comment>
    <comment authorId="0" ref="T159">
      <text>
        <t xml:space="preserve">18AWG</t>
      </text>
    </comment>
    <comment authorId="0" ref="V159">
      <text>
        <t xml:space="preserve">18AWG</t>
      </text>
    </comment>
    <comment authorId="0" ref="Z159">
      <text>
        <t xml:space="preserve">18AWG</t>
      </text>
    </comment>
    <comment authorId="0" ref="AB159">
      <text>
        <t xml:space="preserve">18AWG</t>
      </text>
    </comment>
    <comment authorId="0" ref="S160">
      <text>
        <t xml:space="preserve">18-22AWG</t>
      </text>
    </comment>
    <comment authorId="0" ref="T160">
      <text>
        <t xml:space="preserve">16AWG</t>
      </text>
    </comment>
    <comment authorId="0" ref="V160">
      <text>
        <t xml:space="preserve">16-18AWG</t>
      </text>
    </comment>
    <comment authorId="0" ref="Z160">
      <text>
        <t xml:space="preserve">18AWG</t>
      </text>
    </comment>
    <comment authorId="0" ref="AB160">
      <text>
        <t xml:space="preserve">18AWG</t>
      </text>
    </comment>
    <comment authorId="0" ref="S161">
      <text>
        <t xml:space="preserve">18AWG</t>
      </text>
    </comment>
    <comment authorId="0" ref="T161">
      <text>
        <t xml:space="preserve">16AWG</t>
      </text>
    </comment>
    <comment authorId="0" ref="V161">
      <text>
        <t xml:space="preserve">16-18AWG</t>
      </text>
    </comment>
    <comment authorId="0" ref="Z161">
      <text>
        <t xml:space="preserve">18AWG</t>
      </text>
    </comment>
    <comment authorId="0" ref="AB161">
      <text>
        <t xml:space="preserve">18AWG</t>
      </text>
    </comment>
    <comment authorId="0" ref="S162">
      <text>
        <t xml:space="preserve">16-22AWG</t>
      </text>
    </comment>
    <comment authorId="0" ref="T162">
      <text>
        <t xml:space="preserve">16AWG</t>
      </text>
    </comment>
    <comment authorId="0" ref="V162">
      <text>
        <t xml:space="preserve">16-18AWG</t>
      </text>
    </comment>
    <comment authorId="0" ref="Z162">
      <text>
        <t xml:space="preserve">18AWG</t>
      </text>
    </comment>
    <comment authorId="0" ref="AB162">
      <text>
        <t xml:space="preserve">18AWG</t>
      </text>
    </comment>
    <comment authorId="0" ref="S164">
      <text>
        <t xml:space="preserve">16-22AWG</t>
      </text>
    </comment>
    <comment authorId="0" ref="T164">
      <text>
        <t xml:space="preserve">16AWG</t>
      </text>
    </comment>
    <comment authorId="0" ref="V164">
      <text>
        <t xml:space="preserve">16-18AWG</t>
      </text>
    </comment>
    <comment authorId="0" ref="Z164">
      <text>
        <t xml:space="preserve">18AWG</t>
      </text>
    </comment>
    <comment authorId="0" ref="AB164">
      <text>
        <t xml:space="preserve">18AWG</t>
      </text>
    </comment>
    <comment authorId="0" ref="S165">
      <text>
        <t xml:space="preserve">16-22AWG</t>
      </text>
    </comment>
    <comment authorId="0" ref="T165">
      <text>
        <t xml:space="preserve">16AWG</t>
      </text>
    </comment>
    <comment authorId="0" ref="V165">
      <text>
        <t xml:space="preserve">16-18AWG</t>
      </text>
    </comment>
    <comment authorId="0" ref="Z165">
      <text>
        <t xml:space="preserve">18AWG</t>
      </text>
    </comment>
    <comment authorId="0" ref="AB165">
      <text>
        <t xml:space="preserve">18AWG</t>
      </text>
    </comment>
    <comment authorId="0" ref="S166">
      <text>
        <t xml:space="preserve">16-22AWG</t>
      </text>
    </comment>
    <comment authorId="0" ref="T166">
      <text>
        <t xml:space="preserve">16AWG</t>
      </text>
    </comment>
    <comment authorId="0" ref="V166">
      <text>
        <t xml:space="preserve">16-18AWG</t>
      </text>
    </comment>
    <comment authorId="0" ref="Z166">
      <text>
        <t xml:space="preserve">18AWG</t>
      </text>
    </comment>
    <comment authorId="0" ref="AB166">
      <text>
        <t xml:space="preserve">18-22AWG</t>
      </text>
    </comment>
    <comment authorId="0" ref="S167">
      <text>
        <t xml:space="preserve">16-22AWG</t>
      </text>
    </comment>
    <comment authorId="0" ref="T167">
      <text>
        <t xml:space="preserve">16AWG</t>
      </text>
    </comment>
    <comment authorId="0" ref="V167">
      <text>
        <t xml:space="preserve">16-18AWG</t>
      </text>
    </comment>
    <comment authorId="0" ref="X167">
      <text>
        <t xml:space="preserve">16-24AWG</t>
      </text>
    </comment>
    <comment authorId="0" ref="Z167">
      <text>
        <t xml:space="preserve">18AWG</t>
      </text>
    </comment>
    <comment authorId="0" ref="AB167">
      <text>
        <t xml:space="preserve">18-22AWG</t>
      </text>
    </comment>
    <comment authorId="0" ref="S188">
      <text>
        <t xml:space="preserve">18-22AWG</t>
      </text>
    </comment>
    <comment authorId="0" ref="T188">
      <text>
        <t xml:space="preserve">18AWG</t>
      </text>
    </comment>
    <comment authorId="0" ref="V188">
      <text>
        <t xml:space="preserve">18AWG</t>
      </text>
    </comment>
    <comment authorId="0" ref="Z188">
      <text>
        <t xml:space="preserve">18AWG</t>
      </text>
    </comment>
    <comment authorId="0" ref="AB188">
      <text>
        <t xml:space="preserve">18-22AWG</t>
      </text>
    </comment>
    <comment authorId="0" ref="S190">
      <text>
        <t xml:space="preserve">16-18AWG</t>
      </text>
    </comment>
    <comment authorId="0" ref="T190">
      <text>
        <t xml:space="preserve">16AWG</t>
      </text>
    </comment>
    <comment authorId="0" ref="V190">
      <text>
        <t xml:space="preserve">16-18AWG</t>
      </text>
    </comment>
    <comment authorId="0" ref="X190">
      <text>
        <t xml:space="preserve">16-26AWG</t>
      </text>
    </comment>
    <comment authorId="0" ref="Z190">
      <text>
        <t xml:space="preserve">18AWG</t>
      </text>
    </comment>
    <comment authorId="0" ref="AB190">
      <text>
        <t xml:space="preserve">18AWG</t>
      </text>
    </comment>
    <comment authorId="0" ref="S192">
      <text>
        <t xml:space="preserve">16-18AWG</t>
      </text>
    </comment>
    <comment authorId="0" ref="T192">
      <text>
        <t xml:space="preserve">16AWG</t>
      </text>
    </comment>
    <comment authorId="0" ref="V192">
      <text>
        <t xml:space="preserve">16-18AWG</t>
      </text>
    </comment>
    <comment authorId="0" ref="X192">
      <text>
        <t xml:space="preserve">16-26AWG</t>
      </text>
    </comment>
    <comment authorId="0" ref="Z192">
      <text>
        <t xml:space="preserve">18AWG</t>
      </text>
    </comment>
    <comment authorId="0" ref="AB192">
      <text>
        <t xml:space="preserve">18AWG</t>
      </text>
    </comment>
    <comment authorId="0" ref="S194">
      <text>
        <t xml:space="preserve">16-18AWG</t>
      </text>
    </comment>
    <comment authorId="0" ref="T194">
      <text>
        <t xml:space="preserve">16AWG</t>
      </text>
    </comment>
    <comment authorId="0" ref="V194">
      <text>
        <t xml:space="preserve">16-18AWG</t>
      </text>
    </comment>
    <comment authorId="0" ref="X194">
      <text>
        <t xml:space="preserve">16-26AWG</t>
      </text>
    </comment>
    <comment authorId="0" ref="Z194">
      <text>
        <t xml:space="preserve">18AWG</t>
      </text>
    </comment>
    <comment authorId="0" ref="AB194">
      <text>
        <t xml:space="preserve">18AWG</t>
      </text>
    </comment>
  </commentList>
</comments>
</file>

<file path=xl/comments16.xml><?xml version="1.0" encoding="utf-8"?>
<comments xmlns:r="http://schemas.openxmlformats.org/officeDocument/2006/relationships" xmlns="http://schemas.openxmlformats.org/spreadsheetml/2006/main" xmlns:xr="http://schemas.microsoft.com/office/spreadsheetml/2014/revision">
  <authors>
    <author/>
  </authors>
  <commentList>
    <comment authorId="0" ref="R1">
      <text>
        <t xml:space="preserve">Both CPU and motherboard have to support overclock to be applicable</t>
      </text>
    </comment>
    <comment authorId="0" ref="Q29">
      <text>
        <t xml:space="preserve">PPT = 88W</t>
      </text>
    </comment>
    <comment authorId="0" ref="Q30">
      <text>
        <t xml:space="preserve">PPT = 88W</t>
      </text>
    </comment>
    <comment authorId="0" ref="Q32">
      <text>
        <t xml:space="preserve">PPT = 88W</t>
      </text>
    </comment>
    <comment authorId="0" ref="Q33">
      <text>
        <t xml:space="preserve">PPT = 88W</t>
      </text>
    </comment>
    <comment authorId="0" ref="Q34">
      <text>
        <t xml:space="preserve">PPT = 88W</t>
      </text>
    </comment>
    <comment authorId="0" ref="Q35">
      <text>
        <t xml:space="preserve">PPT = 88W</t>
      </text>
    </comment>
    <comment authorId="0" ref="Q37">
      <text>
        <t xml:space="preserve">PPT = 88W</t>
      </text>
    </comment>
    <comment authorId="0" ref="Q38">
      <text>
        <t xml:space="preserve">PPT = 88W</t>
      </text>
    </comment>
    <comment authorId="0" ref="Q39">
      <text>
        <t xml:space="preserve">PPT = 88W</t>
      </text>
    </comment>
    <comment authorId="0" ref="Q40">
      <text>
        <t xml:space="preserve">PPT = 88W</t>
      </text>
    </comment>
    <comment authorId="0" ref="Q41">
      <text>
        <t xml:space="preserve">PPT = 88W</t>
      </text>
    </comment>
    <comment authorId="0" ref="Q42">
      <text>
        <t xml:space="preserve">PPT = 88W</t>
      </text>
    </comment>
    <comment authorId="0" ref="Q43">
      <text>
        <t xml:space="preserve">PPT = 128W</t>
      </text>
    </comment>
    <comment authorId="0" ref="Q44">
      <text>
        <t xml:space="preserve">PPT = 128W</t>
      </text>
    </comment>
    <comment authorId="0" ref="Q45">
      <text>
        <t xml:space="preserve">PPT = 88W</t>
      </text>
    </comment>
    <comment authorId="0" ref="Q46">
      <text>
        <t xml:space="preserve">PPT = 88W</t>
      </text>
    </comment>
    <comment authorId="0" ref="Q47">
      <text>
        <t xml:space="preserve">PPT = 142W</t>
      </text>
    </comment>
    <comment authorId="0" ref="Q48">
      <text>
        <t xml:space="preserve">PPT = 142W</t>
      </text>
    </comment>
    <comment authorId="0" ref="Q49">
      <text>
        <t xml:space="preserve">PPT = 88W</t>
      </text>
    </comment>
    <comment authorId="0" ref="Q50">
      <text>
        <t xml:space="preserve">PPT = 142W</t>
      </text>
    </comment>
    <comment authorId="0" ref="Q51">
      <text>
        <t xml:space="preserve">PPT = 142W</t>
      </text>
    </comment>
    <comment authorId="0" ref="Q52">
      <text>
        <t xml:space="preserve">PPT = 142W</t>
      </text>
    </comment>
    <comment authorId="0" ref="Q71">
      <text>
        <t xml:space="preserve">PPT = 76W</t>
      </text>
    </comment>
    <comment authorId="0" ref="Q72">
      <text>
        <t xml:space="preserve">PPT = 76W</t>
      </text>
    </comment>
    <comment authorId="0" ref="Q73">
      <text>
        <t xml:space="preserve">PPT = 76W</t>
      </text>
    </comment>
    <comment authorId="0" ref="Q75">
      <text>
        <t xml:space="preserve">PPT = 88W</t>
      </text>
    </comment>
    <comment authorId="0" ref="Q76">
      <text>
        <t xml:space="preserve">PPT = 88W</t>
      </text>
    </comment>
    <comment authorId="0" ref="Q77">
      <text>
        <t xml:space="preserve">PPT = 76W</t>
      </text>
    </comment>
    <comment authorId="0" ref="Q78">
      <text>
        <t xml:space="preserve">PPT = 142W</t>
      </text>
    </comment>
    <comment authorId="0" ref="Q82">
      <text>
        <t xml:space="preserve">PPT = 88W</t>
      </text>
    </comment>
    <comment authorId="0" ref="Q83">
      <text>
        <t xml:space="preserve">PPT = 88W</t>
      </text>
    </comment>
    <comment authorId="0" ref="Q84">
      <text>
        <t xml:space="preserve">PPT = 76W</t>
      </text>
    </comment>
    <comment authorId="0" ref="Q85">
      <text>
        <t xml:space="preserve">PPT = 142W</t>
      </text>
    </comment>
    <comment authorId="0" ref="Q89">
      <text>
        <t xml:space="preserve">PPT = 142W</t>
      </text>
    </comment>
    <comment authorId="0" ref="Q90">
      <text>
        <t xml:space="preserve">PPT = 142W</t>
      </text>
    </comment>
    <comment authorId="0" ref="Q92">
      <text>
        <t xml:space="preserve">PPT = 142W</t>
      </text>
    </comment>
    <comment authorId="0" ref="Q93">
      <text>
        <t xml:space="preserve">PPT = 142W</t>
      </text>
    </comment>
    <comment authorId="0" ref="Q94">
      <text>
        <t xml:space="preserve">PPT = 88W</t>
      </text>
    </comment>
    <comment authorId="0" ref="Q95">
      <text>
        <t xml:space="preserve">PPT = 88W</t>
      </text>
    </comment>
    <comment authorId="0" ref="Q96">
      <text>
        <t xml:space="preserve">PPT = 142W</t>
      </text>
    </comment>
    <comment authorId="0" ref="Q97">
      <text>
        <t xml:space="preserve">PPT = 88W</t>
      </text>
    </comment>
    <comment authorId="0" ref="Q98">
      <text>
        <t xml:space="preserve">PPT = 88W</t>
      </text>
    </comment>
    <comment authorId="0" ref="Q99">
      <text>
        <t xml:space="preserve">PPT = 142W</t>
      </text>
    </comment>
    <comment authorId="0" ref="Q100">
      <text>
        <t xml:space="preserve">PPT = 88W</t>
      </text>
    </comment>
    <comment authorId="0" ref="Q101">
      <text>
        <t xml:space="preserve">PPT = 162W</t>
      </text>
    </comment>
    <comment authorId="0" ref="Q102">
      <text>
        <t xml:space="preserve">PPT = 88W</t>
      </text>
    </comment>
    <comment authorId="0" ref="Q103">
      <text>
        <t xml:space="preserve">PPT = 230W</t>
      </text>
    </comment>
    <comment authorId="0" ref="Q104">
      <text>
        <t xml:space="preserve">PPT = 162W</t>
      </text>
    </comment>
    <comment authorId="0" ref="Q105">
      <text>
        <t xml:space="preserve">PPT = 88W</t>
      </text>
    </comment>
    <comment authorId="0" ref="Q106">
      <text>
        <t xml:space="preserve">PPT = 230W</t>
      </text>
    </comment>
    <comment authorId="0" ref="Q107">
      <text>
        <t xml:space="preserve">PPT = 162W</t>
      </text>
    </comment>
    <comment authorId="0" ref="G108">
      <text>
        <t xml:space="preserve">3 Zen 4c + 1 Zen 4 Cores</t>
      </text>
    </comment>
    <comment authorId="0" ref="G110">
      <text>
        <t xml:space="preserve">4 Zen 4c + 2 Zen 4 Cores</t>
      </text>
    </comment>
    <comment authorId="0" ref="Q114">
      <text>
        <t xml:space="preserve">PPT = 88W</t>
      </text>
    </comment>
    <comment authorId="0" ref="Q115">
      <text>
        <t xml:space="preserve">PPT = 88W</t>
      </text>
    </comment>
    <comment authorId="0" ref="Q116">
      <text>
        <t xml:space="preserve">PPT = 162W</t>
      </text>
    </comment>
    <comment authorId="0" ref="Q117">
      <text>
        <t xml:space="preserve">PPT = 230W</t>
      </text>
    </comment>
    <comment authorId="0" ref="Q224">
      <text>
        <t xml:space="preserve">PL1 = 35W
PL2 = 42W
Tau = 28s</t>
      </text>
    </comment>
    <comment authorId="0" ref="Q225">
      <text>
        <t xml:space="preserve">PL1 = 58W
PL2 = 58W
Tau = 28s</t>
      </text>
    </comment>
    <comment authorId="0" ref="Q226">
      <text>
        <t xml:space="preserve">PL1 = 35W
PL2 = 42W
Tau = 28s</t>
      </text>
    </comment>
    <comment authorId="0" ref="Q227">
      <text>
        <t xml:space="preserve">PL1 = 58W
PL2 = 58W
Tau = 28s</t>
      </text>
    </comment>
    <comment authorId="0" ref="Q228">
      <text>
        <t xml:space="preserve">PL1 = 58W
PL2 = 58W
Tau = 28s</t>
      </text>
    </comment>
    <comment authorId="0" ref="Q229">
      <text>
        <t xml:space="preserve">PL1 = 58W
PL2 = 58W
Tau = 28s</t>
      </text>
    </comment>
    <comment authorId="0" ref="Q230">
      <text>
        <t xml:space="preserve">PL1 = 35W
PL2 = 42W
Tau = 28s</t>
      </text>
    </comment>
    <comment authorId="0" ref="Q231">
      <text>
        <t xml:space="preserve">PL1 = 58W
PL2 = 58W
Tau = 28s</t>
      </text>
    </comment>
    <comment authorId="0" ref="Q232">
      <text>
        <t xml:space="preserve">PL1 = 35W
PL2 = 42W
Tau = 28s</t>
      </text>
    </comment>
    <comment authorId="0" ref="Q233">
      <text>
        <t xml:space="preserve">PL1 = 65W
PL2 = 65W
Tau = 28s</t>
      </text>
    </comment>
    <comment authorId="0" ref="Q234">
      <text>
        <t xml:space="preserve">PL1 = 35W
PL2 = 42W
Tau = 28s</t>
      </text>
    </comment>
    <comment authorId="0" ref="Q235">
      <text>
        <t xml:space="preserve">PL1 = 58W
PL2 = 58W
Tau = 28s</t>
      </text>
    </comment>
    <comment authorId="0" ref="Q236">
      <text>
        <t xml:space="preserve">PL1 = 35W
PL2 = 42W
Tau = 28s</t>
      </text>
    </comment>
    <comment authorId="0" ref="Q237">
      <text>
        <t xml:space="preserve">PL1 = 65W
PL2 = 65W
Tau = 28s</t>
      </text>
    </comment>
    <comment authorId="0" ref="Q238">
      <text>
        <t xml:space="preserve">PL1 = 58W
PL2 = 58W
Tau = 28s</t>
      </text>
    </comment>
    <comment authorId="0" ref="Q239">
      <text>
        <t xml:space="preserve">PL1 = 65W
PL2 = 65W
Tau = 28s</t>
      </text>
    </comment>
    <comment authorId="0" ref="Q240">
      <text>
        <t xml:space="preserve">PL1 = 35W
PL2 = 55W
Tau = 28s</t>
      </text>
    </comment>
    <comment authorId="0" ref="Q241">
      <text>
        <t xml:space="preserve">PL1 = 65W
PL2 = 90W
Tau = 28s</t>
      </text>
    </comment>
    <comment authorId="0" ref="Q242">
      <text>
        <t xml:space="preserve">PL1 = 65W
PL2 = 90W
Tau = 28s</t>
      </text>
    </comment>
    <comment authorId="0" ref="Q243">
      <text>
        <t xml:space="preserve">PL1 = 35W
PL2 = 55W
Tau = 28s</t>
      </text>
    </comment>
    <comment authorId="0" ref="Q244">
      <text>
        <t xml:space="preserve">PL1 = 65W
PL2 = 90W
Tau = 28s</t>
      </text>
    </comment>
    <comment authorId="0" ref="Q245">
      <text>
        <t xml:space="preserve">PL1 = 65W
PL2 = 90W
Tau = 28s</t>
      </text>
    </comment>
    <comment authorId="0" ref="Q246">
      <text>
        <t xml:space="preserve">PL1 = 35W
PL2 = 55W
Tau = 28s</t>
      </text>
    </comment>
    <comment authorId="0" ref="Q247">
      <text>
        <t xml:space="preserve">PL1 = 65W
PL2 = 90W
Tau = 28s</t>
      </text>
    </comment>
    <comment authorId="0" ref="Q248">
      <text>
        <t xml:space="preserve">PL1 = 35W
PL2 = 55W
Tau = 28s</t>
      </text>
    </comment>
    <comment authorId="0" ref="Q249">
      <text>
        <t xml:space="preserve">PL1 = 65W
PL2 = 90W
Tau = 28s</t>
      </text>
    </comment>
    <comment authorId="0" ref="Q250">
      <text>
        <t xml:space="preserve">PL1 = 65W
PL2 = 90W
Tau = 28s</t>
      </text>
    </comment>
    <comment authorId="0" ref="Q251">
      <text>
        <t xml:space="preserve">PL1 = 65W
PL2 = 90W
Tau = 28s</t>
      </text>
    </comment>
    <comment authorId="0" ref="Q252">
      <text>
        <t xml:space="preserve">PL1 = 35W
PL2 = 92W
Tau = 28s</t>
      </text>
    </comment>
    <comment authorId="0" ref="Q253">
      <text>
        <t xml:space="preserve">PL1 = 65W
PL2 = 134W
Tau = 28s</t>
      </text>
    </comment>
    <comment authorId="0" ref="Q254">
      <text>
        <t xml:space="preserve">PL1 = 65W
PL2 = 134W
Tau = 28s</t>
      </text>
    </comment>
    <comment authorId="0" ref="Q255">
      <text>
        <t xml:space="preserve">PL1 = 35W
PL2 = 92W
Tau = 28s</t>
      </text>
    </comment>
    <comment authorId="0" ref="Q256">
      <text>
        <t xml:space="preserve">PL1 = 65W
PL2 = 134W
Tau = 28s</t>
      </text>
    </comment>
    <comment authorId="0" ref="Q257">
      <text>
        <t xml:space="preserve">PL1 = 65W
PL2 = 134W
Tau = 28s</t>
      </text>
    </comment>
    <comment authorId="0" ref="Q258">
      <text>
        <t xml:space="preserve">PL1 = 35W
PL2 = 92W
Tau = 28s</t>
      </text>
    </comment>
    <comment authorId="0" ref="Q259">
      <text>
        <t xml:space="preserve">PL1 = 65W
PL2 = 134W
Tau = 28s</t>
      </text>
    </comment>
    <comment authorId="0" ref="Q260">
      <text>
        <t xml:space="preserve">PL1 = 125W
PL2 = 182W
Tau = 56s</t>
      </text>
    </comment>
    <comment authorId="0" ref="Q261">
      <text>
        <t xml:space="preserve">PL1 = 125W
PL2 = 182W
Tau = 56s</t>
      </text>
    </comment>
    <comment authorId="0" ref="Q262">
      <text>
        <t xml:space="preserve">PL1 = 35W
PL2 = 123W
Tau = 28s</t>
      </text>
    </comment>
    <comment authorId="0" ref="Q263">
      <text>
        <t xml:space="preserve">PL1 = 65W
PL2 = 224W
Tau = 28s</t>
      </text>
    </comment>
    <comment authorId="0" ref="Q264">
      <text>
        <t xml:space="preserve">PL1 = 65W
PL2 = 224W
Tau = 28s</t>
      </text>
    </comment>
    <comment authorId="0" ref="Q265">
      <text>
        <t xml:space="preserve">PL1 = 125W
PL2 = 229W
Tau = 56s</t>
      </text>
    </comment>
    <comment authorId="0" ref="Q266">
      <text>
        <t xml:space="preserve">PL1 = 125W
PL2 = 229W
Tau = 56s</t>
      </text>
    </comment>
    <comment authorId="0" ref="Q267">
      <text>
        <t xml:space="preserve">PL1 = 125W
PL2 = 250W
Tau = 56s</t>
      </text>
    </comment>
    <comment authorId="0" ref="Q268">
      <text>
        <t xml:space="preserve">PL1 = 35W
PL2 = 123W
Tau = 28s</t>
      </text>
    </comment>
    <comment authorId="0" ref="Q269">
      <text>
        <t xml:space="preserve">PL1 = 65W
PL2 = 224W
Tau = 28s</t>
      </text>
    </comment>
    <comment authorId="0" ref="Q270">
      <text>
        <t xml:space="preserve">PL1 = 65W
PL2 = 224W
Tau = 28s</t>
      </text>
    </comment>
    <comment authorId="0" ref="Q271">
      <text>
        <t xml:space="preserve">PL1 = 125W
PL2 = 250W
Tau = 56s</t>
      </text>
    </comment>
    <comment authorId="0" ref="Q272">
      <text>
        <t xml:space="preserve">PL1 = 125W
PL2 = 250W
Tau = 56s</t>
      </text>
    </comment>
    <comment authorId="0" ref="Q273">
      <text>
        <t xml:space="preserve">PL1 = 35W
PL2 = 84W
Tau = 28s</t>
      </text>
    </comment>
    <comment authorId="0" ref="Q274">
      <text>
        <t xml:space="preserve">PL1 = 65W
PL2 = 154W
Tau = 28s</t>
      </text>
    </comment>
    <comment authorId="0" ref="Q275">
      <text>
        <t xml:space="preserve">PL1 = 65W
PL2 = 154W
Tau = 28s</t>
      </text>
    </comment>
    <comment authorId="0" ref="Q276">
      <text>
        <t xml:space="preserve">PL1 = 35W
PL2 = 84W
Tau = 28s</t>
      </text>
    </comment>
    <comment authorId="0" ref="Q277">
      <text>
        <t xml:space="preserve">PL1 = 65W
PL2 = 154W
Tau = 28s</t>
      </text>
    </comment>
    <comment authorId="0" ref="Q278">
      <text>
        <t xml:space="preserve">PL1 = 35W
PL2 = 84W
Tau = 28s</t>
      </text>
    </comment>
    <comment authorId="0" ref="Q279">
      <text>
        <t xml:space="preserve">PL1 = 65W
PL2 = 154W
Tau = 28s</t>
      </text>
    </comment>
    <comment authorId="0" ref="Q280">
      <text>
        <t xml:space="preserve">PL1 = 125W
PL2 = 251W
Tau = 56s</t>
      </text>
    </comment>
    <comment authorId="0" ref="Q281">
      <text>
        <t xml:space="preserve">PL1 = 125W
PL2 = 251W
Tau = 56s</t>
      </text>
    </comment>
    <comment authorId="0" ref="Q282">
      <text>
        <t xml:space="preserve">PL1 = 35W
PL2 = 115W
Tau = 28s</t>
      </text>
    </comment>
    <comment authorId="0" ref="Q283">
      <text>
        <t xml:space="preserve">PL1 = 65W
PL2 = 224W
Tau = 28s</t>
      </text>
    </comment>
    <comment authorId="0" ref="Q284">
      <text>
        <t xml:space="preserve">PL1 = 65W
PL2 = 224W
Tau = 28s</t>
      </text>
    </comment>
    <comment authorId="0" ref="Q285">
      <text>
        <t xml:space="preserve">PL1 = 125W
PL2 = 251W
Tau = 56s</t>
      </text>
    </comment>
    <comment authorId="0" ref="Q286">
      <text>
        <t xml:space="preserve">PL1 = 125W
PL2 = 251W
Tau = 56s</t>
      </text>
    </comment>
    <comment authorId="0" ref="Q287">
      <text>
        <t xml:space="preserve">PL1 = 35W
PL2 = 115W
Tau = 28s</t>
      </text>
    </comment>
    <comment authorId="0" ref="Q288">
      <text>
        <t xml:space="preserve">PL1 = 65W
PL2 = 224W
Tau = 28s</t>
      </text>
    </comment>
    <comment authorId="0" ref="Q289">
      <text>
        <t xml:space="preserve">PL1 = 65W
PL2 = 224W
Tau = 28s</t>
      </text>
    </comment>
    <comment authorId="0" ref="Q290">
      <text>
        <t xml:space="preserve">PL1 = 125W
PL2 = 251W
Tau = 56s</t>
      </text>
    </comment>
    <comment authorId="0" ref="Q291">
      <text>
        <t xml:space="preserve">PL1 = 125W
PL2 = 251W
Tau = 56s</t>
      </text>
    </comment>
    <comment authorId="0" ref="P292">
      <text>
        <t xml:space="preserve">3200 Mbps for DDR4
4800 Mbps for DDR5</t>
      </text>
    </comment>
    <comment authorId="0" ref="Q292">
      <text>
        <t xml:space="preserve">PL1 = 35W
PL2 = 35W
Tau = 28s</t>
      </text>
    </comment>
    <comment authorId="0" ref="P293">
      <text>
        <t xml:space="preserve">3200 Mbps for DDR4
4800 Mbps for DDR5</t>
      </text>
    </comment>
    <comment authorId="0" ref="Q293">
      <text>
        <t xml:space="preserve">PL1 = 46W
PL2 = 46W
Tau = 28s</t>
      </text>
    </comment>
    <comment authorId="0" ref="P294">
      <text>
        <t xml:space="preserve">3200 Mbps for DDR4
4800 Mbps for DDR5</t>
      </text>
    </comment>
    <comment authorId="0" ref="Q294">
      <text>
        <t xml:space="preserve">PL1 = 35W
PL2 = 35W
Tau = 28s</t>
      </text>
    </comment>
    <comment authorId="0" ref="P295">
      <text>
        <t xml:space="preserve">3200 Mbps for DDR4
4800 Mbps for DDR5</t>
      </text>
    </comment>
    <comment authorId="0" ref="Q295">
      <text>
        <t xml:space="preserve">PL1 = 46W
PL2 = 46W
Tau = 28s</t>
      </text>
    </comment>
    <comment authorId="0" ref="P296">
      <text>
        <t xml:space="preserve">3200 Mbps for DDR4
4800 Mbps for DDR5</t>
      </text>
    </comment>
    <comment authorId="0" ref="Q296">
      <text>
        <t xml:space="preserve">PL1 = 35W
PL2 = 69W
Tau = 28s</t>
      </text>
    </comment>
    <comment authorId="0" ref="P297">
      <text>
        <t xml:space="preserve">3200 Mbps for DDR4
4800 Mbps for DDR5</t>
      </text>
    </comment>
    <comment authorId="0" ref="Q297">
      <text>
        <t xml:space="preserve">PL1 = 58W
PL2 = 89W
Tau = 28s</t>
      </text>
    </comment>
    <comment authorId="0" ref="P298">
      <text>
        <t xml:space="preserve">3200 Mbps for DDR4
4800 Mbps for DDR5</t>
      </text>
    </comment>
    <comment authorId="0" ref="Q298">
      <text>
        <t xml:space="preserve">PL1 = 60W
PL2 = 89W
Tau = 28s</t>
      </text>
    </comment>
    <comment authorId="0" ref="P299">
      <text>
        <t xml:space="preserve">3200 Mbps for DDR4
4800 Mbps for DDR5</t>
      </text>
    </comment>
    <comment authorId="0" ref="Q299">
      <text>
        <t xml:space="preserve">PL1 = 35W
PL2 = 69W
Tau = 28s</t>
      </text>
    </comment>
    <comment authorId="0" ref="P300">
      <text>
        <t xml:space="preserve">3200 Mbps for DDR4
4800 Mbps for DDR5</t>
      </text>
    </comment>
    <comment authorId="0" ref="Q300">
      <text>
        <t xml:space="preserve">PL1 = 60W
PL2 = 89W
Tau = 28s</t>
      </text>
    </comment>
    <comment authorId="0" ref="P301">
      <text>
        <t xml:space="preserve">3200 Mbps for DDR4
4800 Mbps for DDR5</t>
      </text>
    </comment>
    <comment authorId="0" ref="Q301">
      <text>
        <t xml:space="preserve">PL1 = 35W
PL2 = 74W
Tau = 28s</t>
      </text>
    </comment>
    <comment authorId="0" ref="P302">
      <text>
        <t xml:space="preserve">3200 Mbps for DDR4
4800 Mbps for DDR5</t>
      </text>
    </comment>
    <comment authorId="0" ref="Q302">
      <text>
        <t xml:space="preserve">PL1 = 65W
PL2 = 117W
Tau = 28s</t>
      </text>
    </comment>
    <comment authorId="0" ref="P303">
      <text>
        <t xml:space="preserve">3200 Mbps for DDR4
4800 Mbps for DDR5</t>
      </text>
    </comment>
    <comment authorId="0" ref="Q303">
      <text>
        <t xml:space="preserve">PL1 = 65W
PL2 = 117W
Tau = 28s</t>
      </text>
    </comment>
    <comment authorId="0" ref="P304">
      <text>
        <t xml:space="preserve">3200 Mbps for DDR4
4800 Mbps for DDR5</t>
      </text>
    </comment>
    <comment authorId="0" ref="Q304">
      <text>
        <t xml:space="preserve">PL1 = 35W
PL2 = 74W
Tau = 28s</t>
      </text>
    </comment>
    <comment authorId="0" ref="P305">
      <text>
        <t xml:space="preserve">3200 Mbps for DDR4
4800 Mbps for DDR5</t>
      </text>
    </comment>
    <comment authorId="0" ref="Q305">
      <text>
        <t xml:space="preserve">PL1 = 65W
PL2 = 117W
Tau = 28s</t>
      </text>
    </comment>
    <comment authorId="0" ref="P306">
      <text>
        <t xml:space="preserve">3200 Mbps for DDR4
4800 Mbps for DDR5</t>
      </text>
    </comment>
    <comment authorId="0" ref="Q306">
      <text>
        <t xml:space="preserve">PL1 = 35W
PL2 = 74W
Tau = 28s</t>
      </text>
    </comment>
    <comment authorId="0" ref="P307">
      <text>
        <t xml:space="preserve">3200 Mbps for DDR4
4800 Mbps for DDR5</t>
      </text>
    </comment>
    <comment authorId="0" ref="Q307">
      <text>
        <t xml:space="preserve">PL1 = 65W
PL2 = 117W
Tau = 28s</t>
      </text>
    </comment>
    <comment authorId="0" ref="G308">
      <text>
        <t xml:space="preserve">6 P-Cores + 4 E-Cores</t>
      </text>
    </comment>
    <comment authorId="0" ref="I308">
      <text>
        <t xml:space="preserve">2.8 GHz for E-Cores
3.7 GHz for P-Cores</t>
      </text>
    </comment>
    <comment authorId="0" ref="J308">
      <text>
        <t xml:space="preserve">3.6 GHz for E-Cores
4.9 GHz for P-Cores</t>
      </text>
    </comment>
    <comment authorId="0" ref="P308">
      <text>
        <t xml:space="preserve">3200 Mbps for DDR4
4800 Mbps for DDR5</t>
      </text>
    </comment>
    <comment authorId="0" ref="Q308">
      <text>
        <t xml:space="preserve">PL1 = 125W
PL2 = 150W
Tau = 56s (no limit at stock)</t>
      </text>
    </comment>
    <comment authorId="0" ref="G309">
      <text>
        <t xml:space="preserve">6 P-Cores + 4 E-Cores</t>
      </text>
    </comment>
    <comment authorId="0" ref="I309">
      <text>
        <t xml:space="preserve">2.8 GHz for E-Cores
3.7 GHz for P-Cores</t>
      </text>
    </comment>
    <comment authorId="0" ref="J309">
      <text>
        <t xml:space="preserve">3.6 GHz for E-Cores
4.9 GHz for P-Cores</t>
      </text>
    </comment>
    <comment authorId="0" ref="P309">
      <text>
        <t xml:space="preserve">3200 Mbps for DDR4
4800 Mbps for DDR5</t>
      </text>
    </comment>
    <comment authorId="0" ref="Q309">
      <text>
        <t xml:space="preserve">PL1 = 125W
PL2 = 150W
Tau = 56s (no limit at stock)</t>
      </text>
    </comment>
    <comment authorId="0" ref="G310">
      <text>
        <t xml:space="preserve">8 P-Cores + 4 E-Cores</t>
      </text>
    </comment>
    <comment authorId="0" ref="I310">
      <text>
        <t xml:space="preserve">1.0 GHz for E-Cores
1.4 GHz for P-Cores</t>
      </text>
    </comment>
    <comment authorId="0" ref="J310">
      <text>
        <t xml:space="preserve">3.4 GHz for E-Cores
4.7 GHz for P-Cores</t>
      </text>
    </comment>
    <comment authorId="0" ref="P310">
      <text>
        <t xml:space="preserve">3200 Mbps for DDR4
4800 Mbps for DDR5</t>
      </text>
    </comment>
    <comment authorId="0" ref="Q310">
      <text>
        <t xml:space="preserve">PL1 = 35W
PL2 = 99W
Tau = 28s</t>
      </text>
    </comment>
    <comment authorId="0" ref="G311">
      <text>
        <t xml:space="preserve">8 P-Cores + 4 E-Cores</t>
      </text>
    </comment>
    <comment authorId="0" ref="I311">
      <text>
        <t xml:space="preserve">1.6 GHz for E-Cores
2.1 GHz for P-Cores</t>
      </text>
    </comment>
    <comment authorId="0" ref="J311">
      <text>
        <t xml:space="preserve">3.6 GHz for E-Cores
4.9 GHz for P-Cores</t>
      </text>
    </comment>
    <comment authorId="0" ref="P311">
      <text>
        <t xml:space="preserve">3200 Mbps for DDR4
4800 Mbps for DDR5</t>
      </text>
    </comment>
    <comment authorId="0" ref="Q311">
      <text>
        <t xml:space="preserve">PL1 = 65W
PL2 = 180W
Tau = 28s</t>
      </text>
    </comment>
    <comment authorId="0" ref="G312">
      <text>
        <t xml:space="preserve">8 P-Cores + 4 E-Cores</t>
      </text>
    </comment>
    <comment authorId="0" ref="I312">
      <text>
        <t xml:space="preserve">1.6 GHz for E-Cores
2.1 GHz for P-Cores</t>
      </text>
    </comment>
    <comment authorId="0" ref="J312">
      <text>
        <t xml:space="preserve">3.6 GHz for E-Cores
4.9 GHz for P-Cores</t>
      </text>
    </comment>
    <comment authorId="0" ref="P312">
      <text>
        <t xml:space="preserve">3200 Mbps for DDR4
4800 Mbps for DDR5</t>
      </text>
    </comment>
    <comment authorId="0" ref="Q312">
      <text>
        <t xml:space="preserve">PL1 = 65W
PL2 = 180W
Tau = 28s</t>
      </text>
    </comment>
    <comment authorId="0" ref="G313">
      <text>
        <t xml:space="preserve">8 P-Cores + 4 E-Cores</t>
      </text>
    </comment>
    <comment authorId="0" ref="I313">
      <text>
        <t xml:space="preserve">2.7 GHz for E-Cores
3.6 GHz for P-Cores</t>
      </text>
    </comment>
    <comment authorId="0" ref="J313">
      <text>
        <t xml:space="preserve">3.8 GHz for E-Cores
5.0 GHz for P-Cores</t>
      </text>
    </comment>
    <comment authorId="0" ref="P313">
      <text>
        <t xml:space="preserve">3200 Mbps for DDR4
4800 Mbps for DDR5</t>
      </text>
    </comment>
    <comment authorId="0" ref="Q313">
      <text>
        <t xml:space="preserve">PL1 = 125W
PL2 = 190W
Tau = 56s (no limit at stock)</t>
      </text>
    </comment>
    <comment authorId="0" ref="G314">
      <text>
        <t xml:space="preserve">8 P-Cores + 4 E-Cores</t>
      </text>
    </comment>
    <comment authorId="0" ref="I314">
      <text>
        <t xml:space="preserve">2.7 GHz for E-Cores
3.6 GHz for P-Cores</t>
      </text>
    </comment>
    <comment authorId="0" ref="J314">
      <text>
        <t xml:space="preserve">3.8 GHz for E-Cores
5.0 GHz for P-Cores</t>
      </text>
    </comment>
    <comment authorId="0" ref="P314">
      <text>
        <t xml:space="preserve">3200 Mbps for DDR4
4800 Mbps for DDR5</t>
      </text>
    </comment>
    <comment authorId="0" ref="Q314">
      <text>
        <t xml:space="preserve">PL1 = 125W
PL2 = 190W
Tau = 56s (no limit at stock)</t>
      </text>
    </comment>
    <comment authorId="0" ref="G315">
      <text>
        <t xml:space="preserve">8 P-Cores + 8 E-Cores</t>
      </text>
    </comment>
    <comment authorId="0" ref="I315">
      <text>
        <t xml:space="preserve">1.0 GHz for E-Cores
1.4 GHz for P-Cores</t>
      </text>
    </comment>
    <comment authorId="0" ref="J315">
      <text>
        <t xml:space="preserve">3.6 GHz for E-Cores
4.9 GHz for P-Cores</t>
      </text>
    </comment>
    <comment authorId="0" ref="P315">
      <text>
        <t xml:space="preserve">3200 Mbps for DDR4
4800 Mbps for DDR5</t>
      </text>
    </comment>
    <comment authorId="0" ref="Q315">
      <text>
        <t xml:space="preserve">PL1 = 35W
PL2 = 106W
Tau = 28s</t>
      </text>
    </comment>
    <comment authorId="0" ref="G316">
      <text>
        <t xml:space="preserve">8 P-Cores + 8 E-Cores</t>
      </text>
    </comment>
    <comment authorId="0" ref="I316">
      <text>
        <t xml:space="preserve">1.8 GHz for E-Cores
2.4 GHz for P-Cores</t>
      </text>
    </comment>
    <comment authorId="0" ref="J316">
      <text>
        <t xml:space="preserve">3.8 GHz for E-Cores
5.1 GHz for P-Cores</t>
      </text>
    </comment>
    <comment authorId="0" ref="P316">
      <text>
        <t xml:space="preserve">3200 Mbps for DDR4
4800 Mbps for DDR5</t>
      </text>
    </comment>
    <comment authorId="0" ref="Q316">
      <text>
        <t xml:space="preserve">PL1 = 65W
PL2 = 202W
Tau = 28s</t>
      </text>
    </comment>
    <comment authorId="0" ref="G317">
      <text>
        <t xml:space="preserve">8 P-Cores + 8 E-Cores</t>
      </text>
    </comment>
    <comment authorId="0" ref="I317">
      <text>
        <t xml:space="preserve">1.8 GHz for E-Cores
2.4 GHz for P-Cores</t>
      </text>
    </comment>
    <comment authorId="0" ref="J317">
      <text>
        <t xml:space="preserve">3.8 GHz for E-Cores
5.1 GHz for P-Cores</t>
      </text>
    </comment>
    <comment authorId="0" ref="P317">
      <text>
        <t xml:space="preserve">3200 Mbps for DDR4
4800 Mbps for DDR5</t>
      </text>
    </comment>
    <comment authorId="0" ref="Q317">
      <text>
        <t xml:space="preserve">PL1 = 65W
PL2 = 202W
Tau = 28s</t>
      </text>
    </comment>
    <comment authorId="0" ref="G318">
      <text>
        <t xml:space="preserve">8 P-Cores + 8 E-Cores</t>
      </text>
    </comment>
    <comment authorId="0" ref="I318">
      <text>
        <t xml:space="preserve">2.4 GHz for E-Cores
3.2 GHz for P-Cores</t>
      </text>
    </comment>
    <comment authorId="0" ref="J318">
      <text>
        <t xml:space="preserve">3.9 GHz for E-Cores
5.2 GHz for P-Cores</t>
      </text>
    </comment>
    <comment authorId="0" ref="P318">
      <text>
        <t xml:space="preserve">3200 Mbps for DDR4
4800 Mbps for DDR5</t>
      </text>
    </comment>
    <comment authorId="0" ref="Q318">
      <text>
        <t xml:space="preserve">PL1 = 125W
PL2 = 241W
Tau = 56s (no limit at stock)</t>
      </text>
    </comment>
    <comment authorId="0" ref="G319">
      <text>
        <t xml:space="preserve">8 P-Cores + 8 E-Cores</t>
      </text>
    </comment>
    <comment authorId="0" ref="I319">
      <text>
        <t xml:space="preserve">2.4 GHz for E-Cores
3.2 GHz for P-Cores</t>
      </text>
    </comment>
    <comment authorId="0" ref="J319">
      <text>
        <t xml:space="preserve">3.9 GHz for E-Cores
5.2 GHz for P-Cores</t>
      </text>
    </comment>
    <comment authorId="0" ref="P319">
      <text>
        <t xml:space="preserve">3200 Mbps for DDR4
4800 Mbps for DDR5</t>
      </text>
    </comment>
    <comment authorId="0" ref="Q319">
      <text>
        <t xml:space="preserve">PL1 = 125W
PL2 = 241W
Tau = 56s (no limit at stock)</t>
      </text>
    </comment>
    <comment authorId="0" ref="G320">
      <text>
        <t xml:space="preserve">8 P-Cores + 8 E-Cores</t>
      </text>
    </comment>
    <comment authorId="0" ref="I320">
      <text>
        <t xml:space="preserve">2.5 GHz for E-Cores
3.4 GHz for P-Cores</t>
      </text>
    </comment>
    <comment authorId="0" ref="J320">
      <text>
        <t xml:space="preserve">4.0 GHz for E-Cores
5.5 GHz for P-Cores</t>
      </text>
    </comment>
    <comment authorId="0" ref="P320">
      <text>
        <t xml:space="preserve">3200 Mbps for DDR4
4800 Mbps for DDR5</t>
      </text>
    </comment>
    <comment authorId="0" ref="Q320">
      <text>
        <t xml:space="preserve">PL1 = 150W
PL2 = 241W
Tau = 56s (no limit at stock)</t>
      </text>
    </comment>
    <comment authorId="0" ref="P321">
      <text>
        <t xml:space="preserve">3200 Mbps for DDR4
4800 Mbps for DDR5</t>
      </text>
    </comment>
    <comment authorId="0" ref="Q321">
      <text>
        <t xml:space="preserve">PL1 = 35W
PL2 = 69W
Tau = 28s</t>
      </text>
    </comment>
    <comment authorId="0" ref="P322">
      <text>
        <t xml:space="preserve">3200 Mbps for DDR4
4800 Mbps for DDR5</t>
      </text>
    </comment>
    <comment authorId="0" ref="Q322">
      <text>
        <t xml:space="preserve">PL1 = 58W
PL2 = 89W
Tau = 28s</t>
      </text>
    </comment>
    <comment authorId="0" ref="P323">
      <text>
        <t xml:space="preserve">3200 Mbps for DDR4
4800 Mbps for DDR5</t>
      </text>
    </comment>
    <comment authorId="0" ref="Q323">
      <text>
        <t xml:space="preserve">PL1 = 60W
PL2 = 89W
Tau = 28s</t>
      </text>
    </comment>
    <comment authorId="0" ref="G324">
      <text>
        <t xml:space="preserve">6 P-Cores + 4 E-Cores</t>
      </text>
    </comment>
    <comment authorId="0" ref="I324">
      <text>
        <t xml:space="preserve">1.0 GHz for E-Cores
1.3 GHz for P-Cores</t>
      </text>
    </comment>
    <comment authorId="0" ref="J324">
      <text>
        <t xml:space="preserve">3.0 GHz for E-Cores
4.4 GHz for P-Cores</t>
      </text>
    </comment>
    <comment authorId="0" ref="P324">
      <text>
        <t xml:space="preserve">3200 Mbps for DDR4
4800 Mbps for DDR5</t>
      </text>
    </comment>
    <comment authorId="0" ref="Q324">
      <text>
        <t xml:space="preserve">PL1 = 35W
PL2 = 82W
Tau = 28s</t>
      </text>
    </comment>
    <comment authorId="0" ref="G325">
      <text>
        <t xml:space="preserve">6 P-Cores + 4 E-Cores</t>
      </text>
    </comment>
    <comment authorId="0" ref="I325">
      <text>
        <t xml:space="preserve">1.8 GHz for E-Cores
2.5 GHz for P-Cores</t>
      </text>
    </comment>
    <comment authorId="0" ref="J325">
      <text>
        <t xml:space="preserve">3.3 GHz for E-Cores
4.6 GHz for P-Cores</t>
      </text>
    </comment>
    <comment authorId="0" ref="P325">
      <text>
        <t xml:space="preserve">3200 Mbps for DDR4
4800 Mbps for DDR5</t>
      </text>
    </comment>
    <comment authorId="0" ref="Q325">
      <text>
        <t xml:space="preserve">PL1 = 65W
PL2 = 148W
Tau = 28s</t>
      </text>
    </comment>
    <comment authorId="0" ref="G326">
      <text>
        <t xml:space="preserve">6 P-Cores + 4 E-Cores</t>
      </text>
    </comment>
    <comment authorId="0" ref="I326">
      <text>
        <t xml:space="preserve">1.8 GHz for E-Cores
2.5 GHz for P-Cores</t>
      </text>
    </comment>
    <comment authorId="0" ref="J326">
      <text>
        <t xml:space="preserve">3.3 GHz for E-Cores
4.6 GHz for P-Cores</t>
      </text>
    </comment>
    <comment authorId="0" ref="P326">
      <text>
        <t xml:space="preserve">3200 Mbps for DDR4
4800 Mbps for DDR5</t>
      </text>
    </comment>
    <comment authorId="0" ref="Q326">
      <text>
        <t xml:space="preserve">PL1 = 65W
PL2 = 154W
Tau = 28s</t>
      </text>
    </comment>
    <comment authorId="0" ref="G327">
      <text>
        <t xml:space="preserve">6 P-Cores + 8 E-Cores</t>
      </text>
    </comment>
    <comment authorId="0" ref="I327">
      <text>
        <t xml:space="preserve">1.2 GHz for E-Cores
1.6 GHz for P-Cores</t>
      </text>
    </comment>
    <comment authorId="0" ref="J327">
      <text>
        <t xml:space="preserve">3.2 GHz for E-Cores
4.6 GHz for P-Cores</t>
      </text>
    </comment>
    <comment authorId="0" ref="P327">
      <text>
        <t xml:space="preserve">3200 Mbps for DDR4
4800 Mbps for DDR5</t>
      </text>
    </comment>
    <comment authorId="0" ref="Q327">
      <text>
        <t xml:space="preserve">PL1 = 35W
PL2 = 92W
Tau = 28s</t>
      </text>
    </comment>
    <comment authorId="0" ref="G328">
      <text>
        <t xml:space="preserve">6 P-Cores + 8 E-Cores</t>
      </text>
    </comment>
    <comment authorId="0" ref="I328">
      <text>
        <t xml:space="preserve">1.8 GHz for E-Cores
2.5 GHz for P-Cores</t>
      </text>
    </comment>
    <comment authorId="0" ref="J328">
      <text>
        <t xml:space="preserve">3.5 GHz for E-Cores
4.8 GHz for P-Cores</t>
      </text>
    </comment>
    <comment authorId="0" ref="P328">
      <text>
        <t xml:space="preserve">3200 Mbps for DDR4
4800 Mbps for DDR5</t>
      </text>
    </comment>
    <comment authorId="0" ref="Q328">
      <text>
        <t xml:space="preserve">PL1 = 65W
PL2 = 154W
Tau = 28s</t>
      </text>
    </comment>
    <comment authorId="0" ref="G329">
      <text>
        <t xml:space="preserve">6 P-Cores + 8 E-Cores</t>
      </text>
    </comment>
    <comment authorId="0" ref="I329">
      <text>
        <t xml:space="preserve">1.3 GHz for E-Cores
1.8 GHz for P-Cores</t>
      </text>
    </comment>
    <comment authorId="0" ref="J329">
      <text>
        <t xml:space="preserve">3.4 GHz for E-Cores
4.8 GHz for P-Cores</t>
      </text>
    </comment>
    <comment authorId="0" ref="P329">
      <text>
        <t xml:space="preserve">3200 Mbps for DDR4
4800 Mbps for DDR5</t>
      </text>
    </comment>
    <comment authorId="0" ref="G330">
      <text>
        <t xml:space="preserve">6 P-Cores + 8 E-Cores</t>
      </text>
    </comment>
    <comment authorId="0" ref="I330">
      <text>
        <t xml:space="preserve">2.0 GHz for E-Cores
2.7 GHz for P-Cores</t>
      </text>
    </comment>
    <comment authorId="0" ref="J330">
      <text>
        <t xml:space="preserve">3.7 GHz for E-Cores
5.0 GHz for P-Cores</t>
      </text>
    </comment>
    <comment authorId="0" ref="P330">
      <text>
        <t xml:space="preserve">3200 Mbps for DDR4
4800 Mbps for DDR5</t>
      </text>
    </comment>
    <comment authorId="0" ref="Q330">
      <text>
        <t xml:space="preserve">PL1 = 65W
PL2 = 154W
Tau = 28s</t>
      </text>
    </comment>
    <comment authorId="0" ref="G331">
      <text>
        <t xml:space="preserve">6 P-Cores + 8 E-Cores</t>
      </text>
    </comment>
    <comment authorId="0" ref="I331">
      <text>
        <t xml:space="preserve">2.6 GHz for E-Cores
3.5 GHz for P-Cores</t>
      </text>
    </comment>
    <comment authorId="0" ref="J331">
      <text>
        <t xml:space="preserve">3.9 GHz for E-Cores
5.1 GHz for P-Cores</t>
      </text>
    </comment>
    <comment authorId="0" ref="P331">
      <text>
        <t xml:space="preserve">3200 Mbps for DDR4
5600 Mbps for DDR5</t>
      </text>
    </comment>
    <comment authorId="0" ref="Q331">
      <text>
        <t xml:space="preserve">PL1 = 125W
PL2 = 181W
Tau = 56s (no limit at stock)</t>
      </text>
    </comment>
    <comment authorId="0" ref="G332">
      <text>
        <t xml:space="preserve">6 P-Cores + 8 E-Cores</t>
      </text>
    </comment>
    <comment authorId="0" ref="I332">
      <text>
        <t xml:space="preserve">2.6 GHz for E-Cores
3.5 GHz for P-Cores</t>
      </text>
    </comment>
    <comment authorId="0" ref="J332">
      <text>
        <t xml:space="preserve">3.9 GHz for E-Cores
5.1 GHz for P-Cores</t>
      </text>
    </comment>
    <comment authorId="0" ref="P332">
      <text>
        <t xml:space="preserve">3200 Mbps for DDR4
5600 Mbps for DDR5</t>
      </text>
    </comment>
    <comment authorId="0" ref="Q332">
      <text>
        <t xml:space="preserve">PL1 = 125W
PL2 = 181W
Tau = 56s (no limit at stock)</t>
      </text>
    </comment>
    <comment authorId="0" ref="G333">
      <text>
        <t xml:space="preserve">8 P-Cores + 8 E-Cores</t>
      </text>
    </comment>
    <comment authorId="0" ref="I333">
      <text>
        <t xml:space="preserve">1.0 GHz for E-Cores
1.4 GHz for P-Cores</t>
      </text>
    </comment>
    <comment authorId="0" ref="J333">
      <text>
        <t xml:space="preserve">3.6 GHz for E-Cores
4.9 GHz for P-Cores</t>
      </text>
    </comment>
    <comment authorId="0" ref="P333">
      <text>
        <t xml:space="preserve">3200 Mbps for DDR4
5600 Mbps for DDR5</t>
      </text>
    </comment>
    <comment authorId="0" ref="Q333">
      <text>
        <t xml:space="preserve">PL1 = 35W
PL2 = 106W
Tau = 28s</t>
      </text>
    </comment>
    <comment authorId="0" ref="G334">
      <text>
        <t xml:space="preserve">8 P-Cores + 8 E-Cores</t>
      </text>
    </comment>
    <comment authorId="0" ref="I334">
      <text>
        <t xml:space="preserve">1.5 GHz for E-Cores
2.1 GHz for P-Cores</t>
      </text>
    </comment>
    <comment authorId="0" ref="J334">
      <text>
        <t xml:space="preserve">4.1 GHz for E-Cores
5.2 GHz for P-Cores</t>
      </text>
    </comment>
    <comment authorId="0" ref="P334">
      <text>
        <t xml:space="preserve">3200 Mbps for DDR4
5600 Mbps for DDR5</t>
      </text>
    </comment>
    <comment authorId="0" ref="Q334">
      <text>
        <t xml:space="preserve">PL1 = 65W
PL2 = 219W
Tau = 28s</t>
      </text>
    </comment>
    <comment authorId="0" ref="G335">
      <text>
        <t xml:space="preserve">8 P-Cores + 8 E-Cores</t>
      </text>
    </comment>
    <comment authorId="0" ref="I335">
      <text>
        <t xml:space="preserve">1.5 GHz for E-Cores
2.1 GHz for P-Cores</t>
      </text>
    </comment>
    <comment authorId="0" ref="J335">
      <text>
        <t xml:space="preserve">4.1 GHz for E-Cores
5.2 GHz for P-Cores</t>
      </text>
    </comment>
    <comment authorId="0" ref="P335">
      <text>
        <t xml:space="preserve">3200 Mbps for DDR4
5600 Mbps for DDR5</t>
      </text>
    </comment>
    <comment authorId="0" ref="Q335">
      <text>
        <t xml:space="preserve">PL1 = 65W
PL2 = 219W
Tau = 28s</t>
      </text>
    </comment>
    <comment authorId="0" ref="G336">
      <text>
        <t xml:space="preserve">8 P-Cores + 8 E-Cores</t>
      </text>
    </comment>
    <comment authorId="0" ref="I336">
      <text>
        <t xml:space="preserve">2.5 GHz for E-Cores
3.4 GHz for P-Cores</t>
      </text>
    </comment>
    <comment authorId="0" ref="J336">
      <text>
        <t xml:space="preserve">4.2 GHz for E-Cores
5.4 GHz for P-Cores</t>
      </text>
    </comment>
    <comment authorId="0" ref="P336">
      <text>
        <t xml:space="preserve">3200 Mbps for DDR4
5600 Mbps for DDR5</t>
      </text>
    </comment>
    <comment authorId="0" ref="Q336">
      <text>
        <t xml:space="preserve">PL1 = 125W
PL2 = 253W
Tau = 56s (no limit at stock)</t>
      </text>
    </comment>
    <comment authorId="0" ref="G337">
      <text>
        <t xml:space="preserve">8 P-Cores + 8 E-Cores</t>
      </text>
    </comment>
    <comment authorId="0" ref="I337">
      <text>
        <t xml:space="preserve">2.5 GHz for E-Cores
3.4 GHz for P-Cores</t>
      </text>
    </comment>
    <comment authorId="0" ref="J337">
      <text>
        <t xml:space="preserve">4.2 GHz for E-Cores
5.4 GHz for P-Cores</t>
      </text>
    </comment>
    <comment authorId="0" ref="P337">
      <text>
        <t xml:space="preserve">3200 Mbps for DDR4
5600 Mbps for DDR5</t>
      </text>
    </comment>
    <comment authorId="0" ref="Q337">
      <text>
        <t xml:space="preserve">PL1 = 125W
PL2 = 253W
Tau = 56s (no limit at stock)</t>
      </text>
    </comment>
    <comment authorId="0" ref="G338">
      <text>
        <t xml:space="preserve">8 P-Cores + 16 E-Cores</t>
      </text>
    </comment>
    <comment authorId="0" ref="I338">
      <text>
        <t xml:space="preserve">0.8 GHz for E-Cores
1.1 GHz for P-Cores</t>
      </text>
    </comment>
    <comment authorId="0" ref="J338">
      <text>
        <t xml:space="preserve">3.9 GHz for E-Cores
5.3 GHz for P-Cores</t>
      </text>
    </comment>
    <comment authorId="0" ref="P338">
      <text>
        <t xml:space="preserve">3200 Mbps for DDR4
5600 Mbps for DDR5</t>
      </text>
    </comment>
    <comment authorId="0" ref="Q338">
      <text>
        <t xml:space="preserve">PL1 = 35W
PL2 = 106W
Tau = 28s</t>
      </text>
    </comment>
    <comment authorId="0" ref="G339">
      <text>
        <t xml:space="preserve">8 P-Cores + 16 E-Cores</t>
      </text>
    </comment>
    <comment authorId="0" ref="I339">
      <text>
        <t xml:space="preserve">1.5 GHz for E-Cores
2.0 GHz for P-Cores</t>
      </text>
    </comment>
    <comment authorId="0" ref="J339">
      <text>
        <t xml:space="preserve">4.2 GHz for E-Cores
5.6 GHz for P-Cores</t>
      </text>
    </comment>
    <comment authorId="0" ref="P339">
      <text>
        <t xml:space="preserve">3200 Mbps for DDR4
5600 Mbps for DDR5</t>
      </text>
    </comment>
    <comment authorId="0" ref="Q339">
      <text>
        <t xml:space="preserve">PL1 = 65W
PL2 = 219W
Tau = 28s</t>
      </text>
    </comment>
    <comment authorId="0" ref="G340">
      <text>
        <t xml:space="preserve">8 P-Cores + 16 E-Cores</t>
      </text>
    </comment>
    <comment authorId="0" ref="I340">
      <text>
        <t xml:space="preserve">1.5 GHz for E-Cores
2.0 GHz for P-Cores</t>
      </text>
    </comment>
    <comment authorId="0" ref="J340">
      <text>
        <t xml:space="preserve">4.2 GHz for E-Cores
5.6 GHz for P-Cores</t>
      </text>
    </comment>
    <comment authorId="0" ref="P340">
      <text>
        <t xml:space="preserve">3200 Mbps for DDR4
5600 Mbps for DDR5</t>
      </text>
    </comment>
    <comment authorId="0" ref="Q340">
      <text>
        <t xml:space="preserve">PL1 = 65W
PL2 = 219W
Tau = 28s</t>
      </text>
    </comment>
    <comment authorId="0" ref="G341">
      <text>
        <t xml:space="preserve">8 P-Cores + 16 E-Cores</t>
      </text>
    </comment>
    <comment authorId="0" ref="I341">
      <text>
        <t xml:space="preserve">2.2 GHz for E-Cores
3.0 GHz for P-Cores</t>
      </text>
    </comment>
    <comment authorId="0" ref="J341">
      <text>
        <t xml:space="preserve">4.3 GHz for E-Cores
5.8 GHz for P-Cores</t>
      </text>
    </comment>
    <comment authorId="0" ref="P341">
      <text>
        <t xml:space="preserve">3200 Mbps for DDR4
5600 Mbps for DDR5</t>
      </text>
    </comment>
    <comment authorId="0" ref="Q341">
      <text>
        <t xml:space="preserve">PL1 = 125W
PL2 = 253W
Tau = 56s (no limit at stock)</t>
      </text>
    </comment>
    <comment authorId="0" ref="G342">
      <text>
        <t xml:space="preserve">8 P-Cores + 16 E-Cores</t>
      </text>
    </comment>
    <comment authorId="0" ref="I342">
      <text>
        <t xml:space="preserve">2.2 GHz for E-Cores
3.0 GHz for P-Cores</t>
      </text>
    </comment>
    <comment authorId="0" ref="J342">
      <text>
        <t xml:space="preserve">4.3 GHz for E-Cores
5.8 GHz for P-Cores</t>
      </text>
    </comment>
    <comment authorId="0" ref="P342">
      <text>
        <t xml:space="preserve">3200 Mbps for DDR4
5600 Mbps for DDR5</t>
      </text>
    </comment>
    <comment authorId="0" ref="Q342">
      <text>
        <t xml:space="preserve">PL1 = 125W
PL2 = 253W
Tau = 56s (no limit at stock)</t>
      </text>
    </comment>
    <comment authorId="0" ref="G343">
      <text>
        <t xml:space="preserve">8 P-Cores + 16 E-Cores</t>
      </text>
    </comment>
    <comment authorId="0" ref="I343">
      <text>
        <t xml:space="preserve">2.4 GHz for E-Cores
3.2 GHz for P-Cores</t>
      </text>
    </comment>
    <comment authorId="0" ref="J343">
      <text>
        <t xml:space="preserve">4.3 GHz for E-Cores
6.0 GHz for P-Cores</t>
      </text>
    </comment>
    <comment authorId="0" ref="P343">
      <text>
        <t xml:space="preserve">3200 Mbps for DDR4
5600 Mbps for DDR5</t>
      </text>
    </comment>
    <comment authorId="0" ref="Q343">
      <text>
        <t xml:space="preserve">PL1 = 150W
PL2 = 253W
Tau = 56s (no limit at stock)</t>
      </text>
    </comment>
    <comment authorId="0" ref="P344">
      <text>
        <t xml:space="preserve">3200 Mbps for DDR4
4800 Mbps for DDR5</t>
      </text>
    </comment>
    <comment authorId="0" ref="P345">
      <text>
        <t xml:space="preserve">3200 Mbps for DDR4
4800 Mbps for DDR5</t>
      </text>
    </comment>
    <comment authorId="0" ref="P346">
      <text>
        <t xml:space="preserve">3200 Mbps for DDR4
4800 Mbps for DDR5</t>
      </text>
    </comment>
    <comment authorId="0" ref="Q346">
      <text>
        <t xml:space="preserve">PL1 = 35W
PL2 = 69W
Tau = 28s</t>
      </text>
    </comment>
    <comment authorId="0" ref="P347">
      <text>
        <t xml:space="preserve">3200 Mbps for DDR4
4800 Mbps for DDR5</t>
      </text>
    </comment>
    <comment authorId="0" ref="Q347">
      <text>
        <t xml:space="preserve">PL1 =58W
PL2 = 110W
Tau = 28s</t>
      </text>
    </comment>
    <comment authorId="0" ref="P348">
      <text>
        <t xml:space="preserve">3200 Mbps for DDR4
4800 Mbps for DDR5</t>
      </text>
    </comment>
    <comment authorId="0" ref="Q348">
      <text>
        <t xml:space="preserve">PL1 = 60W
PL2 = 110W
Tau = 28s</t>
      </text>
    </comment>
    <comment authorId="0" ref="G349">
      <text>
        <t xml:space="preserve">6 P-Cores + 4 E-Cores</t>
      </text>
    </comment>
    <comment authorId="0" ref="I349">
      <text>
        <t xml:space="preserve">1.1 GHz for E-Cores
1.5 GHz for P-Cores</t>
      </text>
    </comment>
    <comment authorId="0" ref="J349">
      <text>
        <t xml:space="preserve">3.2 GHz for E-Cores
4.5 GHz for P-Cores</t>
      </text>
    </comment>
    <comment authorId="0" ref="P349">
      <text>
        <t xml:space="preserve">3200 Mbps for DDR4
4800 Mbps for DDR5</t>
      </text>
    </comment>
    <comment authorId="0" ref="Q349">
      <text>
        <t xml:space="preserve">PL1 = 35W
PL2 = 82W
Tau = 28s</t>
      </text>
    </comment>
    <comment authorId="0" ref="G350">
      <text>
        <t xml:space="preserve">6 P-Cores + 4 E-Cores</t>
      </text>
    </comment>
    <comment authorId="0" ref="I350">
      <text>
        <t xml:space="preserve">1.8 GHz for E-Cores
2.5 GHz for P-Cores</t>
      </text>
    </comment>
    <comment authorId="0" ref="J350">
      <text>
        <t xml:space="preserve">3.5 GHz for E-Cores
4.7 GHz for P-Cores</t>
      </text>
    </comment>
    <comment authorId="0" ref="P350">
      <text>
        <t xml:space="preserve">3200 Mbps for DDR4
4800 Mbps for DDR5</t>
      </text>
    </comment>
    <comment authorId="0" ref="Q350">
      <text>
        <t xml:space="preserve">PL1 = 65W
PL2 = 148W
Tau = 28s</t>
      </text>
    </comment>
    <comment authorId="0" ref="G351">
      <text>
        <t xml:space="preserve">6 P-Cores + 4 E-Cores</t>
      </text>
    </comment>
    <comment authorId="0" ref="I351">
      <text>
        <t xml:space="preserve">1.8 GHz for E-Cores
2.5 GHz for P-Cores</t>
      </text>
    </comment>
    <comment authorId="0" ref="J351">
      <text>
        <t xml:space="preserve">3.5 GHz for E-Cores
4.7 GHz for P-Cores</t>
      </text>
    </comment>
    <comment authorId="0" ref="P351">
      <text>
        <t xml:space="preserve">3200 Mbps for DDR4
4800 Mbps for DDR5</t>
      </text>
    </comment>
    <comment authorId="0" ref="Q351">
      <text>
        <t xml:space="preserve">PL1 = 65W
PL2 = 148W
Tau = 28s</t>
      </text>
    </comment>
    <comment authorId="0" ref="G352">
      <text>
        <t xml:space="preserve">6 P-Cores + 8 E-Cores</t>
      </text>
    </comment>
    <comment authorId="0" ref="I352">
      <text>
        <t xml:space="preserve">1.2 GHz for E-Cores
1.7 GHz for P-Cores</t>
      </text>
    </comment>
    <comment authorId="0" ref="J352">
      <text>
        <t xml:space="preserve">3.4 GHz for E-Cores
4.8 GHz for P-Cores</t>
      </text>
    </comment>
    <comment authorId="0" ref="P352">
      <text>
        <t xml:space="preserve">3200 Mbps for DDR4
4800 Mbps for DDR5</t>
      </text>
    </comment>
    <comment authorId="0" ref="Q352">
      <text>
        <t xml:space="preserve">PL1 = 35W
PL2 = 92W
Tau = 28s</t>
      </text>
    </comment>
    <comment authorId="0" ref="G353">
      <text>
        <t xml:space="preserve">6 P-Cores + 8 E-Cores</t>
      </text>
    </comment>
    <comment authorId="0" ref="I353">
      <text>
        <t xml:space="preserve">1.9 GHz for E-Cores
2.6 GHz for P-Cores</t>
      </text>
    </comment>
    <comment authorId="0" ref="J353">
      <text>
        <t xml:space="preserve">3.7 GHz for E-Cores
5.0 GHz for P-Cores</t>
      </text>
    </comment>
    <comment authorId="0" ref="P353">
      <text>
        <t xml:space="preserve">3200 Mbps for DDR4
4800 Mbps for DDR5</t>
      </text>
    </comment>
    <comment authorId="0" ref="Q353">
      <text>
        <t xml:space="preserve">PL1 = 65W
PL2 = 154W
Tau = 28s</t>
      </text>
    </comment>
    <comment authorId="0" ref="G354">
      <text>
        <t xml:space="preserve">6 P-Cores + 8 E-Cores</t>
      </text>
    </comment>
    <comment authorId="0" ref="I354">
      <text>
        <t xml:space="preserve">1.3 GHz for E-Cores
1.8 GHz for P-Cores</t>
      </text>
    </comment>
    <comment authorId="0" ref="J354">
      <text>
        <t xml:space="preserve">3.6 GHz for E-Cores
5.1 GHz for P-Cores</t>
      </text>
    </comment>
    <comment authorId="0" ref="P354">
      <text>
        <t xml:space="preserve">3200 Mbps for DDR4
5600 Mbps for DDR5</t>
      </text>
    </comment>
    <comment authorId="0" ref="Q354">
      <text>
        <t xml:space="preserve">PL1 = 35W
PL2 = 92W
Tau = 28s</t>
      </text>
    </comment>
    <comment authorId="0" ref="G355">
      <text>
        <t xml:space="preserve">6 P-Cores + 8 E-Cores</t>
      </text>
    </comment>
    <comment authorId="0" ref="I355">
      <text>
        <t xml:space="preserve">2.0 GHz for E-Cores
2.7 GHz for P-Cores</t>
      </text>
    </comment>
    <comment authorId="0" ref="J355">
      <text>
        <t xml:space="preserve">3.9 GHz for E-Cores
5.2 GHz for P-Cores</t>
      </text>
    </comment>
    <comment authorId="0" ref="P355">
      <text>
        <t xml:space="preserve">3200 Mbps for DDR4
5600 Mbps for DDR5</t>
      </text>
    </comment>
    <comment authorId="0" ref="Q355">
      <text>
        <t xml:space="preserve">PL1 = 65W
PL2 = 154W
Tau = 28s</t>
      </text>
    </comment>
    <comment authorId="0" ref="G356">
      <text>
        <t xml:space="preserve">6 P-Cores + 8 E-Cores</t>
      </text>
    </comment>
    <comment authorId="0" ref="I356">
      <text>
        <t xml:space="preserve">2.6 GHz for E-Cores
3.5 GHz for P-Cores</t>
      </text>
    </comment>
    <comment authorId="0" ref="J356">
      <text>
        <t xml:space="preserve">4.0 GHz for E-Cores
5.3 GHz for P-Cores</t>
      </text>
    </comment>
    <comment authorId="0" ref="P356">
      <text>
        <t xml:space="preserve">3200 Mbps for DDR4
5600 Mbps for DDR5</t>
      </text>
    </comment>
    <comment authorId="0" ref="Q356">
      <text>
        <t xml:space="preserve">PL1 = 125W
PL2 = 181W
Tau = 56s (no limit at stock)</t>
      </text>
    </comment>
    <comment authorId="0" ref="G357">
      <text>
        <t xml:space="preserve">6 P-Cores + 8 E-Cores</t>
      </text>
    </comment>
    <comment authorId="0" ref="I357">
      <text>
        <t xml:space="preserve">2.6 GHz for E-Cores
3.5 GHz for P-Cores</t>
      </text>
    </comment>
    <comment authorId="0" ref="J357">
      <text>
        <t xml:space="preserve">4.0 GHz for E-Cores
5.3 GHz for P-Cores</t>
      </text>
    </comment>
    <comment authorId="0" ref="P357">
      <text>
        <t xml:space="preserve">3200 Mbps for DDR4
5600 Mbps for DDR5</t>
      </text>
    </comment>
    <comment authorId="0" ref="Q357">
      <text>
        <t xml:space="preserve">PL1 = 125W
PL2 = 181W
Tau = 56s (no limit at stock)</t>
      </text>
    </comment>
    <comment authorId="0" ref="G358">
      <text>
        <t xml:space="preserve">8 P-Cores + 12 E-Cores</t>
      </text>
    </comment>
    <comment authorId="0" ref="I358">
      <text>
        <t xml:space="preserve">0.9 GHz for E-Cores
1.3 GHz for P-Cores</t>
      </text>
    </comment>
    <comment authorId="0" ref="J358">
      <text>
        <t xml:space="preserve">3.7 GHz for E-Cores
5.2 GHz for P-Cores</t>
      </text>
    </comment>
    <comment authorId="0" ref="P358">
      <text>
        <t xml:space="preserve">3200 Mbps for DDR4
5600 Mbps for DDR5</t>
      </text>
    </comment>
    <comment authorId="0" ref="Q358">
      <text>
        <t xml:space="preserve">PL1 = 35W
PL2 = 106W
Tau = 28s</t>
      </text>
    </comment>
    <comment authorId="0" ref="G359">
      <text>
        <t xml:space="preserve">8 P-Cores + 12 E-Cores</t>
      </text>
    </comment>
    <comment authorId="0" ref="I359">
      <text>
        <t xml:space="preserve">1.5 GHz for E-Cores
2.1 GHz for P-Cores</t>
      </text>
    </comment>
    <comment authorId="0" ref="J359">
      <text>
        <t xml:space="preserve">4.2 GHz for E-Cores
5.4 GHz for P-Cores</t>
      </text>
    </comment>
    <comment authorId="0" ref="P359">
      <text>
        <t xml:space="preserve">3200 Mbps for DDR4
5600 Mbps for DDR5</t>
      </text>
    </comment>
    <comment authorId="0" ref="Q359">
      <text>
        <t xml:space="preserve">PL1 = 65W
PL2 = 219W
Tau = 28s</t>
      </text>
    </comment>
    <comment authorId="0" ref="G360">
      <text>
        <t xml:space="preserve">8 P-Cores + 12 E-Cores</t>
      </text>
    </comment>
    <comment authorId="0" ref="I360">
      <text>
        <t xml:space="preserve">1.5 GHz for E-Cores
2.1 GHz for P-Cores</t>
      </text>
    </comment>
    <comment authorId="0" ref="J360">
      <text>
        <t xml:space="preserve">4.2 GHz for E-Cores
5.4 GHz for P-Cores</t>
      </text>
    </comment>
    <comment authorId="0" ref="P360">
      <text>
        <t xml:space="preserve">3200 Mbps for DDR4
5600 Mbps for DDR5</t>
      </text>
    </comment>
    <comment authorId="0" ref="Q360">
      <text>
        <t xml:space="preserve">PL1 = 65W
PL2 = 219W
Tau = 28s</t>
      </text>
    </comment>
    <comment authorId="0" ref="G361">
      <text>
        <t xml:space="preserve">8 P-Cores + 12 E-Cores</t>
      </text>
    </comment>
    <comment authorId="0" ref="I361">
      <text>
        <t xml:space="preserve">2.5 GHz for E-Cores
3.4 GHz for P-Cores</t>
      </text>
    </comment>
    <comment authorId="0" ref="J361">
      <text>
        <t xml:space="preserve">4.3 GHz for E-Cores
5.6 GHz for P-Cores</t>
      </text>
    </comment>
    <comment authorId="0" ref="P361">
      <text>
        <t xml:space="preserve">3200 Mbps for DDR4
5600 Mbps for DDR5</t>
      </text>
    </comment>
    <comment authorId="0" ref="Q361">
      <text>
        <t xml:space="preserve">PL1 = 125W
PL2 = 253W
Tau = 56s (no limit at stock)</t>
      </text>
    </comment>
    <comment authorId="0" ref="G362">
      <text>
        <t xml:space="preserve">8 P-Cores + 12 E-Cores</t>
      </text>
    </comment>
    <comment authorId="0" ref="I362">
      <text>
        <t xml:space="preserve">2.5 GHz for E-Cores
3.4 GHz for P-Cores</t>
      </text>
    </comment>
    <comment authorId="0" ref="J362">
      <text>
        <t xml:space="preserve">4.3 GHz for E-Cores
5.6 GHz for P-Cores</t>
      </text>
    </comment>
    <comment authorId="0" ref="P362">
      <text>
        <t xml:space="preserve">3200 Mbps for DDR4
5600 Mbps for DDR5</t>
      </text>
    </comment>
    <comment authorId="0" ref="Q362">
      <text>
        <t xml:space="preserve">PL1 = 125W
PL2 = 253W
Tau = 56s (no limit at stock)</t>
      </text>
    </comment>
    <comment authorId="0" ref="G363">
      <text>
        <t xml:space="preserve">8 P-Cores + 16 E-Cores</t>
      </text>
    </comment>
    <comment authorId="0" ref="I363">
      <text>
        <t xml:space="preserve">0.8 GHz for E-Cores
1.1 GHz for P-Cores</t>
      </text>
    </comment>
    <comment authorId="0" ref="J363">
      <text>
        <t xml:space="preserve">4.0 GHz for E-Cores
5.5 GHz for P-Cores</t>
      </text>
    </comment>
    <comment authorId="0" ref="P363">
      <text>
        <t xml:space="preserve">3200 Mbps for DDR4
5600 Mbps for DDR5</t>
      </text>
    </comment>
    <comment authorId="0" ref="Q363">
      <text>
        <t xml:space="preserve">PL1 = 35W
PL2 = 106W
Tau = 28s</t>
      </text>
    </comment>
    <comment authorId="0" ref="G364">
      <text>
        <t xml:space="preserve">8 P-Cores + 16 E-Cores</t>
      </text>
    </comment>
    <comment authorId="0" ref="I364">
      <text>
        <t xml:space="preserve">1.5 GHz for E-Cores
2.0 GHz for P-Cores</t>
      </text>
    </comment>
    <comment authorId="0" ref="J364">
      <text>
        <t xml:space="preserve">4.3 GHz for E-Cores
5.8 GHz for P-Cores</t>
      </text>
    </comment>
    <comment authorId="0" ref="P364">
      <text>
        <t xml:space="preserve">3200 Mbps for DDR4
5600 Mbps for DDR5</t>
      </text>
    </comment>
    <comment authorId="0" ref="Q364">
      <text>
        <t xml:space="preserve">PL1 = 65W
PL2 = 219W
Tau = 28s</t>
      </text>
    </comment>
    <comment authorId="0" ref="G365">
      <text>
        <t xml:space="preserve">8 P-Cores + 16 E-Cores</t>
      </text>
    </comment>
    <comment authorId="0" ref="I365">
      <text>
        <t xml:space="preserve">1.5 GHz for E-Cores
2.0 GHz for P-Cores</t>
      </text>
    </comment>
    <comment authorId="0" ref="J365">
      <text>
        <t xml:space="preserve">4.3 GHz for E-Cores
5.8 GHz for P-Cores</t>
      </text>
    </comment>
    <comment authorId="0" ref="P365">
      <text>
        <t xml:space="preserve">3200 Mbps for DDR4
5600 Mbps for DDR5</t>
      </text>
    </comment>
    <comment authorId="0" ref="Q365">
      <text>
        <t xml:space="preserve">PL1 = 65W
PL2 = 219W
Tau = 28s</t>
      </text>
    </comment>
    <comment authorId="0" ref="G366">
      <text>
        <t xml:space="preserve">8 P-Cores + 16 E-Cores</t>
      </text>
    </comment>
    <comment authorId="0" ref="I366">
      <text>
        <t xml:space="preserve">2.4 GHz for E-Cores
3.2 GHz for P-Cores</t>
      </text>
    </comment>
    <comment authorId="0" ref="J366">
      <text>
        <t xml:space="preserve">4.4 GHz for E-Cores
6.0 GHz for P-Cores</t>
      </text>
    </comment>
    <comment authorId="0" ref="P366">
      <text>
        <t xml:space="preserve">3200 Mbps for DDR4
5600 Mbps for DDR5</t>
      </text>
    </comment>
    <comment authorId="0" ref="Q366">
      <text>
        <t xml:space="preserve">PL1 = 125W
PL2 = 253W
Tau = 56s (no limit at stock)</t>
      </text>
    </comment>
    <comment authorId="0" ref="G367">
      <text>
        <t xml:space="preserve">8 P-Cores + 16 E-Cores</t>
      </text>
    </comment>
    <comment authorId="0" ref="I367">
      <text>
        <t xml:space="preserve">2.4 GHz for E-Cores
3.2 GHz for P-Cores</t>
      </text>
    </comment>
    <comment authorId="0" ref="J367">
      <text>
        <t xml:space="preserve">4.4 GHz for E-Cores
6.0 GHz for P-Cores</t>
      </text>
    </comment>
    <comment authorId="0" ref="P367">
      <text>
        <t xml:space="preserve">3200 Mbps for DDR4
5600 Mbps for DDR5</t>
      </text>
    </comment>
    <comment authorId="0" ref="Q367">
      <text>
        <t xml:space="preserve">PL1 = 125W
PL2 = 253W
Tau = 56s (no limit at stock)</t>
      </text>
    </comment>
    <comment authorId="0" ref="G368">
      <text>
        <t xml:space="preserve">8 P-Cores + 16 E-Cores</t>
      </text>
    </comment>
    <comment authorId="0" ref="I368">
      <text>
        <t xml:space="preserve">2.4 GHz for E-Cores
3.2 GHz for P-Cores</t>
      </text>
    </comment>
    <comment authorId="0" ref="J368">
      <text>
        <t xml:space="preserve">4.5 GHz for E-Cores
6.2 GHz for P-Cores</t>
      </text>
    </comment>
    <comment authorId="0" ref="P368">
      <text>
        <t xml:space="preserve">3200 Mbps for DDR4
5600 Mbps for DDR5</t>
      </text>
    </comment>
    <comment authorId="0" ref="Q368">
      <text>
        <t xml:space="preserve">PL1 = 150W
PL2 = 253W
Tau = 56s (no limit at stock)</t>
      </text>
    </comment>
  </commentList>
</comments>
</file>

<file path=xl/comments17.xml><?xml version="1.0" encoding="utf-8"?>
<comments xmlns:r="http://schemas.openxmlformats.org/officeDocument/2006/relationships" xmlns="http://schemas.openxmlformats.org/spreadsheetml/2006/main" xmlns:xr="http://schemas.microsoft.com/office/spreadsheetml/2014/revision">
  <authors>
    <author/>
  </authors>
  <commentList>
    <comment authorId="0" ref="Q13">
      <text>
        <t xml:space="preserve">2 chipsets with 7W each</t>
      </text>
    </comment>
    <comment authorId="0" ref="Q14">
      <text>
        <t xml:space="preserve">2 chipsets with 7W each</t>
      </text>
    </comment>
    <comment authorId="0" ref="Q16">
      <text>
        <t xml:space="preserve">2 chipsets with 7W each</t>
      </text>
    </comment>
    <comment authorId="0" ref="G36">
      <text>
        <t xml:space="preserve">Full DMI3 x8 link requires Rocket Lake-S CPUs (11th Gen). Comet Lake-S (10th Gen) will only get 32 GT/s.</t>
      </text>
    </comment>
    <comment authorId="0" ref="G37">
      <text>
        <t xml:space="preserve">Full DMI3 x8 link requires Rocket Lake-S CPUs (11th Gen). Comet Lake-S (10th Gen) will only get 32 GT/s.</t>
      </text>
    </comment>
  </commentList>
</comments>
</file>

<file path=xl/comments18.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Console = Light Yellow
Pre-Built = Cyan</t>
      </text>
    </comment>
    <comment authorId="0" ref="G1">
      <text>
        <t xml:space="preserve">All consoles in horizontal orientation if adjustable</t>
      </text>
    </comment>
  </commentList>
</comments>
</file>

<file path=xl/sharedStrings.xml><?xml version="1.0" encoding="utf-8"?>
<sst xmlns="http://schemas.openxmlformats.org/spreadsheetml/2006/main" count="111857" uniqueCount="6730">
  <si>
    <t>SFF PC Master List</t>
  </si>
  <si>
    <t>Made by u/prayogahs with contribution from u/ermac-318</t>
  </si>
  <si>
    <t>Sheets</t>
  </si>
  <si>
    <t>Description</t>
  </si>
  <si>
    <t>Currency</t>
  </si>
  <si>
    <t>Value</t>
  </si>
  <si>
    <t>SFF Case &lt;10L</t>
  </si>
  <si>
    <t>List of Cases smaller than 10L Volume</t>
  </si>
  <si>
    <t>CNY/USD</t>
  </si>
  <si>
    <t>SFF Case 10L-20L</t>
  </si>
  <si>
    <t>List of Cases between 10L and 20L Volume</t>
  </si>
  <si>
    <t>CNY/GBP</t>
  </si>
  <si>
    <t>MFF Case &gt;20L</t>
  </si>
  <si>
    <t>List of Cases larger than 20L Volume</t>
  </si>
  <si>
    <t>CNY/EUR</t>
  </si>
  <si>
    <t>Taobao Agents</t>
  </si>
  <si>
    <t>List of Taobao / Tmall / JD English Agents</t>
  </si>
  <si>
    <t>CPU Cooler &lt;70mm</t>
  </si>
  <si>
    <t>List of Low profile CPU coolers up to 70mm height</t>
  </si>
  <si>
    <t>CPU Cooler &gt;70mm</t>
  </si>
  <si>
    <t>List of recommended CPU coolers above 70mm height</t>
  </si>
  <si>
    <t>AIO</t>
  </si>
  <si>
    <t>List of All-in-one radiators</t>
  </si>
  <si>
    <t>Slim Fan</t>
  </si>
  <si>
    <t>List of Fans less than 25mm height or thickness</t>
  </si>
  <si>
    <t>Fans</t>
  </si>
  <si>
    <t>List of 92mm, 120mm and 140mm Fans</t>
  </si>
  <si>
    <t>RAM Height</t>
  </si>
  <si>
    <t>List of RAM models with heights. Useful for CPU coolers with limited RAM clearance</t>
  </si>
  <si>
    <t>PCIe Riser</t>
  </si>
  <si>
    <t>List of PCIe Risers</t>
  </si>
  <si>
    <t>SFF GPU &lt;215mm</t>
  </si>
  <si>
    <t>List of GPU that are less than 215mm length</t>
  </si>
  <si>
    <t>GPU &gt;215mm</t>
  </si>
  <si>
    <t>List of GPU that are more than 215mm length</t>
  </si>
  <si>
    <t>GPU Spec</t>
  </si>
  <si>
    <t>List of GPU specifications from AMD, Intel and Nvidia</t>
  </si>
  <si>
    <t>mITX Boards</t>
  </si>
  <si>
    <t>List of Mini ITX boards for AMD and Intel CPUs</t>
  </si>
  <si>
    <t xml:space="preserve">                                                                                                                                                                                                                                                                                                                                                                                                                                                                                                                                                                                                                                                                                                                                                                                                                                                                                                                                                                                                                                                                                                                                                                                                                                                                                                                                                                                                                                                                                                                                                                                                                                                                                                                                                                                                                                                                                                                                                                                                                                                                                                                                                                                                                                                                                                                                                                            </t>
  </si>
  <si>
    <t>mDTX &amp; mATX Boards</t>
  </si>
  <si>
    <t>List of Mini DTX and Micro ATX boards for AMD and Intel CPUs</t>
  </si>
  <si>
    <t>PSU</t>
  </si>
  <si>
    <t>List of Power Supply Units in Flex ATX, SFX and SFX-L form factors</t>
  </si>
  <si>
    <t>CPU</t>
  </si>
  <si>
    <t>List of AMD AM4/AM5 and Intel 1151/1200/1700 CPUs</t>
  </si>
  <si>
    <t>Chipset</t>
  </si>
  <si>
    <t>List of AMD AM4/AM5 and Intel 1151/1200/1700 Chipsets</t>
  </si>
  <si>
    <t>Console &amp; Pre-Built</t>
  </si>
  <si>
    <t>List of consoles and pre-builts with dimensions for reference</t>
  </si>
  <si>
    <t>Each Sheet has pre-defined Filters (not available on mobile). How to find them:</t>
  </si>
  <si>
    <t>1. Go to Data</t>
  </si>
  <si>
    <t>2. Select Filter views</t>
  </si>
  <si>
    <t>3. Select a pre-defined filter</t>
  </si>
  <si>
    <t>To create a custom filter. Select "Create a new temporary filter view" under Filter views and customise it</t>
  </si>
  <si>
    <t>Feel free to add comments for suggestions for new components/cases or mistakes in the spreadsheet</t>
  </si>
  <si>
    <t>Other links, spreadsheets and websites (credit to the owners of these links, sheets and websites):</t>
  </si>
  <si>
    <t>Comparesffpc.com</t>
  </si>
  <si>
    <t>Compare SFF Cases based from this list in 3D</t>
  </si>
  <si>
    <t>SFF PC Wiki</t>
  </si>
  <si>
    <t>Official r/sffpc Wiki</t>
  </si>
  <si>
    <t>r/sffpc Reddit</t>
  </si>
  <si>
    <t>Official SFFPC Subreddit</t>
  </si>
  <si>
    <t>SFF.Network</t>
  </si>
  <si>
    <t>Dedicated website and forum for SFFPC</t>
  </si>
  <si>
    <t>Caseend.com</t>
  </si>
  <si>
    <t>Website of ITX cases with pictures for easy viewing</t>
  </si>
  <si>
    <t>Pcpartpicker.com</t>
  </si>
  <si>
    <t>Recommended website to build your parts list</t>
  </si>
  <si>
    <t>PSU Tier List</t>
  </si>
  <si>
    <t>PSU Tier List by Cultists.Network</t>
  </si>
  <si>
    <t>Cybenetics.com</t>
  </si>
  <si>
    <t>Cybenetics website</t>
  </si>
  <si>
    <t>Hardware Busters.com</t>
  </si>
  <si>
    <t>Hardware Busters website</t>
  </si>
  <si>
    <t>80 Plus</t>
  </si>
  <si>
    <t>80 Plus website</t>
  </si>
  <si>
    <t>HW Busters Fan Test Summary</t>
  </si>
  <si>
    <t>Hardware Busters Fan Testing Summary</t>
  </si>
  <si>
    <t>SFF Hub Discord</t>
  </si>
  <si>
    <t>Official SFF Hub Discord</t>
  </si>
  <si>
    <t>r/sffpc Discord</t>
  </si>
  <si>
    <t>Official r/sffpc Discord</t>
  </si>
  <si>
    <t>SFF.Network Discord</t>
  </si>
  <si>
    <t>Official SFF.Network Discord</t>
  </si>
  <si>
    <t>J-Hack Discord</t>
  </si>
  <si>
    <t>Official J-Hack Discord</t>
  </si>
  <si>
    <t>JM Customized Discord</t>
  </si>
  <si>
    <t>Official JM Customized / JIMU Discord</t>
  </si>
  <si>
    <t>Louqe Discord</t>
  </si>
  <si>
    <t>Official Loque Discord</t>
  </si>
  <si>
    <t>NFC Discord</t>
  </si>
  <si>
    <t>Official NFC Discord</t>
  </si>
  <si>
    <t>Sliger Discord</t>
  </si>
  <si>
    <t>Official Sliger Discord</t>
  </si>
  <si>
    <t>Cultists.Network Discord</t>
  </si>
  <si>
    <t>Official Cultists.Network Discord</t>
  </si>
  <si>
    <t>Hardware Busters Discord</t>
  </si>
  <si>
    <t>Official Hardware Busters Discord</t>
  </si>
  <si>
    <t>DreambigByRay</t>
  </si>
  <si>
    <t>Cheap and affordable custom sleeved and unsleeved cables. Contact them for price</t>
  </si>
  <si>
    <t>CableMod</t>
  </si>
  <si>
    <t>Premium custom cables that can be customised with their web configurator</t>
  </si>
  <si>
    <t>pslatecustoms</t>
  </si>
  <si>
    <t>Exceptional premium custom cables that is tailor made for each case and components</t>
  </si>
  <si>
    <t>SSD</t>
  </si>
  <si>
    <t>List of SATA and NVMe SSDs with info of DRAM, Controller, NAND Type etc.</t>
  </si>
  <si>
    <t>CPU Cooler Chart</t>
  </si>
  <si>
    <t>List of good CPU coolers</t>
  </si>
  <si>
    <t>Thermalright Coolers &amp; Fans</t>
  </si>
  <si>
    <t>List of Thermalright CPU Coolers and Case Fans</t>
  </si>
  <si>
    <t>Radiators</t>
  </si>
  <si>
    <t>List of Radiators</t>
  </si>
  <si>
    <t>Recommended Components for SFF Cases</t>
  </si>
  <si>
    <t>Recommended components guide for popular SFF cases. Good starting point</t>
  </si>
  <si>
    <t>1151 v2 Motherboard List</t>
  </si>
  <si>
    <t>List of Intel 1151 v2 socket motherboards</t>
  </si>
  <si>
    <t>AM4 Motherboard List</t>
  </si>
  <si>
    <t>List of AMD AM4 socket motherboards</t>
  </si>
  <si>
    <t>VLP RAM</t>
  </si>
  <si>
    <t>List of Very Low Profile RAMs (18mm height) for certain CPU coolers</t>
  </si>
  <si>
    <t>Seller</t>
  </si>
  <si>
    <t>Case</t>
  </si>
  <si>
    <t>Style</t>
  </si>
  <si>
    <t>Case Length (mm)</t>
  </si>
  <si>
    <t>Case Width (mm)</t>
  </si>
  <si>
    <t>Case Height (mm)</t>
  </si>
  <si>
    <t>Volume (L)</t>
  </si>
  <si>
    <t>Footprint (cm2)</t>
  </si>
  <si>
    <t>Weight (kg)</t>
  </si>
  <si>
    <t>Side Panel</t>
  </si>
  <si>
    <t>Case Material</t>
  </si>
  <si>
    <t>CPU Cooler Height (mm)</t>
  </si>
  <si>
    <t>AIO / Radiator Support</t>
  </si>
  <si>
    <t>GPU Riser</t>
  </si>
  <si>
    <t>GPU Length (mm)</t>
  </si>
  <si>
    <t>GPU Width (mm)</t>
  </si>
  <si>
    <t>GPU Height / Thickness (mm)</t>
  </si>
  <si>
    <t>PCIe Slot</t>
  </si>
  <si>
    <t>LP PCIe Slot</t>
  </si>
  <si>
    <t>Motherboard</t>
  </si>
  <si>
    <t>2.5" Drive</t>
  </si>
  <si>
    <t>3.5" Drive</t>
  </si>
  <si>
    <t>5.25" Drive</t>
  </si>
  <si>
    <t>40 mm Fan</t>
  </si>
  <si>
    <t>60 mm Fan</t>
  </si>
  <si>
    <t>80 mm Fan</t>
  </si>
  <si>
    <t>92 mm Fan</t>
  </si>
  <si>
    <t>120 mm Fan</t>
  </si>
  <si>
    <t>140 mm Fan</t>
  </si>
  <si>
    <t>180 mm Fan</t>
  </si>
  <si>
    <t>200 mm Fan</t>
  </si>
  <si>
    <t>USB-A 2.0 I/O</t>
  </si>
  <si>
    <t>USB-A 3.2 Gen 1 (5Gbps) I/O</t>
  </si>
  <si>
    <t>USB-C I/O</t>
  </si>
  <si>
    <t>3.5mm Jack I/O</t>
  </si>
  <si>
    <t>Price (CNY)</t>
  </si>
  <si>
    <t>Price (USD)</t>
  </si>
  <si>
    <r>
      <rPr>
        <rFont val="Calibri, sans-serif"/>
        <b/>
        <color rgb="FF000000"/>
        <sz val="11.0"/>
      </rPr>
      <t>SFF.Net</t>
    </r>
    <r>
      <rPr>
        <rFont val="Calibri, sans-serif"/>
        <b/>
        <color rgb="FF000000"/>
        <sz val="11.0"/>
      </rPr>
      <t xml:space="preserve"> Link</t>
    </r>
  </si>
  <si>
    <t>SFFPC Wiki Link</t>
  </si>
  <si>
    <t>Status</t>
  </si>
  <si>
    <t>Last Update</t>
  </si>
  <si>
    <t>DC-M1</t>
  </si>
  <si>
    <t>APU</t>
  </si>
  <si>
    <t>Al</t>
  </si>
  <si>
    <t>3mm 6061-T6 Al</t>
  </si>
  <si>
    <t>-</t>
  </si>
  <si>
    <t>mITX</t>
  </si>
  <si>
    <t>DC-ATX</t>
  </si>
  <si>
    <t>ASRock</t>
  </si>
  <si>
    <t>?</t>
  </si>
  <si>
    <t>Steel</t>
  </si>
  <si>
    <t>mSTX</t>
  </si>
  <si>
    <t>External</t>
  </si>
  <si>
    <t>Y</t>
  </si>
  <si>
    <t>DeskMini B660</t>
  </si>
  <si>
    <t>DeskMini H470</t>
  </si>
  <si>
    <t>DeskMini X300</t>
  </si>
  <si>
    <t>Custom_Mod</t>
  </si>
  <si>
    <t>SL1 stl 2.1L rev.1</t>
  </si>
  <si>
    <t>1mm Steel</t>
  </si>
  <si>
    <t>Discontinued</t>
  </si>
  <si>
    <t>LLW's Workshop</t>
  </si>
  <si>
    <t>V21 Pro</t>
  </si>
  <si>
    <t>SL1 stl 2.1L rev.3</t>
  </si>
  <si>
    <t>1.5-2mm Al</t>
  </si>
  <si>
    <t>Flex ATX</t>
  </si>
  <si>
    <t>STX-X300-X1</t>
  </si>
  <si>
    <t>T6 Al</t>
  </si>
  <si>
    <t>OnLogic</t>
  </si>
  <si>
    <t>T40</t>
  </si>
  <si>
    <t>3mm 6061 Al</t>
  </si>
  <si>
    <t>3.5mm Al</t>
  </si>
  <si>
    <t>0 to 2</t>
  </si>
  <si>
    <t>0 to 1</t>
  </si>
  <si>
    <t>0 to 5</t>
  </si>
  <si>
    <t>电竞艾派官方店</t>
  </si>
  <si>
    <t>S1</t>
  </si>
  <si>
    <t>2.5mm Al</t>
  </si>
  <si>
    <t>G60</t>
  </si>
  <si>
    <t>2.5-3.5mm Al</t>
  </si>
  <si>
    <t>M200</t>
  </si>
  <si>
    <t>DC-V2</t>
  </si>
  <si>
    <t>SLM1m HDPlex edition</t>
  </si>
  <si>
    <t>1.5mm Al</t>
  </si>
  <si>
    <t>Chieftec</t>
  </si>
  <si>
    <t>0.8mm SECC steel</t>
  </si>
  <si>
    <t>1 to 2</t>
  </si>
  <si>
    <t>1 (Slim)</t>
  </si>
  <si>
    <t>Silverstone</t>
  </si>
  <si>
    <t>ML10 (standard)</t>
  </si>
  <si>
    <t>Plastic + Steel</t>
  </si>
  <si>
    <t>ZS Cases</t>
  </si>
  <si>
    <t>3mm Al</t>
  </si>
  <si>
    <t>Link</t>
  </si>
  <si>
    <t>V26 Pro</t>
  </si>
  <si>
    <t>A11</t>
  </si>
  <si>
    <t>0.8mm SPCC Steel</t>
  </si>
  <si>
    <t>1 (Slot)</t>
  </si>
  <si>
    <t>Pure Mk1</t>
  </si>
  <si>
    <t>1 to 4</t>
  </si>
  <si>
    <t>DC-RLY</t>
  </si>
  <si>
    <t>Dream Case</t>
  </si>
  <si>
    <t>D6</t>
  </si>
  <si>
    <t>Pure Mk2</t>
  </si>
  <si>
    <t>Console</t>
  </si>
  <si>
    <t>1.6mm Al</t>
  </si>
  <si>
    <t>mITX / mDTX</t>
  </si>
  <si>
    <t>SL2 stl 3.3L rev.3</t>
  </si>
  <si>
    <t>1mm steel</t>
  </si>
  <si>
    <t>Skyreach 4 TINY</t>
  </si>
  <si>
    <t>1.6-2mm Al</t>
  </si>
  <si>
    <t>Optional</t>
  </si>
  <si>
    <t>SL2 stl 3.4L rev.3</t>
  </si>
  <si>
    <t>Goodisory</t>
  </si>
  <si>
    <t>Al / Glass</t>
  </si>
  <si>
    <t>4mm Al + 0.8mm SPCC steel</t>
  </si>
  <si>
    <t>V32 Pro</t>
  </si>
  <si>
    <t>n3rdware</t>
  </si>
  <si>
    <t>Yocto</t>
  </si>
  <si>
    <t>Mesh</t>
  </si>
  <si>
    <t>3D Printed</t>
  </si>
  <si>
    <t>Slim-PRO</t>
  </si>
  <si>
    <t>3mm 6 series Al</t>
  </si>
  <si>
    <t>K30 (V1)</t>
  </si>
  <si>
    <t>Acrylic</t>
  </si>
  <si>
    <t>mITX / mATX (245x205)</t>
  </si>
  <si>
    <t>MINI 3.6L rev.7</t>
  </si>
  <si>
    <t>Sandwich</t>
  </si>
  <si>
    <t>1mm Al + 1mm Steel</t>
  </si>
  <si>
    <t>XTIA</t>
  </si>
  <si>
    <t>XSlim-Mini (S)</t>
  </si>
  <si>
    <t>4mm Al</t>
  </si>
  <si>
    <t>SL2 stl 3.7L rev.4</t>
  </si>
  <si>
    <t>GEEEK</t>
  </si>
  <si>
    <t>Acrylic + Al frame</t>
  </si>
  <si>
    <t>ML10 (elevated)</t>
  </si>
  <si>
    <t>0 to 1 (Slim)</t>
  </si>
  <si>
    <t>M300</t>
  </si>
  <si>
    <t>Stratos Pure</t>
  </si>
  <si>
    <t>A1 V2</t>
  </si>
  <si>
    <t>V36 Pro</t>
  </si>
  <si>
    <t>Classic</t>
  </si>
  <si>
    <t>A09</t>
  </si>
  <si>
    <t>M2 lm 3.8L</t>
  </si>
  <si>
    <t>1.5mm Al + 1mm steel</t>
  </si>
  <si>
    <t>SL2 lm 3.8L</t>
  </si>
  <si>
    <t>Al / Steel</t>
  </si>
  <si>
    <t>1.5mm Al/1mm steel</t>
  </si>
  <si>
    <t>MINI 3.8L rev.8</t>
  </si>
  <si>
    <t>1.5mm Al + 1.5mm Steel</t>
  </si>
  <si>
    <t>大C机箱定制</t>
  </si>
  <si>
    <t>A387</t>
  </si>
  <si>
    <t>Nano3S</t>
  </si>
  <si>
    <t>Acrylic / Al</t>
  </si>
  <si>
    <t>6 series Al</t>
  </si>
  <si>
    <t>K20</t>
  </si>
  <si>
    <t>mITX / mATX (226x185)</t>
  </si>
  <si>
    <t>0 to 4</t>
  </si>
  <si>
    <t>D19H (V2)</t>
  </si>
  <si>
    <t>XWORKS</t>
  </si>
  <si>
    <t>X32</t>
  </si>
  <si>
    <t>Open</t>
  </si>
  <si>
    <t>1.8mm Steel</t>
  </si>
  <si>
    <t>Velka 3 V2.0</t>
  </si>
  <si>
    <t>1-1.2mm Steel + 5mm Al front panel</t>
  </si>
  <si>
    <t>Captain S.</t>
  </si>
  <si>
    <t>V7-DC</t>
  </si>
  <si>
    <t>4-5mm 6061-T6 Al</t>
  </si>
  <si>
    <t>Velka 3 V3.0</t>
  </si>
  <si>
    <t>1-2mm Steel</t>
  </si>
  <si>
    <t>Yocto+</t>
  </si>
  <si>
    <t>REVOCCASES</t>
  </si>
  <si>
    <t>RCC-SMALL1</t>
  </si>
  <si>
    <t>SeaDamaged</t>
  </si>
  <si>
    <t>SE Mini4</t>
  </si>
  <si>
    <t>Carbon Fibre</t>
  </si>
  <si>
    <t>Velka 3 V1.2</t>
  </si>
  <si>
    <t>1.2mm Al + 1mm Steel</t>
  </si>
  <si>
    <t>DC-ATX / Flex ATX</t>
  </si>
  <si>
    <t>1 to 5</t>
  </si>
  <si>
    <t>Overtek</t>
  </si>
  <si>
    <t>Densium APU</t>
  </si>
  <si>
    <t>1.5mm Al + 1.2-1.5mm Steel + 8mm Wood front panel</t>
  </si>
  <si>
    <t>SLM1 4L</t>
  </si>
  <si>
    <t>2mm Al</t>
  </si>
  <si>
    <t>LZ-A4 A24-V3</t>
  </si>
  <si>
    <t>Densium</t>
  </si>
  <si>
    <t>Densium 4</t>
  </si>
  <si>
    <t>1.2mm Steel + 8mm Wood front panel</t>
  </si>
  <si>
    <t>ZS-D2 (A Config)</t>
  </si>
  <si>
    <t>ZS-D2 (B Config)</t>
  </si>
  <si>
    <t>ZS-D2 (C Config)</t>
  </si>
  <si>
    <t>ZS-D2 (D Config)</t>
  </si>
  <si>
    <t>A09P</t>
  </si>
  <si>
    <r>
      <rPr>
        <rFont val="Calibri, sans-serif"/>
        <color rgb="FF0000FF"/>
        <sz val="11.0"/>
        <u/>
      </rPr>
      <t>K</t>
    </r>
    <r>
      <rPr>
        <rFont val="Calibri, sans-serif"/>
        <color rgb="FF0000FF"/>
        <sz val="11.0"/>
        <u/>
      </rPr>
      <t>29</t>
    </r>
  </si>
  <si>
    <t>1.5mm SPCC Steel</t>
  </si>
  <si>
    <t>mITX / mATX (245x210)</t>
  </si>
  <si>
    <t>M41</t>
  </si>
  <si>
    <t>6061 Al</t>
  </si>
  <si>
    <t>A07D</t>
  </si>
  <si>
    <t>A07</t>
  </si>
  <si>
    <t>JXK-L1</t>
  </si>
  <si>
    <t>1.5-3mm Al</t>
  </si>
  <si>
    <t>SFX</t>
  </si>
  <si>
    <t>ZS-A4DC V3</t>
  </si>
  <si>
    <t>D600 Mini</t>
  </si>
  <si>
    <t>V8</t>
  </si>
  <si>
    <t>4mm 6061-T6 Al</t>
  </si>
  <si>
    <t>4mm 6061 Al</t>
  </si>
  <si>
    <t>Velka 3-RL</t>
  </si>
  <si>
    <t>K39 V2</t>
  </si>
  <si>
    <t>mITX / mATX (200x190)</t>
  </si>
  <si>
    <t>ZS-A4DC V2</t>
  </si>
  <si>
    <t>3-4mm 6061-T6 Al</t>
  </si>
  <si>
    <t>M24 (Steel)</t>
  </si>
  <si>
    <t>Acrylic / Steel</t>
  </si>
  <si>
    <t>4mm Al + SECC steel</t>
  </si>
  <si>
    <t>Custom</t>
  </si>
  <si>
    <t>Chopin MAX</t>
  </si>
  <si>
    <t>Chopin Pro</t>
  </si>
  <si>
    <t>5mm Al</t>
  </si>
  <si>
    <t>Densium 4 V2</t>
  </si>
  <si>
    <t>1.5mm Al + 1-1.2mm 304 Steel + Wood front panel</t>
  </si>
  <si>
    <t>FX 4.5L rev.3</t>
  </si>
  <si>
    <t>HS-V1</t>
  </si>
  <si>
    <t>SFX / SFX-L</t>
  </si>
  <si>
    <t>6063T Al</t>
  </si>
  <si>
    <t>Included</t>
  </si>
  <si>
    <t>Nano3</t>
  </si>
  <si>
    <t>Metal Solid Mini</t>
  </si>
  <si>
    <t>X3</t>
  </si>
  <si>
    <t>鄰家小匠888</t>
  </si>
  <si>
    <t>邻家小匠 L33</t>
  </si>
  <si>
    <t>1.2mm Steel</t>
  </si>
  <si>
    <t>1 to 6</t>
  </si>
  <si>
    <t>M4X</t>
  </si>
  <si>
    <t>Formula Case</t>
  </si>
  <si>
    <t>Formula 2s</t>
  </si>
  <si>
    <t>3mm 6061-T6 Al + SECC steel</t>
  </si>
  <si>
    <t>Mini MKVI</t>
  </si>
  <si>
    <t>Akyga</t>
  </si>
  <si>
    <t>AK-730-01BZ</t>
  </si>
  <si>
    <t>Galvanised Steel + ABS</t>
  </si>
  <si>
    <t>Nano3c</t>
  </si>
  <si>
    <t>Wood</t>
  </si>
  <si>
    <t>3mm board</t>
  </si>
  <si>
    <t>Stratos X</t>
  </si>
  <si>
    <t>FX lm 4.7L rev.2</t>
  </si>
  <si>
    <t>D19</t>
  </si>
  <si>
    <t>D19H (V1)</t>
  </si>
  <si>
    <t>SL3 stl 4.8L rev.1</t>
  </si>
  <si>
    <t>TFX</t>
  </si>
  <si>
    <t>XSlim-Mini (M)</t>
  </si>
  <si>
    <t>G4</t>
  </si>
  <si>
    <t>Al + SPCC Steel</t>
  </si>
  <si>
    <t>Midori Computer</t>
  </si>
  <si>
    <t>Midori 5L</t>
  </si>
  <si>
    <t>FX 4.9L rev.4</t>
  </si>
  <si>
    <t>COOJ</t>
  </si>
  <si>
    <t>Sparrow MQ4</t>
  </si>
  <si>
    <t>Critical</t>
  </si>
  <si>
    <t>cp4CNC</t>
  </si>
  <si>
    <t>Velka 5 V2.0</t>
  </si>
  <si>
    <t>M24 pro</t>
  </si>
  <si>
    <t>CP-4</t>
  </si>
  <si>
    <t>DB1</t>
  </si>
  <si>
    <t>4mm 6063 Al</t>
  </si>
  <si>
    <t>Densium 4 Plus</t>
  </si>
  <si>
    <t>K39 (V3)</t>
  </si>
  <si>
    <t>彗星播种数码专营店</t>
  </si>
  <si>
    <t>艾罗拉U1</t>
  </si>
  <si>
    <t>Skyreach 4 MINI</t>
  </si>
  <si>
    <t>malkans</t>
  </si>
  <si>
    <t>SF5A</t>
  </si>
  <si>
    <t>LZ-A4 A24-V5</t>
  </si>
  <si>
    <t>ZS-A4M V2</t>
  </si>
  <si>
    <t>Velka 5 V3.0</t>
  </si>
  <si>
    <t>Gamemax</t>
  </si>
  <si>
    <t>Violin</t>
  </si>
  <si>
    <t>4mm Al + 0.5mm Steel</t>
  </si>
  <si>
    <t>Cubeor</t>
  </si>
  <si>
    <t>Aski</t>
  </si>
  <si>
    <t>Al + Wood</t>
  </si>
  <si>
    <t>SIXGE Case</t>
  </si>
  <si>
    <t>K2S V2.0</t>
  </si>
  <si>
    <t>3-15mm 6063-T6 Al</t>
  </si>
  <si>
    <t>K2S V3.0</t>
  </si>
  <si>
    <t>FLEXi5</t>
  </si>
  <si>
    <t>DIY</t>
  </si>
  <si>
    <t>Nano3Plus</t>
  </si>
  <si>
    <t>Acrylic / Al / Glass</t>
  </si>
  <si>
    <t>1 to 3</t>
  </si>
  <si>
    <t>D1U-20</t>
  </si>
  <si>
    <t>1.2mm steel</t>
  </si>
  <si>
    <t>A1</t>
  </si>
  <si>
    <t>2 to 4</t>
  </si>
  <si>
    <t>LZ-A4 A18-V2</t>
  </si>
  <si>
    <t>6061-T6 Al</t>
  </si>
  <si>
    <t>Modivio</t>
  </si>
  <si>
    <t>xCase S</t>
  </si>
  <si>
    <t>3D printed ABS</t>
  </si>
  <si>
    <t>D8</t>
  </si>
  <si>
    <t>mITX / mATX</t>
  </si>
  <si>
    <t>HT5</t>
  </si>
  <si>
    <t>5mm Acrylic</t>
  </si>
  <si>
    <t>0 to 3</t>
  </si>
  <si>
    <t>M69</t>
  </si>
  <si>
    <t>V9</t>
  </si>
  <si>
    <t>蛋蛋搞机坊</t>
  </si>
  <si>
    <t>Digital Egg D53</t>
  </si>
  <si>
    <t>Midori 5L-V2</t>
  </si>
  <si>
    <t>ZS-A4M V3</t>
  </si>
  <si>
    <t>Digital Egg D53+</t>
  </si>
  <si>
    <t>Nano4 Pro</t>
  </si>
  <si>
    <t>2 to 3</t>
  </si>
  <si>
    <t>Densium 4 Plus V2</t>
  </si>
  <si>
    <t>Loli1</t>
  </si>
  <si>
    <t>Mini Computers</t>
  </si>
  <si>
    <t>Gecko Mini</t>
  </si>
  <si>
    <t>3-4mm Al + 0.8mm steel</t>
  </si>
  <si>
    <t>mITX / mDTX / mATX (226x170)</t>
  </si>
  <si>
    <t>A1P</t>
  </si>
  <si>
    <t>SE Mid Mini</t>
  </si>
  <si>
    <t>F1-1U</t>
  </si>
  <si>
    <t>酷冷魔神</t>
  </si>
  <si>
    <t>X40</t>
  </si>
  <si>
    <t>SPCC Steel</t>
  </si>
  <si>
    <t>Phonon Case</t>
  </si>
  <si>
    <t>3D printed</t>
  </si>
  <si>
    <t>Self print</t>
  </si>
  <si>
    <t>AKLLA</t>
  </si>
  <si>
    <t>4-5mm Al</t>
  </si>
  <si>
    <t>SLM2 5.7L</t>
  </si>
  <si>
    <t>X20</t>
  </si>
  <si>
    <t>Velka 5 V1.1</t>
  </si>
  <si>
    <t>1.5mm Al + 1mm Steel</t>
  </si>
  <si>
    <t>V7U</t>
  </si>
  <si>
    <t>Sparrow MQ5</t>
  </si>
  <si>
    <t>S2</t>
  </si>
  <si>
    <t>mITX / mATX (245x200)</t>
  </si>
  <si>
    <t>Mini MKVI Deepdash</t>
  </si>
  <si>
    <t>D1U</t>
  </si>
  <si>
    <t>XSlim-Mini (L)</t>
  </si>
  <si>
    <t>M66</t>
  </si>
  <si>
    <t>Velka 7 V2.0</t>
  </si>
  <si>
    <t>S02</t>
  </si>
  <si>
    <t>笨牛机箱</t>
  </si>
  <si>
    <t>U20</t>
  </si>
  <si>
    <t>D21 (V1)</t>
  </si>
  <si>
    <t>Note</t>
  </si>
  <si>
    <t>XS1 Mini</t>
  </si>
  <si>
    <t>Cemo / 佑泽企业店</t>
  </si>
  <si>
    <t>2-3mm Al</t>
  </si>
  <si>
    <t>Zapustar D01</t>
  </si>
  <si>
    <t>D21 (V2)</t>
  </si>
  <si>
    <t>ZS-A4S V2</t>
  </si>
  <si>
    <t>Founders</t>
  </si>
  <si>
    <t>D19 PRO</t>
  </si>
  <si>
    <t>LGK2S</t>
  </si>
  <si>
    <t>3-4mm 6 series Al</t>
  </si>
  <si>
    <t>ZS-A4S V3</t>
  </si>
  <si>
    <t>xCase M</t>
  </si>
  <si>
    <t>Velka 7 V3.0</t>
  </si>
  <si>
    <t>CHCC</t>
  </si>
  <si>
    <t>A4</t>
  </si>
  <si>
    <t>SXM1 6.3L rev.4</t>
  </si>
  <si>
    <t>1.5mm Al + 1.5mm steel</t>
  </si>
  <si>
    <t>M69 V3</t>
  </si>
  <si>
    <t>NSC-200</t>
  </si>
  <si>
    <t>NAS</t>
  </si>
  <si>
    <t>FI-01B</t>
  </si>
  <si>
    <t>0.6mm SECC steel</t>
  </si>
  <si>
    <t>FI-03B</t>
  </si>
  <si>
    <t>D26</t>
  </si>
  <si>
    <t>Y02</t>
  </si>
  <si>
    <t>2mm carbon fibre</t>
  </si>
  <si>
    <t>K49 (V1)</t>
  </si>
  <si>
    <t>飞优浦 T80</t>
  </si>
  <si>
    <t>SE One</t>
  </si>
  <si>
    <t>Acat机箱</t>
  </si>
  <si>
    <t>120 /w top hat</t>
  </si>
  <si>
    <t>Nano</t>
  </si>
  <si>
    <t>D1FX (V1)</t>
  </si>
  <si>
    <t>ZS-A4L V2</t>
  </si>
  <si>
    <t>A31 V2</t>
  </si>
  <si>
    <t>GEEEK机箱</t>
  </si>
  <si>
    <t>CCD</t>
  </si>
  <si>
    <t>MI-6</t>
  </si>
  <si>
    <t>Deng Studio</t>
  </si>
  <si>
    <t>A6</t>
  </si>
  <si>
    <t>SX1 6.8L</t>
  </si>
  <si>
    <t>Al + Steel</t>
  </si>
  <si>
    <t>邻家小匠 L77</t>
  </si>
  <si>
    <t>1mm SPCC Steel</t>
  </si>
  <si>
    <t>mITX / mATX (190x190)</t>
  </si>
  <si>
    <t>D30 (V1)</t>
  </si>
  <si>
    <t>ZS-LRTX</t>
  </si>
  <si>
    <t>678 Cases</t>
  </si>
  <si>
    <t>678 Case</t>
  </si>
  <si>
    <t>D23</t>
  </si>
  <si>
    <t>R2S</t>
  </si>
  <si>
    <t>JXK-F2</t>
  </si>
  <si>
    <t>G2</t>
  </si>
  <si>
    <t>2mm Al + Steel</t>
  </si>
  <si>
    <t>Prototype</t>
  </si>
  <si>
    <t>Y01</t>
  </si>
  <si>
    <t>S01</t>
  </si>
  <si>
    <t>K3S V2.0</t>
  </si>
  <si>
    <t>4-15mm T6 Al</t>
  </si>
  <si>
    <t>K3S V3.0</t>
  </si>
  <si>
    <t>A35</t>
  </si>
  <si>
    <t>L01</t>
  </si>
  <si>
    <t>2-3mm carbon fibre</t>
  </si>
  <si>
    <t>Sparrow MQ6</t>
  </si>
  <si>
    <t>K49 (V2)</t>
  </si>
  <si>
    <t>mITX / mATX (245x185)</t>
  </si>
  <si>
    <t>K40</t>
  </si>
  <si>
    <t>1.5mm 5052 Al</t>
  </si>
  <si>
    <t>E24</t>
  </si>
  <si>
    <t>1.5mm Al + 1mm SPCC Steel</t>
  </si>
  <si>
    <t>Acat1</t>
  </si>
  <si>
    <t>xCase SE</t>
  </si>
  <si>
    <t>GJ</t>
  </si>
  <si>
    <t>G-A4S</t>
  </si>
  <si>
    <t>U-ITX</t>
  </si>
  <si>
    <t>1mm Al</t>
  </si>
  <si>
    <t>120 / 240</t>
  </si>
  <si>
    <t>Peeress</t>
  </si>
  <si>
    <t>Rider R2 Black 1.0</t>
  </si>
  <si>
    <t>3mm 6061 Al + 1mm Steel</t>
  </si>
  <si>
    <t>Rider R2 White 2.0</t>
  </si>
  <si>
    <t>Al / Glass / Mesh</t>
  </si>
  <si>
    <t>3-5mm 6061-T6 Al + 1mm SPCC Steel</t>
  </si>
  <si>
    <t>Rider R2 3.0</t>
  </si>
  <si>
    <t>Acrylic / Al / Carbon Fibre</t>
  </si>
  <si>
    <t>Al + Carbon Fibre</t>
  </si>
  <si>
    <t>SX stl 7.1L rev.2</t>
  </si>
  <si>
    <t>3-5mm Acrylic</t>
  </si>
  <si>
    <t>Gecko XS</t>
  </si>
  <si>
    <t>Ophion 7L</t>
  </si>
  <si>
    <t>2mm Al + 0.8mm SPCC steel</t>
  </si>
  <si>
    <t>3 to 4</t>
  </si>
  <si>
    <t>Dan Cases</t>
  </si>
  <si>
    <t>A4-SFX V4.1</t>
  </si>
  <si>
    <t>92 / 120</t>
  </si>
  <si>
    <t>DC-ATX / SFX / SFX-L</t>
  </si>
  <si>
    <t>0.8mm Steel</t>
  </si>
  <si>
    <t>4 to 6</t>
  </si>
  <si>
    <t>Interstellar</t>
  </si>
  <si>
    <t>i1</t>
  </si>
  <si>
    <t>4-5mm 6061 Al</t>
  </si>
  <si>
    <t>V6</t>
  </si>
  <si>
    <t>mITX / mATX (244x195)</t>
  </si>
  <si>
    <t>DC-ATX / Flex ATX / TFX</t>
  </si>
  <si>
    <t>Hydra Mini</t>
  </si>
  <si>
    <t>D25</t>
  </si>
  <si>
    <t>D1FX (V2)</t>
  </si>
  <si>
    <t>A10</t>
  </si>
  <si>
    <t>DSE Breathe</t>
  </si>
  <si>
    <t>1.6mm 5052 Al</t>
  </si>
  <si>
    <t>4 to 8</t>
  </si>
  <si>
    <t>XQ69 V3</t>
  </si>
  <si>
    <t>Q235 Steel</t>
  </si>
  <si>
    <t>2 to 5</t>
  </si>
  <si>
    <t>D30 (GPU 55mm thickness edition)</t>
  </si>
  <si>
    <t>D21 PRO</t>
  </si>
  <si>
    <t>C2</t>
  </si>
  <si>
    <t>LGK3S</t>
  </si>
  <si>
    <t>3-4mm 6 Series Al</t>
  </si>
  <si>
    <t>D21 68mm CPU Special Edition</t>
  </si>
  <si>
    <t>广州玩家部落</t>
  </si>
  <si>
    <t>GR-A06</t>
  </si>
  <si>
    <t>SLM3 lm 7.4L rev.2</t>
  </si>
  <si>
    <t>Shiny Snake</t>
  </si>
  <si>
    <t>S200</t>
  </si>
  <si>
    <t>K66 (V1)</t>
  </si>
  <si>
    <t>Glass</t>
  </si>
  <si>
    <t>mITX / mATX (226x190)</t>
  </si>
  <si>
    <t>ATX</t>
  </si>
  <si>
    <t>pccooler超频三旗舰店</t>
  </si>
  <si>
    <t>超频三蜂鸟I100</t>
  </si>
  <si>
    <t>超频三蜂鸟I100 PRO</t>
  </si>
  <si>
    <t>Midori 7.5L</t>
  </si>
  <si>
    <t>A3</t>
  </si>
  <si>
    <t>2mm Al + 1mm Steel</t>
  </si>
  <si>
    <t>BU-12B</t>
  </si>
  <si>
    <t>0.5mm SECC Steel</t>
  </si>
  <si>
    <t>SX2 7.5L</t>
  </si>
  <si>
    <t>A30 V2</t>
  </si>
  <si>
    <t>T60</t>
  </si>
  <si>
    <t>1-1.5mm SPCC Steel</t>
  </si>
  <si>
    <t>F1-SFX</t>
  </si>
  <si>
    <t>ZS-A4 V2</t>
  </si>
  <si>
    <t>1-1.5mm steel</t>
  </si>
  <si>
    <t>XQ69 V4.1/V4.4</t>
  </si>
  <si>
    <t>Q235 steel</t>
  </si>
  <si>
    <t>A4V</t>
  </si>
  <si>
    <t>X1</t>
  </si>
  <si>
    <t>120 / 240 /w top hat</t>
  </si>
  <si>
    <t>ZS-A4L V1</t>
  </si>
  <si>
    <t>D1UX</t>
  </si>
  <si>
    <t>GR-A05</t>
  </si>
  <si>
    <t>Xproto-Mini</t>
  </si>
  <si>
    <t>RCC-MIT1</t>
  </si>
  <si>
    <t>1.5mm 5754 Al</t>
  </si>
  <si>
    <t>Papyrus</t>
  </si>
  <si>
    <t>D30 (V2)</t>
  </si>
  <si>
    <t>飞优浦 T80 Puls</t>
  </si>
  <si>
    <t>K3S V2.0 (watercool version)</t>
  </si>
  <si>
    <t>LOUSU Studios</t>
  </si>
  <si>
    <t>LSIG</t>
  </si>
  <si>
    <t>3-4mm Al</t>
  </si>
  <si>
    <t>ABS plastic</t>
  </si>
  <si>
    <t>B1 Mesh</t>
  </si>
  <si>
    <t>B1 Pure</t>
  </si>
  <si>
    <t>Luna Design</t>
  </si>
  <si>
    <t>PRIME</t>
  </si>
  <si>
    <t>6063-T6 Al</t>
  </si>
  <si>
    <t>Flex ATX / SFX / SFX-L</t>
  </si>
  <si>
    <t>M1</t>
  </si>
  <si>
    <t>mITX / mATX (245x225)</t>
  </si>
  <si>
    <t>S2 Plus</t>
  </si>
  <si>
    <t>飞优浦 Ghost S1 (old)</t>
  </si>
  <si>
    <t>K39 pro (V1)</t>
  </si>
  <si>
    <t>2-4mm Al</t>
  </si>
  <si>
    <t>Rider R2 4.0</t>
  </si>
  <si>
    <t>6061-T6 Al + SPCC Steel</t>
  </si>
  <si>
    <t>Z-Case P50 V1.1</t>
  </si>
  <si>
    <t>A35S</t>
  </si>
  <si>
    <t>i2</t>
  </si>
  <si>
    <t>K59</t>
  </si>
  <si>
    <t>K66 (V2)</t>
  </si>
  <si>
    <t>Glass / Steel</t>
  </si>
  <si>
    <t>R1S</t>
  </si>
  <si>
    <t>K39 PRO (V2)</t>
  </si>
  <si>
    <t>DeskMeet B660</t>
  </si>
  <si>
    <t>DeskMeet X300</t>
  </si>
  <si>
    <t>DeskMeet X600</t>
  </si>
  <si>
    <t>CaseKraken</t>
  </si>
  <si>
    <t>Flip H1</t>
  </si>
  <si>
    <t>2mm Steel</t>
  </si>
  <si>
    <t>CL520 / Console</t>
  </si>
  <si>
    <t>0.8mm SECC steel + 1.6mm 5052 Al</t>
  </si>
  <si>
    <t>SLM3 lm 8L rev.5</t>
  </si>
  <si>
    <t>1.5-2mm Al + 1.5-2mm Steel</t>
  </si>
  <si>
    <t>S300</t>
  </si>
  <si>
    <t>xCase ME</t>
  </si>
  <si>
    <t>T50 (new)</t>
  </si>
  <si>
    <t>1.5-2mm 5052 Al</t>
  </si>
  <si>
    <t>M69 V4</t>
  </si>
  <si>
    <t>1U</t>
  </si>
  <si>
    <t>5 to 7</t>
  </si>
  <si>
    <t>120 / 240 /w L top hat</t>
  </si>
  <si>
    <t>M12</t>
  </si>
  <si>
    <t>SF8G</t>
  </si>
  <si>
    <t>ZS-A4 V3</t>
  </si>
  <si>
    <t>K66 (V3)</t>
  </si>
  <si>
    <t>KKSB Cases</t>
  </si>
  <si>
    <t>K1</t>
  </si>
  <si>
    <t>RCC-MIT1-XL</t>
  </si>
  <si>
    <t>ZS-A4 V3.2</t>
  </si>
  <si>
    <t>0 to 6</t>
  </si>
  <si>
    <t>D1U-27</t>
  </si>
  <si>
    <t>K60</t>
  </si>
  <si>
    <t>3mm Al + 1mm SGCC steel</t>
  </si>
  <si>
    <t>SFX / ATX</t>
  </si>
  <si>
    <t>Ghost S1 Mk III (no top hat)</t>
  </si>
  <si>
    <t>Al + SECC Steel</t>
  </si>
  <si>
    <t>ITX工房</t>
  </si>
  <si>
    <t>Ghost S1 (clone)</t>
  </si>
  <si>
    <t>KEVCASES</t>
  </si>
  <si>
    <t>Ghost S1 (Clone)</t>
  </si>
  <si>
    <t>V1.2</t>
  </si>
  <si>
    <t>FC5 Alpha</t>
  </si>
  <si>
    <t>4-10mm 6063 Al</t>
  </si>
  <si>
    <t>mITX / mATX / ATX</t>
  </si>
  <si>
    <t>2 to 6</t>
  </si>
  <si>
    <t>A2</t>
  </si>
  <si>
    <t>3-15mm Al + 1-2mm SPCC Steel</t>
  </si>
  <si>
    <t>飞优浦 XS2 (new)</t>
  </si>
  <si>
    <t>T20 / Nova1024</t>
  </si>
  <si>
    <t>LZ-A4 T31-V2</t>
  </si>
  <si>
    <t>xCase L</t>
  </si>
  <si>
    <t>Cube X1m</t>
  </si>
  <si>
    <t>S40</t>
  </si>
  <si>
    <t>3mm 6 Series Al</t>
  </si>
  <si>
    <t>Sans (A)</t>
  </si>
  <si>
    <t>Sans (B)</t>
  </si>
  <si>
    <t>LZX-8</t>
  </si>
  <si>
    <t>K3S Plus V3.0</t>
  </si>
  <si>
    <t>3-10mm 6063-T6 Al</t>
  </si>
  <si>
    <t>NSC-400</t>
  </si>
  <si>
    <t>NSC-401</t>
  </si>
  <si>
    <t>Steck (no Stack)</t>
  </si>
  <si>
    <t>1.5mm Al + Steel</t>
  </si>
  <si>
    <t>Dark Energy Studio</t>
  </si>
  <si>
    <t>BH-S</t>
  </si>
  <si>
    <t>3-6mm Al</t>
  </si>
  <si>
    <t>飞优浦 XS2 (old)</t>
  </si>
  <si>
    <t>A4VPLUS</t>
  </si>
  <si>
    <t>Smallest One</t>
  </si>
  <si>
    <t>3-6mm 6061 Al</t>
  </si>
  <si>
    <t>Frontier-S</t>
  </si>
  <si>
    <t>Faiz机箱</t>
  </si>
  <si>
    <t>FZ01</t>
  </si>
  <si>
    <t>1.5-2.5mm Al</t>
  </si>
  <si>
    <t>2mm 5052 Al</t>
  </si>
  <si>
    <t>A4 S1</t>
  </si>
  <si>
    <t>D27 (V2)</t>
  </si>
  <si>
    <t>mITX / mATX (245x220)</t>
  </si>
  <si>
    <t>ZS-R01</t>
  </si>
  <si>
    <t>K69</t>
  </si>
  <si>
    <t>mITX / mATX (245x201)</t>
  </si>
  <si>
    <t>Colin Reay</t>
  </si>
  <si>
    <t>MK2</t>
  </si>
  <si>
    <t>Al + Acrylic</t>
  </si>
  <si>
    <t>120 / 140</t>
  </si>
  <si>
    <t>JM Customized</t>
  </si>
  <si>
    <t>JIMU D+ V2.0 (Basic)</t>
  </si>
  <si>
    <t>0 to 8</t>
  </si>
  <si>
    <t>JXK-J2</t>
  </si>
  <si>
    <t>X60</t>
  </si>
  <si>
    <t>U35</t>
  </si>
  <si>
    <t>Acat3</t>
  </si>
  <si>
    <t>D27 (V1)</t>
  </si>
  <si>
    <t>臻致设计的工业与艺术</t>
  </si>
  <si>
    <t>PDL-JX-B1/2/3</t>
  </si>
  <si>
    <t>Ghost S1 Mk III (with S top hat)</t>
  </si>
  <si>
    <t>A4F</t>
  </si>
  <si>
    <t>teenage engineering</t>
  </si>
  <si>
    <t>computer-1</t>
  </si>
  <si>
    <t>D1F-I SFX</t>
  </si>
  <si>
    <t>旅猫工作室</t>
  </si>
  <si>
    <t>Seven.CME</t>
  </si>
  <si>
    <t>FL-A4</t>
  </si>
  <si>
    <t>3-10mm 6061-T6 Al</t>
  </si>
  <si>
    <t>瑞创意</t>
  </si>
  <si>
    <t>MC3 / WS19 (299 version)</t>
  </si>
  <si>
    <t>199(dia)</t>
  </si>
  <si>
    <t>6063 / 5052 Al</t>
  </si>
  <si>
    <t>A3 (CNC)</t>
  </si>
  <si>
    <t>mITX / mATX (200x205)</t>
  </si>
  <si>
    <t>深蓝SL</t>
  </si>
  <si>
    <t>SL-A4+</t>
  </si>
  <si>
    <t>Micro</t>
  </si>
  <si>
    <t>Zapustar D02</t>
  </si>
  <si>
    <t>P-ATX V1</t>
  </si>
  <si>
    <t>3mm Al + 0.6-1mm steel</t>
  </si>
  <si>
    <t>mITX / mDTX / mATX / ATX / E-ATX (305x285)</t>
  </si>
  <si>
    <t>SFX / SFX-L / TFX / Flex ATX</t>
  </si>
  <si>
    <t>1 to 8</t>
  </si>
  <si>
    <t>LYMOD</t>
  </si>
  <si>
    <t>Y20</t>
  </si>
  <si>
    <t>超频三蜂鸟2</t>
  </si>
  <si>
    <t>A4F-PY</t>
  </si>
  <si>
    <t>Black Hole</t>
  </si>
  <si>
    <t>200(dia)</t>
  </si>
  <si>
    <t>K03</t>
  </si>
  <si>
    <t>Zapustar M02</t>
  </si>
  <si>
    <t>S402</t>
  </si>
  <si>
    <t>1.2-1.5mm steel</t>
  </si>
  <si>
    <t>FormD</t>
  </si>
  <si>
    <t>T1 V1.1</t>
  </si>
  <si>
    <t>RCC-DTC1</t>
  </si>
  <si>
    <t>PDL-JX-A1/2/3</t>
  </si>
  <si>
    <t>Norco</t>
  </si>
  <si>
    <t>ITX-S4</t>
  </si>
  <si>
    <t>BT-02B</t>
  </si>
  <si>
    <t>Zapustar X02</t>
  </si>
  <si>
    <t>mITX / mDTX (196x170)</t>
  </si>
  <si>
    <t>C24 (V1)</t>
  </si>
  <si>
    <t>2mm Al + 1mm steel</t>
  </si>
  <si>
    <t>mITX / mATX (225x175)</t>
  </si>
  <si>
    <t>K70</t>
  </si>
  <si>
    <t>2mm Al + SECC steel</t>
  </si>
  <si>
    <t>Ghost S1 Mk III (with M top hat)</t>
  </si>
  <si>
    <t>Gecko ITX-S</t>
  </si>
  <si>
    <t>2mm 5052 Al + 0.8mm steel</t>
  </si>
  <si>
    <t>2 to 10</t>
  </si>
  <si>
    <t>Mjolnir</t>
  </si>
  <si>
    <t>5mm 6061-T6 Al</t>
  </si>
  <si>
    <t>邻家小匠 L55</t>
  </si>
  <si>
    <t>G-TS1S</t>
  </si>
  <si>
    <t>K49 pro</t>
  </si>
  <si>
    <t>M99</t>
  </si>
  <si>
    <t>DS-A4-V1</t>
  </si>
  <si>
    <t>飞优浦 T90</t>
  </si>
  <si>
    <t>BP655</t>
  </si>
  <si>
    <t>BP691</t>
  </si>
  <si>
    <t>II-33 (air cooling)</t>
  </si>
  <si>
    <t>K02</t>
  </si>
  <si>
    <t>RCC-MID2</t>
  </si>
  <si>
    <t>ZS-A4 V3 (with 36mm top hat)</t>
  </si>
  <si>
    <t>A4 V2 (air cool)</t>
  </si>
  <si>
    <t>2mm 6061 Al + 2mm Steel</t>
  </si>
  <si>
    <t>SFX / SFX-L / ATX</t>
  </si>
  <si>
    <t>D1U-M</t>
  </si>
  <si>
    <t>Flex ATX / 1U</t>
  </si>
  <si>
    <t>G-TS1</t>
  </si>
  <si>
    <t>X5</t>
  </si>
  <si>
    <t>C24 (V2)</t>
  </si>
  <si>
    <t>Aski 2</t>
  </si>
  <si>
    <t>T1 Reference V2.1</t>
  </si>
  <si>
    <t>1.5-15mm 6000 Series Al + 1-2mm Steel</t>
  </si>
  <si>
    <t>120 / 140 / 240 / 280</t>
  </si>
  <si>
    <t>FormD Lore</t>
  </si>
  <si>
    <t>T1 Sandwich V2.1</t>
  </si>
  <si>
    <t>1-16mm 6000 Series Al + 1-2mm Steel</t>
  </si>
  <si>
    <t>120 / 140 / 240 / 2 x 240 / 280 / 240 + 280</t>
  </si>
  <si>
    <t>NCase</t>
  </si>
  <si>
    <t>T1 Sandwich V2.5</t>
  </si>
  <si>
    <t>MC3 / WS19 (320 version)</t>
  </si>
  <si>
    <t>GR-A07</t>
  </si>
  <si>
    <t>ZS-ST V1</t>
  </si>
  <si>
    <t>1.5-3mm 6061-T6 Al</t>
  </si>
  <si>
    <t>Goldenfield/金河田</t>
  </si>
  <si>
    <t>MATE 1S</t>
  </si>
  <si>
    <t>白菜哥的itx小店</t>
  </si>
  <si>
    <t>X64 V2 (Standard)</t>
  </si>
  <si>
    <t>1.5-5mm 6063 Al</t>
  </si>
  <si>
    <t>BP671</t>
  </si>
  <si>
    <t>MK1</t>
  </si>
  <si>
    <r>
      <rPr>
        <rFont val="Calibri, sans-serif"/>
        <b/>
        <color rgb="FF000000"/>
        <sz val="11.0"/>
      </rPr>
      <t>SFF.Net</t>
    </r>
    <r>
      <rPr>
        <rFont val="Calibri, sans-serif"/>
        <b/>
        <color rgb="FF000000"/>
        <sz val="11.0"/>
      </rPr>
      <t xml:space="preserve"> Link</t>
    </r>
  </si>
  <si>
    <t>兆方数码专营店</t>
  </si>
  <si>
    <t>Pado N1</t>
  </si>
  <si>
    <t>FC9 Alpha</t>
  </si>
  <si>
    <t>BRZHiFi</t>
  </si>
  <si>
    <t>Cube-6</t>
  </si>
  <si>
    <t>3-8mm Al</t>
  </si>
  <si>
    <t>P-ATX V2</t>
  </si>
  <si>
    <t>0.8-2mm Steel</t>
  </si>
  <si>
    <t>mITX / mDTX / mATX / ATX</t>
  </si>
  <si>
    <t>NSC-410</t>
  </si>
  <si>
    <t>Plastic</t>
  </si>
  <si>
    <t>PDL-JX-D1</t>
  </si>
  <si>
    <t>A4F-XL</t>
  </si>
  <si>
    <t>ZS-A4 V3 (with 46mm top hat)</t>
  </si>
  <si>
    <t>BP659</t>
  </si>
  <si>
    <t>A5</t>
  </si>
  <si>
    <t>2.5-15mm T6 Al + 1-1.5mm SECC Steel</t>
  </si>
  <si>
    <t>Metal Glass</t>
  </si>
  <si>
    <t>MILO 11</t>
  </si>
  <si>
    <t>LZ7 XTD</t>
  </si>
  <si>
    <t>2mm 6061 Al + 1mm Steel</t>
  </si>
  <si>
    <t>120 / 140 / 240 / 280 /w AIO top hat</t>
  </si>
  <si>
    <t>A4s</t>
  </si>
  <si>
    <t>A4-atx</t>
  </si>
  <si>
    <t>Terra</t>
  </si>
  <si>
    <t>Al + Steel + Wood</t>
  </si>
  <si>
    <t>P-ATX V3</t>
  </si>
  <si>
    <t>D1FX-240 (V2)</t>
  </si>
  <si>
    <t>MA4</t>
  </si>
  <si>
    <t>3 to 5</t>
  </si>
  <si>
    <t>M99 V4</t>
  </si>
  <si>
    <t>M99 V5</t>
  </si>
  <si>
    <t>MC14</t>
  </si>
  <si>
    <t>0.6mm SECC Steel</t>
  </si>
  <si>
    <t>S400 V2</t>
  </si>
  <si>
    <t>JIMU D+ V1.0</t>
  </si>
  <si>
    <t>A3 Max</t>
  </si>
  <si>
    <t>mITX / mATX (230x205)</t>
  </si>
  <si>
    <t>T03</t>
  </si>
  <si>
    <t>Xproto</t>
  </si>
  <si>
    <t>120 / 140 / 240 / 280 / 360 / 420</t>
  </si>
  <si>
    <t>Xproto-N</t>
  </si>
  <si>
    <t>JIMU D+ V2.0 (Package A)</t>
  </si>
  <si>
    <t>120 / 140 / 240 / 280 / 240 + 280</t>
  </si>
  <si>
    <t>JIMU D+ V2.0 (Package B)</t>
  </si>
  <si>
    <t>Gecko Air ITX</t>
  </si>
  <si>
    <t>S4</t>
  </si>
  <si>
    <t>S6</t>
  </si>
  <si>
    <t>G-A4L</t>
  </si>
  <si>
    <t>3-5mm Al</t>
  </si>
  <si>
    <t>极致猫电子</t>
  </si>
  <si>
    <t>Z11</t>
  </si>
  <si>
    <t>3-4mm 6061 Al</t>
  </si>
  <si>
    <t>T50 (old)</t>
  </si>
  <si>
    <t>Acrylic / Glass</t>
  </si>
  <si>
    <t>XX1</t>
  </si>
  <si>
    <t>M5</t>
  </si>
  <si>
    <t>RCC-TWR1</t>
  </si>
  <si>
    <t>D1FX-240 (V1)</t>
  </si>
  <si>
    <t>PDL-JX-C1/2</t>
  </si>
  <si>
    <t>iQunix Design</t>
  </si>
  <si>
    <t>ZX-1 (air cool)</t>
  </si>
  <si>
    <t>T80</t>
  </si>
  <si>
    <t>Anthe</t>
  </si>
  <si>
    <t>W19</t>
  </si>
  <si>
    <t>120 / 240 / 360</t>
  </si>
  <si>
    <t>4 to 5</t>
  </si>
  <si>
    <t>Archon定制主机</t>
  </si>
  <si>
    <t>Vnano</t>
  </si>
  <si>
    <t>M1 (10.8L)</t>
  </si>
  <si>
    <t>2 to 8</t>
  </si>
  <si>
    <t>D1FX-ATX</t>
  </si>
  <si>
    <t>CL530 / Conswole</t>
  </si>
  <si>
    <t>1.6mm 5052 Al + 0.8mm SECC Steel</t>
  </si>
  <si>
    <t>A40 V3</t>
  </si>
  <si>
    <t>Fire create 火联智造</t>
  </si>
  <si>
    <t>灵刃S1</t>
  </si>
  <si>
    <t>2.5-5mm Al</t>
  </si>
  <si>
    <t>灵刃S2</t>
  </si>
  <si>
    <t>K77 (V3)</t>
  </si>
  <si>
    <t>mITX / mATX (226x186/230x200)</t>
  </si>
  <si>
    <t>A50S (3 slot version)</t>
  </si>
  <si>
    <t>A70</t>
  </si>
  <si>
    <t>D30 PRO (V1)</t>
  </si>
  <si>
    <t>D30 PRO (V2)</t>
  </si>
  <si>
    <t>D32</t>
  </si>
  <si>
    <t>D2S</t>
  </si>
  <si>
    <t>6mm Al</t>
  </si>
  <si>
    <t>SL-A4</t>
  </si>
  <si>
    <t>Ghost S1 Mk III (with L top hat)</t>
  </si>
  <si>
    <t>K77 (V2)</t>
  </si>
  <si>
    <t>mITX / mATX (226x186/230x201)</t>
  </si>
  <si>
    <t>2mm 5052 Al + 0.8mm SECC Steel</t>
  </si>
  <si>
    <t>Gecko 250</t>
  </si>
  <si>
    <t>NEX Classic V2</t>
  </si>
  <si>
    <t>1.5mm Steel</t>
  </si>
  <si>
    <t>N2</t>
  </si>
  <si>
    <t>钢铁匣 Nano</t>
  </si>
  <si>
    <t>Lian Li</t>
  </si>
  <si>
    <t>A4-H2O</t>
  </si>
  <si>
    <t>1.5-2mm Al + 1.5mm SPCC Steel</t>
  </si>
  <si>
    <t>G1 SE</t>
  </si>
  <si>
    <t>T30 / RDX1024</t>
  </si>
  <si>
    <t>INDESIGN STUDIO</t>
  </si>
  <si>
    <t>IN-0 (Open Chassis)</t>
  </si>
  <si>
    <t>G1</t>
  </si>
  <si>
    <t>2.5mm 6061-T6 Al</t>
  </si>
  <si>
    <t>N501</t>
  </si>
  <si>
    <t>SX3 lm 11L rev.1</t>
  </si>
  <si>
    <t>MS01</t>
  </si>
  <si>
    <t>Sans 2</t>
  </si>
  <si>
    <t>II-33 (water cooling)</t>
  </si>
  <si>
    <t>B5</t>
  </si>
  <si>
    <t>xCase LE</t>
  </si>
  <si>
    <t>NANOQ S</t>
  </si>
  <si>
    <t>K90</t>
  </si>
  <si>
    <t>渝岸机箱</t>
  </si>
  <si>
    <t>CTRL-C1</t>
  </si>
  <si>
    <t>2mm 50 Series Al</t>
  </si>
  <si>
    <t>LZ-A4 V1-240</t>
  </si>
  <si>
    <t>Xproto-L</t>
  </si>
  <si>
    <t>Steck (with Stack)</t>
  </si>
  <si>
    <t>A4 Pro</t>
  </si>
  <si>
    <t>120 / 140 / 240 / 280 /w top hat</t>
  </si>
  <si>
    <t>K77 (V4)</t>
  </si>
  <si>
    <t>mITX / mATX (226x186)</t>
  </si>
  <si>
    <t>X70</t>
  </si>
  <si>
    <t>1.2-1.5mm Steel</t>
  </si>
  <si>
    <t>mITX / mATX (235x190)</t>
  </si>
  <si>
    <t>RCC-MID1</t>
  </si>
  <si>
    <t>120 / 2 x 180 / 2 x 200</t>
  </si>
  <si>
    <t>Kompcase</t>
  </si>
  <si>
    <t>Open Mini-ITX Chassis</t>
  </si>
  <si>
    <t>4mm Steel</t>
  </si>
  <si>
    <t>2-3mm 5052 Al</t>
  </si>
  <si>
    <t>M2 mini</t>
  </si>
  <si>
    <t>A4X</t>
  </si>
  <si>
    <t>140 / 280</t>
  </si>
  <si>
    <t>HGL A4</t>
  </si>
  <si>
    <t>JXK-P1</t>
  </si>
  <si>
    <t>T12</t>
  </si>
  <si>
    <t>1-2mm Al</t>
  </si>
  <si>
    <t>X64 V2 (Extended)</t>
  </si>
  <si>
    <t>Motif Monument</t>
  </si>
  <si>
    <t>4.5mm HRPO Steel</t>
  </si>
  <si>
    <t>CS280</t>
  </si>
  <si>
    <t>Al / Plastic</t>
  </si>
  <si>
    <t>M6</t>
  </si>
  <si>
    <t>202(dia)</t>
  </si>
  <si>
    <t>SE Mix</t>
  </si>
  <si>
    <t>Carbon Fibre / Glass</t>
  </si>
  <si>
    <t>RCC-TWR1-12L</t>
  </si>
  <si>
    <t>PC-TU100</t>
  </si>
  <si>
    <t>Acat x Pro (V1)</t>
  </si>
  <si>
    <t>N500 LITE</t>
  </si>
  <si>
    <t>OS1</t>
  </si>
  <si>
    <t>Flex ATX / SFX</t>
  </si>
  <si>
    <t>X6</t>
  </si>
  <si>
    <t>Dual Cool MKIII</t>
  </si>
  <si>
    <t>120 / 240 / 2 x 240</t>
  </si>
  <si>
    <t>N501S</t>
  </si>
  <si>
    <t>mITX / mATX (225x205)</t>
  </si>
  <si>
    <t>A5 Max</t>
  </si>
  <si>
    <t>Logicube iF11</t>
  </si>
  <si>
    <t>1-1.5mm Al</t>
  </si>
  <si>
    <t>mITX / mATX (245x215)</t>
  </si>
  <si>
    <t>mITX / mATX (244x180)</t>
  </si>
  <si>
    <t>Z12</t>
  </si>
  <si>
    <t>Gecko ITX-M</t>
  </si>
  <si>
    <t>Steck v2.0</t>
  </si>
  <si>
    <t>Alphs</t>
  </si>
  <si>
    <t>MATE Q1</t>
  </si>
  <si>
    <t>A4-SFX</t>
  </si>
  <si>
    <t>ZX-1 (water cool)</t>
  </si>
  <si>
    <t>2 to 7</t>
  </si>
  <si>
    <t>Stand R1</t>
  </si>
  <si>
    <t>2mm Al / 5mm Steel</t>
  </si>
  <si>
    <t>S450</t>
  </si>
  <si>
    <t>G1 PRO</t>
  </si>
  <si>
    <t>Raw S1</t>
  </si>
  <si>
    <t>3.5mm 6063 Al</t>
  </si>
  <si>
    <t>S5 (V1)</t>
  </si>
  <si>
    <t>T8 PLUS</t>
  </si>
  <si>
    <t>2.5mm Al + 0.8mm SGCC Steel</t>
  </si>
  <si>
    <t>DICE CASES</t>
  </si>
  <si>
    <t>FLOW</t>
  </si>
  <si>
    <t>Acrylic / Glass / Steel</t>
  </si>
  <si>
    <t>2mm Al + 0.9mm steel</t>
  </si>
  <si>
    <t>T12-TG</t>
  </si>
  <si>
    <t>A12</t>
  </si>
  <si>
    <t>3-8mm 6061-T6 Al</t>
  </si>
  <si>
    <t>Ridge</t>
  </si>
  <si>
    <t>CNCAXE</t>
  </si>
  <si>
    <t>S2cn</t>
  </si>
  <si>
    <t>L1</t>
  </si>
  <si>
    <t>R-Cube 13L rev.1</t>
  </si>
  <si>
    <t>九品创客</t>
  </si>
  <si>
    <t>ESE Hummingbird</t>
  </si>
  <si>
    <t>NCASE</t>
  </si>
  <si>
    <t>M1 V6.1</t>
  </si>
  <si>
    <r>
      <rPr>
        <rFont val="Calibri, sans-serif"/>
        <color rgb="FF000000"/>
        <sz val="11.0"/>
      </rPr>
      <t xml:space="preserve">mITX / mDTX / </t>
    </r>
    <r>
      <rPr>
        <rFont val="Calibri, sans-serif"/>
        <color rgb="FFFF0000"/>
        <sz val="11.0"/>
      </rPr>
      <t>mATX (226x244)</t>
    </r>
  </si>
  <si>
    <t>3 to 9</t>
  </si>
  <si>
    <t>0 to 1 (Slot)</t>
  </si>
  <si>
    <t>G200</t>
  </si>
  <si>
    <t>Glass / Mesh</t>
  </si>
  <si>
    <t>MC14 V2</t>
  </si>
  <si>
    <t>2mm Al + 1mm SPCC Steel</t>
  </si>
  <si>
    <t>MATE 2S</t>
  </si>
  <si>
    <t>M1 (12.8L)</t>
  </si>
  <si>
    <t>2-6mm 6061-T6 Al</t>
  </si>
  <si>
    <t>Acat x Pro (V2)</t>
  </si>
  <si>
    <t>V1.1</t>
  </si>
  <si>
    <t>SXM 12.8L Liquid Cooling</t>
  </si>
  <si>
    <t>C26 (V1)</t>
  </si>
  <si>
    <t>A70 PRO</t>
  </si>
  <si>
    <t>A4 V2 (water cool)</t>
  </si>
  <si>
    <t>SUGO 16</t>
  </si>
  <si>
    <t>120 / 2 x 120</t>
  </si>
  <si>
    <t>V11</t>
  </si>
  <si>
    <t>2.5mm Al + 1mm Steel</t>
  </si>
  <si>
    <t>N1</t>
  </si>
  <si>
    <t>3mm Al + 1mm Steel</t>
  </si>
  <si>
    <t>RCC-BIG1</t>
  </si>
  <si>
    <t>D33 (V1)</t>
  </si>
  <si>
    <t>ZS-OC V1</t>
  </si>
  <si>
    <t>JXK-F3 Youth Edition</t>
  </si>
  <si>
    <t>ACC X11</t>
  </si>
  <si>
    <t>S610</t>
  </si>
  <si>
    <t>2mm 5052 Al + 0.8mm Steel</t>
  </si>
  <si>
    <t>120 / 140 / 240 / 2 x 240 / 280</t>
  </si>
  <si>
    <t>W5</t>
  </si>
  <si>
    <t>C26 (V2)</t>
  </si>
  <si>
    <t>1.5mm Al + 0.5mm SPCC Steel</t>
  </si>
  <si>
    <t>mITX / mATX (226x175)</t>
  </si>
  <si>
    <t>JXK-M2</t>
  </si>
  <si>
    <t>SL-M1</t>
  </si>
  <si>
    <t>X7</t>
  </si>
  <si>
    <t>A4 Max</t>
  </si>
  <si>
    <t>4-15mm 6061 Al</t>
  </si>
  <si>
    <t>SX5 13L Liquid Cooling</t>
  </si>
  <si>
    <t>S5 (V2)</t>
  </si>
  <si>
    <t>Phanteks</t>
  </si>
  <si>
    <t>Evolv Shift XT (Compact)</t>
  </si>
  <si>
    <t>Al + Glass</t>
  </si>
  <si>
    <t>Logicube iF13</t>
  </si>
  <si>
    <t>CASELAIR</t>
  </si>
  <si>
    <t>H'z Mk3s</t>
  </si>
  <si>
    <t>mcprue</t>
  </si>
  <si>
    <t>ApolloTwo</t>
  </si>
  <si>
    <t>H1 (V1)</t>
  </si>
  <si>
    <t>SGCC Steel</t>
  </si>
  <si>
    <t>U50</t>
  </si>
  <si>
    <t>MS4</t>
  </si>
  <si>
    <t>翼王的藏宝阁</t>
  </si>
  <si>
    <t>Vector-1 SE</t>
  </si>
  <si>
    <t>1.5-2mm Al + Steel</t>
  </si>
  <si>
    <t>0 to 7</t>
  </si>
  <si>
    <t>HX BOX 100</t>
  </si>
  <si>
    <t>mITX / mDTX / mATX</t>
  </si>
  <si>
    <t>飞优浦 MX1</t>
  </si>
  <si>
    <t>ALmordor</t>
  </si>
  <si>
    <t>Solar 210 SFF</t>
  </si>
  <si>
    <t>1-1.2mm Al</t>
  </si>
  <si>
    <t>mITX / mATX (236x230)</t>
  </si>
  <si>
    <t>F12</t>
  </si>
  <si>
    <t>5-8mm 6061-T6 Al</t>
  </si>
  <si>
    <t>Vector-1</t>
  </si>
  <si>
    <t>FC10 Alpha</t>
  </si>
  <si>
    <t>K88 (V2)</t>
  </si>
  <si>
    <t>3 to 6</t>
  </si>
  <si>
    <t>B6 V2</t>
  </si>
  <si>
    <t>1.5-3mm 5052 Al</t>
  </si>
  <si>
    <t>D33 (V2)</t>
  </si>
  <si>
    <t>Steck v2.0 (with one top hat)</t>
  </si>
  <si>
    <t>D1FX-ATX-240</t>
  </si>
  <si>
    <t>mITX / mDTX / mATX (244x170)</t>
  </si>
  <si>
    <t>N-ATX V1</t>
  </si>
  <si>
    <t>2.5mm Al + 0.8-1.2mm Steel</t>
  </si>
  <si>
    <t>120 / 140 / 240 / 280 / 360</t>
  </si>
  <si>
    <t>mITX / mDTX / mATX / ATX / E-ATX (305x275)</t>
  </si>
  <si>
    <t>Aerocool</t>
  </si>
  <si>
    <t>Playa Slim</t>
  </si>
  <si>
    <t>0.5mm Steel</t>
  </si>
  <si>
    <t>VALKPC</t>
  </si>
  <si>
    <t>VF-1</t>
  </si>
  <si>
    <t>120 / 140 / 2 x 240 / 2 x 280</t>
  </si>
  <si>
    <t>Rocket V2</t>
  </si>
  <si>
    <t>Toriel</t>
  </si>
  <si>
    <t>1.5-3mm Al + 1mm steel</t>
  </si>
  <si>
    <t>JXK-F4</t>
  </si>
  <si>
    <t>1.5-5mm Al</t>
  </si>
  <si>
    <t>所及上品 电脑配件 臻</t>
  </si>
  <si>
    <t>艾罗拉M40</t>
  </si>
  <si>
    <t>Chancellor Z13 (V1)</t>
  </si>
  <si>
    <t>B-Team Lab</t>
  </si>
  <si>
    <t>BB1</t>
  </si>
  <si>
    <t>CS01</t>
  </si>
  <si>
    <t>CS01-HS</t>
  </si>
  <si>
    <t>1 or 3</t>
  </si>
  <si>
    <t>1 or 7</t>
  </si>
  <si>
    <t>DC-ATX / Flex ATX / SFX / ATX</t>
  </si>
  <si>
    <t>X2</t>
  </si>
  <si>
    <t>240 / 280 /w large hat</t>
  </si>
  <si>
    <t>C26 Youth Edition</t>
  </si>
  <si>
    <t>IN-0</t>
  </si>
  <si>
    <t>CS-101</t>
  </si>
  <si>
    <t>B3</t>
  </si>
  <si>
    <t>1 to 7</t>
  </si>
  <si>
    <t>NSC-800</t>
  </si>
  <si>
    <t>Q58</t>
  </si>
  <si>
    <t>Glass + Mesh</t>
  </si>
  <si>
    <t>D1F-M SFX</t>
  </si>
  <si>
    <t>Vikingdom M1S</t>
  </si>
  <si>
    <t>K88 (V1)</t>
  </si>
  <si>
    <t>ssupd</t>
  </si>
  <si>
    <t>Meshlicious</t>
  </si>
  <si>
    <t>120 / 2 x 120 /140 / 240 / 280</t>
  </si>
  <si>
    <t>3 to 7</t>
  </si>
  <si>
    <t>C4-SFX V1</t>
  </si>
  <si>
    <t>1.5mm Al + 1.2mm Steel</t>
  </si>
  <si>
    <t>120 / 140 / 240 / 2 x 240 / 280 / 2 x 280</t>
  </si>
  <si>
    <t>X70 Pro</t>
  </si>
  <si>
    <t>Chancellor Z13 (V2)</t>
  </si>
  <si>
    <t>Al + Plastic + SECC Steel</t>
  </si>
  <si>
    <t>y</t>
  </si>
  <si>
    <t>S300 (V1)</t>
  </si>
  <si>
    <t>1.5-4mm Al + 0.8mm Steel</t>
  </si>
  <si>
    <t>Oki</t>
  </si>
  <si>
    <t>Oki Case</t>
  </si>
  <si>
    <t>5052 Al</t>
  </si>
  <si>
    <t>JIMU D+ V2.0 (Package D) (D1-3)</t>
  </si>
  <si>
    <t>JIMU D+ V2.0 (Package D) (D4-6)</t>
  </si>
  <si>
    <t>K3 PRO</t>
  </si>
  <si>
    <t>4-12mm T6 Al</t>
  </si>
  <si>
    <t>SpyLabs</t>
  </si>
  <si>
    <t>JOAT 14.9 V1.1</t>
  </si>
  <si>
    <t>2mm 6061 Al</t>
  </si>
  <si>
    <t>Meshroom S</t>
  </si>
  <si>
    <t>Meshroom D</t>
  </si>
  <si>
    <t>N-ATX V2</t>
  </si>
  <si>
    <t>0 to 11</t>
  </si>
  <si>
    <t>BH</t>
  </si>
  <si>
    <t>Gecko ITX-L</t>
  </si>
  <si>
    <t>SV540</t>
  </si>
  <si>
    <t>0.8-1.6mm Steel</t>
  </si>
  <si>
    <t>3 to 8</t>
  </si>
  <si>
    <t>X80 Pro</t>
  </si>
  <si>
    <t>S300 (V2)</t>
  </si>
  <si>
    <t>C2P</t>
  </si>
  <si>
    <t>Abox one</t>
  </si>
  <si>
    <t>5-12mm Al</t>
  </si>
  <si>
    <t>LZX-15</t>
  </si>
  <si>
    <t>120 / 140 / 240</t>
  </si>
  <si>
    <t>0 to 20</t>
  </si>
  <si>
    <t>C4-SFX V2</t>
  </si>
  <si>
    <t>Concept</t>
  </si>
  <si>
    <t>FSP</t>
  </si>
  <si>
    <t>CST110</t>
  </si>
  <si>
    <t>TX1 stl 15L</t>
  </si>
  <si>
    <t>HX BOX 100 PLUS</t>
  </si>
  <si>
    <t>M01</t>
  </si>
  <si>
    <t>2 x 120</t>
  </si>
  <si>
    <t>E15</t>
  </si>
  <si>
    <t>0.8-1mm Steel</t>
  </si>
  <si>
    <t>C26 PLUS</t>
  </si>
  <si>
    <t>2mm Al + 1.2mm Steel</t>
  </si>
  <si>
    <t>H1 (V2)</t>
  </si>
  <si>
    <t>Winter Design</t>
  </si>
  <si>
    <t>Winter One</t>
  </si>
  <si>
    <t>2.5-7.5mm Al</t>
  </si>
  <si>
    <t>D35 (V2)</t>
  </si>
  <si>
    <t>G5 MAX</t>
  </si>
  <si>
    <t>0.7-1mm Steel</t>
  </si>
  <si>
    <t>MILO 12</t>
  </si>
  <si>
    <t>M01 (mATX mode)</t>
  </si>
  <si>
    <t>M01 (mITX mode)</t>
  </si>
  <si>
    <t>M01 (Sandwich mode)</t>
  </si>
  <si>
    <t>Zapustar M03</t>
  </si>
  <si>
    <t>Evolv Shift XT (Air Boost)</t>
  </si>
  <si>
    <t>2-3mm Al + 1.5mm Steel</t>
  </si>
  <si>
    <t>Jonsplus</t>
  </si>
  <si>
    <t>BO 100</t>
  </si>
  <si>
    <t>2mm Al + 0.8-1.5mm Steel</t>
  </si>
  <si>
    <t>ML03</t>
  </si>
  <si>
    <t>Plastic + 0.8mm SECC Steel</t>
  </si>
  <si>
    <t>92 /120</t>
  </si>
  <si>
    <t>野望嚴選 企業店</t>
  </si>
  <si>
    <t>Minichariot Z2</t>
  </si>
  <si>
    <t>Al + 1.5-2mm Steel</t>
  </si>
  <si>
    <t>D35 (V1)</t>
  </si>
  <si>
    <t>NCORE 100 MAX (Normal)</t>
  </si>
  <si>
    <t>Al + Plastic + Steel</t>
  </si>
  <si>
    <t>Steck v2.0 (with two top hats)</t>
  </si>
  <si>
    <t>C6-ITX</t>
  </si>
  <si>
    <t>0.7mm Steel</t>
  </si>
  <si>
    <t>C6</t>
  </si>
  <si>
    <t>Hadron Air</t>
  </si>
  <si>
    <t>S500</t>
  </si>
  <si>
    <t>D1F-M ATX</t>
  </si>
  <si>
    <t>2mm Al + 0.8mm SPCC Steel</t>
  </si>
  <si>
    <t>Q100</t>
  </si>
  <si>
    <t>Barrowch Neoclassical</t>
  </si>
  <si>
    <t>1?</t>
  </si>
  <si>
    <t>Gecko XL</t>
  </si>
  <si>
    <t>92 / 120 / 240</t>
  </si>
  <si>
    <t>ML04</t>
  </si>
  <si>
    <t>Gecko XL V2</t>
  </si>
  <si>
    <t>艾罗拉M40 Plus</t>
  </si>
  <si>
    <t>N601 (A mode)</t>
  </si>
  <si>
    <t>Acrylic + 1214 Al frame</t>
  </si>
  <si>
    <t>N601 (B mode)</t>
  </si>
  <si>
    <t>NANOQ R</t>
  </si>
  <si>
    <t>Hydra Micro</t>
  </si>
  <si>
    <t>2mm AI + 304 Steel</t>
  </si>
  <si>
    <t>Mili Mini</t>
  </si>
  <si>
    <t>S620</t>
  </si>
  <si>
    <t>1 to 9</t>
  </si>
  <si>
    <t>Xproto-ATX</t>
  </si>
  <si>
    <t>1.5-4mm Al + 0.8mm steel</t>
  </si>
  <si>
    <t>mITX / mATX (240x195)</t>
  </si>
  <si>
    <t>托马霍克数码专营店</t>
  </si>
  <si>
    <t>小蜜蜂</t>
  </si>
  <si>
    <t>0.45mm SPCC Steel</t>
  </si>
  <si>
    <t>2mm Al + 0.8-1mm SGCC Steel</t>
  </si>
  <si>
    <t>Gecko Air ATX</t>
  </si>
  <si>
    <t>Rocket Heavy</t>
  </si>
  <si>
    <t>Glass / Mesh / Wood</t>
  </si>
  <si>
    <t>120 / 2 x 120 / 240</t>
  </si>
  <si>
    <t>Gecko 320</t>
  </si>
  <si>
    <t>NSC-810</t>
  </si>
  <si>
    <t>NSC-810A</t>
  </si>
  <si>
    <t>X90 Pro</t>
  </si>
  <si>
    <t>爱国者DIY京东自营官方旗舰店</t>
  </si>
  <si>
    <t>爱国者 Aigo YOGO S1</t>
  </si>
  <si>
    <t>0.8mm SECC Steel</t>
  </si>
  <si>
    <t>darkFlash</t>
  </si>
  <si>
    <t>DLH 21</t>
  </si>
  <si>
    <t>Golden Field</t>
  </si>
  <si>
    <t>Plastic + 0.5mm Steel</t>
  </si>
  <si>
    <t>mITX / mATX (226x180)</t>
  </si>
  <si>
    <t>M8</t>
  </si>
  <si>
    <t>Toriel XL MK2</t>
  </si>
  <si>
    <t>Meshroom S (with extender bracket)</t>
  </si>
  <si>
    <t>Meshroom D (with extender bracket)</t>
  </si>
  <si>
    <t>Apollo SE</t>
  </si>
  <si>
    <t>6063 Al</t>
  </si>
  <si>
    <t>PC-Q50</t>
  </si>
  <si>
    <t>Evolv Shift XT (Liquid Cooled)</t>
  </si>
  <si>
    <t>Variable</t>
  </si>
  <si>
    <t>K88 (V3)</t>
  </si>
  <si>
    <t>NCORE 100 MAX (Expanded)</t>
  </si>
  <si>
    <t>Ghost R1</t>
  </si>
  <si>
    <t>RCC-BIG2 (17.5L)</t>
  </si>
  <si>
    <t>Artesian Builds</t>
  </si>
  <si>
    <t>Pluto</t>
  </si>
  <si>
    <t>120 / 140 / 200</t>
  </si>
  <si>
    <t>ITX-S8</t>
  </si>
  <si>
    <t>LP-matx</t>
  </si>
  <si>
    <t>120 / 240 / 3 x 240</t>
  </si>
  <si>
    <t>SV590</t>
  </si>
  <si>
    <t>SV590 V2</t>
  </si>
  <si>
    <t>14 to 19</t>
  </si>
  <si>
    <t>C28</t>
  </si>
  <si>
    <t>Pro Cube Mini</t>
  </si>
  <si>
    <t>N3</t>
  </si>
  <si>
    <t>V10</t>
  </si>
  <si>
    <t>Z18 (window)</t>
  </si>
  <si>
    <t>Window</t>
  </si>
  <si>
    <t>Z18 (vented)</t>
  </si>
  <si>
    <t>MasterBox NR200</t>
  </si>
  <si>
    <t>Mesh + Plastic + SGCC Steel</t>
  </si>
  <si>
    <t>92 / 120 / 140 / 240 / 280</t>
  </si>
  <si>
    <t>mITX / mDTX / mATX (226x244)</t>
  </si>
  <si>
    <t>MasterBox NR200P</t>
  </si>
  <si>
    <t>MasterBox NR200P V2</t>
  </si>
  <si>
    <t>DB4</t>
  </si>
  <si>
    <t>0 to 12</t>
  </si>
  <si>
    <t>Apollo S 3.0</t>
  </si>
  <si>
    <t>NR200P MAX</t>
  </si>
  <si>
    <t>HYTE</t>
  </si>
  <si>
    <t>Revolt 3</t>
  </si>
  <si>
    <t>F12PRO</t>
  </si>
  <si>
    <t>Hadron Hydro</t>
  </si>
  <si>
    <t>SC</t>
  </si>
  <si>
    <t>Nanoxia</t>
  </si>
  <si>
    <t>Project S Mini Rev B</t>
  </si>
  <si>
    <t>Logicube iF17</t>
  </si>
  <si>
    <t>0.8-1mm SPCC Steel</t>
  </si>
  <si>
    <t>mITX / mATX (244x226)</t>
  </si>
  <si>
    <t>Avium</t>
  </si>
  <si>
    <t>Glass / Wood</t>
  </si>
  <si>
    <t>RCC-BIG2 (18.8L)</t>
  </si>
  <si>
    <t>G400</t>
  </si>
  <si>
    <t>C1S</t>
  </si>
  <si>
    <t>H'z Mk5A</t>
  </si>
  <si>
    <t>mITX / mDTX / mATX / ATX / E-ATX (305x280)</t>
  </si>
  <si>
    <t>H'z Mk5L</t>
  </si>
  <si>
    <t>Treasure V1.2</t>
  </si>
  <si>
    <t>Flex ATX / SFX / SFX-L / ATX</t>
  </si>
  <si>
    <t>Deepcool</t>
  </si>
  <si>
    <t>CH160</t>
  </si>
  <si>
    <t>ABS + SPCC Steel</t>
  </si>
  <si>
    <t>SG15</t>
  </si>
  <si>
    <t>S18</t>
  </si>
  <si>
    <t>1.5-2mm Steel</t>
  </si>
  <si>
    <t>K99</t>
  </si>
  <si>
    <t>mITX / mATX / ATX / E-ATX (310x270)</t>
  </si>
  <si>
    <t>艾罗拉M40 ATX电源版</t>
  </si>
  <si>
    <t>Sharky 170I ITX</t>
  </si>
  <si>
    <t>1.5-2mm Al + 0.6-1.2mm SPCC Steel</t>
  </si>
  <si>
    <t>Gecko WXL</t>
  </si>
  <si>
    <t>SilverLining 160 ITX</t>
  </si>
  <si>
    <t>1.5mm Al + 0.6-1.2mm SPCC Steel</t>
  </si>
  <si>
    <t>SilverLining 160G ITX</t>
  </si>
  <si>
    <t>F15PRO</t>
  </si>
  <si>
    <t>5-6mm 6061-T6 Al</t>
  </si>
  <si>
    <t>SG14</t>
  </si>
  <si>
    <t>N4</t>
  </si>
  <si>
    <t>0.7mm Steel + Wood</t>
  </si>
  <si>
    <t>anidees</t>
  </si>
  <si>
    <t>AI Atomic</t>
  </si>
  <si>
    <t>Plastic + 0.8-1.2mm SGCC Steel</t>
  </si>
  <si>
    <t>Protolyth</t>
  </si>
  <si>
    <t>Slate-Case AQ</t>
  </si>
  <si>
    <t>AZZA</t>
  </si>
  <si>
    <t>PYRAMID Mini 806</t>
  </si>
  <si>
    <t>2mm Al + 1.5mm SPCC Steel</t>
  </si>
  <si>
    <t>Cerberus</t>
  </si>
  <si>
    <t>Gecko WXL V2</t>
  </si>
  <si>
    <t>MNLT</t>
  </si>
  <si>
    <t>1.5mm Al + 0.8mm Steel</t>
  </si>
  <si>
    <t>RCC-BIG560</t>
  </si>
  <si>
    <t>120 / 140 / 240 / 280 / 240 + 280 / 2 x 280 / 3 x 280</t>
  </si>
  <si>
    <t>2-4mm Al + 0.8mm Steel</t>
  </si>
  <si>
    <t>Segotep</t>
  </si>
  <si>
    <t>Slath mini</t>
  </si>
  <si>
    <t>VR3</t>
  </si>
  <si>
    <t>1-1.5mm Steel</t>
  </si>
  <si>
    <t>QBX</t>
  </si>
  <si>
    <t>PC-O5</t>
  </si>
  <si>
    <t>DA6</t>
  </si>
  <si>
    <t>6063 Al + 304 Steel</t>
  </si>
  <si>
    <r>
      <rPr>
        <rFont val="Calibri, sans-serif"/>
        <b/>
        <color rgb="FF000000"/>
        <sz val="11.0"/>
      </rPr>
      <t>SFF.Net</t>
    </r>
    <r>
      <rPr>
        <rFont val="Calibri, sans-serif"/>
        <b/>
        <color rgb="FF000000"/>
        <sz val="11.0"/>
      </rPr>
      <t xml:space="preserve"> Link</t>
    </r>
  </si>
  <si>
    <t>Scythe</t>
  </si>
  <si>
    <t>Otter</t>
  </si>
  <si>
    <t>SECC Steel</t>
  </si>
  <si>
    <t>Cascade Labs</t>
  </si>
  <si>
    <t>SUB-20</t>
  </si>
  <si>
    <t>120 / 240 / 4 x 240</t>
  </si>
  <si>
    <t>Z20</t>
  </si>
  <si>
    <t>W20</t>
  </si>
  <si>
    <t>AC Mod</t>
  </si>
  <si>
    <t>虚数空间360i</t>
  </si>
  <si>
    <t>F15 MAX</t>
  </si>
  <si>
    <t>Mood</t>
  </si>
  <si>
    <t>Fabric</t>
  </si>
  <si>
    <t>ROCKET COMPLEX</t>
  </si>
  <si>
    <t>Glass / Al</t>
  </si>
  <si>
    <t>C+ Max</t>
  </si>
  <si>
    <t>A6M-atx</t>
  </si>
  <si>
    <t>C4</t>
  </si>
  <si>
    <t>Seiya 180 MATX</t>
  </si>
  <si>
    <t>2mm Al + 0.8-1m SPCC Steel</t>
  </si>
  <si>
    <t>DUST 2</t>
  </si>
  <si>
    <t>SAMA</t>
  </si>
  <si>
    <t>IS</t>
  </si>
  <si>
    <t>0.7-0.9mm SPCC Steel</t>
  </si>
  <si>
    <t>C350M</t>
  </si>
  <si>
    <t>8mm Al + 0.8mm SECC Steel</t>
  </si>
  <si>
    <t>X99 Pro</t>
  </si>
  <si>
    <t>XL3</t>
  </si>
  <si>
    <t>Riotoro</t>
  </si>
  <si>
    <t>CR280</t>
  </si>
  <si>
    <t>1.5-1.8mm Al</t>
  </si>
  <si>
    <t>DA6 XL</t>
  </si>
  <si>
    <t>Al + 0.8mm SECC Steel</t>
  </si>
  <si>
    <t>mITX / mATX / ATX / E-ATX (315x315)</t>
  </si>
  <si>
    <t>DS380</t>
  </si>
  <si>
    <t>4 to 12</t>
  </si>
  <si>
    <t>C3</t>
  </si>
  <si>
    <t>A1 Plus</t>
  </si>
  <si>
    <t>A1 Prime</t>
  </si>
  <si>
    <t>IM01</t>
  </si>
  <si>
    <t>MONTECH</t>
  </si>
  <si>
    <t>SKY ONE MINI</t>
  </si>
  <si>
    <t>0.8mm SGCC Steel</t>
  </si>
  <si>
    <t>Treasure Pro</t>
  </si>
  <si>
    <t>Flex ATX / 1U / SFX / SFX-L</t>
  </si>
  <si>
    <t>Sapphire</t>
  </si>
  <si>
    <t>VR1</t>
  </si>
  <si>
    <t>C1</t>
  </si>
  <si>
    <t>SG02-F</t>
  </si>
  <si>
    <t>9 to 12</t>
  </si>
  <si>
    <t>Evolv Shift</t>
  </si>
  <si>
    <t>Evolv Shift Air</t>
  </si>
  <si>
    <t>Core V1</t>
  </si>
  <si>
    <t>CS351</t>
  </si>
  <si>
    <t>8 to 13</t>
  </si>
  <si>
    <t>Evolv Shift 2</t>
  </si>
  <si>
    <t>Evolv Shift 2 Air</t>
  </si>
  <si>
    <t>Cerberus X</t>
  </si>
  <si>
    <t>mITX / mATX / ATX / SSI-EEB</t>
  </si>
  <si>
    <t>Gecko V</t>
  </si>
  <si>
    <t>5 to 6</t>
  </si>
  <si>
    <t>Abyss ITX</t>
  </si>
  <si>
    <t>Ultra Star</t>
  </si>
  <si>
    <t>Gecko V V2</t>
  </si>
  <si>
    <t>AeroCool</t>
  </si>
  <si>
    <t>CS-109</t>
  </si>
  <si>
    <t>ABS + 0.5mm SPCC Steel</t>
  </si>
  <si>
    <t>Evo Mini</t>
  </si>
  <si>
    <t>0.5mm SPCC Steel</t>
  </si>
  <si>
    <t>CS-107</t>
  </si>
  <si>
    <t>ABS + 0.45mm SPCC Steel</t>
  </si>
  <si>
    <t>1.5mm Al + 0.8-1mm SPCC Steel</t>
  </si>
  <si>
    <t>C1+</t>
  </si>
  <si>
    <t>CS-104</t>
  </si>
  <si>
    <t>ABS + 0.4mm SPCC Steel</t>
  </si>
  <si>
    <t>CS-106</t>
  </si>
  <si>
    <t>CS-105</t>
  </si>
  <si>
    <t>ABS + Acrylic + 0.5mm SPCC Steel</t>
  </si>
  <si>
    <t>Stratos ITX</t>
  </si>
  <si>
    <t>Vault 2</t>
  </si>
  <si>
    <t>Wood + Steel</t>
  </si>
  <si>
    <t>C3P</t>
  </si>
  <si>
    <t>120 / 240 / 360 / 2 x 360</t>
  </si>
  <si>
    <t>Razer</t>
  </si>
  <si>
    <t>Tomahawk Mini-ITX</t>
  </si>
  <si>
    <t>CS-102</t>
  </si>
  <si>
    <t>0.4mm Steel</t>
  </si>
  <si>
    <t>G.Skill</t>
  </si>
  <si>
    <t>Z5i</t>
  </si>
  <si>
    <t>2mm Al + 1-1.2mm SGCC Steel</t>
  </si>
  <si>
    <t>F12C</t>
  </si>
  <si>
    <t>2 to 24</t>
  </si>
  <si>
    <t>5 to 12</t>
  </si>
  <si>
    <t>Corsair</t>
  </si>
  <si>
    <t>2000D AIRFLOW</t>
  </si>
  <si>
    <t>5 to 8</t>
  </si>
  <si>
    <t>2000D RGB AIRFLOW</t>
  </si>
  <si>
    <t>Ophion Elite</t>
  </si>
  <si>
    <t>M25</t>
  </si>
  <si>
    <t>Cryorig</t>
  </si>
  <si>
    <t>TAKU</t>
  </si>
  <si>
    <t>Sparkle 170M Lite</t>
  </si>
  <si>
    <t>0.6-1mm SPCC Steel</t>
  </si>
  <si>
    <t>Sparkle 170M Matx</t>
  </si>
  <si>
    <t>1.5mm Al +0.6-1.2mm SPCC Steel</t>
  </si>
  <si>
    <t>ABEE</t>
  </si>
  <si>
    <t>AS Enclosure RS07</t>
  </si>
  <si>
    <t>1.2-25mm Al + SPCC Steel</t>
  </si>
  <si>
    <t>T90</t>
  </si>
  <si>
    <t>LD03</t>
  </si>
  <si>
    <t>LD03-AF</t>
  </si>
  <si>
    <t>2-2.5mm Al + 1mm Steel</t>
  </si>
  <si>
    <t>V12</t>
  </si>
  <si>
    <t>4-6mm 6061-T6 Al</t>
  </si>
  <si>
    <t>120 + 240</t>
  </si>
  <si>
    <t>CS-108</t>
  </si>
  <si>
    <t>Salvo Studios</t>
  </si>
  <si>
    <t>S700</t>
  </si>
  <si>
    <t>2 x 280</t>
  </si>
  <si>
    <t>i 100 Pro</t>
  </si>
  <si>
    <t>3mm Al + 1-1.5mm Steel</t>
  </si>
  <si>
    <t>120 / 240 / 280 / 360</t>
  </si>
  <si>
    <t>AS Enclosure W1</t>
  </si>
  <si>
    <t>1.2-3mm Al</t>
  </si>
  <si>
    <t>120 +240</t>
  </si>
  <si>
    <t>IM01 Pro (without top hat)</t>
  </si>
  <si>
    <t>SUGO 17</t>
  </si>
  <si>
    <t>120 / 140 / 240 / 280 / 360 / 2 x 360</t>
  </si>
  <si>
    <t>4 to 7</t>
  </si>
  <si>
    <t>A3-mATX</t>
  </si>
  <si>
    <t>4 to 10</t>
  </si>
  <si>
    <t>D30</t>
  </si>
  <si>
    <t>1.5mm Al + 0.6mm Steel</t>
  </si>
  <si>
    <t>120 / 140 / 240 / 2 x 240</t>
  </si>
  <si>
    <t>FARA 311</t>
  </si>
  <si>
    <t>Meshify 2 Nano</t>
  </si>
  <si>
    <t>H210</t>
  </si>
  <si>
    <t>H210i</t>
  </si>
  <si>
    <t>BX-10B-OP</t>
  </si>
  <si>
    <t>0.6mm SPCC Steel</t>
  </si>
  <si>
    <t>Project S Midi Rev B</t>
  </si>
  <si>
    <t>Define 7 Nano</t>
  </si>
  <si>
    <t>1.5-4mm Al + 1mm SGCC Steel</t>
  </si>
  <si>
    <t>Spark</t>
  </si>
  <si>
    <t>0.6-0.8mm SPCC Steel</t>
  </si>
  <si>
    <t>Cooler Master</t>
  </si>
  <si>
    <t>Q300L V2</t>
  </si>
  <si>
    <t>IM01 Pro (with top hat)</t>
  </si>
  <si>
    <t>Rebel C20 ITX</t>
  </si>
  <si>
    <t>1.5-2mm Al + 1mm SGCC Steel</t>
  </si>
  <si>
    <t>120 + 140</t>
  </si>
  <si>
    <t>Eclipse P200A Performance</t>
  </si>
  <si>
    <t>C34 pro</t>
  </si>
  <si>
    <t>120 / 140 / 240 / 2x240 / 280 / 360 / 2x360</t>
  </si>
  <si>
    <t>Meshify 2 Mini</t>
  </si>
  <si>
    <t>M60</t>
  </si>
  <si>
    <t>GD11</t>
  </si>
  <si>
    <t>mITX / mATX / ATX / SSI-CEB</t>
  </si>
  <si>
    <t>ALTA G1M</t>
  </si>
  <si>
    <t>Define 7 Mini</t>
  </si>
  <si>
    <t>G500</t>
  </si>
  <si>
    <t>D31</t>
  </si>
  <si>
    <t>0.6-0.7mm Steel</t>
  </si>
  <si>
    <t>TK-1</t>
  </si>
  <si>
    <t>1-2.5mm Steel</t>
  </si>
  <si>
    <t>FT03</t>
  </si>
  <si>
    <t>The Tower 100 Mini</t>
  </si>
  <si>
    <t>Asus</t>
  </si>
  <si>
    <t>Prime AP201</t>
  </si>
  <si>
    <t>Meshify C Mini</t>
  </si>
  <si>
    <t>QUBE 500</t>
  </si>
  <si>
    <t>mITX / mDTX / mATX / ATX / E-ATX (305x296)</t>
  </si>
  <si>
    <t>Spark Pro</t>
  </si>
  <si>
    <t>MeshBox</t>
  </si>
  <si>
    <t>Enthoo Evolv ITX</t>
  </si>
  <si>
    <t>Enthoo Evolv ITX TG</t>
  </si>
  <si>
    <t>U4 Pro</t>
  </si>
  <si>
    <t>0.6-1.2mm Steel</t>
  </si>
  <si>
    <t>Torrent Nano</t>
  </si>
  <si>
    <t>mITX / mATX / ATX / E-ATX (305x279)</t>
  </si>
  <si>
    <t>Cute Pet</t>
  </si>
  <si>
    <t>Taobao / Tmall / JD English Agents</t>
  </si>
  <si>
    <t>Bhiner</t>
  </si>
  <si>
    <t>https://www.bhiner.com/</t>
  </si>
  <si>
    <t>Cssbuy</t>
  </si>
  <si>
    <t>https://www.cssbuy.com/</t>
  </si>
  <si>
    <t>Superbuy</t>
  </si>
  <si>
    <t>https://www.superbuy.com/en/</t>
  </si>
  <si>
    <t>Wegobuy</t>
  </si>
  <si>
    <t>https://www.wegobuy.com/en/</t>
  </si>
  <si>
    <t>Yoybuy</t>
  </si>
  <si>
    <t>https://www.yoybuy.com/</t>
  </si>
  <si>
    <t>Brand</t>
  </si>
  <si>
    <t>Cooler</t>
  </si>
  <si>
    <t>Type</t>
  </si>
  <si>
    <t>Length (mm)</t>
  </si>
  <si>
    <t>Width (mm)</t>
  </si>
  <si>
    <t>Height (mm)</t>
  </si>
  <si>
    <t>Weight (g)</t>
  </si>
  <si>
    <t>Heatsink Material</t>
  </si>
  <si>
    <t>Heatpipes</t>
  </si>
  <si>
    <t>TDP (W)</t>
  </si>
  <si>
    <t>RAM Clearance (mm)</t>
  </si>
  <si>
    <t>Fan Size (mm)</t>
  </si>
  <si>
    <t>Max Fan Speed (RPM)</t>
  </si>
  <si>
    <t>Max Air Flow (CFM)</t>
  </si>
  <si>
    <t>Max Static Pressure (mmH2O)</t>
  </si>
  <si>
    <t>Max Noise (dB(A))</t>
  </si>
  <si>
    <t>AMD FM1 / FM2(+) / AM2(+) / AM3(+)</t>
  </si>
  <si>
    <t>AMD AM4 / AM5</t>
  </si>
  <si>
    <t>Intel 775</t>
  </si>
  <si>
    <t>Intel 115X / 1200</t>
  </si>
  <si>
    <t>Intel 1366</t>
  </si>
  <si>
    <t>Intel 1700</t>
  </si>
  <si>
    <t>Intel 2011 / 2066</t>
  </si>
  <si>
    <t>Remarks</t>
  </si>
  <si>
    <t>Thermaltake</t>
  </si>
  <si>
    <t>Top Down</t>
  </si>
  <si>
    <t>No limit</t>
  </si>
  <si>
    <t>60x60x12.6</t>
  </si>
  <si>
    <t>Metalfish</t>
  </si>
  <si>
    <t>Z22</t>
  </si>
  <si>
    <t>Blower</t>
  </si>
  <si>
    <t>50x50x?</t>
  </si>
  <si>
    <t>ID-Cooling</t>
  </si>
  <si>
    <t>80x80x10</t>
  </si>
  <si>
    <t>IS-27i</t>
  </si>
  <si>
    <t>60x60x21</t>
  </si>
  <si>
    <t>Zalman</t>
  </si>
  <si>
    <t>CNPS2X</t>
  </si>
  <si>
    <t>Copper</t>
  </si>
  <si>
    <t>Thermolab/Cooltek</t>
  </si>
  <si>
    <t>ITX30</t>
  </si>
  <si>
    <t>92x92x12</t>
  </si>
  <si>
    <t>IS-30A</t>
  </si>
  <si>
    <t>IS-30i</t>
  </si>
  <si>
    <t>S950M</t>
  </si>
  <si>
    <t>92x92x17</t>
  </si>
  <si>
    <t>Reeven</t>
  </si>
  <si>
    <t>Vanxie</t>
  </si>
  <si>
    <t>80x80x10.8</t>
  </si>
  <si>
    <t>Kodati</t>
  </si>
  <si>
    <t>NT08-115XP</t>
  </si>
  <si>
    <t>Jonsbo</t>
  </si>
  <si>
    <t>HP400</t>
  </si>
  <si>
    <t>92x92x15</t>
  </si>
  <si>
    <t>Z36</t>
  </si>
  <si>
    <t>Thermalright</t>
  </si>
  <si>
    <t>AXP90-X36</t>
  </si>
  <si>
    <t>AXP90-X36 BLACK</t>
  </si>
  <si>
    <t>HP-400S Black</t>
  </si>
  <si>
    <t>HP-400S White</t>
  </si>
  <si>
    <t>Noctua</t>
  </si>
  <si>
    <t>92x92x14</t>
  </si>
  <si>
    <t>NH-L9a-AM4</t>
  </si>
  <si>
    <t>NH-L9a-AM4 chromax.black</t>
  </si>
  <si>
    <t>NH-L9a-AM5</t>
  </si>
  <si>
    <t>NH-L9a-AM5 chromax.black</t>
  </si>
  <si>
    <t>NH-L9i</t>
  </si>
  <si>
    <t>NH-L9i chromax.black</t>
  </si>
  <si>
    <t>NH-L9i-17xx</t>
  </si>
  <si>
    <t>NH-L9i-17xx chromax.black</t>
  </si>
  <si>
    <t>Iceberg Thermal</t>
  </si>
  <si>
    <t>IceFLOE T65</t>
  </si>
  <si>
    <t>80x80x25</t>
  </si>
  <si>
    <t>Jitte</t>
  </si>
  <si>
    <t>Jitte Plus (Single fan)</t>
  </si>
  <si>
    <t>Z39</t>
  </si>
  <si>
    <t>92x92x15.4</t>
  </si>
  <si>
    <t>HP400S</t>
  </si>
  <si>
    <t>HP400S NEW</t>
  </si>
  <si>
    <t>Kozuti</t>
  </si>
  <si>
    <t>Gelid</t>
  </si>
  <si>
    <t>Slim Silence Black</t>
  </si>
  <si>
    <t>Raijintek</t>
  </si>
  <si>
    <t>Alpenfohn</t>
  </si>
  <si>
    <t>Silvretta</t>
  </si>
  <si>
    <t>AMD</t>
  </si>
  <si>
    <t>92x92x25</t>
  </si>
  <si>
    <t>be quiet!</t>
  </si>
  <si>
    <t>PURE ROCK LP</t>
  </si>
  <si>
    <t>IS-40X V2</t>
  </si>
  <si>
    <t>Prolimatech</t>
  </si>
  <si>
    <t>Samuel 17</t>
  </si>
  <si>
    <t>No fan included. Compatible with 120mm fan</t>
  </si>
  <si>
    <t>HX4170D Black</t>
  </si>
  <si>
    <t>92x92x12.5</t>
  </si>
  <si>
    <t>HX4170D White</t>
  </si>
  <si>
    <t>120x120x15</t>
  </si>
  <si>
    <t>Use any 120mm slim 15mm fan</t>
  </si>
  <si>
    <t>Blackridge (Low profile mode) (92mm fan)</t>
  </si>
  <si>
    <t>Black ridge compatibility mockups</t>
  </si>
  <si>
    <t>Panorama 2</t>
  </si>
  <si>
    <t>92x92x16</t>
  </si>
  <si>
    <t>C7</t>
  </si>
  <si>
    <t>C7 RGB</t>
  </si>
  <si>
    <t>IS-47K</t>
  </si>
  <si>
    <t>IS-47K motherboard compatibility</t>
  </si>
  <si>
    <t>IS-47S</t>
  </si>
  <si>
    <t>IS-47-XT</t>
  </si>
  <si>
    <t>IS-47-XT WHITE</t>
  </si>
  <si>
    <t>Intel</t>
  </si>
  <si>
    <t>Laminar RS1</t>
  </si>
  <si>
    <t>Laminar RM1</t>
  </si>
  <si>
    <t>Stock Cooler</t>
  </si>
  <si>
    <t>AXP-90 FULL BLACK</t>
  </si>
  <si>
    <t>Mounting screws are very long and may hit the motherboard tray. It may also hit the PCIe riser in a sandwich SFF case</t>
  </si>
  <si>
    <t>AXP-90i</t>
  </si>
  <si>
    <t>AXP-90i FULL</t>
  </si>
  <si>
    <t>AXP-90R</t>
  </si>
  <si>
    <t>AXP-90R FULL</t>
  </si>
  <si>
    <t>AXP90-X47</t>
  </si>
  <si>
    <t>AXP90-X47 BLACK</t>
  </si>
  <si>
    <t>AXP90-X47 FULL</t>
  </si>
  <si>
    <t>AXP90-X47 WHITE</t>
  </si>
  <si>
    <t>Hydrogon H90 ARGB</t>
  </si>
  <si>
    <t>NT08-115X</t>
  </si>
  <si>
    <t>Soplay</t>
  </si>
  <si>
    <t>SP-4L</t>
  </si>
  <si>
    <t>DeepCool</t>
  </si>
  <si>
    <t>AN400</t>
  </si>
  <si>
    <t>PCCooler</t>
  </si>
  <si>
    <t>GI-56U</t>
  </si>
  <si>
    <t>AXP90-X53</t>
  </si>
  <si>
    <t>AXP90-X53 BLACK</t>
  </si>
  <si>
    <t>AXP90-X53 FULL</t>
  </si>
  <si>
    <t>AXP90-X53 FULL BLACK</t>
  </si>
  <si>
    <t>AXP90-X53 WHITE</t>
  </si>
  <si>
    <t>LP53</t>
  </si>
  <si>
    <t>KR01</t>
  </si>
  <si>
    <t>80x80x15</t>
  </si>
  <si>
    <t>IS-60 V2</t>
  </si>
  <si>
    <t>IS-50X</t>
  </si>
  <si>
    <t>IS-50X V2</t>
  </si>
  <si>
    <t>IS-55</t>
  </si>
  <si>
    <t>IS-55 BLACK</t>
  </si>
  <si>
    <t>IS-55 ARGB</t>
  </si>
  <si>
    <t>IS-55 ARGB WHITE</t>
  </si>
  <si>
    <t>120x120x12</t>
  </si>
  <si>
    <t>108x101x14</t>
  </si>
  <si>
    <t>Brontes</t>
  </si>
  <si>
    <t>100x100x12</t>
  </si>
  <si>
    <t>120x120x25</t>
  </si>
  <si>
    <t>92x92x15 + 120x120x15</t>
  </si>
  <si>
    <t>HX6200D Black</t>
  </si>
  <si>
    <t>HX6200D White</t>
  </si>
  <si>
    <t>IS-60 EVO ARGB</t>
  </si>
  <si>
    <t>IS-6K</t>
  </si>
  <si>
    <t>Arctic</t>
  </si>
  <si>
    <t>Alpine 23</t>
  </si>
  <si>
    <t>Alpine 23 CO</t>
  </si>
  <si>
    <t>NH-L9x65 chromax.black</t>
  </si>
  <si>
    <t>HP-600 Black</t>
  </si>
  <si>
    <t>HP-600 White</t>
  </si>
  <si>
    <t>NH-L12 Ghost S1 Edition</t>
  </si>
  <si>
    <t>AR09-AM4</t>
  </si>
  <si>
    <t>Single Tower</t>
  </si>
  <si>
    <t>60x60x25</t>
  </si>
  <si>
    <t>AN600</t>
  </si>
  <si>
    <t>IS-67-XT BLACK</t>
  </si>
  <si>
    <t>IS-67-XT WHITE</t>
  </si>
  <si>
    <t>Big Shuriken 3 Rev.B</t>
  </si>
  <si>
    <t>AXP120-X67</t>
  </si>
  <si>
    <t>AXP120-X67 BLACK ARGB</t>
  </si>
  <si>
    <t>AXP120-X67 WHITE ARGB</t>
  </si>
  <si>
    <t>150x140x13</t>
  </si>
  <si>
    <t>120x120x13</t>
  </si>
  <si>
    <t>Passive</t>
  </si>
  <si>
    <t>Laminar RH1</t>
  </si>
  <si>
    <t>Big Shuriken 3</t>
  </si>
  <si>
    <t>120x120x17</t>
  </si>
  <si>
    <t>Big Shuriken 3 RGB</t>
  </si>
  <si>
    <t>Review by Aris</t>
  </si>
  <si>
    <t>AXP-200 Muscle</t>
  </si>
  <si>
    <t>AXP-200R</t>
  </si>
  <si>
    <t>140x140x13</t>
  </si>
  <si>
    <t>SHADOW ROCK LP</t>
  </si>
  <si>
    <t>IS-50 MAX RGB</t>
  </si>
  <si>
    <t>NH-L12Sx77</t>
  </si>
  <si>
    <t>SI-100</t>
  </si>
  <si>
    <t>SI-100 BLACK</t>
  </si>
  <si>
    <t>SI-100 WHITE ARGB</t>
  </si>
  <si>
    <t>SE-904-XT SLIM</t>
  </si>
  <si>
    <t>Dual Tower</t>
  </si>
  <si>
    <t>NH-D9L</t>
  </si>
  <si>
    <t>NH-D9L chromax.black</t>
  </si>
  <si>
    <t>Peerless Assassin 90 SE WHITE</t>
  </si>
  <si>
    <t>Silver Soul 110 BLACK</t>
  </si>
  <si>
    <t>92x92x25.6</t>
  </si>
  <si>
    <t>Silver Soul 110 WHITE</t>
  </si>
  <si>
    <t>SHADOW ROCK TF 2</t>
  </si>
  <si>
    <t>135x135x22</t>
  </si>
  <si>
    <t>TOUGHAIR 110</t>
  </si>
  <si>
    <t>NH-C14S (Low profile mode)</t>
  </si>
  <si>
    <t>140x140x25</t>
  </si>
  <si>
    <t>Assassin X 90 SE</t>
  </si>
  <si>
    <t>Assassin X 90 SE ARGB</t>
  </si>
  <si>
    <t>Assassin X 90 SE V2</t>
  </si>
  <si>
    <t>FROZN A400 BLACK</t>
  </si>
  <si>
    <t>HX6210 Black</t>
  </si>
  <si>
    <t>HX6210 White</t>
  </si>
  <si>
    <t>NH-U9S</t>
  </si>
  <si>
    <t>NH-U9S chromax.black</t>
  </si>
  <si>
    <t>Assassin King 90</t>
  </si>
  <si>
    <t>SE-914-XT BASIC V2</t>
  </si>
  <si>
    <t>CR-1400 ARGB Black</t>
  </si>
  <si>
    <t>CR-1400 ARGB White</t>
  </si>
  <si>
    <t>CR-1400 Color Black</t>
  </si>
  <si>
    <t>CR-1400 Color White</t>
  </si>
  <si>
    <t>CR-1200</t>
  </si>
  <si>
    <t>CR-1200E</t>
  </si>
  <si>
    <t>CR-1300</t>
  </si>
  <si>
    <t>CR-1400 EVO ARGB Black</t>
  </si>
  <si>
    <t>CR-1400 EVO ARGB White</t>
  </si>
  <si>
    <t>CR-1400 EVO Standard</t>
  </si>
  <si>
    <t>DARK ROCK TF</t>
  </si>
  <si>
    <t>Silver Arrow 130</t>
  </si>
  <si>
    <t>130x120x25</t>
  </si>
  <si>
    <t>AG200</t>
  </si>
  <si>
    <t>AG300</t>
  </si>
  <si>
    <t>DARK ROCK TF 2</t>
  </si>
  <si>
    <t>135x135x25 + 135x135x22</t>
  </si>
  <si>
    <t>SE-224-XTS MINI BLACK</t>
  </si>
  <si>
    <t>PURE ROCK SLIM 2</t>
  </si>
  <si>
    <t>SE-207-XT SLIM</t>
  </si>
  <si>
    <t>SE-207-XT SLIM SNOW</t>
  </si>
  <si>
    <t>CR-2200</t>
  </si>
  <si>
    <t>Assassin King 120 Mini</t>
  </si>
  <si>
    <t>Assassin King 120 MINI V2</t>
  </si>
  <si>
    <t>Assassin King 120 Mini WHITE ARGB V3</t>
  </si>
  <si>
    <t>Peerless Assassin 120 MINI BLACK</t>
  </si>
  <si>
    <t>Peerless Assassin 120 MINI WHITE</t>
  </si>
  <si>
    <t>Silver Soul 135</t>
  </si>
  <si>
    <t>Silver Soul 135 BLACK</t>
  </si>
  <si>
    <t>Silver Soul 135 WHITE</t>
  </si>
  <si>
    <t>NH-D12L</t>
  </si>
  <si>
    <t>NH-D12L chromax.black</t>
  </si>
  <si>
    <t>Assassin X 120 Refined SE</t>
  </si>
  <si>
    <t>Vetroo</t>
  </si>
  <si>
    <t>V5</t>
  </si>
  <si>
    <t>AG400</t>
  </si>
  <si>
    <t>AG400 ARGB</t>
  </si>
  <si>
    <t>AG400 BK ARGB</t>
  </si>
  <si>
    <t>AG400 LED</t>
  </si>
  <si>
    <t>AG400 PLUS</t>
  </si>
  <si>
    <t>SE-225-XT BLACK V2</t>
  </si>
  <si>
    <t>SE-224-XTS</t>
  </si>
  <si>
    <t>SE-224-XTS ARGB</t>
  </si>
  <si>
    <t>SE-224-XTS ARGB WHITE</t>
  </si>
  <si>
    <t>SE-224-XTS BLACK</t>
  </si>
  <si>
    <t>SE-224-XTS WHITE</t>
  </si>
  <si>
    <t>Hyper 212 Black</t>
  </si>
  <si>
    <t>Hyper 212 Black X Duo</t>
  </si>
  <si>
    <t>Hyper 212 Spectrum V3</t>
  </si>
  <si>
    <t>FROZN A410 BLACK</t>
  </si>
  <si>
    <t>FROZN A410 ARGB</t>
  </si>
  <si>
    <t>120x120x27</t>
  </si>
  <si>
    <t>FROZN A410 ARGB WHITE</t>
  </si>
  <si>
    <t>SE-224-XT BLACK V2</t>
  </si>
  <si>
    <t>PISA A4 Grey</t>
  </si>
  <si>
    <t>PISA A4 White</t>
  </si>
  <si>
    <t>PISA A5 Grey</t>
  </si>
  <si>
    <t>PISA A5 White</t>
  </si>
  <si>
    <t>METAL DT24 BASE</t>
  </si>
  <si>
    <t>Hyper 212 Halo Black</t>
  </si>
  <si>
    <t>Hyper 212 Halo White</t>
  </si>
  <si>
    <t>FROZN A620 BLACK</t>
  </si>
  <si>
    <t>FROZN A620 ARGB</t>
  </si>
  <si>
    <t>FROZN A620 ARGB WHITE</t>
  </si>
  <si>
    <t>SE-207-XT ADVANCED</t>
  </si>
  <si>
    <t>SE-224-XT Basic</t>
  </si>
  <si>
    <t>SE-225-XT BASIC</t>
  </si>
  <si>
    <t>SE-225-XT BLACK</t>
  </si>
  <si>
    <t>SE-226-XT ARGB</t>
  </si>
  <si>
    <t>SE-226-XT ARGB SNOW</t>
  </si>
  <si>
    <t>SE-226-XT BLACK</t>
  </si>
  <si>
    <t>SE-226-XT WHITE</t>
  </si>
  <si>
    <t>CR-1000 EVO ARGB Black</t>
  </si>
  <si>
    <t>CR-1000 EVO ARGB White</t>
  </si>
  <si>
    <t>CR-1000 EVO Standard</t>
  </si>
  <si>
    <t>Polar S5-120</t>
  </si>
  <si>
    <t>Fuma 3</t>
  </si>
  <si>
    <t>120x120x26 + 120x120x15</t>
  </si>
  <si>
    <t>Mugen 6</t>
  </si>
  <si>
    <t>120x120x26</t>
  </si>
  <si>
    <t>Mugen 6 Dual Fan Black Edition</t>
  </si>
  <si>
    <t>Assassin Spirit 120 PLUS V2</t>
  </si>
  <si>
    <t>Assassin Spirit 120 V2</t>
  </si>
  <si>
    <t>Frost Tower 120</t>
  </si>
  <si>
    <t>Phantom Spirit 120 SE</t>
  </si>
  <si>
    <t>Phantom Spirit 120 SE ARGB</t>
  </si>
  <si>
    <t>Polar S4-120</t>
  </si>
  <si>
    <t>Mugen 5 S Rev.C</t>
  </si>
  <si>
    <t>Mugen 5 Rev.B</t>
  </si>
  <si>
    <t>Mugen 5 Rev.C</t>
  </si>
  <si>
    <t>Mugen 5 Black Edition Rev.C</t>
  </si>
  <si>
    <t>Fuma 2</t>
  </si>
  <si>
    <t>120x120x27 + 120x120x17</t>
  </si>
  <si>
    <t>Fuma 2 Rev.B</t>
  </si>
  <si>
    <t>PURE ROCK 2</t>
  </si>
  <si>
    <t>PURE ROCK 2 BLACK</t>
  </si>
  <si>
    <t>PURE ROCK 2 FX</t>
  </si>
  <si>
    <t>Hyper 212 EVO V2</t>
  </si>
  <si>
    <t>AK400</t>
  </si>
  <si>
    <t>AK400 ZERO DARK</t>
  </si>
  <si>
    <t>AK400 ZERO DARK PLUS</t>
  </si>
  <si>
    <t>AG500</t>
  </si>
  <si>
    <t>AG500 ARGB</t>
  </si>
  <si>
    <t>AG500 BK ARGB</t>
  </si>
  <si>
    <t>FROZN A610 BLACK</t>
  </si>
  <si>
    <t>FROZN A610 ARGB</t>
  </si>
  <si>
    <t>FROZN A610 ARGB WHITE</t>
  </si>
  <si>
    <t>Polar T6-120</t>
  </si>
  <si>
    <t>Peerless Assassin 120 SE</t>
  </si>
  <si>
    <t>Peerless Assassin 120 SE White ARGB</t>
  </si>
  <si>
    <t>AK400 DIGITAL</t>
  </si>
  <si>
    <t>SE-206-XT</t>
  </si>
  <si>
    <t>Assassin Spirit 120 EVO</t>
  </si>
  <si>
    <t>Burst Assassin 120 EVO DARK</t>
  </si>
  <si>
    <t>Hyper 622 Halo Black</t>
  </si>
  <si>
    <t>Hyper 622 Halo White</t>
  </si>
  <si>
    <t>AG620</t>
  </si>
  <si>
    <t>AG620 ARGB</t>
  </si>
  <si>
    <t>AG620 BK ARGB</t>
  </si>
  <si>
    <t>SE-207-XT BLACK</t>
  </si>
  <si>
    <t>Peerless Assassin 120 Black</t>
  </si>
  <si>
    <t>Peerless Assassin 120 White ARGB</t>
  </si>
  <si>
    <t>Phantom Spirit 120 EVO</t>
  </si>
  <si>
    <t>Ultra120EX REV.4 BLACK</t>
  </si>
  <si>
    <t>120x120x25.6</t>
  </si>
  <si>
    <t>Ultra120EX REV.4 WHITE</t>
  </si>
  <si>
    <t>MasterAir MA612 Stealth</t>
  </si>
  <si>
    <t>MasterAir MA612 Stealth ARGB</t>
  </si>
  <si>
    <t>AK500</t>
  </si>
  <si>
    <t>AK500 ZERO DARK</t>
  </si>
  <si>
    <t>METAL DT24 PREMIUM</t>
  </si>
  <si>
    <t>NH-U12S redux</t>
  </si>
  <si>
    <t>NH-U12S</t>
  </si>
  <si>
    <t>NH-U12A</t>
  </si>
  <si>
    <t>Freezer 36</t>
  </si>
  <si>
    <t>Freezer 36 A-RGB Black</t>
  </si>
  <si>
    <t>Freezer 36 A-RGB White</t>
  </si>
  <si>
    <t>Freezer 36 Black</t>
  </si>
  <si>
    <t>Freezer 36 CO</t>
  </si>
  <si>
    <t>DARK ROCK 4</t>
  </si>
  <si>
    <t>DARK ROCK SLIM</t>
  </si>
  <si>
    <t>120x120x23</t>
  </si>
  <si>
    <t>MasterAir MA624 Stealth</t>
  </si>
  <si>
    <t>120x120x25 + 140x140x25</t>
  </si>
  <si>
    <t>AK500 DIGITAL</t>
  </si>
  <si>
    <t>AK500S DIGITAL</t>
  </si>
  <si>
    <t>AK620</t>
  </si>
  <si>
    <t>AK620 ZERO DARK</t>
  </si>
  <si>
    <t>CR-1300 ARGB Black</t>
  </si>
  <si>
    <t>CR-1300 ARGB White</t>
  </si>
  <si>
    <t>CR-1300 Standard</t>
  </si>
  <si>
    <t>HX7280</t>
  </si>
  <si>
    <t>NH-D15S</t>
  </si>
  <si>
    <t>150x140x25</t>
  </si>
  <si>
    <t>NH-D15S chromax.black</t>
  </si>
  <si>
    <t>Frost Commander 140 BLACK</t>
  </si>
  <si>
    <t>120x120x25 + 152x140x27</t>
  </si>
  <si>
    <t>Frost Commander 140 WHITE</t>
  </si>
  <si>
    <t>Frost Spirit 140 BLACK V3</t>
  </si>
  <si>
    <t>Frost Spirit 140 WHITE V3 ARGB</t>
  </si>
  <si>
    <t>DARK ROCK 5</t>
  </si>
  <si>
    <t>SHADOW ROCK SLIM 2</t>
  </si>
  <si>
    <t>AK620 DIGITAL</t>
  </si>
  <si>
    <t>HX6240 Black</t>
  </si>
  <si>
    <t>HX6240 White</t>
  </si>
  <si>
    <t>HX6250</t>
  </si>
  <si>
    <t>DARK ROCK PRO 4</t>
  </si>
  <si>
    <t>120x120x25 + 135x135x22</t>
  </si>
  <si>
    <t>SHADOW ROCK 3</t>
  </si>
  <si>
    <t>SHADOW ROCK 3 WHITE</t>
  </si>
  <si>
    <t>FROZN A720 BLACK</t>
  </si>
  <si>
    <t>ASSASSIN 4S</t>
  </si>
  <si>
    <t>ASSASSIN IV</t>
  </si>
  <si>
    <t>A115 Twin Tower</t>
  </si>
  <si>
    <t>ASSASSIN III</t>
  </si>
  <si>
    <t>NH-D15</t>
  </si>
  <si>
    <t>NH-D15 chromax.black</t>
  </si>
  <si>
    <t>NH-U14S</t>
  </si>
  <si>
    <t>MasterAir MA824 Stealth</t>
  </si>
  <si>
    <t>120x120x25 + 135x135x26</t>
  </si>
  <si>
    <t>DARK ROCK ELITE</t>
  </si>
  <si>
    <t>135x135x25</t>
  </si>
  <si>
    <t>DARK ROCK PRO 5</t>
  </si>
  <si>
    <t>120x120x25 + 135x135x25</t>
  </si>
  <si>
    <t>Model</t>
  </si>
  <si>
    <t>Radiator Type</t>
  </si>
  <si>
    <t>Radiator Length (mm)</t>
  </si>
  <si>
    <t>Radiator Width (mm)</t>
  </si>
  <si>
    <t>Radiator Thickness (mm)</t>
  </si>
  <si>
    <t>Radiator Material</t>
  </si>
  <si>
    <t>CPU Block Length (mm)</t>
  </si>
  <si>
    <t>CPU Block Width (mm)</t>
  </si>
  <si>
    <t>CPU Block Height (mm)</t>
  </si>
  <si>
    <t>Pump Speed (rpm)</t>
  </si>
  <si>
    <t>Pump Location</t>
  </si>
  <si>
    <t>Tube length (mm)</t>
  </si>
  <si>
    <t>Fan Thickness (mm)</t>
  </si>
  <si>
    <t>Fan Speed (rpm)</t>
  </si>
  <si>
    <t>Fan Airflow (CFM)</t>
  </si>
  <si>
    <t>Fan Static Pressure (mmH2O)</t>
  </si>
  <si>
    <t>Fan Noise (dB(A))</t>
  </si>
  <si>
    <t>Rad + Fan Total Thickness (mm)</t>
  </si>
  <si>
    <t>12V RGB LED Connection</t>
  </si>
  <si>
    <t>5V Addressable RGB LED Connection</t>
  </si>
  <si>
    <t>USB 2.0 Header</t>
  </si>
  <si>
    <t>SATA Power</t>
  </si>
  <si>
    <t>AMD FM1 / FM2 (+) / AM2(+) / AM3(+)</t>
  </si>
  <si>
    <t>OEM</t>
  </si>
  <si>
    <t>ADATA</t>
  </si>
  <si>
    <t>XPG LEVANTE 240</t>
  </si>
  <si>
    <t>120x120</t>
  </si>
  <si>
    <t>Asetek</t>
  </si>
  <si>
    <t>XPG LEVANTE 360</t>
  </si>
  <si>
    <t>Mirage L120</t>
  </si>
  <si>
    <t>Mirage L240</t>
  </si>
  <si>
    <t>Mirage L360</t>
  </si>
  <si>
    <t>P7-L240</t>
  </si>
  <si>
    <t>Pulse L120</t>
  </si>
  <si>
    <t>Rad</t>
  </si>
  <si>
    <t>Pulse L120F</t>
  </si>
  <si>
    <t>Pulse L240</t>
  </si>
  <si>
    <t>Pulse L240F</t>
  </si>
  <si>
    <t>Alphacool</t>
  </si>
  <si>
    <t>Core Ocean T38 120</t>
  </si>
  <si>
    <t>Core Ocean T38 240</t>
  </si>
  <si>
    <t>Core Ocean T38 280</t>
  </si>
  <si>
    <t>140x140</t>
  </si>
  <si>
    <t>Core Ocean T38 360</t>
  </si>
  <si>
    <t>Core Ocean T38 420</t>
  </si>
  <si>
    <t>Eisbaer 240</t>
  </si>
  <si>
    <t>Eisbaer 280</t>
  </si>
  <si>
    <t>Eisbaer 360</t>
  </si>
  <si>
    <t>Eisbaer 420</t>
  </si>
  <si>
    <t>Eisbaer Aurora 240</t>
  </si>
  <si>
    <t>Eisbaer Aurora 280</t>
  </si>
  <si>
    <t>Eisbaer Aurora 360</t>
  </si>
  <si>
    <t>Eisbaer Aurora 420</t>
  </si>
  <si>
    <t>Eisbaer Aurora HPE Edition 360</t>
  </si>
  <si>
    <t>Eisbaer Aurora LT240</t>
  </si>
  <si>
    <t>Eisbaer Aurora LT360</t>
  </si>
  <si>
    <t>Eisbaer LT92</t>
  </si>
  <si>
    <t>Eisbaer LT120</t>
  </si>
  <si>
    <t>Eisbaer LT240</t>
  </si>
  <si>
    <t>Eisbaer LT360</t>
  </si>
  <si>
    <t>Eisbaer LT360 Aurora HPE</t>
  </si>
  <si>
    <t>Eisbaer Pro Aurora 240</t>
  </si>
  <si>
    <t>Eisbaer Pro Aurora 280</t>
  </si>
  <si>
    <t>Eisbaer Pro Aurora 360</t>
  </si>
  <si>
    <t>Eisbaer Pro Aurora 420</t>
  </si>
  <si>
    <t>Eisbaer Pro HPE Aurora 360</t>
  </si>
  <si>
    <t>Antec</t>
  </si>
  <si>
    <t>K120</t>
  </si>
  <si>
    <t>K120 RGB</t>
  </si>
  <si>
    <t>K240</t>
  </si>
  <si>
    <t>K240 RGB</t>
  </si>
  <si>
    <t>M120</t>
  </si>
  <si>
    <t>M120 RGB</t>
  </si>
  <si>
    <t>M240</t>
  </si>
  <si>
    <t>M240 RGB</t>
  </si>
  <si>
    <t>NEPTUNE 120</t>
  </si>
  <si>
    <t>NEPTUNE 240</t>
  </si>
  <si>
    <t>SYMPHONY 240 ARGB</t>
  </si>
  <si>
    <t>SYMPHONY 360 ARGB</t>
  </si>
  <si>
    <t>SYMPHONY 360 ARGB WHITE</t>
  </si>
  <si>
    <t>Vortex 240 ARGB</t>
  </si>
  <si>
    <t>Vortex 360 ARGB</t>
  </si>
  <si>
    <t>Liquid Freezer II 120</t>
  </si>
  <si>
    <t>Liquid Freezer II 240</t>
  </si>
  <si>
    <t>Liquid Freezer II 240 RGB</t>
  </si>
  <si>
    <t>Liquid Freezer II 240 A-RGB</t>
  </si>
  <si>
    <t>Liquid Freezer II 280</t>
  </si>
  <si>
    <t>Liquid Freezer II 280 RGB</t>
  </si>
  <si>
    <t>Liquid Freezer II 280 A-RGB</t>
  </si>
  <si>
    <t>Liquid Freezer II 360</t>
  </si>
  <si>
    <t>Liquid Freezer II 360 RGB</t>
  </si>
  <si>
    <t>Liquid Freezer II 360 A-RGB</t>
  </si>
  <si>
    <t>Liquid Freezer II 420</t>
  </si>
  <si>
    <t>Liquid Freezer II 420 RGB</t>
  </si>
  <si>
    <t>Liquid Freezer II 420 A-RGB</t>
  </si>
  <si>
    <t>Liquid Freezer III 240</t>
  </si>
  <si>
    <t>Liquid Freezer III 240 A-RGB Black</t>
  </si>
  <si>
    <t>Liquid Freezer III 240 A-RGB White</t>
  </si>
  <si>
    <t>Liquid Freezer III 280</t>
  </si>
  <si>
    <t>Liquid Freezer III 280 A-RGB Black</t>
  </si>
  <si>
    <t>Liquid Freezer III 280 A-RGB White</t>
  </si>
  <si>
    <t>Liquid Freezer III 360</t>
  </si>
  <si>
    <t>Liquid Freezer III 360 A-RGB Black</t>
  </si>
  <si>
    <t>Liquid Freezer III 360 A-RGB White</t>
  </si>
  <si>
    <t>Liquid Freezer III 420</t>
  </si>
  <si>
    <t>Liquid Freezer III 420 A-RGB Black</t>
  </si>
  <si>
    <t>Liquid Freezer III 420 A-RGB White</t>
  </si>
  <si>
    <t>645LT</t>
  </si>
  <si>
    <t>ROG Ryujin 240</t>
  </si>
  <si>
    <t>ROG Ryujin 360</t>
  </si>
  <si>
    <t>ROG Ryujin II 240</t>
  </si>
  <si>
    <t>ROG Ryujin II 240 ARGB</t>
  </si>
  <si>
    <t>ROG Ryujin II 360</t>
  </si>
  <si>
    <t>ROG Ryujin II 360 ARGB</t>
  </si>
  <si>
    <t>ROG Ryujin II 360 ARGB EVA EDITION</t>
  </si>
  <si>
    <t>ROG RYUJIN III 240</t>
  </si>
  <si>
    <t>ROG RYUJIN III 240 ARGB</t>
  </si>
  <si>
    <t>ROG RYUJIN III 360</t>
  </si>
  <si>
    <t>ROG RYUJIN III 360 ARGB</t>
  </si>
  <si>
    <t>ROG RYUJIN III 360 ARGB EVA-02 EDITION</t>
  </si>
  <si>
    <t>ROG Ryuo 120</t>
  </si>
  <si>
    <t>ROG Ryuo 240</t>
  </si>
  <si>
    <t>ROG RYUO III 240 ARGB</t>
  </si>
  <si>
    <t>ROG RYUO III 240 ARGB WHITE EDITION</t>
  </si>
  <si>
    <t>ROG RYUO III 360 ARGB</t>
  </si>
  <si>
    <t>ROG RYUO III 360 ARGB WHITE EDITION</t>
  </si>
  <si>
    <t>ROG Strix LC 120</t>
  </si>
  <si>
    <t>ROG Strix LC 120 RGB</t>
  </si>
  <si>
    <t>ROG Strix LC 240</t>
  </si>
  <si>
    <t>ROG Strix LC 240 RGB</t>
  </si>
  <si>
    <t>ROG Strix LC 240 RGB White Edition</t>
  </si>
  <si>
    <t>ROG Strix LC 360</t>
  </si>
  <si>
    <t>ROG Strix LC 360 RGB</t>
  </si>
  <si>
    <t>ROG Strix LC 360 RGB GUNDAM EDITION</t>
  </si>
  <si>
    <t>ROG Strix LC 360 RGB White Edition</t>
  </si>
  <si>
    <t>ROG Strix LC II 240</t>
  </si>
  <si>
    <t>ROG Strix LC II 240 ARGB</t>
  </si>
  <si>
    <t>ROG Strix LC II 240 ARGB White Edition</t>
  </si>
  <si>
    <t>ROG Strix LC II 280 ARGB</t>
  </si>
  <si>
    <t>ROG Strix LC II 360</t>
  </si>
  <si>
    <t>ROG Strix LC II 360 ARGB</t>
  </si>
  <si>
    <t>ROG Strix LC II 360 ARGB WHITE EDITION</t>
  </si>
  <si>
    <t>TUF Gaming LC 120 ARGB</t>
  </si>
  <si>
    <t>TUF Gaming LC 120 RGB</t>
  </si>
  <si>
    <t>TUF Gaming LC 240 ARGB</t>
  </si>
  <si>
    <t>TUF Gaming LC 240 RGB</t>
  </si>
  <si>
    <t>TUF Gaming LC 240 RGB Zaku II Edition</t>
  </si>
  <si>
    <t>Barrow</t>
  </si>
  <si>
    <t>LTCPR-240</t>
  </si>
  <si>
    <t>Pure Loop 120</t>
  </si>
  <si>
    <t>Tube</t>
  </si>
  <si>
    <t>KD Industrial</t>
  </si>
  <si>
    <t>Pure Loop 240</t>
  </si>
  <si>
    <t>Pure Loop 280</t>
  </si>
  <si>
    <t>Pure Loop 360</t>
  </si>
  <si>
    <t>Pure Loop 2 120</t>
  </si>
  <si>
    <t>Pure Loop 2 240</t>
  </si>
  <si>
    <t>Pure Loop 2 280</t>
  </si>
  <si>
    <t>Pure Loop 2 360</t>
  </si>
  <si>
    <t>Pure Loop 2 FX 240</t>
  </si>
  <si>
    <t>Pure Loop 2 FX 280</t>
  </si>
  <si>
    <t>Pure Loop 2 FX 360</t>
  </si>
  <si>
    <t>Silent Loop 2 120</t>
  </si>
  <si>
    <t>Alpine</t>
  </si>
  <si>
    <t>Silent Loop 2 240</t>
  </si>
  <si>
    <t>Silent Loop 2 280</t>
  </si>
  <si>
    <t>Silent Loop 2 360</t>
  </si>
  <si>
    <t>MasterLiquid 120</t>
  </si>
  <si>
    <t>MasterLiquid 240</t>
  </si>
  <si>
    <t>MasterLiquid 240 Atmos</t>
  </si>
  <si>
    <t>MasterLiquid 240 Atmos White</t>
  </si>
  <si>
    <t>MasterLiquid 240L Core ARGB</t>
  </si>
  <si>
    <t>MasterLiquid 240L Core ARGB White</t>
  </si>
  <si>
    <t>MasterLiquid 360 Atmos</t>
  </si>
  <si>
    <t>MasterLiquid 360 Atmos White</t>
  </si>
  <si>
    <t>MasterLiquid 360L Core ARGB</t>
  </si>
  <si>
    <t>MasterLiquid 360L Core ARGB White</t>
  </si>
  <si>
    <t>MasterLiquid 360L SF6 Chun-Li</t>
  </si>
  <si>
    <t>MasterLiquid 360L SF6 Luke</t>
  </si>
  <si>
    <t>MasterLiquid Lite 120</t>
  </si>
  <si>
    <t>MasterLiquid Lite 240</t>
  </si>
  <si>
    <t>MasterLiquid ML120L RGB</t>
  </si>
  <si>
    <t>MasterLiquid ML120L V2 RGB</t>
  </si>
  <si>
    <t>MasterLiquid ML120R RGB</t>
  </si>
  <si>
    <t>MasterLiquid ML120RS RGB</t>
  </si>
  <si>
    <t>MasterLiquid ML240 Illusion</t>
  </si>
  <si>
    <t>MasterLiquid ML240 Illusion White Edition</t>
  </si>
  <si>
    <t>MasterLiquid ML240 Mirror</t>
  </si>
  <si>
    <t>MasterLiquid ML240L RGB</t>
  </si>
  <si>
    <t>MasterLiquid ML240L V2 ARGB</t>
  </si>
  <si>
    <t>MasterLiquid ML240L V2 ARGB White Edition</t>
  </si>
  <si>
    <t>MasterLiquid ML240L V2 RGB</t>
  </si>
  <si>
    <t>MasterLiquid ML240L V2 RGB White Edition</t>
  </si>
  <si>
    <t>MasterLiquid ML240P Mirage</t>
  </si>
  <si>
    <t>MasterLiquid ML240R RGB</t>
  </si>
  <si>
    <t>MasterLiquid ML240RS RGB</t>
  </si>
  <si>
    <t>MasterLiquid ML280 Mirror</t>
  </si>
  <si>
    <t>MasterLiquid ML360 Illusion</t>
  </si>
  <si>
    <t>MasterLiquid ML360 Mirror</t>
  </si>
  <si>
    <t>MasterLiquid ML360 SUB-ZERO</t>
  </si>
  <si>
    <t>MasterLiquid ML360 SUB-ZERO EVO</t>
  </si>
  <si>
    <t>MasterLiquid ML360P Silver Edition</t>
  </si>
  <si>
    <t>MasterLiquid ML360R RGB</t>
  </si>
  <si>
    <t>MasterLiquid PL240 Flux</t>
  </si>
  <si>
    <t>MasterLiquid PL240 Flux White Edition</t>
  </si>
  <si>
    <t>MasterLiquid PL360 Flux</t>
  </si>
  <si>
    <t>MasterLiquid PL360 Flux 30th Anniversary Edition</t>
  </si>
  <si>
    <t>MasterLiquid PL360 Flux White Edition</t>
  </si>
  <si>
    <t>MasterLiquid Pro 120</t>
  </si>
  <si>
    <t>MasterLiquid Pro 120 RGB</t>
  </si>
  <si>
    <t>MasterLiquid Pro 240</t>
  </si>
  <si>
    <t>MasterLiquid Pro 240 RGB</t>
  </si>
  <si>
    <t>MasterLiquid Pro 280 RGB</t>
  </si>
  <si>
    <t>H45</t>
  </si>
  <si>
    <t>Dynatron</t>
  </si>
  <si>
    <t>H55 RGB</t>
  </si>
  <si>
    <t>H60 (2018)</t>
  </si>
  <si>
    <t>CoolIT</t>
  </si>
  <si>
    <t>H80i v2</t>
  </si>
  <si>
    <t>H100 RGB</t>
  </si>
  <si>
    <t>H100i PRO RGB</t>
  </si>
  <si>
    <t>H100i RGB PLATINUM</t>
  </si>
  <si>
    <t>H100i RGB PLATINUM SE</t>
  </si>
  <si>
    <t>H115i PRO RGB</t>
  </si>
  <si>
    <t>H115i RGB PLATINUM</t>
  </si>
  <si>
    <t>H150 RGB</t>
  </si>
  <si>
    <t>iCUE H60i RGB PRO XT</t>
  </si>
  <si>
    <t>iCUE H60x RGB ELITE</t>
  </si>
  <si>
    <t>iCUE H100i ELITE CAPELLIX</t>
  </si>
  <si>
    <t>iCUE H100i ELITE CAPELLIX XT</t>
  </si>
  <si>
    <t>iCUE H100i ELITE CAPPELIX XT White</t>
  </si>
  <si>
    <t>iCUE H100i ELITE LCD</t>
  </si>
  <si>
    <t>iCUE H100i ELITE LCD XT</t>
  </si>
  <si>
    <t>iCUE H100i RGB ELITE</t>
  </si>
  <si>
    <t>iCUE H100i RGB PRO XT</t>
  </si>
  <si>
    <t>iCUE H100x RGB ELITE</t>
  </si>
  <si>
    <t>iCUE H115i ELITE CAPELLIX</t>
  </si>
  <si>
    <t>iCUE H115i ELITE CAPELLIX XT</t>
  </si>
  <si>
    <t>iCUE H115i RGB ELITE</t>
  </si>
  <si>
    <t>iCUE H115i RGB PRO XT</t>
  </si>
  <si>
    <t>iCUE H150i ELITE CAPELLIX</t>
  </si>
  <si>
    <t>iCUE H150i ELITE CAPELLIX White</t>
  </si>
  <si>
    <t>iCUE H150i ELITE CAPELLIX XT</t>
  </si>
  <si>
    <t>iCUE H150i ELITE CAPPELIX XT White</t>
  </si>
  <si>
    <t>iCUE H150i ELITE LCD</t>
  </si>
  <si>
    <t>iCUE H150i ELITE LCD XT</t>
  </si>
  <si>
    <t>iCUE H150i ELITE LCD XT White</t>
  </si>
  <si>
    <t>iCUE H150i RGB ELITE</t>
  </si>
  <si>
    <t>iCUE H150i RGB PRO XT</t>
  </si>
  <si>
    <t>iCUE H170i ELITE CAPELLIX</t>
  </si>
  <si>
    <t>iCUE H170i ELITE CAPELLIX XT</t>
  </si>
  <si>
    <t>iCUE H170i ELITE LCD</t>
  </si>
  <si>
    <t>iCUE H170i ELITE LCD XT</t>
  </si>
  <si>
    <t xml:space="preserve">iCUE LINK H100i RGB </t>
  </si>
  <si>
    <t>iCUE LINK H100i RGB White</t>
  </si>
  <si>
    <t>iCUE LINK H115i RGB</t>
  </si>
  <si>
    <t>iCUE LINK H150i RGB</t>
  </si>
  <si>
    <t>iCUE LINK H150i RGB White</t>
  </si>
  <si>
    <t>iCUE LINK H170i RGB</t>
  </si>
  <si>
    <t>A40</t>
  </si>
  <si>
    <t>A40 ULTIMATE</t>
  </si>
  <si>
    <t>A80</t>
  </si>
  <si>
    <t>Aura DA240</t>
  </si>
  <si>
    <t>Aura DA360</t>
  </si>
  <si>
    <t>Symphony TR120</t>
  </si>
  <si>
    <t>Symphony TR240</t>
  </si>
  <si>
    <t>Symphony TR360</t>
  </si>
  <si>
    <t>Tracer DT-120</t>
  </si>
  <si>
    <t>Tracer DT-240</t>
  </si>
  <si>
    <t>Tracer DT-360</t>
  </si>
  <si>
    <t>Twister DX120</t>
  </si>
  <si>
    <t>Twister DX240</t>
  </si>
  <si>
    <t>Twister DX360</t>
  </si>
  <si>
    <t>Twister DX v2 240</t>
  </si>
  <si>
    <t>Twister DX v2 360</t>
  </si>
  <si>
    <t>CAPTAIN 240PRO V2</t>
  </si>
  <si>
    <t>CAPTAIN 240X</t>
  </si>
  <si>
    <t>CAPTAIN 240X WHITE</t>
  </si>
  <si>
    <t>CAPTAIN 360X WHITE</t>
  </si>
  <si>
    <t>CASTLE 120R</t>
  </si>
  <si>
    <t>CASTLE 240EX</t>
  </si>
  <si>
    <t>CASTLE 240EX A-RGB</t>
  </si>
  <si>
    <t>CASTLE 240EX A-RGB WH</t>
  </si>
  <si>
    <t>CASTLE 240EX RGB</t>
  </si>
  <si>
    <t>CASTLE 240EX WHITE</t>
  </si>
  <si>
    <t>CASTLE 240R</t>
  </si>
  <si>
    <t>CASTLE 240RGB V2</t>
  </si>
  <si>
    <t>CASTLE 280EX</t>
  </si>
  <si>
    <t>CASTLE 360EX</t>
  </si>
  <si>
    <t>CASTLE 360EX A-RGB</t>
  </si>
  <si>
    <t>CASTLE 360EX A-RGB WH</t>
  </si>
  <si>
    <t>CASTLE 360EX RGB</t>
  </si>
  <si>
    <t>CASTLE 360EX WHITE</t>
  </si>
  <si>
    <t>CASTLE 360RGB V2</t>
  </si>
  <si>
    <t>GAMMAXX L120 V2</t>
  </si>
  <si>
    <t>GAMMAXX L120T BLUE</t>
  </si>
  <si>
    <t>GAMMAXX L120T RED</t>
  </si>
  <si>
    <t>GAMMAXX L240 A-RGB</t>
  </si>
  <si>
    <t>GAMMAXX L240 V2</t>
  </si>
  <si>
    <t>GAMMAXX L240T BLUE</t>
  </si>
  <si>
    <t>GAMMAXX L240T RED</t>
  </si>
  <si>
    <t>GAMMAXX L360 A-RGB WH</t>
  </si>
  <si>
    <t>GAMMAXX L360 V2</t>
  </si>
  <si>
    <t>LE300</t>
  </si>
  <si>
    <t>LE300 Marrs</t>
  </si>
  <si>
    <t>LE500</t>
  </si>
  <si>
    <t>LE500 Marrs</t>
  </si>
  <si>
    <t>LE520</t>
  </si>
  <si>
    <t>LE520 WH</t>
  </si>
  <si>
    <t>LE720</t>
  </si>
  <si>
    <t>LE720 WH</t>
  </si>
  <si>
    <t>LS320</t>
  </si>
  <si>
    <t>LS320 WH</t>
  </si>
  <si>
    <t>LS520</t>
  </si>
  <si>
    <t>LS520 SE</t>
  </si>
  <si>
    <t>LS520 SE WH</t>
  </si>
  <si>
    <t>LS520 WH</t>
  </si>
  <si>
    <t>LS720</t>
  </si>
  <si>
    <t>LS720 SE</t>
  </si>
  <si>
    <t>LS720 SE WH</t>
  </si>
  <si>
    <t>LS720 WH</t>
  </si>
  <si>
    <t>LT520</t>
  </si>
  <si>
    <t>LT520 WH</t>
  </si>
  <si>
    <t>LT720</t>
  </si>
  <si>
    <t>LT720 WH</t>
  </si>
  <si>
    <t>MYSTIQUE 240</t>
  </si>
  <si>
    <t>MYSTIQUE 360</t>
  </si>
  <si>
    <t>EKWB</t>
  </si>
  <si>
    <t>EK-AIO 120 D-RGB</t>
  </si>
  <si>
    <t>EK-AIO 240 D-RGB</t>
  </si>
  <si>
    <t>EK-AIO 280 D-RGB</t>
  </si>
  <si>
    <t>EK-AIO 360 D-RGB</t>
  </si>
  <si>
    <t>EK-AIO Basic 240</t>
  </si>
  <si>
    <t>EK-AIO Basic 360</t>
  </si>
  <si>
    <t>EK-AIO Elite 280 D-RGB</t>
  </si>
  <si>
    <t>EK-AIO Elite 360 D-RGB</t>
  </si>
  <si>
    <t>EK-Nucleus AIO CR240 Dark</t>
  </si>
  <si>
    <t>EK-Nucleus AIO CR240 Lux D-RGB</t>
  </si>
  <si>
    <t>EK-Nucleus AIO CR360 Dark</t>
  </si>
  <si>
    <t>EK-Nucleus AIO CR360 Lux D-RGB</t>
  </si>
  <si>
    <t>EK-Nucleus AIO CR240 Vision D-RGB</t>
  </si>
  <si>
    <t>EK-Nucleus AIO CR360 Vision D-RGB</t>
  </si>
  <si>
    <t>Enermax</t>
  </si>
  <si>
    <t>AQUAFUSION 120</t>
  </si>
  <si>
    <t>AQUAFUSION 120 WHITE</t>
  </si>
  <si>
    <t>AQUAFUSION 240</t>
  </si>
  <si>
    <t>AQUAFUSION 240 WHITE</t>
  </si>
  <si>
    <t>AQUAFUSION 360</t>
  </si>
  <si>
    <t>LIQFUSION 240</t>
  </si>
  <si>
    <t>LIQFUSION 360</t>
  </si>
  <si>
    <t>LIQMAX II 120</t>
  </si>
  <si>
    <t>Apaltek</t>
  </si>
  <si>
    <t>LIQMAX II 240</t>
  </si>
  <si>
    <t>LIQMAX III 120 RGB</t>
  </si>
  <si>
    <t>LIQMAX III 120 ARGB</t>
  </si>
  <si>
    <t>LIQMAX III 240 RGB</t>
  </si>
  <si>
    <t>LIQMAX III 240 ARGB</t>
  </si>
  <si>
    <t>LIQMAX III 360 ARGB</t>
  </si>
  <si>
    <t>LIQMAX III HF</t>
  </si>
  <si>
    <t>LIQTECH 120X</t>
  </si>
  <si>
    <t>LIQTECH 240</t>
  </si>
  <si>
    <t>LIQTECH II 240</t>
  </si>
  <si>
    <t>LIQTECH II 280</t>
  </si>
  <si>
    <t>LIQTECH II 360</t>
  </si>
  <si>
    <t>EVGA</t>
  </si>
  <si>
    <t>CLC 120 (400-HY-CL11-V1)</t>
  </si>
  <si>
    <t>CLC 120 (400-HY-CL12-V1)</t>
  </si>
  <si>
    <t>CLC 240</t>
  </si>
  <si>
    <t>CLC 280</t>
  </si>
  <si>
    <t>CLC 360</t>
  </si>
  <si>
    <t>CLX 240</t>
  </si>
  <si>
    <t>CLX 280</t>
  </si>
  <si>
    <t>CLX 360</t>
  </si>
  <si>
    <t>Fractal Design</t>
  </si>
  <si>
    <t>Celsius S24</t>
  </si>
  <si>
    <t>Celsius S36</t>
  </si>
  <si>
    <t>Celsius+ S24 Dynamic</t>
  </si>
  <si>
    <t>Celsius+ S24 Prisma</t>
  </si>
  <si>
    <t>Celsius+ S28 Dynamic</t>
  </si>
  <si>
    <t>Celsius+ S28 Prisma</t>
  </si>
  <si>
    <t>Celsius+ S36 Dynamic</t>
  </si>
  <si>
    <t>Celsius+ S36 Prisma</t>
  </si>
  <si>
    <t>Lumen S24</t>
  </si>
  <si>
    <t>Lumen S24 RGB</t>
  </si>
  <si>
    <t>Lumen S28</t>
  </si>
  <si>
    <t>Lumen S28 RGB</t>
  </si>
  <si>
    <t>Lumen S36</t>
  </si>
  <si>
    <t>Lumen S36 RGB</t>
  </si>
  <si>
    <t>ENKI 240</t>
  </si>
  <si>
    <t>ENKI 280</t>
  </si>
  <si>
    <t>ENKI 360</t>
  </si>
  <si>
    <t>Gigabyte</t>
  </si>
  <si>
    <t>AORUS LIQUID COOLER 240</t>
  </si>
  <si>
    <t>AORUS LIQUID COOLER 280</t>
  </si>
  <si>
    <t>AORUS WATERFORCE 240</t>
  </si>
  <si>
    <t>AORUS WATERFORCE 280</t>
  </si>
  <si>
    <t>AORUS WATERFORCE 360</t>
  </si>
  <si>
    <t>AORUS WATERFORCE II 240</t>
  </si>
  <si>
    <t>AORUS WATERFORCE II 360</t>
  </si>
  <si>
    <t>AORUS WATERFORCE II 360 ICE</t>
  </si>
  <si>
    <t>AORUS WATERFORCE X 240</t>
  </si>
  <si>
    <t>AORUS WATERFORCE X 280</t>
  </si>
  <si>
    <t>AORUS WATERFORCE X 360</t>
  </si>
  <si>
    <t>AORUS WATERFORCE X II 240</t>
  </si>
  <si>
    <t>AORUS WATERFORCE X II 360</t>
  </si>
  <si>
    <t>AORUS WATERFORCE X II 360 ICE</t>
  </si>
  <si>
    <t>AURAFLOW X 120</t>
  </si>
  <si>
    <t>AURAFLOW X 240</t>
  </si>
  <si>
    <t>AURAFLOW X 240 SNOW</t>
  </si>
  <si>
    <t>AURAFLOW X 240 TGA</t>
  </si>
  <si>
    <t>AURAFLOW X 240 EVO</t>
  </si>
  <si>
    <t>AURAFLOW X 240 EVO SNOW</t>
  </si>
  <si>
    <t>AURAFLOW X 360</t>
  </si>
  <si>
    <t>AURAFLOW X 360 SNOW</t>
  </si>
  <si>
    <t>CHROMAFLOW 240</t>
  </si>
  <si>
    <t>DASHFLOW 240</t>
  </si>
  <si>
    <t>DASHFLOW 240 BASIC BLACK</t>
  </si>
  <si>
    <t>DASHFLOW 360</t>
  </si>
  <si>
    <t>FROSTFLOW 240 XT</t>
  </si>
  <si>
    <t>FROSTFLOW 240 XT SNOW</t>
  </si>
  <si>
    <t>FROSTFLOW X 120</t>
  </si>
  <si>
    <t>FROSTFLOW X 120 SNOW</t>
  </si>
  <si>
    <t>FROSTFLOW X 240</t>
  </si>
  <si>
    <t>FROSTFLOW X 240 SNOW</t>
  </si>
  <si>
    <t>FROSTFLOW X 280</t>
  </si>
  <si>
    <t>FROSTFLOW X 360</t>
  </si>
  <si>
    <t>ICEFLOW 240 ARGB</t>
  </si>
  <si>
    <t>245x125</t>
  </si>
  <si>
    <t>ICEFLOW 240 ARGB SNOW</t>
  </si>
  <si>
    <t>ICEKIMO 120W</t>
  </si>
  <si>
    <t>PINKFLOW 240</t>
  </si>
  <si>
    <t>PINKFLOW 240 DIAMOND</t>
  </si>
  <si>
    <t>PINKFLOW 240 DIAMOND PURPLE</t>
  </si>
  <si>
    <t>PINKFLOW 240 V2</t>
  </si>
  <si>
    <t>PINKFLOW 360</t>
  </si>
  <si>
    <t>SPACE LCD SL240</t>
  </si>
  <si>
    <t>SPACE LCD SL240 WHITE</t>
  </si>
  <si>
    <t>SPACE LCD SL360</t>
  </si>
  <si>
    <t>SPACE LCD SL360 WHITE</t>
  </si>
  <si>
    <t>ZOOMFLOW 240</t>
  </si>
  <si>
    <t>ZOOMFLOW 240X ARGB</t>
  </si>
  <si>
    <t>ZOOMFLOW 240X SNOW</t>
  </si>
  <si>
    <t>ZOOMFLOW 240 XT</t>
  </si>
  <si>
    <t>ZOOMFLOW 240 XT SNOW</t>
  </si>
  <si>
    <t>ZOOMFLOW 360</t>
  </si>
  <si>
    <t>ZOOMFLOW 360X ARGB</t>
  </si>
  <si>
    <t>ZOOMFLOW 360X SNOW</t>
  </si>
  <si>
    <t>ZOOMFLOW 360 XT</t>
  </si>
  <si>
    <t>ZOOMFLOW 360 XT SNOW</t>
  </si>
  <si>
    <t>InWin</t>
  </si>
  <si>
    <t>BR24</t>
  </si>
  <si>
    <t>BR36</t>
  </si>
  <si>
    <t>NR24</t>
  </si>
  <si>
    <t>NR36</t>
  </si>
  <si>
    <t>SR24</t>
  </si>
  <si>
    <t>SR24 PRO</t>
  </si>
  <si>
    <t>SR36</t>
  </si>
  <si>
    <t>SR36 PRO</t>
  </si>
  <si>
    <t>HXW-240 ARGB White</t>
  </si>
  <si>
    <t>HXW-360 ARGB White</t>
  </si>
  <si>
    <t>JELLYFISH 240</t>
  </si>
  <si>
    <t>JELLYFISH 360</t>
  </si>
  <si>
    <t>SHADOW 240</t>
  </si>
  <si>
    <t>SHADOW 240 (white)</t>
  </si>
  <si>
    <t>SHADOW 240 COLOR</t>
  </si>
  <si>
    <t>SHADOW 240 COLOR (white)</t>
  </si>
  <si>
    <t>SHADOW 360</t>
  </si>
  <si>
    <t>SHADOW TW4-240 ARGB (White)</t>
  </si>
  <si>
    <t>SHADOW TW4-240 ARGB PLUS</t>
  </si>
  <si>
    <t>SHADOW TW4-240 ARGB Ver 2.0</t>
  </si>
  <si>
    <t>SHADOW TW4-240 Color</t>
  </si>
  <si>
    <t>SHADOW TW4-240 Color (White)</t>
  </si>
  <si>
    <t>SHADOW TW4-360 ARGB (White)</t>
  </si>
  <si>
    <t>SHADOW TW4-360 ARGB PLUS</t>
  </si>
  <si>
    <t>SHADOW TW4-360 ARGB Ver 2.0</t>
  </si>
  <si>
    <t>SHADOW TW4-360 Color</t>
  </si>
  <si>
    <t>SHADOW TW4-360 Color (White)</t>
  </si>
  <si>
    <t>TF 240 ARGB</t>
  </si>
  <si>
    <t>TF 360 ARGB</t>
  </si>
  <si>
    <t>TG-240 Black</t>
  </si>
  <si>
    <t>TG-240 White</t>
  </si>
  <si>
    <t>TG-360 Black</t>
  </si>
  <si>
    <t>TG-360 White</t>
  </si>
  <si>
    <t>TW-120RGB</t>
  </si>
  <si>
    <t>TW-240RGB</t>
  </si>
  <si>
    <t>TW2-120(501)</t>
  </si>
  <si>
    <t>TW2-120(601)</t>
  </si>
  <si>
    <t>TW2-120(601 RGB)</t>
  </si>
  <si>
    <t>TW2-120 Pro</t>
  </si>
  <si>
    <t>TW2-240(501)</t>
  </si>
  <si>
    <t>TW2-240(601)</t>
  </si>
  <si>
    <t>TW2-240(601 RGB)</t>
  </si>
  <si>
    <t>TW2-240 ARGB</t>
  </si>
  <si>
    <t>TW2-240 Pro</t>
  </si>
  <si>
    <t>TW2-240 Pro COLOR</t>
  </si>
  <si>
    <t>TW2-360</t>
  </si>
  <si>
    <t>TW2-360 Pro</t>
  </si>
  <si>
    <t>TW2-360 Pro COLOR</t>
  </si>
  <si>
    <t>TW3-120</t>
  </si>
  <si>
    <t>TW3-240</t>
  </si>
  <si>
    <t>TW6 240 ARGB Black</t>
  </si>
  <si>
    <t>TW6 240 ARGB White</t>
  </si>
  <si>
    <t>TW6 280 ARGB Black</t>
  </si>
  <si>
    <t>TW6 280 ARGB White</t>
  </si>
  <si>
    <t>TW6 360 ARGB Black</t>
  </si>
  <si>
    <t>TW6 360 ARGB White</t>
  </si>
  <si>
    <t>TW7-240 Black</t>
  </si>
  <si>
    <t>TW7-240 White</t>
  </si>
  <si>
    <t>TW7-360 ARGB Black</t>
  </si>
  <si>
    <t>TW7-360 White</t>
  </si>
  <si>
    <t>Galahad AIO 240</t>
  </si>
  <si>
    <t>Galahad AIO 360</t>
  </si>
  <si>
    <t>Galahad AIO UNI FAN SL Edition 240</t>
  </si>
  <si>
    <t>Galahad AIO UNI FAN SL Edition 360</t>
  </si>
  <si>
    <t>GALAHAD II LCD 280</t>
  </si>
  <si>
    <t>GALAHAD II LCD 360</t>
  </si>
  <si>
    <t>GALAHAD II TRINITY 240</t>
  </si>
  <si>
    <t>GALAHAD II TRINITY 360</t>
  </si>
  <si>
    <t>GALAHAD II TRINITY PERFORMANCE 360</t>
  </si>
  <si>
    <t>GALAHAD II TRINITY SL-INF 240</t>
  </si>
  <si>
    <t>GALAHAD II TRINITY SL-INF 360</t>
  </si>
  <si>
    <t>MAG CORELIQUID 120R</t>
  </si>
  <si>
    <t>MAG CORELIQUID 240R</t>
  </si>
  <si>
    <t>MAG CORELIQUID 240R V2</t>
  </si>
  <si>
    <t>MAG CORELIQUID 240R V2 WHITE</t>
  </si>
  <si>
    <t>MAG CORELIQUID 240RH</t>
  </si>
  <si>
    <t>MAG CORELIQUID 280R</t>
  </si>
  <si>
    <t>MAG CORELIQUID 280R V2</t>
  </si>
  <si>
    <t>MAG CORELIQUID 360R</t>
  </si>
  <si>
    <t>MAG CORELIQUID 360R V2</t>
  </si>
  <si>
    <t>MAG CORELIQUID 360R V2 WHITE</t>
  </si>
  <si>
    <t>MAG CORELIQUID B120</t>
  </si>
  <si>
    <t>MAG CORELIQUID B240</t>
  </si>
  <si>
    <t>MAG CORELIQUID C240</t>
  </si>
  <si>
    <t>MAG CORELIQUID C240 EVA e-PROJECT</t>
  </si>
  <si>
    <t>MAG CORELIQUID C280</t>
  </si>
  <si>
    <t>MAG CORELIQUID C360</t>
  </si>
  <si>
    <t>MAG CORELIQUID E240</t>
  </si>
  <si>
    <t>MAG CORELIQUID E360</t>
  </si>
  <si>
    <t>MAG CORELIQUID M240</t>
  </si>
  <si>
    <t>MAG CORELIQUID M360</t>
  </si>
  <si>
    <t>MAG CORELIQUID P240</t>
  </si>
  <si>
    <t>MAG CORELIQUID P280</t>
  </si>
  <si>
    <t>MAG CORELIQUID P360</t>
  </si>
  <si>
    <t>MEG CORELIQUID S280</t>
  </si>
  <si>
    <t>MEG CORELIQUID S360</t>
  </si>
  <si>
    <t>MPG CORELIQUID K240</t>
  </si>
  <si>
    <t>MPG CORELIQUID K240 V2</t>
  </si>
  <si>
    <t>MPG CORELIQUID K360</t>
  </si>
  <si>
    <t>MPG CORELIQUID K360 V2</t>
  </si>
  <si>
    <t>NZXT</t>
  </si>
  <si>
    <t>Kraken 120</t>
  </si>
  <si>
    <t>Kraken 240</t>
  </si>
  <si>
    <t>Kraken 240 RGB</t>
  </si>
  <si>
    <t>Kraken 280</t>
  </si>
  <si>
    <t>Kraken 280 RGB</t>
  </si>
  <si>
    <t>Kraken 360</t>
  </si>
  <si>
    <t>Kraken 360 RGB</t>
  </si>
  <si>
    <t>Kraken Elite 240</t>
  </si>
  <si>
    <t>Kraken Elite 240 RGB</t>
  </si>
  <si>
    <t>Kraken Elite 280</t>
  </si>
  <si>
    <t>Kraken Elite 280 RGB</t>
  </si>
  <si>
    <t>Kraken Elite 360</t>
  </si>
  <si>
    <t>Kraken Elite 360 RGB</t>
  </si>
  <si>
    <t>Kraken M22</t>
  </si>
  <si>
    <t>Kraken X53</t>
  </si>
  <si>
    <t>Kraken X53 RGB</t>
  </si>
  <si>
    <t>Kraken X63</t>
  </si>
  <si>
    <t>Kraken X63 RGB</t>
  </si>
  <si>
    <t>Kraken X73</t>
  </si>
  <si>
    <t>Kraken X73 RGB</t>
  </si>
  <si>
    <t>Kraken Z53</t>
  </si>
  <si>
    <t>Kraken Z53 RGB</t>
  </si>
  <si>
    <t>Kraken Z63</t>
  </si>
  <si>
    <t>Kraken Z63 RGB</t>
  </si>
  <si>
    <t>Kraken Z73</t>
  </si>
  <si>
    <t>Kraken Z73 RGB</t>
  </si>
  <si>
    <t>Glacier One 240 D30 Black</t>
  </si>
  <si>
    <t>Glacier One 240 D30 White</t>
  </si>
  <si>
    <t>Glacier One 240 MP</t>
  </si>
  <si>
    <t>Glacier One 240 MPH</t>
  </si>
  <si>
    <t>Glacier One 240 T30</t>
  </si>
  <si>
    <t>Glacier One 240 T30 V2</t>
  </si>
  <si>
    <t>Glacier One 280 MP</t>
  </si>
  <si>
    <t>Glacier One 280 MPH</t>
  </si>
  <si>
    <t>Glacier One 360 D30 Black</t>
  </si>
  <si>
    <t>Glacier One 360 D30 White</t>
  </si>
  <si>
    <t>Glacier One 360 MP</t>
  </si>
  <si>
    <t>Glacier One 360 MPH</t>
  </si>
  <si>
    <t>Glacier One 360 T30 V2</t>
  </si>
  <si>
    <t>Glacier One 420 D30 Black</t>
  </si>
  <si>
    <t>Glacier One 420 D30 White</t>
  </si>
  <si>
    <t>EOS 240 RBW</t>
  </si>
  <si>
    <t>EOS 360 RBW</t>
  </si>
  <si>
    <t>ORCUS 120</t>
  </si>
  <si>
    <t>ORCUS 120 RBW</t>
  </si>
  <si>
    <t>ORCUS 140 RBW</t>
  </si>
  <si>
    <t>ORCUS 240</t>
  </si>
  <si>
    <t>ORCUS 240 RBW</t>
  </si>
  <si>
    <t>ORCUS 280 RBW</t>
  </si>
  <si>
    <t>ORCUS 360</t>
  </si>
  <si>
    <t>ORCUS 360 RBW</t>
  </si>
  <si>
    <t>Hanbo Chroma 240</t>
  </si>
  <si>
    <t>Hanbo Chroma 360</t>
  </si>
  <si>
    <t>Rosewill</t>
  </si>
  <si>
    <t>PB120</t>
  </si>
  <si>
    <t>PB120-RGB</t>
  </si>
  <si>
    <t>PB240</t>
  </si>
  <si>
    <t>PB240-RGB</t>
  </si>
  <si>
    <t>PB360-RGB</t>
  </si>
  <si>
    <t>NITRO+ S240-A</t>
  </si>
  <si>
    <t>NITRO+ S360-A</t>
  </si>
  <si>
    <t>Sharkoon</t>
  </si>
  <si>
    <t>S70 RGB</t>
  </si>
  <si>
    <t>S80 RGB</t>
  </si>
  <si>
    <t>S90 RGB</t>
  </si>
  <si>
    <t>SilentiumPC</t>
  </si>
  <si>
    <t>Navis F240</t>
  </si>
  <si>
    <t>Navis F240 ARGB</t>
  </si>
  <si>
    <t>Navis RGB 120</t>
  </si>
  <si>
    <t>Navis RGB 240</t>
  </si>
  <si>
    <t>Navis RGB 280</t>
  </si>
  <si>
    <t>Navis RGB 360</t>
  </si>
  <si>
    <t>Navis EVO ARGB 120</t>
  </si>
  <si>
    <t>Navis EVO ARGB 240</t>
  </si>
  <si>
    <t>Navis EVO ARGB 280</t>
  </si>
  <si>
    <t>Navis EVO ARGB 360</t>
  </si>
  <si>
    <t>IceGem 240P</t>
  </si>
  <si>
    <t>IceGem 280</t>
  </si>
  <si>
    <t>IceGem 360</t>
  </si>
  <si>
    <t>IceMyst 240</t>
  </si>
  <si>
    <t>IceMyst 280</t>
  </si>
  <si>
    <t>IceMyst 360</t>
  </si>
  <si>
    <t>IceMyst 420</t>
  </si>
  <si>
    <t>PF120-ARGB</t>
  </si>
  <si>
    <t>PF240-ARGB</t>
  </si>
  <si>
    <t>PF240W-ARGB</t>
  </si>
  <si>
    <t>PF360-ARGB</t>
  </si>
  <si>
    <t>PF360W-ARGB</t>
  </si>
  <si>
    <t>TD02-RGB-V2</t>
  </si>
  <si>
    <t>TD02-SLIM-V2</t>
  </si>
  <si>
    <t>TD03-RGB</t>
  </si>
  <si>
    <t>VIDA 120 SLIM</t>
  </si>
  <si>
    <t>VIDA 240 SLIM</t>
  </si>
  <si>
    <t>Team Group</t>
  </si>
  <si>
    <t>T-Force SIREN GA360 ARGB</t>
  </si>
  <si>
    <t>T-Force SIREN GD240</t>
  </si>
  <si>
    <t>T-Force SIREN GD360</t>
  </si>
  <si>
    <t>T-Force SIREN DUO360</t>
  </si>
  <si>
    <t>Aqua Elite 120 V3</t>
  </si>
  <si>
    <t>Aqua Elite 240 ARGB</t>
  </si>
  <si>
    <t>Aqua Elite 240 BLACK ARGB V2</t>
  </si>
  <si>
    <t>Aqua Elite 240 V3</t>
  </si>
  <si>
    <t>Aqua Elite 240 WHITE ARGB</t>
  </si>
  <si>
    <t>Aqua Elite 240 WHITE ARGB V2</t>
  </si>
  <si>
    <t>Aqua Elite 240 WHITE V3</t>
  </si>
  <si>
    <t>Aqua Elite 360 ARGB</t>
  </si>
  <si>
    <t>Aqua Elite 360 BLACK ARGB V2</t>
  </si>
  <si>
    <t>Aqua Elite 360 V3</t>
  </si>
  <si>
    <t>Aqua Elite 360 WHITE ARGB</t>
  </si>
  <si>
    <t>Aqua Elite 360 WHITE ARGB V2</t>
  </si>
  <si>
    <t>Aqua Elite 360 WHITE V3</t>
  </si>
  <si>
    <t>Core Matrix 240 BLACK</t>
  </si>
  <si>
    <t>Core Matrix 240 WHITE</t>
  </si>
  <si>
    <t>Core Matrix 360 BLACK</t>
  </si>
  <si>
    <t>Core Matrix 360 WHITE</t>
  </si>
  <si>
    <t>Core Vision 360 BLACK</t>
  </si>
  <si>
    <t>Core Vision 360 BLACK ARGB</t>
  </si>
  <si>
    <t>Frozen Edge 240 BLACK</t>
  </si>
  <si>
    <t>Frozen Edge 240 WHITE</t>
  </si>
  <si>
    <t>Frozen Edge 360 BLACK</t>
  </si>
  <si>
    <t>Frozen Edge 360 WHITE</t>
  </si>
  <si>
    <t>Frozen EYE 240</t>
  </si>
  <si>
    <t>Frozen EYE 240 ARGB</t>
  </si>
  <si>
    <t>Frozen EYE 280 ARGB</t>
  </si>
  <si>
    <t>Frozen EYE 360</t>
  </si>
  <si>
    <t>Frozen EYE 360 ARGB</t>
  </si>
  <si>
    <t>Frozen Fusion 360 BLACK</t>
  </si>
  <si>
    <t>Frozen Fusion 360 BLACK ARGB</t>
  </si>
  <si>
    <t>Frozen Horizon 360 BLACK ARGB</t>
  </si>
  <si>
    <t>Frozen Horizon 360 WHITE ARGB</t>
  </si>
  <si>
    <t>Frozen Magic 120</t>
  </si>
  <si>
    <t>Frozen Magic 120 V2</t>
  </si>
  <si>
    <t>Frozen Magic 240</t>
  </si>
  <si>
    <t>Frozen Magic 240 ARGB</t>
  </si>
  <si>
    <t>Frozen Magic 240 Scenic</t>
  </si>
  <si>
    <t>Frozen Magic 240 Scenic V2</t>
  </si>
  <si>
    <t>Frozen Magic 240 WHITE ARGB</t>
  </si>
  <si>
    <t>Frozen Magic 280 Scenic V2</t>
  </si>
  <si>
    <t>Frozen Magic 360</t>
  </si>
  <si>
    <t>Frozen Magic 360 ARGB</t>
  </si>
  <si>
    <t>Frozen Magic 360 Scenic V2</t>
  </si>
  <si>
    <t>Frozen Magic 360 WHITE ARGB</t>
  </si>
  <si>
    <t>Frozen Magic EX 120</t>
  </si>
  <si>
    <t>Frozen Magic EX 240</t>
  </si>
  <si>
    <t>Frozen Magic EX 360</t>
  </si>
  <si>
    <t>Frozen Notte 240 BLACK ARGB</t>
  </si>
  <si>
    <t>Frozen Notte 240 BLACK ARGB V2</t>
  </si>
  <si>
    <t>Frozen Notte 240 WHITE ARGB</t>
  </si>
  <si>
    <t>Frozen Notte 240 WHITE ARGB V2</t>
  </si>
  <si>
    <t>Frozen Notte 360 BLACK ARGB</t>
  </si>
  <si>
    <t>Frozen Notte 360 BLACK ARGB V2</t>
  </si>
  <si>
    <t>Frozen Notte 360 WHITE ARGB</t>
  </si>
  <si>
    <t>Frozen Notte 360 WHITE ARGB V2</t>
  </si>
  <si>
    <t>Frozen Prism 240 BLACK</t>
  </si>
  <si>
    <t>Frozen Prism 240 BLACK ARGB</t>
  </si>
  <si>
    <t>Frozen Prism 240 WHITE ARGB</t>
  </si>
  <si>
    <t>Frozen Prism 360 BLACK</t>
  </si>
  <si>
    <t>Frozen Prism 360 BLACK ARGB</t>
  </si>
  <si>
    <t>Frozen Prism 360 WHITE ARGB</t>
  </si>
  <si>
    <t>Frozen Vision 240 BLACK</t>
  </si>
  <si>
    <t>Frozen Vision 240 WHITE</t>
  </si>
  <si>
    <t>Frozen Vision 360 BLACK</t>
  </si>
  <si>
    <t>Frozen Warframe 240 BLACK ARGB</t>
  </si>
  <si>
    <t>Frozen Warframe 240 WHITE ARGB</t>
  </si>
  <si>
    <t>Frozen Warframe 360 BLACK</t>
  </si>
  <si>
    <t>Frozen Warframe 360 BLACK ARGB</t>
  </si>
  <si>
    <t>Frozen Warframe 360 WHITE ARGB</t>
  </si>
  <si>
    <t>Frozen Warframe 420 BLACK ARGB</t>
  </si>
  <si>
    <t>Frozen Warframe 420 WHITE ARGB</t>
  </si>
  <si>
    <t>Frozen Warframe PRO 360 BLACK</t>
  </si>
  <si>
    <t>Frozen Warframe PRO 360 BLACK ARGB</t>
  </si>
  <si>
    <t>Mjolnir Vision 360 BLACK ARGB</t>
  </si>
  <si>
    <t>Mjolnir Vision 360 WHITE ARGB</t>
  </si>
  <si>
    <t>Turbo Right 240</t>
  </si>
  <si>
    <t>Turbo Right 240 C</t>
  </si>
  <si>
    <t>Turbo Right 360</t>
  </si>
  <si>
    <t>Turbo Right 360 C</t>
  </si>
  <si>
    <t>Floe DX RGB 240 TT Premium Edition</t>
  </si>
  <si>
    <t>Floe DX RGB 280 TT Premium Edition</t>
  </si>
  <si>
    <t>Floe DX RGB 360 TT Premium Edition</t>
  </si>
  <si>
    <t>Floe RC240</t>
  </si>
  <si>
    <t>Floe RC240 Snow Edition</t>
  </si>
  <si>
    <t>Floe RC360</t>
  </si>
  <si>
    <t>Floe RC360 Snow Edition</t>
  </si>
  <si>
    <t>Floe RC Ultra 240</t>
  </si>
  <si>
    <t>Floe RC Ultra 360</t>
  </si>
  <si>
    <t>Floe Riing RGB 240 TT Premium Edition</t>
  </si>
  <si>
    <t>Floe Riing RGB 280 TT Premium Edition</t>
  </si>
  <si>
    <t>Floe Riing RGB 360 TT Premium Edition</t>
  </si>
  <si>
    <t>TH120 ARGB Sync</t>
  </si>
  <si>
    <t>TH240 ARGB Sync</t>
  </si>
  <si>
    <t>TH240 ARGB Sync Snow Edition</t>
  </si>
  <si>
    <t>TH360 ARGB Sync</t>
  </si>
  <si>
    <t>TH360 ARGB Sync Snow Edition</t>
  </si>
  <si>
    <t>TOUGHLIQUID 240 ARGB Sync</t>
  </si>
  <si>
    <t>TOUGHLIQUID 240 ARGB Sync Racing Green</t>
  </si>
  <si>
    <t>TOUGHLIQUID 240 ARGB Sync Turquoise</t>
  </si>
  <si>
    <t>TOUGHLIQUID 280 ARGB Sync</t>
  </si>
  <si>
    <t>TOUGHLIQUID 360 ARGB Sync</t>
  </si>
  <si>
    <t>TOUGHLIQUID Ultra 240</t>
  </si>
  <si>
    <t>TOUGHLIQUID Ultra 360</t>
  </si>
  <si>
    <t>Water 3.0 120 ARGB Sync</t>
  </si>
  <si>
    <t>Water 3.0 120 Performer C</t>
  </si>
  <si>
    <t>Water 3.0 240 ARGB Sync</t>
  </si>
  <si>
    <t>Water 3.0 360 ARGB Sync</t>
  </si>
  <si>
    <t>Water 3.0 Extreme S</t>
  </si>
  <si>
    <t>Water 3.0 Riing Red 140</t>
  </si>
  <si>
    <t>Water 3.0 Riing Red 280</t>
  </si>
  <si>
    <t>Water 3.0 Riing RGB 240</t>
  </si>
  <si>
    <t>Water 3.0 Riing RGB 280</t>
  </si>
  <si>
    <t>Water 3.0 Riing RGB 360</t>
  </si>
  <si>
    <t>Water 3.0 Ultimate</t>
  </si>
  <si>
    <t>V240 Black</t>
  </si>
  <si>
    <t>V240 White</t>
  </si>
  <si>
    <t>V360 Black</t>
  </si>
  <si>
    <t>V360 White</t>
  </si>
  <si>
    <t>Xigmatek</t>
  </si>
  <si>
    <t>AURORA 120</t>
  </si>
  <si>
    <t>AURORA 240</t>
  </si>
  <si>
    <t>AURORA 360</t>
  </si>
  <si>
    <t>AURORA Arctic 240</t>
  </si>
  <si>
    <t>FROZR-O 240</t>
  </si>
  <si>
    <t>GLACE 120</t>
  </si>
  <si>
    <t>GLACE 240</t>
  </si>
  <si>
    <t>Liquid Killer X 240</t>
  </si>
  <si>
    <t>Liquid Killer X 240 Arctic</t>
  </si>
  <si>
    <t>Liquid Killer X 360</t>
  </si>
  <si>
    <t>Neon Aqua 240</t>
  </si>
  <si>
    <t>Thickness (mm)</t>
  </si>
  <si>
    <t>Max Fan Speed (rpm)</t>
  </si>
  <si>
    <t>Rated Current (A)</t>
  </si>
  <si>
    <t>PWM / DC</t>
  </si>
  <si>
    <t>Voltage (V)</t>
  </si>
  <si>
    <t>Bearing</t>
  </si>
  <si>
    <t>Fan Blades</t>
  </si>
  <si>
    <t>12V RGB</t>
  </si>
  <si>
    <t>5V ARGB</t>
  </si>
  <si>
    <t>Cybenetics Test Report</t>
  </si>
  <si>
    <t>XFAN 40</t>
  </si>
  <si>
    <t>40x40</t>
  </si>
  <si>
    <t>DC</t>
  </si>
  <si>
    <t>NO-4010-SD</t>
  </si>
  <si>
    <t>Hydraulic Bearing</t>
  </si>
  <si>
    <t>NF-A4x10 5V</t>
  </si>
  <si>
    <t>SSO2</t>
  </si>
  <si>
    <t>NF-A4x10 5V PWM</t>
  </si>
  <si>
    <t>PWM</t>
  </si>
  <si>
    <t>NF-A4x10 FLX</t>
  </si>
  <si>
    <t>NF-A4x10 PWM</t>
  </si>
  <si>
    <t>NF-A4x20 5V</t>
  </si>
  <si>
    <t>NF-A4x20 5V PWM</t>
  </si>
  <si>
    <t>NF-A4x20 FLX</t>
  </si>
  <si>
    <t>NF-A4x20 PWM</t>
  </si>
  <si>
    <t>NO-5010-SD</t>
  </si>
  <si>
    <t>50x50</t>
  </si>
  <si>
    <t>XFAN 60</t>
  </si>
  <si>
    <t>60x60</t>
  </si>
  <si>
    <t>NO-6010-SD</t>
  </si>
  <si>
    <t>XFAN 70</t>
  </si>
  <si>
    <t>70x70</t>
  </si>
  <si>
    <t>NO-7015-SD</t>
  </si>
  <si>
    <t>Akasa</t>
  </si>
  <si>
    <t>AK-FN076</t>
  </si>
  <si>
    <t>80x80</t>
  </si>
  <si>
    <t>Enter Bearing</t>
  </si>
  <si>
    <t>R4-SPS-20AK-GP</t>
  </si>
  <si>
    <t>Sleeve Bearing</t>
  </si>
  <si>
    <t>Noiseblocker</t>
  </si>
  <si>
    <t>NB-BlackSilent Pro</t>
  </si>
  <si>
    <t>NB-NanoSLI Magnetic</t>
  </si>
  <si>
    <t>Kaze Hachi (SC8010KH12H-P)</t>
  </si>
  <si>
    <t>TL-8015W</t>
  </si>
  <si>
    <t>S-FDB V2</t>
  </si>
  <si>
    <t>QT90</t>
  </si>
  <si>
    <t>92x92</t>
  </si>
  <si>
    <t>HPLN Bearing</t>
  </si>
  <si>
    <t>FT9 SLIM</t>
  </si>
  <si>
    <t>Fluid Dynamic Bearing</t>
  </si>
  <si>
    <t>CF-9215</t>
  </si>
  <si>
    <t>NO-9215</t>
  </si>
  <si>
    <t>NO-9215-XT-ARGB</t>
  </si>
  <si>
    <t>TF-9215</t>
  </si>
  <si>
    <t>TF-9215-ARGB</t>
  </si>
  <si>
    <t>NF-A9x14 HS-PWM chromax.black.swap</t>
  </si>
  <si>
    <t>NF-A9x14 PWM</t>
  </si>
  <si>
    <t>Kaze Flex 92 Slim PWM</t>
  </si>
  <si>
    <t>Sealed Precision FDB</t>
  </si>
  <si>
    <t>Kaze Flex 92 Slim RGB PWM</t>
  </si>
  <si>
    <t>Air Slimmer 90</t>
  </si>
  <si>
    <t>Air Slimmer 90 ARGB</t>
  </si>
  <si>
    <t>TL-9015</t>
  </si>
  <si>
    <t>TL-9015B</t>
  </si>
  <si>
    <t>TL-9015R</t>
  </si>
  <si>
    <t>TL-9015W</t>
  </si>
  <si>
    <t>AK-FN078</t>
  </si>
  <si>
    <t>SL-15</t>
  </si>
  <si>
    <t>Ball Bearing</t>
  </si>
  <si>
    <t>P12 Slim PWM PST</t>
  </si>
  <si>
    <t>Xtraflo 120 Slim</t>
  </si>
  <si>
    <t>AF120 SLIM Black</t>
  </si>
  <si>
    <t>AF120 SLIM White</t>
  </si>
  <si>
    <t>iCUE AF120 RGB SLIM Black</t>
  </si>
  <si>
    <t>iCUE AF120 RGB SLIM White</t>
  </si>
  <si>
    <t>FT12 SLIM</t>
  </si>
  <si>
    <t>FANNER</t>
  </si>
  <si>
    <t>F120</t>
  </si>
  <si>
    <t>Slim 12 PL Blue</t>
  </si>
  <si>
    <t>Hydro Dynamic Bearing</t>
  </si>
  <si>
    <t>Slim 12 UV Blue</t>
  </si>
  <si>
    <t>NO-12015</t>
  </si>
  <si>
    <t>NO-12015-XT</t>
  </si>
  <si>
    <t>NO-12015-XT ARGB</t>
  </si>
  <si>
    <t>NO-12015-XT ARGB SNOW</t>
  </si>
  <si>
    <t>TF-12015-K</t>
  </si>
  <si>
    <t>TF-12015-W</t>
  </si>
  <si>
    <t>Mercury AM120S</t>
  </si>
  <si>
    <t>HF1215 Black</t>
  </si>
  <si>
    <t>HF1215 White</t>
  </si>
  <si>
    <t>NF-A12x15 FLX</t>
  </si>
  <si>
    <t>NF-A12x15 PWM</t>
  </si>
  <si>
    <t>NF-A12x15 PWM chromax.black.swap</t>
  </si>
  <si>
    <t>Ultra Sleek Vortex 12</t>
  </si>
  <si>
    <t>Dual Ball Bearing</t>
  </si>
  <si>
    <t>Kaze Flex 120 Slim (KF1215FD12-P)</t>
  </si>
  <si>
    <t>Kaze Flex 120 Slim (KF1215FD12)</t>
  </si>
  <si>
    <t>Kaze Flex 120 Slim (KF1215FD18-P)</t>
  </si>
  <si>
    <t>Kaze Flex 120 Slim (KF1215FD18)</t>
  </si>
  <si>
    <t>Kaze Flex 120 Slim RGB (KF1215FD12R-P)</t>
  </si>
  <si>
    <t>Kaze Flex 120 Slim RGB (KF1215FD18R-P)</t>
  </si>
  <si>
    <t>Kaze Flex II 120 Slim (KFS1215FD12-P)</t>
  </si>
  <si>
    <t>Kaze Flex II 120 Slim (KFS1215FD15-P)</t>
  </si>
  <si>
    <t>Kaze Flex II 120 Slim (KFS1215FD18-P)</t>
  </si>
  <si>
    <t>Kaze-1212 Slim (SC1212SL12H)</t>
  </si>
  <si>
    <t>Slip Stream 120 mm Slim (SY1212SL12SL)</t>
  </si>
  <si>
    <t>Slip Stream 120 mm Slim (SY1212SL12S)</t>
  </si>
  <si>
    <t>Slip Stream 120 mm Slim (SY1212SL12M)</t>
  </si>
  <si>
    <t>Slip Stream 120 mm Slim (SY1212SL12H)</t>
  </si>
  <si>
    <t>Slip Stream 120 mm Slim (SY1212SL12H-P)</t>
  </si>
  <si>
    <t>Air Slimmer 120</t>
  </si>
  <si>
    <t>Air Slimmer 120 ARGB</t>
  </si>
  <si>
    <t>SST-FN123</t>
  </si>
  <si>
    <t>SST-FN124</t>
  </si>
  <si>
    <t>SST-FW121</t>
  </si>
  <si>
    <t>SST-FW124-ARGB</t>
  </si>
  <si>
    <t>TL-C12015</t>
  </si>
  <si>
    <t>S-FDB</t>
  </si>
  <si>
    <t>TL-C12015B</t>
  </si>
  <si>
    <t>TL-C12015L</t>
  </si>
  <si>
    <t>TL-C12015S</t>
  </si>
  <si>
    <t>TL-C12015W-S</t>
  </si>
  <si>
    <t>Luna 12 Slim LED</t>
  </si>
  <si>
    <t>Aeolus β</t>
  </si>
  <si>
    <t>130x120</t>
  </si>
  <si>
    <t>Aeolus β-RGB</t>
  </si>
  <si>
    <t>Streamliner 140</t>
  </si>
  <si>
    <t>P14 Slim PWM PST</t>
  </si>
  <si>
    <t>XT140</t>
  </si>
  <si>
    <t>120mm fan mount</t>
  </si>
  <si>
    <t>HF1415 Black</t>
  </si>
  <si>
    <t>HF1415 White</t>
  </si>
  <si>
    <t>Ultra Sleek Vortex 14</t>
  </si>
  <si>
    <t>Air Slimmer 140</t>
  </si>
  <si>
    <t>Air Slimmer 140 ARGB</t>
  </si>
  <si>
    <t>Luna 14 Slim LED</t>
  </si>
  <si>
    <t>Aeolus α</t>
  </si>
  <si>
    <t>150x140</t>
  </si>
  <si>
    <t>SST-FW141</t>
  </si>
  <si>
    <t>TY-14013R</t>
  </si>
  <si>
    <t>EHF Bearing</t>
  </si>
  <si>
    <t>SST-FM182</t>
  </si>
  <si>
    <t>180x180</t>
  </si>
  <si>
    <t>SST-FW181</t>
  </si>
  <si>
    <t>Cybenetics Phi Airflow</t>
  </si>
  <si>
    <t>Cybenetics Phi Static Pressure</t>
  </si>
  <si>
    <t>Pure Wings 2 92mm PWM</t>
  </si>
  <si>
    <t>Rifle Bearing</t>
  </si>
  <si>
    <t>SL-925ARGB Black</t>
  </si>
  <si>
    <t>SL-925ARGB White</t>
  </si>
  <si>
    <t>SL-925Color Black</t>
  </si>
  <si>
    <t>SL-925Color White</t>
  </si>
  <si>
    <t>NF-A9 PWM</t>
  </si>
  <si>
    <t>NF-A9 PWM chromax.black.swap</t>
  </si>
  <si>
    <t>NF-B9 redux-1600 PWM</t>
  </si>
  <si>
    <t>SSO-Bearing</t>
  </si>
  <si>
    <t>Kaze Flex 92</t>
  </si>
  <si>
    <t>Kaze Flex 92 RGB</t>
  </si>
  <si>
    <t>TL-B9</t>
  </si>
  <si>
    <t>TL-B9W</t>
  </si>
  <si>
    <t>TL-C9</t>
  </si>
  <si>
    <t>TL-C9B</t>
  </si>
  <si>
    <t>TL-P9</t>
  </si>
  <si>
    <t>TL-P9-S</t>
  </si>
  <si>
    <t>TL-P9W</t>
  </si>
  <si>
    <t>TL-P9W-S</t>
  </si>
  <si>
    <t>XPG VENTO PRO 120 PWM</t>
  </si>
  <si>
    <t>akasa</t>
  </si>
  <si>
    <t>Alucia SC12</t>
  </si>
  <si>
    <t>Apex Stealth Metal Fan</t>
  </si>
  <si>
    <t>Apex Stealth Metal Power Fan</t>
  </si>
  <si>
    <t>P12 Max</t>
  </si>
  <si>
    <t>P12 Max White</t>
  </si>
  <si>
    <t>P12 PWM PST</t>
  </si>
  <si>
    <t>P12 PWM PST RGB</t>
  </si>
  <si>
    <t>P12 PWM PST A-RGB</t>
  </si>
  <si>
    <t>Light Wings 120mm PWM</t>
  </si>
  <si>
    <t>Light Wings 120mm PWM high-speed</t>
  </si>
  <si>
    <t>Pure Wings 3 120mm PWM</t>
  </si>
  <si>
    <t>Pure Wings 3 120mm PWM high-speed</t>
  </si>
  <si>
    <t>Silent Wings 3 120mm PWM</t>
  </si>
  <si>
    <t>Silent Wings 3 120mm PWM high-speed</t>
  </si>
  <si>
    <t>Silent Wings 4 120mm PWM</t>
  </si>
  <si>
    <t>Silent Wings 4 120mm PWM high-speed</t>
  </si>
  <si>
    <t>Silent Wings 4 120mm PWM high-speed White</t>
  </si>
  <si>
    <t>Silent Wings Pro 4 120mm PWM</t>
  </si>
  <si>
    <t>Silent Wings Pro 4 120mm PWM White (M)</t>
  </si>
  <si>
    <t>Silent Wings Pro 4 120mm PWM White (HS)</t>
  </si>
  <si>
    <t>Silent Wings Pro 4 120mm PWM White (UHS)</t>
  </si>
  <si>
    <t>MasterFan MF120 Halo</t>
  </si>
  <si>
    <t>MasterFan MF120 HALO2</t>
  </si>
  <si>
    <t>MasterFan SF120M</t>
  </si>
  <si>
    <t>MasterFan SF120M ARGB</t>
  </si>
  <si>
    <t>MasterFan SF120R</t>
  </si>
  <si>
    <t>Mobius 120</t>
  </si>
  <si>
    <t>Loop Dynamic Bearing</t>
  </si>
  <si>
    <t>Mobius 120 OC (L)</t>
  </si>
  <si>
    <t>Mobius 120 OC (M)</t>
  </si>
  <si>
    <t>Mobius 120 OC (H)</t>
  </si>
  <si>
    <t>Mobius 120P ARGB</t>
  </si>
  <si>
    <t>Mobius 120P ARGB White Edition</t>
  </si>
  <si>
    <t>SickleFlow 120</t>
  </si>
  <si>
    <t>SickleFlow 120 ARGB</t>
  </si>
  <si>
    <t>AF120 ELITE</t>
  </si>
  <si>
    <t>AF120 ELITE White</t>
  </si>
  <si>
    <t>iCUE AF120 RGB ELITE</t>
  </si>
  <si>
    <t>iCUE AF120 RGB ELITE White</t>
  </si>
  <si>
    <t>iCUE LINK RX120</t>
  </si>
  <si>
    <t>Magnetic Dome Bearing</t>
  </si>
  <si>
    <t>iCUE LINK RX120 RGB</t>
  </si>
  <si>
    <t>Gold</t>
  </si>
  <si>
    <t>Platinum</t>
  </si>
  <si>
    <t>iCUE LINK RX120 RGB White</t>
  </si>
  <si>
    <t>RS120 MAX</t>
  </si>
  <si>
    <t>Titanium</t>
  </si>
  <si>
    <t>Diamond</t>
  </si>
  <si>
    <t>FC120</t>
  </si>
  <si>
    <t>Hydro Bearing</t>
  </si>
  <si>
    <t>FK120</t>
  </si>
  <si>
    <t>FT12</t>
  </si>
  <si>
    <t>EK-Furious Vardar EVO 120 BB</t>
  </si>
  <si>
    <t>EK-Loop Fan FPT 120 - Black</t>
  </si>
  <si>
    <t>EK-Loop Fan FPT 120 D-RGB - Black</t>
  </si>
  <si>
    <t>EK-Loop Fan FPT 120 D-RGB - White</t>
  </si>
  <si>
    <t>EK-Vardar EVO 120ER Black BB</t>
  </si>
  <si>
    <t>EK-Vardar EVO 120ER D-RGB</t>
  </si>
  <si>
    <t>Silver</t>
  </si>
  <si>
    <t>EK-Vardar EVO 120ER RGB</t>
  </si>
  <si>
    <t>EK-Vardar S 120ER D-RGB</t>
  </si>
  <si>
    <t>Flow FA12</t>
  </si>
  <si>
    <t>THICC FP12</t>
  </si>
  <si>
    <t>AF-125-K</t>
  </si>
  <si>
    <t>AF-125-W</t>
  </si>
  <si>
    <t>AF-127-ARGB-K</t>
  </si>
  <si>
    <t>AF-127-ARGB-W</t>
  </si>
  <si>
    <t>AS-120-K</t>
  </si>
  <si>
    <t>DF-12025-ARGB</t>
  </si>
  <si>
    <t>Neptune AN120</t>
  </si>
  <si>
    <t>Neptune DN120</t>
  </si>
  <si>
    <t>Neptune DN120 PRO</t>
  </si>
  <si>
    <t>HF120</t>
  </si>
  <si>
    <t>SL-120B</t>
  </si>
  <si>
    <t>SL-120BR</t>
  </si>
  <si>
    <t>SL-120C</t>
  </si>
  <si>
    <t>SL-120CW</t>
  </si>
  <si>
    <t>SL-120W</t>
  </si>
  <si>
    <t>SL-120WR</t>
  </si>
  <si>
    <t>UNI FAN P28 (Silent)</t>
  </si>
  <si>
    <t>UNI FAN P28 (Normal)</t>
  </si>
  <si>
    <t>UNI FAN P28 (Performance)</t>
  </si>
  <si>
    <t>UNI FAN TL120</t>
  </si>
  <si>
    <t>METAL 120 PWM</t>
  </si>
  <si>
    <t>MEG SILENT GALE P12</t>
  </si>
  <si>
    <t>Nidec Servo</t>
  </si>
  <si>
    <t>Gentle Typhoon 1450 (D1225C12B4AZ-00)</t>
  </si>
  <si>
    <t>Gentle Typhoon 1850 (D1225C12B5AZ-00)</t>
  </si>
  <si>
    <t>Gentle Typhoon 2150 (D1225C12B6AZ-00)</t>
  </si>
  <si>
    <t>Gentle Typhoon 3000 (D1225C12B7AZ-00)</t>
  </si>
  <si>
    <t>Gentle Typhoon 4250 (D1225C12B9AZ-00)</t>
  </si>
  <si>
    <t>Gentle Typhoon 5400 (D1225C12BBAZ-00)</t>
  </si>
  <si>
    <t>NF-A12x25 PWM</t>
  </si>
  <si>
    <t>NF-A12x25 PWM chromax.black.swap</t>
  </si>
  <si>
    <t>NF-F12 PWM</t>
  </si>
  <si>
    <t>NF-F12 industrialPPC-2000 PWM</t>
  </si>
  <si>
    <t>NF-F12 industrialPPC-3000 PWM</t>
  </si>
  <si>
    <t>NF-P12 redux-1700 PWM</t>
  </si>
  <si>
    <t>NB-eLoop B12-PS</t>
  </si>
  <si>
    <t>NB-eLoop B12-P</t>
  </si>
  <si>
    <t>NB-eLoop B12X-PS</t>
  </si>
  <si>
    <t>NB-eLoop B12X-P</t>
  </si>
  <si>
    <t>D30-120 D-RGB</t>
  </si>
  <si>
    <t>M25 120</t>
  </si>
  <si>
    <t>M25 120 DRGB</t>
  </si>
  <si>
    <t>SK 120</t>
  </si>
  <si>
    <t>SK 120 D-RGB</t>
  </si>
  <si>
    <t>T30 Hybrid</t>
  </si>
  <si>
    <t>DUAL VAPO Bearing</t>
  </si>
  <si>
    <t>T30 Performance</t>
  </si>
  <si>
    <t>T30 Advanced</t>
  </si>
  <si>
    <t>Grand Tornado 120 2000rpm</t>
  </si>
  <si>
    <t>Sealed Precision FDB Gen 2</t>
  </si>
  <si>
    <t>Grand Tornado 120 3000rpm</t>
  </si>
  <si>
    <t>Kaze Flex 120 (SU1225FD12L-RDP)</t>
  </si>
  <si>
    <t>Kaze Flex 120 (SU1225FD12M-RHP)</t>
  </si>
  <si>
    <t>Kaze Flex 120 ARGB (KF1225FD12AR-P)</t>
  </si>
  <si>
    <t>Kaze Flex 120 Black</t>
  </si>
  <si>
    <t>Kaze Flex 120 RGB (SU1225FD12MR-RHP)</t>
  </si>
  <si>
    <t>Kaze Flex II 120 (KFS1225FD12-P)</t>
  </si>
  <si>
    <t>Kaze Flex II 120 (KFS1225FD15-P)</t>
  </si>
  <si>
    <t>Kaze Flex II 120 (KFS1225FD20-P)</t>
  </si>
  <si>
    <t>Wonder Snail 120 PWM (WS1225FD12-P)</t>
  </si>
  <si>
    <t>Wonder Snail 120 PWM (WS1225FD18-P)</t>
  </si>
  <si>
    <t>Wonder Snail 120 PWM (WS1225FD24-P)</t>
  </si>
  <si>
    <t>Wonder Tornado 120</t>
  </si>
  <si>
    <t>Air Penetrator 120SK ARGB</t>
  </si>
  <si>
    <t>Shark Force 120</t>
  </si>
  <si>
    <t>Shark Force 120 ARGB</t>
  </si>
  <si>
    <t>VISTA 120</t>
  </si>
  <si>
    <t>Hydrodynamic Bearing</t>
  </si>
  <si>
    <t>VISTA 120 ARGB</t>
  </si>
  <si>
    <t>VISTA 120F</t>
  </si>
  <si>
    <t>TL-B12</t>
  </si>
  <si>
    <t>TL-B12R-S</t>
  </si>
  <si>
    <t>TL-B12RW-S</t>
  </si>
  <si>
    <t>TL-B12S</t>
  </si>
  <si>
    <t>TL-B12W</t>
  </si>
  <si>
    <t>TL-B12W-S</t>
  </si>
  <si>
    <t>TL-B12 EXTREM</t>
  </si>
  <si>
    <t>TL-B12 Extrem LCP</t>
  </si>
  <si>
    <t>TL-C12 PRO</t>
  </si>
  <si>
    <t>TL-C12 PRO-W</t>
  </si>
  <si>
    <t>TL-E12</t>
  </si>
  <si>
    <t>TL-E12B EXTREM</t>
  </si>
  <si>
    <t>TL-G12</t>
  </si>
  <si>
    <t>TL-K12</t>
  </si>
  <si>
    <t>TL-K12W</t>
  </si>
  <si>
    <t>TL-S12</t>
  </si>
  <si>
    <t>TL-S12W</t>
  </si>
  <si>
    <t>Big Typhoon 12 (大台风12)</t>
  </si>
  <si>
    <t>TOUGHFAN 12</t>
  </si>
  <si>
    <t>Hydraulic Bearing Gen 2</t>
  </si>
  <si>
    <t>TOUGHFAN 12 Pro</t>
  </si>
  <si>
    <t>TOUGHFAN 12 RGB</t>
  </si>
  <si>
    <t>TOUGHFAN 12 Turbo</t>
  </si>
  <si>
    <t>Alucia SC14</t>
  </si>
  <si>
    <t>P14 Max</t>
  </si>
  <si>
    <t>P14 PWM PST</t>
  </si>
  <si>
    <t>P14 PWM PST A-RGB</t>
  </si>
  <si>
    <t>P14 PWM PST CO</t>
  </si>
  <si>
    <t>P14 PWM PST RGB</t>
  </si>
  <si>
    <t>Light Wings 140mm PWM</t>
  </si>
  <si>
    <t>Light Wings 140mm PWM high-speed</t>
  </si>
  <si>
    <t>Pure Wings 3 140mm PWM</t>
  </si>
  <si>
    <t>Pure Wings 3 140mm PWM high-speed</t>
  </si>
  <si>
    <t>Silent Wings 3 140mm PWM</t>
  </si>
  <si>
    <t>Silent Wings 3 140mm PWM high-speed</t>
  </si>
  <si>
    <t>Silent Wings 4 140mm PWM</t>
  </si>
  <si>
    <t>Silent Wings 4 140mm PWM high-speed</t>
  </si>
  <si>
    <t>Silent Wings 4 140mm PWM high-speed White</t>
  </si>
  <si>
    <t>Silent Wings 4 140mm PWM White</t>
  </si>
  <si>
    <t>Silent Wings Pro 4 140mm PWM</t>
  </si>
  <si>
    <t>MasterFan MF140 Halo</t>
  </si>
  <si>
    <t>MasterFan MF140 HALO2</t>
  </si>
  <si>
    <t>Mobius 140P ARGB</t>
  </si>
  <si>
    <t>SickleFlow 140 ARGB</t>
  </si>
  <si>
    <t>AF140 ELITE</t>
  </si>
  <si>
    <t>AF140 ELITE White</t>
  </si>
  <si>
    <t>iCUE AF140 RGB ELITE</t>
  </si>
  <si>
    <t>iCUE AF140 RGB ELITE White</t>
  </si>
  <si>
    <t>iCUE LINK RX140</t>
  </si>
  <si>
    <t>iCUE LINK RX140 RGB</t>
  </si>
  <si>
    <t>iCUE LINK RX140 RGB White</t>
  </si>
  <si>
    <t>RS140 MAX</t>
  </si>
  <si>
    <t>FT14</t>
  </si>
  <si>
    <t>EK-Loop Fan FPT 140 - Black</t>
  </si>
  <si>
    <t>EK-Loop Fan FPT 140 D-RGB - Black</t>
  </si>
  <si>
    <t>EK-Loop Fan FPT 140 D-RGB - White</t>
  </si>
  <si>
    <t>EK-Vardar EVO 140ER Black BB</t>
  </si>
  <si>
    <t>EK-Vardar EVO 140ER D-RGB</t>
  </si>
  <si>
    <t>Neptune AN140</t>
  </si>
  <si>
    <t>Neptune DN140</t>
  </si>
  <si>
    <t>Neptune DN140 PRO</t>
  </si>
  <si>
    <t>UNI FAN TL140</t>
  </si>
  <si>
    <t>NF-A14 PWM</t>
  </si>
  <si>
    <t>NF-A14 industrialPPC-2000 PWM</t>
  </si>
  <si>
    <t>NF-A14 industrialPPC-3000 PWM</t>
  </si>
  <si>
    <t>NB-eLoop B14-PS</t>
  </si>
  <si>
    <t>NB-NanoSLI 2 Magnetic</t>
  </si>
  <si>
    <t>NB-eLoop B14X-P</t>
  </si>
  <si>
    <t>D30-140 D-RGB</t>
  </si>
  <si>
    <t>M25 140</t>
  </si>
  <si>
    <t>M25 140 DRGB</t>
  </si>
  <si>
    <t>Kaze Flex 140 Square (KF1425FD12S-P)</t>
  </si>
  <si>
    <t>Kaze Flex 140 Square (KF1425FD18S-P)</t>
  </si>
  <si>
    <t>Kaze Flex 140 Square RGB (KF1425FD12SR-P)</t>
  </si>
  <si>
    <t>Kaze Flex 140 Square RGB (KF1425FD18SR-P)</t>
  </si>
  <si>
    <t>Shark Force 140</t>
  </si>
  <si>
    <t>Shark Force 140 ARGB</t>
  </si>
  <si>
    <t>VISTA 140</t>
  </si>
  <si>
    <t>VISTA 140 ARGB</t>
  </si>
  <si>
    <t>TL-B14</t>
  </si>
  <si>
    <t>TL-B14B EXTREM</t>
  </si>
  <si>
    <t>TL-B14W</t>
  </si>
  <si>
    <t>TL-B14W EXTREM</t>
  </si>
  <si>
    <t>TL-C14</t>
  </si>
  <si>
    <t>TL-C14X</t>
  </si>
  <si>
    <t>TOUGHFAN 14</t>
  </si>
  <si>
    <t>TOUGHFAN 14 Pro</t>
  </si>
  <si>
    <t>TOUGHFAN 14 RGB</t>
  </si>
  <si>
    <t>TOUGHFAN 14 White</t>
  </si>
  <si>
    <t>Memory Type</t>
  </si>
  <si>
    <t>Height incl contact pins (mm)</t>
  </si>
  <si>
    <t>RGB</t>
  </si>
  <si>
    <t>AD4X266638G19-BP</t>
  </si>
  <si>
    <t>DDR4</t>
  </si>
  <si>
    <t>XPG CASTER DDR5</t>
  </si>
  <si>
    <t>DDR5</t>
  </si>
  <si>
    <t>XPG CASTER RGB DDR5</t>
  </si>
  <si>
    <t>XPG GAMMIX D20</t>
  </si>
  <si>
    <t>XPG GAMMIX D45</t>
  </si>
  <si>
    <t>XPG HUNTER</t>
  </si>
  <si>
    <t>XPG HUNTER DDR5</t>
  </si>
  <si>
    <t>XPG LANCER DDR5</t>
  </si>
  <si>
    <t>XPG LANCER BLADE DDR5</t>
  </si>
  <si>
    <t>XPG LANCER BLADE RGB DDR5</t>
  </si>
  <si>
    <t>XPG LANCER RGB DDR5</t>
  </si>
  <si>
    <t>XPG SPECTRIX D45G</t>
  </si>
  <si>
    <t>XPG SPECTRIX D50</t>
  </si>
  <si>
    <t>XPG SPECTRIX D50 Xtreme</t>
  </si>
  <si>
    <t>XPG SPECTRIX D55</t>
  </si>
  <si>
    <t>Apacer</t>
  </si>
  <si>
    <t>NOX DDR5</t>
  </si>
  <si>
    <t>Avexir</t>
  </si>
  <si>
    <t>Blitz</t>
  </si>
  <si>
    <t>Budget</t>
  </si>
  <si>
    <t>Core</t>
  </si>
  <si>
    <t>Core 2</t>
  </si>
  <si>
    <t>Raiden</t>
  </si>
  <si>
    <t>Solid</t>
  </si>
  <si>
    <t>Dominator Platinum</t>
  </si>
  <si>
    <t>Dominator Platinum RGB</t>
  </si>
  <si>
    <t>Dominator Platinum RGB DDR5</t>
  </si>
  <si>
    <t>Dominator Platinum RGB DDR5 for AMD</t>
  </si>
  <si>
    <t>Vengeance DDR5</t>
  </si>
  <si>
    <t>Vengeance DDR5 for AMD</t>
  </si>
  <si>
    <t>Vengeance RGB DDR5</t>
  </si>
  <si>
    <t>Vengeance RGB DDR5 for AMD</t>
  </si>
  <si>
    <t>Vengeance RGB Pro SL</t>
  </si>
  <si>
    <t>Vengeance RGB RT</t>
  </si>
  <si>
    <t>Vengeance RGB RS</t>
  </si>
  <si>
    <t>Ballistix</t>
  </si>
  <si>
    <t>Ballistix RGB</t>
  </si>
  <si>
    <t>Ballistix MAX</t>
  </si>
  <si>
    <t>Ballistix MAX RGB</t>
  </si>
  <si>
    <t>Ballistix Elite</t>
  </si>
  <si>
    <t>Ballistix Sport</t>
  </si>
  <si>
    <t>Ballistix Sport AT</t>
  </si>
  <si>
    <t>Ballistix Sport LT</t>
  </si>
  <si>
    <t>Ballistix Tactical</t>
  </si>
  <si>
    <t>Ballistix Tactical Tracer</t>
  </si>
  <si>
    <t>Ballistix Tactical Tracer RGB</t>
  </si>
  <si>
    <t>Pro DDR4</t>
  </si>
  <si>
    <t>Pro DDR5</t>
  </si>
  <si>
    <t>CT16G4XFD8266 (S)</t>
  </si>
  <si>
    <t>CT2K16G48C40U5</t>
  </si>
  <si>
    <t>Flare X5</t>
  </si>
  <si>
    <t>Ripjaws S5</t>
  </si>
  <si>
    <t>Trident Z</t>
  </si>
  <si>
    <t>Trident Z Neo</t>
  </si>
  <si>
    <t>Trident Z RGB</t>
  </si>
  <si>
    <t>Trident Z Royal</t>
  </si>
  <si>
    <t>Trident Z Royal Collector Edition</t>
  </si>
  <si>
    <t>Trident Z Royal Elite</t>
  </si>
  <si>
    <t>Trident Z5</t>
  </si>
  <si>
    <t>Trident Z5 Neo</t>
  </si>
  <si>
    <t>Trident Z5 Neo RGB</t>
  </si>
  <si>
    <t>Trident Z5 RGB</t>
  </si>
  <si>
    <t>Galax</t>
  </si>
  <si>
    <t>Boomstar</t>
  </si>
  <si>
    <t>HOF II</t>
  </si>
  <si>
    <t>HOF Extreme</t>
  </si>
  <si>
    <t>HOF OC Lab Arduino</t>
  </si>
  <si>
    <t>HOF OC Lab Aurora</t>
  </si>
  <si>
    <t>HOF OC Lab Master</t>
  </si>
  <si>
    <t>Geil</t>
  </si>
  <si>
    <t>Evo X</t>
  </si>
  <si>
    <t>Evo X II</t>
  </si>
  <si>
    <t>Orion</t>
  </si>
  <si>
    <t>Orion AMD</t>
  </si>
  <si>
    <t>Orion RGB</t>
  </si>
  <si>
    <t>Orion RGB AMD</t>
  </si>
  <si>
    <t>AORUS DDR5</t>
  </si>
  <si>
    <t>AORUS RGB (GP-AR32C16S8K2HU416R)</t>
  </si>
  <si>
    <t>AORUS RGB (GP-AR36C18S8K2HU416R)</t>
  </si>
  <si>
    <t>AORUS RGB (GP-ARS16G44)</t>
  </si>
  <si>
    <t>AORUS RGB DDR5</t>
  </si>
  <si>
    <t>DESIGNARE</t>
  </si>
  <si>
    <t>GP-GR26C16S8K2HU416</t>
  </si>
  <si>
    <t>FURY Beast</t>
  </si>
  <si>
    <t>FURY Beast Special Edition</t>
  </si>
  <si>
    <t>FURY Beast DDR5</t>
  </si>
  <si>
    <t>FURY Beast DDR5 RGB</t>
  </si>
  <si>
    <t>FURY Beast RGB</t>
  </si>
  <si>
    <t>FURY Renegade</t>
  </si>
  <si>
    <t>FURY Renegade DDR5</t>
  </si>
  <si>
    <t>FURY Renegade DDR5 RGB</t>
  </si>
  <si>
    <t>FURY Renegade RGB</t>
  </si>
  <si>
    <t>HyperX Predator</t>
  </si>
  <si>
    <t>HyperX Predator RGB</t>
  </si>
  <si>
    <t>HyperX Savage</t>
  </si>
  <si>
    <t>KVR24N17S4L/4</t>
  </si>
  <si>
    <t>Klevv</t>
  </si>
  <si>
    <t>Bolt</t>
  </si>
  <si>
    <t>Bolt V</t>
  </si>
  <si>
    <t>Bolt X</t>
  </si>
  <si>
    <t>Bolt XR</t>
  </si>
  <si>
    <t>CRAS</t>
  </si>
  <si>
    <t>CRAS II</t>
  </si>
  <si>
    <t>CRAS II RGB</t>
  </si>
  <si>
    <t>CRAS V RGB</t>
  </si>
  <si>
    <t>CRAS X RGB</t>
  </si>
  <si>
    <t>CRAS XR RGB</t>
  </si>
  <si>
    <t>CRAS XR5 RGB</t>
  </si>
  <si>
    <t>FIT4</t>
  </si>
  <si>
    <t>Lexar</t>
  </si>
  <si>
    <t>ARES DDR5</t>
  </si>
  <si>
    <t>ARES RGB DDR5</t>
  </si>
  <si>
    <t>OLOy</t>
  </si>
  <si>
    <t>Blade Aura Sync RGB</t>
  </si>
  <si>
    <t>Blade DDR5</t>
  </si>
  <si>
    <t>Warhawk</t>
  </si>
  <si>
    <t>Patriot</t>
  </si>
  <si>
    <t>Signature Line</t>
  </si>
  <si>
    <t>Signature Line Premium</t>
  </si>
  <si>
    <t>Viper 4</t>
  </si>
  <si>
    <t>Viper 4 Blackout</t>
  </si>
  <si>
    <t>Viper Elite</t>
  </si>
  <si>
    <t>Viper RGB</t>
  </si>
  <si>
    <t>Viper Steel</t>
  </si>
  <si>
    <t>Viper Venom DDR5</t>
  </si>
  <si>
    <t>Viper Venom RGB DDR5</t>
  </si>
  <si>
    <t>PNY</t>
  </si>
  <si>
    <t>XLR8 Gaming MAKO</t>
  </si>
  <si>
    <t>Silicon Power</t>
  </si>
  <si>
    <t>XPOWER AirCool</t>
  </si>
  <si>
    <t>XPOWER Turbine</t>
  </si>
  <si>
    <t>XPOWER Turbine RGB</t>
  </si>
  <si>
    <t>XPOWER Zenith</t>
  </si>
  <si>
    <t>XPOWER Zenith RGB</t>
  </si>
  <si>
    <t>XPOWER Zenith DDR5</t>
  </si>
  <si>
    <t>XPOWER Zenith DDR5 RGB</t>
  </si>
  <si>
    <t>ELITE</t>
  </si>
  <si>
    <t>ELITE PLUS DDR5</t>
  </si>
  <si>
    <t>T-Force Dark Z</t>
  </si>
  <si>
    <t>T-Force Dark Zα</t>
  </si>
  <si>
    <t>T-Force Delta RGB DDR5</t>
  </si>
  <si>
    <t>T-Force Vulcan</t>
  </si>
  <si>
    <t>T-Force Vulcan DDR5</t>
  </si>
  <si>
    <t>T-Force Vulcanα DDR5</t>
  </si>
  <si>
    <t>T-Force Vulcan Z</t>
  </si>
  <si>
    <t>TOUGHRAM RC DDR5</t>
  </si>
  <si>
    <t>Zadak</t>
  </si>
  <si>
    <t>Shield RGB</t>
  </si>
  <si>
    <t>Spark RGB</t>
  </si>
  <si>
    <t>Bandwidth</t>
  </si>
  <si>
    <t>Colour</t>
  </si>
  <si>
    <t>Orientation</t>
  </si>
  <si>
    <t>3M</t>
  </si>
  <si>
    <t>Twin Axial (8KC3-0726-0XXX)</t>
  </si>
  <si>
    <t>PCIe 3.0 x16</t>
  </si>
  <si>
    <t>250-500</t>
  </si>
  <si>
    <t>180 degree straight</t>
  </si>
  <si>
    <t>Twin Axial (8KC3-0953-0XXX)</t>
  </si>
  <si>
    <t>PCIe 4.0 x16</t>
  </si>
  <si>
    <t>ADT-Link</t>
  </si>
  <si>
    <t>K33JK-SI</t>
  </si>
  <si>
    <t>150-300</t>
  </si>
  <si>
    <t>180 degree dual reverse</t>
  </si>
  <si>
    <t>R3334W</t>
  </si>
  <si>
    <t>100-1000</t>
  </si>
  <si>
    <t>R3334W-TS</t>
  </si>
  <si>
    <t>R33JK-BK-4.0</t>
  </si>
  <si>
    <t>Black</t>
  </si>
  <si>
    <t>R33JK-SI-4.0</t>
  </si>
  <si>
    <t>R33UF-TU</t>
  </si>
  <si>
    <t>50-1000</t>
  </si>
  <si>
    <t>R33UF-TU-BK-3.0</t>
  </si>
  <si>
    <t>R33UF-TU-SI-3.0</t>
  </si>
  <si>
    <t xml:space="preserve">ROG Strix Riser Cable RS200 </t>
  </si>
  <si>
    <t>90 deg</t>
  </si>
  <si>
    <t>JHH</t>
  </si>
  <si>
    <t>PCIe 4.0</t>
  </si>
  <si>
    <t>170-300</t>
  </si>
  <si>
    <t>Li-Heat</t>
  </si>
  <si>
    <t>PCIe Riser Cable D.type</t>
  </si>
  <si>
    <t>100-500</t>
  </si>
  <si>
    <t>Linkup</t>
  </si>
  <si>
    <t>Ultra ITX Extreme</t>
  </si>
  <si>
    <t>140-270</t>
  </si>
  <si>
    <t>Black / White</t>
  </si>
  <si>
    <t>Louqe</t>
  </si>
  <si>
    <t>Twinax RC260 Cobalt</t>
  </si>
  <si>
    <t>Blue</t>
  </si>
  <si>
    <t>PH-CBRS-SL22</t>
  </si>
  <si>
    <t>150-600</t>
  </si>
  <si>
    <t>PH-CBRS-SL30</t>
  </si>
  <si>
    <t>Sliger</t>
  </si>
  <si>
    <t>Bifurcated Riser Cable</t>
  </si>
  <si>
    <t>AC-045-CN1OTN-C1</t>
  </si>
  <si>
    <t>AC-053-CN1OTN-C1</t>
  </si>
  <si>
    <t>GPU</t>
  </si>
  <si>
    <t>Name</t>
  </si>
  <si>
    <t>PCIe Bracket</t>
  </si>
  <si>
    <t>Boost Clock (MHz)</t>
  </si>
  <si>
    <t>Memory Speed (Gbps)</t>
  </si>
  <si>
    <t>PCIe Pins</t>
  </si>
  <si>
    <t>DisplayPort</t>
  </si>
  <si>
    <t>HDMI</t>
  </si>
  <si>
    <t>USB-C</t>
  </si>
  <si>
    <t>DVI-D</t>
  </si>
  <si>
    <t>Watercooled</t>
  </si>
  <si>
    <t>Low Profile</t>
  </si>
  <si>
    <t>RX 570 4GB GDDR5</t>
  </si>
  <si>
    <t>RX 570 8GB GDDR5</t>
  </si>
  <si>
    <t>RX 580 8GB GDDR5</t>
  </si>
  <si>
    <t>Vega 56 8GB HBM2</t>
  </si>
  <si>
    <t>6+8</t>
  </si>
  <si>
    <t>RX 5500 XT 4GB GDDR6</t>
  </si>
  <si>
    <t>MECH OC</t>
  </si>
  <si>
    <t>PULSE SF</t>
  </si>
  <si>
    <t>RX 5500 XT 8GB GDDR6</t>
  </si>
  <si>
    <t>RX 5600 XT 6GB GDDR6</t>
  </si>
  <si>
    <t>ITX</t>
  </si>
  <si>
    <t>RX 5700 8GB GDDR6</t>
  </si>
  <si>
    <t>RX 6400 4GB GDDR6</t>
  </si>
  <si>
    <t>Challenger ITX</t>
  </si>
  <si>
    <t>Phoenix</t>
  </si>
  <si>
    <t>Dual</t>
  </si>
  <si>
    <t>LOW PROFILE</t>
  </si>
  <si>
    <t>EAGLE</t>
  </si>
  <si>
    <t>AERO ITX</t>
  </si>
  <si>
    <t>PULSE</t>
  </si>
  <si>
    <t>SPEEDSTER SWFT 105</t>
  </si>
  <si>
    <t>Yeston</t>
  </si>
  <si>
    <t>LP</t>
  </si>
  <si>
    <t>RX 6500 XT 4GB GDDR6</t>
  </si>
  <si>
    <t>Dual OC</t>
  </si>
  <si>
    <t>MECH 2X</t>
  </si>
  <si>
    <t>MECH 2X OC</t>
  </si>
  <si>
    <t>Fighter</t>
  </si>
  <si>
    <t>CUTE PET</t>
  </si>
  <si>
    <t>RX 6500 XT 8GB GDDR6</t>
  </si>
  <si>
    <t>RX 6600 8GB GDDR6</t>
  </si>
  <si>
    <t>RX 6600 XT 8GB GDDR6</t>
  </si>
  <si>
    <t>MECH 2X V1</t>
  </si>
  <si>
    <t>MECH 2X OCV1</t>
  </si>
  <si>
    <t>RX 6650 XT 8GB GDDR6</t>
  </si>
  <si>
    <t>RX 7600 8GB GDDR6</t>
  </si>
  <si>
    <t>RX 7600</t>
  </si>
  <si>
    <t>Dual V2 OC</t>
  </si>
  <si>
    <t>Arc A380 6GB GDDR6</t>
  </si>
  <si>
    <t>Challenger ITX OC</t>
  </si>
  <si>
    <t>Arc A380 (pre-built)</t>
  </si>
  <si>
    <t>Pre-built</t>
  </si>
  <si>
    <t>SPARKLE</t>
  </si>
  <si>
    <t>ELF</t>
  </si>
  <si>
    <t>Nvidia</t>
  </si>
  <si>
    <t>GTX 1050 Ti 4GB GDDR5</t>
  </si>
  <si>
    <t>Cerberus Advanced</t>
  </si>
  <si>
    <t>Cerberus OC</t>
  </si>
  <si>
    <t>emTek</t>
  </si>
  <si>
    <t>HV MINI MONSTER</t>
  </si>
  <si>
    <t>HV OC</t>
  </si>
  <si>
    <t>XENON STORM X NANO</t>
  </si>
  <si>
    <t>GAMING</t>
  </si>
  <si>
    <t>SC GAMING</t>
  </si>
  <si>
    <t>Gainward</t>
  </si>
  <si>
    <t>1050 Ti</t>
  </si>
  <si>
    <t>Low Profile OC</t>
  </si>
  <si>
    <t>D5</t>
  </si>
  <si>
    <t>OC</t>
  </si>
  <si>
    <t>Inno3D</t>
  </si>
  <si>
    <t>1-Slot Edition</t>
  </si>
  <si>
    <t>Compact</t>
  </si>
  <si>
    <t>Manli</t>
  </si>
  <si>
    <t>(N452-00 + F352G)</t>
  </si>
  <si>
    <t>(N452 + F365G)</t>
  </si>
  <si>
    <t>(N452 + F370G)</t>
  </si>
  <si>
    <t>Gallardo</t>
  </si>
  <si>
    <t>MSI</t>
  </si>
  <si>
    <t>4GT LP</t>
  </si>
  <si>
    <t>4GT LPV1</t>
  </si>
  <si>
    <t>4GT LPV2</t>
  </si>
  <si>
    <t>4G</t>
  </si>
  <si>
    <t>4G OC</t>
  </si>
  <si>
    <t>4G V1</t>
  </si>
  <si>
    <t>4G OCV1</t>
  </si>
  <si>
    <t>4GT OC</t>
  </si>
  <si>
    <t>4GT OCV1</t>
  </si>
  <si>
    <t>AERO ITX OC</t>
  </si>
  <si>
    <t>AERO ITX OCV1</t>
  </si>
  <si>
    <t>Palit</t>
  </si>
  <si>
    <t>KalmX</t>
  </si>
  <si>
    <t>Passively cooled</t>
  </si>
  <si>
    <t>StormX</t>
  </si>
  <si>
    <t>ZOTAC</t>
  </si>
  <si>
    <t>Mini</t>
  </si>
  <si>
    <t>OC Edition</t>
  </si>
  <si>
    <t>GTX 1060 3GB GDDR5</t>
  </si>
  <si>
    <t>Mini ITX</t>
  </si>
  <si>
    <t>Mini ITX OC</t>
  </si>
  <si>
    <t>OCV1</t>
  </si>
  <si>
    <t>AMP! Edition</t>
  </si>
  <si>
    <t>AMP Core Edition</t>
  </si>
  <si>
    <t>GTX 1060 6GB GDDR5</t>
  </si>
  <si>
    <t>HV GAMER OC</t>
  </si>
  <si>
    <t>AMP! Edition+</t>
  </si>
  <si>
    <t>GTX 1060 6GB GDDR5X</t>
  </si>
  <si>
    <t>GDDR5X</t>
  </si>
  <si>
    <t>GTX 1070 8GB GDDR5</t>
  </si>
  <si>
    <t>HV MINI OC</t>
  </si>
  <si>
    <t>Galax/KFA2</t>
  </si>
  <si>
    <t>GTX 1070 Ti 8GB GDDR5</t>
  </si>
  <si>
    <t>GTX 1080 8GB GDDR5X</t>
  </si>
  <si>
    <t>GTX 1080 Ti 11GB GDDR5X</t>
  </si>
  <si>
    <t>2x8</t>
  </si>
  <si>
    <t>ArcticStorm Mini</t>
  </si>
  <si>
    <t>GTX 1650 4GB GDDR5</t>
  </si>
  <si>
    <t>StormX OC</t>
  </si>
  <si>
    <t>StormX+</t>
  </si>
  <si>
    <t>StormX OC+</t>
  </si>
  <si>
    <t>GTX 1650 4GB GDDR6</t>
  </si>
  <si>
    <t>ASL</t>
  </si>
  <si>
    <t>Battle Eagle (战雕)</t>
  </si>
  <si>
    <t>Phoenix OC</t>
  </si>
  <si>
    <t>Phoenix V2</t>
  </si>
  <si>
    <t>Phoenix OC V2</t>
  </si>
  <si>
    <t>Phoenix EVO</t>
  </si>
  <si>
    <t>Phoenix EVO OC</t>
  </si>
  <si>
    <t>Dual MINI</t>
  </si>
  <si>
    <t>Dual MINI OC</t>
  </si>
  <si>
    <t>Dual V2</t>
  </si>
  <si>
    <t>TUF Gaming</t>
  </si>
  <si>
    <t>TUF Gaming OC</t>
  </si>
  <si>
    <t>TUF Gaming V2</t>
  </si>
  <si>
    <t>TUF Gaming V2 OC</t>
  </si>
  <si>
    <t>MIRACLE</t>
  </si>
  <si>
    <t>MIRACLE NEW</t>
  </si>
  <si>
    <t>STORM X DUAL MINI OC</t>
  </si>
  <si>
    <t>KO GAMING</t>
  </si>
  <si>
    <t>KO ULTRA GAMING</t>
  </si>
  <si>
    <t>SC ULTRA BLACK GAMING</t>
  </si>
  <si>
    <t>SC ULTRA GAMING</t>
  </si>
  <si>
    <t>Ghost OC</t>
  </si>
  <si>
    <t>EX (1-Click OC)</t>
  </si>
  <si>
    <t>Compact V2</t>
  </si>
  <si>
    <t>Twin X2 OC</t>
  </si>
  <si>
    <t>Low Profile (M2472+N596-02)</t>
  </si>
  <si>
    <t>(N600-01+M1434-1)</t>
  </si>
  <si>
    <t>AERO ITX V1</t>
  </si>
  <si>
    <t>AERO ITX V2</t>
  </si>
  <si>
    <t>AERO ITX OCV2</t>
  </si>
  <si>
    <t>VENTUS XS</t>
  </si>
  <si>
    <t>VENTUS XS OC</t>
  </si>
  <si>
    <t>VENTUS XS V1</t>
  </si>
  <si>
    <t>VENTUS XS OCV1</t>
  </si>
  <si>
    <t>VENTUS XS V2</t>
  </si>
  <si>
    <t>VENTUS XS OCV2</t>
  </si>
  <si>
    <t>GP OC</t>
  </si>
  <si>
    <t>GTX 1650 SUPER 4GB GDDR6</t>
  </si>
  <si>
    <t>STORM X NANO OC</t>
  </si>
  <si>
    <t>XC BLACK GAMING</t>
  </si>
  <si>
    <t>Pegasus OC</t>
  </si>
  <si>
    <t>(206B-10+297F00)</t>
  </si>
  <si>
    <t>(M1469+N585-00)</t>
  </si>
  <si>
    <t>GTX 1660 6GB GDDR5</t>
  </si>
  <si>
    <t>GTX 1660</t>
  </si>
  <si>
    <t>BLACK GAMING</t>
  </si>
  <si>
    <t>XC GAMING</t>
  </si>
  <si>
    <t>White Mini (1-Click OC)</t>
  </si>
  <si>
    <t>Prodigy</t>
  </si>
  <si>
    <t>Twin X2</t>
  </si>
  <si>
    <t>(M1431+N542)</t>
  </si>
  <si>
    <t>GTX 1660 (ZT-T16600F-10L)</t>
  </si>
  <si>
    <t>GTX 1660 SUPER 6GB GDDR6</t>
  </si>
  <si>
    <t>Dual Mini</t>
  </si>
  <si>
    <t>Dual Mini OC</t>
  </si>
  <si>
    <t>X Edition (1-Click OC)</t>
  </si>
  <si>
    <t>(M1431+N524-02)</t>
  </si>
  <si>
    <t>GTX 1660 Ti 6GB GDDR6</t>
  </si>
  <si>
    <t>GTX 1660 Ti</t>
  </si>
  <si>
    <t>TUF Gaming EVO</t>
  </si>
  <si>
    <t>TUF Gaming EVO OC</t>
  </si>
  <si>
    <t>TUF Gaming EVO TOP</t>
  </si>
  <si>
    <t>GTX 1660 Ti (ZT-T16610F-10L)</t>
  </si>
  <si>
    <t>RTX 2060 6GB GDDR6</t>
  </si>
  <si>
    <t>DARK GAMING</t>
  </si>
  <si>
    <t>Mini (1-Click OC)</t>
  </si>
  <si>
    <t>Twin Fan</t>
  </si>
  <si>
    <t>RTX 2060 (ZT-T20600H-10M)</t>
  </si>
  <si>
    <t>RTX 2060 (ZT-T20600K-10M)</t>
  </si>
  <si>
    <t>AMP</t>
  </si>
  <si>
    <t>RTX 2060 12GB GDDR6</t>
  </si>
  <si>
    <t>Leadtek</t>
  </si>
  <si>
    <t>Hurricane Rev B</t>
  </si>
  <si>
    <t>RTX 2060 SUPER 8GB GDDR6</t>
  </si>
  <si>
    <t>RTX 2070 8GB GDDR6</t>
  </si>
  <si>
    <t>Mini OC</t>
  </si>
  <si>
    <t>RTX 2070 SUPER 8GB GDDR6</t>
  </si>
  <si>
    <t>RTX 3050 6GB GDDR6</t>
  </si>
  <si>
    <t>LP BRK</t>
  </si>
  <si>
    <t>LP BRK OC</t>
  </si>
  <si>
    <t>Pegasus</t>
  </si>
  <si>
    <t>LP White</t>
  </si>
  <si>
    <t>EX</t>
  </si>
  <si>
    <t>OC Low Profile</t>
  </si>
  <si>
    <t>EAGLE OC</t>
  </si>
  <si>
    <t>RTX 3050 (M2587+N640)</t>
  </si>
  <si>
    <t>RTX 3050 (M1586+N640)</t>
  </si>
  <si>
    <t>LP OC</t>
  </si>
  <si>
    <t>VENTUS 2X</t>
  </si>
  <si>
    <t>VENTUS 2X OC</t>
  </si>
  <si>
    <t>GAMING X</t>
  </si>
  <si>
    <t>Speed TA (极速版 TA)</t>
  </si>
  <si>
    <t>God of the Earth GA (大地之神 GA)</t>
  </si>
  <si>
    <t>Solo</t>
  </si>
  <si>
    <t>RTX 3050 8GB GDDR6</t>
  </si>
  <si>
    <t>Dual SI OC</t>
  </si>
  <si>
    <t>Metal Master Mini (金属大师 Mini)</t>
  </si>
  <si>
    <t>(1-Click OC)</t>
  </si>
  <si>
    <t>Maxsun</t>
  </si>
  <si>
    <t>Big Mac</t>
  </si>
  <si>
    <t>VENTUS 2X XS</t>
  </si>
  <si>
    <t>VENTUS 2X XS OC</t>
  </si>
  <si>
    <t>XLR8 Gaming REVEL EPIC-X RGB Single Fan</t>
  </si>
  <si>
    <t>RTX 3060 8GB GDDR6</t>
  </si>
  <si>
    <t>Dual White</t>
  </si>
  <si>
    <t>Dual White OC</t>
  </si>
  <si>
    <t>RTX 3060 12GB GDDR6</t>
  </si>
  <si>
    <t>Dual OC V2</t>
  </si>
  <si>
    <t>Colorful</t>
  </si>
  <si>
    <t>iGame Mini OC L</t>
  </si>
  <si>
    <t>Metal Master Mini [FG] (金属大师 Mini [FG])</t>
  </si>
  <si>
    <t>WINDFORCE OC</t>
  </si>
  <si>
    <t>RTX 3060</t>
  </si>
  <si>
    <t>RTX 3060 Ti 8GB GDDR6</t>
  </si>
  <si>
    <t>Dual Mini V2</t>
  </si>
  <si>
    <t>Dual Mini OC V2</t>
  </si>
  <si>
    <t>iGame Mini OC LHR</t>
  </si>
  <si>
    <t>XC BLACK GAMING (08G-P5-3661-KR)</t>
  </si>
  <si>
    <t>XC BLACK GAMING (08G-P5-3661-KL)</t>
  </si>
  <si>
    <t>XC GAMING (08G-P5-3663-KR)</t>
  </si>
  <si>
    <t>XC GAMING (08G-P5-3663-KL)</t>
  </si>
  <si>
    <t>AERO ITX LHR</t>
  </si>
  <si>
    <t>AERO ITX OC LHR</t>
  </si>
  <si>
    <t>RTX 3070 8GB GDDR6</t>
  </si>
  <si>
    <t>RTX 4060 8GB GDDR6</t>
  </si>
  <si>
    <t>Wind Chaser (追风)</t>
  </si>
  <si>
    <t>Pegasus V1</t>
  </si>
  <si>
    <t>General (大将)</t>
  </si>
  <si>
    <t>1-Click OC</t>
  </si>
  <si>
    <t>D6 Low Profile</t>
  </si>
  <si>
    <t>WINDFORCE</t>
  </si>
  <si>
    <t>COMPACT</t>
  </si>
  <si>
    <t>WinFast</t>
  </si>
  <si>
    <t>WinFast HURRICANE</t>
  </si>
  <si>
    <t>RTX 4060 (M1562+N727)</t>
  </si>
  <si>
    <t>RTX 4060 (M2560+N727)</t>
  </si>
  <si>
    <t>VENTUS 2X BLACK</t>
  </si>
  <si>
    <t>VENTUS 2X BLACK OC</t>
  </si>
  <si>
    <t>VENTUS 2X WHITE</t>
  </si>
  <si>
    <t>VENTUS 2X WHITE OC</t>
  </si>
  <si>
    <t>VERTO Dual Fan</t>
  </si>
  <si>
    <t>Cute Pet MA (萌宠 MA)</t>
  </si>
  <si>
    <t>SOLO</t>
  </si>
  <si>
    <t>RTX 4060 Ti 8GB GDDR6</t>
  </si>
  <si>
    <t>iGame Mini OC</t>
  </si>
  <si>
    <t>VENTUS 2X BLACK E1</t>
  </si>
  <si>
    <t>VENTUS 2X BLACK E1 OC</t>
  </si>
  <si>
    <t>RTX 4060 Ti 16GB GDDR6</t>
  </si>
  <si>
    <t>RTX 4070 12GB GDDR6X</t>
  </si>
  <si>
    <t>WINDFORCE 2X OC</t>
  </si>
  <si>
    <t>RTX 4080 16GB GDDR6X</t>
  </si>
  <si>
    <t>ICHILL FROSTBITE</t>
  </si>
  <si>
    <t>12+4</t>
  </si>
  <si>
    <t>RTX 4080 SUPER 16GB GDDR6X</t>
  </si>
  <si>
    <t>RTX 4090 24GB GDDR6X</t>
  </si>
  <si>
    <t>Hydro</t>
  </si>
  <si>
    <t>Hydro White</t>
  </si>
  <si>
    <t>ICHILL FROSTBITE PRO</t>
  </si>
  <si>
    <t>Radeon VII 16GB HBM2</t>
  </si>
  <si>
    <t>Radeon VII</t>
  </si>
  <si>
    <t>Dataland</t>
  </si>
  <si>
    <t>RADEON VII</t>
  </si>
  <si>
    <t>Dual EVO</t>
  </si>
  <si>
    <t>GAMING OC</t>
  </si>
  <si>
    <t>ROG Strix Gaming</t>
  </si>
  <si>
    <t>X Warrior (X战将)</t>
  </si>
  <si>
    <t>NITRO+ SE</t>
  </si>
  <si>
    <t>God of the Earth (大地之神)</t>
  </si>
  <si>
    <t>Game Ace OC (游戏高手 OC)</t>
  </si>
  <si>
    <t>Challenger D OC</t>
  </si>
  <si>
    <t>Challenger Pro OC</t>
  </si>
  <si>
    <t>Phantom Gaming D2 OC</t>
  </si>
  <si>
    <t>Phantom Gaming D3 OC</t>
  </si>
  <si>
    <t>Dual EVO Advanced</t>
  </si>
  <si>
    <t>Dual EVO TOP</t>
  </si>
  <si>
    <t>ROG Strix Gaming Advanced</t>
  </si>
  <si>
    <t>ROG Strix Gaming OC</t>
  </si>
  <si>
    <t>ROG Strix Gaming TOP</t>
  </si>
  <si>
    <t>TUF Gaming X3 EVO OC</t>
  </si>
  <si>
    <t>TUF Gaming X3 EVO TOP</t>
  </si>
  <si>
    <t>X Warrior PLUS (X战将PLUS)</t>
  </si>
  <si>
    <t>X God of War (X战神)</t>
  </si>
  <si>
    <t>GAMING OC (rev. 2.0)</t>
  </si>
  <si>
    <t>MECH</t>
  </si>
  <si>
    <t>GAMING M</t>
  </si>
  <si>
    <t>GAMING MX</t>
  </si>
  <si>
    <t>Red Devil</t>
  </si>
  <si>
    <t>PULSE BE</t>
  </si>
  <si>
    <t>RAW II</t>
  </si>
  <si>
    <t>Cute Pet (萌宠)</t>
  </si>
  <si>
    <t>Phantom Gaming D OC</t>
  </si>
  <si>
    <t>RX 5700</t>
  </si>
  <si>
    <t>Dual EVO OC</t>
  </si>
  <si>
    <t>TUF Gaming X3 OC</t>
  </si>
  <si>
    <t>IceQ X2</t>
  </si>
  <si>
    <t>MECH GP</t>
  </si>
  <si>
    <t>MECH GP OC</t>
  </si>
  <si>
    <t>EVOKE</t>
  </si>
  <si>
    <t>EVOKE OC</t>
  </si>
  <si>
    <t>EVOKE GP</t>
  </si>
  <si>
    <t>EVOKE GP OC</t>
  </si>
  <si>
    <t>PULSE Tri-X</t>
  </si>
  <si>
    <t>Double Dissipation</t>
  </si>
  <si>
    <t>DD Ultra</t>
  </si>
  <si>
    <t>Triple Dissipation</t>
  </si>
  <si>
    <t>RX 5700 XT 8GB GDDR6</t>
  </si>
  <si>
    <t>Taichi X OC+</t>
  </si>
  <si>
    <t>RX 5700 XT</t>
  </si>
  <si>
    <t>X-Serial</t>
  </si>
  <si>
    <t>X War Demon (X战魔)</t>
  </si>
  <si>
    <t>AORUS</t>
  </si>
  <si>
    <t>Red Devil Limited Edition</t>
  </si>
  <si>
    <t>NITRO+ BE</t>
  </si>
  <si>
    <t>NITRO+</t>
  </si>
  <si>
    <t>RAW II Ultra</t>
  </si>
  <si>
    <t>THICC II</t>
  </si>
  <si>
    <t>THICC II Pro</t>
  </si>
  <si>
    <t>THICC II Ultra</t>
  </si>
  <si>
    <t>THICC III</t>
  </si>
  <si>
    <t>THICC III Ultra</t>
  </si>
  <si>
    <t>Game Ace (游戏高手)</t>
  </si>
  <si>
    <t>Sakura (樱瞳)</t>
  </si>
  <si>
    <t>X Warlord (X战将)</t>
  </si>
  <si>
    <t>SPEEDSTER QICK 210 CORE</t>
  </si>
  <si>
    <t>God of the Earth GB (大地之神 GB)</t>
  </si>
  <si>
    <t>Challenger D</t>
  </si>
  <si>
    <t>ARMOR</t>
  </si>
  <si>
    <t>ARMOR V1</t>
  </si>
  <si>
    <t>Hellhound</t>
  </si>
  <si>
    <t>SPEEDSTER SWFT 210 CORE</t>
  </si>
  <si>
    <t>GAMING OC PRO</t>
  </si>
  <si>
    <t>SPEEDSTER QICK 308 BLACK</t>
  </si>
  <si>
    <t>SPEEDSTER MERC 308 BLACK</t>
  </si>
  <si>
    <t>Game Master PA (游戏高手PA)</t>
  </si>
  <si>
    <t>Steel Legend OC</t>
  </si>
  <si>
    <t>ROG Strix Gaming V2 OC</t>
  </si>
  <si>
    <t>Hellhound Sakura</t>
  </si>
  <si>
    <t>Hellhound Spectral White</t>
  </si>
  <si>
    <t>SPEEDSTER QICK 308 ULTRA</t>
  </si>
  <si>
    <t>RX 6700 10GB GDDR6</t>
  </si>
  <si>
    <t>RX 6700</t>
  </si>
  <si>
    <t>RX 6700 XT 12GB GDDR6</t>
  </si>
  <si>
    <t>RX 6700 XT</t>
  </si>
  <si>
    <t>X Ares (X战神)</t>
  </si>
  <si>
    <t>AORUS ELITE</t>
  </si>
  <si>
    <t>SPEEDSTER SWFT 309 CORE</t>
  </si>
  <si>
    <t>SPEEDSTER QICK 319 CORE</t>
  </si>
  <si>
    <t>SPEEDSTER QICK 319 ULTRA</t>
  </si>
  <si>
    <t>SPEEDSTER QICK 319 BLACK</t>
  </si>
  <si>
    <t>SPEEDSTER MERC 319 BLACK</t>
  </si>
  <si>
    <t>GUARD ARMOR</t>
  </si>
  <si>
    <t>RX 6750 XT 12GB GDDR6</t>
  </si>
  <si>
    <t>RX 6750 XT</t>
  </si>
  <si>
    <t>GAMING TRIO</t>
  </si>
  <si>
    <t>GAMING X TRIO</t>
  </si>
  <si>
    <t>Sakura (樱瞳花嫁纪念版)</t>
  </si>
  <si>
    <t>RX 6800 16GB GDDR6</t>
  </si>
  <si>
    <t>RX 6800</t>
  </si>
  <si>
    <t>AORUS MASTER</t>
  </si>
  <si>
    <t>GAMING TRIO PLUS</t>
  </si>
  <si>
    <t>GAMING Z TRIO</t>
  </si>
  <si>
    <t>Red Dragon</t>
  </si>
  <si>
    <t>SPEEDSTER SWFT 319 CORE</t>
  </si>
  <si>
    <t>Game Master (游戏高手)</t>
  </si>
  <si>
    <t>RX 6800 XT 16GB GDDR6</t>
  </si>
  <si>
    <t>RX 6800 XT</t>
  </si>
  <si>
    <t>RX 6800 XT Midnight Black</t>
  </si>
  <si>
    <t>3x8</t>
  </si>
  <si>
    <t>Taichi X OC</t>
  </si>
  <si>
    <t>ROG Strix LC Gaming</t>
  </si>
  <si>
    <t>AORUS MASTER TYPE C</t>
  </si>
  <si>
    <t>Liquid Devil</t>
  </si>
  <si>
    <t>SPEEDSTER MERC 319 CORE</t>
  </si>
  <si>
    <t>RX 6900 XT 16GB GDDR6</t>
  </si>
  <si>
    <t>RX 6900 XT</t>
  </si>
  <si>
    <t>RX 6900 XT LC</t>
  </si>
  <si>
    <t>OC Formula</t>
  </si>
  <si>
    <t>TUF Gaming OC Top</t>
  </si>
  <si>
    <t>ROG Strix LC Gaming Top</t>
  </si>
  <si>
    <t>AORUS MASTER (rev 1.0)</t>
  </si>
  <si>
    <t>AORUS MASTER (rev 2.0)</t>
  </si>
  <si>
    <t>AORUS XTREME WATERFORCE WB</t>
  </si>
  <si>
    <t>Red Devil Ultimate</t>
  </si>
  <si>
    <t>Liquid Devil Ultimate</t>
  </si>
  <si>
    <t>6+2x8</t>
  </si>
  <si>
    <t>TOXIC Air Cooled</t>
  </si>
  <si>
    <t>TOXIC Limited Edition</t>
  </si>
  <si>
    <t>TOXIC Extreme Edition</t>
  </si>
  <si>
    <t>SPEEDSTER MERC 319 ULTRA</t>
  </si>
  <si>
    <t>SPEEDSTER MERC 319 LIMITED BLACK</t>
  </si>
  <si>
    <t>SPEEDSTER ZERO EKWB WATERBLOCK LIMITED EDITION</t>
  </si>
  <si>
    <t>RX 6950 XT 16GB GDDR6</t>
  </si>
  <si>
    <t>RX 6950 XT</t>
  </si>
  <si>
    <t>ROG Strix LC Gaming OC</t>
  </si>
  <si>
    <t>NITRO+ PURE</t>
  </si>
  <si>
    <t>Challenger OC</t>
  </si>
  <si>
    <t>Phantom Gaming OC</t>
  </si>
  <si>
    <t>MECH 2X CLASSIC</t>
  </si>
  <si>
    <t>MECH 2X CLASSIC OC</t>
  </si>
  <si>
    <t>SPEEDSTER SWFT 210 Core</t>
  </si>
  <si>
    <t>SPEEDSTER QICK 308 Black</t>
  </si>
  <si>
    <t>GAME ACE</t>
  </si>
  <si>
    <t>RX 7600 XT 16GB GDDR6</t>
  </si>
  <si>
    <t>Acer</t>
  </si>
  <si>
    <t>Nitro OC</t>
  </si>
  <si>
    <t>SPEEDSTER SWFT 210</t>
  </si>
  <si>
    <t>SPEEDSTER QICK 309</t>
  </si>
  <si>
    <t>RX 7700 XT 12GB GDDR6</t>
  </si>
  <si>
    <t>PURE</t>
  </si>
  <si>
    <t>Speedster QICK 319 Black Edition</t>
  </si>
  <si>
    <t>SAKURA</t>
  </si>
  <si>
    <t>RX 7800 XT 16GB GDDR6</t>
  </si>
  <si>
    <t>Predator BiFrost OC</t>
  </si>
  <si>
    <t>RX 7800 XT</t>
  </si>
  <si>
    <t>TUF Gaming White OC</t>
  </si>
  <si>
    <t>Hellhound Sakura Limited Edition</t>
  </si>
  <si>
    <t>Speedster QICK 319 Core Edition</t>
  </si>
  <si>
    <t>Speedster MERC 319 BLACK Edition</t>
  </si>
  <si>
    <t>RX 7900 GRE 16GB GDDR6</t>
  </si>
  <si>
    <t>RX 7900 GRE</t>
  </si>
  <si>
    <t>RX 7900 XT 20GB GDDR6</t>
  </si>
  <si>
    <t>RX 7900 XT</t>
  </si>
  <si>
    <t>Taichi OC</t>
  </si>
  <si>
    <t>GAMING TRIO CLASSIC</t>
  </si>
  <si>
    <t>NITRO+ Vapor-X</t>
  </si>
  <si>
    <t>SPEEDSTER MERC 310</t>
  </si>
  <si>
    <t>SPEEDSTER MERC 310 Black Edition</t>
  </si>
  <si>
    <t>SAKURA SUGAR</t>
  </si>
  <si>
    <t>RX 7900 XTX 24GB GDDR6</t>
  </si>
  <si>
    <t>RX 7900 XTX</t>
  </si>
  <si>
    <t>Taichi White OC</t>
  </si>
  <si>
    <t>Aqua OC</t>
  </si>
  <si>
    <t>GUNNIR</t>
  </si>
  <si>
    <t>Index</t>
  </si>
  <si>
    <t>Photon OC</t>
  </si>
  <si>
    <t>Arc A750 8GB GDDR6</t>
  </si>
  <si>
    <t>Limited Edition</t>
  </si>
  <si>
    <t>ORC OC</t>
  </si>
  <si>
    <t>TITAN OC</t>
  </si>
  <si>
    <t>Arc A770 8GB GDDR6</t>
  </si>
  <si>
    <t>Flux B OC</t>
  </si>
  <si>
    <t>Flux K OC</t>
  </si>
  <si>
    <t>Arc A770 16GB GDDR6</t>
  </si>
  <si>
    <t>Turbo</t>
  </si>
  <si>
    <t>ROG Poseidon Platinum</t>
  </si>
  <si>
    <t>Founders Edition</t>
  </si>
  <si>
    <t>iGame Vulcan AD</t>
  </si>
  <si>
    <t>iGame Vulcan X OC</t>
  </si>
  <si>
    <t>iGame Neptune W</t>
  </si>
  <si>
    <t>iGame Kudan</t>
  </si>
  <si>
    <t>Black Edition GAMING</t>
  </si>
  <si>
    <t>SC Black Edition GAMING</t>
  </si>
  <si>
    <t>iCX GAMING</t>
  </si>
  <si>
    <t>SC2 GAMING</t>
  </si>
  <si>
    <t>SC2 ELITE GAMING</t>
  </si>
  <si>
    <t>FTW3 DT GAMING</t>
  </si>
  <si>
    <t>FTW3 GAMING</t>
  </si>
  <si>
    <t>FTW3 ELITE GAMING SILVER</t>
  </si>
  <si>
    <t>SC Hydro Copper GAMING</t>
  </si>
  <si>
    <t>SC2 HYBRID GAMING</t>
  </si>
  <si>
    <t>SC2 Hydro Copper GAMING</t>
  </si>
  <si>
    <t>FTW3 HYBRID GAMING</t>
  </si>
  <si>
    <t>FTW3 iCX Hydro Copper GAMING</t>
  </si>
  <si>
    <t>KINGPIN GAMING</t>
  </si>
  <si>
    <t>KINGPIN Hydro Copper GAMING</t>
  </si>
  <si>
    <t>GTX 1080 Ti "Golden Sample"</t>
  </si>
  <si>
    <t>Phoenix "Golden Sample"</t>
  </si>
  <si>
    <t>GTX 1080 Ti</t>
  </si>
  <si>
    <t>EXOC</t>
  </si>
  <si>
    <t>EXOC White</t>
  </si>
  <si>
    <t>HOF</t>
  </si>
  <si>
    <t>HOF Limited Edition</t>
  </si>
  <si>
    <t>Gaming</t>
  </si>
  <si>
    <t>Gaming OC</t>
  </si>
  <si>
    <t>Gaming OC BLACK</t>
  </si>
  <si>
    <t>AORUS Xtreme Edition</t>
  </si>
  <si>
    <t>AORUS Waterforce Xtreme Edition</t>
  </si>
  <si>
    <t>AORUS Waterforce WB Xtreme Edition</t>
  </si>
  <si>
    <t>WinFast HURRICANE OC</t>
  </si>
  <si>
    <t>GTX 1080 Ti (F369G+N470)</t>
  </si>
  <si>
    <t>Gallardo (F371G+N470)</t>
  </si>
  <si>
    <t>Gallardo (F372G+N473)</t>
  </si>
  <si>
    <t>Gallardo Super Overclocking (F372G+N473)</t>
  </si>
  <si>
    <t>AERO</t>
  </si>
  <si>
    <t>AERO OC</t>
  </si>
  <si>
    <t>ARMOR OC</t>
  </si>
  <si>
    <t>DUKE</t>
  </si>
  <si>
    <t>DUKE OC</t>
  </si>
  <si>
    <t>LIGHTNING</t>
  </si>
  <si>
    <t>LIGHTNING X</t>
  </si>
  <si>
    <t>LIGHTNING Z</t>
  </si>
  <si>
    <t>SEA HAWK</t>
  </si>
  <si>
    <t>SEA HAWK X</t>
  </si>
  <si>
    <t>SEA HAWK EK X</t>
  </si>
  <si>
    <t>Blower Edition (VCGGTX1080T11PB-CG)</t>
  </si>
  <si>
    <t>Blower Edition (VCGGTX1080T11PB-CG2)</t>
  </si>
  <si>
    <t>Blower Gaming OC</t>
  </si>
  <si>
    <t>XLR8 Gaming OC</t>
  </si>
  <si>
    <t>AMP Edition</t>
  </si>
  <si>
    <t>AMP Extreme Core Edition</t>
  </si>
  <si>
    <t>AMP Extreme</t>
  </si>
  <si>
    <t>ArcticStorm</t>
  </si>
  <si>
    <t>GTX 1630 4GB GDDR6</t>
  </si>
  <si>
    <t>NB</t>
  </si>
  <si>
    <t>Warhawk (战鹰)</t>
  </si>
  <si>
    <t>NB 4G</t>
  </si>
  <si>
    <t>iGame Ultra</t>
  </si>
  <si>
    <t>Skynet Dual (天网·双)</t>
  </si>
  <si>
    <t>4GD6</t>
  </si>
  <si>
    <t>EX 4GD6</t>
  </si>
  <si>
    <t>NB 4GD6</t>
  </si>
  <si>
    <t>iGame Ultra OC</t>
  </si>
  <si>
    <t>TWIN X2 OC V2</t>
  </si>
  <si>
    <t>GAMING PLUS</t>
  </si>
  <si>
    <t>GAMING X PLUS</t>
  </si>
  <si>
    <t>TWIN X2 OC</t>
  </si>
  <si>
    <t>Skynet Dual v4 (天网·双 v4)</t>
  </si>
  <si>
    <t>Ares (战神)</t>
  </si>
  <si>
    <t>TUF Gaming X3</t>
  </si>
  <si>
    <t>TUF Gaming X3 Advanced</t>
  </si>
  <si>
    <t>6G</t>
  </si>
  <si>
    <t>NB 6G</t>
  </si>
  <si>
    <t>iGame Advanced OC</t>
  </si>
  <si>
    <t>HV STORM X DUAL V2</t>
  </si>
  <si>
    <t>HV STORM X DUAL V2 OC</t>
  </si>
  <si>
    <t>XENON WHITE STORM X DUAL</t>
  </si>
  <si>
    <t>XENON WHITE STORM X DUAL OC</t>
  </si>
  <si>
    <t>XC ULTRA BLACK GAMING</t>
  </si>
  <si>
    <t>XC ULTRA GAMING</t>
  </si>
  <si>
    <t>TWIN X2</t>
  </si>
  <si>
    <t>TWIN X2 OC RGB</t>
  </si>
  <si>
    <t>WinFast CLASSIC</t>
  </si>
  <si>
    <t>TUF Gaming X3 Advanced Zaku II Edition</t>
  </si>
  <si>
    <t>TUF Gaming X3 Gundam OC</t>
  </si>
  <si>
    <t>MIRACLE SE</t>
  </si>
  <si>
    <t>STORM X DUAL</t>
  </si>
  <si>
    <t>STORM X DUAL BASIC OC</t>
  </si>
  <si>
    <t>VENTUS</t>
  </si>
  <si>
    <t>VENTUS OC</t>
  </si>
  <si>
    <t>GAMING Z PLUS</t>
  </si>
  <si>
    <t>SI 6G</t>
  </si>
  <si>
    <t>RTX 2060</t>
  </si>
  <si>
    <t>Dual Advanced</t>
  </si>
  <si>
    <t>ROG Strix Gaming EVO</t>
  </si>
  <si>
    <t>ROG Strix Gaming EVO V2</t>
  </si>
  <si>
    <t>ROG Strix Gaming EVO Advanced</t>
  </si>
  <si>
    <t>ROG Strix Gaming EVO OC</t>
  </si>
  <si>
    <t>6G V2</t>
  </si>
  <si>
    <t>STORM X DUAL BASIC</t>
  </si>
  <si>
    <t>STORM X DUAL OC</t>
  </si>
  <si>
    <t>Phoenix "GS"</t>
  </si>
  <si>
    <t>GAMING OC PRO WHITE</t>
  </si>
  <si>
    <t>AORUS XTREME</t>
  </si>
  <si>
    <t>GAMING OC X2</t>
  </si>
  <si>
    <t>ICHILL X3</t>
  </si>
  <si>
    <t>Gallardo (M2435+N537-10)</t>
  </si>
  <si>
    <t>VENTUS GP</t>
  </si>
  <si>
    <t>VENTUS GP OC</t>
  </si>
  <si>
    <t>GAMING Z</t>
  </si>
  <si>
    <t>Ghost</t>
  </si>
  <si>
    <t>Snapdragon MAX Pro (骁将MAX Pro)</t>
  </si>
  <si>
    <t>General MAX (大将MAX)</t>
  </si>
  <si>
    <t>General MAX OC (大将MAX OC)</t>
  </si>
  <si>
    <t>Plus (1-Click OC)</t>
  </si>
  <si>
    <t>(M2435+N537-10)</t>
  </si>
  <si>
    <t>REVEL Dual Fan</t>
  </si>
  <si>
    <t>UPRISING Dual Fan</t>
  </si>
  <si>
    <t>Destroyer HA (毁灭者 HA)</t>
  </si>
  <si>
    <t>Turbo EVO</t>
  </si>
  <si>
    <t>Dual EVO V2</t>
  </si>
  <si>
    <t>Dual EVO Advanced V2</t>
  </si>
  <si>
    <t>Dual EVO OC V2</t>
  </si>
  <si>
    <t>ROG Strix Gaming EVO OC V2</t>
  </si>
  <si>
    <t>8G</t>
  </si>
  <si>
    <t>8G Limited</t>
  </si>
  <si>
    <t>NB 8G</t>
  </si>
  <si>
    <t>iGame Vulcan OC</t>
  </si>
  <si>
    <t>iGame Neptune Lite OC</t>
  </si>
  <si>
    <t>MIRACLE V2</t>
  </si>
  <si>
    <t>HV STORM X DUAL</t>
  </si>
  <si>
    <t>HV BLACK MONSTER OC</t>
  </si>
  <si>
    <t>HV BLACK MONSTER V2</t>
  </si>
  <si>
    <t>HV BLACK MONSTER V2 OC</t>
  </si>
  <si>
    <t>XENON TURBO JET</t>
  </si>
  <si>
    <t>XENON TURBO JET OC</t>
  </si>
  <si>
    <t>SC BLACK GAMING</t>
  </si>
  <si>
    <t>Phantom</t>
  </si>
  <si>
    <t>Phantom "GS"</t>
  </si>
  <si>
    <t>EX (1-Click OC) V2</t>
  </si>
  <si>
    <t>EX White (1-Click OC)</t>
  </si>
  <si>
    <t>GAMING OC WHITE</t>
  </si>
  <si>
    <t>GAMING 3X WHITE</t>
  </si>
  <si>
    <t>GAMING OC 3X</t>
  </si>
  <si>
    <t>GAMING OC 3X WHITE</t>
  </si>
  <si>
    <t>ICHILL X3 ULTRA</t>
  </si>
  <si>
    <t>(M1432+N537-10)</t>
  </si>
  <si>
    <t>(M1424+N522-01)</t>
  </si>
  <si>
    <t>VENTUS V1</t>
  </si>
  <si>
    <t>VENTUS OCV1</t>
  </si>
  <si>
    <t>JS</t>
  </si>
  <si>
    <t>RTX 2070</t>
  </si>
  <si>
    <t>8G V2</t>
  </si>
  <si>
    <t>iGame Ultra V2</t>
  </si>
  <si>
    <t>iGame Neptune OC</t>
  </si>
  <si>
    <t>STORM X Dual</t>
  </si>
  <si>
    <t>STORM X Dual R2</t>
  </si>
  <si>
    <t>XENON WHITE STORM X Dual</t>
  </si>
  <si>
    <t>BLACK EDITION OC</t>
  </si>
  <si>
    <t>HV BLACK MONSTER</t>
  </si>
  <si>
    <t>XC BLACK GAMING (08G-P4-1171-KR)</t>
  </si>
  <si>
    <t>XC BLACK GAMING (08G-P4-2071-KR)</t>
  </si>
  <si>
    <t>XC BLACK GAMING (08G-P4-2171-KR)</t>
  </si>
  <si>
    <t>FTW3 ULTRA GAMING</t>
  </si>
  <si>
    <t>Phoenix "GS" (426018336-4252)</t>
  </si>
  <si>
    <t>Phoenix "GS" (426018336-4160)</t>
  </si>
  <si>
    <t>Phantom "GLH"</t>
  </si>
  <si>
    <t>EX Gamer (1-Click OC)</t>
  </si>
  <si>
    <t>EX OC</t>
  </si>
  <si>
    <t>EX OC Gamer</t>
  </si>
  <si>
    <t>EX OC White</t>
  </si>
  <si>
    <t>SG Edition</t>
  </si>
  <si>
    <t>WINDFORCE 2X</t>
  </si>
  <si>
    <t>WINDFORCE OC 2X</t>
  </si>
  <si>
    <t>GAMING 3X</t>
  </si>
  <si>
    <t>ICHILL X3 JEKYLL</t>
  </si>
  <si>
    <t>ICHILL BLACK</t>
  </si>
  <si>
    <t>Dual Fan</t>
  </si>
  <si>
    <t>Gallardo (F400G+N511-20)</t>
  </si>
  <si>
    <t>TRI FROZR</t>
  </si>
  <si>
    <t>DUKE OCV1</t>
  </si>
  <si>
    <t>GAMING GP</t>
  </si>
  <si>
    <t>JetStream</t>
  </si>
  <si>
    <t>Super JetStream</t>
  </si>
  <si>
    <t>GameRock</t>
  </si>
  <si>
    <t>GameRock Premium</t>
  </si>
  <si>
    <t>MIRACLE TRIPLE</t>
  </si>
  <si>
    <t>GAMER</t>
  </si>
  <si>
    <t>GAMER OC</t>
  </si>
  <si>
    <t>XENON TURBO JET V2</t>
  </si>
  <si>
    <t>XENON TURBO JET V2 OC</t>
  </si>
  <si>
    <t>XC ULTRA+ GAMING</t>
  </si>
  <si>
    <t>FTW3 ULTRA+ GAMING</t>
  </si>
  <si>
    <t>XC HYBRID GAMING</t>
  </si>
  <si>
    <t>Phoenix V1</t>
  </si>
  <si>
    <t>EX (1-Click OC) PINK Edition</t>
  </si>
  <si>
    <t>EX Gamer Black Edition</t>
  </si>
  <si>
    <t>Work The Frames Edition</t>
  </si>
  <si>
    <t>HOF 10th Anniversary Black Edition</t>
  </si>
  <si>
    <t>HOF 10th Anniversary Edition</t>
  </si>
  <si>
    <t>HOF 10th Anniversary OC Lab Edition</t>
  </si>
  <si>
    <t>JET</t>
  </si>
  <si>
    <t>GAMING OC X3</t>
  </si>
  <si>
    <t>GP</t>
  </si>
  <si>
    <t>GP OC PREMIUM</t>
  </si>
  <si>
    <t>JS LE</t>
  </si>
  <si>
    <t>GR</t>
  </si>
  <si>
    <t>GRP</t>
  </si>
  <si>
    <t>RTX 2080 8GB GDDR6</t>
  </si>
  <si>
    <t>RTX 2080</t>
  </si>
  <si>
    <t>CH</t>
  </si>
  <si>
    <t>iGame Advanced</t>
  </si>
  <si>
    <t>iGame Advanced OC V3</t>
  </si>
  <si>
    <t>XC2 GAMING</t>
  </si>
  <si>
    <t>XC2 ULTRA GAMING</t>
  </si>
  <si>
    <t>FTW3 ULTRA HYBRID GAMING</t>
  </si>
  <si>
    <t>FTW3 ULTRA HYDRO COPPER GAMING</t>
  </si>
  <si>
    <t>TRIPLE</t>
  </si>
  <si>
    <t>EX White (1-Click OC) V2</t>
  </si>
  <si>
    <t>EX Gamer (1-Click OC) V2</t>
  </si>
  <si>
    <t>SG Edition (1-Click OC)</t>
  </si>
  <si>
    <t>TURBO</t>
  </si>
  <si>
    <t>TURBO OC</t>
  </si>
  <si>
    <t>AORUS XTREME WATERFORCE</t>
  </si>
  <si>
    <t>VENTUS V2</t>
  </si>
  <si>
    <t>RTX 2080 SUPER 8GB GDDR6</t>
  </si>
  <si>
    <t>ROG Strix Gaming White OC</t>
  </si>
  <si>
    <t>XC HYDRO COPPER GAMING</t>
  </si>
  <si>
    <t>FTW3 HYDRO COPPER GAMING</t>
  </si>
  <si>
    <t>EX Gamer</t>
  </si>
  <si>
    <t>EX Gamer Black</t>
  </si>
  <si>
    <t>AORUS WATERFORCE</t>
  </si>
  <si>
    <t>GAMING OC WATERFORCE WB</t>
  </si>
  <si>
    <t>AORUS WATERFORCE WB</t>
  </si>
  <si>
    <t>(P1467+N502-00)</t>
  </si>
  <si>
    <t>Gallardo LED (M3442+N502-00)</t>
  </si>
  <si>
    <t>WGR</t>
  </si>
  <si>
    <t>WGRP</t>
  </si>
  <si>
    <t>Triple Fan</t>
  </si>
  <si>
    <t>RTX 2080 Ti 11GB GDDR6</t>
  </si>
  <si>
    <t>ROG Matrix Gaming</t>
  </si>
  <si>
    <t>iGame Neptune</t>
  </si>
  <si>
    <t>BLOWER EDITION</t>
  </si>
  <si>
    <t>BLACK EDITION V2 OC</t>
  </si>
  <si>
    <t>Dual Black (1-Click OC)</t>
  </si>
  <si>
    <t>Dual Black (1-Click OC) V2</t>
  </si>
  <si>
    <t>SG (1-Click OC)</t>
  </si>
  <si>
    <t>SG (1-Click OC) V2</t>
  </si>
  <si>
    <t>AORUS TURBO</t>
  </si>
  <si>
    <t>Gallardo LED (M3442+N504)</t>
  </si>
  <si>
    <t>LIGHTNING 10th Anniversary Edition</t>
  </si>
  <si>
    <t>GamingPro</t>
  </si>
  <si>
    <t>GamingPro OC</t>
  </si>
  <si>
    <t>AMP Extreme Core</t>
  </si>
  <si>
    <t>NB DUO</t>
  </si>
  <si>
    <t>NB EX</t>
  </si>
  <si>
    <t>Ultra W DUO OC</t>
  </si>
  <si>
    <t>Ultra W OC</t>
  </si>
  <si>
    <t>Snapdragon (骁将)</t>
  </si>
  <si>
    <t>General OC (大将 OC)</t>
  </si>
  <si>
    <t>WinFast HURRICANE WHITE EDITION</t>
  </si>
  <si>
    <t>RTX 3050 (M2521+N630-00)</t>
  </si>
  <si>
    <t>Gallardo (M2510_N630-00)</t>
  </si>
  <si>
    <t>iCraft</t>
  </si>
  <si>
    <t>VENTUS 2X V1</t>
  </si>
  <si>
    <t>VENTUS 2X OCV1</t>
  </si>
  <si>
    <t>XLR8 Gaming REVEL EPIC-X RGB Dual Fan Edition</t>
  </si>
  <si>
    <t>Destroyer PRO HA (毁灭者 PRO HA)</t>
  </si>
  <si>
    <t>X-GAMING OC</t>
  </si>
  <si>
    <t>Twin Edge</t>
  </si>
  <si>
    <t>Twin Edge OC</t>
  </si>
  <si>
    <t>iGame Ultra W OC</t>
  </si>
  <si>
    <t>RTX 3060 (1-Click OC)</t>
  </si>
  <si>
    <t>RTX 3060 (M2500+N630)</t>
  </si>
  <si>
    <t>KO Gaming</t>
  </si>
  <si>
    <t>KO Gaming V2</t>
  </si>
  <si>
    <t>KO Gaming OC</t>
  </si>
  <si>
    <t>KO Gaming OC V2</t>
  </si>
  <si>
    <t>TUF Gaming OC V2</t>
  </si>
  <si>
    <t>ROG Strix Gaming V2</t>
  </si>
  <si>
    <t>Gaming (电竞)</t>
  </si>
  <si>
    <t>Gaming L (电竞 L)</t>
  </si>
  <si>
    <t>NB DUO L</t>
  </si>
  <si>
    <t>NB DUO V2 L</t>
  </si>
  <si>
    <t>NB L</t>
  </si>
  <si>
    <t>iGame bilibili E-Sports Edition</t>
  </si>
  <si>
    <t>iGame bilibili E-Sports Edition OC</t>
  </si>
  <si>
    <t>iGame Ultra W</t>
  </si>
  <si>
    <t>iGame Ultra W L</t>
  </si>
  <si>
    <t>iGame Ultra W OC L</t>
  </si>
  <si>
    <t>iGame Advanced L</t>
  </si>
  <si>
    <t>iGame Advanced OC L</t>
  </si>
  <si>
    <t>STORM X Dual OC</t>
  </si>
  <si>
    <t>STORM X Dual OC Diablo 2 Resurrected</t>
  </si>
  <si>
    <t>DU</t>
  </si>
  <si>
    <t>Wind Chaser EX RGB (追风 EX RGB)</t>
  </si>
  <si>
    <t>Gold Star OC (星极绿晶 OC)</t>
  </si>
  <si>
    <t>Snapdragon [FG] (骁将 [FG])</t>
  </si>
  <si>
    <t>General [FG] (大将 [FG])</t>
  </si>
  <si>
    <t>General OC [FG] (大将 OC [FG])</t>
  </si>
  <si>
    <t>Metal Master MAX (金属大师MAX)</t>
  </si>
  <si>
    <t>Metal Master MAX [FG] (金属大师MAX [FG])</t>
  </si>
  <si>
    <t>Metal Master MAX OC (金属大师MAX OC)</t>
  </si>
  <si>
    <t>Metal Master MAX OC [FG] (金属大师MAX OC [FG])</t>
  </si>
  <si>
    <t>Boomstar MAX (星曜 MAX)</t>
  </si>
  <si>
    <t>Boomstar MAX [FG] (星曜 MAX [FG])</t>
  </si>
  <si>
    <t>Boomstar MAX Forever Tribulation [FG] (星曜 MAX 永劫无间版[FG])</t>
  </si>
  <si>
    <t>Boomstar MAX OC (星曜 MAX OC)</t>
  </si>
  <si>
    <t>Boomstar MAX OC [FG] (星曜 MAX OC [FG])</t>
  </si>
  <si>
    <t>Boomstar MAX OC Forever Tribulation [FG] (星曜 MAX OC 永劫无间版[FG])</t>
  </si>
  <si>
    <t>GAMER MAX</t>
  </si>
  <si>
    <t>GAMER MAX [FG]</t>
  </si>
  <si>
    <t>GAMER MAX OC</t>
  </si>
  <si>
    <t>GAMER MAX OC [FG]</t>
  </si>
  <si>
    <t>EX W (1-Click OC)</t>
  </si>
  <si>
    <t>EAGLE (rev 2.0)</t>
  </si>
  <si>
    <t>EAGLE OC (rev 2.0)</t>
  </si>
  <si>
    <t>GAMING OC (rev 2.0)</t>
  </si>
  <si>
    <t>VISION OC</t>
  </si>
  <si>
    <t>VISION OC (rev 2.0)</t>
  </si>
  <si>
    <t>AORUS ELITE (rev 2.0)</t>
  </si>
  <si>
    <t>ICHILL X3 RED</t>
  </si>
  <si>
    <t>WinFast CLASSIC REV B</t>
  </si>
  <si>
    <t>LHR Blower (M1499 + N630-00)</t>
  </si>
  <si>
    <t>RTX 3060 (M2500 + N630-00)</t>
  </si>
  <si>
    <t>RTX 3060 LHR (M2500+N630-00)</t>
  </si>
  <si>
    <t>Gallardo (M2510 + N630-00)</t>
  </si>
  <si>
    <t>Gallardo LHR (M2510+N630-00)</t>
  </si>
  <si>
    <t>iCraft OC S0</t>
  </si>
  <si>
    <t>iCraft OC S1</t>
  </si>
  <si>
    <t>VENTUS 3X</t>
  </si>
  <si>
    <t>VENTUS 3X OC</t>
  </si>
  <si>
    <t>XLR8 Gaming REVEL EPIC-X RGB Dual Fan</t>
  </si>
  <si>
    <t>Six Way Soldiers (六道兵甲)</t>
  </si>
  <si>
    <t>Destroyer GE HA (毁灭者 GE HA)</t>
  </si>
  <si>
    <t>Destroyer GE PRO (毁灭者 GE PRO)</t>
  </si>
  <si>
    <t>Thunderbolt HA (霹雳版 HA)</t>
  </si>
  <si>
    <t>Thunderbolt GE HA (霹雳版 GE HA)</t>
  </si>
  <si>
    <t>Thunderbolt GE HB (霹雳版 HB)</t>
  </si>
  <si>
    <t>Thunderbolt GE PRO (霹雳版 GE PRO)</t>
  </si>
  <si>
    <t>X-GAMING</t>
  </si>
  <si>
    <t>X-GAMING GOC</t>
  </si>
  <si>
    <t>X-GAMING GOC H-Box</t>
  </si>
  <si>
    <t>X-GAMING GOC PRO</t>
  </si>
  <si>
    <t>Apocalypse OC (天启 OC)</t>
  </si>
  <si>
    <t>Apocalypse GOC (天启 GOC)</t>
  </si>
  <si>
    <t>PGF GOC</t>
  </si>
  <si>
    <t>PGF XGOC</t>
  </si>
  <si>
    <t>AMP White Edition</t>
  </si>
  <si>
    <t>ROG Strix Gaming OC V2</t>
  </si>
  <si>
    <t>NB DUO LHR</t>
  </si>
  <si>
    <t>Gaming LHR (电竞 LHR)</t>
  </si>
  <si>
    <t>NB LHR</t>
  </si>
  <si>
    <t>iGame bilibili E-sports Edition OC LHR</t>
  </si>
  <si>
    <t>iGame Ultra OC LHR</t>
  </si>
  <si>
    <t>iGame Ultra W OC LHR</t>
  </si>
  <si>
    <t>iGame Advanced OC LHR</t>
  </si>
  <si>
    <t>iGame Vulcan</t>
  </si>
  <si>
    <t>iGame Vulcan LHR</t>
  </si>
  <si>
    <t>iGame Vulcan OC LHR</t>
  </si>
  <si>
    <t>FTW3 BLACK GAMING</t>
  </si>
  <si>
    <t>FTW3 GAMING (08G-P5-3665-KR)</t>
  </si>
  <si>
    <t>FTW3 GAMING (08G-P5-3665-KL)</t>
  </si>
  <si>
    <t>FTW3 ULTRA GAMING (08G-P5-3667-KR)</t>
  </si>
  <si>
    <t>FTW3 ULTRA GAMING (08G-P5-3667-KL)</t>
  </si>
  <si>
    <t>RTX 3060 Ti</t>
  </si>
  <si>
    <t>RTX 3060 Ti G</t>
  </si>
  <si>
    <t>Wind Chaser G (追风 G)</t>
  </si>
  <si>
    <t>Wind Chaser WG (追风 WG)</t>
  </si>
  <si>
    <t>Blue Star (星极蓝爵)</t>
  </si>
  <si>
    <t>Blue Star G (星极蓝爵 G)</t>
  </si>
  <si>
    <t>Blue Star OC (星极蓝爵 OC)</t>
  </si>
  <si>
    <t>Blue Star OCG (星极蓝爵 OCG)</t>
  </si>
  <si>
    <t>Red Star (星极红爵)</t>
  </si>
  <si>
    <t>Red Star G (星极红爵 G)</t>
  </si>
  <si>
    <t>Red Star OC (星极红爵 OC)</t>
  </si>
  <si>
    <t>Red Star OCG (星极红爵 OCG)</t>
  </si>
  <si>
    <t>Glare (炫光)</t>
  </si>
  <si>
    <t>Glare G (炫光 G)</t>
  </si>
  <si>
    <t>Glare OC (炫光 OC)</t>
  </si>
  <si>
    <t>Glare OCG (炫光 OCG)</t>
  </si>
  <si>
    <t>Ghost V1</t>
  </si>
  <si>
    <t>Ghost OC V1</t>
  </si>
  <si>
    <t>Phoenix "GS" V1</t>
  </si>
  <si>
    <t>Black General (黑将)</t>
  </si>
  <si>
    <t>Black General [FG] (黑将 [FG])</t>
  </si>
  <si>
    <t>Black General OC (黑将 OC)</t>
  </si>
  <si>
    <t>Black General OC [FG] (黑将 OC [FG])</t>
  </si>
  <si>
    <t>Metal Master (金属大师)</t>
  </si>
  <si>
    <t>Metal Master [FG] (金属大师 [FG])</t>
  </si>
  <si>
    <t>Metal Master OC (金属大师 OC)</t>
  </si>
  <si>
    <t>Metal Master OC [FG] (金属大师 OC [FG])</t>
  </si>
  <si>
    <t>Boomstar [FG] (星曜 [FG])</t>
  </si>
  <si>
    <t>Boomstar Forever Tribulation [FG] (星曜 永劫无间版[FG])</t>
  </si>
  <si>
    <t>Boomstar OC Forever Tribulation [FG] (星曜 OC 永劫无间版[FG])</t>
  </si>
  <si>
    <t>GAMER [FG]</t>
  </si>
  <si>
    <t>GAMER OC [FG]</t>
  </si>
  <si>
    <t>RTX 3060 Ti (1-Click OC)</t>
  </si>
  <si>
    <t>RTX 3060 Ti (1-Click OC) LHR</t>
  </si>
  <si>
    <t>EX (1-Click OC) LHR</t>
  </si>
  <si>
    <t>EX White (1-Click OC) LHR</t>
  </si>
  <si>
    <t>GAMING (rev 2.0)</t>
  </si>
  <si>
    <t>VISION</t>
  </si>
  <si>
    <t>GAMING PRO</t>
  </si>
  <si>
    <t>GAMING PRO (rev 2.0)</t>
  </si>
  <si>
    <t>GAMING OC PRO (rev 2.0)</t>
  </si>
  <si>
    <t>GAMING OC PRO (rev 3.0)</t>
  </si>
  <si>
    <t>TWIN X2 OC LHR</t>
  </si>
  <si>
    <t>ICHILL X3 RED LHR</t>
  </si>
  <si>
    <t>RTX 3060 Ti (M2480 + N630)</t>
  </si>
  <si>
    <t>RTX 3060 Ti LHR (M2480+N630)</t>
  </si>
  <si>
    <t>Gallardo (M2510 + N630)</t>
  </si>
  <si>
    <t>Gallardo LHR (M2510+N630)</t>
  </si>
  <si>
    <t>iCraft OC</t>
  </si>
  <si>
    <t>iCraft OC Aijia Limited (瑷珈限定)</t>
  </si>
  <si>
    <t>TWIN FAN</t>
  </si>
  <si>
    <t>TWIN FAN LHR</t>
  </si>
  <si>
    <t>TWIN FAN OC</t>
  </si>
  <si>
    <t>TWIN FAN OC LHR</t>
  </si>
  <si>
    <t>VENTUS 2X V1 LHR</t>
  </si>
  <si>
    <t>VENTUS 2X OCV1 LHR</t>
  </si>
  <si>
    <t>VENTUS 3X LHR</t>
  </si>
  <si>
    <t>VENTUS 3X OC LHR</t>
  </si>
  <si>
    <t>GAMING LHR</t>
  </si>
  <si>
    <t>GAMING X LHR</t>
  </si>
  <si>
    <t>GAMING TRIO PLUS LHR</t>
  </si>
  <si>
    <t>GAMING Z TRIO LHR</t>
  </si>
  <si>
    <t>Dual V1</t>
  </si>
  <si>
    <t>Dual OC V1</t>
  </si>
  <si>
    <t>ColorPOP</t>
  </si>
  <si>
    <t>GamingPro V1</t>
  </si>
  <si>
    <t>GamingPro OC V1</t>
  </si>
  <si>
    <t>VERTO Dual Fan LHR</t>
  </si>
  <si>
    <t>UPRISING Dual Fan LHR</t>
  </si>
  <si>
    <t>XLR8 Gaming REVEL EPIC-X RGB Dual Fan LHR</t>
  </si>
  <si>
    <t>PGF OC</t>
  </si>
  <si>
    <t>Twin Edge LHR</t>
  </si>
  <si>
    <t>Twin Edge OC LHR</t>
  </si>
  <si>
    <t>AMP White Edition LHR</t>
  </si>
  <si>
    <t>RTX 3060 Ti 8GB GDDR6X</t>
  </si>
  <si>
    <t>iGame Ultra W OC V2</t>
  </si>
  <si>
    <t>Boomstar (星曜)</t>
  </si>
  <si>
    <t>Boomstar OC (星曜 OC)</t>
  </si>
  <si>
    <t>HOF Pro</t>
  </si>
  <si>
    <t>1-Click OC Plus</t>
  </si>
  <si>
    <t>1-Click OC Plus (Updated Ver.)</t>
  </si>
  <si>
    <t>SG 1-Click OC Plus</t>
  </si>
  <si>
    <t>SG 1-Click OC Plus (Updated Ver.)</t>
  </si>
  <si>
    <t>EX White 1-Click OC Plus</t>
  </si>
  <si>
    <t>Turbo V2</t>
  </si>
  <si>
    <t>Dual SI Edition</t>
  </si>
  <si>
    <t>Noctua Edition</t>
  </si>
  <si>
    <t>Noctua OC Edition</t>
  </si>
  <si>
    <t>ROG Strix Gaming White</t>
  </si>
  <si>
    <t>ROG Strix Gaming White V2</t>
  </si>
  <si>
    <t>ROG Strix Gaming White OC V2</t>
  </si>
  <si>
    <t>BLACK Edition</t>
  </si>
  <si>
    <t>BLACK Edition OC</t>
  </si>
  <si>
    <t>BLACK Edition OC LHR</t>
  </si>
  <si>
    <t>HV BLACK MONSTER COD OC</t>
  </si>
  <si>
    <t>XENON TURBO JET OC LHR</t>
  </si>
  <si>
    <t>XC3 BLACK GAMING (08G-P5-3751-KR)</t>
  </si>
  <si>
    <t>XC3 BLACK GAMING (08G-P5-3751-KL)</t>
  </si>
  <si>
    <t>XC3 GAMING</t>
  </si>
  <si>
    <t>XC3 ULTRA GAMING (08G-P5-3755-KR)</t>
  </si>
  <si>
    <t>XC3 ULTRA GAMING (08G-P5-3755-KL)</t>
  </si>
  <si>
    <t>FTW3 ULTRA GAMING (08G-P5-3767-KR)</t>
  </si>
  <si>
    <t>FTW3 ULTRA GAMING (08G-P5-3767-KL)</t>
  </si>
  <si>
    <t>Wind Chaser W (追风 W)</t>
  </si>
  <si>
    <t>Phantom V1</t>
  </si>
  <si>
    <t>Phantom "GS" V1</t>
  </si>
  <si>
    <t>Phantom+</t>
  </si>
  <si>
    <t>Phantom+ "GS"</t>
  </si>
  <si>
    <t>Black General R2 (黑将 R2)</t>
  </si>
  <si>
    <t>Black General R2 [FG] (黑将 R2 [FG])</t>
  </si>
  <si>
    <t>Black General R2 OC (黑将 R2 OC)</t>
  </si>
  <si>
    <t>Black General R2 OC [FG] (黑将 R2 OC [FG])</t>
  </si>
  <si>
    <t>Boomstar OC [FG] (星曜 OC [FG])</t>
  </si>
  <si>
    <t>RTX 3070 (1-Click OC)</t>
  </si>
  <si>
    <t>RTX 3070 (1-Click OC) LHR</t>
  </si>
  <si>
    <t>SG (1-Click OC) LHR</t>
  </si>
  <si>
    <t>EX Pink (1-Click OC)</t>
  </si>
  <si>
    <t>EX Gamer (1-Click OC) LHR</t>
  </si>
  <si>
    <t>EX Gamer Pink (1-Click OC)</t>
  </si>
  <si>
    <t>EX Gamer White (1-Click OC)</t>
  </si>
  <si>
    <t>EX Gamer White (1-Click OC) LHR</t>
  </si>
  <si>
    <t>TWIN X2 LHR</t>
  </si>
  <si>
    <t>ICHILL X3 LHR</t>
  </si>
  <si>
    <t>ICHILL X4</t>
  </si>
  <si>
    <t>ICHILL X4 LHR</t>
  </si>
  <si>
    <t>WinFast AI BLOWER</t>
  </si>
  <si>
    <t>RTX 3070 (M2479+N617-00)</t>
  </si>
  <si>
    <t>RTX 3070 LHR (M2479+N617-00)</t>
  </si>
  <si>
    <t>Gallardo (M2479+N617-00)</t>
  </si>
  <si>
    <t>Gallardo LHR (M2502+N617-00)</t>
  </si>
  <si>
    <t>iCraft Aijia Limited OC (瑷珈限定 OC)</t>
  </si>
  <si>
    <t>VENTUS 2X LHR</t>
  </si>
  <si>
    <t>VENTUS 2X OC LHR</t>
  </si>
  <si>
    <t>SUPRIM SE</t>
  </si>
  <si>
    <t>SUPRIM SE LHR</t>
  </si>
  <si>
    <t>SUPRIM</t>
  </si>
  <si>
    <t>SUPRIM LHR</t>
  </si>
  <si>
    <t>SUPRIM X</t>
  </si>
  <si>
    <t>SUPRIM X LHR</t>
  </si>
  <si>
    <t>JetStream V1</t>
  </si>
  <si>
    <t>JetStream OC</t>
  </si>
  <si>
    <t>JetStream OC V1</t>
  </si>
  <si>
    <t>GameRock V1</t>
  </si>
  <si>
    <t>GameRock OC</t>
  </si>
  <si>
    <t>GameRock OC V1</t>
  </si>
  <si>
    <t>XLR8 Gaming REVEL EPIC-X RGB Triple Fan</t>
  </si>
  <si>
    <t>XLR8 Gaming REVEL EPIC-X RGB Triple Fan LHR</t>
  </si>
  <si>
    <t>X-Gaming OC</t>
  </si>
  <si>
    <t>X-Gaming GOC</t>
  </si>
  <si>
    <t>Apocalypse OC (天启 GOC)</t>
  </si>
  <si>
    <t>PGF</t>
  </si>
  <si>
    <t>PGF GE</t>
  </si>
  <si>
    <t>Twin Edge OC White Edition</t>
  </si>
  <si>
    <t>Twin Edge OC White Edition LHR</t>
  </si>
  <si>
    <t>AMP Holo</t>
  </si>
  <si>
    <t>AMP Holo LHR</t>
  </si>
  <si>
    <t>RTX 3070 Ti 8GB GDDR6X</t>
  </si>
  <si>
    <t>iGame bilibili E-sports Edition OC</t>
  </si>
  <si>
    <t>STORM DARK Diablo 2 Resurrected</t>
  </si>
  <si>
    <t>XC3 ULTRA GAMING</t>
  </si>
  <si>
    <t>Star Pole Moon (星极皓月)</t>
  </si>
  <si>
    <t>Star Magic Hime (星极幻姬)</t>
  </si>
  <si>
    <t>Boomstar Forever Tribulation (星曜 永劫无间版)</t>
  </si>
  <si>
    <t>Boomstar OC Forever Tribulation (星曜 OC 永劫无间版)</t>
  </si>
  <si>
    <t>EXG (1-Click OC)</t>
  </si>
  <si>
    <t>EXG White (1-Click OC)</t>
  </si>
  <si>
    <t>X3 OC</t>
  </si>
  <si>
    <t>RTX 3070 Ti (M3514+N651-02)</t>
  </si>
  <si>
    <t>RTX 3070 Ti LHR (M3514+N651-03)</t>
  </si>
  <si>
    <t>Gallardo (M3515+N651-02)</t>
  </si>
  <si>
    <t>Gallardo LHR (M3515+N651-03)</t>
  </si>
  <si>
    <t>VERTO Triple Fan</t>
  </si>
  <si>
    <t>XLR8 Gaming UPRISING EPIC-X RGB Triple Fan</t>
  </si>
  <si>
    <t>Trinity</t>
  </si>
  <si>
    <t>Trinity OC</t>
  </si>
  <si>
    <t>AMP Extreme Holo</t>
  </si>
  <si>
    <t>RTX 3080 10GB GDDR6X</t>
  </si>
  <si>
    <t>ROG Strix Gaming GUNDAM EDITION</t>
  </si>
  <si>
    <t>NB OC</t>
  </si>
  <si>
    <t>iGame Neptune OC LHR</t>
  </si>
  <si>
    <t>HV BLACK MONSTER OC LHR</t>
  </si>
  <si>
    <t>XC3 BLACK GAMING (10G-P5-3881-KR)</t>
  </si>
  <si>
    <t>XC3 BLACK GAMING (10G-P5-3881-KL)</t>
  </si>
  <si>
    <t>XC3 GAMING (10G-P5-3883-KR)</t>
  </si>
  <si>
    <t>XC3 GAMING (10G-P5-3883-KL)</t>
  </si>
  <si>
    <t>XC3 ULTRA GAMING (10G-P5-3885-KR)</t>
  </si>
  <si>
    <t>XC3 ULTRA GAMING (10G-P5-3885-KL)</t>
  </si>
  <si>
    <t>FTW3 GAMING (10G-P5-3895-KR)</t>
  </si>
  <si>
    <t>FTW3 GAMING (10G-P5-3895-KL)</t>
  </si>
  <si>
    <t>FTW3 ULTRA GAMING (10G-P5-3897-KR)</t>
  </si>
  <si>
    <t>FTW3 ULTRA GAMING (10G-P5-3897-KL)</t>
  </si>
  <si>
    <t>XC3 ULTRA HYBRID GAMING (10G-P5-3888-KR)</t>
  </si>
  <si>
    <t>XC3 ULTRA HYBRID GAMING (10G-P5-3888-KL)</t>
  </si>
  <si>
    <t>FTW3 ULTRA HYBRID GAMING (10G-P5-3898-KR)</t>
  </si>
  <si>
    <t>FTW3 ULTRA HYBRID GAMING (10G-P5-3898-KL)</t>
  </si>
  <si>
    <t>XC3 ULTRA HYDRO COPPER GAMING</t>
  </si>
  <si>
    <t>FTW3 ULTRA HYDRO COPPER GAMING (10G-P5-3899-KR)</t>
  </si>
  <si>
    <t>FTW3 ULTRA HYDRO COPPER GAMING (10G-P5-3899-KL)</t>
  </si>
  <si>
    <t>TURBO (rev 2.0)</t>
  </si>
  <si>
    <t>AORUS MASTER (rev2.0)</t>
  </si>
  <si>
    <t>AORUS MASTER (rev3.0)</t>
  </si>
  <si>
    <t>AORUS XTREME (rev 2.0)</t>
  </si>
  <si>
    <t>GAMING OC WATERFORCE WB (rev 2.0)</t>
  </si>
  <si>
    <t>AORUS XTREME WATERFORCE (rev 2.0)</t>
  </si>
  <si>
    <t>AORUS XTREME WATERFORCE WB (rev 2.0)</t>
  </si>
  <si>
    <t>X3 OC LHR</t>
  </si>
  <si>
    <t>ICHILL BLACK LHR</t>
  </si>
  <si>
    <t>ICHILL FROSTBITE LHR</t>
  </si>
  <si>
    <t>RTX 3080 (M3478+N613-00)</t>
  </si>
  <si>
    <t>RTX 3080 10GB LHR (M3514+N612-01)</t>
  </si>
  <si>
    <t>Gallardo (M3481+N613-00)</t>
  </si>
  <si>
    <t>Gallardo (M3486+N613-00)</t>
  </si>
  <si>
    <t>Gallardo LHR (M3515+N612-01)</t>
  </si>
  <si>
    <t>VENTUS 3X PLUS LHR</t>
  </si>
  <si>
    <t>VENTUS 3X PLUS OC LHR</t>
  </si>
  <si>
    <t>VENTUS 3X PLUS V1 LHR</t>
  </si>
  <si>
    <t>VENTUS 3X PLUS OCV1 LHR</t>
  </si>
  <si>
    <t>SEA HAWK LHR</t>
  </si>
  <si>
    <t>SEA HAWK X LHR</t>
  </si>
  <si>
    <t>XLR8 Gaming UPRISING EPIC-X RGB Triple Fan LHR</t>
  </si>
  <si>
    <t>Trinity LHR</t>
  </si>
  <si>
    <t>Trinity OC LHR</t>
  </si>
  <si>
    <t>Trinity OC White Edition</t>
  </si>
  <si>
    <t>Trinity OC White Edition LHR</t>
  </si>
  <si>
    <t>RTX 3080 12GB GDDR6X</t>
  </si>
  <si>
    <t>ROG Strix Gaming EVA Edition OC</t>
  </si>
  <si>
    <t>NB EX LHR</t>
  </si>
  <si>
    <t>Ultra W OC LHR</t>
  </si>
  <si>
    <t>Advanced OC LHR</t>
  </si>
  <si>
    <t>Vulcan OC LHR</t>
  </si>
  <si>
    <t>XC3 BLACK GAMING</t>
  </si>
  <si>
    <t>XC3 ULTRA HYBRID GAMING</t>
  </si>
  <si>
    <t>Phoenix GS</t>
  </si>
  <si>
    <t>XTREME WATERFORCE</t>
  </si>
  <si>
    <t>XTREME WATERFORCE WB</t>
  </si>
  <si>
    <t>WinFAST HURRICANE</t>
  </si>
  <si>
    <t>LHR (M3515+N613-00)</t>
  </si>
  <si>
    <t>LHR Gallardo (M3515+N613-00-01)</t>
  </si>
  <si>
    <t>UPRISING Triple Fan LHR</t>
  </si>
  <si>
    <t>XLR8 Gaming UPRISING EPIC-X RGB Overclocked Triple Fan LHR</t>
  </si>
  <si>
    <t>AMP Extreme Holo LHR</t>
  </si>
  <si>
    <t>RTX 3080 Ti 12GB GDDR6X</t>
  </si>
  <si>
    <t>HOF OC Lab Edition</t>
  </si>
  <si>
    <t>HOF OC Lab Edition XOC Special</t>
  </si>
  <si>
    <t>HOF Premium</t>
  </si>
  <si>
    <t>RTX 3080 Ti (M3478+N613-00)</t>
  </si>
  <si>
    <t>RTX 3080 Ti LHR (M3514+N612-01)</t>
  </si>
  <si>
    <t>Gallardo (M3486+N612-00)</t>
  </si>
  <si>
    <t>iCraft GM OC</t>
  </si>
  <si>
    <t>RTX 3090 24GB GDDR6X</t>
  </si>
  <si>
    <t>ROG Strix Gaming Gundam OC</t>
  </si>
  <si>
    <t>Dell</t>
  </si>
  <si>
    <t>RTX 3090 (OEM)</t>
  </si>
  <si>
    <t>KINGPIN HYBRID GAMING</t>
  </si>
  <si>
    <t>KINGPIN HYDRO COPPER GAMING</t>
  </si>
  <si>
    <t>HOF Extreme Limited Edition (限量版)</t>
  </si>
  <si>
    <t>AORUS MASTER rev1.0</t>
  </si>
  <si>
    <t>AORUS MASTER rev2.0</t>
  </si>
  <si>
    <t>GAMING X3</t>
  </si>
  <si>
    <t>RTX 3090 (M3478+N613-00)</t>
  </si>
  <si>
    <t>Gallardo (M3478+N613-00)</t>
  </si>
  <si>
    <t>AMP Core Holo</t>
  </si>
  <si>
    <t>RTX 3090 Ti 24GB GDDR6X</t>
  </si>
  <si>
    <t>2x12+4</t>
  </si>
  <si>
    <t>HOF OC LAB Edition</t>
  </si>
  <si>
    <t>HOF OC LAB Limited Edition</t>
  </si>
  <si>
    <t>EX Gamer ST (1-Click OC)</t>
  </si>
  <si>
    <t>Gallardo (M3520+N667)</t>
  </si>
  <si>
    <t>BLACK TRIO</t>
  </si>
  <si>
    <t>XLR8 Gaming UPRISING EPIC-X RGB Overclocked Triple Fan</t>
  </si>
  <si>
    <t>ProArt</t>
  </si>
  <si>
    <t>ProArt OC</t>
  </si>
  <si>
    <t>COLORFIRE MEOW-ORG</t>
  </si>
  <si>
    <t>iGame Ultra W DUO OC</t>
  </si>
  <si>
    <t>iGame Loong Edition OC</t>
  </si>
  <si>
    <t>Snow Treader (踏雪)</t>
  </si>
  <si>
    <t>Stellar White Moon (星极皓月)</t>
  </si>
  <si>
    <t>Stellar White Moon OC (星极皓月 OC)</t>
  </si>
  <si>
    <t>1-Click OC 2X</t>
  </si>
  <si>
    <t>EX 1-Click OC</t>
  </si>
  <si>
    <t>EX Pink 1-Click OC</t>
  </si>
  <si>
    <t>EX White 1-Click OC</t>
  </si>
  <si>
    <t>EAGLE OC ICE</t>
  </si>
  <si>
    <t>TWIN X2 OC WHITE</t>
  </si>
  <si>
    <t>Terminator W</t>
  </si>
  <si>
    <t>iCraft OC Limited X2</t>
  </si>
  <si>
    <t>iCraft OC Limited</t>
  </si>
  <si>
    <t>GAMING MLG</t>
  </si>
  <si>
    <t>GAMING X MLG</t>
  </si>
  <si>
    <t>GAMING X NV EDITION</t>
  </si>
  <si>
    <t>XLR8 Gaming VERTO EPIC-X RGB Triple Fan</t>
  </si>
  <si>
    <t>XLR8 Gaming VERTO EPIC-X RGB Overclocked Triple Fan</t>
  </si>
  <si>
    <t>Earth God GB (大地之神 GB)</t>
  </si>
  <si>
    <t>Deluxe (豪华版)</t>
  </si>
  <si>
    <t>Destroyer OC HA (毁灭者 OC HA)</t>
  </si>
  <si>
    <t>X-GAMING OC TWIN</t>
  </si>
  <si>
    <t>X-GAMING OC Opal White (X-GAMING OC 欧泊白)</t>
  </si>
  <si>
    <t>Twin Edge OC SPIDER-MAN: Across the Spider-Verse</t>
  </si>
  <si>
    <t xml:space="preserve">Dual SSD </t>
  </si>
  <si>
    <t>Have M.2 Slot</t>
  </si>
  <si>
    <t>Dual SSD OC</t>
  </si>
  <si>
    <t>Prime</t>
  </si>
  <si>
    <t>Prime OC</t>
  </si>
  <si>
    <t>Wind Chaser EX3 (追风 EX3)</t>
  </si>
  <si>
    <t>Stellar Magic Princess OC (星极幻姬 OC)</t>
  </si>
  <si>
    <t>EX White</t>
  </si>
  <si>
    <t>ICHILL X3 WHITE</t>
  </si>
  <si>
    <t>RTX 4060 Ti (M2546+N719)</t>
  </si>
  <si>
    <t>VENTUS 3X E</t>
  </si>
  <si>
    <t>VENTUS 3X E OC</t>
  </si>
  <si>
    <t>VENTUS 3X E1</t>
  </si>
  <si>
    <t>VENTUS 3X E1 OC</t>
  </si>
  <si>
    <t>GAMING SLIM</t>
  </si>
  <si>
    <t>GAMING SLIM MONSTER HUNTER EDITION</t>
  </si>
  <si>
    <t>GAMING SLIM WHITE</t>
  </si>
  <si>
    <t>GAMING X SLIM</t>
  </si>
  <si>
    <t>GAMING X SLIM WHITE</t>
  </si>
  <si>
    <t>White</t>
  </si>
  <si>
    <t>Earth God GA (大地之神 GA)</t>
  </si>
  <si>
    <t>ProArt Advanced</t>
  </si>
  <si>
    <t>NB EX OC</t>
  </si>
  <si>
    <t>Panther</t>
  </si>
  <si>
    <t>Panther OC</t>
  </si>
  <si>
    <t>Gallardo (M2565+N719)</t>
  </si>
  <si>
    <t>Dual EVO White</t>
  </si>
  <si>
    <t>Dual EVO White OC</t>
  </si>
  <si>
    <t>Atlas Shark Gaming OC</t>
  </si>
  <si>
    <t>Stellar Magic Princess (星极幻姬)</t>
  </si>
  <si>
    <t>1-Click OC 3X</t>
  </si>
  <si>
    <t>EX Gamer Pink</t>
  </si>
  <si>
    <t>EX Gamer White</t>
  </si>
  <si>
    <t>EAGLE OC V2</t>
  </si>
  <si>
    <t>AERO OC V2</t>
  </si>
  <si>
    <t>GAMING OC V2</t>
  </si>
  <si>
    <t>RTX 4070 (M2545+N713)</t>
  </si>
  <si>
    <t>VENTUS 2X E</t>
  </si>
  <si>
    <t>VENTUS 2X E OC</t>
  </si>
  <si>
    <t>AMP AIRO</t>
  </si>
  <si>
    <t>AMP AIRO SPIDER-MAN: Across the Spider-Verse</t>
  </si>
  <si>
    <t>RTX 4070 SUPER 12GB GDDR6X</t>
  </si>
  <si>
    <t>iGame Vulcan W OC</t>
  </si>
  <si>
    <t>Phanter OC</t>
  </si>
  <si>
    <t>EX Gamer 1-Click OC</t>
  </si>
  <si>
    <t>EX Gamer Pink 1-Click OC</t>
  </si>
  <si>
    <t>EX Gamer White 1-Click OC</t>
  </si>
  <si>
    <t>RTX 4070 Super (M2592+N693)</t>
  </si>
  <si>
    <t>GAMING SLIM MLG</t>
  </si>
  <si>
    <t>GAMING X SLIM MLG</t>
  </si>
  <si>
    <t>VERTO Overclocked Dual Fan</t>
  </si>
  <si>
    <t>Deluxe HA (豪华版 HA)</t>
  </si>
  <si>
    <t>Trinity Black Edition</t>
  </si>
  <si>
    <t>RTX 4070 Ti 12GB GDDR6X</t>
  </si>
  <si>
    <t>Wind Chaser EX (追风 EX)</t>
  </si>
  <si>
    <t>Phanter</t>
  </si>
  <si>
    <t>Phantom Reunion</t>
  </si>
  <si>
    <t>Phantom Reunion GS</t>
  </si>
  <si>
    <t>Phantom GS</t>
  </si>
  <si>
    <t>HOF OC LAB</t>
  </si>
  <si>
    <t>HOF OC LAB Plus</t>
  </si>
  <si>
    <t>ST 1-Click OC</t>
  </si>
  <si>
    <t>SG 1-Click OC</t>
  </si>
  <si>
    <t>SG White 1-Click OC</t>
  </si>
  <si>
    <t>EX Gamer V2</t>
  </si>
  <si>
    <t>EAGLE (rev 1.0)</t>
  </si>
  <si>
    <t>EAGLE OC (rev 1.0)</t>
  </si>
  <si>
    <t>RTX 4070 Ti (M2561+N693)</t>
  </si>
  <si>
    <t>RTX 4070 Ti (M3528+N693)</t>
  </si>
  <si>
    <t>Gallardo (M3542+N693)</t>
  </si>
  <si>
    <t>MGG OC</t>
  </si>
  <si>
    <t>GAMING TRIO WHITE</t>
  </si>
  <si>
    <t>GAMING X TRIO WHITE</t>
  </si>
  <si>
    <t>GamingPro White OC</t>
  </si>
  <si>
    <t>GameRock Classic</t>
  </si>
  <si>
    <t>GameRock Classic OC</t>
  </si>
  <si>
    <t>LUXURY</t>
  </si>
  <si>
    <t>Apocalypse (天启)</t>
  </si>
  <si>
    <t>AMP Extreme AIRO</t>
  </si>
  <si>
    <t>RTX 4070 Ti SUPER 16GB GDDR6X</t>
  </si>
  <si>
    <t>RTX 4070 Ti Super (M2592+N693)</t>
  </si>
  <si>
    <t>Gallardo (M3551+N693)</t>
  </si>
  <si>
    <t>SHADOW 3X</t>
  </si>
  <si>
    <t>SHADOW 3X OC</t>
  </si>
  <si>
    <t>EXPERT</t>
  </si>
  <si>
    <t>VERTO Overclocked Triple Fan</t>
  </si>
  <si>
    <t>AMP HOLO</t>
  </si>
  <si>
    <t>Noctua OC</t>
  </si>
  <si>
    <t>Glare SOC (炫光 SOC)</t>
  </si>
  <si>
    <t>HOF OC LAB Plus-X</t>
  </si>
  <si>
    <t>RTX 4080 (M3520+N701)</t>
  </si>
  <si>
    <t>Gallardo (M3535+N688)</t>
  </si>
  <si>
    <t>iCraft Enhancement Heart Princess (瑷珈)</t>
  </si>
  <si>
    <t>GameRock OmniBlack</t>
  </si>
  <si>
    <t>LUXURY HA</t>
  </si>
  <si>
    <t>AMP Extreme AIRO White Edition</t>
  </si>
  <si>
    <t>WINDFORCE V2</t>
  </si>
  <si>
    <t>X3 OC WHITE</t>
  </si>
  <si>
    <t>RTX 4080 Super (M3520+N701)</t>
  </si>
  <si>
    <t>TUF Gaming OG</t>
  </si>
  <si>
    <t>TUF Gaming OG OC</t>
  </si>
  <si>
    <t>ROG Strix Gaming EVA-02 Edition OC</t>
  </si>
  <si>
    <t>ROG Strix Gaming LC</t>
  </si>
  <si>
    <t>ROG Strix Gaming LC OC</t>
  </si>
  <si>
    <t>ROG Matrix Platinum</t>
  </si>
  <si>
    <t>iGame LAB OC</t>
  </si>
  <si>
    <t>HOF OC Lab</t>
  </si>
  <si>
    <t>HOF OC Lab Plus</t>
  </si>
  <si>
    <t>ST V2 1-Click OC</t>
  </si>
  <si>
    <t>AORUS XTREME WATERFORCE (rev 1.0)</t>
  </si>
  <si>
    <t>AORUS XTREME WATERFORCE (rev 1.1)</t>
  </si>
  <si>
    <t>ICHILL FROSTBITE ULTRA</t>
  </si>
  <si>
    <t>Gallardo (M3530+N675)</t>
  </si>
  <si>
    <t>SUPRIM LIQUID</t>
  </si>
  <si>
    <t>SUPRIM LIQUID X</t>
  </si>
  <si>
    <t>Line</t>
  </si>
  <si>
    <t>Series</t>
  </si>
  <si>
    <t>Release Date</t>
  </si>
  <si>
    <t>Code name</t>
  </si>
  <si>
    <t>Process</t>
  </si>
  <si>
    <t>Architecture</t>
  </si>
  <si>
    <t>Bus Interface</t>
  </si>
  <si>
    <t>Transistors (billion)</t>
  </si>
  <si>
    <t>Die size (mm2)</t>
  </si>
  <si>
    <t>Shader Cores</t>
  </si>
  <si>
    <t>TMU</t>
  </si>
  <si>
    <t>ROP</t>
  </si>
  <si>
    <t>Tensor Cores</t>
  </si>
  <si>
    <t>RT Cores / Ray Accelerators</t>
  </si>
  <si>
    <t>Base Clock (MHz)</t>
  </si>
  <si>
    <t>Memory Size (GB)</t>
  </si>
  <si>
    <t>Memory Clock (Gbps)</t>
  </si>
  <si>
    <t>Memory Bus width (bit)</t>
  </si>
  <si>
    <t>Memory Bandwidth (GB/s)</t>
  </si>
  <si>
    <t>Pixel Fillrate (GP/s)</t>
  </si>
  <si>
    <t>Texture Fillrate (GP/s)</t>
  </si>
  <si>
    <t>Single Precision (TFLOPS)</t>
  </si>
  <si>
    <t>Double Precision (TFLOPS)</t>
  </si>
  <si>
    <t>Half Precision (TFLOPS)</t>
  </si>
  <si>
    <t>NVLink / SLI / CrossFire</t>
  </si>
  <si>
    <t>MSRP (US$)</t>
  </si>
  <si>
    <t>Radeon</t>
  </si>
  <si>
    <t>RX 500</t>
  </si>
  <si>
    <t>RX 550 2GB</t>
  </si>
  <si>
    <t>Lexa</t>
  </si>
  <si>
    <t>Samsung / GF 14nm</t>
  </si>
  <si>
    <t>GCN 4</t>
  </si>
  <si>
    <t>PCIe 3.0 x8</t>
  </si>
  <si>
    <t>GDDR5</t>
  </si>
  <si>
    <t>N</t>
  </si>
  <si>
    <t>RX 550 4GB</t>
  </si>
  <si>
    <t>RX 560 2GB</t>
  </si>
  <si>
    <t>Polaris 21 XT</t>
  </si>
  <si>
    <t>RX 560 4GB</t>
  </si>
  <si>
    <t>RX 570 4GB</t>
  </si>
  <si>
    <t>Polaris 20 XL</t>
  </si>
  <si>
    <t>RX 570 8GB</t>
  </si>
  <si>
    <t>RX 580 4GB</t>
  </si>
  <si>
    <t>Polaris 20 XT</t>
  </si>
  <si>
    <t>RX 580 8GB</t>
  </si>
  <si>
    <t>RX 590</t>
  </si>
  <si>
    <t>Polaris 30 XT</t>
  </si>
  <si>
    <t>Samsung / GF 12nm</t>
  </si>
  <si>
    <t>RX Vega</t>
  </si>
  <si>
    <t>RX Vega 56</t>
  </si>
  <si>
    <t>Vega 10 XL</t>
  </si>
  <si>
    <t>GCN 5</t>
  </si>
  <si>
    <t>HBM2</t>
  </si>
  <si>
    <t>RX Vega 64</t>
  </si>
  <si>
    <t>Vega 10 XT</t>
  </si>
  <si>
    <t>RX Vega 64 Liquid</t>
  </si>
  <si>
    <t>Radeon Pro</t>
  </si>
  <si>
    <t>WX</t>
  </si>
  <si>
    <t>WX 7100</t>
  </si>
  <si>
    <t>Polaris 10 XT</t>
  </si>
  <si>
    <t>PCIe. 3.0 x16</t>
  </si>
  <si>
    <t>WX 8200</t>
  </si>
  <si>
    <t>WX 9100</t>
  </si>
  <si>
    <t>VII</t>
  </si>
  <si>
    <t>Vega 20 XT</t>
  </si>
  <si>
    <t>TSMC N7</t>
  </si>
  <si>
    <t>RX 5000</t>
  </si>
  <si>
    <t>RX 5500 XT 4GB</t>
  </si>
  <si>
    <t>Navi 14 XTX</t>
  </si>
  <si>
    <t>RDNA 1</t>
  </si>
  <si>
    <t>PCIe 4.0 x8</t>
  </si>
  <si>
    <t>GDDR6</t>
  </si>
  <si>
    <t>RX 5500 XT 8GB</t>
  </si>
  <si>
    <t>RX 5600 XT</t>
  </si>
  <si>
    <t>Navi 10 XLE</t>
  </si>
  <si>
    <t>Navi 10 XL</t>
  </si>
  <si>
    <t>Navi 10 XT</t>
  </si>
  <si>
    <t>RX 5700 XT 50th Anniversary Edition</t>
  </si>
  <si>
    <t>Navi 10 XTX</t>
  </si>
  <si>
    <t>W</t>
  </si>
  <si>
    <t>W5500</t>
  </si>
  <si>
    <t>Navi 14 PRO XL</t>
  </si>
  <si>
    <t>W5700</t>
  </si>
  <si>
    <t>Navi 10</t>
  </si>
  <si>
    <t>RX 6000</t>
  </si>
  <si>
    <t>RX 6400</t>
  </si>
  <si>
    <t>Navi 24 XL</t>
  </si>
  <si>
    <t>TSMC N6</t>
  </si>
  <si>
    <t>RDNA 2</t>
  </si>
  <si>
    <t>PCIe 4.0 x4</t>
  </si>
  <si>
    <t>RX 6500 XT</t>
  </si>
  <si>
    <t>Navi 24 XT</t>
  </si>
  <si>
    <t>RX 6600</t>
  </si>
  <si>
    <t>Navi 23 XL</t>
  </si>
  <si>
    <t>RX 6600 XT</t>
  </si>
  <si>
    <t>Navi 23 XT</t>
  </si>
  <si>
    <t>RX 6650 XT</t>
  </si>
  <si>
    <t>Navi 22</t>
  </si>
  <si>
    <t>Navi 22 XT</t>
  </si>
  <si>
    <t>Navi 21 XL</t>
  </si>
  <si>
    <t>Navi 21 XT</t>
  </si>
  <si>
    <t>Navi 21 XTX</t>
  </si>
  <si>
    <t>W6400</t>
  </si>
  <si>
    <t>Q1 2022</t>
  </si>
  <si>
    <t>Navi 24</t>
  </si>
  <si>
    <t>W6600</t>
  </si>
  <si>
    <t>Q3 2021</t>
  </si>
  <si>
    <t>Navi 23</t>
  </si>
  <si>
    <t>W6800</t>
  </si>
  <si>
    <t>Navi 21</t>
  </si>
  <si>
    <t>RX 7000</t>
  </si>
  <si>
    <t>Navi 33 XL</t>
  </si>
  <si>
    <t>RDNA 3</t>
  </si>
  <si>
    <t>RX 7600 XT</t>
  </si>
  <si>
    <t>Navi 33 XT</t>
  </si>
  <si>
    <t>RX 7700 XT</t>
  </si>
  <si>
    <t>Navi 32</t>
  </si>
  <si>
    <t>TSMC N5</t>
  </si>
  <si>
    <t>Navi 31 XL</t>
  </si>
  <si>
    <t>Navi 31 XT</t>
  </si>
  <si>
    <t>Navi 31 XTX</t>
  </si>
  <si>
    <t>W7800</t>
  </si>
  <si>
    <t>Q2 2023</t>
  </si>
  <si>
    <t>Navi 31</t>
  </si>
  <si>
    <t>W7900</t>
  </si>
  <si>
    <t>Arc</t>
  </si>
  <si>
    <t>A</t>
  </si>
  <si>
    <t>A310</t>
  </si>
  <si>
    <t>ACM-G11</t>
  </si>
  <si>
    <t>Alchemist</t>
  </si>
  <si>
    <t>A380</t>
  </si>
  <si>
    <t>A580</t>
  </si>
  <si>
    <t>ACM-G10</t>
  </si>
  <si>
    <t>A750</t>
  </si>
  <si>
    <t>A770 8GB</t>
  </si>
  <si>
    <t>A770 16GB</t>
  </si>
  <si>
    <t>Arc Pro</t>
  </si>
  <si>
    <t>A50</t>
  </si>
  <si>
    <t>GeForce</t>
  </si>
  <si>
    <t>GT 1010</t>
  </si>
  <si>
    <t>GP108</t>
  </si>
  <si>
    <t>Samsung 14nm</t>
  </si>
  <si>
    <t>Pascal</t>
  </si>
  <si>
    <t>GT 1030</t>
  </si>
  <si>
    <t>GP108-300-A1</t>
  </si>
  <si>
    <t>GTX 1050</t>
  </si>
  <si>
    <t>GP107-300-A1</t>
  </si>
  <si>
    <t>GTX 1050 Ti</t>
  </si>
  <si>
    <t>GP107-400-A1</t>
  </si>
  <si>
    <t>GTX 1060 3GB</t>
  </si>
  <si>
    <t>GP106-300-A1</t>
  </si>
  <si>
    <t>TSMC 16nm</t>
  </si>
  <si>
    <t>GTX 1060 6GB</t>
  </si>
  <si>
    <t>GP106-400-A1</t>
  </si>
  <si>
    <t>GTX 1060 6GB 9Gbps</t>
  </si>
  <si>
    <t>GP106-410-A1</t>
  </si>
  <si>
    <t>GP104-150-KA-A1</t>
  </si>
  <si>
    <t>GTX 1070</t>
  </si>
  <si>
    <t>GP104-200-A1</t>
  </si>
  <si>
    <t>GTX 1070 Ti</t>
  </si>
  <si>
    <t>GP104-300-A1</t>
  </si>
  <si>
    <t>GTX 1080</t>
  </si>
  <si>
    <t>GP104-400-A1</t>
  </si>
  <si>
    <t>GTX 1080 10Gbps</t>
  </si>
  <si>
    <t>GP104-410-A1</t>
  </si>
  <si>
    <t>GP102-350-K1-A1</t>
  </si>
  <si>
    <t>TITAN X</t>
  </si>
  <si>
    <t>GP102-400-A1</t>
  </si>
  <si>
    <t>TITAN Xp</t>
  </si>
  <si>
    <t>GP102-450-A1</t>
  </si>
  <si>
    <t>Quadro</t>
  </si>
  <si>
    <t>P</t>
  </si>
  <si>
    <t>P1000</t>
  </si>
  <si>
    <t>GP107-860-A1</t>
  </si>
  <si>
    <t>P2000</t>
  </si>
  <si>
    <t>GP106-875-A1</t>
  </si>
  <si>
    <t>P2200</t>
  </si>
  <si>
    <t>GP106-880-K1-A1</t>
  </si>
  <si>
    <t>P4000</t>
  </si>
  <si>
    <t>GP104-875-A1</t>
  </si>
  <si>
    <t>P6000</t>
  </si>
  <si>
    <t>GP102-875-A1</t>
  </si>
  <si>
    <t>GP100</t>
  </si>
  <si>
    <t>Volta</t>
  </si>
  <si>
    <t>TITAN V</t>
  </si>
  <si>
    <t>GV100-400-A1</t>
  </si>
  <si>
    <t>TSMC 12nm</t>
  </si>
  <si>
    <t>GV100</t>
  </si>
  <si>
    <t>GV100-875-A1</t>
  </si>
  <si>
    <t>GTX 1630</t>
  </si>
  <si>
    <t>TU117-150-KA-A1</t>
  </si>
  <si>
    <t>Turing</t>
  </si>
  <si>
    <t>GTX 1650</t>
  </si>
  <si>
    <t>TU117-300-A1</t>
  </si>
  <si>
    <t>GTX 1650 GDDR6</t>
  </si>
  <si>
    <t>GTX 1650 Super</t>
  </si>
  <si>
    <t>TU116-250-KA-A1</t>
  </si>
  <si>
    <t>TU116-300-A1</t>
  </si>
  <si>
    <t>GTX 1660 Super</t>
  </si>
  <si>
    <t>TU116-400-A1</t>
  </si>
  <si>
    <t>T</t>
  </si>
  <si>
    <t>T400 2GB</t>
  </si>
  <si>
    <t>TU117</t>
  </si>
  <si>
    <t>T400 4GB</t>
  </si>
  <si>
    <t>T600</t>
  </si>
  <si>
    <t>T1000 4GB</t>
  </si>
  <si>
    <t>T1000 8GB</t>
  </si>
  <si>
    <t>RTX 2060 6GB</t>
  </si>
  <si>
    <t>TU106-200-KA-A1</t>
  </si>
  <si>
    <t>RTX 2060 12GB</t>
  </si>
  <si>
    <t>TU106-300-A1</t>
  </si>
  <si>
    <t>RTX 2060 Super</t>
  </si>
  <si>
    <t>TU106-410-A1</t>
  </si>
  <si>
    <t>TU106-400-A1</t>
  </si>
  <si>
    <t>RTX 2070 Super</t>
  </si>
  <si>
    <t>TU104-410-A1</t>
  </si>
  <si>
    <t>TU104-400-A1</t>
  </si>
  <si>
    <t>RTX 2080 Super</t>
  </si>
  <si>
    <t>TU104-450-A1</t>
  </si>
  <si>
    <t>RTX 2080 Ti</t>
  </si>
  <si>
    <t>TU102-300-K1-A1</t>
  </si>
  <si>
    <t>TITAN RTX</t>
  </si>
  <si>
    <t>TU102-400-A1</t>
  </si>
  <si>
    <t>RTX</t>
  </si>
  <si>
    <t>RTX 4000</t>
  </si>
  <si>
    <t>TU104-850-A1</t>
  </si>
  <si>
    <t>RTX 5000</t>
  </si>
  <si>
    <t>TU104-875-A1</t>
  </si>
  <si>
    <t>RTX 6000</t>
  </si>
  <si>
    <t>TU102-875-A1</t>
  </si>
  <si>
    <t>RTX 8000</t>
  </si>
  <si>
    <t>RTX 3050 6GB</t>
  </si>
  <si>
    <t>GA107-325-A1</t>
  </si>
  <si>
    <t>Samsung 8N</t>
  </si>
  <si>
    <t>Ampere</t>
  </si>
  <si>
    <t>RTX 3050 8GB</t>
  </si>
  <si>
    <t>GA106-150-KA-A1</t>
  </si>
  <si>
    <t>RTX 3060 8GB</t>
  </si>
  <si>
    <t>GA106-300-A1</t>
  </si>
  <si>
    <t>RTX 3060 12GB</t>
  </si>
  <si>
    <t>GA104-200-A1</t>
  </si>
  <si>
    <t>RTX 3060 Ti GDDR6X</t>
  </si>
  <si>
    <t>GDDR6X</t>
  </si>
  <si>
    <t>RTX 3070</t>
  </si>
  <si>
    <t>GA104-300-A1</t>
  </si>
  <si>
    <t>RTX 3070 Ti</t>
  </si>
  <si>
    <t>GA104-400-A1</t>
  </si>
  <si>
    <t>RTX 3080 10GB</t>
  </si>
  <si>
    <t>GA102-200-KD-A1</t>
  </si>
  <si>
    <t>RTX 3080 12GB</t>
  </si>
  <si>
    <t>GA102-220-A1</t>
  </si>
  <si>
    <t>RTX 3080 Ti</t>
  </si>
  <si>
    <t>GA102-225-A1</t>
  </si>
  <si>
    <t>RTX 3090</t>
  </si>
  <si>
    <t>GA102-300-A1</t>
  </si>
  <si>
    <t>RTX 3090 Ti</t>
  </si>
  <si>
    <t>GA102-350-A1</t>
  </si>
  <si>
    <t>RTX A2000 6GB</t>
  </si>
  <si>
    <t>GA106-850-A1</t>
  </si>
  <si>
    <t>RTX A2000 12GB</t>
  </si>
  <si>
    <t>RTX A4000</t>
  </si>
  <si>
    <t>GA104-875-A1</t>
  </si>
  <si>
    <t>RTX A4500</t>
  </si>
  <si>
    <t>GA102</t>
  </si>
  <si>
    <t>RTX A5000</t>
  </si>
  <si>
    <t>GA102-850-A1</t>
  </si>
  <si>
    <t>RTX A5500</t>
  </si>
  <si>
    <t>RTX A6000</t>
  </si>
  <si>
    <t>GA102-875-A1</t>
  </si>
  <si>
    <t>RTX 4060</t>
  </si>
  <si>
    <t>AD107-400-A1</t>
  </si>
  <si>
    <t>TSMC 4N</t>
  </si>
  <si>
    <t>Ada</t>
  </si>
  <si>
    <t>RTX 4060 Ti 8GB</t>
  </si>
  <si>
    <t>AD106-350-A1</t>
  </si>
  <si>
    <t>RTX 4060 Ti 16GB</t>
  </si>
  <si>
    <t>AD106-351-A1</t>
  </si>
  <si>
    <t>RTX 4070</t>
  </si>
  <si>
    <t>AD104-250-A1</t>
  </si>
  <si>
    <t>RTX 4070 SUPER</t>
  </si>
  <si>
    <t>AD104-350-A1</t>
  </si>
  <si>
    <t>RTX 4070 Ti</t>
  </si>
  <si>
    <t>AD104-300-A1</t>
  </si>
  <si>
    <t>RTX 4070 Ti SUPER</t>
  </si>
  <si>
    <t>AD103</t>
  </si>
  <si>
    <t>RTX 4080</t>
  </si>
  <si>
    <t>AD103-300-A1</t>
  </si>
  <si>
    <t>RTX 4080 SUPER</t>
  </si>
  <si>
    <t>AD103-400-A1</t>
  </si>
  <si>
    <t>RTX 4090D</t>
  </si>
  <si>
    <t>AD102-250-A1</t>
  </si>
  <si>
    <t>RTX 4090</t>
  </si>
  <si>
    <t>AD102-300-A1</t>
  </si>
  <si>
    <t>RTX 2000 Ada</t>
  </si>
  <si>
    <t>AD107</t>
  </si>
  <si>
    <t>RTX 4000 SFF Ada</t>
  </si>
  <si>
    <t>AD104</t>
  </si>
  <si>
    <t>RTX 4000 Ada</t>
  </si>
  <si>
    <t>RTX 4500 Ada</t>
  </si>
  <si>
    <t>RTX 5000 Ada</t>
  </si>
  <si>
    <t>AD102</t>
  </si>
  <si>
    <t>RTX 6000 Ada</t>
  </si>
  <si>
    <t>Socket</t>
  </si>
  <si>
    <t>PCIe x16 Slot</t>
  </si>
  <si>
    <t>PCIe Bifurcation Support</t>
  </si>
  <si>
    <t>CPU Overclock</t>
  </si>
  <si>
    <t>RAM Overclock</t>
  </si>
  <si>
    <t>BIOS Flashback</t>
  </si>
  <si>
    <t>Reset CMOS Button</t>
  </si>
  <si>
    <t>RAM Slots</t>
  </si>
  <si>
    <t>RAM Type</t>
  </si>
  <si>
    <t>Supported RAM Capacity (GB)</t>
  </si>
  <si>
    <t>Supported Memory Speed (Mbps)</t>
  </si>
  <si>
    <t>SATA 3.0 Ports</t>
  </si>
  <si>
    <r>
      <rPr>
        <rFont val="Calibri, sans-serif"/>
        <color rgb="FF000000"/>
        <sz val="11.0"/>
      </rPr>
      <t xml:space="preserve">M.2 (Key-M) NVMe/SATA SSD Slot
</t>
    </r>
    <r>
      <rPr>
        <rFont val="Calibri, sans-serif"/>
        <color rgb="FF00FF00"/>
        <sz val="11.0"/>
      </rPr>
      <t xml:space="preserve">Green=Front
</t>
    </r>
    <r>
      <rPr>
        <rFont val="Calibri, sans-serif"/>
        <color rgb="FFFF0000"/>
        <sz val="11.0"/>
      </rPr>
      <t xml:space="preserve">Red=Back
</t>
    </r>
  </si>
  <si>
    <t>USB-A 2.0 Ports</t>
  </si>
  <si>
    <t>USB-C 2.0 Ports</t>
  </si>
  <si>
    <t>USB-A 3.2 Gen 1 (5Gbps) Ports</t>
  </si>
  <si>
    <t>USB-C 3.2 Gen 1 (5Gbps) Ports</t>
  </si>
  <si>
    <t>USB-A 3.2 Gen 2 (10Gbps) Ports</t>
  </si>
  <si>
    <t>USB-C 3.2 Gen 2 (10Gbps) Ports</t>
  </si>
  <si>
    <t>USB-C 3.2 Gen 2x2 (20Gbps) Ports</t>
  </si>
  <si>
    <t>USB4 (40Gbps) Ports</t>
  </si>
  <si>
    <t>Thunderbolt 3 (40Gbps) Ports</t>
  </si>
  <si>
    <t>Thunderbolt 4 (40Gbps) Ports</t>
  </si>
  <si>
    <t>Total USB Ports</t>
  </si>
  <si>
    <t>USB 3.2 Gen 1 (5Gbps) Header</t>
  </si>
  <si>
    <t>USB-C Header</t>
  </si>
  <si>
    <t>LAN Ports</t>
  </si>
  <si>
    <t>LAN Controller</t>
  </si>
  <si>
    <t>LAN Speed (Gbps)</t>
  </si>
  <si>
    <t>M.2 (Key-E) Slot for Wi-Fi/BT</t>
  </si>
  <si>
    <t>Wi-Fi</t>
  </si>
  <si>
    <t>Wi-Fi Module</t>
  </si>
  <si>
    <t>Wi-Fi Speed (Mbps)</t>
  </si>
  <si>
    <t>Bluetooth</t>
  </si>
  <si>
    <t>Audio</t>
  </si>
  <si>
    <t>Optical S/PDIF Out</t>
  </si>
  <si>
    <t>3.5mm Audio Jack</t>
  </si>
  <si>
    <t>PS/2 Port</t>
  </si>
  <si>
    <t>DVI-D / DVI-I</t>
  </si>
  <si>
    <t>VGA</t>
  </si>
  <si>
    <t>CPU / System Fan / Pump Header</t>
  </si>
  <si>
    <t>12V RGB LED Header</t>
  </si>
  <si>
    <t>5V Addressable RGB LED Header</t>
  </si>
  <si>
    <t>Debug LED</t>
  </si>
  <si>
    <t>Integrated I/O Shield</t>
  </si>
  <si>
    <t>VRM PWM Controller</t>
  </si>
  <si>
    <t>Phase Configuration</t>
  </si>
  <si>
    <t>VCore VRM Setup</t>
  </si>
  <si>
    <t>VCore Total VRM Phases</t>
  </si>
  <si>
    <t>VCore MOSFETs</t>
  </si>
  <si>
    <t>AM4</t>
  </si>
  <si>
    <t>A320</t>
  </si>
  <si>
    <t>1 x 3.0</t>
  </si>
  <si>
    <t>3466+</t>
  </si>
  <si>
    <t>1 NVMe/SATA</t>
  </si>
  <si>
    <t>Intel I211-AT</t>
  </si>
  <si>
    <t>Realtek ALC1220</t>
  </si>
  <si>
    <t>Renesas ISL95712</t>
  </si>
  <si>
    <t>6+2</t>
  </si>
  <si>
    <t>Parallel</t>
  </si>
  <si>
    <t>ONSemi FDPC5030SG</t>
  </si>
  <si>
    <t>PRIME A320I-K</t>
  </si>
  <si>
    <t>3600+</t>
  </si>
  <si>
    <t>Realtek RTL8111H</t>
  </si>
  <si>
    <t>Realtek ALC887</t>
  </si>
  <si>
    <t>Asus ASP1106</t>
  </si>
  <si>
    <t>4+2</t>
  </si>
  <si>
    <t>Direct</t>
  </si>
  <si>
    <t>Vishay SiC639 50A</t>
  </si>
  <si>
    <t>B350</t>
  </si>
  <si>
    <t>Wi-Fi 5</t>
  </si>
  <si>
    <t>Intel Wireless-AC 3168</t>
  </si>
  <si>
    <t>ROG STRIX B350-I GAMING</t>
  </si>
  <si>
    <r>
      <rPr>
        <rFont val="Calibri, sans-serif"/>
        <color rgb="FF00FF00"/>
        <sz val="11.0"/>
      </rPr>
      <t>1 NVMe/SATA</t>
    </r>
    <r>
      <rPr>
        <rFont val="Calibri, sans-serif"/>
        <color rgb="FF000000"/>
        <sz val="11.0"/>
      </rPr>
      <t xml:space="preserve"> + </t>
    </r>
    <r>
      <rPr>
        <rFont val="Calibri, sans-serif"/>
        <color rgb="FFFF0000"/>
        <sz val="11.0"/>
      </rPr>
      <t>1 NVMe</t>
    </r>
  </si>
  <si>
    <t>Realtek RTL8822BE</t>
  </si>
  <si>
    <t>SupremeFX S1220A</t>
  </si>
  <si>
    <t>Asus ASP1405I</t>
  </si>
  <si>
    <t>6+1</t>
  </si>
  <si>
    <t>BSG0812ND 50A</t>
  </si>
  <si>
    <t>3200+</t>
  </si>
  <si>
    <t>Realtek RTL8118AS</t>
  </si>
  <si>
    <t>Realtek ALC892</t>
  </si>
  <si>
    <t>4+3</t>
  </si>
  <si>
    <t>UNIKC PK612DZ 60A</t>
  </si>
  <si>
    <t>Realtek RTL8111G</t>
  </si>
  <si>
    <t>Intel Wireless-AC 3165</t>
  </si>
  <si>
    <t>Infineon IR35201</t>
  </si>
  <si>
    <t>Infineon IR3556 50A</t>
  </si>
  <si>
    <t>Infineon IR3555 60A</t>
  </si>
  <si>
    <t>X370</t>
  </si>
  <si>
    <t>Intel Wireless-AC 7265</t>
  </si>
  <si>
    <t>Sinopower SM7341EHKP</t>
  </si>
  <si>
    <t>ROG STRIX X370-I GAMING</t>
  </si>
  <si>
    <r>
      <rPr>
        <rFont val="Calibri, sans-serif"/>
        <color rgb="FF00FF00"/>
        <sz val="11.0"/>
      </rPr>
      <t>1 NVMe/SATA</t>
    </r>
    <r>
      <rPr>
        <rFont val="Calibri, sans-serif"/>
        <color rgb="FF000000"/>
        <sz val="11.0"/>
      </rPr>
      <t xml:space="preserve"> + </t>
    </r>
    <r>
      <rPr>
        <rFont val="Calibri, sans-serif"/>
        <color rgb="FFFF0000"/>
        <sz val="11.0"/>
      </rPr>
      <t>1 NVMe</t>
    </r>
  </si>
  <si>
    <t>Infineon BSG0812ND 50A</t>
  </si>
  <si>
    <t>B450</t>
  </si>
  <si>
    <t>ROG STRIX B450-I GAMING</t>
  </si>
  <si>
    <r>
      <rPr>
        <rFont val="Calibri, sans-serif"/>
        <color rgb="FF00FF00"/>
        <sz val="11.0"/>
      </rPr>
      <t>1 NVMe/SATA</t>
    </r>
    <r>
      <rPr>
        <rFont val="Calibri, sans-serif"/>
        <color rgb="FF000000"/>
        <sz val="11.0"/>
      </rPr>
      <t xml:space="preserve"> + </t>
    </r>
    <r>
      <rPr>
        <rFont val="Calibri, sans-serif"/>
        <color rgb="FFFF0000"/>
        <sz val="11.0"/>
      </rPr>
      <t>1 NVMe</t>
    </r>
  </si>
  <si>
    <t>Infineon IR3553 40A</t>
  </si>
  <si>
    <t>B450NH</t>
  </si>
  <si>
    <t>4000+</t>
  </si>
  <si>
    <t>Intel Wireless-AC 9260</t>
  </si>
  <si>
    <t>Realtek ALC1220-VB</t>
  </si>
  <si>
    <t>B450I GAMING PLUS MAX WIFI</t>
  </si>
  <si>
    <t>X470</t>
  </si>
  <si>
    <t>ROG STRIX X470-I GAMING</t>
  </si>
  <si>
    <r>
      <rPr>
        <rFont val="Calibri, sans-serif"/>
        <color rgb="FF00FF00"/>
        <sz val="11.0"/>
      </rPr>
      <t>1 NVMe/SATA</t>
    </r>
    <r>
      <rPr>
        <rFont val="Calibri, sans-serif"/>
        <color rgb="FF000000"/>
        <sz val="11.0"/>
      </rPr>
      <t xml:space="preserve"> + </t>
    </r>
    <r>
      <rPr>
        <rFont val="Calibri, sans-serif"/>
        <color rgb="FFFF0000"/>
        <sz val="11.0"/>
      </rPr>
      <t>1 NVMe</t>
    </r>
  </si>
  <si>
    <t>X470NH</t>
  </si>
  <si>
    <t>A520</t>
  </si>
  <si>
    <t>A520M-ITX/ac</t>
  </si>
  <si>
    <t>4733+</t>
  </si>
  <si>
    <t>uPI uP9505S</t>
  </si>
  <si>
    <t>Doubled (uPI uP1911R)</t>
  </si>
  <si>
    <t>Vishay SiC654 50A</t>
  </si>
  <si>
    <t>A520I AC</t>
  </si>
  <si>
    <t>5300+</t>
  </si>
  <si>
    <t>Renesas RAA229004</t>
  </si>
  <si>
    <t>Vishay SiC641A 55A</t>
  </si>
  <si>
    <t>Require adapters for 4pin fan headers</t>
  </si>
  <si>
    <t>GA-A520I-DASH</t>
  </si>
  <si>
    <t>Realtek</t>
  </si>
  <si>
    <t>4+1</t>
  </si>
  <si>
    <t>55A Power Stages</t>
  </si>
  <si>
    <t>B550</t>
  </si>
  <si>
    <t>B550M-ITX/ac</t>
  </si>
  <si>
    <t>1 x 4.0</t>
  </si>
  <si>
    <t>B550 Phantom Gaming-ITX/ax</t>
  </si>
  <si>
    <t>5400+</t>
  </si>
  <si>
    <r>
      <rPr>
        <rFont val="Calibri, sans-serif"/>
        <color rgb="FF00FF00"/>
        <sz val="11.0"/>
      </rPr>
      <t>1 NVMe</t>
    </r>
    <r>
      <rPr>
        <rFont val="Calibri, sans-serif"/>
        <color rgb="FF000000"/>
        <sz val="11.0"/>
      </rPr>
      <t xml:space="preserve"> + 
</t>
    </r>
    <r>
      <rPr>
        <rFont val="Calibri, sans-serif"/>
        <color rgb="FFFF0000"/>
        <sz val="11.0"/>
      </rPr>
      <t>1 NVMe/SATA</t>
    </r>
  </si>
  <si>
    <t>Y (10 Gbps)</t>
  </si>
  <si>
    <t>Intel I225-V</t>
  </si>
  <si>
    <t>Wi-Fi 6</t>
  </si>
  <si>
    <t>Intel Wi-Fi 6 AX200</t>
  </si>
  <si>
    <t>Renesas ISL99390 90A</t>
  </si>
  <si>
    <t>90 degree SATA ports can cause problems in SFF cases</t>
  </si>
  <si>
    <t>ROG STRIX B550-I GAMING</t>
  </si>
  <si>
    <t>5100+</t>
  </si>
  <si>
    <r>
      <rPr>
        <rFont val="Calibri, sans-serif"/>
        <color rgb="FF00FF00"/>
        <sz val="11.0"/>
      </rPr>
      <t>1 NVMe/SATA</t>
    </r>
    <r>
      <rPr>
        <rFont val="Calibri, sans-serif"/>
        <color rgb="FF000000"/>
        <sz val="11.0"/>
      </rPr>
      <t xml:space="preserve"> + </t>
    </r>
    <r>
      <rPr>
        <rFont val="Calibri, sans-serif"/>
        <color rgb="FFFF0000"/>
        <sz val="11.0"/>
      </rPr>
      <t>1 NVMe/SATA</t>
    </r>
  </si>
  <si>
    <t>8+2</t>
  </si>
  <si>
    <t>Have VRM fan</t>
  </si>
  <si>
    <t>B550T-SILVER</t>
  </si>
  <si>
    <t>4933+</t>
  </si>
  <si>
    <t>Realtek RTL8125B</t>
  </si>
  <si>
    <t>Realtek ALC897</t>
  </si>
  <si>
    <t>ONSemi NCP303151 50A</t>
  </si>
  <si>
    <t>B550I AORUS PRO AX</t>
  </si>
  <si>
    <r>
      <rPr>
        <rFont val="Calibri, sans-serif"/>
        <color rgb="FF00FF00"/>
        <sz val="11.0"/>
      </rPr>
      <t>1 NVMe/SATA</t>
    </r>
    <r>
      <rPr>
        <rFont val="Calibri, sans-serif"/>
        <color rgb="FF000000"/>
        <sz val="11.0"/>
      </rPr>
      <t xml:space="preserve"> + </t>
    </r>
    <r>
      <rPr>
        <rFont val="Calibri, sans-serif"/>
        <color rgb="FFFF0000"/>
        <sz val="11.0"/>
      </rPr>
      <t>1 NVMe/SATA</t>
    </r>
  </si>
  <si>
    <t>Realtek RTL8125BG</t>
  </si>
  <si>
    <t>Wi-Fi 6E</t>
  </si>
  <si>
    <t>AMD Wi-Fi 6E RZ608 (Mediatek MT7921K)</t>
  </si>
  <si>
    <t>MPG B550I Gaming Edge WiFi</t>
  </si>
  <si>
    <t>4600+</t>
  </si>
  <si>
    <r>
      <rPr>
        <rFont val="Calibri, sans-serif"/>
        <color rgb="FF00FF00"/>
        <sz val="11.0"/>
      </rPr>
      <t>1 NVMe/SATA</t>
    </r>
    <r>
      <rPr>
        <rFont val="Calibri, sans-serif"/>
        <color rgb="FF000000"/>
        <sz val="11.0"/>
      </rPr>
      <t xml:space="preserve"> + </t>
    </r>
    <r>
      <rPr>
        <rFont val="Calibri, sans-serif"/>
        <color rgb="FFFF0000"/>
        <sz val="11.0"/>
      </rPr>
      <t>1 NVMe</t>
    </r>
  </si>
  <si>
    <t>Y (5 Gbps)</t>
  </si>
  <si>
    <t>Realtek ALC1200</t>
  </si>
  <si>
    <t>Monolithic MP2855GUT</t>
  </si>
  <si>
    <t>Monolithic MP86936 60A</t>
  </si>
  <si>
    <t>Have M.2 fan. Has a non-standard AM4 backplate. Not compatible with CPU coolers that use its own backplate</t>
  </si>
  <si>
    <t>MPG B550I Gaming Edge MAX WiFi</t>
  </si>
  <si>
    <r>
      <rPr>
        <rFont val="Calibri, sans-serif"/>
        <color rgb="FF00FF00"/>
        <sz val="11.0"/>
      </rPr>
      <t>1 NVMe/SATA</t>
    </r>
    <r>
      <rPr>
        <rFont val="Calibri, sans-serif"/>
        <color rgb="FF000000"/>
        <sz val="11.0"/>
      </rPr>
      <t xml:space="preserve"> + </t>
    </r>
    <r>
      <rPr>
        <rFont val="Calibri, sans-serif"/>
        <color rgb="FFFF0000"/>
        <sz val="11.0"/>
      </rPr>
      <t>1 NVMe</t>
    </r>
  </si>
  <si>
    <t>NITRO+ B550I超白金</t>
  </si>
  <si>
    <r>
      <rPr>
        <rFont val="Calibri, sans-serif"/>
        <color rgb="FF00FF00"/>
        <sz val="11.0"/>
      </rPr>
      <t>1 NVMe/SATA</t>
    </r>
    <r>
      <rPr>
        <rFont val="Calibri, sans-serif"/>
        <color rgb="FF000000"/>
        <sz val="11.0"/>
      </rPr>
      <t xml:space="preserve"> + </t>
    </r>
    <r>
      <rPr>
        <rFont val="Calibri, sans-serif"/>
        <color rgb="FFFF0000"/>
        <sz val="11.0"/>
      </rPr>
      <t>1 NVMe/SATA</t>
    </r>
  </si>
  <si>
    <t>8?</t>
  </si>
  <si>
    <t>70A Power Stages</t>
  </si>
  <si>
    <t>X570</t>
  </si>
  <si>
    <t>4533+</t>
  </si>
  <si>
    <t>1 NVMe</t>
  </si>
  <si>
    <t>Renesas ISL69147</t>
  </si>
  <si>
    <t>Doubled (Renesas ISL6617A)</t>
  </si>
  <si>
    <t>Renesas ISL99227B 60A</t>
  </si>
  <si>
    <t>Have chipset fan. Intel 115X/1200 cooler mounting</t>
  </si>
  <si>
    <t>ASRock Rack</t>
  </si>
  <si>
    <t>X570D4I-2T</t>
  </si>
  <si>
    <t>Intel X550-AT2</t>
  </si>
  <si>
    <t>Server motherboard. Intel 115X/1200 cooler mounting</t>
  </si>
  <si>
    <t>X570D4I-NL</t>
  </si>
  <si>
    <t>Realtek RTL8211E</t>
  </si>
  <si>
    <t>ROG STRIX X570-I GAMING</t>
  </si>
  <si>
    <r>
      <rPr>
        <rFont val="Calibri, sans-serif"/>
        <color rgb="FF00FF00"/>
        <sz val="11.0"/>
      </rPr>
      <t>1 NVMe/SATA</t>
    </r>
    <r>
      <rPr>
        <rFont val="Calibri, sans-serif"/>
        <color rgb="FF000000"/>
        <sz val="11.0"/>
      </rPr>
      <t xml:space="preserve"> + </t>
    </r>
    <r>
      <rPr>
        <rFont val="Calibri, sans-serif"/>
        <color rgb="FFFF0000"/>
        <sz val="11.0"/>
      </rPr>
      <t>1 NVMe/SATA</t>
    </r>
  </si>
  <si>
    <t>Infineon TDA21472 70A</t>
  </si>
  <si>
    <t>Have chipset and VRM fans</t>
  </si>
  <si>
    <r>
      <rPr>
        <rFont val="Calibri, sans-serif"/>
        <color rgb="FF00FF00"/>
        <sz val="11.0"/>
      </rPr>
      <t>1 NVMe/SATA</t>
    </r>
    <r>
      <rPr>
        <rFont val="Calibri, sans-serif"/>
        <color rgb="FF000000"/>
        <sz val="11.0"/>
      </rPr>
      <t xml:space="preserve"> + </t>
    </r>
    <r>
      <rPr>
        <rFont val="Calibri, sans-serif"/>
        <color rgb="FFFF0000"/>
        <sz val="11.0"/>
      </rPr>
      <t>1 NVMe/SATA</t>
    </r>
  </si>
  <si>
    <t>Have chipset fan</t>
  </si>
  <si>
    <t>X570SI AORUS PRO AX</t>
  </si>
  <si>
    <r>
      <rPr>
        <rFont val="Calibri, sans-serif"/>
        <color rgb="FF00FF00"/>
        <sz val="11.0"/>
      </rPr>
      <t>1 NVMe/SATA</t>
    </r>
    <r>
      <rPr>
        <rFont val="Calibri, sans-serif"/>
        <color rgb="FF000000"/>
        <sz val="11.0"/>
      </rPr>
      <t xml:space="preserve"> + </t>
    </r>
    <r>
      <rPr>
        <rFont val="Calibri, sans-serif"/>
        <color rgb="FFFF0000"/>
        <sz val="11.0"/>
      </rPr>
      <t>1 NVMe/SATA</t>
    </r>
  </si>
  <si>
    <t>AM5</t>
  </si>
  <si>
    <t>A620</t>
  </si>
  <si>
    <t>A620I Lightning WiFi</t>
  </si>
  <si>
    <t>7200+</t>
  </si>
  <si>
    <r>
      <rPr>
        <rFont val="Calibri, sans-serif"/>
        <color rgb="FF00FF00"/>
        <sz val="11.0"/>
      </rPr>
      <t>1 NVMe</t>
    </r>
    <r>
      <rPr>
        <rFont val="Calibri, sans-serif"/>
        <color rgb="FF000000"/>
        <sz val="11.0"/>
      </rPr>
      <t xml:space="preserve"> + 
</t>
    </r>
    <r>
      <rPr>
        <rFont val="Calibri, sans-serif"/>
        <color rgb="FFFF0000"/>
        <sz val="11.0"/>
      </rPr>
      <t>1 NVMe</t>
    </r>
  </si>
  <si>
    <t>AMD Wi-Fi 6E RZ608 (Mediatek MT7921K) / AMD Wi-Fi 6E RZ616 (Mediatek MT7922)</t>
  </si>
  <si>
    <t>60A Power Stages</t>
  </si>
  <si>
    <t>A620I AX</t>
  </si>
  <si>
    <t>6400+</t>
  </si>
  <si>
    <t>Realtek Wi-Fi 6E RTL8852CE</t>
  </si>
  <si>
    <t>5+2</t>
  </si>
  <si>
    <t>B650</t>
  </si>
  <si>
    <t>B650I Lightning WiFi</t>
  </si>
  <si>
    <r>
      <rPr>
        <rFont val="Calibri, sans-serif"/>
        <color rgb="FF00FF00"/>
        <sz val="11.0"/>
      </rPr>
      <t>1 NVMe</t>
    </r>
    <r>
      <rPr>
        <rFont val="Calibri, sans-serif"/>
        <color rgb="FF000000"/>
        <sz val="11.0"/>
      </rPr>
      <t xml:space="preserve"> + 
</t>
    </r>
    <r>
      <rPr>
        <rFont val="Calibri, sans-serif"/>
        <color rgb="FFFF0000"/>
        <sz val="11.0"/>
      </rPr>
      <t>1 NVMe</t>
    </r>
  </si>
  <si>
    <t>B650I AORUS ULTRA</t>
  </si>
  <si>
    <r>
      <rPr>
        <rFont val="Calibri, sans-serif"/>
        <color rgb="FF00FF00"/>
        <sz val="11.0"/>
      </rPr>
      <t>2 NVMe</t>
    </r>
    <r>
      <rPr>
        <rFont val="Calibri, sans-serif"/>
        <color rgb="FF000000"/>
        <sz val="11.0"/>
      </rPr>
      <t xml:space="preserve"> + 
</t>
    </r>
    <r>
      <rPr>
        <rFont val="Calibri, sans-serif"/>
        <color rgb="FFFF0000"/>
        <sz val="11.0"/>
      </rPr>
      <t>1 NVMe</t>
    </r>
  </si>
  <si>
    <t>Y (20 Gbps)</t>
  </si>
  <si>
    <t>AMD Wi-Fi 6E RZ616 (Mediatek MT7922)</t>
  </si>
  <si>
    <t>Realtek ALC4080</t>
  </si>
  <si>
    <t>Infineon XDPE192C3B</t>
  </si>
  <si>
    <t>Renesas RAA22010540 105A</t>
  </si>
  <si>
    <t>Have M.2 fan. Require adapters for 4pin fan headers, front panel headers, and USB 2.0 header</t>
  </si>
  <si>
    <t>B650I AX</t>
  </si>
  <si>
    <t>MPG B650I EDGE WIFI</t>
  </si>
  <si>
    <r>
      <rPr>
        <rFont val="Calibri, sans-serif"/>
        <color rgb="FF00FF00"/>
        <sz val="11.0"/>
      </rPr>
      <t>1 NVMe</t>
    </r>
    <r>
      <rPr>
        <rFont val="Calibri, sans-serif"/>
        <color rgb="FF000000"/>
        <sz val="11.0"/>
      </rPr>
      <t xml:space="preserve"> + 
</t>
    </r>
    <r>
      <rPr>
        <rFont val="Calibri, sans-serif"/>
        <color rgb="FFFF0000"/>
        <sz val="11.0"/>
      </rPr>
      <t>1 NVMe</t>
    </r>
  </si>
  <si>
    <t>Monolithic MP2857</t>
  </si>
  <si>
    <t>Monolithic MP87670 80A</t>
  </si>
  <si>
    <t>Have M.2 fan</t>
  </si>
  <si>
    <t>B650E</t>
  </si>
  <si>
    <t>B650E PG-ITX WiFi</t>
  </si>
  <si>
    <t>1 x 5.0</t>
  </si>
  <si>
    <t>6800+</t>
  </si>
  <si>
    <r>
      <rPr>
        <rFont val="Calibri, sans-serif"/>
        <color rgb="FF00FF00"/>
        <sz val="11.0"/>
      </rPr>
      <t>1 NVMe</t>
    </r>
    <r>
      <rPr>
        <rFont val="Calibri, sans-serif"/>
        <color rgb="FF000000"/>
        <sz val="11.0"/>
      </rPr>
      <t xml:space="preserve"> + 
</t>
    </r>
    <r>
      <rPr>
        <rFont val="Calibri, sans-serif"/>
        <color rgb="FFFF0000"/>
        <sz val="11.0"/>
      </rPr>
      <t>1 NVMe</t>
    </r>
  </si>
  <si>
    <t>Intel Killer E3100G</t>
  </si>
  <si>
    <t>Intel Killer Wi-Fi 6E AX1675</t>
  </si>
  <si>
    <t>Renesas RAA229620</t>
  </si>
  <si>
    <t>10+2</t>
  </si>
  <si>
    <t>ROG STRIX B650E-I GAMING WIFI</t>
  </si>
  <si>
    <t>8000+</t>
  </si>
  <si>
    <r>
      <rPr>
        <rFont val="Calibri, sans-serif"/>
        <color rgb="FF00FF00"/>
        <sz val="11.0"/>
      </rPr>
      <t>1 NVMe</t>
    </r>
    <r>
      <rPr>
        <rFont val="Calibri, sans-serif"/>
        <color rgb="FF000000"/>
        <sz val="11.0"/>
      </rPr>
      <t xml:space="preserve"> + 
</t>
    </r>
    <r>
      <rPr>
        <rFont val="Calibri, sans-serif"/>
        <color rgb="FFFF0000"/>
        <sz val="11.0"/>
      </rPr>
      <t>1 NVMe</t>
    </r>
  </si>
  <si>
    <t>Realtek ALC4080 + Savitech SV3H712</t>
  </si>
  <si>
    <t>Asus ASP2205</t>
  </si>
  <si>
    <t>Infineon TDA21570 70A</t>
  </si>
  <si>
    <t>X670E</t>
  </si>
  <si>
    <t>ROG STRIX X670E-I GAMING WIFI</t>
  </si>
  <si>
    <t>2 NVMe</t>
  </si>
  <si>
    <t>Realtek ALC4050 + ESS Sabre 9260Q</t>
  </si>
  <si>
    <t>Asus ASP2203</t>
  </si>
  <si>
    <t>Vishay SiC850A 110A</t>
  </si>
  <si>
    <t>Have chipset, M.2 and VRM fans</t>
  </si>
  <si>
    <t>1151 v1</t>
  </si>
  <si>
    <t>H110</t>
  </si>
  <si>
    <t>Intel I219-V</t>
  </si>
  <si>
    <t>H110I-PLUS</t>
  </si>
  <si>
    <t>3+1</t>
  </si>
  <si>
    <t>Intel Wireless-AC 8260</t>
  </si>
  <si>
    <t>B150</t>
  </si>
  <si>
    <t>B150I PRO GAMING/WIFI/AURA</t>
  </si>
  <si>
    <t>Realtek ALC1150</t>
  </si>
  <si>
    <t>Intel I211-AT + 
Intel I219-V</t>
  </si>
  <si>
    <t>H170</t>
  </si>
  <si>
    <t>Intel® I219-V + 
Realtek RTL8111H</t>
  </si>
  <si>
    <t>5+1</t>
  </si>
  <si>
    <t>H170I-PLUS D3</t>
  </si>
  <si>
    <t>H170I-PRO</t>
  </si>
  <si>
    <t>Vishay SiRA18DP &amp; SiRA12DP</t>
  </si>
  <si>
    <t>H170I PRO AC</t>
  </si>
  <si>
    <t>Z170</t>
  </si>
  <si>
    <t>AzureWave BCM94352HMB</t>
  </si>
  <si>
    <t>Texas Instrument CSD87350Q5D 40A</t>
  </si>
  <si>
    <t>MAXIMUS VIII IMPACT</t>
  </si>
  <si>
    <t>4133+</t>
  </si>
  <si>
    <t>Qualcomm Atheros QCA61x4A</t>
  </si>
  <si>
    <t>Z170I PRO GAMING</t>
  </si>
  <si>
    <t>3400+</t>
  </si>
  <si>
    <t>Qualcomm Atheros QCNFA364A</t>
  </si>
  <si>
    <t>Renesas ISL95824</t>
  </si>
  <si>
    <t>Sinopower SM4377 &amp; SM4364</t>
  </si>
  <si>
    <t>3333+</t>
  </si>
  <si>
    <t>Killer E2201</t>
  </si>
  <si>
    <t>4200+</t>
  </si>
  <si>
    <t>B250</t>
  </si>
  <si>
    <t>ROG STRIX B250I GAMING</t>
  </si>
  <si>
    <r>
      <rPr>
        <rFont val="Calibri, sans-serif"/>
        <color rgb="FF00FF00"/>
        <sz val="11.0"/>
      </rPr>
      <t>1 NVMe/SATA</t>
    </r>
    <r>
      <rPr>
        <rFont val="Calibri, sans-serif"/>
        <color rgb="FF000000"/>
        <sz val="11.0"/>
      </rPr>
      <t xml:space="preserve"> + </t>
    </r>
    <r>
      <rPr>
        <rFont val="Calibri, sans-serif"/>
        <color rgb="FFFF0000"/>
        <sz val="11.0"/>
      </rPr>
      <t>1 NVMe</t>
    </r>
  </si>
  <si>
    <t>Intel Wireless-AC 8265</t>
  </si>
  <si>
    <t>H270</t>
  </si>
  <si>
    <t>Intel Wireless-AC 3160</t>
  </si>
  <si>
    <t>ROG STRIX H270I GAMING</t>
  </si>
  <si>
    <r>
      <rPr>
        <rFont val="Calibri, sans-serif"/>
        <color rgb="FF00FF00"/>
        <sz val="11.0"/>
      </rPr>
      <t>1 NVMe/SATA</t>
    </r>
    <r>
      <rPr>
        <rFont val="Calibri, sans-serif"/>
        <color rgb="FF000000"/>
        <sz val="11.0"/>
      </rPr>
      <t xml:space="preserve"> + </t>
    </r>
    <r>
      <rPr>
        <rFont val="Calibri, sans-serif"/>
        <color rgb="FFFF0000"/>
        <sz val="11.0"/>
      </rPr>
      <t>1 NVMe</t>
    </r>
  </si>
  <si>
    <t>Intel® I219-V + Realtek RTL8111H</t>
  </si>
  <si>
    <t>Z270</t>
  </si>
  <si>
    <t>Z270M-ITX/ac</t>
  </si>
  <si>
    <t>3733+</t>
  </si>
  <si>
    <t>ROG STRIX Z270-I GAMING</t>
  </si>
  <si>
    <t>4266+</t>
  </si>
  <si>
    <r>
      <rPr>
        <rFont val="Calibri, sans-serif"/>
        <color rgb="FF00FF00"/>
        <sz val="11.0"/>
      </rPr>
      <t>1 NVMe/SATA</t>
    </r>
    <r>
      <rPr>
        <rFont val="Calibri, sans-serif"/>
        <color rgb="FF000000"/>
        <sz val="11.0"/>
      </rPr>
      <t xml:space="preserve"> + </t>
    </r>
    <r>
      <rPr>
        <rFont val="Calibri, sans-serif"/>
        <color rgb="FFFF0000"/>
        <sz val="11.0"/>
      </rPr>
      <t>1 NVMe</t>
    </r>
  </si>
  <si>
    <t>Asus ASP1400</t>
  </si>
  <si>
    <t>ONSemi 4C86N &amp; 4C09B</t>
  </si>
  <si>
    <t>AzureWave AW-CB210NF-P</t>
  </si>
  <si>
    <t>3800+</t>
  </si>
  <si>
    <t>Renesas ISL95855</t>
  </si>
  <si>
    <t>5+?</t>
  </si>
  <si>
    <t>ONSemi FDMF5823DC 55A</t>
  </si>
  <si>
    <t>1151 v2</t>
  </si>
  <si>
    <t>H310</t>
  </si>
  <si>
    <t>H310M-ITX/ac</t>
  </si>
  <si>
    <t>PRIME H310I-PLUS/CSM</t>
  </si>
  <si>
    <t>PRIME H310I-PLUS R2.0/CSM</t>
  </si>
  <si>
    <t>B360</t>
  </si>
  <si>
    <t>ROG STRIX B360-I GAMING</t>
  </si>
  <si>
    <r>
      <rPr>
        <rFont val="Calibri, sans-serif"/>
        <color rgb="FF00FF00"/>
        <sz val="11.0"/>
      </rPr>
      <t>1 NVMe/SATA</t>
    </r>
    <r>
      <rPr>
        <rFont val="Calibri, sans-serif"/>
        <color rgb="FF000000"/>
        <sz val="11.0"/>
      </rPr>
      <t xml:space="preserve"> + </t>
    </r>
    <r>
      <rPr>
        <rFont val="Calibri, sans-serif"/>
        <color rgb="FFFF0000"/>
        <sz val="11.0"/>
      </rPr>
      <t>1 NVMe</t>
    </r>
  </si>
  <si>
    <t>Intel Wireless-AC 9560</t>
  </si>
  <si>
    <r>
      <rPr>
        <rFont val="Calibri, sans-serif"/>
        <color rgb="FF00FF00"/>
        <sz val="11.0"/>
      </rPr>
      <t>1 NVMe/SATA</t>
    </r>
    <r>
      <rPr>
        <rFont val="Calibri, sans-serif"/>
        <color rgb="FF000000"/>
        <sz val="11.0"/>
      </rPr>
      <t xml:space="preserve"> + </t>
    </r>
    <r>
      <rPr>
        <rFont val="Calibri, sans-serif"/>
        <color rgb="FFFF0000"/>
        <sz val="11.0"/>
      </rPr>
      <t>1 NVMe</t>
    </r>
  </si>
  <si>
    <t>Realtek RTL8111H-C</t>
  </si>
  <si>
    <t>Intel Wireless-AC 9462</t>
  </si>
  <si>
    <t>B365</t>
  </si>
  <si>
    <t>H370</t>
  </si>
  <si>
    <t>Renesas ISL95866C</t>
  </si>
  <si>
    <t>ROG STRIX H370-I GAMING</t>
  </si>
  <si>
    <r>
      <rPr>
        <rFont val="Calibri, sans-serif"/>
        <color rgb="FF00FF00"/>
        <sz val="11.0"/>
      </rPr>
      <t>1 NVMe/SATA</t>
    </r>
    <r>
      <rPr>
        <rFont val="Calibri, sans-serif"/>
        <color rgb="FF000000"/>
        <sz val="11.0"/>
      </rPr>
      <t xml:space="preserve"> + </t>
    </r>
    <r>
      <rPr>
        <rFont val="Calibri, sans-serif"/>
        <color rgb="FFFF0000"/>
        <sz val="11.0"/>
      </rPr>
      <t>1 NVMe</t>
    </r>
  </si>
  <si>
    <t>Asus ASP1400CTB</t>
  </si>
  <si>
    <t>ONSemi 4C86N</t>
  </si>
  <si>
    <r>
      <rPr>
        <rFont val="Calibri, sans-serif"/>
        <color rgb="FF00FF00"/>
        <sz val="11.0"/>
      </rPr>
      <t>1 NVMe/SATA</t>
    </r>
    <r>
      <rPr>
        <rFont val="Calibri, sans-serif"/>
        <color rgb="FF000000"/>
        <sz val="11.0"/>
      </rPr>
      <t xml:space="preserve"> + </t>
    </r>
    <r>
      <rPr>
        <rFont val="Calibri, sans-serif"/>
        <color rgb="FFFF0000"/>
        <sz val="11.0"/>
      </rPr>
      <t>1 NVMe</t>
    </r>
  </si>
  <si>
    <t>Renesas ISL95866</t>
  </si>
  <si>
    <t>ONSemi 4C10N &amp; 4C06N</t>
  </si>
  <si>
    <t>Z370</t>
  </si>
  <si>
    <t>4333+</t>
  </si>
  <si>
    <t>Renesas ISL69138</t>
  </si>
  <si>
    <t>Renesas ISL95856</t>
  </si>
  <si>
    <t>ROG STRIX Z370-I GAMING</t>
  </si>
  <si>
    <r>
      <rPr>
        <rFont val="Calibri, sans-serif"/>
        <color rgb="FF00FF00"/>
        <sz val="11.0"/>
      </rPr>
      <t>1 NVMe/SATA</t>
    </r>
    <r>
      <rPr>
        <rFont val="Calibri, sans-serif"/>
        <color rgb="FF000000"/>
        <sz val="11.0"/>
      </rPr>
      <t xml:space="preserve"> + </t>
    </r>
    <r>
      <rPr>
        <rFont val="Calibri, sans-serif"/>
        <color rgb="FFFF0000"/>
        <sz val="11.0"/>
      </rPr>
      <t>1 NVMe</t>
    </r>
  </si>
  <si>
    <t>Asus ASP1400BT</t>
  </si>
  <si>
    <t>4400+</t>
  </si>
  <si>
    <r>
      <rPr>
        <rFont val="Calibri, sans-serif"/>
        <color rgb="FF00FF00"/>
        <sz val="11.0"/>
      </rPr>
      <t>1 NVMe/SATA</t>
    </r>
    <r>
      <rPr>
        <rFont val="Calibri, sans-serif"/>
        <color rgb="FF000000"/>
        <sz val="11.0"/>
      </rPr>
      <t xml:space="preserve"> + </t>
    </r>
    <r>
      <rPr>
        <rFont val="Calibri, sans-serif"/>
        <color rgb="FFFF0000"/>
        <sz val="11.0"/>
      </rPr>
      <t>1 NVMe</t>
    </r>
  </si>
  <si>
    <t>4500+</t>
  </si>
  <si>
    <t>uPI uP9508Q</t>
  </si>
  <si>
    <t>Doubled (uPI uP1961)</t>
  </si>
  <si>
    <t>uPI QM3816N</t>
  </si>
  <si>
    <t>Z390</t>
  </si>
  <si>
    <r>
      <rPr>
        <rFont val="Calibri, sans-serif"/>
        <color rgb="FF00FF00"/>
        <sz val="11.0"/>
      </rPr>
      <t>1 NVMe/SATA</t>
    </r>
    <r>
      <rPr>
        <rFont val="Calibri, sans-serif"/>
        <color rgb="FF000000"/>
        <sz val="11.0"/>
      </rPr>
      <t xml:space="preserve"> + </t>
    </r>
    <r>
      <rPr>
        <rFont val="Calibri, sans-serif"/>
        <color rgb="FFFF0000"/>
        <sz val="11.0"/>
      </rPr>
      <t>1 NVMe/SATA</t>
    </r>
  </si>
  <si>
    <t>uPI uP9521</t>
  </si>
  <si>
    <t>ROG STRIX Z390-I GAMING</t>
  </si>
  <si>
    <t>4800+</t>
  </si>
  <si>
    <r>
      <rPr>
        <rFont val="Calibri, sans-serif"/>
        <color rgb="FF00FF00"/>
        <sz val="11.0"/>
      </rPr>
      <t>1 NVMe/SATA</t>
    </r>
    <r>
      <rPr>
        <rFont val="Calibri, sans-serif"/>
        <color rgb="FF000000"/>
        <sz val="11.0"/>
      </rPr>
      <t xml:space="preserve"> + </t>
    </r>
    <r>
      <rPr>
        <rFont val="Calibri, sans-serif"/>
        <color rgb="FFFF0000"/>
        <sz val="11.0"/>
      </rPr>
      <t>1 NVMe/SATA</t>
    </r>
  </si>
  <si>
    <t>Asus ASP1401CTB</t>
  </si>
  <si>
    <t>8+1</t>
  </si>
  <si>
    <t>ONSemi NCP302045 45A</t>
  </si>
  <si>
    <r>
      <rPr>
        <rFont val="Calibri, sans-serif"/>
        <color rgb="FF00FF00"/>
        <sz val="11.0"/>
      </rPr>
      <t>1 NVMe/SATA</t>
    </r>
    <r>
      <rPr>
        <rFont val="Calibri, sans-serif"/>
        <color rgb="FF000000"/>
        <sz val="11.0"/>
      </rPr>
      <t xml:space="preserve"> + </t>
    </r>
    <r>
      <rPr>
        <rFont val="Calibri, sans-serif"/>
        <color rgb="FFFF0000"/>
        <sz val="11.0"/>
      </rPr>
      <t>1 NVMe/SATA</t>
    </r>
  </si>
  <si>
    <r>
      <rPr>
        <rFont val="Calibri, sans-serif"/>
        <color rgb="FF00FF00"/>
        <sz val="11.0"/>
      </rPr>
      <t>1 NVMe/SATA</t>
    </r>
    <r>
      <rPr>
        <rFont val="Calibri, sans-serif"/>
        <color rgb="FF000000"/>
        <sz val="11.0"/>
      </rPr>
      <t xml:space="preserve"> + </t>
    </r>
    <r>
      <rPr>
        <rFont val="Calibri, sans-serif"/>
        <color rgb="FFFF0000"/>
        <sz val="11.0"/>
      </rPr>
      <t>1 NVMe</t>
    </r>
  </si>
  <si>
    <t>uPI uP9521P</t>
  </si>
  <si>
    <t>H410</t>
  </si>
  <si>
    <t>H410M-ITX/ac</t>
  </si>
  <si>
    <t>Richtek RT3609BE</t>
  </si>
  <si>
    <t>PRIME H410I-PLUS</t>
  </si>
  <si>
    <t>Asus ASP1900B</t>
  </si>
  <si>
    <t>GA-IMB410N</t>
  </si>
  <si>
    <t>H410I PRO WIFI</t>
  </si>
  <si>
    <t>B460</t>
  </si>
  <si>
    <t>B460M-ITX/ac</t>
  </si>
  <si>
    <t>PRIME B460I-PLUS</t>
  </si>
  <si>
    <t>ROG STRIX B460-I GAMING</t>
  </si>
  <si>
    <r>
      <rPr>
        <rFont val="Calibri, sans-serif"/>
        <color rgb="FF00FF00"/>
        <sz val="11.0"/>
      </rPr>
      <t>1 NVMe/SATA</t>
    </r>
    <r>
      <rPr>
        <rFont val="Calibri, sans-serif"/>
        <color rgb="FF000000"/>
        <sz val="11.0"/>
      </rPr>
      <t xml:space="preserve"> + </t>
    </r>
    <r>
      <rPr>
        <rFont val="Calibri, sans-serif"/>
        <color rgb="FFFF0000"/>
        <sz val="11.0"/>
      </rPr>
      <t>1 NVMe</t>
    </r>
  </si>
  <si>
    <t>CVN B460I GAMING V20</t>
  </si>
  <si>
    <t>Realtek ALC662</t>
  </si>
  <si>
    <t>Alpha &amp; Omega AOZ5516QI 55A</t>
  </si>
  <si>
    <t>CVN B460I GAMING FROZEN V20</t>
  </si>
  <si>
    <t>GA-IMB460N</t>
  </si>
  <si>
    <t>MPG B460I GAMING EDGE WIFI</t>
  </si>
  <si>
    <r>
      <rPr>
        <rFont val="Calibri, sans-serif"/>
        <color rgb="FF00FF00"/>
        <sz val="11.0"/>
      </rPr>
      <t>1 NVMe/SATA</t>
    </r>
    <r>
      <rPr>
        <rFont val="Calibri, sans-serif"/>
        <color rgb="FF000000"/>
        <sz val="11.0"/>
      </rPr>
      <t xml:space="preserve"> + </t>
    </r>
    <r>
      <rPr>
        <rFont val="Calibri, sans-serif"/>
        <color rgb="FFFF0000"/>
        <sz val="11.0"/>
      </rPr>
      <t>1 NVMe</t>
    </r>
  </si>
  <si>
    <t>H470</t>
  </si>
  <si>
    <t>1 NVMe/SATA + 1 NVMe</t>
  </si>
  <si>
    <t>Intel I219-V + 
Realtek RTL8125BG</t>
  </si>
  <si>
    <t>1 + 2.5</t>
  </si>
  <si>
    <t>uPI uP9521R</t>
  </si>
  <si>
    <t>ROG STRIX H470-I GAMING</t>
  </si>
  <si>
    <r>
      <rPr>
        <rFont val="Calibri, sans-serif"/>
        <color rgb="FF00FF00"/>
        <sz val="11.0"/>
      </rPr>
      <t>1 NVMe/SATA</t>
    </r>
    <r>
      <rPr>
        <rFont val="Calibri, sans-serif"/>
        <color rgb="FF000000"/>
        <sz val="11.0"/>
      </rPr>
      <t xml:space="preserve"> + </t>
    </r>
    <r>
      <rPr>
        <rFont val="Calibri, sans-serif"/>
        <color rgb="FFFF0000"/>
        <sz val="11.0"/>
      </rPr>
      <t>1 NVMe</t>
    </r>
  </si>
  <si>
    <t>Intel Wi-Fi 6 AX201</t>
  </si>
  <si>
    <t>H470I AORUS PRO AX</t>
  </si>
  <si>
    <r>
      <rPr>
        <rFont val="Calibri, sans-serif"/>
        <color rgb="FF00FF00"/>
        <sz val="11.0"/>
      </rPr>
      <t>1 NVMe/SATA</t>
    </r>
    <r>
      <rPr>
        <rFont val="Calibri, sans-serif"/>
        <color rgb="FF000000"/>
        <sz val="11.0"/>
      </rPr>
      <t xml:space="preserve"> + </t>
    </r>
    <r>
      <rPr>
        <rFont val="Calibri, sans-serif"/>
        <color rgb="FFFF0000"/>
        <sz val="11.0"/>
      </rPr>
      <t>1 NVMe</t>
    </r>
  </si>
  <si>
    <t>Intel I219-V + 
Intel I225-V</t>
  </si>
  <si>
    <t>Renesas ISL69269</t>
  </si>
  <si>
    <t>Vishay SiC651A 50A</t>
  </si>
  <si>
    <t>Z490</t>
  </si>
  <si>
    <t>4666+</t>
  </si>
  <si>
    <r>
      <rPr>
        <rFont val="Calibri, sans-serif"/>
        <color rgb="FF00FF00"/>
        <sz val="11.0"/>
      </rPr>
      <t>1 NVMe/SATA</t>
    </r>
    <r>
      <rPr>
        <rFont val="Calibri, sans-serif"/>
        <color rgb="FF000000"/>
        <sz val="11.0"/>
      </rPr>
      <t xml:space="preserve"> + </t>
    </r>
    <r>
      <rPr>
        <rFont val="Calibri, sans-serif"/>
        <color rgb="FFFF0000"/>
        <sz val="11.0"/>
      </rPr>
      <t>1 NVMe/SATA</t>
    </r>
  </si>
  <si>
    <t>6+3</t>
  </si>
  <si>
    <t>Renesas ISL99390B 90A</t>
  </si>
  <si>
    <t>ROG STRIX Z490-I GAMING</t>
  </si>
  <si>
    <t>2 NVMe/SATA</t>
  </si>
  <si>
    <t>Infineon TDA21462 60A</t>
  </si>
  <si>
    <t>ONSemi PCP81229</t>
  </si>
  <si>
    <t>ONSemi NCP302155 55A</t>
  </si>
  <si>
    <t>Z490T-SILVER</t>
  </si>
  <si>
    <t>Z490I AORUS ULTRA</t>
  </si>
  <si>
    <t>5000+</t>
  </si>
  <si>
    <r>
      <rPr>
        <rFont val="Calibri, sans-serif"/>
        <color rgb="FF00FF00"/>
        <sz val="11.0"/>
      </rPr>
      <t>1 NVMe/SATA</t>
    </r>
    <r>
      <rPr>
        <rFont val="Calibri, sans-serif"/>
        <color rgb="FF000000"/>
        <sz val="11.0"/>
      </rPr>
      <t xml:space="preserve"> + </t>
    </r>
    <r>
      <rPr>
        <rFont val="Calibri, sans-serif"/>
        <color rgb="FFFF0000"/>
        <sz val="11.0"/>
      </rPr>
      <t>1 NVMe/SATA</t>
    </r>
  </si>
  <si>
    <t>Require adapters for 4pin fan headers, and USB 2.0 header</t>
  </si>
  <si>
    <t>MEG Z490I UNIFY</t>
  </si>
  <si>
    <r>
      <rPr>
        <rFont val="Calibri, sans-serif"/>
        <color rgb="FF00FF00"/>
        <sz val="11.0"/>
      </rPr>
      <t>1 NVMe/SATA</t>
    </r>
    <r>
      <rPr>
        <rFont val="Calibri, sans-serif"/>
        <color rgb="FF000000"/>
        <sz val="11.0"/>
      </rPr>
      <t xml:space="preserve"> + </t>
    </r>
    <r>
      <rPr>
        <rFont val="Calibri, sans-serif"/>
        <color rgb="FFFF0000"/>
        <sz val="11.0"/>
      </rPr>
      <t>1 NVMe</t>
    </r>
  </si>
  <si>
    <t>H510</t>
  </si>
  <si>
    <t>H510M-ITX/ac</t>
  </si>
  <si>
    <t>H510I PRO WIFI</t>
  </si>
  <si>
    <t>B560</t>
  </si>
  <si>
    <t>B560M-ITX/ac</t>
  </si>
  <si>
    <t>ROG STRIX B560-I GAMING WIFI</t>
  </si>
  <si>
    <t>5333+</t>
  </si>
  <si>
    <r>
      <rPr>
        <rFont val="Calibri, sans-serif"/>
        <color rgb="FF00FF00"/>
        <sz val="11.0"/>
      </rPr>
      <t>1 NVMe</t>
    </r>
    <r>
      <rPr>
        <rFont val="Calibri, sans-serif"/>
        <color rgb="FF000000"/>
        <sz val="11.0"/>
      </rPr>
      <t xml:space="preserve"> + 
</t>
    </r>
    <r>
      <rPr>
        <rFont val="Calibri, sans-serif"/>
        <color rgb="FFFF0000"/>
        <sz val="11.0"/>
      </rPr>
      <t>1 NVMe/SATA</t>
    </r>
  </si>
  <si>
    <t>SupremeFX S1220A + Savitech SV3H712</t>
  </si>
  <si>
    <t>Alpha &amp; Omega AOZ5316NQI 50A</t>
  </si>
  <si>
    <t>CVN B560I GAMING FROZEN V20</t>
  </si>
  <si>
    <t>Alpha &amp; Omega AOZ5312xQI 60A</t>
  </si>
  <si>
    <t>CVN B560I GAMING V20</t>
  </si>
  <si>
    <t>B560I AORUS PRO AX</t>
  </si>
  <si>
    <r>
      <rPr>
        <rFont val="Calibri, sans-serif"/>
        <color rgb="FF00FF00"/>
        <sz val="11.0"/>
      </rPr>
      <t>1 NVMe</t>
    </r>
    <r>
      <rPr>
        <rFont val="Calibri, sans-serif"/>
        <color rgb="FF000000"/>
        <sz val="11.0"/>
      </rPr>
      <t xml:space="preserve"> + 
</t>
    </r>
    <r>
      <rPr>
        <rFont val="Calibri, sans-serif"/>
        <color rgb="FFFF0000"/>
        <sz val="11.0"/>
      </rPr>
      <t>1 NVMe/SATA</t>
    </r>
  </si>
  <si>
    <t>9+1</t>
  </si>
  <si>
    <t>Vishay SiC651C 50A</t>
  </si>
  <si>
    <t>MPG B560I GAMING EDGE WIFI</t>
  </si>
  <si>
    <t>5200+</t>
  </si>
  <si>
    <r>
      <rPr>
        <rFont val="Calibri, sans-serif"/>
        <color rgb="FF00FF00"/>
        <sz val="11.0"/>
      </rPr>
      <t>1 NVMe/SATA</t>
    </r>
    <r>
      <rPr>
        <rFont val="Calibri, sans-serif"/>
        <color rgb="FF000000"/>
        <sz val="11.0"/>
      </rPr>
      <t xml:space="preserve"> + 
</t>
    </r>
    <r>
      <rPr>
        <rFont val="Calibri, sans-serif"/>
        <color rgb="FFFF0000"/>
        <sz val="11.0"/>
      </rPr>
      <t>1 NVMe</t>
    </r>
  </si>
  <si>
    <t>Intel Wi-Fi 6E AX210</t>
  </si>
  <si>
    <t>ONSemi FDMF3035 50A</t>
  </si>
  <si>
    <t>H570</t>
  </si>
  <si>
    <t>H570M-ITX/ac</t>
  </si>
  <si>
    <t>5066+</t>
  </si>
  <si>
    <t>1 NVMe + 
1 NVMe/SATA</t>
  </si>
  <si>
    <t>Vishay SiC632A 50A</t>
  </si>
  <si>
    <t>Z590</t>
  </si>
  <si>
    <t>Z590M-ITX/ax</t>
  </si>
  <si>
    <t>Z590 Phantom Gaming-ITX/TB4</t>
  </si>
  <si>
    <r>
      <rPr>
        <rFont val="Calibri, sans-serif"/>
        <color rgb="FF00FF00"/>
        <sz val="11.0"/>
      </rPr>
      <t>1 NVMe</t>
    </r>
    <r>
      <rPr>
        <rFont val="Calibri, sans-serif"/>
        <color rgb="FF000000"/>
        <sz val="11.0"/>
      </rPr>
      <t xml:space="preserve"> + 
</t>
    </r>
    <r>
      <rPr>
        <rFont val="Calibri, sans-serif"/>
        <color rgb="FFFF0000"/>
        <sz val="11.0"/>
      </rPr>
      <t>1 NVMe/SATA</t>
    </r>
  </si>
  <si>
    <t>ROG STRIX Z590-I GAMING WIFI</t>
  </si>
  <si>
    <t>5133+</t>
  </si>
  <si>
    <t>Texas Instruments CSD95410 90A</t>
  </si>
  <si>
    <t>Z590I VALKYRIE</t>
  </si>
  <si>
    <r>
      <rPr>
        <rFont val="Calibri, sans-serif"/>
        <color rgb="FF00FF00"/>
        <sz val="11.0"/>
      </rPr>
      <t>1 NVMe</t>
    </r>
    <r>
      <rPr>
        <rFont val="Calibri, sans-serif"/>
        <color rgb="FF000000"/>
        <sz val="11.0"/>
      </rPr>
      <t xml:space="preserve"> + 
</t>
    </r>
    <r>
      <rPr>
        <rFont val="Calibri, sans-serif"/>
        <color rgb="FFFF0000"/>
        <sz val="11.0"/>
      </rPr>
      <t>1 NVMe/SATA</t>
    </r>
  </si>
  <si>
    <t>Z590I AORUS ULTRA</t>
  </si>
  <si>
    <r>
      <rPr>
        <rFont val="Calibri, sans-serif"/>
        <color rgb="FF00FF00"/>
        <sz val="11.0"/>
      </rPr>
      <t>1 NVMe</t>
    </r>
    <r>
      <rPr>
        <rFont val="Calibri, sans-serif"/>
        <color rgb="FF000000"/>
        <sz val="11.0"/>
      </rPr>
      <t xml:space="preserve"> + 
</t>
    </r>
    <r>
      <rPr>
        <rFont val="Calibri, sans-serif"/>
        <color rgb="FFFF0000"/>
        <sz val="11.0"/>
      </rPr>
      <t>1 NVMe/SATA</t>
    </r>
  </si>
  <si>
    <t>10+1</t>
  </si>
  <si>
    <t>Z590I VISION D</t>
  </si>
  <si>
    <r>
      <rPr>
        <rFont val="Calibri, sans-serif"/>
        <color rgb="FF00FF00"/>
        <sz val="11.0"/>
      </rPr>
      <t>1 NVMe</t>
    </r>
    <r>
      <rPr>
        <rFont val="Calibri, sans-serif"/>
        <color rgb="FF000000"/>
        <sz val="11.0"/>
      </rPr>
      <t xml:space="preserve"> + 
</t>
    </r>
    <r>
      <rPr>
        <rFont val="Calibri, sans-serif"/>
        <color rgb="FFFF0000"/>
        <sz val="11.0"/>
      </rPr>
      <t>1 NVMe/SATA</t>
    </r>
  </si>
  <si>
    <t>No front audio header. Require adapters for 4pin fan headers</t>
  </si>
  <si>
    <t>MEG Z590I UNIFY</t>
  </si>
  <si>
    <t>5600+</t>
  </si>
  <si>
    <t>1 NVMe/SATA + 
1 NVMe</t>
  </si>
  <si>
    <t>Realtek ALC1220P</t>
  </si>
  <si>
    <t>H610</t>
  </si>
  <si>
    <t>H610M-ITX/ac</t>
  </si>
  <si>
    <t>Richtek RT3628AE</t>
  </si>
  <si>
    <t>PRIME H610I-PLUS D4</t>
  </si>
  <si>
    <t>H610I DDR4</t>
  </si>
  <si>
    <t>ONSemi NCP81530</t>
  </si>
  <si>
    <t>MS-挑战者 H610ITX 2.5G</t>
  </si>
  <si>
    <t>B660</t>
  </si>
  <si>
    <t>B660M-ITX/ac</t>
  </si>
  <si>
    <t>ROG STRIX B660-I GAMING WIFI</t>
  </si>
  <si>
    <t>6200+</t>
  </si>
  <si>
    <r>
      <rPr>
        <rFont val="Calibri, sans-serif"/>
        <color rgb="FF00FF00"/>
        <sz val="11.0"/>
      </rPr>
      <t>1 NVMe</t>
    </r>
    <r>
      <rPr>
        <rFont val="Calibri, sans-serif"/>
        <color rgb="FF000000"/>
        <sz val="11.0"/>
      </rPr>
      <t xml:space="preserve"> + 
</t>
    </r>
    <r>
      <rPr>
        <rFont val="Calibri, sans-serif"/>
        <color rgb="FFFF0000"/>
        <sz val="11.0"/>
      </rPr>
      <t>1 NVMe</t>
    </r>
  </si>
  <si>
    <t>Asus ASP2100</t>
  </si>
  <si>
    <t>Vishay SiC643 60A</t>
  </si>
  <si>
    <t>B660GTN</t>
  </si>
  <si>
    <r>
      <rPr>
        <rFont val="Calibri, sans-serif"/>
        <color rgb="FF00FF00"/>
        <sz val="11.0"/>
      </rPr>
      <t>1 NVMe</t>
    </r>
    <r>
      <rPr>
        <rFont val="Calibri, sans-serif"/>
        <color rgb="FF000000"/>
        <sz val="11.0"/>
      </rPr>
      <t xml:space="preserve"> + 
</t>
    </r>
    <r>
      <rPr>
        <rFont val="Calibri, sans-serif"/>
        <color rgb="FFFF0000"/>
        <sz val="11.0"/>
      </rPr>
      <t>1 NVMe/SATA</t>
    </r>
  </si>
  <si>
    <t>Renesas RAA229132</t>
  </si>
  <si>
    <t>Renesas ISL99360 60A</t>
  </si>
  <si>
    <t>B660T-SILVER</t>
  </si>
  <si>
    <r>
      <rPr>
        <rFont val="Calibri, sans-serif"/>
        <color rgb="FF00FF00"/>
        <sz val="11.0"/>
      </rPr>
      <t>1 NVMe</t>
    </r>
    <r>
      <rPr>
        <rFont val="Calibri, sans-serif"/>
        <color rgb="FF000000"/>
        <sz val="11.0"/>
      </rPr>
      <t xml:space="preserve"> + 
</t>
    </r>
    <r>
      <rPr>
        <rFont val="Calibri, sans-serif"/>
        <color rgb="FFFF0000"/>
        <sz val="11.0"/>
      </rPr>
      <t>1 NVMe/SATA</t>
    </r>
  </si>
  <si>
    <t>CVN B660I GAMING FROZEN V20</t>
  </si>
  <si>
    <r>
      <rPr>
        <rFont val="Calibri, sans-serif"/>
        <color rgb="FF00FF00"/>
        <sz val="11.0"/>
      </rPr>
      <t>1 NVMe/SATA</t>
    </r>
    <r>
      <rPr>
        <rFont val="Calibri, sans-serif"/>
        <color rgb="FF000000"/>
        <sz val="11.0"/>
      </rPr>
      <t xml:space="preserve"> + 
</t>
    </r>
    <r>
      <rPr>
        <rFont val="Calibri, sans-serif"/>
        <color rgb="FFFF0000"/>
        <sz val="11.0"/>
      </rPr>
      <t>1 NVMe</t>
    </r>
  </si>
  <si>
    <t>CVN B660I GAMING V20</t>
  </si>
  <si>
    <r>
      <rPr>
        <rFont val="Calibri, sans-serif"/>
        <color rgb="FF00FF00"/>
        <sz val="11.0"/>
      </rPr>
      <t>1 NVMe/SATA</t>
    </r>
    <r>
      <rPr>
        <rFont val="Calibri, sans-serif"/>
        <color rgb="FF000000"/>
        <sz val="11.0"/>
      </rPr>
      <t xml:space="preserve"> + 
</t>
    </r>
    <r>
      <rPr>
        <rFont val="Calibri, sans-serif"/>
        <color rgb="FFFF0000"/>
        <sz val="11.0"/>
      </rPr>
      <t>1 NVMe</t>
    </r>
  </si>
  <si>
    <t>B660I AORUS PRO DDR4</t>
  </si>
  <si>
    <t>Renesas RAA229130</t>
  </si>
  <si>
    <t>H670</t>
  </si>
  <si>
    <t>H670M-ITX/ac</t>
  </si>
  <si>
    <t>7+1</t>
  </si>
  <si>
    <t>Z690</t>
  </si>
  <si>
    <t>Z690M-ITX/ax</t>
  </si>
  <si>
    <t>Z690 Phantom Gaming-ITX/TB4</t>
  </si>
  <si>
    <r>
      <rPr>
        <rFont val="Calibri, sans-serif"/>
        <color rgb="FF00FF00"/>
        <sz val="11.0"/>
      </rPr>
      <t>1 NVMe</t>
    </r>
    <r>
      <rPr>
        <rFont val="Calibri, sans-serif"/>
        <color rgb="FF000000"/>
        <sz val="11.0"/>
      </rPr>
      <t xml:space="preserve"> + 
</t>
    </r>
    <r>
      <rPr>
        <rFont val="Calibri, sans-serif"/>
        <color rgb="FFFF0000"/>
        <sz val="11.0"/>
      </rPr>
      <t>1 NVMe/SATA</t>
    </r>
  </si>
  <si>
    <t>Renesas RAA229131</t>
  </si>
  <si>
    <t>ROG STRIX Z690-I GAMING WIFI</t>
  </si>
  <si>
    <t>Z690I AORUS ULTRA DDR4</t>
  </si>
  <si>
    <r>
      <rPr>
        <rFont val="Calibri, sans-serif"/>
        <color rgb="FF000000"/>
        <sz val="11.0"/>
      </rPr>
      <t xml:space="preserve">Require adapters for 4pin fan headers, USB 2.0 header, and front audio. Has problems with PCIe 4.0: </t>
    </r>
    <r>
      <rPr>
        <rFont val="Calibri, sans-serif"/>
        <color rgb="FF1155CC"/>
        <sz val="11.0"/>
        <u/>
      </rPr>
      <t>https://www.gigabyte.com/Press/News/1991</t>
    </r>
  </si>
  <si>
    <t>Z690I AORUS ULTRA</t>
  </si>
  <si>
    <r>
      <rPr>
        <rFont val="Calibri, sans-serif"/>
        <color rgb="FF000000"/>
        <sz val="11.0"/>
      </rPr>
      <t xml:space="preserve">Require adapters for 4pin fan headers, USB 2.0 header, and front audio. Has problems with PCIe 4.0: </t>
    </r>
    <r>
      <rPr>
        <rFont val="Calibri, sans-serif"/>
        <color rgb="FF1155CC"/>
        <sz val="11.0"/>
        <u/>
      </rPr>
      <t>https://www.gigabyte.com/Press/News/1991</t>
    </r>
  </si>
  <si>
    <t>Z690I AORUS ULTRA LITE DDR4</t>
  </si>
  <si>
    <t>Require adapters for 4pin fan headers, USB 2.0 header, and front audio header. PCIe 3.0x16 slot</t>
  </si>
  <si>
    <t>Z690I AORUS ULTRA LITE</t>
  </si>
  <si>
    <t>6000+</t>
  </si>
  <si>
    <t>Z690I AORUS ULTRA PLUS DDR4</t>
  </si>
  <si>
    <t>Intel Wi-Fi 6E AX411</t>
  </si>
  <si>
    <t>Require adapters for 4pin fan headers, USB 2.0 header, and front audio header</t>
  </si>
  <si>
    <t>Z690I AORUS ULTRA PLUS</t>
  </si>
  <si>
    <t>MS-iCraft Z690ITX WIFI</t>
  </si>
  <si>
    <r>
      <rPr>
        <rFont val="Calibri, sans-serif"/>
        <color rgb="FF00FF00"/>
        <sz val="11.0"/>
      </rPr>
      <t>1 NVMe</t>
    </r>
    <r>
      <rPr>
        <rFont val="Calibri, sans-serif"/>
        <color rgb="FF000000"/>
        <sz val="11.0"/>
      </rPr>
      <t xml:space="preserve"> + 
</t>
    </r>
    <r>
      <rPr>
        <rFont val="Calibri, sans-serif"/>
        <color rgb="FFFF0000"/>
        <sz val="11.0"/>
      </rPr>
      <t>1 NVMe/SATA</t>
    </r>
  </si>
  <si>
    <t>2 x Realtek RTL8125B</t>
  </si>
  <si>
    <t>Intel Wi-Fi 6E AX211</t>
  </si>
  <si>
    <t>MEG Z690I UNIFY</t>
  </si>
  <si>
    <r>
      <rPr>
        <rFont val="Calibri, sans-serif"/>
        <color rgb="FF00FF00"/>
        <sz val="11.0"/>
      </rPr>
      <t>1 NVMe + 
1 NVMe/SATA</t>
    </r>
    <r>
      <rPr>
        <rFont val="Calibri, sans-serif"/>
        <color rgb="FF000000"/>
        <sz val="11.0"/>
      </rPr>
      <t xml:space="preserve"> +
</t>
    </r>
    <r>
      <rPr>
        <rFont val="Calibri, sans-serif"/>
        <color rgb="FFFF0000"/>
        <sz val="11.0"/>
      </rPr>
      <t>1 NVMe</t>
    </r>
  </si>
  <si>
    <t>B760</t>
  </si>
  <si>
    <t>B760M-ITX/D4 WiFi</t>
  </si>
  <si>
    <t>B760I Lightning WiFi</t>
  </si>
  <si>
    <t>8600+</t>
  </si>
  <si>
    <r>
      <rPr>
        <rFont val="Calibri, sans-serif"/>
        <color rgb="FF00FF00"/>
        <sz val="11.0"/>
      </rPr>
      <t>1 NVMe</t>
    </r>
    <r>
      <rPr>
        <rFont val="Calibri, sans-serif"/>
        <color rgb="FF000000"/>
        <sz val="11.0"/>
      </rPr>
      <t xml:space="preserve"> + 
</t>
    </r>
    <r>
      <rPr>
        <rFont val="Calibri, sans-serif"/>
        <color rgb="FFFF0000"/>
        <sz val="11.0"/>
      </rPr>
      <t>1 NVMe</t>
    </r>
  </si>
  <si>
    <t>14+1</t>
  </si>
  <si>
    <t>110A Power Stages</t>
  </si>
  <si>
    <t>ROG STRIX B760-I GAMING WIFI</t>
  </si>
  <si>
    <t>7600+</t>
  </si>
  <si>
    <r>
      <rPr>
        <rFont val="Calibri, sans-serif"/>
        <color rgb="FF00FF00"/>
        <sz val="11.0"/>
      </rPr>
      <t>1 NVMe</t>
    </r>
    <r>
      <rPr>
        <rFont val="Calibri, sans-serif"/>
        <color rgb="FF000000"/>
        <sz val="11.0"/>
      </rPr>
      <t xml:space="preserve"> + 
</t>
    </r>
    <r>
      <rPr>
        <rFont val="Calibri, sans-serif"/>
        <color rgb="FFFF0000"/>
        <sz val="11.0"/>
      </rPr>
      <t>1 NVMe</t>
    </r>
  </si>
  <si>
    <t>80A Power Stages</t>
  </si>
  <si>
    <t>B760T-SILVER</t>
  </si>
  <si>
    <r>
      <rPr>
        <rFont val="Calibri, sans-serif"/>
        <color rgb="FF00FF00"/>
        <sz val="11.0"/>
      </rPr>
      <t>1 NVMe/SATA</t>
    </r>
    <r>
      <rPr>
        <rFont val="Calibri, sans-serif"/>
        <color rgb="FF000000"/>
        <sz val="11.0"/>
      </rPr>
      <t xml:space="preserve"> + 
</t>
    </r>
    <r>
      <rPr>
        <rFont val="Calibri, sans-serif"/>
        <color rgb="FFFF0000"/>
        <sz val="11.0"/>
      </rPr>
      <t>1 NVMe</t>
    </r>
  </si>
  <si>
    <t>CVN B760I FROZEN WIFI D5 V20</t>
  </si>
  <si>
    <r>
      <rPr>
        <rFont val="Calibri, sans-serif"/>
        <color rgb="FF00FF00"/>
        <sz val="11.0"/>
      </rPr>
      <t>1 NVMe</t>
    </r>
    <r>
      <rPr>
        <rFont val="Calibri, sans-serif"/>
        <color rgb="FF000000"/>
        <sz val="11.0"/>
      </rPr>
      <t xml:space="preserve"> + 
</t>
    </r>
    <r>
      <rPr>
        <rFont val="Calibri, sans-serif"/>
        <color rgb="FFFF0000"/>
        <sz val="11.0"/>
      </rPr>
      <t>1 NVMe</t>
    </r>
  </si>
  <si>
    <t>90A Power Stages</t>
  </si>
  <si>
    <t>CVN B760I FROZEN WIFI V20</t>
  </si>
  <si>
    <r>
      <rPr>
        <rFont val="Calibri, sans-serif"/>
        <color rgb="FF00FF00"/>
        <sz val="11.0"/>
      </rPr>
      <t>1 NVMe</t>
    </r>
    <r>
      <rPr>
        <rFont val="Calibri, sans-serif"/>
        <color rgb="FF000000"/>
        <sz val="11.0"/>
      </rPr>
      <t xml:space="preserve"> + 
</t>
    </r>
    <r>
      <rPr>
        <rFont val="Calibri, sans-serif"/>
        <color rgb="FFFF0000"/>
        <sz val="11.0"/>
      </rPr>
      <t>1 NVMe</t>
    </r>
  </si>
  <si>
    <t>Intel Wi-Fi 6 AX200 / AX201</t>
  </si>
  <si>
    <t>30A Power Stages</t>
  </si>
  <si>
    <t>B760I AORUS PRO</t>
  </si>
  <si>
    <r>
      <rPr>
        <rFont val="Calibri, sans-serif"/>
        <color rgb="FF00FF00"/>
        <sz val="11.0"/>
      </rPr>
      <t>1 NVMe</t>
    </r>
    <r>
      <rPr>
        <rFont val="Calibri, sans-serif"/>
        <color rgb="FF000000"/>
        <sz val="11.0"/>
      </rPr>
      <t xml:space="preserve"> + 
</t>
    </r>
    <r>
      <rPr>
        <rFont val="Calibri, sans-serif"/>
        <color rgb="FFFF0000"/>
        <sz val="11.0"/>
      </rPr>
      <t>1 NVMe</t>
    </r>
  </si>
  <si>
    <t>Intel Wi-Fi 6E AX211 (rev 1.0) / Realtek Wi-Fi 6E RTL8852CE (rev 1.1)</t>
  </si>
  <si>
    <t>B760I AORUS PRO DDR4</t>
  </si>
  <si>
    <r>
      <rPr>
        <rFont val="Calibri, sans-serif"/>
        <color rgb="FF00FF00"/>
        <sz val="11.0"/>
      </rPr>
      <t>1 NVMe</t>
    </r>
    <r>
      <rPr>
        <rFont val="Calibri, sans-serif"/>
        <color rgb="FF000000"/>
        <sz val="11.0"/>
      </rPr>
      <t xml:space="preserve"> + 
</t>
    </r>
    <r>
      <rPr>
        <rFont val="Calibri, sans-serif"/>
        <color rgb="FFFF0000"/>
        <sz val="11.0"/>
      </rPr>
      <t>1 NVMe</t>
    </r>
  </si>
  <si>
    <t>Intel Killer Wi-Fi 6 AX1650 (rev 1.0) / Intel Wi-Fi 6E AX211 (rev 1.1)</t>
  </si>
  <si>
    <t>MPG B760I EDGE WIFI</t>
  </si>
  <si>
    <r>
      <rPr>
        <rFont val="Calibri, sans-serif"/>
        <color rgb="FF00FF00"/>
        <sz val="11.0"/>
      </rPr>
      <t>1 NVMe</t>
    </r>
    <r>
      <rPr>
        <rFont val="Calibri, sans-serif"/>
        <color rgb="FF000000"/>
        <sz val="11.0"/>
      </rPr>
      <t xml:space="preserve"> + 
</t>
    </r>
    <r>
      <rPr>
        <rFont val="Calibri, sans-serif"/>
        <color rgb="FFFF0000"/>
        <sz val="11.0"/>
      </rPr>
      <t>1 NVMe/SATA</t>
    </r>
  </si>
  <si>
    <t>MPG B760I EDGE WIFI DDR4</t>
  </si>
  <si>
    <r>
      <rPr>
        <rFont val="Calibri, sans-serif"/>
        <color rgb="FF00FF00"/>
        <sz val="11.0"/>
      </rPr>
      <t>1 NVMe</t>
    </r>
    <r>
      <rPr>
        <rFont val="Calibri, sans-serif"/>
        <color rgb="FF000000"/>
        <sz val="11.0"/>
      </rPr>
      <t xml:space="preserve"> + 
</t>
    </r>
    <r>
      <rPr>
        <rFont val="Calibri, sans-serif"/>
        <color rgb="FFFF0000"/>
        <sz val="11.0"/>
      </rPr>
      <t>1 NVMe/SATA</t>
    </r>
  </si>
  <si>
    <t>Z790</t>
  </si>
  <si>
    <t>Z790M-ITX WiFi</t>
  </si>
  <si>
    <t>7000+</t>
  </si>
  <si>
    <t>Intel I219-V + Intel I226-V</t>
  </si>
  <si>
    <t>Z790 PG-ITX/TB4</t>
  </si>
  <si>
    <r>
      <rPr>
        <rFont val="Calibri, sans-serif"/>
        <color rgb="FF00FF00"/>
        <sz val="11.0"/>
      </rPr>
      <t xml:space="preserve">1 NVMe + 
</t>
    </r>
    <r>
      <rPr>
        <rFont val="Calibri, sans-serif"/>
        <color theme="5"/>
        <sz val="11.0"/>
      </rPr>
      <t>1 NVMe/SATA</t>
    </r>
    <r>
      <rPr>
        <rFont val="Calibri, sans-serif"/>
        <color rgb="FF000000"/>
        <sz val="11.0"/>
      </rPr>
      <t xml:space="preserve"> +
</t>
    </r>
    <r>
      <rPr>
        <rFont val="Calibri, sans-serif"/>
        <color rgb="FFFF0000"/>
        <sz val="11.0"/>
      </rPr>
      <t>1 NVMe</t>
    </r>
  </si>
  <si>
    <t>Intel Killer E3100X</t>
  </si>
  <si>
    <t>Realtek ALC4082</t>
  </si>
  <si>
    <t>Z790I Lightning WiFi</t>
  </si>
  <si>
    <r>
      <rPr>
        <rFont val="Calibri, sans-serif"/>
        <color rgb="FF00FF00"/>
        <sz val="11.0"/>
      </rPr>
      <t>1 NVMe</t>
    </r>
    <r>
      <rPr>
        <rFont val="Calibri, sans-serif"/>
        <color rgb="FF000000"/>
        <sz val="11.0"/>
      </rPr>
      <t xml:space="preserve"> + 
</t>
    </r>
    <r>
      <rPr>
        <rFont val="Calibri, sans-serif"/>
        <color rgb="FFFF0000"/>
        <sz val="11.0"/>
      </rPr>
      <t>1 NVMe</t>
    </r>
  </si>
  <si>
    <t>ROG STRIX Z790-I GAMING WIFI</t>
  </si>
  <si>
    <t>Z790I AORUS ULTRA</t>
  </si>
  <si>
    <t>Intel Killer Wi-Fi 6E AX1690</t>
  </si>
  <si>
    <t>MPG Z790I EDGE WIFI</t>
  </si>
  <si>
    <r>
      <rPr>
        <rFont val="Calibri, sans-serif"/>
        <color rgb="FF00FF00"/>
        <sz val="11.0"/>
      </rPr>
      <t>1 NVMe + 
1 NVMe/SATA</t>
    </r>
    <r>
      <rPr>
        <rFont val="Calibri, sans-serif"/>
        <color rgb="FF000000"/>
        <sz val="11.0"/>
      </rPr>
      <t xml:space="preserve"> +
</t>
    </r>
    <r>
      <rPr>
        <rFont val="Calibri, sans-serif"/>
        <color rgb="FFFF0000"/>
        <sz val="11.0"/>
      </rPr>
      <t>1 NVMe</t>
    </r>
  </si>
  <si>
    <t>Intel I226-V</t>
  </si>
  <si>
    <t>X299</t>
  </si>
  <si>
    <r>
      <rPr>
        <rFont val="Calibri, sans-serif"/>
        <color rgb="FF00FF00"/>
        <sz val="11.0"/>
      </rPr>
      <t>1 NVMe/SATA</t>
    </r>
    <r>
      <rPr>
        <rFont val="Calibri, sans-serif"/>
        <color rgb="FF000000"/>
        <sz val="11.0"/>
      </rPr>
      <t xml:space="preserve"> + </t>
    </r>
    <r>
      <rPr>
        <rFont val="Calibri, sans-serif"/>
        <color rgb="FFFF0000"/>
        <sz val="11.0"/>
      </rPr>
      <t>2 NVMe</t>
    </r>
  </si>
  <si>
    <t>Renesas ISL99227 60A</t>
  </si>
  <si>
    <t>Size (Height) (mm)</t>
  </si>
  <si>
    <t>Size (Width) (mm)</t>
  </si>
  <si>
    <t>PCIe Gen</t>
  </si>
  <si>
    <t>PCI Slot</t>
  </si>
  <si>
    <t>PCIe x1 Slot</t>
  </si>
  <si>
    <t>PCIe x4 Slot</t>
  </si>
  <si>
    <t>PCIe x8 Slot</t>
  </si>
  <si>
    <r>
      <rPr>
        <rFont val="Calibri, sans-serif"/>
        <color rgb="FF000000"/>
        <sz val="11.0"/>
      </rPr>
      <t xml:space="preserve">M.2 (Key-M) NVMe/SATA SSD Slot
</t>
    </r>
    <r>
      <rPr>
        <rFont val="Calibri, sans-serif"/>
        <color rgb="FF00FF00"/>
        <sz val="11.0"/>
      </rPr>
      <t xml:space="preserve">Green=Front
</t>
    </r>
    <r>
      <rPr>
        <rFont val="Calibri, sans-serif"/>
        <color rgb="FFFF0000"/>
        <sz val="11.0"/>
      </rPr>
      <t xml:space="preserve">Red=Back
</t>
    </r>
  </si>
  <si>
    <t>Thunderbolt 3 (40Gbps) Port</t>
  </si>
  <si>
    <t>USB 3.2 Gen 1 (5 Gbps) Header</t>
  </si>
  <si>
    <t>B450M-HDV</t>
  </si>
  <si>
    <t>Sinopower SM4337 &amp; SM4336</t>
  </si>
  <si>
    <t>PRIME B450M-K</t>
  </si>
  <si>
    <t>ONSemi 4C10B &amp; 4C06B</t>
  </si>
  <si>
    <t>PRIME B450M-K II</t>
  </si>
  <si>
    <t>uPI uP9505P</t>
  </si>
  <si>
    <t>B450MH</t>
  </si>
  <si>
    <t>B450MHC</t>
  </si>
  <si>
    <t>B450M DS3H</t>
  </si>
  <si>
    <t>B450M DS3H V2</t>
  </si>
  <si>
    <t>B450M DS3H WIFI</t>
  </si>
  <si>
    <t>B450M GAMING</t>
  </si>
  <si>
    <t>B450M S2H</t>
  </si>
  <si>
    <t>B450M S2H V2</t>
  </si>
  <si>
    <t>B450M GAMING PLUS</t>
  </si>
  <si>
    <t>Richtek RT8894A</t>
  </si>
  <si>
    <t>ONSemi 4C029N &amp; 4C024N</t>
  </si>
  <si>
    <t>B450M PRO-M2</t>
  </si>
  <si>
    <t>Sinopower SM4337 &amp; SM4503</t>
  </si>
  <si>
    <t>B450M PRO-M2 MAX</t>
  </si>
  <si>
    <t>uPI uP9504</t>
  </si>
  <si>
    <t>B450M PRO-M2 V2</t>
  </si>
  <si>
    <t>B450M-A PRO MAX</t>
  </si>
  <si>
    <t>3+2</t>
  </si>
  <si>
    <t>X470GTQ</t>
  </si>
  <si>
    <t>Sinopower SM4337 &amp; SM4364</t>
  </si>
  <si>
    <t>X470MH</t>
  </si>
  <si>
    <t>A520M/ac</t>
  </si>
  <si>
    <t>Richtek RT3667BQ</t>
  </si>
  <si>
    <t>A520M-HDV</t>
  </si>
  <si>
    <t>A520M-HDVP</t>
  </si>
  <si>
    <t>Realtek RTL8111GN</t>
  </si>
  <si>
    <t>A520M-HDVP/DASH</t>
  </si>
  <si>
    <t>Realtek RTL8111EPV</t>
  </si>
  <si>
    <t>A520M-HVS</t>
  </si>
  <si>
    <t>A520M Phantom Gaming 4</t>
  </si>
  <si>
    <t>A520M Pro4</t>
  </si>
  <si>
    <t>PRIME A520M-A</t>
  </si>
  <si>
    <t>4866+</t>
  </si>
  <si>
    <t>Vishay SiRA14BDP &amp; SiRA12BDP</t>
  </si>
  <si>
    <t>PRIME A520M-A II</t>
  </si>
  <si>
    <t>PRIME A520M-E</t>
  </si>
  <si>
    <t>PRIME A520M-K</t>
  </si>
  <si>
    <t>Pro A520M-C/CSM</t>
  </si>
  <si>
    <t>TUF GAMING A520M-PLUS</t>
  </si>
  <si>
    <t>Realtek L8200A</t>
  </si>
  <si>
    <t>TUF GAMING A520M-PLUS WIFI</t>
  </si>
  <si>
    <t>Realtek RTL8821CE</t>
  </si>
  <si>
    <t>A520MH</t>
  </si>
  <si>
    <t>Sinopower SM4377 &amp; SM4364A</t>
  </si>
  <si>
    <t>A520M AORUS ELITE</t>
  </si>
  <si>
    <t>5+3</t>
  </si>
  <si>
    <t>A520M DS3H</t>
  </si>
  <si>
    <t>A520M DS3H AC</t>
  </si>
  <si>
    <t>A520M H</t>
  </si>
  <si>
    <t>A520M S2H</t>
  </si>
  <si>
    <t>A520M PRO</t>
  </si>
  <si>
    <t>Richtek RT8894J</t>
  </si>
  <si>
    <t>Sinopower SM4377 &amp; SM4503</t>
  </si>
  <si>
    <t>A520M PRO-C DASH</t>
  </si>
  <si>
    <t>A520M PRO-VDH</t>
  </si>
  <si>
    <t>A520M PRO-VH</t>
  </si>
  <si>
    <t>A520M-A PRO</t>
  </si>
  <si>
    <t>MAG A520M BAZOOKA WIFI</t>
  </si>
  <si>
    <t>MAG A520M VECTOR WIFI</t>
  </si>
  <si>
    <t>B550M-HDV</t>
  </si>
  <si>
    <t>B550M/ac</t>
  </si>
  <si>
    <t>B550M Phantom Gaming 4</t>
  </si>
  <si>
    <t>B550M PG Riptide</t>
  </si>
  <si>
    <t>B550M Pro4</t>
  </si>
  <si>
    <t>B550M Steel Legend</t>
  </si>
  <si>
    <t>B550D4ID-2L2T</t>
  </si>
  <si>
    <t>Intel X710-AT2 + Intel I210</t>
  </si>
  <si>
    <t>2x10 + 2x1</t>
  </si>
  <si>
    <t>B550D4U</t>
  </si>
  <si>
    <t>Intel I210</t>
  </si>
  <si>
    <t>Server motherboard</t>
  </si>
  <si>
    <t>B550D4U-2T</t>
  </si>
  <si>
    <t>Intel X710-AT2</t>
  </si>
  <si>
    <t>PRIME B550M-A</t>
  </si>
  <si>
    <t>PRIME B550M-A (WI-FI)</t>
  </si>
  <si>
    <t>PRIME B550M-A AC</t>
  </si>
  <si>
    <t>PRIME B550M-A WIFI II</t>
  </si>
  <si>
    <t>Mediatek MT7921</t>
  </si>
  <si>
    <t>PRIME B550M-K</t>
  </si>
  <si>
    <t>TUF GAMING B550M-E</t>
  </si>
  <si>
    <t>Vishay SiRA14B &amp; SiRA12S</t>
  </si>
  <si>
    <t>TUF GAMING B550M-E WIFI</t>
  </si>
  <si>
    <t>TUF GAMING B550M-PLUS</t>
  </si>
  <si>
    <t>Realtek ALC S1200A</t>
  </si>
  <si>
    <t>TUF GAMING B550M-PLUS (WI-FI)</t>
  </si>
  <si>
    <t>TUF GAMING B550M-PLUS WIFI II</t>
  </si>
  <si>
    <t>TUF GAMING B550M (WI-FI) ZAKU II EDITION</t>
  </si>
  <si>
    <t>B550GTQ</t>
  </si>
  <si>
    <t>B550MH</t>
  </si>
  <si>
    <t>B550MX/E PRO</t>
  </si>
  <si>
    <t>B550M-SILVER</t>
  </si>
  <si>
    <t>B550M AORUS ELITE</t>
  </si>
  <si>
    <t>Realtek RTL8118</t>
  </si>
  <si>
    <t>B550M AORUS PRO</t>
  </si>
  <si>
    <t>10+3</t>
  </si>
  <si>
    <t>B550M AORUS PRO-P</t>
  </si>
  <si>
    <t>B550M AORUS PRO AX</t>
  </si>
  <si>
    <t>B550M DS3H</t>
  </si>
  <si>
    <t>B550M DS3H AC</t>
  </si>
  <si>
    <t>B550M GAMING</t>
  </si>
  <si>
    <t>B550M H</t>
  </si>
  <si>
    <t>B550M S2H</t>
  </si>
  <si>
    <t>B550M-A PRO</t>
  </si>
  <si>
    <t>B550M PRO</t>
  </si>
  <si>
    <t>B550M PRO-DASH</t>
  </si>
  <si>
    <t>2933+</t>
  </si>
  <si>
    <t>Richtek RT8894</t>
  </si>
  <si>
    <t>B550M PRO-VDH</t>
  </si>
  <si>
    <t>Realtek RTL8111HN</t>
  </si>
  <si>
    <t>B550M PRO-VDH WIFI</t>
  </si>
  <si>
    <t>B550M PRO-VDH WIFI (CEC)</t>
  </si>
  <si>
    <t>MAG B550M BAZOOKA</t>
  </si>
  <si>
    <t>MAG B550M MORTAR</t>
  </si>
  <si>
    <t>MAG B550M MORTAR WIFI</t>
  </si>
  <si>
    <t>MAG B550M MORTAR MAX WIFI</t>
  </si>
  <si>
    <t>MAG B550M VECTOR WIFI</t>
  </si>
  <si>
    <t>PRO B550M-P GEN3</t>
  </si>
  <si>
    <t>X570M Pro4</t>
  </si>
  <si>
    <t>X570D4U-2L2T/BCM</t>
  </si>
  <si>
    <t>Broadcom BCM57416 + Intel I210</t>
  </si>
  <si>
    <t>ROG Crosshair VIII Impact</t>
  </si>
  <si>
    <t>SupremeFX S1220A + ESS SABRE ES9023P</t>
  </si>
  <si>
    <t>X300</t>
  </si>
  <si>
    <t>AM5D4ID-2L+/BCM</t>
  </si>
  <si>
    <t>Broadcom BCM5720L + Realtek RTL8211F</t>
  </si>
  <si>
    <t>AM5D4ID-2T/BCM</t>
  </si>
  <si>
    <t>Broadcom BCM57416 + Realtek RTL8211F</t>
  </si>
  <si>
    <t>2x10 + 1</t>
  </si>
  <si>
    <t>A620M-HDV/M.2</t>
  </si>
  <si>
    <t>50A Power Stages</t>
  </si>
  <si>
    <t>A620M-HDV/M.2+</t>
  </si>
  <si>
    <t>A620M Pro RS</t>
  </si>
  <si>
    <t>3 NVMe</t>
  </si>
  <si>
    <t>A620M Pro RS WiFi</t>
  </si>
  <si>
    <t>PRIME A620M-A</t>
  </si>
  <si>
    <t>PRIME A620M-E</t>
  </si>
  <si>
    <t>PRIME A620M-K</t>
  </si>
  <si>
    <t>TUF GAMING A620M-PLUS</t>
  </si>
  <si>
    <t>TUF GAMING A620M-PLUS WIFI</t>
  </si>
  <si>
    <t>Mediatek MT7902</t>
  </si>
  <si>
    <t>A620MP-E PRO</t>
  </si>
  <si>
    <t>A620M DS3H</t>
  </si>
  <si>
    <t>A620M GAMING X</t>
  </si>
  <si>
    <t>A620M GAMING X AX</t>
  </si>
  <si>
    <t>A620M H</t>
  </si>
  <si>
    <t>A620M S2H</t>
  </si>
  <si>
    <t>PRO A620M-E</t>
  </si>
  <si>
    <t>B650M-HDV/M.2</t>
  </si>
  <si>
    <t>B650M PG Riptide</t>
  </si>
  <si>
    <t>12+2</t>
  </si>
  <si>
    <t>Vishay SiC634 50A</t>
  </si>
  <si>
    <t>B650M PG Riptide WiFi</t>
  </si>
  <si>
    <t>AMD Wi-Fi 6E RZ608 / RZ616 (Mediatek MT7921K / MT7922)</t>
  </si>
  <si>
    <t>B650M Pro RS</t>
  </si>
  <si>
    <t>B650M Pro RS WiFi</t>
  </si>
  <si>
    <t>PRIME B650M-A</t>
  </si>
  <si>
    <t>PRIME B650M-A WIFI</t>
  </si>
  <si>
    <t>Realtek RTL8852BE</t>
  </si>
  <si>
    <t>PRIME B650M-A WIFI II</t>
  </si>
  <si>
    <t>PRIME B650M-A AX</t>
  </si>
  <si>
    <t>PRIME B650M-A AX II</t>
  </si>
  <si>
    <t>PRIME B650M-K</t>
  </si>
  <si>
    <t>TUF GAMING B650M-E</t>
  </si>
  <si>
    <t>TUF GAMING B650M-E WIFI</t>
  </si>
  <si>
    <t>TUF GAMING B650M-PLUS</t>
  </si>
  <si>
    <t>Asus ASP2208</t>
  </si>
  <si>
    <t>TUF GAMING B650M-PLUS WIFI</t>
  </si>
  <si>
    <t>Mediatek MT7921 / Realtek RTL8852BE</t>
  </si>
  <si>
    <t>B650M-SILVER</t>
  </si>
  <si>
    <t>12+2?</t>
  </si>
  <si>
    <t>12?</t>
  </si>
  <si>
    <t>B650MP-E PRO</t>
  </si>
  <si>
    <t>B650MXC PRO</t>
  </si>
  <si>
    <t>B650M AORUS ELITE</t>
  </si>
  <si>
    <t>6666+</t>
  </si>
  <si>
    <t>OnSemi NCP303160 60A</t>
  </si>
  <si>
    <t>B650M AORUS ELITE AX</t>
  </si>
  <si>
    <t>AMD Wi-Fi 6E RZ616 (Mediatek MT7922) (rev 1.0) / Intel Wi-Fi 6E AX210 (rev 1.1)</t>
  </si>
  <si>
    <t>B650M AORUS PRO AX</t>
  </si>
  <si>
    <t>OnSemi FDMF5062 70A</t>
  </si>
  <si>
    <t>B650M C</t>
  </si>
  <si>
    <t>B650M DS3H</t>
  </si>
  <si>
    <t>B650M GAMING X AX</t>
  </si>
  <si>
    <t>B650M K</t>
  </si>
  <si>
    <t>MAG B650M MORTAR</t>
  </si>
  <si>
    <t>MAG B650M MORTAR WIFI</t>
  </si>
  <si>
    <t>PRO B650M-A</t>
  </si>
  <si>
    <t>Alpha &amp; Omega AOZ5016QI 55A</t>
  </si>
  <si>
    <t>PRO B650M-A WIFI</t>
  </si>
  <si>
    <t>PRO B650M-P</t>
  </si>
  <si>
    <t>B650D4U-2L2T/BCM</t>
  </si>
  <si>
    <t>Broadcom BCM57416 + Intel I210 + Realtek RTL8211F</t>
  </si>
  <si>
    <t>3x1 + 2x10</t>
  </si>
  <si>
    <t>B650D4U-2T/BCM</t>
  </si>
  <si>
    <t>1 + 2x10</t>
  </si>
  <si>
    <t>B650EGTQ</t>
  </si>
  <si>
    <t>ROG CROSSHAIR X670E GENE</t>
  </si>
  <si>
    <t>16+2</t>
  </si>
  <si>
    <t>SP3</t>
  </si>
  <si>
    <t>ROMED4ID-2T</t>
  </si>
  <si>
    <t>H310CM-DVS</t>
  </si>
  <si>
    <t>Richtek RT3607BC</t>
  </si>
  <si>
    <t>H310CM-HDV</t>
  </si>
  <si>
    <t>H310M-DGS</t>
  </si>
  <si>
    <t>H310M-G/M.2</t>
  </si>
  <si>
    <t>H310M-HDV</t>
  </si>
  <si>
    <t>H310M-HDV/M.2</t>
  </si>
  <si>
    <t>H310M-HDVP</t>
  </si>
  <si>
    <t>PRIME H310M-A</t>
  </si>
  <si>
    <t>PRIME H310M-A R2.0</t>
  </si>
  <si>
    <t>PRIME H310M-C R2.0/CSM</t>
  </si>
  <si>
    <t>uPI QM3054 &amp; QM3056</t>
  </si>
  <si>
    <t>PRIME H310M-C/CSM</t>
  </si>
  <si>
    <t>PRIME H310M-D</t>
  </si>
  <si>
    <t>Vishay SiRA14DP &amp; SiRA12DP</t>
  </si>
  <si>
    <t>PRIME H310M-E</t>
  </si>
  <si>
    <t>PRIME H310M-E R2.0</t>
  </si>
  <si>
    <t>PRIME H310M-K</t>
  </si>
  <si>
    <t>PRIME H310M-K R2.0</t>
  </si>
  <si>
    <t>TUF H310M-PLUS GAMING</t>
  </si>
  <si>
    <t>H310MHD PRO</t>
  </si>
  <si>
    <t>Richtek RT3606BC</t>
  </si>
  <si>
    <t>H310MHP</t>
  </si>
  <si>
    <t>Renesas</t>
  </si>
  <si>
    <t>H310M A</t>
  </si>
  <si>
    <t>H310M DS2</t>
  </si>
  <si>
    <t>H310M DS2V</t>
  </si>
  <si>
    <t>H310M H</t>
  </si>
  <si>
    <t>H310M HD2</t>
  </si>
  <si>
    <t>H310M S2</t>
  </si>
  <si>
    <t>H310M S2H</t>
  </si>
  <si>
    <t>H310M S2P</t>
  </si>
  <si>
    <t>H310M S2V</t>
  </si>
  <si>
    <t>H310M GAMING ARCTIC</t>
  </si>
  <si>
    <t>Richtek</t>
  </si>
  <si>
    <t>H310M GAMING PLUS</t>
  </si>
  <si>
    <t>H310M PRO-D</t>
  </si>
  <si>
    <t>H310M PRO-M2</t>
  </si>
  <si>
    <t>H310M PRO-M2 PLUS</t>
  </si>
  <si>
    <t>H310M PRO-VD</t>
  </si>
  <si>
    <t>H310M PRO-VDH</t>
  </si>
  <si>
    <t>H310M PRO-VDH PLUS</t>
  </si>
  <si>
    <t>H310M PRO-VH</t>
  </si>
  <si>
    <t>H310M PRO-VHL</t>
  </si>
  <si>
    <t>H310M PRO-VL</t>
  </si>
  <si>
    <t>B360M-HDV</t>
  </si>
  <si>
    <t>EX-B360M-V5</t>
  </si>
  <si>
    <t>PRIME B360M-A</t>
  </si>
  <si>
    <t>PRIME B360M-K</t>
  </si>
  <si>
    <t>TUF B360M-E GAMING</t>
  </si>
  <si>
    <t>TUF B360M-PLUS GAMING</t>
  </si>
  <si>
    <t>B360GT3S</t>
  </si>
  <si>
    <t>B360MHD PRO</t>
  </si>
  <si>
    <t>B360 Micro Gaming</t>
  </si>
  <si>
    <t>Realtek ALC888</t>
  </si>
  <si>
    <t>B360M AORUS GAMING 3</t>
  </si>
  <si>
    <t>B360M D2V</t>
  </si>
  <si>
    <t>B360M D3H GSM</t>
  </si>
  <si>
    <t>B360M D3P</t>
  </si>
  <si>
    <t>B360M D3V</t>
  </si>
  <si>
    <t>B360M DS3H</t>
  </si>
  <si>
    <t>B360M GAMING HD</t>
  </si>
  <si>
    <t>B360M H</t>
  </si>
  <si>
    <t>B360M HD3</t>
  </si>
  <si>
    <t>B360M GAMING PLUS</t>
  </si>
  <si>
    <t>B360M PRO-VH</t>
  </si>
  <si>
    <t>B365M-HDV</t>
  </si>
  <si>
    <t>B365M Pro4</t>
  </si>
  <si>
    <t>PRIME B365M-A</t>
  </si>
  <si>
    <t>PRIME B365M-K</t>
  </si>
  <si>
    <t>B365MHC</t>
  </si>
  <si>
    <t>B365M D3H</t>
  </si>
  <si>
    <t>B365M DS3H</t>
  </si>
  <si>
    <t>B365M H</t>
  </si>
  <si>
    <t>B365M HD3</t>
  </si>
  <si>
    <t>H370M D3H</t>
  </si>
  <si>
    <t>H370M D3H GSM</t>
  </si>
  <si>
    <t>Z370M DS3H</t>
  </si>
  <si>
    <t>3866+</t>
  </si>
  <si>
    <t>ROG MAXIMUS XI GENE</t>
  </si>
  <si>
    <t>4 NVMe</t>
  </si>
  <si>
    <t>H410M/ac</t>
  </si>
  <si>
    <t>Richtek RT3609AE</t>
  </si>
  <si>
    <t>Potens DEC3908X &amp; DEC3906X</t>
  </si>
  <si>
    <t>PRIME H410M-A</t>
  </si>
  <si>
    <t>UBIQ QN3104 &amp; QN3106</t>
  </si>
  <si>
    <t>PRIME H410M-D</t>
  </si>
  <si>
    <t>PRIME H410M-E</t>
  </si>
  <si>
    <t>PRIME H410M-K</t>
  </si>
  <si>
    <t>Pro H410M-C/CSM</t>
  </si>
  <si>
    <t>H410M DS2V</t>
  </si>
  <si>
    <t>Intersil</t>
  </si>
  <si>
    <t>H410M H</t>
  </si>
  <si>
    <t>H410M S2H</t>
  </si>
  <si>
    <t>H410M PRO</t>
  </si>
  <si>
    <t>H410M-A PRO</t>
  </si>
  <si>
    <t>9?</t>
  </si>
  <si>
    <t>EX-B460M-V5</t>
  </si>
  <si>
    <t>PRIME B460M-A</t>
  </si>
  <si>
    <t>Vishay SiRA14 &amp; SiRA12</t>
  </si>
  <si>
    <t>PRIME B460M-K</t>
  </si>
  <si>
    <t>B460M D2V</t>
  </si>
  <si>
    <t>B460M DS3H AC</t>
  </si>
  <si>
    <t>B460M PRO</t>
  </si>
  <si>
    <t>B460M-A PRO</t>
  </si>
  <si>
    <t>H510M-HDV/M.2</t>
  </si>
  <si>
    <t>Sinopower SM4508 &amp; SM4503</t>
  </si>
  <si>
    <t>H510M-HDV</t>
  </si>
  <si>
    <t>H510M-HVS</t>
  </si>
  <si>
    <t>H510M/ac</t>
  </si>
  <si>
    <t>EX-H510M-V3</t>
  </si>
  <si>
    <t>PRIME H510M-A</t>
  </si>
  <si>
    <t>PRIME H510M-A WIFI</t>
  </si>
  <si>
    <t>PRIME H510M-D</t>
  </si>
  <si>
    <t>PRIME H510M-E</t>
  </si>
  <si>
    <t>PRIME H510M-F</t>
  </si>
  <si>
    <t>Pro H510M-C/CSM</t>
  </si>
  <si>
    <t>Pro H510M-CT/CSM</t>
  </si>
  <si>
    <t>H510MH/E 2.0</t>
  </si>
  <si>
    <t>H510MX/E 2.0</t>
  </si>
  <si>
    <t>H510M A</t>
  </si>
  <si>
    <t>ONSemi NCP81229</t>
  </si>
  <si>
    <t>H510M DS2</t>
  </si>
  <si>
    <t>H510M DS2V</t>
  </si>
  <si>
    <t>Vishay SiRA88 &amp; SiRA12</t>
  </si>
  <si>
    <t>H510M H</t>
  </si>
  <si>
    <t>H510M S2</t>
  </si>
  <si>
    <t>H510M S2H</t>
  </si>
  <si>
    <t>H510M PRO</t>
  </si>
  <si>
    <t>H510M-A PRO</t>
  </si>
  <si>
    <t>B560M-HDV</t>
  </si>
  <si>
    <t>B560M-HDV-A</t>
  </si>
  <si>
    <t>PRIME B560M-A</t>
  </si>
  <si>
    <t>PRIME B560M-K</t>
  </si>
  <si>
    <t>B560M D2V</t>
  </si>
  <si>
    <t>B560M GAMING HD</t>
  </si>
  <si>
    <t>B560M H</t>
  </si>
  <si>
    <t>B560M POWER</t>
  </si>
  <si>
    <t>B560M PRO</t>
  </si>
  <si>
    <t>ONSemi NCP81267</t>
  </si>
  <si>
    <t>B560M PRO WIFI</t>
  </si>
  <si>
    <t>B560M PRO-E</t>
  </si>
  <si>
    <t>Richtek RT3607CE</t>
  </si>
  <si>
    <t>PK178BA &amp; PK664BA</t>
  </si>
  <si>
    <t>B560M-A PRO</t>
  </si>
  <si>
    <t>Z590M Phantom Gaming 4</t>
  </si>
  <si>
    <t>Sinopower SM4508 &amp; SM4373</t>
  </si>
  <si>
    <t>Z590M Pro4</t>
  </si>
  <si>
    <t>PRIME Z590M-PLUS</t>
  </si>
  <si>
    <t>2 NVMe + 
1 NVMe/SATA</t>
  </si>
  <si>
    <t>Alpha &amp; Omega AOZ5316NQI 55A</t>
  </si>
  <si>
    <t>BATTLE-AX Z590M GAMING V20</t>
  </si>
  <si>
    <t>CVN Z590M GAMING FROZEN V20</t>
  </si>
  <si>
    <t>CVN Z590M GAMING PRO V20</t>
  </si>
  <si>
    <t>Z590M</t>
  </si>
  <si>
    <t>Z590M GAMING X</t>
  </si>
  <si>
    <t>12+1</t>
  </si>
  <si>
    <t>Vishay SiC649A 60A</t>
  </si>
  <si>
    <t>MPG Z590M GAMING EDGE WIFI</t>
  </si>
  <si>
    <t>Z590M PRO</t>
  </si>
  <si>
    <t>H610M-HDV</t>
  </si>
  <si>
    <t>Richtek RT3624QE</t>
  </si>
  <si>
    <t>H610M-HDV/M.2</t>
  </si>
  <si>
    <t>H610M-HDVP/D5</t>
  </si>
  <si>
    <t>H610M-HVS</t>
  </si>
  <si>
    <t>EX-H610M-V3 D4</t>
  </si>
  <si>
    <t>PRIME H610M-A D4</t>
  </si>
  <si>
    <t>PRIME H610M-A WIFI D4</t>
  </si>
  <si>
    <t>PRIME H610M-D D4</t>
  </si>
  <si>
    <t>PRIME H610M-E</t>
  </si>
  <si>
    <t>PRIME H610M-E D4</t>
  </si>
  <si>
    <t>PRIME H610M-F D4</t>
  </si>
  <si>
    <t>PRIME H610M-K D4</t>
  </si>
  <si>
    <t>Pro H610M-C-CSM</t>
  </si>
  <si>
    <t>Pro H610M-C D4-CSM</t>
  </si>
  <si>
    <t>H610MH</t>
  </si>
  <si>
    <t>H610MHP</t>
  </si>
  <si>
    <t>H610MX-E</t>
  </si>
  <si>
    <t>H610M H DDR4</t>
  </si>
  <si>
    <t>Vishay SiRA18BDP &amp; SIRA12BDP</t>
  </si>
  <si>
    <t>H610M HD3P</t>
  </si>
  <si>
    <t>H610M S2 DDR4</t>
  </si>
  <si>
    <t>H610M S2H DDR4</t>
  </si>
  <si>
    <t>MS-挑战者 H610M</t>
  </si>
  <si>
    <t>PRO H610M-B DDR4</t>
  </si>
  <si>
    <t>PRO H610M-C EX</t>
  </si>
  <si>
    <t>PRO H610M-C EX DDR4</t>
  </si>
  <si>
    <t>PRO H610M-E DDR4</t>
  </si>
  <si>
    <t>PRO H610M-G</t>
  </si>
  <si>
    <t>PRO H610M-G DDR4</t>
  </si>
  <si>
    <t>PRO H610M-G WIFI DDR4</t>
  </si>
  <si>
    <t>B660M-HDV</t>
  </si>
  <si>
    <t>B660M-HDVP/D5</t>
  </si>
  <si>
    <t>B660M PG Riptide</t>
  </si>
  <si>
    <t>15?</t>
  </si>
  <si>
    <t>B660M Phantom Gaming 4</t>
  </si>
  <si>
    <t>B660M Pro RS</t>
  </si>
  <si>
    <t>B660M Pro RS/D5</t>
  </si>
  <si>
    <t>B660M Steel Legend</t>
  </si>
  <si>
    <t>Y (20Gbps)</t>
  </si>
  <si>
    <t>EX-B660M-V5 D4</t>
  </si>
  <si>
    <t>EX-B660M-V5 PRO D4</t>
  </si>
  <si>
    <t>PRIME B660M-A D4</t>
  </si>
  <si>
    <t>PRIME B660M-A WIFI D4</t>
  </si>
  <si>
    <t>PRIME B660M-K D4</t>
  </si>
  <si>
    <t>ONSemi 4C10C &amp; ​4C06B</t>
  </si>
  <si>
    <t>Pro B660M-C-CSM</t>
  </si>
  <si>
    <t>Pro B660M-C D4-CSM</t>
  </si>
  <si>
    <t>ROG STRIX B660-G GAMING WIFI</t>
  </si>
  <si>
    <t>TUF GAMING B660M-E D4</t>
  </si>
  <si>
    <t>TUF GAMING B660M-PLUS D4</t>
  </si>
  <si>
    <t>TUF GAMING B660M-PLUS WIFI</t>
  </si>
  <si>
    <t>TUF GAMING B660M-PLUS WIFI D4</t>
  </si>
  <si>
    <t>B660M-SILVER</t>
  </si>
  <si>
    <t>ONSemi FDMF5062 70A</t>
  </si>
  <si>
    <t>B660MX-E</t>
  </si>
  <si>
    <t>B660MX-E PRO</t>
  </si>
  <si>
    <t>B660MXC PRO</t>
  </si>
  <si>
    <t>B660GTQ</t>
  </si>
  <si>
    <t>BATTLE-AX B660M-HD DELUXE V20</t>
  </si>
  <si>
    <t>CVN B660M GAMING FROZEN V20</t>
  </si>
  <si>
    <t>Intel Wi-Fi 6</t>
  </si>
  <si>
    <t>CVN B660M GAMING PRO V20</t>
  </si>
  <si>
    <t>B660M AORUS ELITE DDR4</t>
  </si>
  <si>
    <t>B660M AORUS ELITE AX DDR4</t>
  </si>
  <si>
    <t>B660M AORUS PRO</t>
  </si>
  <si>
    <t>B660M AORUS PRO AX</t>
  </si>
  <si>
    <t>B660M AORUS PRO AX DDR4</t>
  </si>
  <si>
    <t>B660M AORUS PRO DDR4</t>
  </si>
  <si>
    <t>B660M D2H DDR4</t>
  </si>
  <si>
    <t>B660M D3H DDR4</t>
  </si>
  <si>
    <t>B660M DS3H AX DDR4</t>
  </si>
  <si>
    <t>B660M DS3H DDR4</t>
  </si>
  <si>
    <t>B660M GAMING DDR4</t>
  </si>
  <si>
    <t>B660M GAMING AC DDR4</t>
  </si>
  <si>
    <t>B660M GAMING X</t>
  </si>
  <si>
    <t>B660M GAMING X AX</t>
  </si>
  <si>
    <t>B660M GAMING X AX DDR4</t>
  </si>
  <si>
    <t>B660M GAMING X DDR4</t>
  </si>
  <si>
    <t>B660M POWER DDR4</t>
  </si>
  <si>
    <t>MS-挑战者 B660M</t>
  </si>
  <si>
    <t>MS-终结者 B660M</t>
  </si>
  <si>
    <t>MS-iCraft B660M WIFI</t>
  </si>
  <si>
    <t>Monolithic MP2960A</t>
  </si>
  <si>
    <t>16+1</t>
  </si>
  <si>
    <t>Monolithic MP86945A 60A</t>
  </si>
  <si>
    <t>MAG B660M BAZOOKA</t>
  </si>
  <si>
    <t>Alpha &amp; Omega AONS36308 53A</t>
  </si>
  <si>
    <t>MAG B660M BAZOOKA DDR4</t>
  </si>
  <si>
    <t>MAG B660M MORTAR</t>
  </si>
  <si>
    <t>MAG B660M MORTAR DDR4</t>
  </si>
  <si>
    <t>MAG B660M MORTAX MAX WIFI DDR4</t>
  </si>
  <si>
    <t>MAG B660M MORTAR WIFI</t>
  </si>
  <si>
    <t>MAG B660M MORTAR WIFI DDR4</t>
  </si>
  <si>
    <t>PRO B660M-A</t>
  </si>
  <si>
    <t>PRO B660M-A CEC WIFI DDR4</t>
  </si>
  <si>
    <t>PRO B660M-A DDR4</t>
  </si>
  <si>
    <t>PRO B660M-A WIFI</t>
  </si>
  <si>
    <t>PRO B660M-A WIFI DDR4</t>
  </si>
  <si>
    <t>PRO B660M-B DDR4</t>
  </si>
  <si>
    <t>Sinopower SM4337 &amp; ​SM4503</t>
  </si>
  <si>
    <t>PRO B660M-B</t>
  </si>
  <si>
    <t>PRO B660M-E DDR4</t>
  </si>
  <si>
    <t>PRO B660M-G DDR4</t>
  </si>
  <si>
    <t>PRO B660M-G</t>
  </si>
  <si>
    <t>PRO B660M-P DDR4</t>
  </si>
  <si>
    <t>PRO B660M-P WIFI DDR4</t>
  </si>
  <si>
    <t>H670M Pro RS</t>
  </si>
  <si>
    <t>Z690M PG Riptide/D5</t>
  </si>
  <si>
    <t>13?</t>
  </si>
  <si>
    <t>Z690M Phantom Gaming 4</t>
  </si>
  <si>
    <t>Z690D4ID-2T</t>
  </si>
  <si>
    <t>PRIME Z690M-PLUS D4</t>
  </si>
  <si>
    <t>ROG STRIX Z690-G GAMING WIFI</t>
  </si>
  <si>
    <t>CVN Z690M GAMING FROZEN V20</t>
  </si>
  <si>
    <t>CVN Z690M GAMING PRO V20</t>
  </si>
  <si>
    <t>Z690M AORUS ELITE DDR4</t>
  </si>
  <si>
    <t>ONSemi NCP303160 60A</t>
  </si>
  <si>
    <t>Z690M AORUS ELITE AX DDR4</t>
  </si>
  <si>
    <t>Z690M DS3H DDR4</t>
  </si>
  <si>
    <t>MAG Z690M MORTAR WIFI</t>
  </si>
  <si>
    <t>B760M-H/M.2</t>
  </si>
  <si>
    <t>B760M-HDV/M.2</t>
  </si>
  <si>
    <t>B760M-HDV/M.2 D4</t>
  </si>
  <si>
    <t>B760M-HDVP</t>
  </si>
  <si>
    <t>B760M PG Lightning/D4</t>
  </si>
  <si>
    <t>B760M PG Lightning</t>
  </si>
  <si>
    <t>B760M PG Lightning WiFi</t>
  </si>
  <si>
    <t>Intel Wi-Fi 6E AX210 / AX211</t>
  </si>
  <si>
    <t>B760M PG Riptide</t>
  </si>
  <si>
    <t>B760M PG Riptide WiFi</t>
  </si>
  <si>
    <t>B760M PG SONIC WiFi</t>
  </si>
  <si>
    <t>B760M Pro RS</t>
  </si>
  <si>
    <t>B760M Pro RS/D4</t>
  </si>
  <si>
    <t>B760M Pro RS/D4 WiFi</t>
  </si>
  <si>
    <t>B760M Steel Legend WiFi</t>
  </si>
  <si>
    <t>EX-B760M-V5</t>
  </si>
  <si>
    <t>EX-B760M-V5 D4</t>
  </si>
  <si>
    <t>PRIME B760M-A</t>
  </si>
  <si>
    <t>PRIME B760M-A D4</t>
  </si>
  <si>
    <t>PRIME B760M-A AX D4</t>
  </si>
  <si>
    <t>PRIME B760M-A WIFI</t>
  </si>
  <si>
    <t>PRIME B760M-A WIFI D4</t>
  </si>
  <si>
    <t>PRIME B760M-AJ D4</t>
  </si>
  <si>
    <t>PRIME B760M-K</t>
  </si>
  <si>
    <t>PRIME B760M-K D4</t>
  </si>
  <si>
    <t>ROG STRIX B760-G GAMING WIFI D4</t>
  </si>
  <si>
    <t>ROG STRIX B760-G GAMING WIFI</t>
  </si>
  <si>
    <t>7800+</t>
  </si>
  <si>
    <t>TUF GAMING B760M-E D4</t>
  </si>
  <si>
    <t>TUF GAMING B760M-PLUS</t>
  </si>
  <si>
    <t>TUF GAMING B760M-PLUS D4</t>
  </si>
  <si>
    <t>TUF GAMING B760M-PLUS WIFI</t>
  </si>
  <si>
    <t>TUF GAMING B760M-PLUS WIFI D4</t>
  </si>
  <si>
    <t>B760M-SILVER</t>
  </si>
  <si>
    <t>B760MH D4</t>
  </si>
  <si>
    <t>B760MX-E</t>
  </si>
  <si>
    <t>B760MX-E D4</t>
  </si>
  <si>
    <t>B760MX2-E</t>
  </si>
  <si>
    <t>B760MX2-E D4</t>
  </si>
  <si>
    <t>B760MX2-E PRO D4</t>
  </si>
  <si>
    <t>B760MXC PRO</t>
  </si>
  <si>
    <t>B760MXC PRO 2.0</t>
  </si>
  <si>
    <t>B760MZ-E PRO</t>
  </si>
  <si>
    <t>BATTLE-AX B760M-F PRO V20</t>
  </si>
  <si>
    <t>BATTLE-AX B760M-PLUS D5 V20</t>
  </si>
  <si>
    <t>CVN B760M FROZEN WIFI V20</t>
  </si>
  <si>
    <t>CVN B760M FROZEN WIFI D5 V20</t>
  </si>
  <si>
    <t>B760M AORUS ELITE</t>
  </si>
  <si>
    <t>B760M AORUS ELITE AX</t>
  </si>
  <si>
    <t>Intel Wi-Fi 6E AX211 (rev 1.0) / Realtek Wi-Fi 6E RTL8852CE (rev. 1.1)</t>
  </si>
  <si>
    <t>B760M AORUS ELITE AX (rev 1.2/1.3)</t>
  </si>
  <si>
    <t>Realtek Wi-Fi 6E RTL8852CE (rev. 1.2) / Intel Wi-Fi 6E AX211 (rev 1.3)</t>
  </si>
  <si>
    <t>B760M AORUS ELITE AX DDR4</t>
  </si>
  <si>
    <t>Intel Wi-Fi 6E AX211 (rev 1.0/1.1) / Realtek Wi-Fi 6E RTL8852CE (rev. 1.2)</t>
  </si>
  <si>
    <t>B760M AORUS ELITE DDR4</t>
  </si>
  <si>
    <t>B760M AORUS ELITE X AX</t>
  </si>
  <si>
    <t>8266+</t>
  </si>
  <si>
    <t>Realtek Wi-Fi 6E RTL8852CE (rev. 1.0) / Intel Wi-Fi 6E AX211 (rev 1.1)</t>
  </si>
  <si>
    <t>B760M AORUS PRO</t>
  </si>
  <si>
    <t>B760M AORUS PRO AX</t>
  </si>
  <si>
    <t>B760M AORUS PRO AX DDR4</t>
  </si>
  <si>
    <t>B760M AORUS PRO DDR4</t>
  </si>
  <si>
    <t>B760M C</t>
  </si>
  <si>
    <t>Realtek RTL8821CE (rev 1.0/1.1) / Intel Wireless-AC 9461 (rev 1.2)</t>
  </si>
  <si>
    <t>B760M D DDR4</t>
  </si>
  <si>
    <t>B760M D2H</t>
  </si>
  <si>
    <t>B760M D2H DDR4</t>
  </si>
  <si>
    <t>B760M D3H DDR4</t>
  </si>
  <si>
    <t>B760M DS3H AX DDR4</t>
  </si>
  <si>
    <t>AMD Wi-Fi 6E RZ608 (Mediatek MT7921K) (rev 1.0) / Intel Wi-Fi 6E AX210 (rev. 1.1) / Intel Wi-Fi 6E AX211 (rev. 1.2) / Realtek Wi-Fi 6E RTL8852CE (rev. 1.3)</t>
  </si>
  <si>
    <t>B760M DS3H</t>
  </si>
  <si>
    <t>B760M DS3H DDR4</t>
  </si>
  <si>
    <t>B760M E</t>
  </si>
  <si>
    <t>B760M GAMING</t>
  </si>
  <si>
    <t>B760M GAMING DDR4</t>
  </si>
  <si>
    <t>B760M GAMING AC</t>
  </si>
  <si>
    <t>Realtek RTL8821CE (rev 1.0) / Intel Wireless-AC 9461 (rev 1.1)</t>
  </si>
  <si>
    <t>B760M GAMING AC DDR4</t>
  </si>
  <si>
    <t>B760M GAMING WIFI</t>
  </si>
  <si>
    <t>Intel Wireless-AC 9461</t>
  </si>
  <si>
    <t>B760M GAMING X AX</t>
  </si>
  <si>
    <t>Intel Wi-Fi 6E AX210 (rev. 1.0) / Intel Wi-Fi 6E AX211 (rev. 1.1) / Realtek Wi-Fi 6E RTL8852CE (rev. 1.2)</t>
  </si>
  <si>
    <t>B760M GAMING X AX DDR4</t>
  </si>
  <si>
    <t>AMD Wi-Fi 6E RZ608 (Mediatek MT7921K) (rev 1.0) / Intel Wi-Fi 6E AX210 (rev. 1.1) / Realtek Wi-Fi 6E RTL8852CE (rev. 1.3) / Intel Wi-Fi 6E AX211 (rev 1.2/1.4)</t>
  </si>
  <si>
    <t>B760M GAMING X</t>
  </si>
  <si>
    <t>B760M GAMING X DDR4</t>
  </si>
  <si>
    <t>B760M H</t>
  </si>
  <si>
    <t>B760M H DDR4</t>
  </si>
  <si>
    <t>B760M POWER</t>
  </si>
  <si>
    <t>B760M POWER DDR4</t>
  </si>
  <si>
    <t>MS-终结者 B760M D4</t>
  </si>
  <si>
    <t>MS-终结者 B760M D4 WIFI</t>
  </si>
  <si>
    <t>Intel Wi-Fi 6E</t>
  </si>
  <si>
    <t>MAG B760M MORTAR</t>
  </si>
  <si>
    <t>75A Power Stages</t>
  </si>
  <si>
    <t>MAG B760M MORTAR II</t>
  </si>
  <si>
    <t>MAG B760M MORTAR DDR4</t>
  </si>
  <si>
    <t>MAG B760M MORTAR MAX WIFI</t>
  </si>
  <si>
    <t>MAG B760M MORTAR MAX WIFI DDR4</t>
  </si>
  <si>
    <t>MAG B760M MORTAR WIFI</t>
  </si>
  <si>
    <t>MAG B760M MORTAR WIFI II</t>
  </si>
  <si>
    <t>MAG B760M MORTAR WIFI DDR4</t>
  </si>
  <si>
    <t>MPG B760M EDGE TI WIFI</t>
  </si>
  <si>
    <t>PRO B760M-A DDR4</t>
  </si>
  <si>
    <t>PRO B760M-A DDR4 II</t>
  </si>
  <si>
    <t>PRO B760M-A WIFI</t>
  </si>
  <si>
    <t>PRO B760M-A WIFI DDR4</t>
  </si>
  <si>
    <t>PRO B760M-B</t>
  </si>
  <si>
    <t>PRO B760M-E DDR4</t>
  </si>
  <si>
    <t>PRO B760M-G</t>
  </si>
  <si>
    <t>PRO B760M-G DDR4</t>
  </si>
  <si>
    <t>PRO B760M-P</t>
  </si>
  <si>
    <t>PRO B760M-P DDR4</t>
  </si>
  <si>
    <t>Z790M PG Lightning/D4</t>
  </si>
  <si>
    <t>PRIME Z790M-PLUS</t>
  </si>
  <si>
    <t>PRIME Z790M-PLUS D4</t>
  </si>
  <si>
    <t>BATTLE-AX Z790M-PLUS D5 V20</t>
  </si>
  <si>
    <t>CVN Z790M FROZEN V20</t>
  </si>
  <si>
    <t>CVN Z790M FROZEN D5 V20</t>
  </si>
  <si>
    <t>Z790M AORUS ELITE</t>
  </si>
  <si>
    <t>Z790M AORUS ELITE (rev 1.1)</t>
  </si>
  <si>
    <t>Z790M AORUS ELITE AX</t>
  </si>
  <si>
    <t>Z790M AORUS ELITE AX (rev 1.1)</t>
  </si>
  <si>
    <t>MS-终结者 Z790M D5</t>
  </si>
  <si>
    <t>5 NVMe</t>
  </si>
  <si>
    <t>Form Factor</t>
  </si>
  <si>
    <t>Wattage</t>
  </si>
  <si>
    <t>AC Input Voltage (V)</t>
  </si>
  <si>
    <t>ATX 3.X / SFX 4.X Compatible</t>
  </si>
  <si>
    <t>80 PLUS Rating</t>
  </si>
  <si>
    <t>80 PLUS Test Report</t>
  </si>
  <si>
    <t>Cybenetics ETA 115V</t>
  </si>
  <si>
    <t>Cybenetics ETA 230V</t>
  </si>
  <si>
    <t>Cybenetics Lambda 115V</t>
  </si>
  <si>
    <t>Cybenetics Lambda 230V</t>
  </si>
  <si>
    <t>Modular</t>
  </si>
  <si>
    <t>Semi Passive</t>
  </si>
  <si>
    <t>PSU Fan Start (load)</t>
  </si>
  <si>
    <t>ATX Bracket</t>
  </si>
  <si>
    <t>24-pin (20+4) ATX cable</t>
  </si>
  <si>
    <t>8-pin (4+4) EPS cable</t>
  </si>
  <si>
    <t>8-pin (4+4) EPS Connectors</t>
  </si>
  <si>
    <t>PCIe (6+2) cable</t>
  </si>
  <si>
    <t>PCIe (6+2) Connectors</t>
  </si>
  <si>
    <t>12VHPWR / 12V-2x6 (12+4pin) cable</t>
  </si>
  <si>
    <t>12VHPWR / 12V-2x6 (12+4pin) Connectors</t>
  </si>
  <si>
    <t>SATA cable</t>
  </si>
  <si>
    <t>SATA Connectors</t>
  </si>
  <si>
    <t>Peripheral cable</t>
  </si>
  <si>
    <t>Peripheral Connectors</t>
  </si>
  <si>
    <t>Warranty (years)</t>
  </si>
  <si>
    <t>1st Player</t>
  </si>
  <si>
    <t>SFX 6.5</t>
  </si>
  <si>
    <t>100-240</t>
  </si>
  <si>
    <t>225W</t>
  </si>
  <si>
    <t>1x350mm</t>
  </si>
  <si>
    <t>1x570mm</t>
  </si>
  <si>
    <t>1x400mm + 1x550mm</t>
  </si>
  <si>
    <t>2x750mm</t>
  </si>
  <si>
    <t>1x750mm</t>
  </si>
  <si>
    <t>Helly</t>
  </si>
  <si>
    <t>SFX 7.5</t>
  </si>
  <si>
    <t>Standard+</t>
  </si>
  <si>
    <t>SFX 7.5 White</t>
  </si>
  <si>
    <t>SFX 8.5</t>
  </si>
  <si>
    <t>SFX-500</t>
  </si>
  <si>
    <t>90-264</t>
  </si>
  <si>
    <t>300W</t>
  </si>
  <si>
    <t>1x330mm</t>
  </si>
  <si>
    <t>1x400mm</t>
  </si>
  <si>
    <t>1x520mm</t>
  </si>
  <si>
    <t>1x600mm</t>
  </si>
  <si>
    <t>SFX-500W</t>
  </si>
  <si>
    <t>SFX-650</t>
  </si>
  <si>
    <t>1x300mm</t>
  </si>
  <si>
    <t>1x550mm</t>
  </si>
  <si>
    <t>1x400m + 1x520mm</t>
  </si>
  <si>
    <t>2x480mm</t>
  </si>
  <si>
    <t>1x480mm</t>
  </si>
  <si>
    <t>SFX-650W</t>
  </si>
  <si>
    <t>SFX-750</t>
  </si>
  <si>
    <t>SFX-750W</t>
  </si>
  <si>
    <t>SFX-850</t>
  </si>
  <si>
    <t>3x400mm</t>
  </si>
  <si>
    <t>1x450mm</t>
  </si>
  <si>
    <t>SFX-850W</t>
  </si>
  <si>
    <t>Apexgaming</t>
  </si>
  <si>
    <t>SFX-650M</t>
  </si>
  <si>
    <t>1x650mm</t>
  </si>
  <si>
    <t>1x745mm</t>
  </si>
  <si>
    <t>Solytech</t>
  </si>
  <si>
    <t>SFX-650MW</t>
  </si>
  <si>
    <t>SFX-750M</t>
  </si>
  <si>
    <t>2x650mm</t>
  </si>
  <si>
    <t>2x745mm</t>
  </si>
  <si>
    <t>SFX-750MW</t>
  </si>
  <si>
    <t>SFX-850M</t>
  </si>
  <si>
    <t>SFX-850MW</t>
  </si>
  <si>
    <t>Aresgame</t>
  </si>
  <si>
    <t>GL850</t>
  </si>
  <si>
    <t>Always on</t>
  </si>
  <si>
    <t>2x700mm</t>
  </si>
  <si>
    <t>1 (600W)</t>
  </si>
  <si>
    <t>2x950mm</t>
  </si>
  <si>
    <t>1x800mm</t>
  </si>
  <si>
    <t>Jiumeng</t>
  </si>
  <si>
    <t>ROG Loki SFX-L 750W Platinum</t>
  </si>
  <si>
    <t>SFX-L</t>
  </si>
  <si>
    <t>A+</t>
  </si>
  <si>
    <t>2x550mm</t>
  </si>
  <si>
    <t>2x450mm</t>
  </si>
  <si>
    <t>2x600mm</t>
  </si>
  <si>
    <t>Great Wall</t>
  </si>
  <si>
    <t>ROG Loki SFX-L 850W Platinum</t>
  </si>
  <si>
    <t>ROG Loki SFX-L 850W Platinum White Edition</t>
  </si>
  <si>
    <t>ROG Loki SFX-L 1000W Platinum</t>
  </si>
  <si>
    <t>ROG Loki SFX-L 1200W Titanium</t>
  </si>
  <si>
    <t>Standard++</t>
  </si>
  <si>
    <t>2 (600W)</t>
  </si>
  <si>
    <t>SFX Power 2 300W</t>
  </si>
  <si>
    <t>Bronze</t>
  </si>
  <si>
    <t>1 (4-pin)</t>
  </si>
  <si>
    <t>1x500mm</t>
  </si>
  <si>
    <t>2x500mm</t>
  </si>
  <si>
    <t>SFX Power 2 400W</t>
  </si>
  <si>
    <t>SFX Power 3 300W</t>
  </si>
  <si>
    <t>SFX Power 3 450W</t>
  </si>
  <si>
    <t>SFX L Power 500W</t>
  </si>
  <si>
    <t>1x550mm + 1x650mm</t>
  </si>
  <si>
    <t>1x600mm + 1x800mm</t>
  </si>
  <si>
    <t>1x700mm</t>
  </si>
  <si>
    <t>High Power</t>
  </si>
  <si>
    <t>SFX L Power 600W</t>
  </si>
  <si>
    <t>A-</t>
  </si>
  <si>
    <t>V550 SFX Gold</t>
  </si>
  <si>
    <t>2x520mm</t>
  </si>
  <si>
    <t>2x445mm</t>
  </si>
  <si>
    <t>1x445mm</t>
  </si>
  <si>
    <t>Gospower</t>
  </si>
  <si>
    <t>V650 SFX Gold</t>
  </si>
  <si>
    <t>V750 SFX Gold</t>
  </si>
  <si>
    <t>V750 SFX Gold White Edition</t>
  </si>
  <si>
    <t>V750 SFX Gold ATX 3.0</t>
  </si>
  <si>
    <t>V750 SFX Gold ATX 3.0 White Edition</t>
  </si>
  <si>
    <t>V850 SFX Gold</t>
  </si>
  <si>
    <t>V850 SFX Gold White Edition</t>
  </si>
  <si>
    <t>V850 SFX Gold ATX 3.0</t>
  </si>
  <si>
    <t>V850 SFX Gold ATX 3.0 White Edition</t>
  </si>
  <si>
    <t>V1100 SFX Platinum</t>
  </si>
  <si>
    <t>1x460mm</t>
  </si>
  <si>
    <t>Sysgration</t>
  </si>
  <si>
    <t>V1300 SFX Platinum</t>
  </si>
  <si>
    <t>200-240</t>
  </si>
  <si>
    <t>200-240V only</t>
  </si>
  <si>
    <t>SF450 Gold</t>
  </si>
  <si>
    <t>90W</t>
  </si>
  <si>
    <t>2x400mm</t>
  </si>
  <si>
    <t>SF450 Platinum</t>
  </si>
  <si>
    <t>180W</t>
  </si>
  <si>
    <t>SF600 Gold</t>
  </si>
  <si>
    <t>120W</t>
  </si>
  <si>
    <t>SF600 Platinum</t>
  </si>
  <si>
    <t>240W</t>
  </si>
  <si>
    <t>SF750 Platinum</t>
  </si>
  <si>
    <t>SF750 Platinum ATX 3.1</t>
  </si>
  <si>
    <t>SF850 Platinum ATX 3.1</t>
  </si>
  <si>
    <t>340W</t>
  </si>
  <si>
    <t>SF850L</t>
  </si>
  <si>
    <t>2x400mm + 1x500mm</t>
  </si>
  <si>
    <t>SF1000 Platinum ATX 3.1</t>
  </si>
  <si>
    <t>400W</t>
  </si>
  <si>
    <t>4x400mm</t>
  </si>
  <si>
    <t>SF1000L</t>
  </si>
  <si>
    <t>Standard</t>
  </si>
  <si>
    <t>3x400mm + 1x500mm</t>
  </si>
  <si>
    <t>CWT</t>
  </si>
  <si>
    <t>Enhance</t>
  </si>
  <si>
    <t>ENP-7025B</t>
  </si>
  <si>
    <t>ENP-7140B</t>
  </si>
  <si>
    <t>ENP-7660B</t>
  </si>
  <si>
    <t>ENP-8345L</t>
  </si>
  <si>
    <t>1x180mm</t>
  </si>
  <si>
    <t>1x250mm</t>
  </si>
  <si>
    <t>165mm long</t>
  </si>
  <si>
    <t>SuperNOVA 450 GM</t>
  </si>
  <si>
    <t>1x510mm</t>
  </si>
  <si>
    <t>1x630mm</t>
  </si>
  <si>
    <t>SuperNOVA 550 GM</t>
  </si>
  <si>
    <t>1x510mm + 1x620mm</t>
  </si>
  <si>
    <t>SuperNOVA 650 GM</t>
  </si>
  <si>
    <t>SuperNOVA 750 GM</t>
  </si>
  <si>
    <t>SuperNOVA 850 GM</t>
  </si>
  <si>
    <t>Anode SFX Bronze 450W</t>
  </si>
  <si>
    <t>250W</t>
  </si>
  <si>
    <t>Seasonic</t>
  </si>
  <si>
    <t>325W</t>
  </si>
  <si>
    <t>2x800mm</t>
  </si>
  <si>
    <t>Dagger 500W</t>
  </si>
  <si>
    <t>2x350mm</t>
  </si>
  <si>
    <t>Dagger 600W</t>
  </si>
  <si>
    <t>Dagger Pro 550W</t>
  </si>
  <si>
    <t>Dagger Pro 650W</t>
  </si>
  <si>
    <t>1x850mm</t>
  </si>
  <si>
    <t>Dagger Pro 750W</t>
  </si>
  <si>
    <t>Dagger Pro 850W</t>
  </si>
  <si>
    <t>Dagger Pro ATX3.0(PCIe 5.0) 750W</t>
  </si>
  <si>
    <t>1x740mm + 1x915mm</t>
  </si>
  <si>
    <t>1x740mm</t>
  </si>
  <si>
    <t>Dagger Pro ATX3.0(PCIe 5.0) 850W</t>
  </si>
  <si>
    <t>Dagger Pro ATX3.0(PCIe 5.0) 850W White</t>
  </si>
  <si>
    <t>Flex 500G (FSP500-50UG)</t>
  </si>
  <si>
    <t>1x200mm</t>
  </si>
  <si>
    <t>Loud fan</t>
  </si>
  <si>
    <t>FlexGURU 250W (FSP250-50FGBBI(M))</t>
  </si>
  <si>
    <t>FlexGURU 300W (FSP300-57FCB)</t>
  </si>
  <si>
    <t>FlexGURU PRO 500W (FSP500-50FDB)</t>
  </si>
  <si>
    <t>2x155mm</t>
  </si>
  <si>
    <t>1x660mm</t>
  </si>
  <si>
    <t>FSP150-50FGBBB</t>
  </si>
  <si>
    <t>FSP400-60FGGBA</t>
  </si>
  <si>
    <t>FSP500-50FGGBN</t>
  </si>
  <si>
    <t>FSP500-50FSPT</t>
  </si>
  <si>
    <t>MS350D</t>
  </si>
  <si>
    <t>1(6-pin)</t>
  </si>
  <si>
    <t>220V only</t>
  </si>
  <si>
    <t>MS450</t>
  </si>
  <si>
    <t>MS500</t>
  </si>
  <si>
    <t>MS600</t>
  </si>
  <si>
    <t>MS600G</t>
  </si>
  <si>
    <t>MS650G</t>
  </si>
  <si>
    <t>MS750G</t>
  </si>
  <si>
    <t>MS850G</t>
  </si>
  <si>
    <t>1x400mm + 1x500mm</t>
  </si>
  <si>
    <t>1x450mm + 1x600mm</t>
  </si>
  <si>
    <t>SFX PRO 350W</t>
  </si>
  <si>
    <t>SFX PRO 450W</t>
  </si>
  <si>
    <t>Hunters TITAN TF600</t>
  </si>
  <si>
    <t>Hunters TITAN TF650</t>
  </si>
  <si>
    <t>Hunters TITAN TF750</t>
  </si>
  <si>
    <t>2x545mm</t>
  </si>
  <si>
    <t>Hunters TITAN TF850</t>
  </si>
  <si>
    <t>HDPLEX</t>
  </si>
  <si>
    <t>250W GaN Passive AIO ATX</t>
  </si>
  <si>
    <t>500W GaN Passive AIO ATX</t>
  </si>
  <si>
    <t>60C</t>
  </si>
  <si>
    <t>CS-700W</t>
  </si>
  <si>
    <t>Kolink</t>
  </si>
  <si>
    <t>SFX-250</t>
  </si>
  <si>
    <t>No PCIe Connector</t>
  </si>
  <si>
    <t>SFX-350</t>
  </si>
  <si>
    <t>SFX-450</t>
  </si>
  <si>
    <t>1x360mm</t>
  </si>
  <si>
    <t>1x610mm</t>
  </si>
  <si>
    <t>SP750</t>
  </si>
  <si>
    <t>1x400mm + 1x520mm</t>
  </si>
  <si>
    <t>SP850</t>
  </si>
  <si>
    <t>Has a 12pin GPU cable included</t>
  </si>
  <si>
    <t>Micro Center</t>
  </si>
  <si>
    <t>PowerSpec PS 750SFXG</t>
  </si>
  <si>
    <t>1 (300W)</t>
  </si>
  <si>
    <t>PowerSpec PS 850SFXG</t>
  </si>
  <si>
    <t>1 (450W)</t>
  </si>
  <si>
    <t>CENTURY MINI 650</t>
  </si>
  <si>
    <t>CENTURY MINI 750</t>
  </si>
  <si>
    <t>钒星-FX500</t>
  </si>
  <si>
    <t>1x430mm</t>
  </si>
  <si>
    <t>Revolt SFX 650W Gold</t>
  </si>
  <si>
    <t>3x450mm</t>
  </si>
  <si>
    <t>Revolt SFX 750W Gold</t>
  </si>
  <si>
    <t>Revolt SFX 750W Platinum</t>
  </si>
  <si>
    <t>Revolt SFX 850W Platinum</t>
  </si>
  <si>
    <t>1x310mm</t>
  </si>
  <si>
    <t>1x420mm</t>
  </si>
  <si>
    <t>2x250mm</t>
  </si>
  <si>
    <t>2x550mm + 1x390mm</t>
  </si>
  <si>
    <t>ERMIS 450B</t>
  </si>
  <si>
    <t>Casecom</t>
  </si>
  <si>
    <t>ERMIS 550B</t>
  </si>
  <si>
    <t>Redragon</t>
  </si>
  <si>
    <t>PSU014 650W</t>
  </si>
  <si>
    <t>PSU015 750W</t>
  </si>
  <si>
    <t>金钻500M</t>
  </si>
  <si>
    <t>1x895mm</t>
  </si>
  <si>
    <t>1x1045mm</t>
  </si>
  <si>
    <t>金钻550M</t>
  </si>
  <si>
    <t>金钻600M</t>
  </si>
  <si>
    <t>金钻650M</t>
  </si>
  <si>
    <t>Focus SGX-550 (2021)</t>
  </si>
  <si>
    <t>Focus SGX-650 (2021)</t>
  </si>
  <si>
    <t>Focus SGX-750 (2021)</t>
  </si>
  <si>
    <t>Focus SPX-650 (2021)</t>
  </si>
  <si>
    <t>Focus SPX-750 (2021)</t>
  </si>
  <si>
    <t>GF650-SFX</t>
  </si>
  <si>
    <t>GF750-SFX</t>
  </si>
  <si>
    <t>Rebel P20 SFX 750</t>
  </si>
  <si>
    <t>100W</t>
  </si>
  <si>
    <t>2x420mm</t>
  </si>
  <si>
    <t>2x780mm</t>
  </si>
  <si>
    <t>1x320mm</t>
  </si>
  <si>
    <t>Rebel P20 SFX 850</t>
  </si>
  <si>
    <t>Rebel P20 SFX 1000</t>
  </si>
  <si>
    <t>150W</t>
  </si>
  <si>
    <t>SilentStorm SFX Bronze 350</t>
  </si>
  <si>
    <t>SilentStorm SFX Bronze 450</t>
  </si>
  <si>
    <t>1(6-pin) + 1(8-pin)</t>
  </si>
  <si>
    <t>SilentStorm SFX Gold 500</t>
  </si>
  <si>
    <t>Extreme 350 Bronze</t>
  </si>
  <si>
    <t>Extreme 500 Bronze</t>
  </si>
  <si>
    <t>Extreme 850R Platinum</t>
  </si>
  <si>
    <t>200W</t>
  </si>
  <si>
    <t>Extreme 1200R Platinum</t>
  </si>
  <si>
    <t>FX500</t>
  </si>
  <si>
    <t>FX600 Platinum</t>
  </si>
  <si>
    <t>A++</t>
  </si>
  <si>
    <t>55C</t>
  </si>
  <si>
    <t>SX300-B</t>
  </si>
  <si>
    <t>90-265</t>
  </si>
  <si>
    <t>SX450-B</t>
  </si>
  <si>
    <t>2x620mm</t>
  </si>
  <si>
    <t>SX550-G</t>
  </si>
  <si>
    <t>45C</t>
  </si>
  <si>
    <t>1x550mm + 1x700mm</t>
  </si>
  <si>
    <t>2x600mm + 1x900mm</t>
  </si>
  <si>
    <t>SX750 Gold</t>
  </si>
  <si>
    <t>SX750 Platinum</t>
  </si>
  <si>
    <t>3x700mm</t>
  </si>
  <si>
    <t>SX1000 Platinum</t>
  </si>
  <si>
    <t>3x550mm</t>
  </si>
  <si>
    <t>SX1000R Platinum</t>
  </si>
  <si>
    <t>SGFX650</t>
  </si>
  <si>
    <t>2x360mm</t>
  </si>
  <si>
    <t>SANR</t>
  </si>
  <si>
    <t>SGFX650-W</t>
  </si>
  <si>
    <t>SGFX850-W</t>
  </si>
  <si>
    <t>TGFX550</t>
  </si>
  <si>
    <t>TGFX550-W</t>
  </si>
  <si>
    <t>TGFX650</t>
  </si>
  <si>
    <t>TGFX650-W</t>
  </si>
  <si>
    <t>TGFX750</t>
  </si>
  <si>
    <t>TGFX750-W</t>
  </si>
  <si>
    <t>TGFX850</t>
  </si>
  <si>
    <t>TGFX850-W</t>
  </si>
  <si>
    <t>TPFX650</t>
  </si>
  <si>
    <t>TPFX650-W</t>
  </si>
  <si>
    <t>TPFX750</t>
  </si>
  <si>
    <t>TPFX750-W</t>
  </si>
  <si>
    <t>TPFX850</t>
  </si>
  <si>
    <t>TPFX850-W</t>
  </si>
  <si>
    <t>Toughpower SFX 450W Gold</t>
  </si>
  <si>
    <t>Toughpower SFX 450W Gold - TT Premium Edition</t>
  </si>
  <si>
    <t>HKC</t>
  </si>
  <si>
    <t>Toughpower SFX 550W Gold - TT Premium Edition</t>
  </si>
  <si>
    <t>Toughpower SFX 600W Gold</t>
  </si>
  <si>
    <t>Toughpower SFX 650W Gold - TT Premium Edition</t>
  </si>
  <si>
    <t>Toughpower SFX 750W Gold - TT Premium Edition</t>
  </si>
  <si>
    <t>Toughpower SFX Platinum 750W - TT Premium Edition</t>
  </si>
  <si>
    <t>1x900mm</t>
  </si>
  <si>
    <t>Toughpower SFX 850W Gold - TT Premium Edition</t>
  </si>
  <si>
    <t>Toughpower SFX Platinum 850W - TT Premium Edition</t>
  </si>
  <si>
    <t>Toughpower SFX 1000W Gold - TT Premium Edition</t>
  </si>
  <si>
    <t>Toughpower SFX Platinum 1000W - TT Premium Edition</t>
  </si>
  <si>
    <t>Cores</t>
  </si>
  <si>
    <t>Threads</t>
  </si>
  <si>
    <t>Base Clock (GHz)</t>
  </si>
  <si>
    <t>Boost Clock (GHz)</t>
  </si>
  <si>
    <t>L2 Cache (MB)</t>
  </si>
  <si>
    <t>L3 Cache (MB)</t>
  </si>
  <si>
    <t>Useable PCIe Lanes</t>
  </si>
  <si>
    <t>Integrated GPU</t>
  </si>
  <si>
    <t>Memory Speed (Mbps)</t>
  </si>
  <si>
    <t>Overclock</t>
  </si>
  <si>
    <t>MRSP (US$)</t>
  </si>
  <si>
    <t>Cooler Included</t>
  </si>
  <si>
    <t>Ryzen 3</t>
  </si>
  <si>
    <t>Zen (Summit Ridge)</t>
  </si>
  <si>
    <t>GF 14nm</t>
  </si>
  <si>
    <t>3.0 x20</t>
  </si>
  <si>
    <t>Wraith Stealth</t>
  </si>
  <si>
    <t>1200 AF</t>
  </si>
  <si>
    <t>Zen+ (Pinnacle Ridge)</t>
  </si>
  <si>
    <t>GF 12nm</t>
  </si>
  <si>
    <t>1300X</t>
  </si>
  <si>
    <t>Ryzen 5</t>
  </si>
  <si>
    <t>1500X</t>
  </si>
  <si>
    <t>Wraith Spire</t>
  </si>
  <si>
    <t>1600 AF</t>
  </si>
  <si>
    <t>1600X</t>
  </si>
  <si>
    <t>Ryzen 7</t>
  </si>
  <si>
    <t>1700X</t>
  </si>
  <si>
    <t>1800X</t>
  </si>
  <si>
    <t>Athlon</t>
  </si>
  <si>
    <t>Zen (Raven Ridge)</t>
  </si>
  <si>
    <t>3.0 x12</t>
  </si>
  <si>
    <t>Vega 3</t>
  </si>
  <si>
    <t>Yes</t>
  </si>
  <si>
    <t>Ryzen 3 PRO</t>
  </si>
  <si>
    <t>2200GE</t>
  </si>
  <si>
    <t>Vega 8</t>
  </si>
  <si>
    <t>OEM only</t>
  </si>
  <si>
    <t>2200G</t>
  </si>
  <si>
    <t>Ryzen 5 PRO</t>
  </si>
  <si>
    <t>2400GE</t>
  </si>
  <si>
    <t>Vega 11</t>
  </si>
  <si>
    <t>2400G</t>
  </si>
  <si>
    <t>Wraith Prism</t>
  </si>
  <si>
    <t>Athlon Silver</t>
  </si>
  <si>
    <t>3050GE</t>
  </si>
  <si>
    <t>Athlon Gold</t>
  </si>
  <si>
    <t>3150GE</t>
  </si>
  <si>
    <t>Zen+ (Picasso)</t>
  </si>
  <si>
    <t>3150G</t>
  </si>
  <si>
    <t>Zen 2 (Matisse)</t>
  </si>
  <si>
    <t>4.0 x20</t>
  </si>
  <si>
    <t>3200GE</t>
  </si>
  <si>
    <t>3200G</t>
  </si>
  <si>
    <t>3350G</t>
  </si>
  <si>
    <t>Vega 10</t>
  </si>
  <si>
    <t>3400GE</t>
  </si>
  <si>
    <t>3400G</t>
  </si>
  <si>
    <t>3600XT</t>
  </si>
  <si>
    <t>Ryzen 7 PRO</t>
  </si>
  <si>
    <t>3800XT</t>
  </si>
  <si>
    <t>Ryzen 9 PRO</t>
  </si>
  <si>
    <t>Ryzen 9</t>
  </si>
  <si>
    <t>3900XT</t>
  </si>
  <si>
    <t>Zen 2 (Renoir)</t>
  </si>
  <si>
    <t>4300GE</t>
  </si>
  <si>
    <t>Vega 6</t>
  </si>
  <si>
    <t>4300G</t>
  </si>
  <si>
    <t>4350GE</t>
  </si>
  <si>
    <t>4350G</t>
  </si>
  <si>
    <t>4600GE</t>
  </si>
  <si>
    <t>Vega 7</t>
  </si>
  <si>
    <t>4600G</t>
  </si>
  <si>
    <t>4650GE</t>
  </si>
  <si>
    <t>4650G</t>
  </si>
  <si>
    <t>4700GE</t>
  </si>
  <si>
    <t>4700G</t>
  </si>
  <si>
    <t>4750GE</t>
  </si>
  <si>
    <t>4750G</t>
  </si>
  <si>
    <t>5300GE</t>
  </si>
  <si>
    <t>Zen 3 (Cezanne)</t>
  </si>
  <si>
    <t>5300G</t>
  </si>
  <si>
    <t>5350GE</t>
  </si>
  <si>
    <t>5350G</t>
  </si>
  <si>
    <t>5500GT</t>
  </si>
  <si>
    <t>Zen 3 (Vermeer)</t>
  </si>
  <si>
    <t>5600GE</t>
  </si>
  <si>
    <t>5600G</t>
  </si>
  <si>
    <t>5600GT</t>
  </si>
  <si>
    <t>5600X</t>
  </si>
  <si>
    <t>5600X3D</t>
  </si>
  <si>
    <t>5650GE</t>
  </si>
  <si>
    <t>5650G</t>
  </si>
  <si>
    <t>5700GE</t>
  </si>
  <si>
    <t>5700G</t>
  </si>
  <si>
    <t>5700X</t>
  </si>
  <si>
    <t>5700X3D</t>
  </si>
  <si>
    <t>5750GE</t>
  </si>
  <si>
    <t>5750G</t>
  </si>
  <si>
    <t>5800X</t>
  </si>
  <si>
    <t>5800X3D</t>
  </si>
  <si>
    <t>5900X</t>
  </si>
  <si>
    <t>5950X</t>
  </si>
  <si>
    <t>7500F</t>
  </si>
  <si>
    <t>Zen 4 (Raphael)</t>
  </si>
  <si>
    <t>5.0 x24</t>
  </si>
  <si>
    <t>2 CU</t>
  </si>
  <si>
    <t>7600X</t>
  </si>
  <si>
    <t>7700X</t>
  </si>
  <si>
    <t>7800X3D</t>
  </si>
  <si>
    <t>7900X</t>
  </si>
  <si>
    <t>7900X3D</t>
  </si>
  <si>
    <t>7950X</t>
  </si>
  <si>
    <t>7950X3D</t>
  </si>
  <si>
    <t>8300G</t>
  </si>
  <si>
    <t>Zen 4 (Phoenix 2)</t>
  </si>
  <si>
    <t>TSMC N4</t>
  </si>
  <si>
    <t>4.0 x10</t>
  </si>
  <si>
    <t>R740M</t>
  </si>
  <si>
    <t>8400F</t>
  </si>
  <si>
    <t>Zen 4 (Hawk Point)</t>
  </si>
  <si>
    <t>4.0 x16</t>
  </si>
  <si>
    <t>8500G</t>
  </si>
  <si>
    <t>8600G</t>
  </si>
  <si>
    <t>R760M</t>
  </si>
  <si>
    <t>8700F</t>
  </si>
  <si>
    <t>8700G</t>
  </si>
  <si>
    <t>R780M</t>
  </si>
  <si>
    <t>9600X</t>
  </si>
  <si>
    <t>Zen 5 (Granite Ridge)</t>
  </si>
  <si>
    <t>9700X</t>
  </si>
  <si>
    <t>9900X</t>
  </si>
  <si>
    <t>9950X</t>
  </si>
  <si>
    <t>Celeron</t>
  </si>
  <si>
    <t>Skylake</t>
  </si>
  <si>
    <t>Intel 14nm</t>
  </si>
  <si>
    <t>3.0 x16</t>
  </si>
  <si>
    <t>HD 510</t>
  </si>
  <si>
    <t>Intel Cooler</t>
  </si>
  <si>
    <t>Pentium</t>
  </si>
  <si>
    <t>HD 530</t>
  </si>
  <si>
    <t>Core i3</t>
  </si>
  <si>
    <t>Core i5</t>
  </si>
  <si>
    <t>Core i7</t>
  </si>
  <si>
    <t>Kaby Lake</t>
  </si>
  <si>
    <t>HD 610</t>
  </si>
  <si>
    <t>HD 630</t>
  </si>
  <si>
    <t>Coffee Lake S</t>
  </si>
  <si>
    <t>UHD 610</t>
  </si>
  <si>
    <t>Pentium Gold</t>
  </si>
  <si>
    <t>UHD 630</t>
  </si>
  <si>
    <t>Coffee Lake R</t>
  </si>
  <si>
    <t>Core i9</t>
  </si>
  <si>
    <t>Comet Lake S</t>
  </si>
  <si>
    <t>G5905T</t>
  </si>
  <si>
    <t>G5905</t>
  </si>
  <si>
    <t>G5925</t>
  </si>
  <si>
    <t>G6405T</t>
  </si>
  <si>
    <t>G6405</t>
  </si>
  <si>
    <t>G6505T</t>
  </si>
  <si>
    <t>G6505</t>
  </si>
  <si>
    <t>G6605</t>
  </si>
  <si>
    <t>10100F</t>
  </si>
  <si>
    <t>10105T</t>
  </si>
  <si>
    <t>10105F</t>
  </si>
  <si>
    <t>10305T</t>
  </si>
  <si>
    <t>10850K</t>
  </si>
  <si>
    <t>11400T</t>
  </si>
  <si>
    <t>Rocket Lake S</t>
  </si>
  <si>
    <t>UHD 730</t>
  </si>
  <si>
    <t>11400F</t>
  </si>
  <si>
    <t>11500T</t>
  </si>
  <si>
    <t>UHD 750</t>
  </si>
  <si>
    <t>11600T</t>
  </si>
  <si>
    <t>11600KF</t>
  </si>
  <si>
    <t>11600K</t>
  </si>
  <si>
    <t>11700T</t>
  </si>
  <si>
    <t>11700F</t>
  </si>
  <si>
    <t>11700KF</t>
  </si>
  <si>
    <t>11700K</t>
  </si>
  <si>
    <t>11900T</t>
  </si>
  <si>
    <t>11900F</t>
  </si>
  <si>
    <t>11900KF</t>
  </si>
  <si>
    <t>11900K</t>
  </si>
  <si>
    <t>G6900T</t>
  </si>
  <si>
    <t>Alder Lake S</t>
  </si>
  <si>
    <t>Intel 7</t>
  </si>
  <si>
    <t>5.0 x16 + 4.0 x4</t>
  </si>
  <si>
    <t>UHD 710</t>
  </si>
  <si>
    <t>DDR4 / DDR5</t>
  </si>
  <si>
    <t>G6900</t>
  </si>
  <si>
    <t>Intel Laminar RS1</t>
  </si>
  <si>
    <t>G7400T</t>
  </si>
  <si>
    <t>G7400</t>
  </si>
  <si>
    <t>12100T</t>
  </si>
  <si>
    <t>12100F</t>
  </si>
  <si>
    <t>Intel Laminar RM1</t>
  </si>
  <si>
    <t>12300T</t>
  </si>
  <si>
    <t>12400T</t>
  </si>
  <si>
    <t>12400F</t>
  </si>
  <si>
    <t>12500T</t>
  </si>
  <si>
    <t>UHD 770</t>
  </si>
  <si>
    <t>12600T</t>
  </si>
  <si>
    <t>12600KF</t>
  </si>
  <si>
    <t>12600K</t>
  </si>
  <si>
    <t>12700T</t>
  </si>
  <si>
    <t>12700F</t>
  </si>
  <si>
    <t>12700KF</t>
  </si>
  <si>
    <t>12700K</t>
  </si>
  <si>
    <t>12900T</t>
  </si>
  <si>
    <t>12900F</t>
  </si>
  <si>
    <t>Intel Laminar RH1</t>
  </si>
  <si>
    <t>12900KF</t>
  </si>
  <si>
    <t>12900K</t>
  </si>
  <si>
    <t>12900KS</t>
  </si>
  <si>
    <t>13100T</t>
  </si>
  <si>
    <t>Raptor Lake S</t>
  </si>
  <si>
    <t>13100F</t>
  </si>
  <si>
    <t>13400T</t>
  </si>
  <si>
    <t>13400F</t>
  </si>
  <si>
    <t>13500T</t>
  </si>
  <si>
    <t>13600T</t>
  </si>
  <si>
    <t>13600KF</t>
  </si>
  <si>
    <t>13600K</t>
  </si>
  <si>
    <t>13700T</t>
  </si>
  <si>
    <t>13700F</t>
  </si>
  <si>
    <t>13700KF</t>
  </si>
  <si>
    <t>13700K</t>
  </si>
  <si>
    <t>13900T</t>
  </si>
  <si>
    <t>13900F</t>
  </si>
  <si>
    <t>13900KF</t>
  </si>
  <si>
    <t>13900K</t>
  </si>
  <si>
    <t>13900KS</t>
  </si>
  <si>
    <t>300T</t>
  </si>
  <si>
    <t>Raptor Lake Refresh S</t>
  </si>
  <si>
    <t>14100T</t>
  </si>
  <si>
    <t>14100F</t>
  </si>
  <si>
    <t>14400T</t>
  </si>
  <si>
    <t>14400F</t>
  </si>
  <si>
    <t>14500T</t>
  </si>
  <si>
    <t>14600T</t>
  </si>
  <si>
    <t>14600KF</t>
  </si>
  <si>
    <t>14600K</t>
  </si>
  <si>
    <t>14700T</t>
  </si>
  <si>
    <t>14700F</t>
  </si>
  <si>
    <t>14700KF</t>
  </si>
  <si>
    <t>14700K</t>
  </si>
  <si>
    <t>14900T</t>
  </si>
  <si>
    <t>14900F</t>
  </si>
  <si>
    <t>14900KF</t>
  </si>
  <si>
    <t>14900K</t>
  </si>
  <si>
    <t>14900KS</t>
  </si>
  <si>
    <t>CPU to Chipset Link</t>
  </si>
  <si>
    <t>CPU to Chipset Link Speed (GT/s)</t>
  </si>
  <si>
    <t>Chipset PCIe Lanes</t>
  </si>
  <si>
    <t>USB 2.0</t>
  </si>
  <si>
    <t>USB 3.2 Gen 1 (5Gbps)</t>
  </si>
  <si>
    <t>USB 3.2 Gen 2 (10Gbps)</t>
  </si>
  <si>
    <t>USB 3.2 Gen 2x2 (20Gbps)</t>
  </si>
  <si>
    <t>SATA 3.0</t>
  </si>
  <si>
    <t>RAID</t>
  </si>
  <si>
    <t>CPU Support</t>
  </si>
  <si>
    <t>PCIe 3.0 x4</t>
  </si>
  <si>
    <t>2.0 x4</t>
  </si>
  <si>
    <t>Ryzen 1000, 2000, 3000, 4000, 5000</t>
  </si>
  <si>
    <t>2.0 x6</t>
  </si>
  <si>
    <t>2.0 x8</t>
  </si>
  <si>
    <t>3.0 x6</t>
  </si>
  <si>
    <t>Ryzen 3000, 4000, 5000</t>
  </si>
  <si>
    <t>3.0 x10</t>
  </si>
  <si>
    <t>Ryzen 2000, 3000, 4000, 5000</t>
  </si>
  <si>
    <t>3.0 x8</t>
  </si>
  <si>
    <t>Ryzen 7000, 8000, 9000</t>
  </si>
  <si>
    <t>4.0 x12 + 3.0x4</t>
  </si>
  <si>
    <t>X670</t>
  </si>
  <si>
    <t>4.0 x16 + 3.0 x8</t>
  </si>
  <si>
    <t>X870</t>
  </si>
  <si>
    <t>X870E</t>
  </si>
  <si>
    <t>DMI 2.0 x4</t>
  </si>
  <si>
    <t>Intel 6th, 7th Gen</t>
  </si>
  <si>
    <t>DMI 3.0 x4</t>
  </si>
  <si>
    <t>3.0 x24</t>
  </si>
  <si>
    <t>Intel 8th, 9th Gen</t>
  </si>
  <si>
    <t>Intel 10th Gen</t>
  </si>
  <si>
    <t>Intel 10th, 11th Gen</t>
  </si>
  <si>
    <t>DMI 3.0 x8</t>
  </si>
  <si>
    <t>DMI 4.0 x4</t>
  </si>
  <si>
    <t>Intel 12th, 13th, 14th Gen</t>
  </si>
  <si>
    <t>4.0 x6 + 3.0 x8</t>
  </si>
  <si>
    <t>DMI 4.0 x8</t>
  </si>
  <si>
    <t>4.0 x12 + 3.0 x12</t>
  </si>
  <si>
    <t>4.0 x12 + 3.0 x16</t>
  </si>
  <si>
    <t>4.0 x10 + 3.0 x4</t>
  </si>
  <si>
    <t>H770</t>
  </si>
  <si>
    <t>4.0 x20 + 3.0 x8</t>
  </si>
  <si>
    <t>Company</t>
  </si>
  <si>
    <t>ROG Huracan G21</t>
  </si>
  <si>
    <t>ONE</t>
  </si>
  <si>
    <t>Inspiron Compact</t>
  </si>
  <si>
    <t>OptiPlex Micro Form Factor</t>
  </si>
  <si>
    <t>OptiPlex Small Form Factor</t>
  </si>
  <si>
    <t>AORUS Model S</t>
  </si>
  <si>
    <t>HP</t>
  </si>
  <si>
    <t>Pavilion Gaming</t>
  </si>
  <si>
    <t>NUC 9 Extreme Ghost Canyon</t>
  </si>
  <si>
    <t>NUC 11 Phantom Canyon</t>
  </si>
  <si>
    <t>NUC 11 Extreme Beast Canyon</t>
  </si>
  <si>
    <t>NUC 12 Enthusiast Serpent Canyon</t>
  </si>
  <si>
    <t>NUC 12 Extreme Dragon Canyon</t>
  </si>
  <si>
    <t>NUC 13 Extreme Raptor Canyon</t>
  </si>
  <si>
    <t>Microsoft</t>
  </si>
  <si>
    <t>Xbox</t>
  </si>
  <si>
    <t>Xbox 360</t>
  </si>
  <si>
    <t>Xbox 360 S</t>
  </si>
  <si>
    <t>Xbox 360 E</t>
  </si>
  <si>
    <t>Xbox One</t>
  </si>
  <si>
    <t>Xbox One S</t>
  </si>
  <si>
    <t>Xbox One X</t>
  </si>
  <si>
    <t>Xbox Series S</t>
  </si>
  <si>
    <t>Xbox Series X</t>
  </si>
  <si>
    <t>MAG Infinite S</t>
  </si>
  <si>
    <t>MPG Trident 3</t>
  </si>
  <si>
    <t>MPG Trident A</t>
  </si>
  <si>
    <t>Nightblade MIB</t>
  </si>
  <si>
    <t>Nightblade MI3</t>
  </si>
  <si>
    <t>Seeed</t>
  </si>
  <si>
    <t>Odyssey X86J4125800</t>
  </si>
  <si>
    <t>Sony</t>
  </si>
  <si>
    <t>PlayStation</t>
  </si>
  <si>
    <t>PS One</t>
  </si>
  <si>
    <t>PlayStation 2</t>
  </si>
  <si>
    <t>PlayStation 2 Slim</t>
  </si>
  <si>
    <t>PlayStation 3</t>
  </si>
  <si>
    <t>PlayStation 3 Slim</t>
  </si>
  <si>
    <t>PlayStation 3 Super Slim</t>
  </si>
  <si>
    <t>PlayStation 4</t>
  </si>
  <si>
    <t>PlayStation 4 Slim</t>
  </si>
  <si>
    <t>PlayStation 4 Pro</t>
  </si>
  <si>
    <t>PlayStation 5</t>
  </si>
  <si>
    <t>PlayStation 5 Digital Edition</t>
  </si>
  <si>
    <t>PlayStation 5 Slim</t>
  </si>
  <si>
    <t>PlayStation 5 Slim Digital Edition</t>
  </si>
  <si>
    <t>Magnus One</t>
  </si>
  <si>
    <t>MEK MINI</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</si>
</sst>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000"/>
    <numFmt numFmtId="165" formatCode="#,##0.00;(#,##0.00)"/>
    <numFmt numFmtId="166" formatCode="dd MMM yyyy"/>
    <numFmt numFmtId="167" formatCode="mmmm yyyy"/>
    <numFmt numFmtId="168" formatCode="0.0"/>
    <numFmt numFmtId="169" formatCode="M/d/yyyy"/>
    <numFmt numFmtId="170" formatCode="d&quot; &quot;mmm&quot; &quot;yyyy"/>
    <numFmt numFmtId="171" formatCode="&quot; &quot;mmm&quot; &quot;yyyy"/>
    <numFmt numFmtId="172" formatCode="d mmm yyyy"/>
    <numFmt numFmtId="173" formatCode="d mmmm yyyy"/>
  </numFmts>
  <fonts count="167">
    <font>
      <sz val="10.0"/>
      <color rgb="FF000000"/>
      <name val="Arial"/>
      <scheme val="minor"/>
    </font>
    <font>
      <b/>
      <u/>
      <sz val="18.0"/>
      <color theme="1"/>
      <name val="Calibri"/>
    </font>
    <font>
      <b/>
      <sz val="11.0"/>
      <color rgb="FFFF0000"/>
      <name val="Calibri"/>
    </font>
    <font>
      <sz val="11.0"/>
      <color theme="1"/>
      <name val="Calibri"/>
    </font>
    <font>
      <b/>
      <sz val="11.0"/>
      <color theme="1"/>
      <name val="Calibri"/>
    </font>
    <font>
      <b/>
      <u/>
      <sz val="11.0"/>
      <color rgb="FF0000FF"/>
      <name val="Calibri"/>
    </font>
    <font>
      <b/>
      <u/>
      <sz val="11.0"/>
      <color rgb="FF0000FF"/>
      <name val="Calibri"/>
    </font>
    <font>
      <b/>
      <u/>
      <sz val="11.0"/>
      <color rgb="FF0000FF"/>
      <name val="Calibri"/>
    </font>
    <font>
      <b/>
      <u/>
      <sz val="11.0"/>
      <color rgb="FF0000FF"/>
      <name val="Calibri"/>
    </font>
    <font>
      <color theme="1"/>
      <name val="Arial"/>
      <scheme val="minor"/>
    </font>
    <font>
      <b/>
      <color theme="1"/>
      <name val="Arial"/>
      <scheme val="minor"/>
    </font>
    <font>
      <b/>
      <sz val="12.0"/>
      <color theme="1"/>
      <name val="Calibri"/>
    </font>
    <font>
      <sz val="12.0"/>
      <color theme="1"/>
      <name val="Calibri"/>
    </font>
    <font>
      <b/>
      <u/>
      <sz val="11.0"/>
      <color rgb="FF0000FF"/>
      <name val="Calibri"/>
    </font>
    <font>
      <sz val="11.0"/>
      <color rgb="FF000000"/>
      <name val="Calibri"/>
    </font>
    <font>
      <sz val="10.0"/>
      <color rgb="FF000000"/>
      <name val="Calibri"/>
    </font>
    <font>
      <b/>
      <sz val="11.0"/>
      <color rgb="FF000000"/>
      <name val="Calibri"/>
    </font>
    <font>
      <u/>
      <sz val="11.0"/>
      <color rgb="FF0000FF"/>
      <name val="Calibri"/>
    </font>
    <font>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color theme="1"/>
      <name val="Arial"/>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b/>
      <sz val="14.0"/>
      <color theme="1"/>
      <name val="Arial"/>
      <scheme val="minor"/>
    </font>
    <font>
      <u/>
      <color rgb="FF0000FF"/>
    </font>
    <font>
      <u/>
      <color rgb="FF0000FF"/>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color rgb="FF0000FF"/>
      <name val="Arial"/>
    </font>
    <font>
      <u/>
      <sz val="11.0"/>
      <color rgb="FF0000FF"/>
      <name val="Calibri"/>
    </font>
    <font>
      <sz val="11.0"/>
      <color rgb="FFFF0000"/>
      <name val="Calibri"/>
    </font>
    <font>
      <sz val="11.0"/>
      <color rgb="FF00FF00"/>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00"/>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s>
  <fills count="146">
    <fill>
      <patternFill patternType="none"/>
    </fill>
    <fill>
      <patternFill patternType="lightGray"/>
    </fill>
    <fill>
      <patternFill patternType="solid">
        <fgColor rgb="FF00FF00"/>
        <bgColor rgb="FF00FF00"/>
      </patternFill>
    </fill>
    <fill>
      <patternFill patternType="solid">
        <fgColor rgb="FFFFFF00"/>
        <bgColor rgb="FFFFFF00"/>
      </patternFill>
    </fill>
    <fill>
      <patternFill patternType="solid">
        <fgColor rgb="FF00FFFF"/>
        <bgColor rgb="FF00FFFF"/>
      </patternFill>
    </fill>
    <fill>
      <patternFill patternType="solid">
        <fgColor rgb="FFFFF2CC"/>
        <bgColor rgb="FFFFF2CC"/>
      </patternFill>
    </fill>
    <fill>
      <patternFill patternType="solid">
        <fgColor rgb="FF79C182"/>
        <bgColor rgb="FF79C182"/>
      </patternFill>
    </fill>
    <fill>
      <patternFill patternType="solid">
        <fgColor rgb="FF6ABE86"/>
        <bgColor rgb="FF6ABE86"/>
      </patternFill>
    </fill>
    <fill>
      <patternFill patternType="solid">
        <fgColor rgb="FF6EBE85"/>
        <bgColor rgb="FF6EBE85"/>
      </patternFill>
    </fill>
    <fill>
      <patternFill patternType="solid">
        <fgColor rgb="FFEC9270"/>
        <bgColor rgb="FFEC9270"/>
      </patternFill>
    </fill>
    <fill>
      <patternFill patternType="solid">
        <fgColor rgb="FFCEDD81"/>
        <bgColor rgb="FFCEDD81"/>
      </patternFill>
    </fill>
    <fill>
      <patternFill patternType="solid">
        <fgColor rgb="FFEAD36A"/>
        <bgColor rgb="FFEAD36A"/>
      </patternFill>
    </fill>
    <fill>
      <patternFill patternType="solid">
        <fgColor rgb="FFFFD666"/>
        <bgColor rgb="FFFFD666"/>
      </patternFill>
    </fill>
    <fill>
      <patternFill patternType="solid">
        <fgColor rgb="FFE67C73"/>
        <bgColor rgb="FFE67C73"/>
      </patternFill>
    </fill>
    <fill>
      <patternFill patternType="solid">
        <fgColor rgb="FFFED166"/>
        <bgColor rgb="FFFED166"/>
      </patternFill>
    </fill>
    <fill>
      <patternFill patternType="solid">
        <fgColor rgb="FFBECB74"/>
        <bgColor rgb="FFBECB74"/>
      </patternFill>
    </fill>
    <fill>
      <patternFill patternType="solid">
        <fgColor rgb="FFDFD06D"/>
        <bgColor rgb="FFDFD06D"/>
      </patternFill>
    </fill>
    <fill>
      <patternFill patternType="solid">
        <fgColor rgb="FFEED36A"/>
        <bgColor rgb="FFEED36A"/>
      </patternFill>
    </fill>
    <fill>
      <patternFill patternType="solid">
        <fgColor rgb="FFED9570"/>
        <bgColor rgb="FFED9570"/>
      </patternFill>
    </fill>
    <fill>
      <patternFill patternType="solid">
        <fgColor rgb="FFFDCC67"/>
        <bgColor rgb="FFFDCC67"/>
      </patternFill>
    </fill>
    <fill>
      <patternFill patternType="solid">
        <fgColor rgb="FFED946F"/>
        <bgColor rgb="FFED946F"/>
      </patternFill>
    </fill>
    <fill>
      <patternFill patternType="solid">
        <fgColor rgb="FFF6B36B"/>
        <bgColor rgb="FFF6B36B"/>
      </patternFill>
    </fill>
    <fill>
      <patternFill patternType="solid">
        <fgColor rgb="FFEB8D70"/>
        <bgColor rgb="FFEB8D70"/>
      </patternFill>
    </fill>
    <fill>
      <patternFill patternType="solid">
        <fgColor rgb="FFED976F"/>
        <bgColor rgb="FFED976F"/>
      </patternFill>
    </fill>
    <fill>
      <patternFill patternType="solid">
        <fgColor rgb="FFF7B96A"/>
        <bgColor rgb="FFF7B96A"/>
      </patternFill>
    </fill>
    <fill>
      <patternFill patternType="solid">
        <fgColor rgb="FFF7B66A"/>
        <bgColor rgb="FFF7B66A"/>
      </patternFill>
    </fill>
    <fill>
      <patternFill patternType="solid">
        <fgColor rgb="FFF09D6E"/>
        <bgColor rgb="FFF09D6E"/>
      </patternFill>
    </fill>
    <fill>
      <patternFill patternType="solid">
        <fgColor rgb="FFF8BE6A"/>
        <bgColor rgb="FFF8BE6A"/>
      </patternFill>
    </fill>
    <fill>
      <patternFill patternType="solid">
        <fgColor rgb="FFE2D26C"/>
        <bgColor rgb="FFE2D26C"/>
      </patternFill>
    </fill>
    <fill>
      <patternFill patternType="solid">
        <fgColor rgb="FFB4C977"/>
        <bgColor rgb="FFB4C977"/>
      </patternFill>
    </fill>
    <fill>
      <patternFill patternType="solid">
        <fgColor rgb="FFFED267"/>
        <bgColor rgb="FFFED267"/>
      </patternFill>
    </fill>
    <fill>
      <patternFill patternType="solid">
        <fgColor rgb="FFFDD167"/>
        <bgColor rgb="FFFDD167"/>
      </patternFill>
    </fill>
    <fill>
      <patternFill patternType="solid">
        <fgColor rgb="FFABC878"/>
        <bgColor rgb="FFABC878"/>
      </patternFill>
    </fill>
    <fill>
      <patternFill patternType="solid">
        <fgColor rgb="FFFED567"/>
        <bgColor rgb="FFFED567"/>
      </patternFill>
    </fill>
    <fill>
      <patternFill patternType="solid">
        <fgColor rgb="FFE1D16D"/>
        <bgColor rgb="FFE1D16D"/>
      </patternFill>
    </fill>
    <fill>
      <patternFill patternType="solid">
        <fgColor rgb="FFF8BC69"/>
        <bgColor rgb="FFF8BC69"/>
      </patternFill>
    </fill>
    <fill>
      <patternFill patternType="solid">
        <fgColor rgb="FFFAC769"/>
        <bgColor rgb="FFFAC769"/>
      </patternFill>
    </fill>
    <fill>
      <patternFill patternType="solid">
        <fgColor rgb="FFEED469"/>
        <bgColor rgb="FFEED469"/>
      </patternFill>
    </fill>
    <fill>
      <patternFill patternType="solid">
        <fgColor rgb="FFF5B16B"/>
        <bgColor rgb="FFF5B16B"/>
      </patternFill>
    </fill>
    <fill>
      <patternFill patternType="solid">
        <fgColor rgb="FFEE966F"/>
        <bgColor rgb="FFEE966F"/>
      </patternFill>
    </fill>
    <fill>
      <patternFill patternType="solid">
        <fgColor rgb="FFFDCE67"/>
        <bgColor rgb="FFFDCE67"/>
      </patternFill>
    </fill>
    <fill>
      <patternFill patternType="solid">
        <fgColor rgb="FFFAC569"/>
        <bgColor rgb="FFFAC569"/>
      </patternFill>
    </fill>
    <fill>
      <patternFill patternType="solid">
        <fgColor rgb="FFECD36A"/>
        <bgColor rgb="FFECD36A"/>
      </patternFill>
    </fill>
    <fill>
      <patternFill patternType="solid">
        <fgColor rgb="FFE8D26B"/>
        <bgColor rgb="FFE8D26B"/>
      </patternFill>
    </fill>
    <fill>
      <patternFill patternType="solid">
        <fgColor rgb="FFF6B46B"/>
        <bgColor rgb="FFF6B46B"/>
      </patternFill>
    </fill>
    <fill>
      <patternFill patternType="solid">
        <fgColor rgb="FFEFD36A"/>
        <bgColor rgb="FFEFD36A"/>
      </patternFill>
    </fill>
    <fill>
      <patternFill patternType="solid">
        <fgColor rgb="FFB9CA75"/>
        <bgColor rgb="FFB9CA75"/>
      </patternFill>
    </fill>
    <fill>
      <patternFill patternType="solid">
        <fgColor rgb="FFC8CE71"/>
        <bgColor rgb="FFC8CE71"/>
      </patternFill>
    </fill>
    <fill>
      <patternFill patternType="solid">
        <fgColor rgb="FFFCCC68"/>
        <bgColor rgb="FFFCCC68"/>
      </patternFill>
    </fill>
    <fill>
      <patternFill patternType="solid">
        <fgColor rgb="FFFBD567"/>
        <bgColor rgb="FFFBD567"/>
      </patternFill>
    </fill>
    <fill>
      <patternFill patternType="solid">
        <fgColor rgb="FFE98872"/>
        <bgColor rgb="FFE98872"/>
      </patternFill>
    </fill>
    <fill>
      <patternFill patternType="solid">
        <fgColor rgb="FFFAC669"/>
        <bgColor rgb="FFFAC669"/>
      </patternFill>
    </fill>
    <fill>
      <patternFill patternType="solid">
        <fgColor rgb="FFFAC368"/>
        <bgColor rgb="FFFAC368"/>
      </patternFill>
    </fill>
    <fill>
      <patternFill patternType="solid">
        <fgColor rgb="FFC1CC74"/>
        <bgColor rgb="FFC1CC74"/>
      </patternFill>
    </fill>
    <fill>
      <patternFill patternType="solid">
        <fgColor rgb="FFD1CE70"/>
        <bgColor rgb="FFD1CE70"/>
      </patternFill>
    </fill>
    <fill>
      <patternFill patternType="solid">
        <fgColor rgb="FFA3C77A"/>
        <bgColor rgb="FFA3C77A"/>
      </patternFill>
    </fill>
    <fill>
      <patternFill patternType="solid">
        <fgColor rgb="FF57BB8A"/>
        <bgColor rgb="FF57BB8A"/>
      </patternFill>
    </fill>
    <fill>
      <patternFill patternType="solid">
        <fgColor rgb="FFE4D26B"/>
        <bgColor rgb="FFE4D26B"/>
      </patternFill>
    </fill>
    <fill>
      <patternFill patternType="solid">
        <fgColor rgb="FFD9D06E"/>
        <bgColor rgb="FFD9D06E"/>
      </patternFill>
    </fill>
    <fill>
      <patternFill patternType="solid">
        <fgColor rgb="FFF6B56A"/>
        <bgColor rgb="FFF6B56A"/>
      </patternFill>
    </fill>
    <fill>
      <patternFill patternType="solid">
        <fgColor rgb="FFFCCA67"/>
        <bgColor rgb="FFFCCA67"/>
      </patternFill>
    </fill>
    <fill>
      <patternFill patternType="solid">
        <fgColor rgb="FFFDCF67"/>
        <bgColor rgb="FFFDCF67"/>
      </patternFill>
    </fill>
    <fill>
      <patternFill patternType="solid">
        <fgColor rgb="FFF1D469"/>
        <bgColor rgb="FFF1D469"/>
      </patternFill>
    </fill>
    <fill>
      <patternFill patternType="solid">
        <fgColor rgb="FFFBD667"/>
        <bgColor rgb="FFFBD667"/>
      </patternFill>
    </fill>
    <fill>
      <patternFill patternType="solid">
        <fgColor rgb="FFF7B76A"/>
        <bgColor rgb="FFF7B76A"/>
      </patternFill>
    </fill>
    <fill>
      <patternFill patternType="solid">
        <fgColor rgb="FFF7BC6A"/>
        <bgColor rgb="FFF7BC6A"/>
      </patternFill>
    </fill>
    <fill>
      <patternFill patternType="solid">
        <fgColor rgb="FFFCC967"/>
        <bgColor rgb="FFFCC967"/>
      </patternFill>
    </fill>
    <fill>
      <patternFill patternType="solid">
        <fgColor rgb="FFF7D468"/>
        <bgColor rgb="FFF7D468"/>
      </patternFill>
    </fill>
    <fill>
      <patternFill patternType="solid">
        <fgColor rgb="FFFCCB67"/>
        <bgColor rgb="FFFCCB67"/>
      </patternFill>
    </fill>
    <fill>
      <patternFill patternType="solid">
        <fgColor rgb="FF5ABB8A"/>
        <bgColor rgb="FF5ABB8A"/>
      </patternFill>
    </fill>
    <fill>
      <patternFill patternType="solid">
        <fgColor rgb="FFD5CF6F"/>
        <bgColor rgb="FFD5CF6F"/>
      </patternFill>
    </fill>
    <fill>
      <patternFill patternType="solid">
        <fgColor rgb="FFF9D568"/>
        <bgColor rgb="FFF9D568"/>
      </patternFill>
    </fill>
    <fill>
      <patternFill patternType="solid">
        <fgColor rgb="FFCCCD71"/>
        <bgColor rgb="FFCCCD71"/>
      </patternFill>
    </fill>
    <fill>
      <patternFill patternType="solid">
        <fgColor rgb="FF58BB8A"/>
        <bgColor rgb="FF58BB8A"/>
      </patternFill>
    </fill>
    <fill>
      <patternFill patternType="solid">
        <fgColor rgb="FFC3CC73"/>
        <bgColor rgb="FFC3CC73"/>
      </patternFill>
    </fill>
    <fill>
      <patternFill patternType="solid">
        <fgColor rgb="FFEE996E"/>
        <bgColor rgb="FFEE996E"/>
      </patternFill>
    </fill>
    <fill>
      <patternFill patternType="solid">
        <fgColor rgb="FFF4AD6C"/>
        <bgColor rgb="FFF4AD6C"/>
      </patternFill>
    </fill>
    <fill>
      <patternFill patternType="solid">
        <fgColor rgb="FFFFD366"/>
        <bgColor rgb="FFFFD366"/>
      </patternFill>
    </fill>
    <fill>
      <patternFill patternType="solid">
        <fgColor rgb="FFE7D26B"/>
        <bgColor rgb="FFE7D26B"/>
      </patternFill>
    </fill>
    <fill>
      <patternFill patternType="solid">
        <fgColor rgb="FFF8BB6A"/>
        <bgColor rgb="FFF8BB6A"/>
      </patternFill>
    </fill>
    <fill>
      <patternFill patternType="solid">
        <fgColor rgb="FFEB8B70"/>
        <bgColor rgb="FFEB8B70"/>
      </patternFill>
    </fill>
    <fill>
      <patternFill patternType="solid">
        <fgColor rgb="FFB5CA76"/>
        <bgColor rgb="FFB5CA76"/>
      </patternFill>
    </fill>
    <fill>
      <patternFill patternType="solid">
        <fgColor rgb="FFFBC568"/>
        <bgColor rgb="FFFBC568"/>
      </patternFill>
    </fill>
    <fill>
      <patternFill patternType="solid">
        <fgColor rgb="FFD0CF70"/>
        <bgColor rgb="FFD0CF70"/>
      </patternFill>
    </fill>
    <fill>
      <patternFill patternType="solid">
        <fgColor rgb="FF99C57C"/>
        <bgColor rgb="FF99C57C"/>
      </patternFill>
    </fill>
    <fill>
      <patternFill patternType="solid">
        <fgColor rgb="FF81C181"/>
        <bgColor rgb="FF81C181"/>
      </patternFill>
    </fill>
    <fill>
      <patternFill patternType="solid">
        <fgColor rgb="FFF9BE69"/>
        <bgColor rgb="FFF9BE69"/>
      </patternFill>
    </fill>
    <fill>
      <patternFill patternType="solid">
        <fgColor rgb="FFCECE71"/>
        <bgColor rgb="FFCECE71"/>
      </patternFill>
    </fill>
    <fill>
      <patternFill patternType="solid">
        <fgColor rgb="FFFAC468"/>
        <bgColor rgb="FFFAC468"/>
      </patternFill>
    </fill>
    <fill>
      <patternFill patternType="solid">
        <fgColor rgb="FFF3A86C"/>
        <bgColor rgb="FFF3A86C"/>
      </patternFill>
    </fill>
    <fill>
      <patternFill patternType="solid">
        <fgColor rgb="FF94C47D"/>
        <bgColor rgb="FF94C47D"/>
      </patternFill>
    </fill>
    <fill>
      <patternFill patternType="solid">
        <fgColor rgb="FF91C47E"/>
        <bgColor rgb="FF91C47E"/>
      </patternFill>
    </fill>
    <fill>
      <patternFill patternType="solid">
        <fgColor rgb="FFFED266"/>
        <bgColor rgb="FFFED266"/>
      </patternFill>
    </fill>
    <fill>
      <patternFill patternType="solid">
        <fgColor rgb="FF97C57D"/>
        <bgColor rgb="FF97C57D"/>
      </patternFill>
    </fill>
    <fill>
      <patternFill patternType="solid">
        <fgColor rgb="FFFCC868"/>
        <bgColor rgb="FFFCC868"/>
      </patternFill>
    </fill>
    <fill>
      <patternFill patternType="solid">
        <fgColor rgb="FFD2CE70"/>
        <bgColor rgb="FFD2CE70"/>
      </patternFill>
    </fill>
    <fill>
      <patternFill patternType="solid">
        <fgColor rgb="FFF1A26D"/>
        <bgColor rgb="FFF1A26D"/>
      </patternFill>
    </fill>
    <fill>
      <patternFill patternType="solid">
        <fgColor rgb="FFF4AC6C"/>
        <bgColor rgb="FFF4AC6C"/>
      </patternFill>
    </fill>
    <fill>
      <patternFill patternType="solid">
        <fgColor rgb="FFF6B46A"/>
        <bgColor rgb="FFF6B46A"/>
      </patternFill>
    </fill>
    <fill>
      <patternFill patternType="solid">
        <fgColor rgb="FFF8BA6A"/>
        <bgColor rgb="FFF8BA6A"/>
      </patternFill>
    </fill>
    <fill>
      <patternFill patternType="solid">
        <fgColor rgb="FFE3D16C"/>
        <bgColor rgb="FFE3D16C"/>
      </patternFill>
    </fill>
    <fill>
      <patternFill patternType="solid">
        <fgColor rgb="FFA7C879"/>
        <bgColor rgb="FFA7C879"/>
      </patternFill>
    </fill>
    <fill>
      <patternFill patternType="solid">
        <fgColor rgb="FFF6B66A"/>
        <bgColor rgb="FFF6B66A"/>
      </patternFill>
    </fill>
    <fill>
      <patternFill patternType="solid">
        <fgColor rgb="FFDAD06E"/>
        <bgColor rgb="FFDAD06E"/>
      </patternFill>
    </fill>
    <fill>
      <patternFill patternType="solid">
        <fgColor rgb="FFD3CF70"/>
        <bgColor rgb="FFD3CF70"/>
      </patternFill>
    </fill>
    <fill>
      <patternFill patternType="solid">
        <fgColor rgb="FFED956F"/>
        <bgColor rgb="FFED956F"/>
      </patternFill>
    </fill>
    <fill>
      <patternFill patternType="solid">
        <fgColor rgb="FFF4AE6B"/>
        <bgColor rgb="FFF4AE6B"/>
      </patternFill>
    </fill>
    <fill>
      <patternFill patternType="solid">
        <fgColor rgb="FFFAC268"/>
        <bgColor rgb="FFFAC268"/>
      </patternFill>
    </fill>
    <fill>
      <patternFill patternType="solid">
        <fgColor rgb="FFDDD06E"/>
        <bgColor rgb="FFDDD06E"/>
      </patternFill>
    </fill>
    <fill>
      <patternFill patternType="solid">
        <fgColor rgb="FFBACB75"/>
        <bgColor rgb="FFBACB75"/>
      </patternFill>
    </fill>
    <fill>
      <patternFill patternType="solid">
        <fgColor rgb="FFED966F"/>
        <bgColor rgb="FFED966F"/>
      </patternFill>
    </fill>
    <fill>
      <patternFill patternType="solid">
        <fgColor rgb="FFFBC768"/>
        <bgColor rgb="FFFBC768"/>
      </patternFill>
    </fill>
    <fill>
      <patternFill patternType="solid">
        <fgColor rgb="FFFAC169"/>
        <bgColor rgb="FFFAC169"/>
      </patternFill>
    </fill>
    <fill>
      <patternFill patternType="solid">
        <fgColor rgb="FFEF9B6E"/>
        <bgColor rgb="FFEF9B6E"/>
      </patternFill>
    </fill>
    <fill>
      <patternFill patternType="solid">
        <fgColor rgb="FFEC8F70"/>
        <bgColor rgb="FFEC8F70"/>
      </patternFill>
    </fill>
    <fill>
      <patternFill patternType="solid">
        <fgColor rgb="FFF8D468"/>
        <bgColor rgb="FFF8D468"/>
      </patternFill>
    </fill>
    <fill>
      <patternFill patternType="solid">
        <fgColor rgb="FFED936F"/>
        <bgColor rgb="FFED936F"/>
      </patternFill>
    </fill>
    <fill>
      <patternFill patternType="solid">
        <fgColor rgb="FFEE976F"/>
        <bgColor rgb="FFEE976F"/>
      </patternFill>
    </fill>
    <fill>
      <patternFill patternType="solid">
        <fgColor rgb="FFFCCC67"/>
        <bgColor rgb="FFFCCC67"/>
      </patternFill>
    </fill>
    <fill>
      <patternFill patternType="solid">
        <fgColor rgb="FFF3AA6C"/>
        <bgColor rgb="FFF3AA6C"/>
      </patternFill>
    </fill>
    <fill>
      <patternFill patternType="solid">
        <fgColor rgb="FFF7B86A"/>
        <bgColor rgb="FFF7B86A"/>
      </patternFill>
    </fill>
    <fill>
      <patternFill patternType="solid">
        <fgColor rgb="FFF9BF69"/>
        <bgColor rgb="FFF9BF69"/>
      </patternFill>
    </fill>
    <fill>
      <patternFill patternType="solid">
        <fgColor rgb="FFE98671"/>
        <bgColor rgb="FFE98671"/>
      </patternFill>
    </fill>
    <fill>
      <patternFill patternType="solid">
        <fgColor rgb="FFEC9170"/>
        <bgColor rgb="FFEC9170"/>
      </patternFill>
    </fill>
    <fill>
      <patternFill patternType="solid">
        <fgColor rgb="FFF4AD6B"/>
        <bgColor rgb="FFF4AD6B"/>
      </patternFill>
    </fill>
    <fill>
      <patternFill patternType="solid">
        <fgColor rgb="FFEF9A6E"/>
        <bgColor rgb="FFEF9A6E"/>
      </patternFill>
    </fill>
    <fill>
      <patternFill patternType="solid">
        <fgColor rgb="FFE77E72"/>
        <bgColor rgb="FFE77E72"/>
      </patternFill>
    </fill>
    <fill>
      <patternFill patternType="solid">
        <fgColor rgb="FFF2A56D"/>
        <bgColor rgb="FFF2A56D"/>
      </patternFill>
    </fill>
    <fill>
      <patternFill patternType="solid">
        <fgColor rgb="FFF8D568"/>
        <bgColor rgb="FFF8D568"/>
      </patternFill>
    </fill>
    <fill>
      <patternFill patternType="solid">
        <fgColor rgb="FFBDCB74"/>
        <bgColor rgb="FFBDCB74"/>
      </patternFill>
    </fill>
    <fill>
      <patternFill patternType="solid">
        <fgColor rgb="FFF0A06D"/>
        <bgColor rgb="FFF0A06D"/>
      </patternFill>
    </fill>
    <fill>
      <patternFill patternType="solid">
        <fgColor rgb="FFFBC668"/>
        <bgColor rgb="FFFBC668"/>
      </patternFill>
    </fill>
    <fill>
      <patternFill patternType="solid">
        <fgColor rgb="FF67BE86"/>
        <bgColor rgb="FF67BE86"/>
      </patternFill>
    </fill>
    <fill>
      <patternFill patternType="solid">
        <fgColor rgb="FFF2A46D"/>
        <bgColor rgb="FFF2A46D"/>
      </patternFill>
    </fill>
    <fill>
      <patternFill patternType="solid">
        <fgColor rgb="FF75BF84"/>
        <bgColor rgb="FF75BF84"/>
      </patternFill>
    </fill>
    <fill>
      <patternFill patternType="solid">
        <fgColor rgb="FFEC9070"/>
        <bgColor rgb="FFEC9070"/>
      </patternFill>
    </fill>
    <fill>
      <patternFill patternType="solid">
        <fgColor rgb="FFBACB74"/>
        <bgColor rgb="FFBACB74"/>
      </patternFill>
    </fill>
    <fill>
      <patternFill patternType="solid">
        <fgColor rgb="FFB3C977"/>
        <bgColor rgb="FFB3C977"/>
      </patternFill>
    </fill>
    <fill>
      <patternFill patternType="solid">
        <fgColor rgb="FFCFCF70"/>
        <bgColor rgb="FFCFCF70"/>
      </patternFill>
    </fill>
    <fill>
      <patternFill patternType="solid">
        <fgColor rgb="FFFCD666"/>
        <bgColor rgb="FFFCD666"/>
      </patternFill>
    </fill>
    <fill>
      <patternFill patternType="solid">
        <fgColor rgb="FFC3CD72"/>
        <bgColor rgb="FFC3CD72"/>
      </patternFill>
    </fill>
    <fill>
      <patternFill patternType="solid">
        <fgColor rgb="FFEE9A6F"/>
        <bgColor rgb="FFEE9A6F"/>
      </patternFill>
    </fill>
    <fill>
      <patternFill patternType="solid">
        <fgColor rgb="FFF3D468"/>
        <bgColor rgb="FFF3D468"/>
      </patternFill>
    </fill>
    <fill>
      <patternFill patternType="solid">
        <fgColor rgb="FFCBCD72"/>
        <bgColor rgb="FFCBCD72"/>
      </patternFill>
    </fill>
    <fill>
      <patternFill patternType="solid">
        <fgColor rgb="FFBBCB75"/>
        <bgColor rgb="FFBBCB75"/>
      </patternFill>
    </fill>
    <fill>
      <patternFill patternType="solid">
        <fgColor rgb="FFA5C77A"/>
        <bgColor rgb="FFA5C77A"/>
      </patternFill>
    </fill>
  </fills>
  <borders count="33">
    <border/>
    <border>
      <left style="thin">
        <color rgb="FF000000"/>
      </left>
      <right style="thin">
        <color rgb="FF000000"/>
      </right>
      <top style="thin">
        <color rgb="FF000000"/>
      </top>
      <bottom style="thin">
        <color rgb="FF000000"/>
      </bottom>
    </border>
    <border>
      <right style="thin">
        <color rgb="FF000000"/>
      </right>
      <top style="thin">
        <color rgb="FF000000"/>
      </top>
    </border>
    <border>
      <left style="thin">
        <color rgb="FF000000"/>
      </left>
      <top style="thin">
        <color rgb="FF000000"/>
      </top>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right style="medium">
        <color rgb="FF000000"/>
      </right>
      <bottom style="medium">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right style="thin">
        <color rgb="FF000000"/>
      </right>
      <top style="thin">
        <color rgb="FF000000"/>
      </top>
      <bottom style="thin">
        <color rgb="FF000000"/>
      </bottom>
    </border>
    <border>
      <right style="medium">
        <color rgb="FF000000"/>
      </right>
      <top style="thin">
        <color rgb="FF000000"/>
      </top>
      <bottom style="thin">
        <color rgb="FF000000"/>
      </bottom>
    </border>
    <border>
      <left style="thin">
        <color rgb="FF000000"/>
      </left>
      <top style="thin">
        <color rgb="FF000000"/>
      </top>
      <bottom style="thin">
        <color rgb="FF000000"/>
      </bottom>
    </border>
    <border>
      <left style="medium">
        <color rgb="FF000000"/>
      </left>
      <top style="thin">
        <color rgb="FF000000"/>
      </top>
      <bottom style="thin">
        <color rgb="FF000000"/>
      </bottom>
    </border>
    <border>
      <top style="thin">
        <color rgb="FF000000"/>
      </top>
      <bottom style="thin">
        <color rgb="FF000000"/>
      </bottom>
    </border>
    <border>
      <bottom style="thin">
        <color rgb="FF000000"/>
      </bottom>
    </border>
    <border>
      <left style="medium">
        <color rgb="FF000000"/>
      </left>
      <right style="thin">
        <color rgb="FF000000"/>
      </right>
      <bottom style="thin">
        <color rgb="FF000000"/>
      </bottom>
    </border>
    <border>
      <right style="thin">
        <color rgb="FF000000"/>
      </right>
      <bottom style="thin">
        <color rgb="FF000000"/>
      </bottom>
    </border>
    <border>
      <left style="medium">
        <color rgb="FF000000"/>
      </left>
      <bottom style="thin">
        <color rgb="FF000000"/>
      </bottom>
    </border>
    <border>
      <left style="thin">
        <color rgb="FF000000"/>
      </left>
      <right style="thin">
        <color rgb="FF000000"/>
      </right>
      <bottom style="medium">
        <color rgb="FF000000"/>
      </bottom>
    </border>
    <border>
      <bottom style="medium">
        <color rgb="FF000000"/>
      </bottom>
    </border>
    <border>
      <left style="medium">
        <color rgb="FF000000"/>
      </left>
      <right style="thin">
        <color rgb="FF000000"/>
      </right>
      <bottom style="medium">
        <color rgb="FF000000"/>
      </bottom>
    </border>
    <border>
      <right style="thin">
        <color rgb="FF000000"/>
      </right>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right style="thin">
        <color rgb="FF000000"/>
      </right>
      <top style="thin">
        <color rgb="FF000000"/>
      </top>
      <bottom style="medium">
        <color rgb="FF000000"/>
      </bottom>
    </border>
    <border>
      <right/>
      <top style="thin">
        <color rgb="FF000000"/>
      </top>
      <bottom style="thin">
        <color rgb="FF000000"/>
      </bottom>
    </border>
    <border>
      <top style="thin">
        <color rgb="FF000000"/>
      </top>
      <bottom style="medium">
        <color rgb="FF000000"/>
      </bottom>
    </border>
  </borders>
  <cellStyleXfs count="1">
    <xf borderId="0" fillId="0" fontId="0" numFmtId="0" applyAlignment="1" applyFont="1"/>
  </cellStyleXfs>
  <cellXfs count="848">
    <xf borderId="0" fillId="0" fontId="0" numFmtId="0" xfId="0" applyAlignment="1" applyFont="1">
      <alignment readingOrder="0" shrinkToFit="0" vertical="bottom" wrapText="0"/>
    </xf>
    <xf borderId="0" fillId="0" fontId="1" numFmtId="0" xfId="0" applyAlignment="1" applyFont="1">
      <alignment readingOrder="0" vertical="top"/>
    </xf>
    <xf borderId="0" fillId="0" fontId="2" numFmtId="0" xfId="0" applyAlignment="1" applyFont="1">
      <alignment readingOrder="0" vertical="bottom"/>
    </xf>
    <xf borderId="0" fillId="0" fontId="3" numFmtId="0" xfId="0" applyAlignment="1" applyFont="1">
      <alignment vertical="top"/>
    </xf>
    <xf borderId="1" fillId="0" fontId="4" numFmtId="0" xfId="0" applyAlignment="1" applyBorder="1" applyFont="1">
      <alignment readingOrder="0" vertical="top"/>
    </xf>
    <xf borderId="2" fillId="0" fontId="4" numFmtId="0" xfId="0" applyAlignment="1" applyBorder="1" applyFont="1">
      <alignment readingOrder="0" vertical="top"/>
    </xf>
    <xf borderId="1" fillId="0" fontId="4" numFmtId="0" xfId="0" applyAlignment="1" applyBorder="1" applyFont="1">
      <alignment horizontal="center" readingOrder="0"/>
    </xf>
    <xf borderId="3" fillId="0" fontId="5" numFmtId="0" xfId="0" applyAlignment="1" applyBorder="1" applyFont="1">
      <alignment readingOrder="0" vertical="top"/>
    </xf>
    <xf borderId="4" fillId="0" fontId="3" numFmtId="0" xfId="0" applyAlignment="1" applyBorder="1" applyFont="1">
      <alignment readingOrder="0" shrinkToFit="0" vertical="top" wrapText="1"/>
    </xf>
    <xf borderId="1" fillId="0" fontId="3" numFmtId="0" xfId="0" applyAlignment="1" applyBorder="1" applyFont="1">
      <alignment horizontal="center" readingOrder="0" vertical="top"/>
    </xf>
    <xf borderId="1" fillId="0" fontId="3" numFmtId="164" xfId="0" applyAlignment="1" applyBorder="1" applyFont="1" applyNumberFormat="1">
      <alignment vertical="top"/>
    </xf>
    <xf borderId="5" fillId="0" fontId="6" numFmtId="0" xfId="0" applyAlignment="1" applyBorder="1" applyFont="1">
      <alignment readingOrder="0" vertical="top"/>
    </xf>
    <xf borderId="5" fillId="0" fontId="3" numFmtId="0" xfId="0" applyAlignment="1" applyBorder="1" applyFont="1">
      <alignment readingOrder="0" shrinkToFit="0" vertical="top" wrapText="1"/>
    </xf>
    <xf borderId="0" fillId="0" fontId="3" numFmtId="0" xfId="0" applyAlignment="1" applyFont="1">
      <alignment readingOrder="0" vertical="top"/>
    </xf>
    <xf borderId="5" fillId="0" fontId="7" numFmtId="0" xfId="0" applyAlignment="1" applyBorder="1" applyFont="1">
      <alignment readingOrder="0" shrinkToFit="0" vertical="top" wrapText="1"/>
    </xf>
    <xf borderId="6" fillId="0" fontId="8" numFmtId="0" xfId="0" applyAlignment="1" applyBorder="1" applyFont="1">
      <alignment readingOrder="0" vertical="top"/>
    </xf>
    <xf borderId="6" fillId="0" fontId="3" numFmtId="0" xfId="0" applyAlignment="1" applyBorder="1" applyFont="1">
      <alignment readingOrder="0" shrinkToFit="0" vertical="top" wrapText="1"/>
    </xf>
    <xf borderId="7" fillId="2" fontId="4" numFmtId="0" xfId="0" applyAlignment="1" applyBorder="1" applyFill="1" applyFont="1">
      <alignment readingOrder="0" vertical="top"/>
    </xf>
    <xf borderId="8" fillId="2" fontId="3" numFmtId="0" xfId="0" applyAlignment="1" applyBorder="1" applyFont="1">
      <alignment vertical="top"/>
    </xf>
    <xf borderId="9" fillId="2" fontId="4" numFmtId="0" xfId="0" applyAlignment="1" applyBorder="1" applyFont="1">
      <alignment readingOrder="0" vertical="top"/>
    </xf>
    <xf borderId="10" fillId="2" fontId="9" numFmtId="0" xfId="0" applyBorder="1" applyFont="1"/>
    <xf borderId="9" fillId="2" fontId="10" numFmtId="0" xfId="0" applyAlignment="1" applyBorder="1" applyFont="1">
      <alignment readingOrder="0"/>
    </xf>
    <xf borderId="10" fillId="2" fontId="3" numFmtId="0" xfId="0" applyAlignment="1" applyBorder="1" applyFont="1">
      <alignment vertical="top"/>
    </xf>
    <xf borderId="11" fillId="2" fontId="10" numFmtId="0" xfId="0" applyAlignment="1" applyBorder="1" applyFont="1">
      <alignment readingOrder="0"/>
    </xf>
    <xf borderId="12" fillId="2" fontId="3" numFmtId="0" xfId="0" applyAlignment="1" applyBorder="1" applyFont="1">
      <alignment vertical="top"/>
    </xf>
    <xf borderId="0" fillId="3" fontId="11" numFmtId="0" xfId="0" applyAlignment="1" applyFill="1" applyFont="1">
      <alignment readingOrder="0" vertical="top"/>
    </xf>
    <xf borderId="0" fillId="3" fontId="12" numFmtId="0" xfId="0" applyAlignment="1" applyFont="1">
      <alignment vertical="top"/>
    </xf>
    <xf borderId="0" fillId="0" fontId="4" numFmtId="0" xfId="0" applyAlignment="1" applyFont="1">
      <alignment readingOrder="0" vertical="top"/>
    </xf>
    <xf borderId="4" fillId="0" fontId="13" numFmtId="0" xfId="0" applyAlignment="1" applyBorder="1" applyFont="1">
      <alignment readingOrder="0" vertical="top"/>
    </xf>
    <xf borderId="4" fillId="0" fontId="3" numFmtId="0" xfId="0" applyAlignment="1" applyBorder="1" applyFont="1">
      <alignment readingOrder="0" vertical="top"/>
    </xf>
    <xf borderId="5" fillId="0" fontId="3" numFmtId="0" xfId="0" applyAlignment="1" applyBorder="1" applyFont="1">
      <alignment readingOrder="0" vertical="top"/>
    </xf>
    <xf borderId="6" fillId="0" fontId="3" numFmtId="0" xfId="0" applyAlignment="1" applyBorder="1" applyFont="1">
      <alignment readingOrder="0" vertical="top"/>
    </xf>
    <xf borderId="1" fillId="0" fontId="14" numFmtId="0" xfId="0" applyAlignment="1" applyBorder="1" applyFont="1">
      <alignment readingOrder="0" shrinkToFit="0" vertical="top" wrapText="1"/>
    </xf>
    <xf borderId="13" fillId="0" fontId="14" numFmtId="0" xfId="0" applyAlignment="1" applyBorder="1" applyFont="1">
      <alignment readingOrder="0" shrinkToFit="0" vertical="top" wrapText="1"/>
    </xf>
    <xf borderId="1" fillId="0" fontId="14" numFmtId="0" xfId="0" applyAlignment="1" applyBorder="1" applyFont="1">
      <alignment readingOrder="0" shrinkToFit="0" textRotation="90" vertical="top" wrapText="1"/>
    </xf>
    <xf borderId="14" fillId="0" fontId="14" numFmtId="0" xfId="0" applyAlignment="1" applyBorder="1" applyFont="1">
      <alignment readingOrder="0" shrinkToFit="0" vertical="top" wrapText="1"/>
    </xf>
    <xf borderId="15" fillId="0" fontId="14" numFmtId="0" xfId="0" applyAlignment="1" applyBorder="1" applyFont="1">
      <alignment readingOrder="0" shrinkToFit="0" textRotation="90" vertical="top" wrapText="1"/>
    </xf>
    <xf borderId="14" fillId="0" fontId="14" numFmtId="0" xfId="0" applyAlignment="1" applyBorder="1" applyFont="1">
      <alignment readingOrder="0" shrinkToFit="0" textRotation="90" vertical="top" wrapText="1"/>
    </xf>
    <xf borderId="1" fillId="0" fontId="15" numFmtId="0" xfId="0" applyAlignment="1" applyBorder="1" applyFont="1">
      <alignment readingOrder="0" shrinkToFit="0" textRotation="90" vertical="top" wrapText="1"/>
    </xf>
    <xf borderId="16" fillId="0" fontId="14" numFmtId="0" xfId="0" applyAlignment="1" applyBorder="1" applyFont="1">
      <alignment readingOrder="0" shrinkToFit="0" textRotation="90" vertical="top" wrapText="1"/>
    </xf>
    <xf borderId="16" fillId="0" fontId="14" numFmtId="0" xfId="0" applyAlignment="1" applyBorder="1" applyFont="1">
      <alignment readingOrder="0" shrinkToFit="0" vertical="top" wrapText="1"/>
    </xf>
    <xf borderId="14" fillId="0" fontId="16" numFmtId="0" xfId="0" applyAlignment="1" applyBorder="1" applyFont="1">
      <alignment readingOrder="0" shrinkToFit="0" textRotation="90" vertical="top" wrapText="1"/>
    </xf>
    <xf borderId="15" fillId="0" fontId="16" numFmtId="0" xfId="0" applyAlignment="1" applyBorder="1" applyFont="1">
      <alignment readingOrder="0" shrinkToFit="0" textRotation="90" vertical="top" wrapText="1"/>
    </xf>
    <xf borderId="15" fillId="0" fontId="16" numFmtId="0" xfId="0" applyAlignment="1" applyBorder="1" applyFont="1">
      <alignment horizontal="left" readingOrder="0" shrinkToFit="0" textRotation="90" vertical="top" wrapText="1"/>
    </xf>
    <xf borderId="1" fillId="0" fontId="16" numFmtId="0" xfId="0" applyAlignment="1" applyBorder="1" applyFont="1">
      <alignment horizontal="left" readingOrder="0" shrinkToFit="0" vertical="top" wrapText="1"/>
    </xf>
    <xf borderId="0" fillId="0" fontId="9" numFmtId="0" xfId="0" applyAlignment="1" applyFont="1">
      <alignment shrinkToFit="0" wrapText="1"/>
    </xf>
    <xf borderId="1" fillId="4" fontId="17" numFmtId="0" xfId="0" applyAlignment="1" applyBorder="1" applyFill="1" applyFont="1">
      <alignment readingOrder="0" shrinkToFit="0" vertical="center" wrapText="1"/>
    </xf>
    <xf borderId="13" fillId="0" fontId="14" numFmtId="0" xfId="0" applyAlignment="1" applyBorder="1" applyFont="1">
      <alignment horizontal="center" readingOrder="0" shrinkToFit="0" vertical="center" wrapText="1"/>
    </xf>
    <xf borderId="1" fillId="0" fontId="14" numFmtId="0" xfId="0" applyAlignment="1" applyBorder="1" applyFont="1">
      <alignment horizontal="center" readingOrder="0" shrinkToFit="0" vertical="center" wrapText="1"/>
    </xf>
    <xf borderId="1" fillId="0" fontId="14" numFmtId="2" xfId="0" applyAlignment="1" applyBorder="1" applyFont="1" applyNumberFormat="1">
      <alignment horizontal="center" readingOrder="0" shrinkToFit="0" vertical="center" wrapText="1"/>
    </xf>
    <xf borderId="14" fillId="0" fontId="14" numFmtId="0" xfId="0" applyAlignment="1" applyBorder="1" applyFont="1">
      <alignment horizontal="center" readingOrder="0" shrinkToFit="0" vertical="center" wrapText="1"/>
    </xf>
    <xf borderId="15" fillId="0" fontId="14" numFmtId="0" xfId="0" applyAlignment="1" applyBorder="1" applyFont="1">
      <alignment horizontal="center" readingOrder="0" shrinkToFit="0" vertical="center" wrapText="1"/>
    </xf>
    <xf borderId="16" fillId="0" fontId="14" numFmtId="0" xfId="0" applyAlignment="1" applyBorder="1" applyFont="1">
      <alignment horizontal="center" readingOrder="0" shrinkToFit="0" vertical="center" wrapText="1"/>
    </xf>
    <xf borderId="16" fillId="0" fontId="14" numFmtId="0" xfId="0" applyAlignment="1" applyBorder="1" applyFont="1">
      <alignment horizontal="center" readingOrder="0" shrinkToFit="0" vertical="center" wrapText="1"/>
    </xf>
    <xf borderId="1" fillId="0" fontId="14" numFmtId="165" xfId="0" applyAlignment="1" applyBorder="1" applyFont="1" applyNumberFormat="1">
      <alignment horizontal="center" readingOrder="0" shrinkToFit="0" vertical="center" wrapText="1"/>
    </xf>
    <xf borderId="14" fillId="0" fontId="14" numFmtId="165" xfId="0" applyAlignment="1" applyBorder="1" applyFont="1" applyNumberFormat="1">
      <alignment horizontal="center" readingOrder="0" shrinkToFit="0" vertical="center" wrapText="1"/>
    </xf>
    <xf borderId="15" fillId="0" fontId="14" numFmtId="165" xfId="0" applyAlignment="1" applyBorder="1" applyFont="1" applyNumberFormat="1">
      <alignment horizontal="right" readingOrder="0" shrinkToFit="0" vertical="center" wrapText="1"/>
    </xf>
    <xf borderId="14" fillId="0" fontId="14" numFmtId="165" xfId="0" applyAlignment="1" applyBorder="1" applyFont="1" applyNumberFormat="1">
      <alignment horizontal="right" readingOrder="0" shrinkToFit="0" vertical="center" wrapText="1"/>
    </xf>
    <xf borderId="15" fillId="0" fontId="18" numFmtId="165" xfId="0" applyAlignment="1" applyBorder="1" applyFont="1" applyNumberFormat="1">
      <alignment horizontal="center" readingOrder="0" shrinkToFit="0" vertical="center" wrapText="1"/>
    </xf>
    <xf borderId="15" fillId="0" fontId="14" numFmtId="165" xfId="0" applyAlignment="1" applyBorder="1" applyFont="1" applyNumberFormat="1">
      <alignment horizontal="center" readingOrder="0" shrinkToFit="0" vertical="center" wrapText="1"/>
    </xf>
    <xf borderId="1" fillId="0" fontId="14" numFmtId="165" xfId="0" applyAlignment="1" applyBorder="1" applyFont="1" applyNumberFormat="1">
      <alignment horizontal="left" readingOrder="0" shrinkToFit="0" vertical="center" wrapText="1"/>
    </xf>
    <xf borderId="1" fillId="5" fontId="19" numFmtId="0" xfId="0" applyAlignment="1" applyBorder="1" applyFill="1" applyFont="1">
      <alignment horizontal="left" readingOrder="0" shrinkToFit="0" vertical="center" wrapText="1"/>
    </xf>
    <xf borderId="1" fillId="5" fontId="20" numFmtId="0" xfId="0" applyAlignment="1" applyBorder="1" applyFont="1">
      <alignment readingOrder="0" shrinkToFit="0" vertical="center" wrapText="1"/>
    </xf>
    <xf borderId="13" fillId="0" fontId="14" numFmtId="0" xfId="0" applyAlignment="1" applyBorder="1" applyFont="1">
      <alignment horizontal="center" readingOrder="0" shrinkToFit="0" vertical="center" wrapText="1"/>
    </xf>
    <xf borderId="15" fillId="0" fontId="21" numFmtId="165" xfId="0" applyAlignment="1" applyBorder="1" applyFont="1" applyNumberFormat="1">
      <alignment horizontal="center" readingOrder="0" shrinkToFit="0" vertical="center" wrapText="1"/>
    </xf>
    <xf borderId="1" fillId="0" fontId="14" numFmtId="166" xfId="0" applyAlignment="1" applyBorder="1" applyFont="1" applyNumberFormat="1">
      <alignment horizontal="left" readingOrder="0" shrinkToFit="0" vertical="center" wrapText="1"/>
    </xf>
    <xf borderId="0" fillId="0" fontId="9" numFmtId="0" xfId="0" applyAlignment="1" applyFont="1">
      <alignment shrinkToFit="0" vertical="center" wrapText="1"/>
    </xf>
    <xf borderId="1" fillId="5" fontId="3" numFmtId="0" xfId="0" applyAlignment="1" applyBorder="1" applyFont="1">
      <alignment readingOrder="0" shrinkToFit="0" vertical="center" wrapText="1"/>
    </xf>
    <xf borderId="15" fillId="0" fontId="18" numFmtId="165" xfId="0" applyAlignment="1" applyBorder="1" applyFont="1" applyNumberFormat="1">
      <alignment horizontal="center" readingOrder="0" shrinkToFit="0" vertical="center" wrapText="1"/>
    </xf>
    <xf borderId="1" fillId="4" fontId="22" numFmtId="0" xfId="0" applyAlignment="1" applyBorder="1" applyFont="1">
      <alignment horizontal="left" readingOrder="0" shrinkToFit="0" vertical="center" wrapText="1"/>
    </xf>
    <xf borderId="15" fillId="0" fontId="14" numFmtId="165" xfId="0" applyAlignment="1" applyBorder="1" applyFont="1" applyNumberFormat="1">
      <alignment horizontal="center" readingOrder="0" shrinkToFit="0" vertical="center" wrapText="1"/>
    </xf>
    <xf borderId="1" fillId="0" fontId="14" numFmtId="165" xfId="0" applyAlignment="1" applyBorder="1" applyFont="1" applyNumberFormat="1">
      <alignment horizontal="left" readingOrder="0" shrinkToFit="0" vertical="center" wrapText="1"/>
    </xf>
    <xf borderId="1" fillId="0" fontId="14" numFmtId="166" xfId="0" applyAlignment="1" applyBorder="1" applyFont="1" applyNumberFormat="1">
      <alignment horizontal="left" readingOrder="0" shrinkToFit="0" vertical="center" wrapText="1"/>
    </xf>
    <xf borderId="1" fillId="4" fontId="3" numFmtId="0" xfId="0" applyAlignment="1" applyBorder="1" applyFont="1">
      <alignment readingOrder="0" shrinkToFit="0" vertical="center" wrapText="1"/>
    </xf>
    <xf borderId="1" fillId="0" fontId="14" numFmtId="0" xfId="0" applyAlignment="1" applyBorder="1" applyFont="1">
      <alignment horizontal="center" readingOrder="0" shrinkToFit="0" vertical="center" wrapText="1"/>
    </xf>
    <xf borderId="14" fillId="0" fontId="14" numFmtId="0" xfId="0" applyAlignment="1" applyBorder="1" applyFont="1">
      <alignment horizontal="center" readingOrder="0" shrinkToFit="0" vertical="center" wrapText="1"/>
    </xf>
    <xf borderId="15" fillId="6" fontId="14" numFmtId="0" xfId="0" applyAlignment="1" applyBorder="1" applyFill="1" applyFont="1">
      <alignment horizontal="center" readingOrder="0" shrinkToFit="0" vertical="center" wrapText="1"/>
    </xf>
    <xf borderId="15" fillId="0" fontId="14" numFmtId="0" xfId="0" applyAlignment="1" applyBorder="1" applyFont="1">
      <alignment horizontal="center" readingOrder="0" shrinkToFit="0" vertical="center" wrapText="1"/>
    </xf>
    <xf borderId="1" fillId="0" fontId="14" numFmtId="0" xfId="0" applyAlignment="1" applyBorder="1" applyFont="1">
      <alignment horizontal="center" shrinkToFit="0" wrapText="1"/>
    </xf>
    <xf borderId="1" fillId="7" fontId="14" numFmtId="2" xfId="0" applyAlignment="1" applyBorder="1" applyFill="1" applyFont="1" applyNumberFormat="1">
      <alignment horizontal="center" shrinkToFit="0" wrapText="1"/>
    </xf>
    <xf borderId="1" fillId="8" fontId="14" numFmtId="2" xfId="0" applyAlignment="1" applyBorder="1" applyFill="1" applyFont="1" applyNumberFormat="1">
      <alignment horizontal="center" shrinkToFit="0" wrapText="1"/>
    </xf>
    <xf borderId="15" fillId="0" fontId="14" numFmtId="2" xfId="0" applyAlignment="1" applyBorder="1" applyFont="1" applyNumberFormat="1">
      <alignment horizontal="center" readingOrder="0" shrinkToFit="0" vertical="center" wrapText="1"/>
    </xf>
    <xf borderId="1" fillId="5" fontId="23" numFmtId="0" xfId="0" applyAlignment="1" applyBorder="1" applyFont="1">
      <alignment horizontal="left" readingOrder="0" shrinkToFit="0" vertical="center" wrapText="1"/>
    </xf>
    <xf borderId="1" fillId="5" fontId="24" numFmtId="0" xfId="0" applyAlignment="1" applyBorder="1" applyFont="1">
      <alignment readingOrder="0" shrinkToFit="0" vertical="center" wrapText="1"/>
    </xf>
    <xf borderId="1" fillId="5" fontId="3" numFmtId="0" xfId="0" applyAlignment="1" applyBorder="1" applyFont="1">
      <alignment horizontal="left" readingOrder="0" shrinkToFit="0" vertical="center" wrapText="1"/>
    </xf>
    <xf borderId="15" fillId="0" fontId="14" numFmtId="167" xfId="0" applyAlignment="1" applyBorder="1" applyFont="1" applyNumberFormat="1">
      <alignment horizontal="center" readingOrder="0" shrinkToFit="0" vertical="center" wrapText="1"/>
    </xf>
    <xf borderId="1" fillId="0" fontId="14" numFmtId="167" xfId="0" applyAlignment="1" applyBorder="1" applyFont="1" applyNumberFormat="1">
      <alignment horizontal="left" readingOrder="0" shrinkToFit="0" vertical="center" wrapText="1"/>
    </xf>
    <xf borderId="15" fillId="0" fontId="25" numFmtId="0" xfId="0" applyAlignment="1" applyBorder="1" applyFont="1">
      <alignment horizontal="center" readingOrder="0" shrinkToFit="0" vertical="center" wrapText="1"/>
    </xf>
    <xf borderId="1" fillId="5" fontId="26" numFmtId="0" xfId="0" applyAlignment="1" applyBorder="1" applyFont="1">
      <alignment readingOrder="0" shrinkToFit="0" vertical="center" wrapText="1"/>
    </xf>
    <xf borderId="1" fillId="9" fontId="14" numFmtId="0" xfId="0" applyAlignment="1" applyBorder="1" applyFill="1" applyFont="1">
      <alignment horizontal="center" readingOrder="0" shrinkToFit="0" vertical="center" wrapText="1"/>
    </xf>
    <xf borderId="1" fillId="0" fontId="14" numFmtId="0" xfId="0" applyAlignment="1" applyBorder="1" applyFont="1">
      <alignment horizontal="left" readingOrder="0" shrinkToFit="0" vertical="center" wrapText="1"/>
    </xf>
    <xf borderId="1" fillId="5" fontId="3" numFmtId="0" xfId="0" applyAlignment="1" applyBorder="1" applyFont="1">
      <alignment horizontal="left" readingOrder="0" shrinkToFit="0" vertical="center" wrapText="1"/>
    </xf>
    <xf borderId="1" fillId="4" fontId="27" numFmtId="0" xfId="0" applyAlignment="1" applyBorder="1" applyFont="1">
      <alignment readingOrder="0" shrinkToFit="0" vertical="center" wrapText="1"/>
    </xf>
    <xf borderId="1" fillId="0" fontId="15" numFmtId="0" xfId="0" applyAlignment="1" applyBorder="1" applyFont="1">
      <alignment horizontal="center" readingOrder="0" shrinkToFit="0" vertical="center" wrapText="1"/>
    </xf>
    <xf borderId="14" fillId="0" fontId="15" numFmtId="0" xfId="0" applyAlignment="1" applyBorder="1" applyFont="1">
      <alignment horizontal="center" readingOrder="0" shrinkToFit="0" vertical="center" wrapText="1"/>
    </xf>
    <xf borderId="1" fillId="5" fontId="14" numFmtId="0" xfId="0" applyAlignment="1" applyBorder="1" applyFont="1">
      <alignment horizontal="left" readingOrder="0" shrinkToFit="0" vertical="center" wrapText="1"/>
    </xf>
    <xf borderId="1" fillId="4" fontId="3" numFmtId="0" xfId="0" applyAlignment="1" applyBorder="1" applyFont="1">
      <alignment readingOrder="0" shrinkToFit="0" vertical="center" wrapText="1"/>
    </xf>
    <xf borderId="15" fillId="0" fontId="18" numFmtId="0" xfId="0" applyAlignment="1" applyBorder="1" applyFont="1">
      <alignment horizontal="center" readingOrder="0" shrinkToFit="0" vertical="center" wrapText="1"/>
    </xf>
    <xf borderId="1" fillId="10" fontId="14" numFmtId="2" xfId="0" applyAlignment="1" applyBorder="1" applyFill="1" applyFont="1" applyNumberFormat="1">
      <alignment horizontal="center" readingOrder="0" shrinkToFit="0" vertical="center" wrapText="1"/>
    </xf>
    <xf borderId="1" fillId="4" fontId="3" numFmtId="0" xfId="0" applyAlignment="1" applyBorder="1" applyFont="1">
      <alignment horizontal="left" readingOrder="0" shrinkToFit="0" vertical="center" wrapText="1"/>
    </xf>
    <xf borderId="1" fillId="4" fontId="14" numFmtId="0" xfId="0" applyAlignment="1" applyBorder="1" applyFont="1">
      <alignment readingOrder="0" shrinkToFit="0" vertical="center" wrapText="1"/>
    </xf>
    <xf borderId="13" fillId="0" fontId="14" numFmtId="0" xfId="0" applyAlignment="1" applyBorder="1" applyFont="1">
      <alignment horizontal="center" shrinkToFit="0" vertical="center" wrapText="1"/>
    </xf>
    <xf borderId="1" fillId="5" fontId="3" numFmtId="0" xfId="0" applyAlignment="1" applyBorder="1" applyFont="1">
      <alignment readingOrder="0" shrinkToFit="0" vertical="center" wrapText="1"/>
    </xf>
    <xf borderId="1" fillId="4" fontId="14" numFmtId="0" xfId="0" applyAlignment="1" applyBorder="1" applyFont="1">
      <alignment readingOrder="0" shrinkToFit="0" vertical="center" wrapText="1"/>
    </xf>
    <xf borderId="1" fillId="11" fontId="14" numFmtId="0" xfId="0" applyAlignment="1" applyBorder="1" applyFill="1" applyFont="1">
      <alignment horizontal="center" readingOrder="0" shrinkToFit="0" vertical="center" wrapText="1"/>
    </xf>
    <xf borderId="1" fillId="12" fontId="14" numFmtId="0" xfId="0" applyAlignment="1" applyBorder="1" applyFill="1" applyFont="1">
      <alignment horizontal="center" readingOrder="0" shrinkToFit="0" vertical="center" wrapText="1"/>
    </xf>
    <xf borderId="1" fillId="0" fontId="14" numFmtId="168" xfId="0" applyAlignment="1" applyBorder="1" applyFont="1" applyNumberFormat="1">
      <alignment horizontal="center" readingOrder="0" shrinkToFit="0" vertical="center" wrapText="1"/>
    </xf>
    <xf borderId="1" fillId="5" fontId="14" numFmtId="0" xfId="0" applyAlignment="1" applyBorder="1" applyFont="1">
      <alignment readingOrder="0" shrinkToFit="0" vertical="center" wrapText="1"/>
    </xf>
    <xf borderId="15" fillId="0" fontId="28" numFmtId="165" xfId="0" applyAlignment="1" applyBorder="1" applyFont="1" applyNumberFormat="1">
      <alignment horizontal="center" readingOrder="0" shrinkToFit="0" vertical="center" wrapText="1"/>
    </xf>
    <xf borderId="1" fillId="13" fontId="14" numFmtId="2" xfId="0" applyAlignment="1" applyBorder="1" applyFill="1" applyFont="1" applyNumberFormat="1">
      <alignment horizontal="center" shrinkToFit="0" vertical="center" wrapText="1"/>
    </xf>
    <xf borderId="1" fillId="14" fontId="14" numFmtId="2" xfId="0" applyAlignment="1" applyBorder="1" applyFill="1" applyFont="1" applyNumberFormat="1">
      <alignment horizontal="center" shrinkToFit="0" vertical="center" wrapText="1"/>
    </xf>
    <xf borderId="1" fillId="5" fontId="29" numFmtId="0" xfId="0" applyAlignment="1" applyBorder="1" applyFont="1">
      <alignment shrinkToFit="0" vertical="center" wrapText="1"/>
    </xf>
    <xf borderId="1" fillId="5" fontId="30" numFmtId="0" xfId="0" applyAlignment="1" applyBorder="1" applyFont="1">
      <alignment readingOrder="0" shrinkToFit="0" vertical="center" wrapText="1"/>
    </xf>
    <xf borderId="1" fillId="0" fontId="14" numFmtId="0" xfId="0" applyAlignment="1" applyBorder="1" applyFont="1">
      <alignment horizontal="center" shrinkToFit="0" vertical="center" wrapText="1"/>
    </xf>
    <xf borderId="1" fillId="15" fontId="14" numFmtId="2" xfId="0" applyAlignment="1" applyBorder="1" applyFill="1" applyFont="1" applyNumberFormat="1">
      <alignment horizontal="center" shrinkToFit="0" vertical="center" wrapText="1"/>
    </xf>
    <xf borderId="1" fillId="16" fontId="14" numFmtId="2" xfId="0" applyAlignment="1" applyBorder="1" applyFill="1" applyFont="1" applyNumberFormat="1">
      <alignment horizontal="center" shrinkToFit="0" vertical="center" wrapText="1"/>
    </xf>
    <xf borderId="1" fillId="17" fontId="14" numFmtId="0" xfId="0" applyAlignment="1" applyBorder="1" applyFill="1" applyFont="1">
      <alignment horizontal="center" readingOrder="0" shrinkToFit="0" vertical="center" wrapText="1"/>
    </xf>
    <xf borderId="14" fillId="0" fontId="14" numFmtId="0" xfId="0" applyAlignment="1" applyBorder="1" applyFont="1">
      <alignment horizontal="center" shrinkToFit="0" vertical="center" wrapText="1"/>
    </xf>
    <xf borderId="15" fillId="18" fontId="14" numFmtId="0" xfId="0" applyAlignment="1" applyBorder="1" applyFill="1" applyFont="1">
      <alignment horizontal="center" shrinkToFit="0" vertical="center" wrapText="1"/>
    </xf>
    <xf borderId="15" fillId="0" fontId="14" numFmtId="0" xfId="0" applyAlignment="1" applyBorder="1" applyFont="1">
      <alignment horizontal="center" shrinkToFit="0" vertical="center" wrapText="1"/>
    </xf>
    <xf borderId="16" fillId="0" fontId="14" numFmtId="0" xfId="0" applyAlignment="1" applyBorder="1" applyFont="1">
      <alignment horizontal="center" shrinkToFit="0" vertical="center" wrapText="1"/>
    </xf>
    <xf borderId="15" fillId="0" fontId="14" numFmtId="165" xfId="0" applyAlignment="1" applyBorder="1" applyFont="1" applyNumberFormat="1">
      <alignment horizontal="right" shrinkToFit="0" vertical="center" wrapText="1"/>
    </xf>
    <xf borderId="14" fillId="19" fontId="14" numFmtId="165" xfId="0" applyAlignment="1" applyBorder="1" applyFill="1" applyFont="1" applyNumberFormat="1">
      <alignment horizontal="right" readingOrder="0" shrinkToFit="0" vertical="center" wrapText="1"/>
    </xf>
    <xf borderId="15" fillId="0" fontId="31" numFmtId="165" xfId="0" applyAlignment="1" applyBorder="1" applyFont="1" applyNumberFormat="1">
      <alignment horizontal="center" vertical="center"/>
    </xf>
    <xf borderId="1" fillId="0" fontId="31" numFmtId="165" xfId="0" applyAlignment="1" applyBorder="1" applyFont="1" applyNumberFormat="1">
      <alignment vertical="center"/>
    </xf>
    <xf borderId="15" fillId="4" fontId="3" numFmtId="0" xfId="0" applyAlignment="1" applyBorder="1" applyFont="1">
      <alignment readingOrder="0" shrinkToFit="0" vertical="center" wrapText="1"/>
    </xf>
    <xf borderId="15" fillId="0" fontId="14" numFmtId="165" xfId="0" applyAlignment="1" applyBorder="1" applyFont="1" applyNumberFormat="1">
      <alignment horizontal="left" readingOrder="0" shrinkToFit="0" vertical="center" wrapText="1"/>
    </xf>
    <xf borderId="15" fillId="0" fontId="14" numFmtId="166" xfId="0" applyAlignment="1" applyBorder="1" applyFont="1" applyNumberFormat="1">
      <alignment horizontal="left" readingOrder="0" shrinkToFit="0" vertical="center" wrapText="1"/>
    </xf>
    <xf borderId="15" fillId="4" fontId="32" numFmtId="0" xfId="0" applyAlignment="1" applyBorder="1" applyFont="1">
      <alignment readingOrder="0" shrinkToFit="0" vertical="center" wrapText="1"/>
    </xf>
    <xf borderId="15" fillId="10" fontId="14" numFmtId="2" xfId="0" applyAlignment="1" applyBorder="1" applyFont="1" applyNumberFormat="1">
      <alignment horizontal="center" readingOrder="0" shrinkToFit="0" vertical="center" wrapText="1"/>
    </xf>
    <xf borderId="0" fillId="0" fontId="31" numFmtId="0" xfId="0" applyFont="1"/>
    <xf borderId="15" fillId="5" fontId="33" numFmtId="0" xfId="0" applyAlignment="1" applyBorder="1" applyFont="1">
      <alignment readingOrder="0" shrinkToFit="0" vertical="center" wrapText="1"/>
    </xf>
    <xf borderId="15" fillId="0" fontId="14" numFmtId="165" xfId="0" applyAlignment="1" applyBorder="1" applyFont="1" applyNumberFormat="1">
      <alignment horizontal="left" readingOrder="0" shrinkToFit="0" vertical="center" wrapText="1"/>
    </xf>
    <xf borderId="15" fillId="0" fontId="14" numFmtId="166" xfId="0" applyAlignment="1" applyBorder="1" applyFont="1" applyNumberFormat="1">
      <alignment horizontal="left" readingOrder="0" shrinkToFit="0" vertical="center" wrapText="1"/>
    </xf>
    <xf borderId="1" fillId="0" fontId="34" numFmtId="165" xfId="0" applyAlignment="1" applyBorder="1" applyFont="1" applyNumberFormat="1">
      <alignment horizontal="left" readingOrder="0" shrinkToFit="0" vertical="center" wrapText="1"/>
    </xf>
    <xf borderId="0" fillId="0" fontId="9" numFmtId="0" xfId="0" applyAlignment="1" applyFont="1">
      <alignment horizontal="left" shrinkToFit="0" wrapText="1"/>
    </xf>
    <xf borderId="1" fillId="0" fontId="31" numFmtId="166" xfId="0" applyAlignment="1" applyBorder="1" applyFont="1" applyNumberFormat="1">
      <alignment readingOrder="0" vertical="center"/>
    </xf>
    <xf borderId="15" fillId="0" fontId="14" numFmtId="0" xfId="0" applyAlignment="1" applyBorder="1" applyFont="1">
      <alignment horizontal="left" readingOrder="0" shrinkToFit="0" vertical="center" wrapText="1"/>
    </xf>
    <xf borderId="15" fillId="5" fontId="35" numFmtId="0" xfId="0" applyAlignment="1" applyBorder="1" applyFont="1">
      <alignment readingOrder="0" shrinkToFit="0" vertical="center" wrapText="1"/>
    </xf>
    <xf borderId="0" fillId="0" fontId="9" numFmtId="166" xfId="0" applyAlignment="1" applyFont="1" applyNumberFormat="1">
      <alignment readingOrder="0" shrinkToFit="0" vertical="center" wrapText="1"/>
    </xf>
    <xf borderId="1" fillId="0" fontId="14" numFmtId="165" xfId="0" applyAlignment="1" applyBorder="1" applyFont="1" applyNumberFormat="1">
      <alignment horizontal="right" readingOrder="0" shrinkToFit="0" vertical="center" wrapText="1"/>
    </xf>
    <xf borderId="1" fillId="4" fontId="3" numFmtId="0" xfId="0" applyAlignment="1" applyBorder="1" applyFont="1">
      <alignment readingOrder="0" shrinkToFit="0" vertical="center" wrapText="1"/>
    </xf>
    <xf borderId="16" fillId="0" fontId="14" numFmtId="165" xfId="0" applyAlignment="1" applyBorder="1" applyFont="1" applyNumberFormat="1">
      <alignment horizontal="right" readingOrder="0" shrinkToFit="0" vertical="center" wrapText="1"/>
    </xf>
    <xf borderId="1" fillId="20" fontId="14" numFmtId="2" xfId="0" applyAlignment="1" applyBorder="1" applyFill="1" applyFont="1" applyNumberFormat="1">
      <alignment horizontal="center" shrinkToFit="0" vertical="center" wrapText="1"/>
    </xf>
    <xf borderId="1" fillId="21" fontId="14" numFmtId="2" xfId="0" applyAlignment="1" applyBorder="1" applyFill="1" applyFont="1" applyNumberFormat="1">
      <alignment horizontal="center" shrinkToFit="0" vertical="center" wrapText="1"/>
    </xf>
    <xf borderId="1" fillId="22" fontId="14" numFmtId="0" xfId="0" applyAlignment="1" applyBorder="1" applyFill="1" applyFont="1">
      <alignment horizontal="center" readingOrder="0" shrinkToFit="0" vertical="center" wrapText="1"/>
    </xf>
    <xf borderId="15" fillId="23" fontId="14" numFmtId="0" xfId="0" applyAlignment="1" applyBorder="1" applyFill="1" applyFont="1">
      <alignment horizontal="center" readingOrder="0" shrinkToFit="0" vertical="center" wrapText="1"/>
    </xf>
    <xf borderId="1" fillId="13" fontId="14" numFmtId="0" xfId="0" applyAlignment="1" applyBorder="1" applyFont="1">
      <alignment horizontal="center" readingOrder="0" shrinkToFit="0" vertical="center" wrapText="1"/>
    </xf>
    <xf borderId="14" fillId="24" fontId="14" numFmtId="165" xfId="0" applyAlignment="1" applyBorder="1" applyFill="1" applyFont="1" applyNumberFormat="1">
      <alignment horizontal="right" readingOrder="0" shrinkToFit="0" vertical="center" wrapText="1"/>
    </xf>
    <xf borderId="15" fillId="0" fontId="14" numFmtId="165" xfId="0" applyAlignment="1" applyBorder="1" applyFont="1" applyNumberFormat="1">
      <alignment horizontal="right" readingOrder="0" shrinkToFit="0" vertical="center" wrapText="1"/>
    </xf>
    <xf borderId="1" fillId="25" fontId="14" numFmtId="2" xfId="0" applyAlignment="1" applyBorder="1" applyFill="1" applyFont="1" applyNumberFormat="1">
      <alignment horizontal="center" shrinkToFit="0" vertical="center" wrapText="1"/>
    </xf>
    <xf borderId="1" fillId="26" fontId="14" numFmtId="2" xfId="0" applyAlignment="1" applyBorder="1" applyFill="1" applyFont="1" applyNumberFormat="1">
      <alignment horizontal="center" shrinkToFit="0" vertical="center" wrapText="1"/>
    </xf>
    <xf borderId="15" fillId="6" fontId="14" numFmtId="0" xfId="0" applyAlignment="1" applyBorder="1" applyFont="1">
      <alignment horizontal="center" shrinkToFit="0" vertical="center" wrapText="1"/>
    </xf>
    <xf borderId="1" fillId="11" fontId="14" numFmtId="0" xfId="0" applyAlignment="1" applyBorder="1" applyFont="1">
      <alignment horizontal="center" shrinkToFit="0" vertical="center" wrapText="1"/>
    </xf>
    <xf borderId="1" fillId="12" fontId="14" numFmtId="0" xfId="0" applyAlignment="1" applyBorder="1" applyFont="1">
      <alignment horizontal="center" shrinkToFit="0" vertical="center" wrapText="1"/>
    </xf>
    <xf borderId="0" fillId="0" fontId="31" numFmtId="166" xfId="0" applyAlignment="1" applyFont="1" applyNumberFormat="1">
      <alignment readingOrder="0"/>
    </xf>
    <xf borderId="15" fillId="5" fontId="3" numFmtId="0" xfId="0" applyAlignment="1" applyBorder="1" applyFont="1">
      <alignment readingOrder="0" shrinkToFit="0" vertical="center" wrapText="1"/>
    </xf>
    <xf borderId="15" fillId="12" fontId="14" numFmtId="0" xfId="0" applyAlignment="1" applyBorder="1" applyFont="1">
      <alignment horizontal="center" readingOrder="0" shrinkToFit="0" vertical="center" wrapText="1"/>
    </xf>
    <xf borderId="0" fillId="0" fontId="31" numFmtId="0" xfId="0" applyAlignment="1" applyFont="1">
      <alignment vertical="bottom"/>
    </xf>
    <xf borderId="1" fillId="0" fontId="14" numFmtId="169" xfId="0" applyAlignment="1" applyBorder="1" applyFont="1" applyNumberFormat="1">
      <alignment horizontal="left" readingOrder="0" shrinkToFit="0" vertical="center" wrapText="1"/>
    </xf>
    <xf borderId="1" fillId="0" fontId="14" numFmtId="169" xfId="0" applyAlignment="1" applyBorder="1" applyFont="1" applyNumberFormat="1">
      <alignment horizontal="left" readingOrder="0" shrinkToFit="0" vertical="center" wrapText="1"/>
    </xf>
    <xf borderId="1" fillId="4" fontId="36" numFmtId="0" xfId="0" applyAlignment="1" applyBorder="1" applyFont="1">
      <alignment horizontal="left" readingOrder="0" shrinkToFit="0" vertical="center" wrapText="1"/>
    </xf>
    <xf borderId="0" fillId="0" fontId="37" numFmtId="0" xfId="0" applyAlignment="1" applyFont="1">
      <alignment readingOrder="0"/>
    </xf>
    <xf borderId="1" fillId="0" fontId="10" numFmtId="0" xfId="0" applyAlignment="1" applyBorder="1" applyFont="1">
      <alignment readingOrder="0"/>
    </xf>
    <xf borderId="1" fillId="0" fontId="38" numFmtId="0" xfId="0" applyAlignment="1" applyBorder="1" applyFont="1">
      <alignment readingOrder="0"/>
    </xf>
    <xf borderId="1" fillId="0" fontId="39" numFmtId="0" xfId="0" applyAlignment="1" applyBorder="1" applyFont="1">
      <alignment readingOrder="0"/>
    </xf>
    <xf borderId="14" fillId="0" fontId="16" numFmtId="0" xfId="0" applyAlignment="1" applyBorder="1" applyFont="1">
      <alignment horizontal="left" readingOrder="0" shrinkToFit="0" vertical="top" wrapText="1"/>
    </xf>
    <xf borderId="15" fillId="0" fontId="16" numFmtId="0" xfId="0" applyAlignment="1" applyBorder="1" applyFont="1">
      <alignment horizontal="left" readingOrder="0" shrinkToFit="0" textRotation="0" vertical="top" wrapText="1"/>
    </xf>
    <xf borderId="1" fillId="0" fontId="16" numFmtId="0" xfId="0" applyAlignment="1" applyBorder="1" applyFont="1">
      <alignment horizontal="left" readingOrder="0" shrinkToFit="0" textRotation="90" vertical="top" wrapText="1"/>
    </xf>
    <xf borderId="14" fillId="0" fontId="16" numFmtId="0" xfId="0" applyAlignment="1" applyBorder="1" applyFont="1">
      <alignment horizontal="left" readingOrder="0" shrinkToFit="0" textRotation="90" vertical="top" wrapText="1"/>
    </xf>
    <xf borderId="17" fillId="0" fontId="16" numFmtId="0" xfId="0" applyAlignment="1" applyBorder="1" applyFont="1">
      <alignment horizontal="left" readingOrder="0" shrinkToFit="0" textRotation="90" vertical="top" wrapText="1"/>
    </xf>
    <xf borderId="13" fillId="0" fontId="16" numFmtId="0" xfId="0" applyAlignment="1" applyBorder="1" applyFont="1">
      <alignment horizontal="left" readingOrder="0" shrinkToFit="0" textRotation="90" vertical="top" wrapText="1"/>
    </xf>
    <xf borderId="13" fillId="0" fontId="16" numFmtId="0" xfId="0" applyAlignment="1" applyBorder="1" applyFont="1">
      <alignment horizontal="left" readingOrder="0" shrinkToFit="0" vertical="top" wrapText="1"/>
    </xf>
    <xf borderId="0" fillId="0" fontId="9" numFmtId="0" xfId="0" applyAlignment="1" applyFont="1">
      <alignment shrinkToFit="0" vertical="top" wrapText="1"/>
    </xf>
    <xf borderId="1" fillId="0" fontId="40" numFmtId="0" xfId="0" applyAlignment="1" applyBorder="1" applyFont="1">
      <alignment readingOrder="0" shrinkToFit="0" vertical="center" wrapText="1"/>
    </xf>
    <xf borderId="14" fillId="0" fontId="41" numFmtId="0" xfId="0" applyAlignment="1" applyBorder="1" applyFont="1">
      <alignment readingOrder="0" shrinkToFit="0" vertical="center" wrapText="1"/>
    </xf>
    <xf borderId="17" fillId="0" fontId="14" numFmtId="2" xfId="0" applyAlignment="1" applyBorder="1" applyFont="1" applyNumberFormat="1">
      <alignment horizontal="center" readingOrder="0" shrinkToFit="0" vertical="center" wrapText="1"/>
    </xf>
    <xf borderId="17" fillId="0" fontId="14" numFmtId="0" xfId="0" applyAlignment="1" applyBorder="1" applyFont="1">
      <alignment horizontal="center" readingOrder="0" shrinkToFit="0" vertical="center" wrapText="1"/>
    </xf>
    <xf borderId="13" fillId="0" fontId="3" numFmtId="0" xfId="0" applyAlignment="1" applyBorder="1" applyFont="1">
      <alignment shrinkToFit="0" vertical="center" wrapText="1"/>
    </xf>
    <xf borderId="1" fillId="0" fontId="3" numFmtId="0" xfId="0" applyAlignment="1" applyBorder="1" applyFont="1">
      <alignment readingOrder="0" shrinkToFit="0" vertical="center" wrapText="1"/>
    </xf>
    <xf borderId="14" fillId="0" fontId="3" numFmtId="0" xfId="0" applyAlignment="1" applyBorder="1" applyFont="1">
      <alignment readingOrder="0" shrinkToFit="0" vertical="center" wrapText="1"/>
    </xf>
    <xf borderId="1" fillId="0" fontId="3" numFmtId="0" xfId="0" applyAlignment="1" applyBorder="1" applyFont="1">
      <alignment horizontal="center" readingOrder="0" shrinkToFit="0" vertical="center" wrapText="1"/>
    </xf>
    <xf borderId="1" fillId="0" fontId="42" numFmtId="0" xfId="0" applyAlignment="1" applyBorder="1" applyFont="1">
      <alignment horizontal="center" readingOrder="0" shrinkToFit="0" vertical="center" wrapText="1"/>
    </xf>
    <xf borderId="13" fillId="0" fontId="3" numFmtId="0" xfId="0" applyAlignment="1" applyBorder="1" applyFont="1">
      <alignment readingOrder="0" shrinkToFit="0" vertical="center" wrapText="1"/>
    </xf>
    <xf borderId="1" fillId="12" fontId="3" numFmtId="0" xfId="0" applyAlignment="1" applyBorder="1" applyFont="1">
      <alignment horizontal="center" shrinkToFit="0" wrapText="1"/>
    </xf>
    <xf borderId="15" fillId="27" fontId="3" numFmtId="2" xfId="0" applyAlignment="1" applyBorder="1" applyFill="1" applyFont="1" applyNumberFormat="1">
      <alignment horizontal="center" shrinkToFit="0" wrapText="1"/>
    </xf>
    <xf borderId="15" fillId="28" fontId="3" numFmtId="2" xfId="0" applyAlignment="1" applyBorder="1" applyFill="1" applyFont="1" applyNumberFormat="1">
      <alignment horizontal="center" shrinkToFit="0" wrapText="1"/>
    </xf>
    <xf borderId="16" fillId="29" fontId="3" numFmtId="2" xfId="0" applyAlignment="1" applyBorder="1" applyFill="1" applyFont="1" applyNumberFormat="1">
      <alignment horizontal="center" shrinkToFit="0" wrapText="1"/>
    </xf>
    <xf borderId="6" fillId="0" fontId="43" numFmtId="0" xfId="0" applyAlignment="1" applyBorder="1" applyFont="1">
      <alignment readingOrder="0" shrinkToFit="0" vertical="center" wrapText="0"/>
    </xf>
    <xf borderId="13" fillId="0" fontId="44" numFmtId="0" xfId="0" applyAlignment="1" applyBorder="1" applyFont="1">
      <alignment readingOrder="0" shrinkToFit="0" vertical="center" wrapText="1"/>
    </xf>
    <xf borderId="14" fillId="0" fontId="14" numFmtId="0" xfId="0" applyAlignment="1" applyBorder="1" applyFont="1">
      <alignment readingOrder="0" shrinkToFit="0" vertical="center" wrapText="1"/>
    </xf>
    <xf borderId="1" fillId="0" fontId="3" numFmtId="0" xfId="0" applyAlignment="1" applyBorder="1" applyFont="1">
      <alignment readingOrder="0" shrinkToFit="0" vertical="center" wrapText="1"/>
    </xf>
    <xf borderId="14" fillId="0" fontId="3" numFmtId="0" xfId="0" applyAlignment="1" applyBorder="1" applyFont="1">
      <alignment readingOrder="0" shrinkToFit="0" vertical="center" wrapText="1"/>
    </xf>
    <xf borderId="14" fillId="0" fontId="45" numFmtId="0" xfId="0" applyAlignment="1" applyBorder="1" applyFont="1">
      <alignment readingOrder="0" shrinkToFit="0" vertical="center" wrapText="1"/>
    </xf>
    <xf borderId="18" fillId="0" fontId="16" numFmtId="0" xfId="0" applyAlignment="1" applyBorder="1" applyFont="1">
      <alignment horizontal="left" readingOrder="0" shrinkToFit="0" textRotation="90" vertical="top" wrapText="1"/>
    </xf>
    <xf borderId="18" fillId="0" fontId="3" numFmtId="0" xfId="0" applyAlignment="1" applyBorder="1" applyFont="1">
      <alignment horizontal="center" readingOrder="0" shrinkToFit="0" vertical="center" wrapText="1"/>
    </xf>
    <xf borderId="14" fillId="0" fontId="46" numFmtId="0" xfId="0" applyAlignment="1" applyBorder="1" applyFont="1">
      <alignment readingOrder="0" vertical="center"/>
    </xf>
    <xf borderId="18" fillId="0" fontId="47" numFmtId="0" xfId="0" applyAlignment="1" applyBorder="1" applyFont="1">
      <alignment horizontal="center" readingOrder="0" shrinkToFit="0" vertical="center" wrapText="1"/>
    </xf>
    <xf borderId="13" fillId="0" fontId="3" numFmtId="0" xfId="0" applyAlignment="1" applyBorder="1" applyFont="1">
      <alignment horizontal="center" shrinkToFit="0" wrapText="1"/>
    </xf>
    <xf borderId="15" fillId="0" fontId="3" numFmtId="0" xfId="0" applyAlignment="1" applyBorder="1" applyFont="1">
      <alignment horizontal="center" shrinkToFit="0" wrapText="1"/>
    </xf>
    <xf borderId="15" fillId="30" fontId="3" numFmtId="0" xfId="0" applyAlignment="1" applyBorder="1" applyFill="1" applyFont="1">
      <alignment horizontal="center" shrinkToFit="0" wrapText="1"/>
    </xf>
    <xf borderId="15" fillId="31" fontId="3" numFmtId="0" xfId="0" applyAlignment="1" applyBorder="1" applyFill="1" applyFont="1">
      <alignment horizontal="center" shrinkToFit="0" wrapText="1"/>
    </xf>
    <xf borderId="16" fillId="2" fontId="3" numFmtId="0" xfId="0" applyAlignment="1" applyBorder="1" applyFont="1">
      <alignment horizontal="center" shrinkToFit="0" wrapText="1"/>
    </xf>
    <xf borderId="15" fillId="32" fontId="3" numFmtId="0" xfId="0" applyAlignment="1" applyBorder="1" applyFill="1" applyFont="1">
      <alignment horizontal="center" shrinkToFit="0" wrapText="1"/>
    </xf>
    <xf borderId="15" fillId="12" fontId="3" numFmtId="2" xfId="0" applyAlignment="1" applyBorder="1" applyFont="1" applyNumberFormat="1">
      <alignment horizontal="center" shrinkToFit="0" wrapText="1"/>
    </xf>
    <xf borderId="15" fillId="33" fontId="3" numFmtId="2" xfId="0" applyAlignment="1" applyBorder="1" applyFill="1" applyFont="1" applyNumberFormat="1">
      <alignment horizontal="center" shrinkToFit="0" wrapText="1"/>
    </xf>
    <xf borderId="16" fillId="19" fontId="3" numFmtId="2" xfId="0" applyAlignment="1" applyBorder="1" applyFont="1" applyNumberFormat="1">
      <alignment horizontal="center" shrinkToFit="0" wrapText="1"/>
    </xf>
    <xf borderId="15" fillId="2" fontId="3" numFmtId="0" xfId="0" applyAlignment="1" applyBorder="1" applyFont="1">
      <alignment horizontal="center" shrinkToFit="0" wrapText="1"/>
    </xf>
    <xf borderId="16" fillId="0" fontId="3" numFmtId="0" xfId="0" applyAlignment="1" applyBorder="1" applyFont="1">
      <alignment horizontal="center" shrinkToFit="0" wrapText="1"/>
    </xf>
    <xf borderId="16" fillId="19" fontId="3" numFmtId="2" xfId="0" applyAlignment="1" applyBorder="1" applyFont="1" applyNumberFormat="1">
      <alignment horizontal="center" readingOrder="0" shrinkToFit="0" wrapText="1"/>
    </xf>
    <xf borderId="15" fillId="2" fontId="3" numFmtId="0" xfId="0" applyAlignment="1" applyBorder="1" applyFont="1">
      <alignment horizontal="center" readingOrder="0" shrinkToFit="0" wrapText="1"/>
    </xf>
    <xf borderId="15" fillId="0" fontId="3" numFmtId="0" xfId="0" applyAlignment="1" applyBorder="1" applyFont="1">
      <alignment horizontal="center" readingOrder="0" shrinkToFit="0" wrapText="1"/>
    </xf>
    <xf borderId="16" fillId="0" fontId="3" numFmtId="0" xfId="0" applyAlignment="1" applyBorder="1" applyFont="1">
      <alignment horizontal="center" readingOrder="0" shrinkToFit="0" wrapText="1"/>
    </xf>
    <xf borderId="14" fillId="0" fontId="48" numFmtId="0" xfId="0" applyAlignment="1" applyBorder="1" applyFont="1">
      <alignment readingOrder="0" shrinkToFit="0" vertical="center" wrapText="1"/>
    </xf>
    <xf borderId="18" fillId="0" fontId="3" numFmtId="0" xfId="0" applyAlignment="1" applyBorder="1" applyFont="1">
      <alignment horizontal="center" readingOrder="0" shrinkToFit="0" vertical="center" wrapText="1"/>
    </xf>
    <xf borderId="19" fillId="0" fontId="14" numFmtId="0" xfId="0" applyAlignment="1" applyBorder="1" applyFont="1">
      <alignment readingOrder="0" shrinkToFit="0" vertical="top" wrapText="1"/>
    </xf>
    <xf borderId="13" fillId="0" fontId="14" numFmtId="0" xfId="0" applyAlignment="1" applyBorder="1" applyFont="1">
      <alignment readingOrder="0" shrinkToFit="0" textRotation="90" vertical="top" wrapText="1"/>
    </xf>
    <xf borderId="19" fillId="0" fontId="14" numFmtId="0" xfId="0" applyAlignment="1" applyBorder="1" applyFont="1">
      <alignment readingOrder="0" shrinkToFit="0" textRotation="90" vertical="top" wrapText="1"/>
    </xf>
    <xf borderId="18" fillId="0" fontId="14" numFmtId="0" xfId="0" applyAlignment="1" applyBorder="1" applyFont="1">
      <alignment readingOrder="0" shrinkToFit="0" textRotation="90" vertical="top" wrapText="1"/>
    </xf>
    <xf borderId="6" fillId="0" fontId="49" numFmtId="0" xfId="0" applyAlignment="1" applyBorder="1" applyFont="1">
      <alignment readingOrder="0" vertical="top"/>
    </xf>
    <xf borderId="20" fillId="0" fontId="50" numFmtId="0" xfId="0" applyAlignment="1" applyBorder="1" applyFont="1">
      <alignment readingOrder="0" vertical="top"/>
    </xf>
    <xf borderId="21" fillId="0" fontId="14" numFmtId="0" xfId="0" applyAlignment="1" applyBorder="1" applyFont="1">
      <alignment horizontal="center" readingOrder="0" shrinkToFit="0" wrapText="0"/>
    </xf>
    <xf borderId="22" fillId="0" fontId="14" numFmtId="0" xfId="0" applyAlignment="1" applyBorder="1" applyFont="1">
      <alignment horizontal="center" readingOrder="0" shrinkToFit="0" wrapText="0"/>
    </xf>
    <xf borderId="20" fillId="0" fontId="14" numFmtId="0" xfId="0" applyAlignment="1" applyBorder="1" applyFont="1">
      <alignment horizontal="center" readingOrder="0" shrinkToFit="0" wrapText="0"/>
    </xf>
    <xf borderId="22" fillId="0" fontId="14" numFmtId="2" xfId="0" applyAlignment="1" applyBorder="1" applyFont="1" applyNumberFormat="1">
      <alignment horizontal="center" readingOrder="0" shrinkToFit="0" wrapText="0"/>
    </xf>
    <xf borderId="20" fillId="0" fontId="14" numFmtId="2" xfId="0" applyAlignment="1" applyBorder="1" applyFont="1" applyNumberFormat="1">
      <alignment horizontal="center" readingOrder="0" shrinkToFit="0" wrapText="0"/>
    </xf>
    <xf borderId="23" fillId="0" fontId="14" numFmtId="0" xfId="0" applyAlignment="1" applyBorder="1" applyFont="1">
      <alignment horizontal="center" readingOrder="0" shrinkToFit="0" wrapText="0"/>
    </xf>
    <xf borderId="13" fillId="0" fontId="14" numFmtId="0" xfId="0" applyAlignment="1" applyBorder="1" applyFont="1">
      <alignment horizontal="center" readingOrder="0" shrinkToFit="0" wrapText="0"/>
    </xf>
    <xf borderId="1" fillId="0" fontId="14" numFmtId="0" xfId="0" applyAlignment="1" applyBorder="1" applyFont="1">
      <alignment horizontal="center" readingOrder="0" shrinkToFit="0" wrapText="0"/>
    </xf>
    <xf borderId="22" fillId="0" fontId="51" numFmtId="0" xfId="0" applyAlignment="1" applyBorder="1" applyFont="1">
      <alignment horizontal="center" readingOrder="0" shrinkToFit="0" wrapText="0"/>
    </xf>
    <xf borderId="24" fillId="0" fontId="52" numFmtId="0" xfId="0" applyAlignment="1" applyBorder="1" applyFont="1">
      <alignment readingOrder="0" vertical="top"/>
    </xf>
    <xf borderId="25" fillId="0" fontId="53" numFmtId="0" xfId="0" applyAlignment="1" applyBorder="1" applyFont="1">
      <alignment readingOrder="0" vertical="top"/>
    </xf>
    <xf borderId="26" fillId="0" fontId="14" numFmtId="0" xfId="0" applyAlignment="1" applyBorder="1" applyFont="1">
      <alignment horizontal="center" readingOrder="0" shrinkToFit="0" wrapText="0"/>
    </xf>
    <xf borderId="27" fillId="0" fontId="14" numFmtId="0" xfId="0" applyAlignment="1" applyBorder="1" applyFont="1">
      <alignment horizontal="center" readingOrder="0" shrinkToFit="0" wrapText="0"/>
    </xf>
    <xf borderId="25" fillId="0" fontId="14" numFmtId="0" xfId="0" applyAlignment="1" applyBorder="1" applyFont="1">
      <alignment horizontal="center" readingOrder="0" shrinkToFit="0" wrapText="0"/>
    </xf>
    <xf borderId="27" fillId="0" fontId="14" numFmtId="2" xfId="0" applyAlignment="1" applyBorder="1" applyFont="1" applyNumberFormat="1">
      <alignment horizontal="center" readingOrder="0" shrinkToFit="0" wrapText="0"/>
    </xf>
    <xf borderId="25" fillId="0" fontId="14" numFmtId="2" xfId="0" applyAlignment="1" applyBorder="1" applyFont="1" applyNumberFormat="1">
      <alignment horizontal="center" readingOrder="0" shrinkToFit="0" wrapText="0"/>
    </xf>
    <xf borderId="11" fillId="0" fontId="14" numFmtId="0" xfId="0" applyAlignment="1" applyBorder="1" applyFont="1">
      <alignment horizontal="center" readingOrder="0" shrinkToFit="0" wrapText="0"/>
    </xf>
    <xf borderId="28" fillId="0" fontId="14" numFmtId="0" xfId="0" applyAlignment="1" applyBorder="1" applyFont="1">
      <alignment horizontal="center" readingOrder="0" shrinkToFit="0" wrapText="0"/>
    </xf>
    <xf borderId="29" fillId="0" fontId="14" numFmtId="0" xfId="0" applyAlignment="1" applyBorder="1" applyFont="1">
      <alignment horizontal="center" readingOrder="0" shrinkToFit="0" wrapText="0"/>
    </xf>
    <xf borderId="27" fillId="0" fontId="54" numFmtId="0" xfId="0" applyAlignment="1" applyBorder="1" applyFont="1">
      <alignment horizontal="center" readingOrder="0" shrinkToFit="0" wrapText="0"/>
    </xf>
    <xf borderId="6" fillId="0" fontId="14" numFmtId="0" xfId="0" applyAlignment="1" applyBorder="1" applyFont="1">
      <alignment horizontal="center" readingOrder="0" shrinkToFit="0" wrapText="0"/>
    </xf>
    <xf borderId="6" fillId="0" fontId="55" numFmtId="0" xfId="0" applyAlignment="1" applyBorder="1" applyFont="1">
      <alignment readingOrder="0" vertical="top"/>
    </xf>
    <xf borderId="20" fillId="0" fontId="56" numFmtId="0" xfId="0" applyAlignment="1" applyBorder="1" applyFont="1">
      <alignment readingOrder="0" vertical="top"/>
    </xf>
    <xf borderId="20" fillId="0" fontId="3" numFmtId="0" xfId="0" applyAlignment="1" applyBorder="1" applyFont="1">
      <alignment readingOrder="0" vertical="top"/>
    </xf>
    <xf borderId="24" fillId="0" fontId="57" numFmtId="0" xfId="0" applyAlignment="1" applyBorder="1" applyFont="1">
      <alignment readingOrder="0" vertical="top"/>
    </xf>
    <xf borderId="22" fillId="0" fontId="3" numFmtId="0" xfId="0" applyAlignment="1" applyBorder="1" applyFont="1">
      <alignment horizontal="center" readingOrder="0" shrinkToFit="0" wrapText="0"/>
    </xf>
    <xf borderId="24" fillId="0" fontId="14" numFmtId="0" xfId="0" applyAlignment="1" applyBorder="1" applyFont="1">
      <alignment horizontal="center" readingOrder="0" shrinkToFit="0" wrapText="0"/>
    </xf>
    <xf borderId="20" fillId="0" fontId="58" numFmtId="0" xfId="0" applyAlignment="1" applyBorder="1" applyFont="1">
      <alignment readingOrder="0" vertical="top"/>
    </xf>
    <xf borderId="13" fillId="0" fontId="3" numFmtId="0" xfId="0" applyAlignment="1" applyBorder="1" applyFont="1">
      <alignment horizontal="center" vertical="bottom"/>
    </xf>
    <xf borderId="15" fillId="0" fontId="3" numFmtId="0" xfId="0" applyAlignment="1" applyBorder="1" applyFont="1">
      <alignment horizontal="center" vertical="bottom"/>
    </xf>
    <xf borderId="15" fillId="34" fontId="3" numFmtId="0" xfId="0" applyAlignment="1" applyBorder="1" applyFill="1" applyFont="1">
      <alignment horizontal="center" vertical="bottom"/>
    </xf>
    <xf borderId="16" fillId="0" fontId="3" numFmtId="0" xfId="0" applyAlignment="1" applyBorder="1" applyFont="1">
      <alignment horizontal="center" vertical="bottom"/>
    </xf>
    <xf borderId="22" fillId="0" fontId="3" numFmtId="0" xfId="0" applyAlignment="1" applyBorder="1" applyFont="1">
      <alignment horizontal="center" readingOrder="0" shrinkToFit="0" wrapText="0"/>
    </xf>
    <xf borderId="27" fillId="0" fontId="3" numFmtId="0" xfId="0" applyAlignment="1" applyBorder="1" applyFont="1">
      <alignment horizontal="center" readingOrder="0" shrinkToFit="0" wrapText="0"/>
    </xf>
    <xf borderId="6" fillId="0" fontId="59" numFmtId="0" xfId="0" applyAlignment="1" applyBorder="1" applyFont="1">
      <alignment readingOrder="0" shrinkToFit="0" wrapText="0"/>
    </xf>
    <xf borderId="20" fillId="0" fontId="60" numFmtId="0" xfId="0" applyAlignment="1" applyBorder="1" applyFont="1">
      <alignment readingOrder="0" shrinkToFit="0" wrapText="0"/>
    </xf>
    <xf borderId="20" fillId="0" fontId="61" numFmtId="0" xfId="0" applyAlignment="1" applyBorder="1" applyFont="1">
      <alignment readingOrder="0" shrinkToFit="0" wrapText="0"/>
    </xf>
    <xf borderId="20" fillId="0" fontId="62" numFmtId="0" xfId="0" applyAlignment="1" applyBorder="1" applyFont="1">
      <alignment readingOrder="0" shrinkToFit="0" vertical="center" wrapText="1"/>
    </xf>
    <xf borderId="21" fillId="0" fontId="14" numFmtId="0" xfId="0" applyAlignment="1" applyBorder="1" applyFont="1">
      <alignment horizontal="center" readingOrder="0" shrinkToFit="0" vertical="center" wrapText="0"/>
    </xf>
    <xf borderId="22" fillId="0" fontId="14" numFmtId="0" xfId="0" applyAlignment="1" applyBorder="1" applyFont="1">
      <alignment horizontal="center" readingOrder="0" shrinkToFit="0" vertical="center" wrapText="0"/>
    </xf>
    <xf borderId="20" fillId="0" fontId="14" numFmtId="0" xfId="0" applyAlignment="1" applyBorder="1" applyFont="1">
      <alignment horizontal="center" readingOrder="0" shrinkToFit="0" vertical="center" wrapText="0"/>
    </xf>
    <xf borderId="22" fillId="0" fontId="14" numFmtId="2" xfId="0" applyAlignment="1" applyBorder="1" applyFont="1" applyNumberFormat="1">
      <alignment horizontal="center" readingOrder="0" shrinkToFit="0" vertical="center" wrapText="0"/>
    </xf>
    <xf borderId="20" fillId="0" fontId="14" numFmtId="2" xfId="0" applyAlignment="1" applyBorder="1" applyFont="1" applyNumberFormat="1">
      <alignment horizontal="center" readingOrder="0" shrinkToFit="0" vertical="center" wrapText="0"/>
    </xf>
    <xf borderId="23" fillId="0" fontId="14" numFmtId="0" xfId="0" applyAlignment="1" applyBorder="1" applyFont="1">
      <alignment horizontal="center" readingOrder="0" shrinkToFit="0" vertical="center" wrapText="0"/>
    </xf>
    <xf borderId="13" fillId="0" fontId="14" numFmtId="0" xfId="0" applyAlignment="1" applyBorder="1" applyFont="1">
      <alignment horizontal="center" readingOrder="0" shrinkToFit="0" vertical="center" wrapText="0"/>
    </xf>
    <xf borderId="1" fillId="0" fontId="14" numFmtId="0" xfId="0" applyAlignment="1" applyBorder="1" applyFont="1">
      <alignment horizontal="center" readingOrder="0" shrinkToFit="0" vertical="center" wrapText="0"/>
    </xf>
    <xf borderId="22" fillId="0" fontId="63" numFmtId="0" xfId="0" applyAlignment="1" applyBorder="1" applyFont="1">
      <alignment horizontal="center" readingOrder="0" shrinkToFit="0" vertical="center" wrapText="0"/>
    </xf>
    <xf borderId="24" fillId="0" fontId="64" numFmtId="0" xfId="0" applyAlignment="1" applyBorder="1" applyFont="1">
      <alignment readingOrder="0" shrinkToFit="0" wrapText="0"/>
    </xf>
    <xf borderId="25" fillId="0" fontId="65" numFmtId="0" xfId="0" applyAlignment="1" applyBorder="1" applyFont="1">
      <alignment readingOrder="0" shrinkToFit="0" wrapText="0"/>
    </xf>
    <xf borderId="15" fillId="35" fontId="3" numFmtId="0" xfId="0" applyAlignment="1" applyBorder="1" applyFill="1" applyFont="1">
      <alignment horizontal="center" vertical="bottom"/>
    </xf>
    <xf borderId="25" fillId="0" fontId="66" numFmtId="0" xfId="0" applyAlignment="1" applyBorder="1" applyFont="1">
      <alignment readingOrder="0" shrinkToFit="0" wrapText="0"/>
    </xf>
    <xf borderId="6" fillId="0" fontId="67" numFmtId="0" xfId="0" applyAlignment="1" applyBorder="1" applyFont="1">
      <alignment readingOrder="0" shrinkToFit="0" wrapText="0"/>
    </xf>
    <xf borderId="24" fillId="0" fontId="68" numFmtId="0" xfId="0" applyAlignment="1" applyBorder="1" applyFont="1">
      <alignment readingOrder="0" shrinkToFit="0" wrapText="0"/>
    </xf>
    <xf borderId="28" fillId="0" fontId="14" numFmtId="0" xfId="0" applyAlignment="1" applyBorder="1" applyFont="1">
      <alignment horizontal="center" vertical="bottom"/>
    </xf>
    <xf borderId="30" fillId="0" fontId="14" numFmtId="0" xfId="0" applyAlignment="1" applyBorder="1" applyFont="1">
      <alignment horizontal="center" vertical="bottom"/>
    </xf>
    <xf borderId="30" fillId="0" fontId="14" numFmtId="0" xfId="0" applyAlignment="1" applyBorder="1" applyFont="1">
      <alignment horizontal="center" readingOrder="0" vertical="bottom"/>
    </xf>
    <xf borderId="30" fillId="0" fontId="69" numFmtId="0" xfId="0" applyAlignment="1" applyBorder="1" applyFont="1">
      <alignment horizontal="center" readingOrder="0" shrinkToFit="0" wrapText="0"/>
    </xf>
    <xf borderId="20" fillId="0" fontId="3" numFmtId="0" xfId="0" applyAlignment="1" applyBorder="1" applyFont="1">
      <alignment readingOrder="0" shrinkToFit="0" wrapText="0"/>
    </xf>
    <xf borderId="20" fillId="0" fontId="70" numFmtId="0" xfId="0" applyAlignment="1" applyBorder="1" applyFont="1">
      <alignment readingOrder="0" shrinkToFit="0" wrapText="0"/>
    </xf>
    <xf borderId="20" fillId="0" fontId="3" numFmtId="0" xfId="0" applyAlignment="1" applyBorder="1" applyFont="1">
      <alignment readingOrder="0" shrinkToFit="0" wrapText="0"/>
    </xf>
    <xf borderId="25" fillId="0" fontId="71" numFmtId="0" xfId="0" applyAlignment="1" applyBorder="1" applyFont="1">
      <alignment readingOrder="0" shrinkToFit="0" wrapText="0"/>
    </xf>
    <xf borderId="6" fillId="0" fontId="72" numFmtId="0" xfId="0" applyAlignment="1" applyBorder="1" applyFont="1">
      <alignment readingOrder="0" shrinkToFit="0" vertical="center" wrapText="1"/>
    </xf>
    <xf borderId="1" fillId="0" fontId="3" numFmtId="0" xfId="0" applyAlignment="1" applyBorder="1" applyFont="1">
      <alignment horizontal="center" vertical="bottom"/>
    </xf>
    <xf borderId="15" fillId="12" fontId="3" numFmtId="0" xfId="0" applyAlignment="1" applyBorder="1" applyFont="1">
      <alignment horizontal="center" vertical="bottom"/>
    </xf>
    <xf borderId="15" fillId="24" fontId="3" numFmtId="0" xfId="0" applyAlignment="1" applyBorder="1" applyFont="1">
      <alignment horizontal="center" vertical="bottom"/>
    </xf>
    <xf borderId="15" fillId="36" fontId="3" numFmtId="2" xfId="0" applyAlignment="1" applyBorder="1" applyFill="1" applyFont="1" applyNumberFormat="1">
      <alignment horizontal="center" vertical="bottom"/>
    </xf>
    <xf borderId="15" fillId="37" fontId="3" numFmtId="2" xfId="0" applyAlignment="1" applyBorder="1" applyFill="1" applyFont="1" applyNumberFormat="1">
      <alignment horizontal="center" vertical="bottom"/>
    </xf>
    <xf borderId="16" fillId="38" fontId="3" numFmtId="2" xfId="0" applyAlignment="1" applyBorder="1" applyFill="1" applyFont="1" applyNumberFormat="1">
      <alignment horizontal="center" vertical="bottom"/>
    </xf>
    <xf borderId="16" fillId="12" fontId="3" numFmtId="0" xfId="0" applyAlignment="1" applyBorder="1" applyFont="1">
      <alignment horizontal="center" vertical="bottom"/>
    </xf>
    <xf borderId="24" fillId="0" fontId="73" numFmtId="0" xfId="0" applyAlignment="1" applyBorder="1" applyFont="1">
      <alignment readingOrder="0" shrinkToFit="0" vertical="center" wrapText="1"/>
    </xf>
    <xf borderId="29" fillId="0" fontId="74" numFmtId="0" xfId="0" applyAlignment="1" applyBorder="1" applyFont="1">
      <alignment readingOrder="0" shrinkToFit="0" vertical="center" wrapText="1"/>
    </xf>
    <xf borderId="22" fillId="0" fontId="3" numFmtId="0" xfId="0" applyAlignment="1" applyBorder="1" applyFont="1">
      <alignment horizontal="center" readingOrder="0" shrinkToFit="0" wrapText="0"/>
    </xf>
    <xf borderId="22" fillId="0" fontId="75" numFmtId="0" xfId="0" applyAlignment="1" applyBorder="1" applyFont="1">
      <alignment horizontal="center" readingOrder="0" shrinkToFit="0" wrapText="0"/>
    </xf>
    <xf borderId="1" fillId="39" fontId="3" numFmtId="0" xfId="0" applyAlignment="1" applyBorder="1" applyFill="1" applyFont="1">
      <alignment horizontal="center" vertical="bottom"/>
    </xf>
    <xf borderId="15" fillId="40" fontId="3" numFmtId="0" xfId="0" applyAlignment="1" applyBorder="1" applyFill="1" applyFont="1">
      <alignment horizontal="center" vertical="bottom"/>
    </xf>
    <xf borderId="15" fillId="41" fontId="3" numFmtId="2" xfId="0" applyAlignment="1" applyBorder="1" applyFill="1" applyFont="1" applyNumberFormat="1">
      <alignment horizontal="center" vertical="bottom"/>
    </xf>
    <xf borderId="15" fillId="42" fontId="3" numFmtId="2" xfId="0" applyAlignment="1" applyBorder="1" applyFill="1" applyFont="1" applyNumberFormat="1">
      <alignment horizontal="center" vertical="bottom"/>
    </xf>
    <xf borderId="16" fillId="43" fontId="3" numFmtId="2" xfId="0" applyAlignment="1" applyBorder="1" applyFill="1" applyFont="1" applyNumberFormat="1">
      <alignment horizontal="center" vertical="bottom"/>
    </xf>
    <xf borderId="16" fillId="44" fontId="3" numFmtId="0" xfId="0" applyAlignment="1" applyBorder="1" applyFill="1" applyFont="1">
      <alignment horizontal="center" vertical="bottom"/>
    </xf>
    <xf borderId="28" fillId="0" fontId="3" numFmtId="0" xfId="0" applyAlignment="1" applyBorder="1" applyFont="1">
      <alignment horizontal="center" vertical="bottom"/>
    </xf>
    <xf borderId="30" fillId="0" fontId="3" numFmtId="0" xfId="0" applyAlignment="1" applyBorder="1" applyFont="1">
      <alignment horizontal="center" vertical="bottom"/>
    </xf>
    <xf borderId="23" fillId="0" fontId="14" numFmtId="0" xfId="0" applyAlignment="1" applyBorder="1" applyFont="1">
      <alignment horizontal="center" shrinkToFit="0" wrapText="0"/>
    </xf>
    <xf borderId="11" fillId="0" fontId="14" numFmtId="0" xfId="0" applyAlignment="1" applyBorder="1" applyFont="1">
      <alignment horizontal="center" shrinkToFit="0" wrapText="0"/>
    </xf>
    <xf borderId="25" fillId="0" fontId="3" numFmtId="0" xfId="0" applyAlignment="1" applyBorder="1" applyFont="1">
      <alignment readingOrder="0" shrinkToFit="0" wrapText="0"/>
    </xf>
    <xf borderId="20" fillId="0" fontId="14" numFmtId="0" xfId="0" applyAlignment="1" applyBorder="1" applyFont="1">
      <alignment horizontal="center" readingOrder="0" vertical="bottom"/>
    </xf>
    <xf borderId="13" fillId="0" fontId="14" numFmtId="0" xfId="0" applyAlignment="1" applyBorder="1" applyFont="1">
      <alignment horizontal="center" vertical="bottom"/>
    </xf>
    <xf borderId="15" fillId="0" fontId="14" numFmtId="0" xfId="0" applyAlignment="1" applyBorder="1" applyFont="1">
      <alignment horizontal="center" vertical="bottom"/>
    </xf>
    <xf borderId="15" fillId="45" fontId="14" numFmtId="0" xfId="0" applyAlignment="1" applyBorder="1" applyFill="1" applyFont="1">
      <alignment horizontal="center" vertical="bottom"/>
    </xf>
    <xf borderId="15" fillId="0" fontId="14" numFmtId="0" xfId="0" applyAlignment="1" applyBorder="1" applyFont="1">
      <alignment horizontal="center" readingOrder="0" vertical="bottom"/>
    </xf>
    <xf borderId="16" fillId="0" fontId="14" numFmtId="0" xfId="0" applyAlignment="1" applyBorder="1" applyFont="1">
      <alignment horizontal="center" readingOrder="0" vertical="bottom"/>
    </xf>
    <xf borderId="22" fillId="0" fontId="14" numFmtId="0" xfId="0" applyAlignment="1" applyBorder="1" applyFont="1">
      <alignment horizontal="center" readingOrder="0" vertical="bottom"/>
    </xf>
    <xf borderId="6" fillId="0" fontId="76" numFmtId="0" xfId="0" applyAlignment="1" applyBorder="1" applyFont="1">
      <alignment readingOrder="0" shrinkToFit="0" vertical="bottom" wrapText="0"/>
    </xf>
    <xf borderId="24" fillId="0" fontId="77" numFmtId="0" xfId="0" applyAlignment="1" applyBorder="1" applyFont="1">
      <alignment readingOrder="0" shrinkToFit="0" vertical="bottom" wrapText="0"/>
    </xf>
    <xf borderId="6" fillId="0" fontId="78" numFmtId="0" xfId="0" applyAlignment="1" applyBorder="1" applyFont="1">
      <alignment readingOrder="0" shrinkToFit="0" vertical="bottom" wrapText="0"/>
    </xf>
    <xf borderId="24" fillId="0" fontId="79" numFmtId="0" xfId="0" applyAlignment="1" applyBorder="1" applyFont="1">
      <alignment readingOrder="0" shrinkToFit="0" vertical="bottom" wrapText="0"/>
    </xf>
    <xf borderId="15" fillId="0" fontId="14" numFmtId="0" xfId="0" applyAlignment="1" applyBorder="1" applyFont="1">
      <alignment readingOrder="0" shrinkToFit="0" vertical="top" wrapText="1"/>
    </xf>
    <xf borderId="15" fillId="0" fontId="14" numFmtId="0" xfId="0" applyAlignment="1" applyBorder="1" applyFont="1">
      <alignment readingOrder="0" shrinkToFit="0" textRotation="0" vertical="top" wrapText="1"/>
    </xf>
    <xf borderId="1" fillId="0" fontId="14" numFmtId="0" xfId="0" applyAlignment="1" applyBorder="1" applyFont="1">
      <alignment horizontal="left" readingOrder="0" shrinkToFit="0" textRotation="0" vertical="top" wrapText="1"/>
    </xf>
    <xf borderId="22" fillId="0" fontId="3" numFmtId="0" xfId="0" applyAlignment="1" applyBorder="1" applyFont="1">
      <alignment readingOrder="0" shrinkToFit="0" vertical="bottom" wrapText="0"/>
    </xf>
    <xf borderId="22" fillId="0" fontId="14" numFmtId="0" xfId="0" applyAlignment="1" applyBorder="1" applyFont="1">
      <alignment horizontal="center" readingOrder="0" shrinkToFit="0" vertical="bottom" wrapText="0"/>
    </xf>
    <xf borderId="22" fillId="0" fontId="14" numFmtId="2" xfId="0" applyAlignment="1" applyBorder="1" applyFont="1" applyNumberFormat="1">
      <alignment horizontal="center" readingOrder="0" shrinkToFit="0" vertical="bottom" wrapText="0"/>
    </xf>
    <xf borderId="22" fillId="0" fontId="14" numFmtId="0" xfId="0" applyAlignment="1" applyBorder="1" applyFont="1">
      <alignment horizontal="left" readingOrder="0" shrinkToFit="0" vertical="bottom" wrapText="0"/>
    </xf>
    <xf borderId="22" fillId="0" fontId="80" numFmtId="0" xfId="0" applyAlignment="1" applyBorder="1" applyFont="1">
      <alignment readingOrder="0" shrinkToFit="0" vertical="bottom" wrapText="0"/>
    </xf>
    <xf borderId="22" fillId="0" fontId="81" numFmtId="0" xfId="0" applyAlignment="1" applyBorder="1" applyFont="1">
      <alignment readingOrder="0" shrinkToFit="0" vertical="bottom" wrapText="0"/>
    </xf>
    <xf borderId="22" fillId="0" fontId="82" numFmtId="0" xfId="0" applyAlignment="1" applyBorder="1" applyFont="1">
      <alignment readingOrder="0" shrinkToFit="0" vertical="bottom" wrapText="0"/>
    </xf>
    <xf borderId="6" fillId="0" fontId="3" numFmtId="0" xfId="0" applyAlignment="1" applyBorder="1" applyFont="1">
      <alignment readingOrder="0" shrinkToFit="0" vertical="bottom" wrapText="0"/>
    </xf>
    <xf borderId="22" fillId="0" fontId="83" numFmtId="0" xfId="0" applyAlignment="1" applyBorder="1" applyFont="1">
      <alignment horizontal="center" readingOrder="0" shrinkToFit="0" vertical="bottom" wrapText="0"/>
    </xf>
    <xf borderId="1" fillId="46" fontId="14" numFmtId="0" xfId="0" applyAlignment="1" applyBorder="1" applyFill="1" applyFont="1">
      <alignment horizontal="center" vertical="bottom"/>
    </xf>
    <xf borderId="15" fillId="47" fontId="14" numFmtId="2" xfId="0" applyAlignment="1" applyBorder="1" applyFill="1" applyFont="1" applyNumberFormat="1">
      <alignment horizontal="center" vertical="bottom"/>
    </xf>
    <xf borderId="15" fillId="48" fontId="14" numFmtId="2" xfId="0" applyAlignment="1" applyBorder="1" applyFill="1" applyFont="1" applyNumberFormat="1">
      <alignment horizontal="center" vertical="bottom"/>
    </xf>
    <xf borderId="15" fillId="49" fontId="14" numFmtId="2" xfId="0" applyAlignment="1" applyBorder="1" applyFill="1" applyFont="1" applyNumberFormat="1">
      <alignment horizontal="center" vertical="bottom"/>
    </xf>
    <xf borderId="15" fillId="0" fontId="14" numFmtId="2" xfId="0" applyAlignment="1" applyBorder="1" applyFont="1" applyNumberFormat="1">
      <alignment horizontal="center" readingOrder="0" vertical="bottom"/>
    </xf>
    <xf borderId="15" fillId="0" fontId="14" numFmtId="0" xfId="0" applyAlignment="1" applyBorder="1" applyFont="1">
      <alignment horizontal="left" vertical="bottom"/>
    </xf>
    <xf borderId="0" fillId="0" fontId="9" numFmtId="0" xfId="0" applyAlignment="1" applyFont="1">
      <alignment horizontal="left"/>
    </xf>
    <xf borderId="1" fillId="0" fontId="3" numFmtId="0" xfId="0" applyAlignment="1" applyBorder="1" applyFont="1">
      <alignment readingOrder="0" shrinkToFit="0" vertical="top" wrapText="1"/>
    </xf>
    <xf borderId="1" fillId="0" fontId="3" numFmtId="0" xfId="0" applyAlignment="1" applyBorder="1" applyFont="1">
      <alignment readingOrder="0" shrinkToFit="0" textRotation="90" vertical="top" wrapText="1"/>
    </xf>
    <xf borderId="1" fillId="0" fontId="3" numFmtId="0" xfId="0" applyAlignment="1" applyBorder="1" applyFont="1">
      <alignment horizontal="left" readingOrder="0" vertical="top"/>
    </xf>
    <xf borderId="1" fillId="0" fontId="3" numFmtId="0" xfId="0" applyAlignment="1" applyBorder="1" applyFont="1">
      <alignment horizontal="left" readingOrder="0" shrinkToFit="0" textRotation="90" vertical="top" wrapText="1"/>
    </xf>
    <xf borderId="1" fillId="0" fontId="3" numFmtId="0" xfId="0" applyAlignment="1" applyBorder="1" applyFont="1">
      <alignment horizontal="left" readingOrder="0" textRotation="90" vertical="top"/>
    </xf>
    <xf borderId="1" fillId="0" fontId="84" numFmtId="0" xfId="0" applyAlignment="1" applyBorder="1" applyFont="1">
      <alignment readingOrder="0" vertical="top"/>
    </xf>
    <xf borderId="1" fillId="0" fontId="3" numFmtId="2" xfId="0" applyAlignment="1" applyBorder="1" applyFont="1" applyNumberFormat="1">
      <alignment horizontal="center" readingOrder="0" vertical="top"/>
    </xf>
    <xf borderId="1" fillId="0" fontId="3" numFmtId="0" xfId="0" applyAlignment="1" applyBorder="1" applyFont="1">
      <alignment readingOrder="0" vertical="top"/>
    </xf>
    <xf borderId="0" fillId="0" fontId="9" numFmtId="0" xfId="0" applyAlignment="1" applyFont="1">
      <alignment vertical="top"/>
    </xf>
    <xf borderId="1" fillId="14" fontId="3" numFmtId="0" xfId="0" applyAlignment="1" applyBorder="1" applyFont="1">
      <alignment horizontal="center" vertical="top"/>
    </xf>
    <xf borderId="15" fillId="50" fontId="3" numFmtId="2" xfId="0" applyAlignment="1" applyBorder="1" applyFill="1" applyFont="1" applyNumberFormat="1">
      <alignment horizontal="center" vertical="top"/>
    </xf>
    <xf borderId="15" fillId="51" fontId="3" numFmtId="2" xfId="0" applyAlignment="1" applyBorder="1" applyFill="1" applyFont="1" applyNumberFormat="1">
      <alignment horizontal="center" vertical="top"/>
    </xf>
    <xf borderId="15" fillId="52" fontId="3" numFmtId="2" xfId="0" applyAlignment="1" applyBorder="1" applyFill="1" applyFont="1" applyNumberFormat="1">
      <alignment horizontal="center" vertical="top"/>
    </xf>
    <xf borderId="15" fillId="53" fontId="3" numFmtId="2" xfId="0" applyAlignment="1" applyBorder="1" applyFill="1" applyFont="1" applyNumberFormat="1">
      <alignment horizontal="center" vertical="top"/>
    </xf>
    <xf borderId="15" fillId="0" fontId="3" numFmtId="0" xfId="0" applyAlignment="1" applyBorder="1" applyFont="1">
      <alignment horizontal="center" vertical="top"/>
    </xf>
    <xf borderId="15" fillId="0" fontId="3" numFmtId="0" xfId="0" applyAlignment="1" applyBorder="1" applyFont="1">
      <alignment vertical="top"/>
    </xf>
    <xf borderId="1" fillId="0" fontId="85" numFmtId="0" xfId="0" applyAlignment="1" applyBorder="1" applyFont="1">
      <alignment readingOrder="0" vertical="bottom"/>
    </xf>
    <xf borderId="1" fillId="0" fontId="86" numFmtId="0" xfId="0" applyAlignment="1" applyBorder="1" applyFont="1">
      <alignment vertical="bottom"/>
    </xf>
    <xf borderId="1" fillId="0" fontId="3" numFmtId="0" xfId="0" applyAlignment="1" applyBorder="1" applyFont="1">
      <alignment horizontal="center" readingOrder="0" vertical="top"/>
    </xf>
    <xf borderId="15" fillId="13" fontId="3" numFmtId="2" xfId="0" applyAlignment="1" applyBorder="1" applyFont="1" applyNumberFormat="1">
      <alignment horizontal="center" vertical="top"/>
    </xf>
    <xf borderId="15" fillId="54" fontId="3" numFmtId="2" xfId="0" applyAlignment="1" applyBorder="1" applyFill="1" applyFont="1" applyNumberFormat="1">
      <alignment horizontal="center" vertical="top"/>
    </xf>
    <xf borderId="15" fillId="55" fontId="3" numFmtId="2" xfId="0" applyAlignment="1" applyBorder="1" applyFill="1" applyFont="1" applyNumberFormat="1">
      <alignment horizontal="center" vertical="top"/>
    </xf>
    <xf borderId="1" fillId="0" fontId="87" numFmtId="0" xfId="0" applyAlignment="1" applyBorder="1" applyFont="1">
      <alignment readingOrder="0" vertical="top"/>
    </xf>
    <xf borderId="1" fillId="0" fontId="88" numFmtId="0" xfId="0" applyAlignment="1" applyBorder="1" applyFont="1">
      <alignment horizontal="center" readingOrder="0" vertical="top"/>
    </xf>
    <xf borderId="1" fillId="0" fontId="3" numFmtId="0" xfId="0" applyAlignment="1" applyBorder="1" applyFont="1">
      <alignment readingOrder="0" vertical="top"/>
    </xf>
    <xf borderId="1" fillId="0" fontId="3" numFmtId="0" xfId="0" applyAlignment="1" applyBorder="1" applyFont="1">
      <alignment horizontal="center" vertical="top"/>
    </xf>
    <xf borderId="15" fillId="56" fontId="3" numFmtId="0" xfId="0" applyAlignment="1" applyBorder="1" applyFill="1" applyFont="1">
      <alignment horizontal="center" vertical="top"/>
    </xf>
    <xf borderId="15" fillId="35" fontId="3" numFmtId="0" xfId="0" applyAlignment="1" applyBorder="1" applyFont="1">
      <alignment horizontal="center" vertical="top"/>
    </xf>
    <xf borderId="15" fillId="57" fontId="3" numFmtId="2" xfId="0" applyAlignment="1" applyBorder="1" applyFill="1" applyFont="1" applyNumberFormat="1">
      <alignment horizontal="center" vertical="top"/>
    </xf>
    <xf borderId="15" fillId="58" fontId="3" numFmtId="2" xfId="0" applyAlignment="1" applyBorder="1" applyFill="1" applyFont="1" applyNumberFormat="1">
      <alignment horizontal="center" vertical="top"/>
    </xf>
    <xf borderId="15" fillId="59" fontId="3" numFmtId="2" xfId="0" applyAlignment="1" applyBorder="1" applyFill="1" applyFont="1" applyNumberFormat="1">
      <alignment horizontal="center" vertical="top"/>
    </xf>
    <xf borderId="15" fillId="60" fontId="3" numFmtId="2" xfId="0" applyAlignment="1" applyBorder="1" applyFill="1" applyFont="1" applyNumberFormat="1">
      <alignment horizontal="center" vertical="top"/>
    </xf>
    <xf borderId="1" fillId="0" fontId="3" numFmtId="0" xfId="0" applyAlignment="1" applyBorder="1" applyFont="1">
      <alignment readingOrder="0" vertical="top"/>
    </xf>
    <xf borderId="1" fillId="61" fontId="3" numFmtId="0" xfId="0" applyAlignment="1" applyBorder="1" applyFill="1" applyFont="1">
      <alignment horizontal="center" vertical="top"/>
    </xf>
    <xf borderId="15" fillId="62" fontId="3" numFmtId="2" xfId="0" applyAlignment="1" applyBorder="1" applyFill="1" applyFont="1" applyNumberFormat="1">
      <alignment horizontal="center" vertical="top"/>
    </xf>
    <xf borderId="15" fillId="63" fontId="3" numFmtId="2" xfId="0" applyAlignment="1" applyBorder="1" applyFill="1" applyFont="1" applyNumberFormat="1">
      <alignment horizontal="center" vertical="top"/>
    </xf>
    <xf borderId="15" fillId="64" fontId="3" numFmtId="2" xfId="0" applyAlignment="1" applyBorder="1" applyFill="1" applyFont="1" applyNumberFormat="1">
      <alignment horizontal="center" vertical="top"/>
    </xf>
    <xf borderId="15" fillId="40" fontId="3" numFmtId="2" xfId="0" applyAlignment="1" applyBorder="1" applyFont="1" applyNumberFormat="1">
      <alignment horizontal="center" vertical="top"/>
    </xf>
    <xf borderId="15" fillId="46" fontId="3" numFmtId="0" xfId="0" applyAlignment="1" applyBorder="1" applyFont="1">
      <alignment horizontal="center" vertical="top"/>
    </xf>
    <xf borderId="15" fillId="27" fontId="3" numFmtId="2" xfId="0" applyAlignment="1" applyBorder="1" applyFont="1" applyNumberFormat="1">
      <alignment horizontal="center" vertical="top"/>
    </xf>
    <xf borderId="15" fillId="65" fontId="3" numFmtId="2" xfId="0" applyAlignment="1" applyBorder="1" applyFill="1" applyFont="1" applyNumberFormat="1">
      <alignment horizontal="center" vertical="top"/>
    </xf>
    <xf borderId="15" fillId="66" fontId="3" numFmtId="2" xfId="0" applyAlignment="1" applyBorder="1" applyFill="1" applyFont="1" applyNumberFormat="1">
      <alignment horizontal="center" vertical="top"/>
    </xf>
    <xf borderId="15" fillId="67" fontId="3" numFmtId="2" xfId="0" applyAlignment="1" applyBorder="1" applyFill="1" applyFont="1" applyNumberFormat="1">
      <alignment horizontal="center" vertical="top"/>
    </xf>
    <xf borderId="15" fillId="2" fontId="3" numFmtId="0" xfId="0" applyAlignment="1" applyBorder="1" applyFont="1">
      <alignment horizontal="center" vertical="top"/>
    </xf>
    <xf borderId="15" fillId="0" fontId="3" numFmtId="0" xfId="0" applyAlignment="1" applyBorder="1" applyFont="1">
      <alignment horizontal="center" readingOrder="0" vertical="top"/>
    </xf>
    <xf borderId="1" fillId="0" fontId="89" numFmtId="0" xfId="0" applyAlignment="1" applyBorder="1" applyFont="1">
      <alignment readingOrder="0" vertical="top"/>
    </xf>
    <xf borderId="1" fillId="0" fontId="3" numFmtId="0" xfId="0" applyAlignment="1" applyBorder="1" applyFont="1">
      <alignment readingOrder="0" vertical="top"/>
    </xf>
    <xf borderId="1" fillId="0" fontId="14" numFmtId="0" xfId="0" applyAlignment="1" applyBorder="1" applyFont="1">
      <alignment horizontal="left" readingOrder="0" shrinkToFit="0" vertical="top" wrapText="0"/>
    </xf>
    <xf borderId="15" fillId="0" fontId="14" numFmtId="0" xfId="0" applyAlignment="1" applyBorder="1" applyFont="1">
      <alignment horizontal="left" readingOrder="0" shrinkToFit="0" vertical="top" wrapText="0"/>
    </xf>
    <xf borderId="15" fillId="0" fontId="14" numFmtId="0" xfId="0" applyAlignment="1" applyBorder="1" applyFont="1">
      <alignment horizontal="left" readingOrder="0" shrinkToFit="0" textRotation="90" vertical="top" wrapText="1"/>
    </xf>
    <xf borderId="22" fillId="0" fontId="3" numFmtId="0" xfId="0" applyAlignment="1" applyBorder="1" applyFont="1">
      <alignment readingOrder="0" shrinkToFit="0" wrapText="0"/>
    </xf>
    <xf borderId="22" fillId="0" fontId="90" numFmtId="0" xfId="0" applyAlignment="1" applyBorder="1" applyFont="1">
      <alignment readingOrder="0" shrinkToFit="0" wrapText="0"/>
    </xf>
    <xf borderId="27" fillId="0" fontId="91" numFmtId="0" xfId="0" applyAlignment="1" applyBorder="1" applyFont="1">
      <alignment readingOrder="0" shrinkToFit="0" wrapText="0"/>
    </xf>
    <xf borderId="22" fillId="0" fontId="3" numFmtId="0" xfId="0" applyAlignment="1" applyBorder="1" applyFont="1">
      <alignment readingOrder="0" shrinkToFit="0" wrapText="0"/>
    </xf>
    <xf borderId="22" fillId="0" fontId="14" numFmtId="0" xfId="0" applyAlignment="1" applyBorder="1" applyFont="1">
      <alignment readingOrder="0" shrinkToFit="0" wrapText="0"/>
    </xf>
    <xf borderId="22" fillId="0" fontId="92" numFmtId="0" xfId="0" applyAlignment="1" applyBorder="1" applyFont="1">
      <alignment readingOrder="0" shrinkToFit="0" wrapText="0"/>
    </xf>
    <xf borderId="24" fillId="0" fontId="93" numFmtId="0" xfId="0" applyAlignment="1" applyBorder="1" applyFont="1">
      <alignment readingOrder="0" shrinkToFit="0" vertical="center" wrapText="0"/>
    </xf>
    <xf borderId="27" fillId="0" fontId="94" numFmtId="0" xfId="0" applyAlignment="1" applyBorder="1" applyFont="1">
      <alignment readingOrder="0" shrinkToFit="0" vertical="center" wrapText="1"/>
    </xf>
    <xf borderId="27" fillId="0" fontId="14" numFmtId="0" xfId="0" applyAlignment="1" applyBorder="1" applyFont="1">
      <alignment horizontal="center" readingOrder="0" shrinkToFit="0" vertical="center" wrapText="0"/>
    </xf>
    <xf borderId="0" fillId="0" fontId="9" numFmtId="0" xfId="0" applyAlignment="1" applyFont="1">
      <alignment vertical="center"/>
    </xf>
    <xf borderId="1" fillId="0" fontId="95" numFmtId="0" xfId="0" applyAlignment="1" applyBorder="1" applyFont="1">
      <alignment readingOrder="0" shrinkToFit="0" wrapText="1"/>
    </xf>
    <xf borderId="1" fillId="0" fontId="3" numFmtId="0" xfId="0" applyAlignment="1" applyBorder="1" applyFont="1">
      <alignment readingOrder="0" shrinkToFit="0" wrapText="1"/>
    </xf>
    <xf borderId="1" fillId="0" fontId="3" numFmtId="0" xfId="0" applyAlignment="1" applyBorder="1" applyFont="1">
      <alignment horizontal="center" readingOrder="0" shrinkToFit="0" wrapText="1"/>
    </xf>
    <xf borderId="1" fillId="0" fontId="14" numFmtId="0" xfId="0" applyAlignment="1" applyBorder="1" applyFont="1">
      <alignment horizontal="left" readingOrder="0" shrinkToFit="0" vertical="top" wrapText="1"/>
    </xf>
    <xf borderId="1" fillId="0" fontId="14" numFmtId="0" xfId="0" applyAlignment="1" applyBorder="1" applyFont="1">
      <alignment horizontal="left" readingOrder="0" shrinkToFit="0" textRotation="90" vertical="top" wrapText="1"/>
    </xf>
    <xf borderId="1" fillId="0" fontId="14" numFmtId="0" xfId="0" applyAlignment="1" applyBorder="1" applyFont="1">
      <alignment horizontal="left" readingOrder="0" shrinkToFit="0" textRotation="90" vertical="top" wrapText="1"/>
    </xf>
    <xf borderId="29" fillId="0" fontId="14" numFmtId="0" xfId="0" applyAlignment="1" applyBorder="1" applyFont="1">
      <alignment readingOrder="0" shrinkToFit="0" vertical="bottom" wrapText="0"/>
    </xf>
    <xf borderId="29" fillId="0" fontId="14" numFmtId="0" xfId="0" applyAlignment="1" applyBorder="1" applyFont="1">
      <alignment horizontal="left" readingOrder="0" shrinkToFit="0" vertical="bottom" wrapText="0"/>
    </xf>
    <xf borderId="29" fillId="0" fontId="96" numFmtId="0" xfId="0" applyAlignment="1" applyBorder="1" applyFont="1">
      <alignment readingOrder="0" shrinkToFit="0" wrapText="0"/>
    </xf>
    <xf borderId="29" fillId="0" fontId="97" numFmtId="0" xfId="0" applyAlignment="1" applyBorder="1" applyFont="1">
      <alignment readingOrder="0" shrinkToFit="0" vertical="bottom" wrapText="0"/>
    </xf>
    <xf borderId="29" fillId="0" fontId="14" numFmtId="0" xfId="0" applyAlignment="1" applyBorder="1" applyFont="1">
      <alignment horizontal="center" readingOrder="0" shrinkToFit="0" vertical="bottom" wrapText="0"/>
    </xf>
    <xf borderId="24" fillId="0" fontId="14" numFmtId="0" xfId="0" applyAlignment="1" applyBorder="1" applyFont="1">
      <alignment readingOrder="0" shrinkToFit="0" vertical="bottom" wrapText="0"/>
    </xf>
    <xf borderId="24" fillId="0" fontId="14" numFmtId="0" xfId="0" applyAlignment="1" applyBorder="1" applyFont="1">
      <alignment horizontal="left" readingOrder="0" shrinkToFit="0" vertical="bottom" wrapText="0"/>
    </xf>
    <xf borderId="24" fillId="0" fontId="14" numFmtId="0" xfId="0" applyAlignment="1" applyBorder="1" applyFont="1">
      <alignment horizontal="center" readingOrder="0" shrinkToFit="0" vertical="bottom" wrapText="0"/>
    </xf>
    <xf borderId="6" fillId="0" fontId="14" numFmtId="0" xfId="0" applyAlignment="1" applyBorder="1" applyFont="1">
      <alignment readingOrder="0" shrinkToFit="0" vertical="bottom" wrapText="0"/>
    </xf>
    <xf borderId="6" fillId="0" fontId="14" numFmtId="0" xfId="0" applyAlignment="1" applyBorder="1" applyFont="1">
      <alignment horizontal="left" readingOrder="0" shrinkToFit="0" vertical="bottom" wrapText="0"/>
    </xf>
    <xf borderId="6" fillId="0" fontId="14" numFmtId="0" xfId="0" applyAlignment="1" applyBorder="1" applyFont="1">
      <alignment horizontal="center" readingOrder="0" shrinkToFit="0" vertical="bottom" wrapText="0"/>
    </xf>
    <xf borderId="1" fillId="0" fontId="14" numFmtId="0" xfId="0" applyAlignment="1" applyBorder="1" applyFont="1">
      <alignment readingOrder="0" shrinkToFit="0" vertical="bottom" wrapText="0"/>
    </xf>
    <xf borderId="1" fillId="0" fontId="14" numFmtId="0" xfId="0" applyAlignment="1" applyBorder="1" applyFont="1">
      <alignment horizontal="left" readingOrder="0" shrinkToFit="0" vertical="bottom" wrapText="0"/>
    </xf>
    <xf borderId="1" fillId="0" fontId="98" numFmtId="0" xfId="0" applyAlignment="1" applyBorder="1" applyFont="1">
      <alignment readingOrder="0" shrinkToFit="0" vertical="bottom" wrapText="0"/>
    </xf>
    <xf borderId="1" fillId="0" fontId="14" numFmtId="0" xfId="0" applyAlignment="1" applyBorder="1" applyFont="1">
      <alignment horizontal="center" readingOrder="0" shrinkToFit="0" vertical="bottom" wrapText="0"/>
    </xf>
    <xf borderId="1" fillId="0" fontId="99" numFmtId="0" xfId="0" applyAlignment="1" applyBorder="1" applyFont="1">
      <alignment readingOrder="0" shrinkToFit="0" wrapText="0"/>
    </xf>
    <xf borderId="24" fillId="0" fontId="14" numFmtId="0" xfId="0" applyAlignment="1" applyBorder="1" applyFont="1">
      <alignment horizontal="left" readingOrder="0" shrinkToFit="0" wrapText="0"/>
    </xf>
    <xf borderId="6" fillId="0" fontId="14" numFmtId="0" xfId="0" applyAlignment="1" applyBorder="1" applyFont="1">
      <alignment readingOrder="0" shrinkToFit="0" wrapText="0"/>
    </xf>
    <xf borderId="22" fillId="0" fontId="14" numFmtId="0" xfId="0" applyAlignment="1" applyBorder="1" applyFont="1">
      <alignment horizontal="left" readingOrder="0" shrinkToFit="0" wrapText="0"/>
    </xf>
    <xf borderId="22" fillId="0" fontId="14" numFmtId="0" xfId="0" applyAlignment="1" applyBorder="1" applyFont="1">
      <alignment shrinkToFit="0" wrapText="0"/>
    </xf>
    <xf borderId="1" fillId="0" fontId="14" numFmtId="0" xfId="0" applyAlignment="1" applyBorder="1" applyFont="1">
      <alignment readingOrder="0" shrinkToFit="0" wrapText="0"/>
    </xf>
    <xf borderId="15" fillId="0" fontId="14" numFmtId="0" xfId="0" applyAlignment="1" applyBorder="1" applyFont="1">
      <alignment horizontal="left" readingOrder="0" shrinkToFit="0" wrapText="0"/>
    </xf>
    <xf borderId="15" fillId="0" fontId="100" numFmtId="0" xfId="0" applyAlignment="1" applyBorder="1" applyFont="1">
      <alignment readingOrder="0" shrinkToFit="0" vertical="bottom" wrapText="0"/>
    </xf>
    <xf borderId="15" fillId="0" fontId="101" numFmtId="0" xfId="0" applyAlignment="1" applyBorder="1" applyFont="1">
      <alignment readingOrder="0" shrinkToFit="0" wrapText="0"/>
    </xf>
    <xf borderId="15" fillId="0" fontId="14" numFmtId="0" xfId="0" applyAlignment="1" applyBorder="1" applyFont="1">
      <alignment horizontal="center" readingOrder="0" shrinkToFit="0" wrapText="0"/>
    </xf>
    <xf borderId="15" fillId="0" fontId="14" numFmtId="0" xfId="0" applyAlignment="1" applyBorder="1" applyFont="1">
      <alignment shrinkToFit="0" wrapText="0"/>
    </xf>
    <xf borderId="22" fillId="0" fontId="102" numFmtId="0" xfId="0" applyAlignment="1" applyBorder="1" applyFont="1">
      <alignment readingOrder="0" shrinkToFit="0" wrapText="0"/>
    </xf>
    <xf borderId="1" fillId="0" fontId="14" numFmtId="0" xfId="0" applyAlignment="1" applyBorder="1" applyFont="1">
      <alignment vertical="bottom"/>
    </xf>
    <xf borderId="15" fillId="0" fontId="14" numFmtId="0" xfId="0" applyAlignment="1" applyBorder="1" applyFont="1">
      <alignment vertical="bottom"/>
    </xf>
    <xf borderId="15" fillId="0" fontId="103" numFmtId="0" xfId="0" applyAlignment="1" applyBorder="1" applyFont="1">
      <alignment vertical="bottom"/>
    </xf>
    <xf borderId="15" fillId="68" fontId="14" numFmtId="0" xfId="0" applyAlignment="1" applyBorder="1" applyFill="1" applyFont="1">
      <alignment horizontal="center" vertical="bottom"/>
    </xf>
    <xf borderId="15" fillId="69" fontId="14" numFmtId="0" xfId="0" applyAlignment="1" applyBorder="1" applyFill="1" applyFont="1">
      <alignment horizontal="center" vertical="bottom"/>
    </xf>
    <xf borderId="15" fillId="70" fontId="14" numFmtId="0" xfId="0" applyAlignment="1" applyBorder="1" applyFill="1" applyFont="1">
      <alignment horizontal="center" vertical="bottom"/>
    </xf>
    <xf borderId="15" fillId="56" fontId="14" numFmtId="0" xfId="0" applyAlignment="1" applyBorder="1" applyFont="1">
      <alignment horizontal="center" vertical="bottom"/>
    </xf>
    <xf borderId="15" fillId="71" fontId="14" numFmtId="0" xfId="0" applyAlignment="1" applyBorder="1" applyFill="1" applyFont="1">
      <alignment horizontal="center" vertical="bottom"/>
    </xf>
    <xf borderId="15" fillId="40" fontId="14" numFmtId="0" xfId="0" applyAlignment="1" applyBorder="1" applyFont="1">
      <alignment horizontal="center" vertical="bottom"/>
    </xf>
    <xf borderId="15" fillId="72" fontId="14" numFmtId="0" xfId="0" applyAlignment="1" applyBorder="1" applyFill="1" applyFont="1">
      <alignment horizontal="center" vertical="bottom"/>
    </xf>
    <xf borderId="24" fillId="0" fontId="14" numFmtId="0" xfId="0" applyAlignment="1" applyBorder="1" applyFont="1">
      <alignment readingOrder="0" shrinkToFit="0" wrapText="0"/>
    </xf>
    <xf borderId="27" fillId="0" fontId="14" numFmtId="0" xfId="0" applyAlignment="1" applyBorder="1" applyFont="1">
      <alignment horizontal="left" readingOrder="0" shrinkToFit="0" wrapText="0"/>
    </xf>
    <xf borderId="27" fillId="0" fontId="104" numFmtId="0" xfId="0" applyAlignment="1" applyBorder="1" applyFont="1">
      <alignment readingOrder="0" shrinkToFit="0" vertical="bottom" wrapText="0"/>
    </xf>
    <xf borderId="27" fillId="0" fontId="105" numFmtId="0" xfId="0" applyAlignment="1" applyBorder="1" applyFont="1">
      <alignment readingOrder="0" shrinkToFit="0" wrapText="0"/>
    </xf>
    <xf borderId="27" fillId="0" fontId="14" numFmtId="0" xfId="0" applyAlignment="1" applyBorder="1" applyFont="1">
      <alignment shrinkToFit="0" wrapText="0"/>
    </xf>
    <xf borderId="1" fillId="0" fontId="106" numFmtId="0" xfId="0" applyAlignment="1" applyBorder="1" applyFont="1">
      <alignment readingOrder="0" shrinkToFit="0" wrapText="0"/>
    </xf>
    <xf borderId="1" fillId="0" fontId="3" numFmtId="0" xfId="0" applyAlignment="1" applyBorder="1" applyFont="1">
      <alignment readingOrder="0" shrinkToFit="0" wrapText="0"/>
    </xf>
    <xf borderId="1" fillId="0" fontId="107" numFmtId="0" xfId="0" applyAlignment="1" applyBorder="1" applyFont="1">
      <alignment readingOrder="0" shrinkToFit="0" vertical="bottom" wrapText="0"/>
    </xf>
    <xf borderId="29" fillId="0" fontId="108" numFmtId="0" xfId="0" applyAlignment="1" applyBorder="1" applyFont="1">
      <alignment readingOrder="0" shrinkToFit="0" vertical="bottom" wrapText="0"/>
    </xf>
    <xf borderId="29" fillId="0" fontId="109" numFmtId="0" xfId="0" applyAlignment="1" applyBorder="1" applyFont="1">
      <alignment readingOrder="0" shrinkToFit="0" wrapText="0"/>
    </xf>
    <xf borderId="15" fillId="73" fontId="14" numFmtId="0" xfId="0" applyAlignment="1" applyBorder="1" applyFill="1" applyFont="1">
      <alignment horizontal="center" vertical="bottom"/>
    </xf>
    <xf borderId="15" fillId="74" fontId="14" numFmtId="0" xfId="0" applyAlignment="1" applyBorder="1" applyFill="1" applyFont="1">
      <alignment horizontal="center" vertical="bottom"/>
    </xf>
    <xf borderId="15" fillId="12" fontId="14" numFmtId="0" xfId="0" applyAlignment="1" applyBorder="1" applyFont="1">
      <alignment horizontal="center" vertical="bottom"/>
    </xf>
    <xf borderId="15" fillId="0" fontId="14" numFmtId="0" xfId="0" applyAlignment="1" applyBorder="1" applyFont="1">
      <alignment horizontal="center" readingOrder="0" shrinkToFit="0" vertical="bottom" wrapText="0"/>
    </xf>
    <xf borderId="1" fillId="0" fontId="110" numFmtId="0" xfId="0" applyAlignment="1" applyBorder="1" applyFont="1">
      <alignment readingOrder="0" shrinkToFit="0" vertical="center" wrapText="0"/>
    </xf>
    <xf borderId="1" fillId="0" fontId="3" numFmtId="0" xfId="0" applyAlignment="1" applyBorder="1" applyFont="1">
      <alignment readingOrder="0" shrinkToFit="0" vertical="bottom" wrapText="0"/>
    </xf>
    <xf borderId="15" fillId="0" fontId="111" numFmtId="0" xfId="0" applyAlignment="1" applyBorder="1" applyFont="1">
      <alignment shrinkToFit="0" wrapText="1"/>
    </xf>
    <xf borderId="15" fillId="24" fontId="14" numFmtId="0" xfId="0" applyAlignment="1" applyBorder="1" applyFont="1">
      <alignment horizontal="center" vertical="bottom"/>
    </xf>
    <xf borderId="15" fillId="17" fontId="14" numFmtId="0" xfId="0" applyAlignment="1" applyBorder="1" applyFont="1">
      <alignment horizontal="center" vertical="bottom"/>
    </xf>
    <xf borderId="15" fillId="13" fontId="14" numFmtId="0" xfId="0" applyAlignment="1" applyBorder="1" applyFont="1">
      <alignment horizontal="center" vertical="bottom"/>
    </xf>
    <xf borderId="15" fillId="75" fontId="14" numFmtId="0" xfId="0" applyAlignment="1" applyBorder="1" applyFill="1" applyFont="1">
      <alignment horizontal="center" vertical="bottom"/>
    </xf>
    <xf borderId="15" fillId="76" fontId="14" numFmtId="0" xfId="0" applyAlignment="1" applyBorder="1" applyFill="1" applyFont="1">
      <alignment horizontal="center" vertical="bottom"/>
    </xf>
    <xf borderId="15" fillId="77" fontId="14" numFmtId="0" xfId="0" applyAlignment="1" applyBorder="1" applyFill="1" applyFont="1">
      <alignment horizontal="center" vertical="bottom"/>
    </xf>
    <xf borderId="15" fillId="78" fontId="14" numFmtId="0" xfId="0" applyAlignment="1" applyBorder="1" applyFill="1" applyFont="1">
      <alignment horizontal="center" vertical="bottom"/>
    </xf>
    <xf borderId="15" fillId="79" fontId="14" numFmtId="0" xfId="0" applyAlignment="1" applyBorder="1" applyFill="1" applyFont="1">
      <alignment horizontal="center" vertical="bottom"/>
    </xf>
    <xf borderId="15" fillId="80" fontId="14" numFmtId="0" xfId="0" applyAlignment="1" applyBorder="1" applyFill="1" applyFont="1">
      <alignment horizontal="center" vertical="bottom"/>
    </xf>
    <xf borderId="15" fillId="14" fontId="14" numFmtId="0" xfId="0" applyAlignment="1" applyBorder="1" applyFont="1">
      <alignment horizontal="center" vertical="bottom"/>
    </xf>
    <xf borderId="15" fillId="80" fontId="14" numFmtId="0" xfId="0" applyAlignment="1" applyBorder="1" applyFont="1">
      <alignment horizontal="center" readingOrder="0" vertical="bottom"/>
    </xf>
    <xf borderId="15" fillId="68" fontId="14" numFmtId="0" xfId="0" applyAlignment="1" applyBorder="1" applyFont="1">
      <alignment horizontal="center" readingOrder="0" vertical="bottom"/>
    </xf>
    <xf borderId="6" fillId="0" fontId="14" numFmtId="0" xfId="0" applyAlignment="1" applyBorder="1" applyFont="1">
      <alignment shrinkToFit="0" vertical="bottom" wrapText="0"/>
    </xf>
    <xf borderId="24" fillId="0" fontId="14" numFmtId="0" xfId="0" applyAlignment="1" applyBorder="1" applyFont="1">
      <alignment shrinkToFit="0" vertical="bottom" wrapText="0"/>
    </xf>
    <xf borderId="1" fillId="0" fontId="112" numFmtId="0" xfId="0" applyAlignment="1" applyBorder="1" applyFont="1">
      <alignment readingOrder="0" shrinkToFit="0" wrapText="0"/>
    </xf>
    <xf borderId="29" fillId="0" fontId="113" numFmtId="0" xfId="0" applyAlignment="1" applyBorder="1" applyFont="1">
      <alignment readingOrder="0" shrinkToFit="0" wrapText="0"/>
    </xf>
    <xf borderId="6" fillId="0" fontId="114" numFmtId="0" xfId="0" applyAlignment="1" applyBorder="1" applyFont="1">
      <alignment readingOrder="0" shrinkToFit="0" wrapText="0"/>
    </xf>
    <xf borderId="1" fillId="0" fontId="3" numFmtId="0" xfId="0" applyAlignment="1" applyBorder="1" applyFont="1">
      <alignment readingOrder="0" shrinkToFit="0" wrapText="0"/>
    </xf>
    <xf borderId="24" fillId="0" fontId="115" numFmtId="0" xfId="0" applyAlignment="1" applyBorder="1" applyFont="1">
      <alignment readingOrder="0" shrinkToFit="0" wrapText="0"/>
    </xf>
    <xf borderId="6" fillId="0" fontId="3" numFmtId="0" xfId="0" applyAlignment="1" applyBorder="1" applyFont="1">
      <alignment readingOrder="0" shrinkToFit="0" wrapText="0"/>
    </xf>
    <xf borderId="5" fillId="0" fontId="14" numFmtId="0" xfId="0" applyAlignment="1" applyBorder="1" applyFont="1">
      <alignment horizontal="center" readingOrder="0" shrinkToFit="0" vertical="bottom" wrapText="0"/>
    </xf>
    <xf borderId="4" fillId="0" fontId="14" numFmtId="0" xfId="0" applyAlignment="1" applyBorder="1" applyFont="1">
      <alignment horizontal="left" readingOrder="0" shrinkToFit="0" vertical="bottom" wrapText="0"/>
    </xf>
    <xf borderId="4" fillId="0" fontId="14" numFmtId="0" xfId="0" applyAlignment="1" applyBorder="1" applyFont="1">
      <alignment horizontal="center" readingOrder="0" shrinkToFit="0" vertical="bottom" wrapText="0"/>
    </xf>
    <xf borderId="4" fillId="0" fontId="116" numFmtId="0" xfId="0" applyAlignment="1" applyBorder="1" applyFont="1">
      <alignment readingOrder="0" shrinkToFit="0" wrapText="0"/>
    </xf>
    <xf borderId="4" fillId="0" fontId="14" numFmtId="0" xfId="0" applyAlignment="1" applyBorder="1" applyFont="1">
      <alignment horizontal="center" readingOrder="0" shrinkToFit="0" wrapText="0"/>
    </xf>
    <xf borderId="4" fillId="0" fontId="3" numFmtId="0" xfId="0" applyAlignment="1" applyBorder="1" applyFont="1">
      <alignment readingOrder="0" shrinkToFit="0" wrapText="0"/>
    </xf>
    <xf borderId="30" fillId="0" fontId="31" numFmtId="0" xfId="0" applyAlignment="1" applyBorder="1" applyFont="1">
      <alignment vertical="bottom"/>
    </xf>
    <xf borderId="2" fillId="0" fontId="14" numFmtId="0" xfId="0" applyAlignment="1" applyBorder="1" applyFont="1">
      <alignment horizontal="left" readingOrder="0" shrinkToFit="0" vertical="bottom" wrapText="0"/>
    </xf>
    <xf borderId="1" fillId="0" fontId="3" numFmtId="0" xfId="0" applyAlignment="1" applyBorder="1" applyFont="1">
      <alignment vertical="bottom"/>
    </xf>
    <xf borderId="15" fillId="0" fontId="3" numFmtId="0" xfId="0" applyAlignment="1" applyBorder="1" applyFont="1">
      <alignment vertical="bottom"/>
    </xf>
    <xf borderId="4" fillId="0" fontId="117" numFmtId="0" xfId="0" applyAlignment="1" applyBorder="1" applyFont="1">
      <alignment readingOrder="0" shrinkToFit="0" wrapText="0"/>
    </xf>
    <xf borderId="4" fillId="0" fontId="118" numFmtId="0" xfId="0" applyAlignment="1" applyBorder="1" applyFont="1">
      <alignment readingOrder="0" shrinkToFit="0" vertical="center" wrapText="0"/>
    </xf>
    <xf borderId="30" fillId="0" fontId="14" numFmtId="0" xfId="0" applyAlignment="1" applyBorder="1" applyFont="1">
      <alignment horizontal="left" readingOrder="0" shrinkToFit="0" vertical="bottom" wrapText="0"/>
    </xf>
    <xf borderId="4" fillId="0" fontId="119" numFmtId="0" xfId="0" applyAlignment="1" applyBorder="1" applyFont="1">
      <alignment readingOrder="0" shrinkToFit="0" vertical="center" wrapText="0"/>
    </xf>
    <xf borderId="27" fillId="0" fontId="14" numFmtId="0" xfId="0" applyAlignment="1" applyBorder="1" applyFont="1">
      <alignment horizontal="left" readingOrder="0" shrinkToFit="0" vertical="bottom" wrapText="0"/>
    </xf>
    <xf borderId="5" fillId="0" fontId="120" numFmtId="0" xfId="0" applyAlignment="1" applyBorder="1" applyFont="1">
      <alignment readingOrder="0" shrinkToFit="0" vertical="center" wrapText="0"/>
    </xf>
    <xf borderId="5" fillId="0" fontId="14" numFmtId="0" xfId="0" applyAlignment="1" applyBorder="1" applyFont="1">
      <alignment horizontal="center" readingOrder="0" shrinkToFit="0" wrapText="0"/>
    </xf>
    <xf borderId="5" fillId="0" fontId="14" numFmtId="0" xfId="0" applyAlignment="1" applyBorder="1" applyFont="1">
      <alignment horizontal="left" readingOrder="0" shrinkToFit="0" vertical="bottom" wrapText="0"/>
    </xf>
    <xf borderId="0" fillId="0" fontId="9" numFmtId="0" xfId="0" applyAlignment="1" applyFont="1">
      <alignment horizontal="center"/>
    </xf>
    <xf borderId="1" fillId="0" fontId="14" numFmtId="0" xfId="0" applyAlignment="1" applyBorder="1" applyFont="1">
      <alignment readingOrder="0" shrinkToFit="0" vertical="center" wrapText="0"/>
    </xf>
    <xf borderId="1" fillId="0" fontId="14" numFmtId="0" xfId="0" applyAlignment="1" applyBorder="1" applyFont="1">
      <alignment horizontal="left" readingOrder="0" shrinkToFit="0" vertical="center" wrapText="0"/>
    </xf>
    <xf borderId="1" fillId="0" fontId="14" numFmtId="0" xfId="0" applyAlignment="1" applyBorder="1" applyFont="1">
      <alignment shrinkToFit="0" vertical="center" wrapText="0"/>
    </xf>
    <xf borderId="1" fillId="0" fontId="14" numFmtId="0" xfId="0" applyAlignment="1" applyBorder="1" applyFont="1">
      <alignment horizontal="center" readingOrder="0" shrinkToFit="0" vertical="center" wrapText="0"/>
    </xf>
    <xf borderId="29" fillId="0" fontId="14" numFmtId="0" xfId="0" applyAlignment="1" applyBorder="1" applyFont="1">
      <alignment readingOrder="0" shrinkToFit="0" vertical="center" wrapText="0"/>
    </xf>
    <xf borderId="29" fillId="0" fontId="14" numFmtId="0" xfId="0" applyAlignment="1" applyBorder="1" applyFont="1">
      <alignment horizontal="left" readingOrder="0" shrinkToFit="0" vertical="center" wrapText="0"/>
    </xf>
    <xf borderId="29" fillId="0" fontId="121" numFmtId="0" xfId="0" applyAlignment="1" applyBorder="1" applyFont="1">
      <alignment readingOrder="0" shrinkToFit="0" vertical="center" wrapText="0"/>
    </xf>
    <xf borderId="29" fillId="0" fontId="14" numFmtId="0" xfId="0" applyAlignment="1" applyBorder="1" applyFont="1">
      <alignment horizontal="center" readingOrder="0" shrinkToFit="0" vertical="center" wrapText="0"/>
    </xf>
    <xf borderId="29" fillId="0" fontId="14" numFmtId="0" xfId="0" applyAlignment="1" applyBorder="1" applyFont="1">
      <alignment horizontal="center" readingOrder="0" shrinkToFit="0" vertical="center" wrapText="0"/>
    </xf>
    <xf borderId="29" fillId="0" fontId="14" numFmtId="0" xfId="0" applyAlignment="1" applyBorder="1" applyFont="1">
      <alignment shrinkToFit="0" vertical="center" wrapText="0"/>
    </xf>
    <xf borderId="6" fillId="0" fontId="14" numFmtId="0" xfId="0" applyAlignment="1" applyBorder="1" applyFont="1">
      <alignment readingOrder="0" shrinkToFit="0" vertical="center" wrapText="0"/>
    </xf>
    <xf borderId="6" fillId="0" fontId="14" numFmtId="0" xfId="0" applyAlignment="1" applyBorder="1" applyFont="1">
      <alignment horizontal="left" readingOrder="0" shrinkToFit="0" vertical="center" wrapText="0"/>
    </xf>
    <xf borderId="6" fillId="0" fontId="122" numFmtId="0" xfId="0" applyAlignment="1" applyBorder="1" applyFont="1">
      <alignment readingOrder="0" shrinkToFit="0" vertical="center" wrapText="0"/>
    </xf>
    <xf borderId="6" fillId="0" fontId="14" numFmtId="0" xfId="0" applyAlignment="1" applyBorder="1" applyFont="1">
      <alignment horizontal="center" readingOrder="0" shrinkToFit="0" vertical="center" wrapText="0"/>
    </xf>
    <xf borderId="6" fillId="0" fontId="14" numFmtId="0" xfId="0" applyAlignment="1" applyBorder="1" applyFont="1">
      <alignment horizontal="center" readingOrder="0" shrinkToFit="0" vertical="center" wrapText="0"/>
    </xf>
    <xf borderId="6" fillId="0" fontId="14" numFmtId="0" xfId="0" applyAlignment="1" applyBorder="1" applyFont="1">
      <alignment shrinkToFit="0" vertical="center" wrapText="0"/>
    </xf>
    <xf borderId="1" fillId="81" fontId="14" numFmtId="0" xfId="0" applyAlignment="1" applyBorder="1" applyFill="1" applyFont="1">
      <alignment horizontal="center" vertical="center"/>
    </xf>
    <xf borderId="15" fillId="82" fontId="14" numFmtId="0" xfId="0" applyAlignment="1" applyBorder="1" applyFill="1" applyFont="1">
      <alignment horizontal="center" vertical="center"/>
    </xf>
    <xf borderId="15" fillId="24" fontId="14" numFmtId="0" xfId="0" applyAlignment="1" applyBorder="1" applyFont="1">
      <alignment horizontal="center" vertical="center"/>
    </xf>
    <xf borderId="15" fillId="0" fontId="14" numFmtId="0" xfId="0" applyAlignment="1" applyBorder="1" applyFont="1">
      <alignment horizontal="center" readingOrder="0" vertical="center"/>
    </xf>
    <xf borderId="15" fillId="83" fontId="14" numFmtId="0" xfId="0" applyAlignment="1" applyBorder="1" applyFill="1" applyFont="1">
      <alignment horizontal="center" vertical="center"/>
    </xf>
    <xf borderId="15" fillId="84" fontId="14" numFmtId="0" xfId="0" applyAlignment="1" applyBorder="1" applyFill="1" applyFont="1">
      <alignment horizontal="center" vertical="center"/>
    </xf>
    <xf borderId="15" fillId="0" fontId="14" numFmtId="0" xfId="0" applyAlignment="1" applyBorder="1" applyFont="1">
      <alignment horizontal="center" vertical="center"/>
    </xf>
    <xf borderId="15" fillId="0" fontId="14" numFmtId="0" xfId="0" applyAlignment="1" applyBorder="1" applyFont="1">
      <alignment horizontal="center" readingOrder="0" shrinkToFit="0" vertical="center" wrapText="0"/>
    </xf>
    <xf borderId="15" fillId="0" fontId="14" numFmtId="0" xfId="0" applyAlignment="1" applyBorder="1" applyFont="1">
      <alignment horizontal="center" readingOrder="0" shrinkToFit="0" vertical="center" wrapText="0"/>
    </xf>
    <xf borderId="24" fillId="0" fontId="14" numFmtId="0" xfId="0" applyAlignment="1" applyBorder="1" applyFont="1">
      <alignment horizontal="center" readingOrder="0" shrinkToFit="0" vertical="center" wrapText="0"/>
    </xf>
    <xf borderId="1" fillId="85" fontId="14" numFmtId="0" xfId="0" applyAlignment="1" applyBorder="1" applyFill="1" applyFont="1">
      <alignment horizontal="center" vertical="center"/>
    </xf>
    <xf borderId="15" fillId="60" fontId="14" numFmtId="0" xfId="0" applyAlignment="1" applyBorder="1" applyFont="1">
      <alignment horizontal="center" vertical="center"/>
    </xf>
    <xf borderId="15" fillId="86" fontId="14" numFmtId="0" xfId="0" applyAlignment="1" applyBorder="1" applyFill="1" applyFont="1">
      <alignment horizontal="center" vertical="center"/>
    </xf>
    <xf borderId="1" fillId="87" fontId="14" numFmtId="0" xfId="0" applyAlignment="1" applyBorder="1" applyFill="1" applyFont="1">
      <alignment horizontal="center" vertical="center"/>
    </xf>
    <xf borderId="15" fillId="88" fontId="14" numFmtId="0" xfId="0" applyAlignment="1" applyBorder="1" applyFill="1" applyFont="1">
      <alignment horizontal="center" vertical="center"/>
    </xf>
    <xf borderId="15" fillId="89" fontId="14" numFmtId="0" xfId="0" applyAlignment="1" applyBorder="1" applyFill="1" applyFont="1">
      <alignment horizontal="center" vertical="center"/>
    </xf>
    <xf borderId="4" fillId="0" fontId="14" numFmtId="0" xfId="0" applyAlignment="1" applyBorder="1" applyFont="1">
      <alignment horizontal="left" readingOrder="0" shrinkToFit="0" vertical="center" wrapText="0"/>
    </xf>
    <xf borderId="4" fillId="0" fontId="14" numFmtId="0" xfId="0" applyAlignment="1" applyBorder="1" applyFont="1">
      <alignment horizontal="center" readingOrder="0" shrinkToFit="0" vertical="center" wrapText="0"/>
    </xf>
    <xf borderId="4" fillId="0" fontId="14" numFmtId="0" xfId="0" applyAlignment="1" applyBorder="1" applyFont="1">
      <alignment horizontal="center" readingOrder="0" shrinkToFit="0" vertical="center" wrapText="0"/>
    </xf>
    <xf borderId="4" fillId="0" fontId="14" numFmtId="0" xfId="0" applyAlignment="1" applyBorder="1" applyFont="1">
      <alignment shrinkToFit="0" vertical="center" wrapText="0"/>
    </xf>
    <xf borderId="4" fillId="0" fontId="3" numFmtId="0" xfId="0" applyAlignment="1" applyBorder="1" applyFont="1">
      <alignment readingOrder="0" shrinkToFit="0" vertical="center" wrapText="0"/>
    </xf>
    <xf borderId="29" fillId="0" fontId="3" numFmtId="0" xfId="0" applyAlignment="1" applyBorder="1" applyFont="1">
      <alignment readingOrder="0" shrinkToFit="0" vertical="center" wrapText="0"/>
    </xf>
    <xf borderId="5" fillId="0" fontId="14" numFmtId="0" xfId="0" applyAlignment="1" applyBorder="1" applyFont="1">
      <alignment horizontal="left" readingOrder="0" shrinkToFit="0" vertical="center" wrapText="0"/>
    </xf>
    <xf borderId="5" fillId="0" fontId="14" numFmtId="0" xfId="0" applyAlignment="1" applyBorder="1" applyFont="1">
      <alignment horizontal="center" readingOrder="0" shrinkToFit="0" vertical="center" wrapText="0"/>
    </xf>
    <xf borderId="5" fillId="0" fontId="14" numFmtId="0" xfId="0" applyAlignment="1" applyBorder="1" applyFont="1">
      <alignment horizontal="center" readingOrder="0" shrinkToFit="0" vertical="center" wrapText="0"/>
    </xf>
    <xf borderId="5" fillId="0" fontId="14" numFmtId="0" xfId="0" applyAlignment="1" applyBorder="1" applyFont="1">
      <alignment shrinkToFit="0" vertical="center" wrapText="0"/>
    </xf>
    <xf borderId="29" fillId="0" fontId="3" numFmtId="0" xfId="0" applyAlignment="1" applyBorder="1" applyFont="1">
      <alignment readingOrder="0" shrinkToFit="0" vertical="center" wrapText="0"/>
    </xf>
    <xf borderId="1" fillId="0" fontId="123" numFmtId="0" xfId="0" applyAlignment="1" applyBorder="1" applyFont="1">
      <alignment readingOrder="0" shrinkToFit="0" vertical="center" wrapText="0"/>
    </xf>
    <xf borderId="24" fillId="0" fontId="14" numFmtId="0" xfId="0" applyAlignment="1" applyBorder="1" applyFont="1">
      <alignment readingOrder="0" shrinkToFit="0" vertical="center" wrapText="0"/>
    </xf>
    <xf borderId="24" fillId="0" fontId="14" numFmtId="0" xfId="0" applyAlignment="1" applyBorder="1" applyFont="1">
      <alignment horizontal="left" readingOrder="0" shrinkToFit="0" vertical="center" wrapText="0"/>
    </xf>
    <xf borderId="24" fillId="0" fontId="14" numFmtId="0" xfId="0" applyAlignment="1" applyBorder="1" applyFont="1">
      <alignment horizontal="center" readingOrder="0" shrinkToFit="0" vertical="center" wrapText="0"/>
    </xf>
    <xf borderId="24" fillId="0" fontId="14" numFmtId="0" xfId="0" applyAlignment="1" applyBorder="1" applyFont="1">
      <alignment shrinkToFit="0" vertical="center" wrapText="0"/>
    </xf>
    <xf borderId="24" fillId="0" fontId="3" numFmtId="0" xfId="0" applyAlignment="1" applyBorder="1" applyFont="1">
      <alignment readingOrder="0" shrinkToFit="0" vertical="center" wrapText="0"/>
    </xf>
    <xf borderId="5" fillId="0" fontId="124" numFmtId="0" xfId="0" applyAlignment="1" applyBorder="1" applyFont="1">
      <alignment readingOrder="0" shrinkToFit="0" vertical="center" wrapText="0"/>
    </xf>
    <xf borderId="6" fillId="0" fontId="125" numFmtId="0" xfId="0" applyAlignment="1" applyBorder="1" applyFont="1">
      <alignment readingOrder="0" shrinkToFit="0" vertical="center" wrapText="0"/>
    </xf>
    <xf borderId="29" fillId="0" fontId="126" numFmtId="0" xfId="0" applyAlignment="1" applyBorder="1" applyFont="1">
      <alignment readingOrder="0" shrinkToFit="0" vertical="center" wrapText="0"/>
    </xf>
    <xf borderId="4" fillId="0" fontId="3" numFmtId="0" xfId="0" applyAlignment="1" applyBorder="1" applyFont="1">
      <alignment readingOrder="0" shrinkToFit="0" vertical="center" wrapText="0"/>
    </xf>
    <xf borderId="4" fillId="0" fontId="14" numFmtId="0" xfId="0" applyAlignment="1" applyBorder="1" applyFont="1">
      <alignment readingOrder="0" shrinkToFit="0" vertical="center" wrapText="0"/>
    </xf>
    <xf borderId="6" fillId="0" fontId="3" numFmtId="0" xfId="0" applyAlignment="1" applyBorder="1" applyFont="1">
      <alignment readingOrder="0" shrinkToFit="0" vertical="center" wrapText="0"/>
    </xf>
    <xf borderId="24" fillId="0" fontId="127" numFmtId="0" xfId="0" applyAlignment="1" applyBorder="1" applyFont="1">
      <alignment readingOrder="0" shrinkToFit="0" vertical="center" wrapText="0"/>
    </xf>
    <xf borderId="1" fillId="90" fontId="14" numFmtId="0" xfId="0" applyAlignment="1" applyBorder="1" applyFill="1" applyFont="1">
      <alignment horizontal="center" vertical="center"/>
    </xf>
    <xf borderId="15" fillId="14" fontId="14" numFmtId="0" xfId="0" applyAlignment="1" applyBorder="1" applyFont="1">
      <alignment horizontal="center" vertical="center"/>
    </xf>
    <xf borderId="15" fillId="53" fontId="14" numFmtId="0" xfId="0" applyAlignment="1" applyBorder="1" applyFont="1">
      <alignment horizontal="center" vertical="center"/>
    </xf>
    <xf borderId="1" fillId="91" fontId="14" numFmtId="0" xfId="0" applyAlignment="1" applyBorder="1" applyFill="1" applyFont="1">
      <alignment horizontal="center" vertical="center"/>
    </xf>
    <xf borderId="15" fillId="68" fontId="14" numFmtId="0" xfId="0" applyAlignment="1" applyBorder="1" applyFont="1">
      <alignment horizontal="center" vertical="center"/>
    </xf>
    <xf borderId="15" fillId="92" fontId="14" numFmtId="0" xfId="0" applyAlignment="1" applyBorder="1" applyFill="1" applyFont="1">
      <alignment horizontal="center" vertical="center"/>
    </xf>
    <xf borderId="1" fillId="93" fontId="14" numFmtId="0" xfId="0" applyAlignment="1" applyBorder="1" applyFill="1" applyFont="1">
      <alignment horizontal="center" vertical="center"/>
    </xf>
    <xf borderId="15" fillId="94" fontId="14" numFmtId="0" xfId="0" applyAlignment="1" applyBorder="1" applyFill="1" applyFont="1">
      <alignment horizontal="center" vertical="center"/>
    </xf>
    <xf borderId="1" fillId="95" fontId="14" numFmtId="0" xfId="0" applyAlignment="1" applyBorder="1" applyFill="1" applyFont="1">
      <alignment horizontal="center" vertical="center"/>
    </xf>
    <xf borderId="15" fillId="96" fontId="14" numFmtId="0" xfId="0" applyAlignment="1" applyBorder="1" applyFill="1" applyFont="1">
      <alignment horizontal="center" vertical="center"/>
    </xf>
    <xf borderId="15" fillId="19" fontId="14" numFmtId="0" xfId="0" applyAlignment="1" applyBorder="1" applyFont="1">
      <alignment horizontal="center" vertical="center"/>
    </xf>
    <xf borderId="15" fillId="97" fontId="14" numFmtId="0" xfId="0" applyAlignment="1" applyBorder="1" applyFill="1" applyFont="1">
      <alignment horizontal="center" vertical="center"/>
    </xf>
    <xf borderId="29" fillId="0" fontId="14" numFmtId="0" xfId="0" applyAlignment="1" applyBorder="1" applyFont="1">
      <alignment readingOrder="0" shrinkToFit="0" vertical="center" wrapText="0"/>
    </xf>
    <xf borderId="1" fillId="98" fontId="14" numFmtId="0" xfId="0" applyAlignment="1" applyBorder="1" applyFill="1" applyFont="1">
      <alignment horizontal="center" vertical="center"/>
    </xf>
    <xf borderId="15" fillId="99" fontId="14" numFmtId="0" xfId="0" applyAlignment="1" applyBorder="1" applyFill="1" applyFont="1">
      <alignment horizontal="center" vertical="center"/>
    </xf>
    <xf borderId="1" fillId="100" fontId="14" numFmtId="0" xfId="0" applyAlignment="1" applyBorder="1" applyFill="1" applyFont="1">
      <alignment horizontal="center" vertical="center"/>
    </xf>
    <xf borderId="15" fillId="101" fontId="14" numFmtId="0" xfId="0" applyAlignment="1" applyBorder="1" applyFill="1" applyFont="1">
      <alignment horizontal="center" vertical="center"/>
    </xf>
    <xf borderId="15" fillId="20" fontId="14" numFmtId="0" xfId="0" applyAlignment="1" applyBorder="1" applyFont="1">
      <alignment horizontal="center" vertical="center"/>
    </xf>
    <xf borderId="1" fillId="102" fontId="14" numFmtId="0" xfId="0" applyAlignment="1" applyBorder="1" applyFill="1" applyFont="1">
      <alignment horizontal="center" vertical="center"/>
    </xf>
    <xf borderId="1" fillId="102" fontId="14" numFmtId="0" xfId="0" applyAlignment="1" applyBorder="1" applyFont="1">
      <alignment horizontal="center" readingOrder="0" vertical="center"/>
    </xf>
    <xf borderId="15" fillId="94" fontId="14" numFmtId="0" xfId="0" applyAlignment="1" applyBorder="1" applyFont="1">
      <alignment horizontal="center" readingOrder="0" vertical="center"/>
    </xf>
    <xf borderId="15" fillId="99" fontId="14" numFmtId="0" xfId="0" applyAlignment="1" applyBorder="1" applyFont="1">
      <alignment horizontal="center" readingOrder="0" vertical="center"/>
    </xf>
    <xf borderId="1" fillId="0" fontId="3" numFmtId="0" xfId="0" applyBorder="1" applyFont="1"/>
    <xf borderId="15" fillId="0" fontId="3" numFmtId="0" xfId="0" applyBorder="1" applyFont="1"/>
    <xf borderId="1" fillId="12" fontId="3" numFmtId="0" xfId="0" applyAlignment="1" applyBorder="1" applyFont="1">
      <alignment horizontal="center"/>
    </xf>
    <xf borderId="1" fillId="103" fontId="14" numFmtId="0" xfId="0" applyAlignment="1" applyBorder="1" applyFill="1" applyFont="1">
      <alignment horizontal="center" vertical="center"/>
    </xf>
    <xf borderId="15" fillId="104" fontId="14" numFmtId="0" xfId="0" applyAlignment="1" applyBorder="1" applyFill="1" applyFont="1">
      <alignment horizontal="center" vertical="center"/>
    </xf>
    <xf borderId="15" fillId="105" fontId="14" numFmtId="0" xfId="0" applyAlignment="1" applyBorder="1" applyFill="1" applyFont="1">
      <alignment horizontal="center" vertical="center"/>
    </xf>
    <xf borderId="15" fillId="106" fontId="14" numFmtId="0" xfId="0" applyAlignment="1" applyBorder="1" applyFill="1" applyFont="1">
      <alignment horizontal="center" vertical="center"/>
    </xf>
    <xf borderId="15" fillId="107" fontId="14" numFmtId="0" xfId="0" applyAlignment="1" applyBorder="1" applyFill="1" applyFont="1">
      <alignment horizontal="center" vertical="center"/>
    </xf>
    <xf borderId="1" fillId="59" fontId="14" numFmtId="0" xfId="0" applyAlignment="1" applyBorder="1" applyFont="1">
      <alignment horizontal="center" vertical="center"/>
    </xf>
    <xf borderId="15" fillId="52" fontId="14" numFmtId="0" xfId="0" applyAlignment="1" applyBorder="1" applyFont="1">
      <alignment horizontal="center" vertical="center"/>
    </xf>
    <xf borderId="1" fillId="108" fontId="14" numFmtId="0" xfId="0" applyAlignment="1" applyBorder="1" applyFill="1" applyFont="1">
      <alignment horizontal="center" vertical="center"/>
    </xf>
    <xf borderId="15" fillId="109" fontId="14" numFmtId="0" xfId="0" applyAlignment="1" applyBorder="1" applyFill="1" applyFont="1">
      <alignment horizontal="center" vertical="center"/>
    </xf>
    <xf borderId="15" fillId="110" fontId="14" numFmtId="0" xfId="0" applyAlignment="1" applyBorder="1" applyFill="1" applyFont="1">
      <alignment horizontal="center" vertical="center"/>
    </xf>
    <xf borderId="15" fillId="111" fontId="14" numFmtId="0" xfId="0" applyAlignment="1" applyBorder="1" applyFill="1" applyFont="1">
      <alignment horizontal="center" vertical="center"/>
    </xf>
    <xf borderId="1" fillId="25" fontId="14" numFmtId="0" xfId="0" applyAlignment="1" applyBorder="1" applyFont="1">
      <alignment horizontal="center" vertical="center"/>
    </xf>
    <xf borderId="15" fillId="112" fontId="14" numFmtId="0" xfId="0" applyAlignment="1" applyBorder="1" applyFill="1" applyFont="1">
      <alignment horizontal="center" vertical="center"/>
    </xf>
    <xf borderId="15" fillId="113" fontId="14" numFmtId="0" xfId="0" applyAlignment="1" applyBorder="1" applyFill="1" applyFont="1">
      <alignment horizontal="center" vertical="center"/>
    </xf>
    <xf borderId="1" fillId="0" fontId="3" numFmtId="0" xfId="0" applyAlignment="1" applyBorder="1" applyFont="1">
      <alignment readingOrder="0" shrinkToFit="0" vertical="center" wrapText="0"/>
    </xf>
    <xf borderId="1" fillId="0" fontId="14" numFmtId="0" xfId="0" applyAlignment="1" applyBorder="1" applyFont="1">
      <alignment vertical="center"/>
    </xf>
    <xf borderId="15" fillId="0" fontId="14" numFmtId="0" xfId="0" applyAlignment="1" applyBorder="1" applyFont="1">
      <alignment vertical="center"/>
    </xf>
    <xf borderId="1" fillId="0" fontId="128" numFmtId="0" xfId="0" applyAlignment="1" applyBorder="1" applyFont="1">
      <alignment shrinkToFit="0" vertical="center" wrapText="1"/>
    </xf>
    <xf borderId="15" fillId="0" fontId="129" numFmtId="0" xfId="0" applyAlignment="1" applyBorder="1" applyFont="1">
      <alignment readingOrder="0" vertical="center"/>
    </xf>
    <xf borderId="15" fillId="114" fontId="14" numFmtId="0" xfId="0" applyAlignment="1" applyBorder="1" applyFill="1" applyFont="1">
      <alignment horizontal="center" vertical="center"/>
    </xf>
    <xf borderId="15" fillId="115" fontId="14" numFmtId="0" xfId="0" applyAlignment="1" applyBorder="1" applyFill="1" applyFont="1">
      <alignment horizontal="center" vertical="center"/>
    </xf>
    <xf borderId="15" fillId="12" fontId="14" numFmtId="0" xfId="0" applyAlignment="1" applyBorder="1" applyFont="1">
      <alignment horizontal="center" vertical="center"/>
    </xf>
    <xf borderId="15" fillId="67" fontId="14" numFmtId="0" xfId="0" applyAlignment="1" applyBorder="1" applyFont="1">
      <alignment horizontal="center" vertical="center"/>
    </xf>
    <xf borderId="15" fillId="0" fontId="130" numFmtId="0" xfId="0" applyAlignment="1" applyBorder="1" applyFont="1">
      <alignment readingOrder="0" shrinkToFit="0" vertical="center" wrapText="0"/>
    </xf>
    <xf borderId="1" fillId="44" fontId="14" numFmtId="0" xfId="0" applyAlignment="1" applyBorder="1" applyFont="1">
      <alignment horizontal="center" vertical="center"/>
    </xf>
    <xf borderId="15" fillId="21" fontId="14" numFmtId="0" xfId="0" applyAlignment="1" applyBorder="1" applyFont="1">
      <alignment horizontal="center" vertical="center"/>
    </xf>
    <xf borderId="15" fillId="116" fontId="14" numFmtId="0" xfId="0" applyAlignment="1" applyBorder="1" applyFill="1" applyFont="1">
      <alignment horizontal="center" vertical="center"/>
    </xf>
    <xf borderId="15" fillId="117" fontId="14" numFmtId="0" xfId="0" applyAlignment="1" applyBorder="1" applyFill="1" applyFont="1">
      <alignment horizontal="center" vertical="center"/>
    </xf>
    <xf borderId="15" fillId="118" fontId="14" numFmtId="0" xfId="0" applyAlignment="1" applyBorder="1" applyFill="1" applyFont="1">
      <alignment horizontal="center" vertical="center"/>
    </xf>
    <xf borderId="1" fillId="119" fontId="14" numFmtId="0" xfId="0" applyAlignment="1" applyBorder="1" applyFill="1" applyFont="1">
      <alignment horizontal="center" vertical="center"/>
    </xf>
    <xf borderId="15" fillId="120" fontId="14" numFmtId="0" xfId="0" applyAlignment="1" applyBorder="1" applyFill="1" applyFont="1">
      <alignment horizontal="center" vertical="center"/>
    </xf>
    <xf borderId="1" fillId="35" fontId="14" numFmtId="0" xfId="0" applyAlignment="1" applyBorder="1" applyFont="1">
      <alignment horizontal="center" vertical="center"/>
    </xf>
    <xf borderId="15" fillId="72" fontId="14" numFmtId="0" xfId="0" applyAlignment="1" applyBorder="1" applyFont="1">
      <alignment horizontal="center" vertical="center"/>
    </xf>
    <xf borderId="1" fillId="121" fontId="14" numFmtId="0" xfId="0" applyAlignment="1" applyBorder="1" applyFill="1" applyFont="1">
      <alignment horizontal="center" vertical="center"/>
    </xf>
    <xf borderId="15" fillId="54" fontId="14" numFmtId="0" xfId="0" applyAlignment="1" applyBorder="1" applyFont="1">
      <alignment horizontal="center" vertical="center"/>
    </xf>
    <xf borderId="15" fillId="76" fontId="14" numFmtId="0" xfId="0" applyAlignment="1" applyBorder="1" applyFont="1">
      <alignment horizontal="center" vertical="center"/>
    </xf>
    <xf borderId="1" fillId="122" fontId="14" numFmtId="0" xfId="0" applyAlignment="1" applyBorder="1" applyFill="1" applyFont="1">
      <alignment horizontal="center" vertical="center"/>
    </xf>
    <xf borderId="15" fillId="123" fontId="14" numFmtId="0" xfId="0" applyAlignment="1" applyBorder="1" applyFill="1" applyFont="1">
      <alignment horizontal="center" vertical="center"/>
    </xf>
    <xf borderId="1" fillId="64" fontId="14" numFmtId="0" xfId="0" applyAlignment="1" applyBorder="1" applyFont="1">
      <alignment horizontal="center" vertical="center"/>
    </xf>
    <xf borderId="1" fillId="88" fontId="14" numFmtId="0" xfId="0" applyAlignment="1" applyBorder="1" applyFont="1">
      <alignment horizontal="center" vertical="center"/>
    </xf>
    <xf borderId="15" fillId="61" fontId="14" numFmtId="0" xfId="0" applyAlignment="1" applyBorder="1" applyFont="1">
      <alignment horizontal="center" vertical="center"/>
    </xf>
    <xf borderId="15" fillId="124" fontId="14" numFmtId="0" xfId="0" applyAlignment="1" applyBorder="1" applyFill="1" applyFont="1">
      <alignment horizontal="center" vertical="center"/>
    </xf>
    <xf borderId="1" fillId="125" fontId="14" numFmtId="0" xfId="0" applyAlignment="1" applyBorder="1" applyFill="1" applyFont="1">
      <alignment horizontal="center" vertical="center"/>
    </xf>
    <xf borderId="1" fillId="99" fontId="14" numFmtId="0" xfId="0" applyAlignment="1" applyBorder="1" applyFont="1">
      <alignment horizontal="center" vertical="center"/>
    </xf>
    <xf borderId="15" fillId="40" fontId="14" numFmtId="0" xfId="0" applyAlignment="1" applyBorder="1" applyFont="1">
      <alignment horizontal="center" vertical="center"/>
    </xf>
    <xf borderId="15" fillId="126" fontId="14" numFmtId="0" xfId="0" applyAlignment="1" applyBorder="1" applyFill="1" applyFont="1">
      <alignment horizontal="center" vertical="center"/>
    </xf>
    <xf borderId="1" fillId="127" fontId="14" numFmtId="0" xfId="0" applyAlignment="1" applyBorder="1" applyFill="1" applyFont="1">
      <alignment horizontal="center" vertical="center"/>
    </xf>
    <xf borderId="15" fillId="121" fontId="14" numFmtId="0" xfId="0" applyAlignment="1" applyBorder="1" applyFont="1">
      <alignment horizontal="center" vertical="center"/>
    </xf>
    <xf borderId="15" fillId="125" fontId="14" numFmtId="0" xfId="0" applyAlignment="1" applyBorder="1" applyFont="1">
      <alignment horizontal="center" vertical="center"/>
    </xf>
    <xf borderId="1" fillId="128" fontId="14" numFmtId="0" xfId="0" applyAlignment="1" applyBorder="1" applyFill="1" applyFont="1">
      <alignment horizontal="center" vertical="center"/>
    </xf>
    <xf borderId="15" fillId="129" fontId="14" numFmtId="0" xfId="0" applyAlignment="1" applyBorder="1" applyFill="1" applyFont="1">
      <alignment horizontal="center" vertical="center"/>
    </xf>
    <xf borderId="15" fillId="38" fontId="14" numFmtId="0" xfId="0" applyAlignment="1" applyBorder="1" applyFont="1">
      <alignment horizontal="center" vertical="center"/>
    </xf>
    <xf borderId="15" fillId="13" fontId="14" numFmtId="0" xfId="0" applyAlignment="1" applyBorder="1" applyFont="1">
      <alignment horizontal="center" vertical="center"/>
    </xf>
    <xf borderId="1" fillId="0" fontId="3" numFmtId="0" xfId="0" applyAlignment="1" applyBorder="1" applyFont="1">
      <alignment readingOrder="0" shrinkToFit="0" vertical="center" wrapText="0"/>
    </xf>
    <xf borderId="1" fillId="39" fontId="14" numFmtId="0" xfId="0" applyAlignment="1" applyBorder="1" applyFont="1">
      <alignment horizontal="center" vertical="center"/>
    </xf>
    <xf borderId="15" fillId="130" fontId="14" numFmtId="0" xfId="0" applyAlignment="1" applyBorder="1" applyFill="1" applyFont="1">
      <alignment horizontal="center" vertical="center"/>
    </xf>
    <xf borderId="1" fillId="58" fontId="14" numFmtId="0" xfId="0" applyAlignment="1" applyBorder="1" applyFont="1">
      <alignment horizontal="center" vertical="center"/>
    </xf>
    <xf borderId="15" fillId="131" fontId="14" numFmtId="0" xfId="0" applyAlignment="1" applyBorder="1" applyFill="1" applyFont="1">
      <alignment horizontal="center" vertical="center"/>
    </xf>
    <xf borderId="15" fillId="56" fontId="14" numFmtId="0" xfId="0" applyAlignment="1" applyBorder="1" applyFont="1">
      <alignment horizontal="center" vertical="center"/>
    </xf>
    <xf borderId="1" fillId="124" fontId="14" numFmtId="0" xfId="0" applyAlignment="1" applyBorder="1" applyFont="1">
      <alignment horizontal="center" vertical="center"/>
    </xf>
    <xf borderId="1" fillId="0" fontId="14" numFmtId="0" xfId="0" applyAlignment="1" applyBorder="1" applyFont="1">
      <alignment horizontal="center" readingOrder="0" vertical="center"/>
    </xf>
    <xf borderId="15" fillId="77" fontId="14" numFmtId="0" xfId="0" applyAlignment="1" applyBorder="1" applyFont="1">
      <alignment horizontal="center" vertical="center"/>
    </xf>
    <xf borderId="6" fillId="0" fontId="3" numFmtId="0" xfId="0" applyAlignment="1" applyBorder="1" applyFont="1">
      <alignment readingOrder="0" shrinkToFit="0" vertical="center" wrapText="0"/>
    </xf>
    <xf borderId="1" fillId="132" fontId="14" numFmtId="0" xfId="0" applyAlignment="1" applyBorder="1" applyFill="1" applyFont="1">
      <alignment horizontal="center"/>
    </xf>
    <xf borderId="15" fillId="133" fontId="14" numFmtId="0" xfId="0" applyAlignment="1" applyBorder="1" applyFill="1" applyFont="1">
      <alignment horizontal="center" readingOrder="0"/>
    </xf>
    <xf borderId="24" fillId="0" fontId="3" numFmtId="0" xfId="0" applyAlignment="1" applyBorder="1" applyFont="1">
      <alignment readingOrder="0" shrinkToFit="0" vertical="center" wrapText="0"/>
    </xf>
    <xf borderId="6" fillId="0" fontId="3" numFmtId="0" xfId="0" applyAlignment="1" applyBorder="1" applyFont="1">
      <alignment readingOrder="0" shrinkToFit="0" vertical="center" wrapText="0"/>
    </xf>
    <xf borderId="1" fillId="0" fontId="3" numFmtId="0" xfId="0" applyAlignment="1" applyBorder="1" applyFont="1">
      <alignment readingOrder="0" shrinkToFit="0" vertical="center" wrapText="0"/>
    </xf>
    <xf borderId="1" fillId="89" fontId="14" numFmtId="0" xfId="0" applyAlignment="1" applyBorder="1" applyFont="1">
      <alignment horizontal="center" vertical="center"/>
    </xf>
    <xf borderId="15" fillId="134" fontId="14" numFmtId="0" xfId="0" applyAlignment="1" applyBorder="1" applyFill="1" applyFont="1">
      <alignment horizontal="center" vertical="center"/>
    </xf>
    <xf borderId="15" fillId="135" fontId="14" numFmtId="0" xfId="0" applyAlignment="1" applyBorder="1" applyFill="1" applyFont="1">
      <alignment horizontal="center" vertical="center"/>
    </xf>
    <xf borderId="29" fillId="0" fontId="3" numFmtId="0" xfId="0" applyBorder="1" applyFont="1"/>
    <xf borderId="30" fillId="0" fontId="3" numFmtId="0" xfId="0" applyBorder="1" applyFont="1"/>
    <xf borderId="30" fillId="0" fontId="131" numFmtId="0" xfId="0" applyBorder="1" applyFont="1"/>
    <xf borderId="30" fillId="0" fontId="3" numFmtId="0" xfId="0" applyAlignment="1" applyBorder="1" applyFont="1">
      <alignment horizontal="center"/>
    </xf>
    <xf borderId="30" fillId="0" fontId="3" numFmtId="0" xfId="0" applyAlignment="1" applyBorder="1" applyFont="1">
      <alignment horizontal="center"/>
    </xf>
    <xf borderId="30" fillId="0" fontId="14" numFmtId="0" xfId="0" applyAlignment="1" applyBorder="1" applyFont="1">
      <alignment horizontal="center" readingOrder="0" shrinkToFit="0" vertical="center" wrapText="0"/>
    </xf>
    <xf borderId="1" fillId="136" fontId="3" numFmtId="0" xfId="0" applyAlignment="1" applyBorder="1" applyFill="1" applyFont="1">
      <alignment horizontal="center" readingOrder="0"/>
    </xf>
    <xf borderId="15" fillId="137" fontId="3" numFmtId="0" xfId="0" applyAlignment="1" applyBorder="1" applyFill="1" applyFont="1">
      <alignment horizontal="center" readingOrder="0"/>
    </xf>
    <xf borderId="29" fillId="136" fontId="3" numFmtId="0" xfId="0" applyAlignment="1" applyBorder="1" applyFont="1">
      <alignment horizontal="center" readingOrder="0"/>
    </xf>
    <xf borderId="30" fillId="137" fontId="3" numFmtId="0" xfId="0" applyAlignment="1" applyBorder="1" applyFont="1">
      <alignment horizontal="center" readingOrder="0"/>
    </xf>
    <xf borderId="6" fillId="136" fontId="3" numFmtId="0" xfId="0" applyAlignment="1" applyBorder="1" applyFont="1">
      <alignment horizontal="center" readingOrder="0"/>
    </xf>
    <xf borderId="22" fillId="137" fontId="3" numFmtId="0" xfId="0" applyAlignment="1" applyBorder="1" applyFont="1">
      <alignment horizontal="center" readingOrder="0"/>
    </xf>
    <xf borderId="1" fillId="136" fontId="3" numFmtId="0" xfId="0" applyAlignment="1" applyBorder="1" applyFont="1">
      <alignment horizontal="center"/>
    </xf>
    <xf borderId="15" fillId="137" fontId="3" numFmtId="0" xfId="0" applyAlignment="1" applyBorder="1" applyFont="1">
      <alignment horizontal="center"/>
    </xf>
    <xf borderId="15" fillId="0" fontId="132" numFmtId="0" xfId="0" applyBorder="1" applyFont="1"/>
    <xf borderId="15" fillId="0" fontId="133" numFmtId="0" xfId="0" applyBorder="1" applyFont="1"/>
    <xf borderId="0" fillId="0" fontId="14" numFmtId="0" xfId="0" applyAlignment="1" applyFont="1">
      <alignment readingOrder="0" shrinkToFit="0" textRotation="90" vertical="top" wrapText="1"/>
    </xf>
    <xf borderId="22" fillId="0" fontId="14" numFmtId="0" xfId="0" applyAlignment="1" applyBorder="1" applyFont="1">
      <alignment readingOrder="0" shrinkToFit="0" vertical="center" wrapText="0"/>
    </xf>
    <xf borderId="22" fillId="0" fontId="14" numFmtId="170" xfId="0" applyAlignment="1" applyBorder="1" applyFont="1" applyNumberFormat="1">
      <alignment horizontal="center" readingOrder="0" vertical="center"/>
    </xf>
    <xf borderId="22" fillId="0" fontId="14" numFmtId="0" xfId="0" applyAlignment="1" applyBorder="1" applyFont="1">
      <alignment horizontal="center" readingOrder="0" vertical="center"/>
    </xf>
    <xf borderId="22" fillId="0" fontId="14" numFmtId="2" xfId="0" applyAlignment="1" applyBorder="1" applyFont="1" applyNumberFormat="1">
      <alignment horizontal="center" readingOrder="0" vertical="center"/>
    </xf>
    <xf borderId="22" fillId="0" fontId="14" numFmtId="165" xfId="0" applyAlignment="1" applyBorder="1" applyFont="1" applyNumberFormat="1">
      <alignment horizontal="right" readingOrder="0" vertical="center"/>
    </xf>
    <xf borderId="0" fillId="0" fontId="14" numFmtId="165" xfId="0" applyAlignment="1" applyFont="1" applyNumberFormat="1">
      <alignment horizontal="right" readingOrder="0" vertical="center"/>
    </xf>
    <xf borderId="27" fillId="0" fontId="14" numFmtId="0" xfId="0" applyAlignment="1" applyBorder="1" applyFont="1">
      <alignment readingOrder="0" shrinkToFit="0" vertical="center" wrapText="0"/>
    </xf>
    <xf borderId="27" fillId="0" fontId="14" numFmtId="170" xfId="0" applyAlignment="1" applyBorder="1" applyFont="1" applyNumberFormat="1">
      <alignment horizontal="center" readingOrder="0" vertical="center"/>
    </xf>
    <xf borderId="27" fillId="0" fontId="14" numFmtId="0" xfId="0" applyAlignment="1" applyBorder="1" applyFont="1">
      <alignment horizontal="center" readingOrder="0" vertical="center"/>
    </xf>
    <xf borderId="27" fillId="0" fontId="14" numFmtId="2" xfId="0" applyAlignment="1" applyBorder="1" applyFont="1" applyNumberFormat="1">
      <alignment horizontal="center" readingOrder="0" shrinkToFit="0" vertical="center" wrapText="0"/>
    </xf>
    <xf borderId="27" fillId="0" fontId="14" numFmtId="2" xfId="0" applyAlignment="1" applyBorder="1" applyFont="1" applyNumberFormat="1">
      <alignment horizontal="center" readingOrder="0" vertical="center"/>
    </xf>
    <xf borderId="27" fillId="0" fontId="14" numFmtId="165" xfId="0" applyAlignment="1" applyBorder="1" applyFont="1" applyNumberFormat="1">
      <alignment horizontal="right" readingOrder="0" vertical="center"/>
    </xf>
    <xf borderId="30" fillId="0" fontId="14" numFmtId="0" xfId="0" applyAlignment="1" applyBorder="1" applyFont="1">
      <alignment horizontal="center" readingOrder="0" vertical="center"/>
    </xf>
    <xf borderId="22" fillId="0" fontId="14" numFmtId="170" xfId="0" applyAlignment="1" applyBorder="1" applyFont="1" applyNumberFormat="1">
      <alignment horizontal="center" readingOrder="0" vertical="center"/>
    </xf>
    <xf borderId="22" fillId="0" fontId="14" numFmtId="171" xfId="0" applyAlignment="1" applyBorder="1" applyFont="1" applyNumberFormat="1">
      <alignment horizontal="center" readingOrder="0" vertical="center"/>
    </xf>
    <xf borderId="30" fillId="0" fontId="14" numFmtId="0" xfId="0" applyAlignment="1" applyBorder="1" applyFont="1">
      <alignment readingOrder="0" shrinkToFit="0" vertical="center" wrapText="0"/>
    </xf>
    <xf borderId="30" fillId="0" fontId="14" numFmtId="171" xfId="0" applyAlignment="1" applyBorder="1" applyFont="1" applyNumberFormat="1">
      <alignment horizontal="center" readingOrder="0" vertical="center"/>
    </xf>
    <xf borderId="30" fillId="0" fontId="14" numFmtId="2" xfId="0" applyAlignment="1" applyBorder="1" applyFont="1" applyNumberFormat="1">
      <alignment horizontal="center" readingOrder="0" shrinkToFit="0" vertical="center" wrapText="0"/>
    </xf>
    <xf borderId="30" fillId="0" fontId="14" numFmtId="2" xfId="0" applyAlignment="1" applyBorder="1" applyFont="1" applyNumberFormat="1">
      <alignment horizontal="center" readingOrder="0" vertical="center"/>
    </xf>
    <xf borderId="30" fillId="0" fontId="14" numFmtId="165" xfId="0" applyAlignment="1" applyBorder="1" applyFont="1" applyNumberFormat="1">
      <alignment horizontal="right" readingOrder="0" vertical="center"/>
    </xf>
    <xf borderId="22" fillId="0" fontId="14" numFmtId="170" xfId="0" applyAlignment="1" applyBorder="1" applyFont="1" applyNumberFormat="1">
      <alignment horizontal="center" readingOrder="0" shrinkToFit="0" vertical="center" wrapText="0"/>
    </xf>
    <xf borderId="22" fillId="0" fontId="14" numFmtId="165" xfId="0" applyAlignment="1" applyBorder="1" applyFont="1" applyNumberFormat="1">
      <alignment horizontal="right" readingOrder="0" shrinkToFit="0" vertical="center" wrapText="0"/>
    </xf>
    <xf borderId="0" fillId="0" fontId="14" numFmtId="165" xfId="0" applyAlignment="1" applyFont="1" applyNumberFormat="1">
      <alignment horizontal="right" readingOrder="0" shrinkToFit="0" vertical="center" wrapText="0"/>
    </xf>
    <xf borderId="27" fillId="0" fontId="14" numFmtId="0" xfId="0" applyAlignment="1" applyBorder="1" applyFont="1">
      <alignment readingOrder="0" shrinkToFit="0" vertical="center" wrapText="1"/>
    </xf>
    <xf borderId="27" fillId="0" fontId="14" numFmtId="170" xfId="0" applyAlignment="1" applyBorder="1" applyFont="1" applyNumberFormat="1">
      <alignment horizontal="center" readingOrder="0" shrinkToFit="0" vertical="center" wrapText="0"/>
    </xf>
    <xf borderId="27" fillId="0" fontId="14" numFmtId="165" xfId="0" applyAlignment="1" applyBorder="1" applyFont="1" applyNumberFormat="1">
      <alignment horizontal="right" readingOrder="0" shrinkToFit="0" vertical="center" wrapText="0"/>
    </xf>
    <xf borderId="22" fillId="0" fontId="14" numFmtId="172" xfId="0" applyAlignment="1" applyBorder="1" applyFont="1" applyNumberFormat="1">
      <alignment horizontal="center" readingOrder="0" shrinkToFit="0" vertical="center" wrapText="0"/>
    </xf>
    <xf borderId="27" fillId="0" fontId="14" numFmtId="172" xfId="0" applyAlignment="1" applyBorder="1" applyFont="1" applyNumberFormat="1">
      <alignment horizontal="center" readingOrder="0" shrinkToFit="0" vertical="center" wrapText="0"/>
    </xf>
    <xf borderId="1" fillId="138" fontId="3" numFmtId="2" xfId="0" applyAlignment="1" applyBorder="1" applyFill="1" applyFont="1" applyNumberFormat="1">
      <alignment horizontal="center"/>
    </xf>
    <xf borderId="15" fillId="139" fontId="3" numFmtId="2" xfId="0" applyAlignment="1" applyBorder="1" applyFill="1" applyFont="1" applyNumberFormat="1">
      <alignment horizontal="center"/>
    </xf>
    <xf borderId="22" fillId="0" fontId="14" numFmtId="171" xfId="0" applyAlignment="1" applyBorder="1" applyFont="1" applyNumberFormat="1">
      <alignment horizontal="center" readingOrder="0" shrinkToFit="0" vertical="center" wrapText="0"/>
    </xf>
    <xf borderId="22" fillId="0" fontId="14" numFmtId="173" xfId="0" applyAlignment="1" applyBorder="1" applyFont="1" applyNumberFormat="1">
      <alignment horizontal="center" readingOrder="0" shrinkToFit="0" vertical="center" wrapText="0"/>
    </xf>
    <xf borderId="27" fillId="0" fontId="14" numFmtId="171" xfId="0" applyAlignment="1" applyBorder="1" applyFont="1" applyNumberFormat="1">
      <alignment horizontal="center" readingOrder="0" shrinkToFit="0" vertical="center" wrapText="0"/>
    </xf>
    <xf borderId="1" fillId="0" fontId="134" numFmtId="0" xfId="0" applyAlignment="1" applyBorder="1" applyFont="1">
      <alignment readingOrder="0" shrinkToFit="0" vertical="center" wrapText="1"/>
    </xf>
    <xf borderId="1" fillId="0" fontId="3" numFmtId="0" xfId="0" applyAlignment="1" applyBorder="1" applyFont="1">
      <alignment horizontal="center" readingOrder="0" shrinkToFit="0" vertical="center" wrapText="1"/>
    </xf>
    <xf borderId="1" fillId="0" fontId="14" numFmtId="0" xfId="0" applyAlignment="1" applyBorder="1" applyFont="1">
      <alignment readingOrder="0" shrinkToFit="0" vertical="center" wrapText="1"/>
    </xf>
    <xf borderId="1" fillId="0" fontId="14" numFmtId="0" xfId="0" applyAlignment="1" applyBorder="1" applyFont="1">
      <alignment shrinkToFit="0" vertical="center" wrapText="1"/>
    </xf>
    <xf borderId="29" fillId="0" fontId="14" numFmtId="0" xfId="0" applyAlignment="1" applyBorder="1" applyFont="1">
      <alignment horizontal="center" readingOrder="0" shrinkToFit="0" vertical="center" wrapText="1"/>
    </xf>
    <xf borderId="29" fillId="0" fontId="135" numFmtId="0" xfId="0" applyAlignment="1" applyBorder="1" applyFont="1">
      <alignment readingOrder="0" shrinkToFit="0" vertical="center" wrapText="1"/>
    </xf>
    <xf borderId="29" fillId="0" fontId="3" numFmtId="0" xfId="0" applyAlignment="1" applyBorder="1" applyFont="1">
      <alignment horizontal="center" readingOrder="0" shrinkToFit="0" vertical="center" wrapText="1"/>
    </xf>
    <xf borderId="29" fillId="0" fontId="14" numFmtId="0" xfId="0" applyAlignment="1" applyBorder="1" applyFont="1">
      <alignment readingOrder="0" shrinkToFit="0" vertical="center" wrapText="1"/>
    </xf>
    <xf borderId="29" fillId="0" fontId="14" numFmtId="0" xfId="0" applyAlignment="1" applyBorder="1" applyFont="1">
      <alignment shrinkToFit="0" vertical="center" wrapText="1"/>
    </xf>
    <xf borderId="6" fillId="0" fontId="14" numFmtId="0" xfId="0" applyAlignment="1" applyBorder="1" applyFont="1">
      <alignment horizontal="center" readingOrder="0" shrinkToFit="0" vertical="center" wrapText="1"/>
    </xf>
    <xf borderId="6" fillId="0" fontId="134" numFmtId="0" xfId="0" applyAlignment="1" applyBorder="1" applyFont="1">
      <alignment readingOrder="0" shrinkToFit="0" vertical="center" wrapText="1"/>
    </xf>
    <xf borderId="6" fillId="0" fontId="3" numFmtId="0" xfId="0" applyAlignment="1" applyBorder="1" applyFont="1">
      <alignment horizontal="center" readingOrder="0" shrinkToFit="0" vertical="center" wrapText="1"/>
    </xf>
    <xf borderId="6" fillId="0" fontId="14" numFmtId="0" xfId="0" applyAlignment="1" applyBorder="1" applyFont="1">
      <alignment readingOrder="0" shrinkToFit="0" vertical="center" wrapText="1"/>
    </xf>
    <xf borderId="29" fillId="0" fontId="134" numFmtId="0" xfId="0" applyAlignment="1" applyBorder="1" applyFont="1">
      <alignment readingOrder="0" shrinkToFit="0" vertical="center" wrapText="1"/>
    </xf>
    <xf borderId="1" fillId="0" fontId="135" numFmtId="0" xfId="0" applyAlignment="1" applyBorder="1" applyFont="1">
      <alignment readingOrder="0" shrinkToFit="0" vertical="center" wrapText="1"/>
    </xf>
    <xf borderId="6" fillId="0" fontId="135" numFmtId="0" xfId="0" applyAlignment="1" applyBorder="1" applyFont="1">
      <alignment readingOrder="0" shrinkToFit="0" vertical="center" wrapText="1"/>
    </xf>
    <xf borderId="24" fillId="0" fontId="14" numFmtId="0" xfId="0" applyAlignment="1" applyBorder="1" applyFont="1">
      <alignment horizontal="center" readingOrder="0" shrinkToFit="0" vertical="center" wrapText="1"/>
    </xf>
    <xf borderId="24" fillId="0" fontId="3" numFmtId="0" xfId="0" applyAlignment="1" applyBorder="1" applyFont="1">
      <alignment horizontal="center" readingOrder="0" shrinkToFit="0" vertical="center" wrapText="1"/>
    </xf>
    <xf borderId="29" fillId="0" fontId="136" numFmtId="0" xfId="0" applyAlignment="1" applyBorder="1" applyFont="1">
      <alignment readingOrder="0" shrinkToFit="0" vertical="center" wrapText="1"/>
    </xf>
    <xf borderId="6" fillId="0" fontId="137" numFmtId="0" xfId="0" applyAlignment="1" applyBorder="1" applyFont="1">
      <alignment readingOrder="0" shrinkToFit="0" vertical="center" wrapText="1"/>
    </xf>
    <xf borderId="24" fillId="0" fontId="138" numFmtId="0" xfId="0" applyAlignment="1" applyBorder="1" applyFont="1">
      <alignment readingOrder="0" shrinkToFit="0" vertical="center" wrapText="1"/>
    </xf>
    <xf borderId="24" fillId="0" fontId="14" numFmtId="0" xfId="0" applyAlignment="1" applyBorder="1" applyFont="1">
      <alignment readingOrder="0" shrinkToFit="0" vertical="center" wrapText="1"/>
    </xf>
    <xf borderId="1" fillId="0" fontId="139" numFmtId="0" xfId="0" applyAlignment="1" applyBorder="1" applyFont="1">
      <alignment readingOrder="0" shrinkToFit="0" vertical="center" wrapText="1"/>
    </xf>
    <xf borderId="24" fillId="0" fontId="135" numFmtId="0" xfId="0" applyAlignment="1" applyBorder="1" applyFont="1">
      <alignment readingOrder="0" shrinkToFit="0" vertical="center" wrapText="1"/>
    </xf>
    <xf borderId="6" fillId="0" fontId="14" numFmtId="0" xfId="0" applyAlignment="1" applyBorder="1" applyFont="1">
      <alignment shrinkToFit="0" vertical="center" wrapText="1"/>
    </xf>
    <xf borderId="24" fillId="0" fontId="14" numFmtId="0" xfId="0" applyAlignment="1" applyBorder="1" applyFont="1">
      <alignment shrinkToFit="0" vertical="center" wrapText="1"/>
    </xf>
    <xf borderId="4" fillId="0" fontId="14" numFmtId="0" xfId="0" applyAlignment="1" applyBorder="1" applyFont="1">
      <alignment horizontal="center" readingOrder="0" shrinkToFit="0" vertical="center" wrapText="1"/>
    </xf>
    <xf borderId="4" fillId="0" fontId="140" numFmtId="0" xfId="0" applyAlignment="1" applyBorder="1" applyFont="1">
      <alignment readingOrder="0" shrinkToFit="0" vertical="center" wrapText="1"/>
    </xf>
    <xf borderId="4" fillId="0" fontId="3" numFmtId="0" xfId="0" applyAlignment="1" applyBorder="1" applyFont="1">
      <alignment horizontal="center" readingOrder="0" shrinkToFit="0" vertical="center" wrapText="1"/>
    </xf>
    <xf borderId="4" fillId="0" fontId="14" numFmtId="0" xfId="0" applyAlignment="1" applyBorder="1" applyFont="1">
      <alignment readingOrder="0" shrinkToFit="0" vertical="center" wrapText="1"/>
    </xf>
    <xf borderId="1" fillId="0" fontId="141" numFmtId="0" xfId="0" applyAlignment="1" applyBorder="1" applyFont="1">
      <alignment readingOrder="0" shrinkToFit="0" vertical="center" wrapText="1"/>
    </xf>
    <xf borderId="5" fillId="0" fontId="142" numFmtId="0" xfId="0" applyAlignment="1" applyBorder="1" applyFont="1">
      <alignment readingOrder="0" shrinkToFit="0" vertical="center" wrapText="1"/>
    </xf>
    <xf borderId="5" fillId="0" fontId="14" numFmtId="0" xfId="0" applyAlignment="1" applyBorder="1" applyFont="1">
      <alignment horizontal="center" readingOrder="0" shrinkToFit="0" vertical="center" wrapText="1"/>
    </xf>
    <xf borderId="5" fillId="0" fontId="3" numFmtId="0" xfId="0" applyAlignment="1" applyBorder="1" applyFont="1">
      <alignment horizontal="center" readingOrder="0" shrinkToFit="0" vertical="center" wrapText="1"/>
    </xf>
    <xf borderId="0" fillId="0" fontId="9" numFmtId="0" xfId="0" applyAlignment="1" applyFont="1">
      <alignment horizontal="center" shrinkToFit="0" vertical="center" wrapText="1"/>
    </xf>
    <xf borderId="17" fillId="0" fontId="14" numFmtId="0" xfId="0" applyAlignment="1" applyBorder="1" applyFont="1">
      <alignment horizontal="left" readingOrder="0" textRotation="90" vertical="top"/>
    </xf>
    <xf borderId="1" fillId="0" fontId="14" numFmtId="0" xfId="0" applyAlignment="1" applyBorder="1" applyFont="1">
      <alignment horizontal="left" readingOrder="0" textRotation="90" vertical="top"/>
    </xf>
    <xf borderId="1" fillId="0" fontId="14" numFmtId="0" xfId="0" applyAlignment="1" applyBorder="1" applyFont="1">
      <alignment horizontal="left" readingOrder="0" vertical="top"/>
    </xf>
    <xf borderId="6" fillId="0" fontId="143" numFmtId="0" xfId="0" applyAlignment="1" applyBorder="1" applyFont="1">
      <alignment readingOrder="0" shrinkToFit="0" vertical="center" wrapText="1"/>
    </xf>
    <xf borderId="1" fillId="0" fontId="144" numFmtId="0" xfId="0" applyAlignment="1" applyBorder="1" applyFont="1">
      <alignment readingOrder="0" shrinkToFit="0" vertical="center" wrapText="1"/>
    </xf>
    <xf borderId="29" fillId="0" fontId="145" numFmtId="0" xfId="0" applyAlignment="1" applyBorder="1" applyFont="1">
      <alignment readingOrder="0" shrinkToFit="0" vertical="center" wrapText="1"/>
    </xf>
    <xf borderId="4" fillId="0" fontId="146" numFmtId="0" xfId="0" applyAlignment="1" applyBorder="1" applyFont="1">
      <alignment readingOrder="0" shrinkToFit="0" vertical="center" wrapText="1"/>
    </xf>
    <xf borderId="1" fillId="0" fontId="3" numFmtId="0" xfId="0" applyAlignment="1" applyBorder="1" applyFont="1">
      <alignment horizontal="center" vertical="center"/>
    </xf>
    <xf borderId="15" fillId="0" fontId="3" numFmtId="0" xfId="0" applyAlignment="1" applyBorder="1" applyFont="1">
      <alignment horizontal="center" vertical="center"/>
    </xf>
    <xf borderId="1" fillId="0" fontId="3" numFmtId="0" xfId="0" applyAlignment="1" applyBorder="1" applyFont="1">
      <alignment horizontal="center"/>
    </xf>
    <xf borderId="15" fillId="0" fontId="3" numFmtId="0" xfId="0" applyAlignment="1" applyBorder="1" applyFont="1">
      <alignment horizontal="center"/>
    </xf>
    <xf borderId="15" fillId="2" fontId="3" numFmtId="0" xfId="0" applyAlignment="1" applyBorder="1" applyFont="1">
      <alignment horizontal="center"/>
    </xf>
    <xf borderId="6" fillId="0" fontId="3" numFmtId="0" xfId="0" applyAlignment="1" applyBorder="1" applyFont="1">
      <alignment horizontal="center" vertical="center"/>
    </xf>
    <xf borderId="22" fillId="0" fontId="3" numFmtId="0" xfId="0" applyAlignment="1" applyBorder="1" applyFont="1">
      <alignment horizontal="center" vertical="center"/>
    </xf>
    <xf borderId="22" fillId="0" fontId="3" numFmtId="0" xfId="0" applyAlignment="1" applyBorder="1" applyFont="1">
      <alignment horizontal="center" readingOrder="0" vertical="center"/>
    </xf>
    <xf borderId="15" fillId="0" fontId="3" numFmtId="0" xfId="0" applyAlignment="1" applyBorder="1" applyFont="1">
      <alignment horizontal="center" readingOrder="0" vertical="center"/>
    </xf>
    <xf borderId="1" fillId="0" fontId="147" numFmtId="0" xfId="0" applyAlignment="1" applyBorder="1" applyFont="1">
      <alignment readingOrder="0" shrinkToFit="0" vertical="center" wrapText="0"/>
    </xf>
    <xf borderId="29" fillId="0" fontId="148" numFmtId="0" xfId="0" applyAlignment="1" applyBorder="1" applyFont="1">
      <alignment readingOrder="0" shrinkToFit="0" vertical="center" wrapText="0"/>
    </xf>
    <xf borderId="1" fillId="0" fontId="3" numFmtId="0" xfId="0" applyAlignment="1" applyBorder="1" applyFont="1">
      <alignment readingOrder="0" shrinkToFit="0" vertical="center" wrapText="1"/>
    </xf>
    <xf borderId="6" fillId="0" fontId="3" numFmtId="0" xfId="0" applyAlignment="1" applyBorder="1" applyFont="1">
      <alignment readingOrder="0" shrinkToFit="0" vertical="center" wrapText="1"/>
    </xf>
    <xf borderId="5" fillId="0" fontId="149" numFmtId="0" xfId="0" applyAlignment="1" applyBorder="1" applyFont="1">
      <alignment readingOrder="0" shrinkToFit="0" vertical="center" wrapText="1"/>
    </xf>
    <xf borderId="5" fillId="0" fontId="14" numFmtId="0" xfId="0" applyAlignment="1" applyBorder="1" applyFont="1">
      <alignment readingOrder="0" shrinkToFit="0" vertical="center" wrapText="1"/>
    </xf>
    <xf borderId="15" fillId="0" fontId="3" numFmtId="0" xfId="0" applyAlignment="1" applyBorder="1" applyFont="1">
      <alignment horizontal="center" shrinkToFit="0" vertical="center" wrapText="1"/>
    </xf>
    <xf borderId="15" fillId="0" fontId="150" numFmtId="0" xfId="0" applyAlignment="1" applyBorder="1" applyFont="1">
      <alignment vertical="center"/>
    </xf>
    <xf borderId="15" fillId="0" fontId="16" numFmtId="0" xfId="0" applyAlignment="1" applyBorder="1" applyFont="1">
      <alignment readingOrder="0" shrinkToFit="0" textRotation="90" vertical="top" wrapText="1"/>
    </xf>
    <xf borderId="31" fillId="0" fontId="16" numFmtId="0" xfId="0" applyAlignment="1" applyBorder="1" applyFont="1">
      <alignment readingOrder="0" shrinkToFit="0" textRotation="90" vertical="top" wrapText="1"/>
    </xf>
    <xf borderId="19" fillId="0" fontId="14" numFmtId="0" xfId="0" applyAlignment="1" applyBorder="1" applyFont="1">
      <alignment horizontal="center" readingOrder="0" shrinkToFit="0" vertical="center" wrapText="1"/>
    </xf>
    <xf borderId="1" fillId="0" fontId="14" numFmtId="0" xfId="0" applyAlignment="1" applyBorder="1" applyFont="1">
      <alignment horizontal="center" shrinkToFit="0" vertical="center" wrapText="1"/>
    </xf>
    <xf borderId="6" fillId="0" fontId="151" numFmtId="0" xfId="0" applyAlignment="1" applyBorder="1" applyFont="1">
      <alignment horizontal="center" readingOrder="0" shrinkToFit="0" vertical="center" wrapText="1"/>
    </xf>
    <xf borderId="29" fillId="0" fontId="152" numFmtId="0" xfId="0" applyAlignment="1" applyBorder="1" applyFont="1">
      <alignment horizontal="center" readingOrder="0" shrinkToFit="0" vertical="center" wrapText="1"/>
    </xf>
    <xf borderId="30" fillId="0" fontId="14" numFmtId="0" xfId="0" applyAlignment="1" applyBorder="1" applyFont="1">
      <alignment horizontal="center" readingOrder="0" shrinkToFit="0" vertical="center" wrapText="1"/>
    </xf>
    <xf borderId="32" fillId="0" fontId="14" numFmtId="0" xfId="0" applyAlignment="1" applyBorder="1" applyFont="1">
      <alignment horizontal="center" readingOrder="0" shrinkToFit="0" vertical="center" wrapText="1"/>
    </xf>
    <xf borderId="29" fillId="0" fontId="14" numFmtId="0" xfId="0" applyAlignment="1" applyBorder="1" applyFont="1">
      <alignment horizontal="center" shrinkToFit="0" vertical="center" wrapText="1"/>
    </xf>
    <xf borderId="6" fillId="0" fontId="3" numFmtId="0" xfId="0" applyAlignment="1" applyBorder="1" applyFont="1">
      <alignment horizontal="center" readingOrder="0" shrinkToFit="0" vertical="center" wrapText="1"/>
    </xf>
    <xf borderId="6" fillId="0" fontId="3" numFmtId="0" xfId="0" applyAlignment="1" applyBorder="1" applyFont="1">
      <alignment horizontal="center" readingOrder="0" shrinkToFit="0" vertical="center" wrapText="1"/>
    </xf>
    <xf borderId="6" fillId="0" fontId="14" numFmtId="0" xfId="0" applyAlignment="1" applyBorder="1" applyFont="1">
      <alignment horizontal="center" shrinkToFit="0" vertical="center" wrapText="1"/>
    </xf>
    <xf borderId="6" fillId="0" fontId="153" numFmtId="0" xfId="0" applyAlignment="1" applyBorder="1" applyFont="1">
      <alignment horizontal="center" readingOrder="0" shrinkToFit="0" vertical="center" wrapText="1"/>
    </xf>
    <xf borderId="24" fillId="0" fontId="154" numFmtId="0" xfId="0" applyAlignment="1" applyBorder="1" applyFont="1">
      <alignment horizontal="center" readingOrder="0" shrinkToFit="0" vertical="center" wrapText="1"/>
    </xf>
    <xf borderId="24" fillId="0" fontId="3" numFmtId="0" xfId="0" applyAlignment="1" applyBorder="1" applyFont="1">
      <alignment horizontal="center" readingOrder="0" shrinkToFit="0" vertical="center" wrapText="1"/>
    </xf>
    <xf borderId="24" fillId="0" fontId="14" numFmtId="0" xfId="0" applyAlignment="1" applyBorder="1" applyFont="1">
      <alignment horizontal="center" shrinkToFit="0" vertical="center" wrapText="1"/>
    </xf>
    <xf borderId="6" fillId="0" fontId="14" numFmtId="9" xfId="0" applyAlignment="1" applyBorder="1" applyFont="1" applyNumberFormat="1">
      <alignment horizontal="center" readingOrder="0" shrinkToFit="0" vertical="center" wrapText="1"/>
    </xf>
    <xf borderId="24" fillId="0" fontId="14" numFmtId="9" xfId="0" applyAlignment="1" applyBorder="1" applyFont="1" applyNumberFormat="1">
      <alignment horizontal="center" readingOrder="0" shrinkToFit="0" vertical="center" wrapText="1"/>
    </xf>
    <xf borderId="24" fillId="0" fontId="155" numFmtId="0" xfId="0" applyAlignment="1" applyBorder="1" applyFont="1">
      <alignment horizontal="center" readingOrder="0" shrinkToFit="0" vertical="center" wrapText="1"/>
    </xf>
    <xf borderId="6" fillId="0" fontId="3" numFmtId="0" xfId="0" applyAlignment="1" applyBorder="1" applyFont="1">
      <alignment readingOrder="0" shrinkToFit="0" vertical="center" wrapText="1"/>
    </xf>
    <xf borderId="4" fillId="0" fontId="14" numFmtId="0" xfId="0" applyAlignment="1" applyBorder="1" applyFont="1">
      <alignment shrinkToFit="0" vertical="center" wrapText="1"/>
    </xf>
    <xf borderId="4" fillId="0" fontId="14" numFmtId="0" xfId="0" applyAlignment="1" applyBorder="1" applyFont="1">
      <alignment horizontal="center" shrinkToFit="0" vertical="center" wrapText="1"/>
    </xf>
    <xf borderId="6" fillId="0" fontId="3" numFmtId="0" xfId="0" applyAlignment="1" applyBorder="1" applyFont="1">
      <alignment readingOrder="0" shrinkToFit="0" vertical="center" wrapText="1"/>
    </xf>
    <xf borderId="4" fillId="0" fontId="156" numFmtId="0" xfId="0" applyAlignment="1" applyBorder="1" applyFont="1">
      <alignment horizontal="center" readingOrder="0" shrinkToFit="0" vertical="center" wrapText="1"/>
    </xf>
    <xf borderId="29" fillId="0" fontId="14" numFmtId="9" xfId="0" applyAlignment="1" applyBorder="1" applyFont="1" applyNumberFormat="1">
      <alignment horizontal="center" readingOrder="0" shrinkToFit="0" vertical="center" wrapText="1"/>
    </xf>
    <xf borderId="6" fillId="0" fontId="3" numFmtId="0" xfId="0" applyAlignment="1" applyBorder="1" applyFont="1">
      <alignment horizontal="center" readingOrder="0" shrinkToFit="0" vertical="center" wrapText="1"/>
    </xf>
    <xf borderId="24" fillId="0" fontId="3" numFmtId="0" xfId="0" applyAlignment="1" applyBorder="1" applyFont="1">
      <alignment horizontal="center" readingOrder="0" shrinkToFit="0" vertical="center" wrapText="1"/>
    </xf>
    <xf borderId="1" fillId="0" fontId="14" numFmtId="9" xfId="0" applyAlignment="1" applyBorder="1" applyFont="1" applyNumberFormat="1">
      <alignment horizontal="center" readingOrder="0" shrinkToFit="0" vertical="center" wrapText="1"/>
    </xf>
    <xf borderId="1" fillId="0" fontId="157" numFmtId="0" xfId="0" applyAlignment="1" applyBorder="1" applyFont="1">
      <alignment horizontal="center" readingOrder="0" shrinkToFit="0" vertical="center" wrapText="1"/>
    </xf>
    <xf borderId="4" fillId="0" fontId="3" numFmtId="0" xfId="0" applyAlignment="1" applyBorder="1" applyFont="1">
      <alignment horizontal="center" readingOrder="0" shrinkToFit="0" vertical="center" wrapText="1"/>
    </xf>
    <xf borderId="4" fillId="0" fontId="3" numFmtId="0" xfId="0" applyAlignment="1" applyBorder="1" applyFont="1">
      <alignment horizontal="center" readingOrder="0" shrinkToFit="0" vertical="center" wrapText="1"/>
    </xf>
    <xf borderId="29" fillId="0" fontId="3" numFmtId="0" xfId="0" applyAlignment="1" applyBorder="1" applyFont="1">
      <alignment horizontal="center" readingOrder="0" shrinkToFit="0" vertical="center" wrapText="1"/>
    </xf>
    <xf borderId="29" fillId="0" fontId="3" numFmtId="0" xfId="0" applyAlignment="1" applyBorder="1" applyFont="1">
      <alignment horizontal="center" readingOrder="0" shrinkToFit="0" vertical="center" wrapText="1"/>
    </xf>
    <xf borderId="1" fillId="0" fontId="14" numFmtId="0" xfId="0" applyAlignment="1" applyBorder="1" applyFont="1">
      <alignment readingOrder="0" shrinkToFit="0" vertical="center" wrapText="1"/>
    </xf>
    <xf borderId="1" fillId="0" fontId="3"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5" fillId="0" fontId="14" numFmtId="0" xfId="0" applyAlignment="1" applyBorder="1" applyFont="1">
      <alignment horizontal="left" readingOrder="0" vertical="top"/>
    </xf>
    <xf borderId="15" fillId="0" fontId="14" numFmtId="0" xfId="0" applyAlignment="1" applyBorder="1" applyFont="1">
      <alignment horizontal="left" readingOrder="0" textRotation="90" vertical="top"/>
    </xf>
    <xf borderId="15" fillId="0" fontId="14" numFmtId="0" xfId="0" applyAlignment="1" applyBorder="1" applyFont="1">
      <alignment horizontal="left" readingOrder="0" shrinkToFit="0" vertical="top" wrapText="1"/>
    </xf>
    <xf borderId="15" fillId="0" fontId="14" numFmtId="0" xfId="0" applyAlignment="1" applyBorder="1" applyFont="1">
      <alignment horizontal="left" readingOrder="0" shrinkToFit="0" textRotation="0" vertical="top" wrapText="1"/>
    </xf>
    <xf borderId="22" fillId="0" fontId="158" numFmtId="0" xfId="0" applyAlignment="1" applyBorder="1" applyFont="1">
      <alignment horizontal="left" readingOrder="0" shrinkToFit="0" wrapText="0"/>
    </xf>
    <xf borderId="22" fillId="0" fontId="14" numFmtId="168" xfId="0" applyAlignment="1" applyBorder="1" applyFont="1" applyNumberFormat="1">
      <alignment horizontal="center" readingOrder="0" shrinkToFit="0" wrapText="0"/>
    </xf>
    <xf borderId="22" fillId="0" fontId="14" numFmtId="2" xfId="0" applyAlignment="1" applyBorder="1" applyFont="1" applyNumberFormat="1">
      <alignment horizontal="right" readingOrder="0" shrinkToFit="0" wrapText="0"/>
    </xf>
    <xf borderId="22" fillId="0" fontId="3" numFmtId="0" xfId="0" applyAlignment="1" applyBorder="1" applyFont="1">
      <alignment horizontal="left" readingOrder="0" shrinkToFit="0" wrapText="0"/>
    </xf>
    <xf borderId="27" fillId="0" fontId="159" numFmtId="0" xfId="0" applyAlignment="1" applyBorder="1" applyFont="1">
      <alignment horizontal="left" readingOrder="0" shrinkToFit="0" wrapText="0"/>
    </xf>
    <xf borderId="27" fillId="0" fontId="14" numFmtId="168" xfId="0" applyAlignment="1" applyBorder="1" applyFont="1" applyNumberFormat="1">
      <alignment horizontal="center" readingOrder="0" shrinkToFit="0" wrapText="0"/>
    </xf>
    <xf borderId="27" fillId="0" fontId="14" numFmtId="2" xfId="0" applyAlignment="1" applyBorder="1" applyFont="1" applyNumberFormat="1">
      <alignment horizontal="right" readingOrder="0" shrinkToFit="0" wrapText="0"/>
    </xf>
    <xf borderId="27" fillId="0" fontId="14" numFmtId="0" xfId="0" applyAlignment="1" applyBorder="1" applyFont="1">
      <alignment readingOrder="0" shrinkToFit="0" wrapText="0"/>
    </xf>
    <xf borderId="1" fillId="0" fontId="14" numFmtId="2" xfId="0" applyAlignment="1" applyBorder="1" applyFont="1" applyNumberFormat="1">
      <alignment horizontal="center" readingOrder="0" vertical="bottom"/>
    </xf>
    <xf borderId="15" fillId="0" fontId="14" numFmtId="0" xfId="0" applyAlignment="1" applyBorder="1" applyFont="1">
      <alignment readingOrder="0" shrinkToFit="0" vertical="bottom" wrapText="1"/>
    </xf>
    <xf borderId="22" fillId="0" fontId="14" numFmtId="0" xfId="0" applyAlignment="1" applyBorder="1" applyFont="1">
      <alignment readingOrder="0" shrinkToFit="0" wrapText="1"/>
    </xf>
    <xf borderId="27" fillId="0" fontId="14" numFmtId="0" xfId="0" applyAlignment="1" applyBorder="1" applyFont="1">
      <alignment readingOrder="0" shrinkToFit="0" wrapText="1"/>
    </xf>
    <xf borderId="22" fillId="0" fontId="160" numFmtId="0" xfId="0" applyAlignment="1" applyBorder="1" applyFont="1">
      <alignment horizontal="left" readingOrder="0" shrinkToFit="0" wrapText="0"/>
    </xf>
    <xf borderId="22" fillId="0" fontId="3" numFmtId="0" xfId="0" applyAlignment="1" applyBorder="1" applyFont="1">
      <alignment horizontal="left" readingOrder="0" shrinkToFit="0" wrapText="0"/>
    </xf>
    <xf borderId="1" fillId="47" fontId="14" numFmtId="0" xfId="0" applyAlignment="1" applyBorder="1" applyFont="1">
      <alignment horizontal="center" vertical="bottom"/>
    </xf>
    <xf borderId="15" fillId="140" fontId="14" numFmtId="0" xfId="0" applyAlignment="1" applyBorder="1" applyFill="1" applyFont="1">
      <alignment horizontal="center" vertical="bottom"/>
    </xf>
    <xf borderId="15" fillId="56" fontId="14" numFmtId="0" xfId="0" applyAlignment="1" applyBorder="1" applyFont="1">
      <alignment horizontal="center" readingOrder="0" vertical="bottom"/>
    </xf>
    <xf borderId="22" fillId="56" fontId="14" numFmtId="0" xfId="0" applyAlignment="1" applyBorder="1" applyFont="1">
      <alignment horizontal="center" readingOrder="0" vertical="bottom"/>
    </xf>
    <xf borderId="1" fillId="0" fontId="14" numFmtId="0" xfId="0" applyAlignment="1" applyBorder="1" applyFont="1">
      <alignment horizontal="center" vertical="bottom"/>
    </xf>
    <xf borderId="29" fillId="0" fontId="14" numFmtId="0" xfId="0" applyAlignment="1" applyBorder="1" applyFont="1">
      <alignment horizontal="center" vertical="bottom"/>
    </xf>
    <xf borderId="30" fillId="56" fontId="14" numFmtId="0" xfId="0" applyAlignment="1" applyBorder="1" applyFont="1">
      <alignment horizontal="center" vertical="bottom"/>
    </xf>
    <xf borderId="27" fillId="0" fontId="161" numFmtId="0" xfId="0" applyAlignment="1" applyBorder="1" applyFont="1">
      <alignment horizontal="left" readingOrder="0" shrinkToFit="0" wrapText="0"/>
    </xf>
    <xf borderId="1" fillId="13" fontId="14" numFmtId="0" xfId="0" applyAlignment="1" applyBorder="1" applyFont="1">
      <alignment horizontal="center" vertical="bottom"/>
    </xf>
    <xf borderId="15" fillId="141" fontId="14" numFmtId="0" xfId="0" applyAlignment="1" applyBorder="1" applyFill="1" applyFont="1">
      <alignment horizontal="center" vertical="bottom"/>
    </xf>
    <xf borderId="1" fillId="12" fontId="14" numFmtId="0" xfId="0" applyAlignment="1" applyBorder="1" applyFont="1">
      <alignment horizontal="center" vertical="bottom"/>
    </xf>
    <xf borderId="15" fillId="142" fontId="14" numFmtId="0" xfId="0" applyAlignment="1" applyBorder="1" applyFill="1" applyFont="1">
      <alignment horizontal="center" vertical="bottom"/>
    </xf>
    <xf borderId="22" fillId="0" fontId="162" numFmtId="0" xfId="0" applyAlignment="1" applyBorder="1" applyFont="1">
      <alignment horizontal="left" readingOrder="0" shrinkToFit="0" vertical="center" wrapText="0"/>
    </xf>
    <xf borderId="22" fillId="0" fontId="14" numFmtId="168" xfId="0" applyAlignment="1" applyBorder="1" applyFont="1" applyNumberFormat="1">
      <alignment horizontal="center" readingOrder="0" shrinkToFit="0" vertical="center" wrapText="0"/>
    </xf>
    <xf borderId="22" fillId="0" fontId="14" numFmtId="0" xfId="0" applyAlignment="1" applyBorder="1" applyFont="1">
      <alignment horizontal="center" readingOrder="0" shrinkToFit="0" vertical="center" wrapText="1"/>
    </xf>
    <xf borderId="22" fillId="0" fontId="14" numFmtId="2" xfId="0" applyAlignment="1" applyBorder="1" applyFont="1" applyNumberFormat="1">
      <alignment horizontal="right" readingOrder="0" shrinkToFit="0" vertical="center" wrapText="0"/>
    </xf>
    <xf borderId="22" fillId="0" fontId="14" numFmtId="0" xfId="0" applyAlignment="1" applyBorder="1" applyFont="1">
      <alignment readingOrder="0" shrinkToFit="0" vertical="center" wrapText="1"/>
    </xf>
    <xf borderId="27" fillId="0" fontId="163" numFmtId="0" xfId="0" applyAlignment="1" applyBorder="1" applyFont="1">
      <alignment horizontal="left" readingOrder="0" shrinkToFit="0" vertical="center" wrapText="0"/>
    </xf>
    <xf borderId="27" fillId="0" fontId="14" numFmtId="168" xfId="0" applyAlignment="1" applyBorder="1" applyFont="1" applyNumberFormat="1">
      <alignment horizontal="center" readingOrder="0" shrinkToFit="0" vertical="center" wrapText="0"/>
    </xf>
    <xf borderId="27" fillId="0" fontId="14" numFmtId="0" xfId="0" applyAlignment="1" applyBorder="1" applyFont="1">
      <alignment horizontal="center" readingOrder="0" shrinkToFit="0" vertical="center" wrapText="1"/>
    </xf>
    <xf borderId="27" fillId="0" fontId="14" numFmtId="2" xfId="0" applyAlignment="1" applyBorder="1" applyFont="1" applyNumberFormat="1">
      <alignment horizontal="right" readingOrder="0" shrinkToFit="0" vertical="center" wrapText="0"/>
    </xf>
    <xf borderId="22" fillId="0" fontId="14" numFmtId="49" xfId="0" applyAlignment="1" applyBorder="1" applyFont="1" applyNumberFormat="1">
      <alignment horizontal="center" readingOrder="0" shrinkToFit="0" vertical="center" wrapText="0"/>
    </xf>
    <xf borderId="27" fillId="0" fontId="164" numFmtId="0" xfId="0" applyAlignment="1" applyBorder="1" applyFont="1">
      <alignment horizontal="center" readingOrder="0" shrinkToFit="0" vertical="center" wrapText="0"/>
    </xf>
    <xf borderId="27" fillId="0" fontId="14" numFmtId="49" xfId="0" applyAlignment="1" applyBorder="1" applyFont="1" applyNumberFormat="1">
      <alignment horizontal="center" readingOrder="0" shrinkToFit="0" vertical="center" wrapText="0"/>
    </xf>
    <xf borderId="22" fillId="0" fontId="165" numFmtId="0" xfId="0" applyAlignment="1" applyBorder="1" applyFont="1">
      <alignment horizontal="center" readingOrder="0" shrinkToFit="0" vertical="center" wrapText="0"/>
    </xf>
    <xf borderId="27" fillId="0" fontId="166" numFmtId="0" xfId="0" applyAlignment="1" applyBorder="1" applyFont="1">
      <alignment horizontal="center" readingOrder="0" shrinkToFit="0" vertical="center" wrapText="0"/>
    </xf>
    <xf borderId="1" fillId="4" fontId="3" numFmtId="0" xfId="0" applyAlignment="1" applyBorder="1" applyFont="1">
      <alignment readingOrder="0" vertical="center"/>
    </xf>
    <xf borderId="1" fillId="4" fontId="3" numFmtId="0" xfId="0" applyAlignment="1" applyBorder="1" applyFont="1">
      <alignment horizontal="center" readingOrder="0" vertical="center"/>
    </xf>
    <xf borderId="1" fillId="143" fontId="3" numFmtId="2" xfId="0" applyAlignment="1" applyBorder="1" applyFill="1" applyFont="1" applyNumberFormat="1">
      <alignment horizontal="center"/>
    </xf>
    <xf borderId="1" fillId="144" fontId="3" numFmtId="2" xfId="0" applyAlignment="1" applyBorder="1" applyFill="1" applyFont="1" applyNumberFormat="1">
      <alignment horizontal="center"/>
    </xf>
    <xf borderId="1" fillId="5" fontId="3" numFmtId="0" xfId="0" applyAlignment="1" applyBorder="1" applyFont="1">
      <alignment readingOrder="0" vertical="center"/>
    </xf>
    <xf borderId="1" fillId="5" fontId="3" numFmtId="0" xfId="0" applyAlignment="1" applyBorder="1" applyFont="1">
      <alignment horizontal="center" readingOrder="0" vertical="center"/>
    </xf>
    <xf borderId="15" fillId="144" fontId="3" numFmtId="2" xfId="0" applyAlignment="1" applyBorder="1" applyFont="1" applyNumberFormat="1">
      <alignment horizontal="center"/>
    </xf>
    <xf borderId="1" fillId="0" fontId="3" numFmtId="2" xfId="0" applyAlignment="1" applyBorder="1" applyFont="1" applyNumberFormat="1">
      <alignment horizontal="center" readingOrder="0" vertical="center"/>
    </xf>
    <xf borderId="15" fillId="0" fontId="3" numFmtId="2" xfId="0" applyAlignment="1" applyBorder="1" applyFont="1" applyNumberFormat="1">
      <alignment horizontal="center" readingOrder="0" vertical="center"/>
    </xf>
    <xf borderId="1" fillId="105" fontId="3" numFmtId="2" xfId="0" applyAlignment="1" applyBorder="1" applyFont="1" applyNumberFormat="1">
      <alignment horizontal="center" vertical="bottom"/>
    </xf>
    <xf borderId="15" fillId="106" fontId="3" numFmtId="2" xfId="0" applyAlignment="1" applyBorder="1" applyFont="1" applyNumberFormat="1">
      <alignment horizontal="center" vertical="bottom"/>
    </xf>
    <xf borderId="1" fillId="82" fontId="3" numFmtId="2" xfId="0" applyAlignment="1" applyBorder="1" applyFont="1" applyNumberFormat="1">
      <alignment horizontal="center" vertical="bottom"/>
    </xf>
    <xf borderId="15" fillId="145" fontId="3" numFmtId="2" xfId="0" applyAlignment="1" applyBorder="1" applyFill="1" applyFont="1" applyNumberFormat="1">
      <alignment horizontal="center" vertical="bottom"/>
    </xf>
  </cellXfs>
  <cellStyles count="1">
    <cellStyle xfId="0" name="Normal" builtinId="0"/>
  </cellStyles>
  <dxfs count="5">
    <dxf>
      <font/>
      <fill>
        <patternFill patternType="none"/>
      </fill>
      <border/>
    </dxf>
    <dxf>
      <font/>
      <fill>
        <patternFill patternType="solid">
          <fgColor rgb="FFFFF2CC"/>
          <bgColor rgb="FFFFF2CC"/>
        </patternFill>
      </fill>
      <border/>
    </dxf>
    <dxf>
      <font/>
      <fill>
        <patternFill patternType="solid">
          <fgColor rgb="FF00FFFF"/>
          <bgColor rgb="FF00FFFF"/>
        </patternFill>
      </fill>
      <border/>
    </dxf>
    <dxf>
      <font/>
      <fill>
        <patternFill patternType="solid">
          <fgColor rgb="FF00FF00"/>
          <bgColor rgb="FF00FF00"/>
        </patternFill>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iscord.gg/ThdS87ZAUZ" TargetMode="External"/><Relationship Id="rId22" Type="http://schemas.openxmlformats.org/officeDocument/2006/relationships/hyperlink" Target="https://www.etsy.com/shop/DreambigByRay" TargetMode="External"/><Relationship Id="rId21" Type="http://schemas.openxmlformats.org/officeDocument/2006/relationships/hyperlink" Target="https://discord.gg/pv9rYXqm9w" TargetMode="External"/><Relationship Id="rId24" Type="http://schemas.openxmlformats.org/officeDocument/2006/relationships/hyperlink" Target="https://www.pslatecustoms.com/" TargetMode="External"/><Relationship Id="rId23" Type="http://schemas.openxmlformats.org/officeDocument/2006/relationships/hyperlink" Target="https://cablemod.com/" TargetMode="External"/><Relationship Id="rId1" Type="http://schemas.openxmlformats.org/officeDocument/2006/relationships/hyperlink" Target="http://comparesffpc.com/" TargetMode="External"/><Relationship Id="rId2" Type="http://schemas.openxmlformats.org/officeDocument/2006/relationships/hyperlink" Target="https://wiki.sff.media/" TargetMode="External"/><Relationship Id="rId3" Type="http://schemas.openxmlformats.org/officeDocument/2006/relationships/hyperlink" Target="https://www.reddit.com/r/sffpc/" TargetMode="External"/><Relationship Id="rId4" Type="http://schemas.openxmlformats.org/officeDocument/2006/relationships/hyperlink" Target="https://smallformfactor.net/" TargetMode="External"/><Relationship Id="rId9" Type="http://schemas.openxmlformats.org/officeDocument/2006/relationships/hyperlink" Target="https://hwbusters.com/" TargetMode="External"/><Relationship Id="rId26" Type="http://schemas.openxmlformats.org/officeDocument/2006/relationships/hyperlink" Target="https://docs.google.com/spreadsheets/d/1pR5A3Thpg9uajECY5xSb2z9V4Mdont5bmnA4raJzq-c/edit" TargetMode="External"/><Relationship Id="rId25" Type="http://schemas.openxmlformats.org/officeDocument/2006/relationships/hyperlink" Target="https://docs.google.com/spreadsheets/d/1B27_j9NDPU3cNlj2HKcrfpJKHkOf-Oi1DbuuQva2gT4/edit" TargetMode="External"/><Relationship Id="rId28" Type="http://schemas.openxmlformats.org/officeDocument/2006/relationships/hyperlink" Target="https://docs.google.com/spreadsheets/d/1jaCu5EEZfAVJo3kqOmzlvAVnThdbE9W-fofU2KLodQQ/edit?usp=sharing" TargetMode="External"/><Relationship Id="rId27" Type="http://schemas.openxmlformats.org/officeDocument/2006/relationships/hyperlink" Target="https://docs.google.com/spreadsheets/d/1thTsHwgMPsHtrCQMfG9TTnzEiYc5zqm-nGQKN8wBYMk/edit?usp=sharing" TargetMode="External"/><Relationship Id="rId5" Type="http://schemas.openxmlformats.org/officeDocument/2006/relationships/hyperlink" Target="http://caseend.com/" TargetMode="External"/><Relationship Id="rId6" Type="http://schemas.openxmlformats.org/officeDocument/2006/relationships/hyperlink" Target="http://pcpartpicker.com/" TargetMode="External"/><Relationship Id="rId29" Type="http://schemas.openxmlformats.org/officeDocument/2006/relationships/hyperlink" Target="https://docs.google.com/spreadsheets/d/1bzVdvmb4jCohQz0xPN1_3cLXCPvMkPmIPv28D7Cr7s8/edit" TargetMode="External"/><Relationship Id="rId7" Type="http://schemas.openxmlformats.org/officeDocument/2006/relationships/hyperlink" Target="https://cultists.network/140/psu-tier-list/" TargetMode="External"/><Relationship Id="rId8" Type="http://schemas.openxmlformats.org/officeDocument/2006/relationships/hyperlink" Target="https://www.cybenetics.com/" TargetMode="External"/><Relationship Id="rId31" Type="http://schemas.openxmlformats.org/officeDocument/2006/relationships/hyperlink" Target="https://www.google.com/url?q=https://docs.google.com/spreadsheets/d/1-cw7A2MDHPvA-oB3OKXivdUo9BbTcsss1Rzy3J4hRyA/edit&amp;sa=D&amp;source=editors&amp;ust=1665899616056111&amp;usg=AOvVaw0ckbPZh0d1O_tSZLuYk0bk" TargetMode="External"/><Relationship Id="rId30" Type="http://schemas.openxmlformats.org/officeDocument/2006/relationships/hyperlink" Target="https://docs.google.com/spreadsheets/d/1IY6W6YhyjnzSvi8BqEqiK1xykSiTDF2Lt1FO8cNhI6I/edit" TargetMode="External"/><Relationship Id="rId11" Type="http://schemas.openxmlformats.org/officeDocument/2006/relationships/hyperlink" Target="https://docs.google.com/spreadsheets/d/1L0AtkA64IrWrQivg21N6KMmbOJ8KsjhUBxr1Z_8fhO8" TargetMode="External"/><Relationship Id="rId33" Type="http://schemas.openxmlformats.org/officeDocument/2006/relationships/drawing" Target="../drawings/drawing1.xml"/><Relationship Id="rId10" Type="http://schemas.openxmlformats.org/officeDocument/2006/relationships/hyperlink" Target="https://www.clearesult.com/80plus/" TargetMode="External"/><Relationship Id="rId32" Type="http://schemas.openxmlformats.org/officeDocument/2006/relationships/hyperlink" Target="https://docs.google.com/spreadsheets/d/1H0W46Jzxw9WEmKjwouoa8NvGiQ--sWan/" TargetMode="External"/><Relationship Id="rId13" Type="http://schemas.openxmlformats.org/officeDocument/2006/relationships/hyperlink" Target="http://discord.gg/sffpc" TargetMode="External"/><Relationship Id="rId12" Type="http://schemas.openxmlformats.org/officeDocument/2006/relationships/hyperlink" Target="https://discord.gg/fjM5jHFpfS" TargetMode="External"/><Relationship Id="rId15" Type="http://schemas.openxmlformats.org/officeDocument/2006/relationships/hyperlink" Target="https://discord.gg/p7UZxG3" TargetMode="External"/><Relationship Id="rId14" Type="http://schemas.openxmlformats.org/officeDocument/2006/relationships/hyperlink" Target="https://discord.gg/MaCRgR6" TargetMode="External"/><Relationship Id="rId17" Type="http://schemas.openxmlformats.org/officeDocument/2006/relationships/hyperlink" Target="https://discord.gg/dqzVZGr" TargetMode="External"/><Relationship Id="rId16" Type="http://schemas.openxmlformats.org/officeDocument/2006/relationships/hyperlink" Target="https://discord.com/invite/gSeP4B6cr2" TargetMode="External"/><Relationship Id="rId19" Type="http://schemas.openxmlformats.org/officeDocument/2006/relationships/hyperlink" Target="http://discord.gg/Y97Vxsa" TargetMode="External"/><Relationship Id="rId18" Type="http://schemas.openxmlformats.org/officeDocument/2006/relationships/hyperlink" Target="https://discord.gg/9Ufm7XX"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item.taobao.com/item.htm?id=625533806759" TargetMode="External"/><Relationship Id="rId194" Type="http://schemas.openxmlformats.org/officeDocument/2006/relationships/hyperlink" Target="https://cults3d.com/en/3d-model/various/phonon-case-5-6l-apu-case" TargetMode="External"/><Relationship Id="rId193" Type="http://schemas.openxmlformats.org/officeDocument/2006/relationships/hyperlink" Target="https://cults3d.com/en/3d-model/various/phonon-case-5-6l-apu-case" TargetMode="External"/><Relationship Id="rId192" Type="http://schemas.openxmlformats.org/officeDocument/2006/relationships/hyperlink" Target="https://item.taobao.com/item.htm?id=676799580220" TargetMode="External"/><Relationship Id="rId191" Type="http://schemas.openxmlformats.org/officeDocument/2006/relationships/hyperlink" Target="https://shop458594376.world.taobao.com/" TargetMode="External"/><Relationship Id="rId187" Type="http://schemas.openxmlformats.org/officeDocument/2006/relationships/hyperlink" Target="https://en.minicomputers.net/gecko-mini" TargetMode="External"/><Relationship Id="rId186" Type="http://schemas.openxmlformats.org/officeDocument/2006/relationships/hyperlink" Target="https://en.minicomputers.net/" TargetMode="External"/><Relationship Id="rId185" Type="http://schemas.openxmlformats.org/officeDocument/2006/relationships/hyperlink" Target="https://item.taobao.com/item.htm?id=624087675445" TargetMode="External"/><Relationship Id="rId184" Type="http://schemas.openxmlformats.org/officeDocument/2006/relationships/hyperlink" Target="https://shop295093040.world.taobao.com/" TargetMode="External"/><Relationship Id="rId189" Type="http://schemas.openxmlformats.org/officeDocument/2006/relationships/hyperlink" Target="https://shop65316658.world.taobao.com/" TargetMode="External"/><Relationship Id="rId188" Type="http://schemas.openxmlformats.org/officeDocument/2006/relationships/hyperlink" Target="https://item.taobao.com/item.htm?id=675945078438" TargetMode="External"/><Relationship Id="rId183" Type="http://schemas.openxmlformats.org/officeDocument/2006/relationships/hyperlink" Target="https://smallformfactor.net/forum/threads/store-live-densium-net-4l-case-with-wood-front-panel-99-with-discount.17062/" TargetMode="External"/><Relationship Id="rId182" Type="http://schemas.openxmlformats.org/officeDocument/2006/relationships/hyperlink" Target="https://www.overtek.co.uk/collections/frontpage/products/densium-4-plus-v2-sff-case-mini-itx-with-hardwood-front-panel" TargetMode="External"/><Relationship Id="rId181" Type="http://schemas.openxmlformats.org/officeDocument/2006/relationships/hyperlink" Target="https://www.overtek.co.uk/" TargetMode="External"/><Relationship Id="rId180" Type="http://schemas.openxmlformats.org/officeDocument/2006/relationships/hyperlink" Target="https://shumadan.taobao.com/" TargetMode="External"/><Relationship Id="rId176" Type="http://schemas.openxmlformats.org/officeDocument/2006/relationships/hyperlink" Target="https://midori-computer.com/" TargetMode="External"/><Relationship Id="rId297" Type="http://schemas.openxmlformats.org/officeDocument/2006/relationships/hyperlink" Target="https://geeek.world.taobao.com/" TargetMode="External"/><Relationship Id="rId175" Type="http://schemas.openxmlformats.org/officeDocument/2006/relationships/hyperlink" Target="https://shumadan.taobao.com/" TargetMode="External"/><Relationship Id="rId296" Type="http://schemas.openxmlformats.org/officeDocument/2006/relationships/hyperlink" Target="https://item.taobao.com/item.htm?id=634912789798" TargetMode="External"/><Relationship Id="rId174" Type="http://schemas.openxmlformats.org/officeDocument/2006/relationships/hyperlink" Target="https://item.taobao.com/item.htm?id=730610681898" TargetMode="External"/><Relationship Id="rId295" Type="http://schemas.openxmlformats.org/officeDocument/2006/relationships/hyperlink" Target="https://shop70176301.world.taobao.com/" TargetMode="External"/><Relationship Id="rId173" Type="http://schemas.openxmlformats.org/officeDocument/2006/relationships/hyperlink" Target="https://captaincase.world.taobao.com/" TargetMode="External"/><Relationship Id="rId294" Type="http://schemas.openxmlformats.org/officeDocument/2006/relationships/hyperlink" Target="https://shop70176301.world.taobao.com/" TargetMode="External"/><Relationship Id="rId179" Type="http://schemas.openxmlformats.org/officeDocument/2006/relationships/hyperlink" Target="https://wiki.sff.media/en/Cases/ZS-Cases/ZS_Cases" TargetMode="External"/><Relationship Id="rId178" Type="http://schemas.openxmlformats.org/officeDocument/2006/relationships/hyperlink" Target="https://shop127547001.world.taobao.com/" TargetMode="External"/><Relationship Id="rId299" Type="http://schemas.openxmlformats.org/officeDocument/2006/relationships/hyperlink" Target="https://captaincase.world.taobao.com/" TargetMode="External"/><Relationship Id="rId177" Type="http://schemas.openxmlformats.org/officeDocument/2006/relationships/hyperlink" Target="https://midori-computer.com/products/midori-5l-v2-mini-itx-computer-case-for-10in-length-graphics-card" TargetMode="External"/><Relationship Id="rId298" Type="http://schemas.openxmlformats.org/officeDocument/2006/relationships/hyperlink" Target="https://item.taobao.com/item.htm?id=655199858149" TargetMode="External"/><Relationship Id="rId198" Type="http://schemas.openxmlformats.org/officeDocument/2006/relationships/hyperlink" Target="https://www.custom-mod.com/en/stranica-tovara/slm25-7l?currency=USD" TargetMode="External"/><Relationship Id="rId197" Type="http://schemas.openxmlformats.org/officeDocument/2006/relationships/hyperlink" Target="https://www.custom-mod.com/en" TargetMode="External"/><Relationship Id="rId196" Type="http://schemas.openxmlformats.org/officeDocument/2006/relationships/hyperlink" Target="https://item.taobao.com/item.htm?id=678542789343" TargetMode="External"/><Relationship Id="rId195" Type="http://schemas.openxmlformats.org/officeDocument/2006/relationships/hyperlink" Target="https://shop62690663.world.taobao.com/" TargetMode="External"/><Relationship Id="rId199" Type="http://schemas.openxmlformats.org/officeDocument/2006/relationships/hyperlink" Target="https://shop458594376.world.taobao.com/" TargetMode="External"/><Relationship Id="rId150" Type="http://schemas.openxmlformats.org/officeDocument/2006/relationships/hyperlink" Target="https://store.nfc-systems.com/products/skyreach_4_mini" TargetMode="External"/><Relationship Id="rId271" Type="http://schemas.openxmlformats.org/officeDocument/2006/relationships/hyperlink" Target="https://smallformfactor.net/forum/threads/sfftime-presents-u-itx-7l-lightweight-console-case-that-fits-3slot-gpus.18563/" TargetMode="External"/><Relationship Id="rId392" Type="http://schemas.openxmlformats.org/officeDocument/2006/relationships/hyperlink" Target="https://streacom.com/products/fc5-fanless-atx-case/" TargetMode="External"/><Relationship Id="rId270" Type="http://schemas.openxmlformats.org/officeDocument/2006/relationships/hyperlink" Target="https://shop200669052.world.taobao.com/" TargetMode="External"/><Relationship Id="rId391" Type="http://schemas.openxmlformats.org/officeDocument/2006/relationships/hyperlink" Target="https://item.taobao.com/item.htm?id=622243810458" TargetMode="External"/><Relationship Id="rId390" Type="http://schemas.openxmlformats.org/officeDocument/2006/relationships/hyperlink" Target="https://shop548479954.world.taobao.com/" TargetMode="External"/><Relationship Id="rId1" Type="http://schemas.openxmlformats.org/officeDocument/2006/relationships/comments" Target="../comments1.xml"/><Relationship Id="rId2" Type="http://schemas.openxmlformats.org/officeDocument/2006/relationships/hyperlink" Target="https://item.taobao.com/item.htm?id=661033553438" TargetMode="External"/><Relationship Id="rId3" Type="http://schemas.openxmlformats.org/officeDocument/2006/relationships/hyperlink" Target="https://www.asrock.com/" TargetMode="External"/><Relationship Id="rId149" Type="http://schemas.openxmlformats.org/officeDocument/2006/relationships/hyperlink" Target="https://detail.tmall.com/item.htm?id=633586139122" TargetMode="External"/><Relationship Id="rId4" Type="http://schemas.openxmlformats.org/officeDocument/2006/relationships/hyperlink" Target="https://www.asrock.com/" TargetMode="External"/><Relationship Id="rId148" Type="http://schemas.openxmlformats.org/officeDocument/2006/relationships/hyperlink" Target="https://huixingbozhongsm.tmall.com/" TargetMode="External"/><Relationship Id="rId269" Type="http://schemas.openxmlformats.org/officeDocument/2006/relationships/hyperlink" Target="https://item.taobao.com/item.htm?id=684404976181" TargetMode="External"/><Relationship Id="rId9" Type="http://schemas.openxmlformats.org/officeDocument/2006/relationships/hyperlink" Target="https://www.asrock.com/nettop/AMD/DeskMini%20X300%20Series/index.asp" TargetMode="External"/><Relationship Id="rId143" Type="http://schemas.openxmlformats.org/officeDocument/2006/relationships/hyperlink" Target="https://item.taobao.com/item.htm?id=676691435157" TargetMode="External"/><Relationship Id="rId264" Type="http://schemas.openxmlformats.org/officeDocument/2006/relationships/hyperlink" Target="https://smallformfactor.net/forum/threads/sparrow-mq6-6-8l-one-piece-aluminum%EF%BC%88sparrow-for-increased-compatibility%EF%BC%89.16460/" TargetMode="External"/><Relationship Id="rId385" Type="http://schemas.openxmlformats.org/officeDocument/2006/relationships/hyperlink" Target="https://wiki.sff.media/en/Cases/ZS-Cases/ZS_Cases" TargetMode="External"/><Relationship Id="rId142" Type="http://schemas.openxmlformats.org/officeDocument/2006/relationships/hyperlink" Target="https://wiki.sff.media/en/Cases/Velkase/Velka5" TargetMode="External"/><Relationship Id="rId263" Type="http://schemas.openxmlformats.org/officeDocument/2006/relationships/hyperlink" Target="https://cooj.cc/products/sparrow-mq6-6-8l-one-piece-aluminum-itx-pc-case" TargetMode="External"/><Relationship Id="rId384" Type="http://schemas.openxmlformats.org/officeDocument/2006/relationships/hyperlink" Target="https://smallformfactor.net/forum/threads/zs-cases-a4-v3-1-8-4l-big-changes-in-our-february-improvements-updates.15245/" TargetMode="External"/><Relationship Id="rId141" Type="http://schemas.openxmlformats.org/officeDocument/2006/relationships/hyperlink" Target="https://www.velkase.com/products/velka-5" TargetMode="External"/><Relationship Id="rId262" Type="http://schemas.openxmlformats.org/officeDocument/2006/relationships/hyperlink" Target="https://cooj.cc/" TargetMode="External"/><Relationship Id="rId383" Type="http://schemas.openxmlformats.org/officeDocument/2006/relationships/hyperlink" Target="https://zscases.com/products/copy-of-zs-a4-v3" TargetMode="External"/><Relationship Id="rId140" Type="http://schemas.openxmlformats.org/officeDocument/2006/relationships/hyperlink" Target="https://item.taobao.com/item.htm?id=696148072212" TargetMode="External"/><Relationship Id="rId261" Type="http://schemas.openxmlformats.org/officeDocument/2006/relationships/hyperlink" Target="https://geeek.world.taobao.com/" TargetMode="External"/><Relationship Id="rId382" Type="http://schemas.openxmlformats.org/officeDocument/2006/relationships/hyperlink" Target="https://zscases.com/" TargetMode="External"/><Relationship Id="rId5" Type="http://schemas.openxmlformats.org/officeDocument/2006/relationships/hyperlink" Target="https://www.asrock.com/nettop/Intel/DeskMini%20B660%20Series/index.asp" TargetMode="External"/><Relationship Id="rId147" Type="http://schemas.openxmlformats.org/officeDocument/2006/relationships/hyperlink" Target="https://item.taobao.com/item.htm?id=571416909587" TargetMode="External"/><Relationship Id="rId268" Type="http://schemas.openxmlformats.org/officeDocument/2006/relationships/hyperlink" Target="https://item.taobao.com/item.htm?id=649524226292" TargetMode="External"/><Relationship Id="rId389" Type="http://schemas.openxmlformats.org/officeDocument/2006/relationships/hyperlink" Target="https://wiki.sff.media/en/Cases/Louqe/Ghost" TargetMode="External"/><Relationship Id="rId6" Type="http://schemas.openxmlformats.org/officeDocument/2006/relationships/hyperlink" Target="https://www.asrock.com/" TargetMode="External"/><Relationship Id="rId146" Type="http://schemas.openxmlformats.org/officeDocument/2006/relationships/hyperlink" Target="https://smallformfactor.net/forum/threads/store-live-densium-net-4l-case-with-wood-front-panel-99-with-discount.17062/" TargetMode="External"/><Relationship Id="rId267" Type="http://schemas.openxmlformats.org/officeDocument/2006/relationships/hyperlink" Target="https://item.taobao.com/item.htm?id=36047347450" TargetMode="External"/><Relationship Id="rId388" Type="http://schemas.openxmlformats.org/officeDocument/2006/relationships/hyperlink" Target="https://www.louqe.com/ghost-s1/" TargetMode="External"/><Relationship Id="rId7" Type="http://schemas.openxmlformats.org/officeDocument/2006/relationships/hyperlink" Target="https://www.asrock.com/nettop/Intel/DeskMini%20H470%20Series/index.asp" TargetMode="External"/><Relationship Id="rId145" Type="http://schemas.openxmlformats.org/officeDocument/2006/relationships/hyperlink" Target="https://streacom.com/products/db1-fanless-mini-itx-case/" TargetMode="External"/><Relationship Id="rId266" Type="http://schemas.openxmlformats.org/officeDocument/2006/relationships/hyperlink" Target="https://cemo.world.taobao.com/" TargetMode="External"/><Relationship Id="rId387" Type="http://schemas.openxmlformats.org/officeDocument/2006/relationships/hyperlink" Target="https://shop70176301.world.taobao.com/" TargetMode="External"/><Relationship Id="rId8" Type="http://schemas.openxmlformats.org/officeDocument/2006/relationships/hyperlink" Target="https://www.asrock.com/" TargetMode="External"/><Relationship Id="rId144" Type="http://schemas.openxmlformats.org/officeDocument/2006/relationships/hyperlink" Target="https://shop320774212.world.taobao.com/" TargetMode="External"/><Relationship Id="rId265" Type="http://schemas.openxmlformats.org/officeDocument/2006/relationships/hyperlink" Target="https://item.taobao.com/item.htm?id=667106175554" TargetMode="External"/><Relationship Id="rId386" Type="http://schemas.openxmlformats.org/officeDocument/2006/relationships/hyperlink" Target="https://shop200669052.world.taobao.com/" TargetMode="External"/><Relationship Id="rId260" Type="http://schemas.openxmlformats.org/officeDocument/2006/relationships/hyperlink" Target="https://item.taobao.com/item.htm?id=627558668828" TargetMode="External"/><Relationship Id="rId381" Type="http://schemas.openxmlformats.org/officeDocument/2006/relationships/hyperlink" Target="https://smallformfactor.net/forum/threads/revoccases-rcc-mit1-mini-itx-tower-case-classic-layout-minimalistic-design.16944/" TargetMode="External"/><Relationship Id="rId380" Type="http://schemas.openxmlformats.org/officeDocument/2006/relationships/hyperlink" Target="https://revoccases.com/" TargetMode="External"/><Relationship Id="rId139" Type="http://schemas.openxmlformats.org/officeDocument/2006/relationships/hyperlink" Target="https://shop320774212.world.taobao.com/" TargetMode="External"/><Relationship Id="rId138" Type="http://schemas.openxmlformats.org/officeDocument/2006/relationships/hyperlink" Target="https://cooj.cc/products/sparrow-mq5-5-5l-one-piece-aluminum-itx-pc-case-1" TargetMode="External"/><Relationship Id="rId259" Type="http://schemas.openxmlformats.org/officeDocument/2006/relationships/hyperlink" Target="https://shop100195373.world.taobao.com/" TargetMode="External"/><Relationship Id="rId137" Type="http://schemas.openxmlformats.org/officeDocument/2006/relationships/hyperlink" Target="https://cooj.cc/" TargetMode="External"/><Relationship Id="rId258" Type="http://schemas.openxmlformats.org/officeDocument/2006/relationships/hyperlink" Target="https://shop100195373.world.taobao.com/" TargetMode="External"/><Relationship Id="rId379" Type="http://schemas.openxmlformats.org/officeDocument/2006/relationships/hyperlink" Target="https://kksb-cases.com/collections/kksb-mini-itx-case" TargetMode="External"/><Relationship Id="rId132" Type="http://schemas.openxmlformats.org/officeDocument/2006/relationships/hyperlink" Target="https://www.geeekstore.com/shop/g4-mini-itx-case/" TargetMode="External"/><Relationship Id="rId253" Type="http://schemas.openxmlformats.org/officeDocument/2006/relationships/hyperlink" Target="https://shop70176301.world.taobao.com/" TargetMode="External"/><Relationship Id="rId374" Type="http://schemas.openxmlformats.org/officeDocument/2006/relationships/hyperlink" Target="https://zscases.com/" TargetMode="External"/><Relationship Id="rId495" Type="http://schemas.openxmlformats.org/officeDocument/2006/relationships/vmlDrawing" Target="../drawings/vmlDrawing1.vml"/><Relationship Id="rId131" Type="http://schemas.openxmlformats.org/officeDocument/2006/relationships/hyperlink" Target="https://www.geeekstore.com/" TargetMode="External"/><Relationship Id="rId252" Type="http://schemas.openxmlformats.org/officeDocument/2006/relationships/hyperlink" Target="https://item.taobao.com/item.htm?id=677417440806" TargetMode="External"/><Relationship Id="rId373" Type="http://schemas.openxmlformats.org/officeDocument/2006/relationships/hyperlink" Target="https://www.malkans.com/products/sf8g-mini-itx-gaming-pc-case" TargetMode="External"/><Relationship Id="rId494" Type="http://schemas.openxmlformats.org/officeDocument/2006/relationships/drawing" Target="../drawings/drawing2.xml"/><Relationship Id="rId130" Type="http://schemas.openxmlformats.org/officeDocument/2006/relationships/hyperlink" Target="https://xtia.design/products/xtia-slim-variable-computer-case" TargetMode="External"/><Relationship Id="rId251" Type="http://schemas.openxmlformats.org/officeDocument/2006/relationships/hyperlink" Target="https://shop359985810.world.taobao.com/" TargetMode="External"/><Relationship Id="rId372" Type="http://schemas.openxmlformats.org/officeDocument/2006/relationships/hyperlink" Target="https://www.malkans.com/" TargetMode="External"/><Relationship Id="rId493" Type="http://schemas.openxmlformats.org/officeDocument/2006/relationships/hyperlink" Target="https://www.colinreay.org/mk1" TargetMode="External"/><Relationship Id="rId250" Type="http://schemas.openxmlformats.org/officeDocument/2006/relationships/hyperlink" Target="https://www.custom-mod.com/en/stranica-tovara/sx1-6-8l?currency=USD" TargetMode="External"/><Relationship Id="rId371" Type="http://schemas.openxmlformats.org/officeDocument/2006/relationships/hyperlink" Target="https://item.taobao.com/item.htm?id=674014386267" TargetMode="External"/><Relationship Id="rId492" Type="http://schemas.openxmlformats.org/officeDocument/2006/relationships/hyperlink" Target="https://www.colinreay.org/" TargetMode="External"/><Relationship Id="rId136" Type="http://schemas.openxmlformats.org/officeDocument/2006/relationships/hyperlink" Target="https://www.custom-mod.com/en/stranica-tovara/fx-4-9l?currency=USD" TargetMode="External"/><Relationship Id="rId257" Type="http://schemas.openxmlformats.org/officeDocument/2006/relationships/hyperlink" Target="https://www.geeekstore.com/" TargetMode="External"/><Relationship Id="rId378" Type="http://schemas.openxmlformats.org/officeDocument/2006/relationships/hyperlink" Target="https://kksb-cases.com/" TargetMode="External"/><Relationship Id="rId135" Type="http://schemas.openxmlformats.org/officeDocument/2006/relationships/hyperlink" Target="https://www.custom-mod.com/en" TargetMode="External"/><Relationship Id="rId256" Type="http://schemas.openxmlformats.org/officeDocument/2006/relationships/hyperlink" Target="https://shop70176301.world.taobao.com/" TargetMode="External"/><Relationship Id="rId377" Type="http://schemas.openxmlformats.org/officeDocument/2006/relationships/hyperlink" Target="https://item.taobao.com/item.htm?id=675723409882" TargetMode="External"/><Relationship Id="rId134" Type="http://schemas.openxmlformats.org/officeDocument/2006/relationships/hyperlink" Target="https://midori-computer.com/products/midori-5l-smallest-mini-itx-computer-case-for-10in-length-graphics-card-1" TargetMode="External"/><Relationship Id="rId255" Type="http://schemas.openxmlformats.org/officeDocument/2006/relationships/hyperlink" Target="https://item.taobao.com/item.htm?id=710664262379" TargetMode="External"/><Relationship Id="rId376" Type="http://schemas.openxmlformats.org/officeDocument/2006/relationships/hyperlink" Target="https://wiki.sff.media/en/Cases/ZS-Cases/ZS_Cases" TargetMode="External"/><Relationship Id="rId133" Type="http://schemas.openxmlformats.org/officeDocument/2006/relationships/hyperlink" Target="https://midori-computer.com/" TargetMode="External"/><Relationship Id="rId254" Type="http://schemas.openxmlformats.org/officeDocument/2006/relationships/hyperlink" Target="https://shop127547001.world.taobao.com/" TargetMode="External"/><Relationship Id="rId375" Type="http://schemas.openxmlformats.org/officeDocument/2006/relationships/hyperlink" Target="https://smallformfactor.net/forum/threads/zs-cases-a4-v3-1-8-4l-big-changes-in-our-february-improvements-updates.15245/" TargetMode="External"/><Relationship Id="rId172" Type="http://schemas.openxmlformats.org/officeDocument/2006/relationships/hyperlink" Target="https://lazer3d.com/product/ht5/" TargetMode="External"/><Relationship Id="rId293" Type="http://schemas.openxmlformats.org/officeDocument/2006/relationships/hyperlink" Target="https://item.taobao.com/item.htm?id=668563272074" TargetMode="External"/><Relationship Id="rId171" Type="http://schemas.openxmlformats.org/officeDocument/2006/relationships/hyperlink" Target="https://item.taobao.com/item.htm?id=677161506429" TargetMode="External"/><Relationship Id="rId292" Type="http://schemas.openxmlformats.org/officeDocument/2006/relationships/hyperlink" Target="https://shop70176301.world.taobao.com/" TargetMode="External"/><Relationship Id="rId170" Type="http://schemas.openxmlformats.org/officeDocument/2006/relationships/hyperlink" Target="https://shop70176301.world.taobao.com/" TargetMode="External"/><Relationship Id="rId291" Type="http://schemas.openxmlformats.org/officeDocument/2006/relationships/hyperlink" Target="https://shop70176301.world.taobao.com/" TargetMode="External"/><Relationship Id="rId290" Type="http://schemas.openxmlformats.org/officeDocument/2006/relationships/hyperlink" Target="https://www.hydra-shop.com/product-page/hydra-mini" TargetMode="External"/><Relationship Id="rId165" Type="http://schemas.openxmlformats.org/officeDocument/2006/relationships/hyperlink" Target="https://item.taobao.com/item.htm?id=627381705318" TargetMode="External"/><Relationship Id="rId286" Type="http://schemas.openxmlformats.org/officeDocument/2006/relationships/hyperlink" Target="https://www.silverstonetek.com/en/" TargetMode="External"/><Relationship Id="rId164" Type="http://schemas.openxmlformats.org/officeDocument/2006/relationships/hyperlink" Target="https://shop100195373.world.taobao.com/" TargetMode="External"/><Relationship Id="rId285" Type="http://schemas.openxmlformats.org/officeDocument/2006/relationships/hyperlink" Target="https://www.silverstonetek.com/en/" TargetMode="External"/><Relationship Id="rId163" Type="http://schemas.openxmlformats.org/officeDocument/2006/relationships/hyperlink" Target="https://shop100195373.world.taobao.com/" TargetMode="External"/><Relationship Id="rId284" Type="http://schemas.openxmlformats.org/officeDocument/2006/relationships/hyperlink" Target="https://wiki.sff.media/en/Cases/Dan-Cases/A4-SFX" TargetMode="External"/><Relationship Id="rId162" Type="http://schemas.openxmlformats.org/officeDocument/2006/relationships/hyperlink" Target="https://www.cubeor.com/aski/" TargetMode="External"/><Relationship Id="rId283" Type="http://schemas.openxmlformats.org/officeDocument/2006/relationships/hyperlink" Target="https://www.dan-cases.com/dana4.php" TargetMode="External"/><Relationship Id="rId169" Type="http://schemas.openxmlformats.org/officeDocument/2006/relationships/hyperlink" Target="https://shop70176301.world.taobao.com/" TargetMode="External"/><Relationship Id="rId168" Type="http://schemas.openxmlformats.org/officeDocument/2006/relationships/hyperlink" Target="https://smallformfactor.net/forum/threads/revoccases-project-flexi5-scalable-5l-diy-friendly-console-case.17164/" TargetMode="External"/><Relationship Id="rId289" Type="http://schemas.openxmlformats.org/officeDocument/2006/relationships/hyperlink" Target="https://captaincase.world.taobao.com/" TargetMode="External"/><Relationship Id="rId167" Type="http://schemas.openxmlformats.org/officeDocument/2006/relationships/hyperlink" Target="https://smallformfactor.net/forum/threads/revoccases-project-flexi5-scalable-5l-diy-friendly-console-case.17164/" TargetMode="External"/><Relationship Id="rId288" Type="http://schemas.openxmlformats.org/officeDocument/2006/relationships/hyperlink" Target="https://www.silverstonetek.com/en/" TargetMode="External"/><Relationship Id="rId166" Type="http://schemas.openxmlformats.org/officeDocument/2006/relationships/hyperlink" Target="https://revoccases.com/" TargetMode="External"/><Relationship Id="rId287" Type="http://schemas.openxmlformats.org/officeDocument/2006/relationships/hyperlink" Target="https://www.silverstonetek.com/en/" TargetMode="External"/><Relationship Id="rId161" Type="http://schemas.openxmlformats.org/officeDocument/2006/relationships/hyperlink" Target="https://www.cubeor.com/" TargetMode="External"/><Relationship Id="rId282" Type="http://schemas.openxmlformats.org/officeDocument/2006/relationships/hyperlink" Target="https://www.dan-cases.com/index.html" TargetMode="External"/><Relationship Id="rId160" Type="http://schemas.openxmlformats.org/officeDocument/2006/relationships/hyperlink" Target="https://www.gamemaxpc.com/productkkk/1052-en.html" TargetMode="External"/><Relationship Id="rId281" Type="http://schemas.openxmlformats.org/officeDocument/2006/relationships/hyperlink" Target="http://www.raijintek.com/en/products_detail.php?ProductID=142" TargetMode="External"/><Relationship Id="rId280" Type="http://schemas.openxmlformats.org/officeDocument/2006/relationships/hyperlink" Target="https://en.minicomputers.net/gecko-xs" TargetMode="External"/><Relationship Id="rId159" Type="http://schemas.openxmlformats.org/officeDocument/2006/relationships/hyperlink" Target="https://www.gamemaxpc.com/index-en.html" TargetMode="External"/><Relationship Id="rId154" Type="http://schemas.openxmlformats.org/officeDocument/2006/relationships/hyperlink" Target="https://www.malkans.com/products/sf5a-mini-itx-apu-pc-case" TargetMode="External"/><Relationship Id="rId275" Type="http://schemas.openxmlformats.org/officeDocument/2006/relationships/hyperlink" Target="https://shop223805799.world.taobao.com/" TargetMode="External"/><Relationship Id="rId396" Type="http://schemas.openxmlformats.org/officeDocument/2006/relationships/hyperlink" Target="https://lazer3d.com/product/lzx-8/" TargetMode="External"/><Relationship Id="rId153" Type="http://schemas.openxmlformats.org/officeDocument/2006/relationships/hyperlink" Target="https://www.malkans.com/" TargetMode="External"/><Relationship Id="rId274" Type="http://schemas.openxmlformats.org/officeDocument/2006/relationships/hyperlink" Target="https://shop223805799.world.taobao.com/" TargetMode="External"/><Relationship Id="rId395" Type="http://schemas.openxmlformats.org/officeDocument/2006/relationships/hyperlink" Target="https://item.taobao.com/item.htm?id=640647729855" TargetMode="External"/><Relationship Id="rId152" Type="http://schemas.openxmlformats.org/officeDocument/2006/relationships/hyperlink" Target="https://wiki.sff.media/en/Cases/NFC/S4M" TargetMode="External"/><Relationship Id="rId273" Type="http://schemas.openxmlformats.org/officeDocument/2006/relationships/hyperlink" Target="https://shop223805799.world.taobao.com/" TargetMode="External"/><Relationship Id="rId394" Type="http://schemas.openxmlformats.org/officeDocument/2006/relationships/hyperlink" Target="https://item.taobao.com/item.htm?id=716674491309" TargetMode="External"/><Relationship Id="rId151" Type="http://schemas.openxmlformats.org/officeDocument/2006/relationships/hyperlink" Target="https://smallformfactor.net/forum/threads/skyreach-4-mini-s4m.5715/" TargetMode="External"/><Relationship Id="rId272" Type="http://schemas.openxmlformats.org/officeDocument/2006/relationships/hyperlink" Target="https://smallformfactor.net/forum/threads/sfftime-presents-u-itx-7l-lightweight-console-case-that-fits-3slot-gpus.18563/" TargetMode="External"/><Relationship Id="rId393" Type="http://schemas.openxmlformats.org/officeDocument/2006/relationships/hyperlink" Target="https://shop62690663.world.taobao.com/" TargetMode="External"/><Relationship Id="rId158" Type="http://schemas.openxmlformats.org/officeDocument/2006/relationships/hyperlink" Target="https://www.velkase.com/velka-revision-3" TargetMode="External"/><Relationship Id="rId279" Type="http://schemas.openxmlformats.org/officeDocument/2006/relationships/hyperlink" Target="https://en.minicomputers.net/" TargetMode="External"/><Relationship Id="rId157" Type="http://schemas.openxmlformats.org/officeDocument/2006/relationships/hyperlink" Target="https://wiki.sff.media/en/Cases/ZS-Cases/ZS_Cases" TargetMode="External"/><Relationship Id="rId278" Type="http://schemas.openxmlformats.org/officeDocument/2006/relationships/hyperlink" Target="https://smallformfactor.net/forum/threads/lazer3d-lz7-quiet-gaming-cube-pc-case.596/" TargetMode="External"/><Relationship Id="rId399" Type="http://schemas.openxmlformats.org/officeDocument/2006/relationships/hyperlink" Target="https://www.u-nas.com/xcart/cart.php?target=product&amp;product_id=17610" TargetMode="External"/><Relationship Id="rId156" Type="http://schemas.openxmlformats.org/officeDocument/2006/relationships/hyperlink" Target="https://shop127547001.world.taobao.com/" TargetMode="External"/><Relationship Id="rId277" Type="http://schemas.openxmlformats.org/officeDocument/2006/relationships/hyperlink" Target="https://www.custom-mod.com/en" TargetMode="External"/><Relationship Id="rId398" Type="http://schemas.openxmlformats.org/officeDocument/2006/relationships/hyperlink" Target="https://item.taobao.com/item.htm?id=650917412659" TargetMode="External"/><Relationship Id="rId155" Type="http://schemas.openxmlformats.org/officeDocument/2006/relationships/hyperlink" Target="https://item.taobao.com/item.htm?id=607592651028" TargetMode="External"/><Relationship Id="rId276" Type="http://schemas.openxmlformats.org/officeDocument/2006/relationships/hyperlink" Target="https://item.taobao.com/item.htm?id=690915611596" TargetMode="External"/><Relationship Id="rId397" Type="http://schemas.openxmlformats.org/officeDocument/2006/relationships/hyperlink" Target="https://shop100195373.world.taobao.com/" TargetMode="External"/><Relationship Id="rId40" Type="http://schemas.openxmlformats.org/officeDocument/2006/relationships/hyperlink" Target="https://shop542451242.world.taobao.com/" TargetMode="External"/><Relationship Id="rId42" Type="http://schemas.openxmlformats.org/officeDocument/2006/relationships/hyperlink" Target="https://n3rdware.com/" TargetMode="External"/><Relationship Id="rId41" Type="http://schemas.openxmlformats.org/officeDocument/2006/relationships/hyperlink" Target="https://item.taobao.com/item.htm?id=617682377072" TargetMode="External"/><Relationship Id="rId44" Type="http://schemas.openxmlformats.org/officeDocument/2006/relationships/hyperlink" Target="https://smallformfactor.net/forum/threads/n3rdware-launches-the-yocto-sff-chassis.18195/" TargetMode="External"/><Relationship Id="rId43" Type="http://schemas.openxmlformats.org/officeDocument/2006/relationships/hyperlink" Target="https://n3rdware.com/cases/yocto" TargetMode="External"/><Relationship Id="rId46" Type="http://schemas.openxmlformats.org/officeDocument/2006/relationships/hyperlink" Target="https://xtia.design/" TargetMode="External"/><Relationship Id="rId45" Type="http://schemas.openxmlformats.org/officeDocument/2006/relationships/hyperlink" Target="https://www.custom-mod.com/en" TargetMode="External"/><Relationship Id="rId48" Type="http://schemas.openxmlformats.org/officeDocument/2006/relationships/hyperlink" Target="https://www.custom-mod.com/en" TargetMode="External"/><Relationship Id="rId47" Type="http://schemas.openxmlformats.org/officeDocument/2006/relationships/hyperlink" Target="https://xtia.design/products/xtia-slim-variable-computer-case" TargetMode="External"/><Relationship Id="rId49" Type="http://schemas.openxmlformats.org/officeDocument/2006/relationships/hyperlink" Target="https://www.custom-mod.com/en/stranica-tovara/sl2-stl-3-7bl?currency=USD" TargetMode="External"/><Relationship Id="rId31" Type="http://schemas.openxmlformats.org/officeDocument/2006/relationships/hyperlink" Target="https://j-hackcompany.com/?product=j-hack-pure" TargetMode="External"/><Relationship Id="rId30" Type="http://schemas.openxmlformats.org/officeDocument/2006/relationships/hyperlink" Target="https://item.taobao.com/item.htm?id=673584497423" TargetMode="External"/><Relationship Id="rId33" Type="http://schemas.openxmlformats.org/officeDocument/2006/relationships/hyperlink" Target="https://shop70176301.world.taobao.com/" TargetMode="External"/><Relationship Id="rId32" Type="http://schemas.openxmlformats.org/officeDocument/2006/relationships/hyperlink" Target="https://item.taobao.com/item.htm?id=669000440031" TargetMode="External"/><Relationship Id="rId35" Type="http://schemas.openxmlformats.org/officeDocument/2006/relationships/hyperlink" Target="https://j-hackcompany.com/?product=j-hack-pure-mk2" TargetMode="External"/><Relationship Id="rId34" Type="http://schemas.openxmlformats.org/officeDocument/2006/relationships/hyperlink" Target="https://item.taobao.com/item.htm?id=677161506429" TargetMode="External"/><Relationship Id="rId37" Type="http://schemas.openxmlformats.org/officeDocument/2006/relationships/hyperlink" Target="https://store.nfc-systems.com/products/skyreach-4-tiny" TargetMode="External"/><Relationship Id="rId36" Type="http://schemas.openxmlformats.org/officeDocument/2006/relationships/hyperlink" Target="https://www.custom-mod.com/en" TargetMode="External"/><Relationship Id="rId39" Type="http://schemas.openxmlformats.org/officeDocument/2006/relationships/hyperlink" Target="https://www.custom-mod.com/en/stranica-tovara/sl2-stl-3-4l-rev-2-grey?currency=USD" TargetMode="External"/><Relationship Id="rId38" Type="http://schemas.openxmlformats.org/officeDocument/2006/relationships/hyperlink" Target="https://www.custom-mod.com/en" TargetMode="External"/><Relationship Id="rId20" Type="http://schemas.openxmlformats.org/officeDocument/2006/relationships/hyperlink" Target="https://www.custom-mod.com/en" TargetMode="External"/><Relationship Id="rId22" Type="http://schemas.openxmlformats.org/officeDocument/2006/relationships/hyperlink" Target="https://www.chieftec.eu/en/" TargetMode="External"/><Relationship Id="rId21" Type="http://schemas.openxmlformats.org/officeDocument/2006/relationships/hyperlink" Target="https://www.custom-mod.com/en/stranica-tovara/%D0%BA%D0%BE%D1%80%D0%BF%D1%83%D1%81-slm1mhdplex-edition?currency=USD" TargetMode="External"/><Relationship Id="rId24" Type="http://schemas.openxmlformats.org/officeDocument/2006/relationships/hyperlink" Target="https://www.silverstonetek.com/en/" TargetMode="External"/><Relationship Id="rId23" Type="http://schemas.openxmlformats.org/officeDocument/2006/relationships/hyperlink" Target="https://www.chieftec.eu/en/" TargetMode="External"/><Relationship Id="rId409" Type="http://schemas.openxmlformats.org/officeDocument/2006/relationships/hyperlink" Target="https://www.colinreay.org/" TargetMode="External"/><Relationship Id="rId404" Type="http://schemas.openxmlformats.org/officeDocument/2006/relationships/hyperlink" Target="https://shop70176301.world.taobao.com/" TargetMode="External"/><Relationship Id="rId403" Type="http://schemas.openxmlformats.org/officeDocument/2006/relationships/hyperlink" Target="https://shop320774212.world.taobao.com/" TargetMode="External"/><Relationship Id="rId402" Type="http://schemas.openxmlformats.org/officeDocument/2006/relationships/hyperlink" Target="https://shop260711835.world.taobao.com/" TargetMode="External"/><Relationship Id="rId401" Type="http://schemas.openxmlformats.org/officeDocument/2006/relationships/hyperlink" Target="https://shop154847351.world.taobao.com/" TargetMode="External"/><Relationship Id="rId408" Type="http://schemas.openxmlformats.org/officeDocument/2006/relationships/hyperlink" Target="https://item.taobao.com/item.htm?id=591293993779" TargetMode="External"/><Relationship Id="rId407" Type="http://schemas.openxmlformats.org/officeDocument/2006/relationships/hyperlink" Target="https://wiki.sff.media/en/Cases/ZS-Cases/ZS_Cases" TargetMode="External"/><Relationship Id="rId406" Type="http://schemas.openxmlformats.org/officeDocument/2006/relationships/hyperlink" Target="https://shop127547001.world.taobao.com/" TargetMode="External"/><Relationship Id="rId405" Type="http://schemas.openxmlformats.org/officeDocument/2006/relationships/hyperlink" Target="https://item.taobao.com/item.htm?id=603220908735" TargetMode="External"/><Relationship Id="rId26" Type="http://schemas.openxmlformats.org/officeDocument/2006/relationships/hyperlink" Target="https://shop127547001.world.taobao.com/" TargetMode="External"/><Relationship Id="rId25" Type="http://schemas.openxmlformats.org/officeDocument/2006/relationships/hyperlink" Target="https://www.silverstonetek.com/product.php?pid=923&amp;area=en" TargetMode="External"/><Relationship Id="rId28" Type="http://schemas.openxmlformats.org/officeDocument/2006/relationships/hyperlink" Target="https://shop542451242.world.taobao.com/" TargetMode="External"/><Relationship Id="rId27" Type="http://schemas.openxmlformats.org/officeDocument/2006/relationships/hyperlink" Target="https://wiki.sff.media/en/Cases/ZS-Cases/ZS_Cases" TargetMode="External"/><Relationship Id="rId400" Type="http://schemas.openxmlformats.org/officeDocument/2006/relationships/hyperlink" Target="https://www.u-nas.com/xcart/cart.php?target=product&amp;product_id=17636" TargetMode="External"/><Relationship Id="rId29" Type="http://schemas.openxmlformats.org/officeDocument/2006/relationships/hyperlink" Target="https://item.taobao.com/item.htm?id=615448384260" TargetMode="External"/><Relationship Id="rId11" Type="http://schemas.openxmlformats.org/officeDocument/2006/relationships/hyperlink" Target="https://shop542451242.world.taobao.com/" TargetMode="External"/><Relationship Id="rId10" Type="http://schemas.openxmlformats.org/officeDocument/2006/relationships/hyperlink" Target="https://www.custom-mod.com/en" TargetMode="External"/><Relationship Id="rId13" Type="http://schemas.openxmlformats.org/officeDocument/2006/relationships/hyperlink" Target="https://www.custom-mod.com/en" TargetMode="External"/><Relationship Id="rId12" Type="http://schemas.openxmlformats.org/officeDocument/2006/relationships/hyperlink" Target="https://item.taobao.com/item.htm?id=644468548064" TargetMode="External"/><Relationship Id="rId15" Type="http://schemas.openxmlformats.org/officeDocument/2006/relationships/hyperlink" Target="https://www.onlogic.com/" TargetMode="External"/><Relationship Id="rId14" Type="http://schemas.openxmlformats.org/officeDocument/2006/relationships/hyperlink" Target="https://www.custom-mod.com/en/stranica-tovara/sl1?_sm_au_=ijVSH9Pf9Pt9Prjq6pN3vK3RBv236&amp;currency=USD" TargetMode="External"/><Relationship Id="rId17" Type="http://schemas.openxmlformats.org/officeDocument/2006/relationships/hyperlink" Target="https://www.aliexpress.com/item/4001361736921.html" TargetMode="External"/><Relationship Id="rId16" Type="http://schemas.openxmlformats.org/officeDocument/2006/relationships/hyperlink" Target="https://shop282928913.world.taobao.com/" TargetMode="External"/><Relationship Id="rId19" Type="http://schemas.openxmlformats.org/officeDocument/2006/relationships/hyperlink" Target="https://item.taobao.com/item.htm?id=628417731356" TargetMode="External"/><Relationship Id="rId18" Type="http://schemas.openxmlformats.org/officeDocument/2006/relationships/hyperlink" Target="https://www.mini-box.com/M200-Enclosure_2" TargetMode="External"/><Relationship Id="rId84" Type="http://schemas.openxmlformats.org/officeDocument/2006/relationships/hyperlink" Target="https://www.custom-mod.com/en" TargetMode="External"/><Relationship Id="rId83" Type="http://schemas.openxmlformats.org/officeDocument/2006/relationships/hyperlink" Target="https://smallformfactor.net/forum/threads/view-in-ar-densium-apu-3l-hdplex-250-47mm-cooler-hardwood-frontpanel.17897/" TargetMode="External"/><Relationship Id="rId86" Type="http://schemas.openxmlformats.org/officeDocument/2006/relationships/hyperlink" Target="https://smallformfactor.net/forum/threads/store-live-densium-net-4l-case-with-wood-front-panel-99-with-discount.17062/" TargetMode="External"/><Relationship Id="rId85" Type="http://schemas.openxmlformats.org/officeDocument/2006/relationships/hyperlink" Target="https://www.custom-mod.com/en/stranica-tovara/sxm1-order?currency=USD" TargetMode="External"/><Relationship Id="rId88" Type="http://schemas.openxmlformats.org/officeDocument/2006/relationships/hyperlink" Target="https://item.taobao.com/item.htm?id=668587917068" TargetMode="External"/><Relationship Id="rId87" Type="http://schemas.openxmlformats.org/officeDocument/2006/relationships/hyperlink" Target="https://shop127547001.world.taobao.com/" TargetMode="External"/><Relationship Id="rId89" Type="http://schemas.openxmlformats.org/officeDocument/2006/relationships/hyperlink" Target="https://shop127547001.world.taobao.com/" TargetMode="External"/><Relationship Id="rId80" Type="http://schemas.openxmlformats.org/officeDocument/2006/relationships/hyperlink" Target="https://wiki.sff.media/en/Cases/Velkase/Velka3" TargetMode="External"/><Relationship Id="rId82" Type="http://schemas.openxmlformats.org/officeDocument/2006/relationships/hyperlink" Target="https://www.overtek.co.uk/collections/frontpage/products/densium-apu-case-mini-itx-with-hardwood-front-panel" TargetMode="External"/><Relationship Id="rId81" Type="http://schemas.openxmlformats.org/officeDocument/2006/relationships/hyperlink" Target="https://www.overtek.co.uk/" TargetMode="External"/><Relationship Id="rId73" Type="http://schemas.openxmlformats.org/officeDocument/2006/relationships/hyperlink" Target="https://www.velkase.com/velka-revision-3" TargetMode="External"/><Relationship Id="rId72" Type="http://schemas.openxmlformats.org/officeDocument/2006/relationships/hyperlink" Target="https://item.taobao.com/item.htm?id=604278871254" TargetMode="External"/><Relationship Id="rId75" Type="http://schemas.openxmlformats.org/officeDocument/2006/relationships/hyperlink" Target="https://n3rdware.com/cases/yocto" TargetMode="External"/><Relationship Id="rId74" Type="http://schemas.openxmlformats.org/officeDocument/2006/relationships/hyperlink" Target="https://n3rdware.com/" TargetMode="External"/><Relationship Id="rId77" Type="http://schemas.openxmlformats.org/officeDocument/2006/relationships/hyperlink" Target="https://revoccases.com/" TargetMode="External"/><Relationship Id="rId76" Type="http://schemas.openxmlformats.org/officeDocument/2006/relationships/hyperlink" Target="https://smallformfactor.net/forum/threads/n3rdware-launches-the-yocto-sff-chassis.18195/" TargetMode="External"/><Relationship Id="rId79" Type="http://schemas.openxmlformats.org/officeDocument/2006/relationships/hyperlink" Target="https://shop65316658.world.taobao.com/" TargetMode="External"/><Relationship Id="rId78" Type="http://schemas.openxmlformats.org/officeDocument/2006/relationships/hyperlink" Target="https://smallformfactor.net/forum/threads/rcc-small1-a-brickless-4l-case-with-lp-dual-slot-gpu-support-and-lots-of-space-for-ssds.14839/" TargetMode="External"/><Relationship Id="rId71" Type="http://schemas.openxmlformats.org/officeDocument/2006/relationships/hyperlink" Target="https://captaincase.world.taobao.com/" TargetMode="External"/><Relationship Id="rId70" Type="http://schemas.openxmlformats.org/officeDocument/2006/relationships/hyperlink" Target="https://wiki.sff.media/en/Cases/Velkase/Velka3" TargetMode="External"/><Relationship Id="rId62" Type="http://schemas.openxmlformats.org/officeDocument/2006/relationships/hyperlink" Target="https://www.custom-mod.com/en" TargetMode="External"/><Relationship Id="rId61" Type="http://schemas.openxmlformats.org/officeDocument/2006/relationships/hyperlink" Target="https://www.custom-mod.com/en" TargetMode="External"/><Relationship Id="rId64" Type="http://schemas.openxmlformats.org/officeDocument/2006/relationships/hyperlink" Target="https://item.taobao.com/item.htm?id=586965287081" TargetMode="External"/><Relationship Id="rId63" Type="http://schemas.openxmlformats.org/officeDocument/2006/relationships/hyperlink" Target="https://www.custom-mod.com/en/stranica-tovara/%D0%BA%D0%BE%D1%80%D0%BF%D1%83%D1%81-mini-3-8l?currency=USD" TargetMode="External"/><Relationship Id="rId66" Type="http://schemas.openxmlformats.org/officeDocument/2006/relationships/hyperlink" Target="https://item.taobao.com/item.htm?id=632103499729" TargetMode="External"/><Relationship Id="rId65" Type="http://schemas.openxmlformats.org/officeDocument/2006/relationships/hyperlink" Target="https://shop70176301.world.taobao.com/" TargetMode="External"/><Relationship Id="rId68" Type="http://schemas.openxmlformats.org/officeDocument/2006/relationships/hyperlink" Target="https://xworks.store/products/x32-small-form-factor-open-air-case" TargetMode="External"/><Relationship Id="rId67" Type="http://schemas.openxmlformats.org/officeDocument/2006/relationships/hyperlink" Target="https://xworks.store/" TargetMode="External"/><Relationship Id="rId60" Type="http://schemas.openxmlformats.org/officeDocument/2006/relationships/hyperlink" Target="https://www.custom-mod.com/en" TargetMode="External"/><Relationship Id="rId69" Type="http://schemas.openxmlformats.org/officeDocument/2006/relationships/hyperlink" Target="https://www.velkase.com/products/velka-3" TargetMode="External"/><Relationship Id="rId51" Type="http://schemas.openxmlformats.org/officeDocument/2006/relationships/hyperlink" Target="https://www.silverstonetek.com/en/" TargetMode="External"/><Relationship Id="rId50" Type="http://schemas.openxmlformats.org/officeDocument/2006/relationships/hyperlink" Target="https://www.geeekstore.com/" TargetMode="External"/><Relationship Id="rId53" Type="http://schemas.openxmlformats.org/officeDocument/2006/relationships/hyperlink" Target="https://www.mini-box.com/M300-Enclosure-w-Bootable-CF-Reader_2" TargetMode="External"/><Relationship Id="rId52" Type="http://schemas.openxmlformats.org/officeDocument/2006/relationships/hyperlink" Target="https://www.silverstonetek.com/product.php?pid=923&amp;area=en" TargetMode="External"/><Relationship Id="rId55" Type="http://schemas.openxmlformats.org/officeDocument/2006/relationships/hyperlink" Target="https://www.geeekstore.com/" TargetMode="External"/><Relationship Id="rId54" Type="http://schemas.openxmlformats.org/officeDocument/2006/relationships/hyperlink" Target="https://j-hackcompany.com/?product=stratos-pure" TargetMode="External"/><Relationship Id="rId57" Type="http://schemas.openxmlformats.org/officeDocument/2006/relationships/hyperlink" Target="https://shop542451242.world.taobao.com/" TargetMode="External"/><Relationship Id="rId56" Type="http://schemas.openxmlformats.org/officeDocument/2006/relationships/hyperlink" Target="https://www.geeekstore.com/shop/a1-v2-mini-itx-case/" TargetMode="External"/><Relationship Id="rId59" Type="http://schemas.openxmlformats.org/officeDocument/2006/relationships/hyperlink" Target="https://item.taobao.com/item.htm?id=653218045420" TargetMode="External"/><Relationship Id="rId58" Type="http://schemas.openxmlformats.org/officeDocument/2006/relationships/hyperlink" Target="https://item.taobao.com/item.htm?id=692412900994" TargetMode="External"/><Relationship Id="rId107" Type="http://schemas.openxmlformats.org/officeDocument/2006/relationships/hyperlink" Target="https://wiki.sff.media/en/Cases/Velkase/Velka-3-RL" TargetMode="External"/><Relationship Id="rId228" Type="http://schemas.openxmlformats.org/officeDocument/2006/relationships/hyperlink" Target="https://item.taobao.com/item.htm?id=631419263735" TargetMode="External"/><Relationship Id="rId349" Type="http://schemas.openxmlformats.org/officeDocument/2006/relationships/hyperlink" Target="https://cemo.world.taobao.com/" TargetMode="External"/><Relationship Id="rId106" Type="http://schemas.openxmlformats.org/officeDocument/2006/relationships/hyperlink" Target="https://item.taobao.com/item.htm?id=656612974197" TargetMode="External"/><Relationship Id="rId227" Type="http://schemas.openxmlformats.org/officeDocument/2006/relationships/hyperlink" Target="https://shop154847351.world.taobao.com/" TargetMode="External"/><Relationship Id="rId348" Type="http://schemas.openxmlformats.org/officeDocument/2006/relationships/hyperlink" Target="https://luna-design.org/en_prime" TargetMode="External"/><Relationship Id="rId469" Type="http://schemas.openxmlformats.org/officeDocument/2006/relationships/hyperlink" Target="https://item.taobao.com/item.htm?id=580800910263" TargetMode="External"/><Relationship Id="rId105" Type="http://schemas.openxmlformats.org/officeDocument/2006/relationships/hyperlink" Target="https://captaincase.world.taobao.com/" TargetMode="External"/><Relationship Id="rId226" Type="http://schemas.openxmlformats.org/officeDocument/2006/relationships/hyperlink" Target="https://www.velkase.com/velka-revision-3" TargetMode="External"/><Relationship Id="rId347" Type="http://schemas.openxmlformats.org/officeDocument/2006/relationships/hyperlink" Target="https://luna-design.org/" TargetMode="External"/><Relationship Id="rId468" Type="http://schemas.openxmlformats.org/officeDocument/2006/relationships/hyperlink" Target="https://shop282928913.world.taobao.com/" TargetMode="External"/><Relationship Id="rId104" Type="http://schemas.openxmlformats.org/officeDocument/2006/relationships/hyperlink" Target="https://item.taobao.com/item.htm?id=603123685928" TargetMode="External"/><Relationship Id="rId225" Type="http://schemas.openxmlformats.org/officeDocument/2006/relationships/hyperlink" Target="https://wiki.sff.media/en/Cases/ZS-Cases/ZS_Cases" TargetMode="External"/><Relationship Id="rId346" Type="http://schemas.openxmlformats.org/officeDocument/2006/relationships/hyperlink" Target="https://www.in-win.com/en/gaming-chassis/b1-pure" TargetMode="External"/><Relationship Id="rId467" Type="http://schemas.openxmlformats.org/officeDocument/2006/relationships/hyperlink" Target="https://wiki.sff.media/en/Cases/GEEEK/A50-Plus" TargetMode="External"/><Relationship Id="rId109" Type="http://schemas.openxmlformats.org/officeDocument/2006/relationships/hyperlink" Target="https://wiki.sff.media/en/Cases/ZS-Cases/ZS_Cases" TargetMode="External"/><Relationship Id="rId108" Type="http://schemas.openxmlformats.org/officeDocument/2006/relationships/hyperlink" Target="https://shop127547001.world.taobao.com/" TargetMode="External"/><Relationship Id="rId229" Type="http://schemas.openxmlformats.org/officeDocument/2006/relationships/hyperlink" Target="https://www.custom-mod.com/en" TargetMode="External"/><Relationship Id="rId220" Type="http://schemas.openxmlformats.org/officeDocument/2006/relationships/hyperlink" Target="https://shop70176301.world.taobao.com/" TargetMode="External"/><Relationship Id="rId341" Type="http://schemas.openxmlformats.org/officeDocument/2006/relationships/hyperlink" Target="https://shop70176301.world.taobao.com/" TargetMode="External"/><Relationship Id="rId462" Type="http://schemas.openxmlformats.org/officeDocument/2006/relationships/hyperlink" Target="https://wiki.sff.media/en/Cases/ZS-Cases/ZS_Cases" TargetMode="External"/><Relationship Id="rId340" Type="http://schemas.openxmlformats.org/officeDocument/2006/relationships/hyperlink" Target="https://shop282928913.world.taobao.com/" TargetMode="External"/><Relationship Id="rId461" Type="http://schemas.openxmlformats.org/officeDocument/2006/relationships/hyperlink" Target="https://zscases.com/products/copy-of-zs-a4-v3" TargetMode="External"/><Relationship Id="rId460" Type="http://schemas.openxmlformats.org/officeDocument/2006/relationships/hyperlink" Target="https://zscases.com/" TargetMode="External"/><Relationship Id="rId103" Type="http://schemas.openxmlformats.org/officeDocument/2006/relationships/hyperlink" Target="https://wiki.sff.media/en/Cases/ZS-Cases/ZS_Cases" TargetMode="External"/><Relationship Id="rId224" Type="http://schemas.openxmlformats.org/officeDocument/2006/relationships/hyperlink" Target="https://zscases.com/products/copy-of-zs-a4s-v3" TargetMode="External"/><Relationship Id="rId345" Type="http://schemas.openxmlformats.org/officeDocument/2006/relationships/hyperlink" Target="https://www.in-win.com/en/gaming-chassis/b1-mesh" TargetMode="External"/><Relationship Id="rId466" Type="http://schemas.openxmlformats.org/officeDocument/2006/relationships/hyperlink" Target="https://www.geeekstore.com/" TargetMode="External"/><Relationship Id="rId102" Type="http://schemas.openxmlformats.org/officeDocument/2006/relationships/hyperlink" Target="https://zscases.com/products/zs-a4dc-v3" TargetMode="External"/><Relationship Id="rId223" Type="http://schemas.openxmlformats.org/officeDocument/2006/relationships/hyperlink" Target="https://zscases.com/" TargetMode="External"/><Relationship Id="rId344" Type="http://schemas.openxmlformats.org/officeDocument/2006/relationships/hyperlink" Target="https://shop100195373.world.taobao.com/" TargetMode="External"/><Relationship Id="rId465" Type="http://schemas.openxmlformats.org/officeDocument/2006/relationships/hyperlink" Target="https://shop70176301.world.taobao.com/" TargetMode="External"/><Relationship Id="rId101" Type="http://schemas.openxmlformats.org/officeDocument/2006/relationships/hyperlink" Target="https://zscases.com/" TargetMode="External"/><Relationship Id="rId222" Type="http://schemas.openxmlformats.org/officeDocument/2006/relationships/hyperlink" Target="https://shop100195373.world.taobao.com/" TargetMode="External"/><Relationship Id="rId343" Type="http://schemas.openxmlformats.org/officeDocument/2006/relationships/hyperlink" Target="https://item.taobao.com/item.htm?id=688276310617" TargetMode="External"/><Relationship Id="rId464" Type="http://schemas.openxmlformats.org/officeDocument/2006/relationships/hyperlink" Target="https://item.taobao.com/item.htm?id=613999752946" TargetMode="External"/><Relationship Id="rId100" Type="http://schemas.openxmlformats.org/officeDocument/2006/relationships/hyperlink" Target="https://item.taobao.com/item.htm?id=625514317232" TargetMode="External"/><Relationship Id="rId221" Type="http://schemas.openxmlformats.org/officeDocument/2006/relationships/hyperlink" Target="https://item.taobao.com/item.htm?id=632103499729" TargetMode="External"/><Relationship Id="rId342" Type="http://schemas.openxmlformats.org/officeDocument/2006/relationships/hyperlink" Target="https://item.taobao.com/item.htm?id=633719208558" TargetMode="External"/><Relationship Id="rId463" Type="http://schemas.openxmlformats.org/officeDocument/2006/relationships/hyperlink" Target="https://shop62690663.world.taobao.com/" TargetMode="External"/><Relationship Id="rId217" Type="http://schemas.openxmlformats.org/officeDocument/2006/relationships/hyperlink" Target="https://item.taobao.com/item.htm?id=634912789798" TargetMode="External"/><Relationship Id="rId338" Type="http://schemas.openxmlformats.org/officeDocument/2006/relationships/hyperlink" Target="https://revoccases.com/" TargetMode="External"/><Relationship Id="rId459" Type="http://schemas.openxmlformats.org/officeDocument/2006/relationships/hyperlink" Target="https://revoccases.com/" TargetMode="External"/><Relationship Id="rId216" Type="http://schemas.openxmlformats.org/officeDocument/2006/relationships/hyperlink" Target="https://shop70176301.world.taobao.com/" TargetMode="External"/><Relationship Id="rId337" Type="http://schemas.openxmlformats.org/officeDocument/2006/relationships/hyperlink" Target="https://xtia.design/products/xproto-mini" TargetMode="External"/><Relationship Id="rId458" Type="http://schemas.openxmlformats.org/officeDocument/2006/relationships/hyperlink" Target="https://item.taobao.com/item.htm?id=657352747005" TargetMode="External"/><Relationship Id="rId215" Type="http://schemas.openxmlformats.org/officeDocument/2006/relationships/hyperlink" Target="https://cemo.world.taobao.com/" TargetMode="External"/><Relationship Id="rId336" Type="http://schemas.openxmlformats.org/officeDocument/2006/relationships/hyperlink" Target="https://xtia.design/" TargetMode="External"/><Relationship Id="rId457" Type="http://schemas.openxmlformats.org/officeDocument/2006/relationships/hyperlink" Target="https://www.in-win.com/en/computer-chassis/bp-series/APAC" TargetMode="External"/><Relationship Id="rId214" Type="http://schemas.openxmlformats.org/officeDocument/2006/relationships/hyperlink" Target="https://shop70176301.world.taobao.com/" TargetMode="External"/><Relationship Id="rId335" Type="http://schemas.openxmlformats.org/officeDocument/2006/relationships/hyperlink" Target="https://item.taobao.com/item.htm?id=636075750122" TargetMode="External"/><Relationship Id="rId456" Type="http://schemas.openxmlformats.org/officeDocument/2006/relationships/hyperlink" Target="https://www.in-win.com/en/computer-chassis/bp-series/APAC" TargetMode="External"/><Relationship Id="rId219" Type="http://schemas.openxmlformats.org/officeDocument/2006/relationships/hyperlink" Target="https://wiki.sff.media/en/Cases/ZS-Cases/ZS_Cases" TargetMode="External"/><Relationship Id="rId218" Type="http://schemas.openxmlformats.org/officeDocument/2006/relationships/hyperlink" Target="https://shop127547001.world.taobao.com/" TargetMode="External"/><Relationship Id="rId339" Type="http://schemas.openxmlformats.org/officeDocument/2006/relationships/hyperlink" Target="https://smallformfactor.net/forum/threads/revoccases-rcc-mit1-mini-itx-tower-case-classic-layout-minimalistic-design.16944/" TargetMode="External"/><Relationship Id="rId330" Type="http://schemas.openxmlformats.org/officeDocument/2006/relationships/hyperlink" Target="https://zscases.com/" TargetMode="External"/><Relationship Id="rId451" Type="http://schemas.openxmlformats.org/officeDocument/2006/relationships/hyperlink" Target="https://thor-zone.com/mini-itx/" TargetMode="External"/><Relationship Id="rId450" Type="http://schemas.openxmlformats.org/officeDocument/2006/relationships/hyperlink" Target="https://wiki.sff.media/en/Cases/Sliger/SM550" TargetMode="External"/><Relationship Id="rId213" Type="http://schemas.openxmlformats.org/officeDocument/2006/relationships/hyperlink" Target="https://shop113082141.world.taobao.com/" TargetMode="External"/><Relationship Id="rId334" Type="http://schemas.openxmlformats.org/officeDocument/2006/relationships/hyperlink" Target="https://game-club.world.taobao.com/" TargetMode="External"/><Relationship Id="rId455" Type="http://schemas.openxmlformats.org/officeDocument/2006/relationships/hyperlink" Target="https://item.taobao.com/item.htm?id=678728528692" TargetMode="External"/><Relationship Id="rId212" Type="http://schemas.openxmlformats.org/officeDocument/2006/relationships/hyperlink" Target="https://item.taobao.com/item.htm?id=630638728909" TargetMode="External"/><Relationship Id="rId333" Type="http://schemas.openxmlformats.org/officeDocument/2006/relationships/hyperlink" Target="https://shop70176301.world.taobao.com/" TargetMode="External"/><Relationship Id="rId454" Type="http://schemas.openxmlformats.org/officeDocument/2006/relationships/hyperlink" Target="https://item.taobao.com/item.htm?id=674484241085" TargetMode="External"/><Relationship Id="rId211" Type="http://schemas.openxmlformats.org/officeDocument/2006/relationships/hyperlink" Target="https://wiki.sff.media/en/Cases/Velkase/Velka7" TargetMode="External"/><Relationship Id="rId332" Type="http://schemas.openxmlformats.org/officeDocument/2006/relationships/hyperlink" Target="https://wiki.sff.media/en/Cases/ZS-Cases/ZS_Cases" TargetMode="External"/><Relationship Id="rId453" Type="http://schemas.openxmlformats.org/officeDocument/2006/relationships/hyperlink" Target="https://shop359985810.world.taobao.com/" TargetMode="External"/><Relationship Id="rId210" Type="http://schemas.openxmlformats.org/officeDocument/2006/relationships/hyperlink" Target="https://www.velkase.com/products/velka-7" TargetMode="External"/><Relationship Id="rId331" Type="http://schemas.openxmlformats.org/officeDocument/2006/relationships/hyperlink" Target="https://zscases.com/products/zs-a4l-v1" TargetMode="External"/><Relationship Id="rId452" Type="http://schemas.openxmlformats.org/officeDocument/2006/relationships/hyperlink" Target="https://www.geeekstore.com/" TargetMode="External"/><Relationship Id="rId370" Type="http://schemas.openxmlformats.org/officeDocument/2006/relationships/hyperlink" Target="https://www.geeekstore.com/" TargetMode="External"/><Relationship Id="rId491" Type="http://schemas.openxmlformats.org/officeDocument/2006/relationships/hyperlink" Target="https://www.in-win.com/en/computer-chassis/bp-series/APAC" TargetMode="External"/><Relationship Id="rId490" Type="http://schemas.openxmlformats.org/officeDocument/2006/relationships/hyperlink" Target="https://jinhetian.world.tmall.com/" TargetMode="External"/><Relationship Id="rId129" Type="http://schemas.openxmlformats.org/officeDocument/2006/relationships/hyperlink" Target="https://xtia.design/" TargetMode="External"/><Relationship Id="rId128" Type="http://schemas.openxmlformats.org/officeDocument/2006/relationships/hyperlink" Target="https://www.custom-mod.com/en" TargetMode="External"/><Relationship Id="rId249" Type="http://schemas.openxmlformats.org/officeDocument/2006/relationships/hyperlink" Target="https://www.custom-mod.com/en" TargetMode="External"/><Relationship Id="rId127" Type="http://schemas.openxmlformats.org/officeDocument/2006/relationships/hyperlink" Target="https://shop70176301.world.taobao.com/" TargetMode="External"/><Relationship Id="rId248" Type="http://schemas.openxmlformats.org/officeDocument/2006/relationships/hyperlink" Target="https://item.taobao.com/item.htm?id=692120137708" TargetMode="External"/><Relationship Id="rId369" Type="http://schemas.openxmlformats.org/officeDocument/2006/relationships/hyperlink" Target="https://item.taobao.com/item.htm?id=634445298763" TargetMode="External"/><Relationship Id="rId126" Type="http://schemas.openxmlformats.org/officeDocument/2006/relationships/hyperlink" Target="https://item.taobao.com/item.htm?id=632103499729" TargetMode="External"/><Relationship Id="rId247" Type="http://schemas.openxmlformats.org/officeDocument/2006/relationships/hyperlink" Target="https://shop472748335.world.taobao.com/" TargetMode="External"/><Relationship Id="rId368" Type="http://schemas.openxmlformats.org/officeDocument/2006/relationships/hyperlink" Target="https://item.taobao.com/item.htm?id=681381545505" TargetMode="External"/><Relationship Id="rId489" Type="http://schemas.openxmlformats.org/officeDocument/2006/relationships/hyperlink" Target="https://wiki.sff.media/en/Cases/ZS-Cases/ZS_Cases" TargetMode="External"/><Relationship Id="rId121" Type="http://schemas.openxmlformats.org/officeDocument/2006/relationships/hyperlink" Target="https://www.akyga.com/" TargetMode="External"/><Relationship Id="rId242" Type="http://schemas.openxmlformats.org/officeDocument/2006/relationships/hyperlink" Target="https://wiki.sff.media/en/Cases/ZS-Cases/ZS_Cases" TargetMode="External"/><Relationship Id="rId363" Type="http://schemas.openxmlformats.org/officeDocument/2006/relationships/hyperlink" Target="https://www.sliger.com/products/cases/cl520/" TargetMode="External"/><Relationship Id="rId484" Type="http://schemas.openxmlformats.org/officeDocument/2006/relationships/hyperlink" Target="https://item.taobao.com/item.htm?id=553697906602" TargetMode="External"/><Relationship Id="rId120" Type="http://schemas.openxmlformats.org/officeDocument/2006/relationships/hyperlink" Target="https://shop295093040.world.taobao.com/" TargetMode="External"/><Relationship Id="rId241" Type="http://schemas.openxmlformats.org/officeDocument/2006/relationships/hyperlink" Target="https://zscases.com/" TargetMode="External"/><Relationship Id="rId362" Type="http://schemas.openxmlformats.org/officeDocument/2006/relationships/hyperlink" Target="https://www.asrock.com/nettop/AMD/DeskMeet%20X600%20Series/index.asp" TargetMode="External"/><Relationship Id="rId483" Type="http://schemas.openxmlformats.org/officeDocument/2006/relationships/hyperlink" Target="https://shop104443308.world.taobao.com/" TargetMode="External"/><Relationship Id="rId240" Type="http://schemas.openxmlformats.org/officeDocument/2006/relationships/hyperlink" Target="https://shop70176301.world.taobao.com/" TargetMode="External"/><Relationship Id="rId361" Type="http://schemas.openxmlformats.org/officeDocument/2006/relationships/hyperlink" Target="https://www.asrock.com/" TargetMode="External"/><Relationship Id="rId482" Type="http://schemas.openxmlformats.org/officeDocument/2006/relationships/hyperlink" Target="https://www.caselabs.org/news/formd-lore" TargetMode="External"/><Relationship Id="rId360" Type="http://schemas.openxmlformats.org/officeDocument/2006/relationships/hyperlink" Target="https://www.asrock.com/nettop/AMD/DeskMeet%20X300%20Series/index.asp" TargetMode="External"/><Relationship Id="rId481" Type="http://schemas.openxmlformats.org/officeDocument/2006/relationships/hyperlink" Target="https://smallformfactor.net/forum/threads/formd-t1-classic-read-first-post.9933/" TargetMode="External"/><Relationship Id="rId125" Type="http://schemas.openxmlformats.org/officeDocument/2006/relationships/hyperlink" Target="https://shop70176301.world.taobao.com/" TargetMode="External"/><Relationship Id="rId246" Type="http://schemas.openxmlformats.org/officeDocument/2006/relationships/hyperlink" Target="https://geeek.world.taobao.com/" TargetMode="External"/><Relationship Id="rId367" Type="http://schemas.openxmlformats.org/officeDocument/2006/relationships/hyperlink" Target="https://shinysnake.world.taobao.com/" TargetMode="External"/><Relationship Id="rId488" Type="http://schemas.openxmlformats.org/officeDocument/2006/relationships/hyperlink" Target="https://zscases.com/products/zs-st-v1" TargetMode="External"/><Relationship Id="rId124" Type="http://schemas.openxmlformats.org/officeDocument/2006/relationships/hyperlink" Target="https://www.custom-mod.com/en" TargetMode="External"/><Relationship Id="rId245" Type="http://schemas.openxmlformats.org/officeDocument/2006/relationships/hyperlink" Target="https://wiki.sff.media/en/Cases/GEEEK/A31-V2" TargetMode="External"/><Relationship Id="rId366" Type="http://schemas.openxmlformats.org/officeDocument/2006/relationships/hyperlink" Target="https://www.custom-mod.com/en/stranica-tovara/%D0%BA%D0%BE%D1%80%D0%BF%D1%83%D1%81-slm3-7-5l-rev-5?currency=USD" TargetMode="External"/><Relationship Id="rId487" Type="http://schemas.openxmlformats.org/officeDocument/2006/relationships/hyperlink" Target="https://zscases.com/" TargetMode="External"/><Relationship Id="rId123" Type="http://schemas.openxmlformats.org/officeDocument/2006/relationships/hyperlink" Target="https://j-hackcompany.com/?product=j-hack-stratos-x" TargetMode="External"/><Relationship Id="rId244" Type="http://schemas.openxmlformats.org/officeDocument/2006/relationships/hyperlink" Target="https://www.geeekstore.com/shop/a31-mini-itx-case/" TargetMode="External"/><Relationship Id="rId365" Type="http://schemas.openxmlformats.org/officeDocument/2006/relationships/hyperlink" Target="https://www.custom-mod.com/en" TargetMode="External"/><Relationship Id="rId486" Type="http://schemas.openxmlformats.org/officeDocument/2006/relationships/hyperlink" Target="https://item.taobao.com/item.htm?id=636075750122" TargetMode="External"/><Relationship Id="rId122" Type="http://schemas.openxmlformats.org/officeDocument/2006/relationships/hyperlink" Target="https://www.akyga.com/products/490-mini-itx-case-ak-730-01bz.html" TargetMode="External"/><Relationship Id="rId243" Type="http://schemas.openxmlformats.org/officeDocument/2006/relationships/hyperlink" Target="https://www.geeekstore.com/" TargetMode="External"/><Relationship Id="rId364" Type="http://schemas.openxmlformats.org/officeDocument/2006/relationships/hyperlink" Target="https://wiki.sff.media/en/Cases/Sliger/CL520" TargetMode="External"/><Relationship Id="rId485" Type="http://schemas.openxmlformats.org/officeDocument/2006/relationships/hyperlink" Target="https://game-club.world.taobao.com/" TargetMode="External"/><Relationship Id="rId95" Type="http://schemas.openxmlformats.org/officeDocument/2006/relationships/hyperlink" Target="https://item.taobao.com/item.htm?id=672033584530" TargetMode="External"/><Relationship Id="rId94" Type="http://schemas.openxmlformats.org/officeDocument/2006/relationships/hyperlink" Target="https://item.taobao.com/item.htm?id=668587917068" TargetMode="External"/><Relationship Id="rId97" Type="http://schemas.openxmlformats.org/officeDocument/2006/relationships/hyperlink" Target="https://www.onlogic.com/" TargetMode="External"/><Relationship Id="rId96" Type="http://schemas.openxmlformats.org/officeDocument/2006/relationships/hyperlink" Target="https://item.taobao.com/item.htm?id=620272467399" TargetMode="External"/><Relationship Id="rId99" Type="http://schemas.openxmlformats.org/officeDocument/2006/relationships/hyperlink" Target="https://item.taobao.com/item.htm?id=642633946045" TargetMode="External"/><Relationship Id="rId480" Type="http://schemas.openxmlformats.org/officeDocument/2006/relationships/hyperlink" Target="https://ncased.com/collections/t1" TargetMode="External"/><Relationship Id="rId98" Type="http://schemas.openxmlformats.org/officeDocument/2006/relationships/hyperlink" Target="https://item.taobao.com/item.htm?id=649541410000" TargetMode="External"/><Relationship Id="rId91" Type="http://schemas.openxmlformats.org/officeDocument/2006/relationships/hyperlink" Target="https://shop127547001.world.taobao.com/" TargetMode="External"/><Relationship Id="rId90" Type="http://schemas.openxmlformats.org/officeDocument/2006/relationships/hyperlink" Target="https://item.taobao.com/item.htm?id=668587917068" TargetMode="External"/><Relationship Id="rId93" Type="http://schemas.openxmlformats.org/officeDocument/2006/relationships/hyperlink" Target="https://shop127547001.world.taobao.com/" TargetMode="External"/><Relationship Id="rId92" Type="http://schemas.openxmlformats.org/officeDocument/2006/relationships/hyperlink" Target="https://item.taobao.com/item.htm?id=668587917068" TargetMode="External"/><Relationship Id="rId118" Type="http://schemas.openxmlformats.org/officeDocument/2006/relationships/hyperlink" Target="https://shop359985810.world.taobao.com/" TargetMode="External"/><Relationship Id="rId239" Type="http://schemas.openxmlformats.org/officeDocument/2006/relationships/hyperlink" Target="https://item.taobao.com/item.htm?id=626947156275" TargetMode="External"/><Relationship Id="rId117" Type="http://schemas.openxmlformats.org/officeDocument/2006/relationships/hyperlink" Target="https://shop282928913.world.taobao.com/" TargetMode="External"/><Relationship Id="rId238" Type="http://schemas.openxmlformats.org/officeDocument/2006/relationships/hyperlink" Target="https://shop200669052.world.taobao.com/" TargetMode="External"/><Relationship Id="rId359" Type="http://schemas.openxmlformats.org/officeDocument/2006/relationships/hyperlink" Target="https://www.asrock.com/" TargetMode="External"/><Relationship Id="rId116" Type="http://schemas.openxmlformats.org/officeDocument/2006/relationships/hyperlink" Target="https://www.custom-mod.com/en/stranica-tovara/%D0%BA%D0%BE%D1%80%D0%BF%D1%83%D1%81-fx-4-5lwindows?currency=USD" TargetMode="External"/><Relationship Id="rId237" Type="http://schemas.openxmlformats.org/officeDocument/2006/relationships/hyperlink" Target="https://shop65316658.world.taobao.com/" TargetMode="External"/><Relationship Id="rId358" Type="http://schemas.openxmlformats.org/officeDocument/2006/relationships/hyperlink" Target="https://www.asrock.com/nettop/Intel/DeskMeet%20B660%20Series/index.asp" TargetMode="External"/><Relationship Id="rId479" Type="http://schemas.openxmlformats.org/officeDocument/2006/relationships/hyperlink" Target="https://ncased.com/" TargetMode="External"/><Relationship Id="rId115" Type="http://schemas.openxmlformats.org/officeDocument/2006/relationships/hyperlink" Target="https://www.custom-mod.com/en" TargetMode="External"/><Relationship Id="rId236" Type="http://schemas.openxmlformats.org/officeDocument/2006/relationships/hyperlink" Target="https://item.taobao.com/item.htm?id=625473781454" TargetMode="External"/><Relationship Id="rId357" Type="http://schemas.openxmlformats.org/officeDocument/2006/relationships/hyperlink" Target="https://www.asrock.com/" TargetMode="External"/><Relationship Id="rId478" Type="http://schemas.openxmlformats.org/officeDocument/2006/relationships/hyperlink" Target="https://www.caselabs.org/news/formd-lore" TargetMode="External"/><Relationship Id="rId119" Type="http://schemas.openxmlformats.org/officeDocument/2006/relationships/hyperlink" Target="https://item.taobao.com/item.htm?id=642561226809" TargetMode="External"/><Relationship Id="rId110" Type="http://schemas.openxmlformats.org/officeDocument/2006/relationships/hyperlink" Target="https://item.taobao.com/item.htm?id=619878210805" TargetMode="External"/><Relationship Id="rId231" Type="http://schemas.openxmlformats.org/officeDocument/2006/relationships/hyperlink" Target="https://www.u-nas.com/xcart/cart.php?target=product&amp;product_id=17611" TargetMode="External"/><Relationship Id="rId352" Type="http://schemas.openxmlformats.org/officeDocument/2006/relationships/hyperlink" Target="https://item.taobao.com/item.htm?id=723795069618" TargetMode="External"/><Relationship Id="rId473" Type="http://schemas.openxmlformats.org/officeDocument/2006/relationships/hyperlink" Target="https://smallformfactor.net/forum/threads/formd-t1-classic-read-first-post.9933/" TargetMode="External"/><Relationship Id="rId230" Type="http://schemas.openxmlformats.org/officeDocument/2006/relationships/hyperlink" Target="https://www.custom-mod.com/en/stranica-tovara/sxmlm6-3?currency=USD" TargetMode="External"/><Relationship Id="rId351" Type="http://schemas.openxmlformats.org/officeDocument/2006/relationships/hyperlink" Target="https://shop223805799.world.taobao.com/" TargetMode="External"/><Relationship Id="rId472" Type="http://schemas.openxmlformats.org/officeDocument/2006/relationships/hyperlink" Target="https://formdt1.com/products/t1ref" TargetMode="External"/><Relationship Id="rId350" Type="http://schemas.openxmlformats.org/officeDocument/2006/relationships/hyperlink" Target="https://item.taobao.com/item.htm?id=659041610769" TargetMode="External"/><Relationship Id="rId471" Type="http://schemas.openxmlformats.org/officeDocument/2006/relationships/hyperlink" Target="https://formdt1.com/" TargetMode="External"/><Relationship Id="rId470" Type="http://schemas.openxmlformats.org/officeDocument/2006/relationships/hyperlink" Target="https://www.cubeor.com/" TargetMode="External"/><Relationship Id="rId114" Type="http://schemas.openxmlformats.org/officeDocument/2006/relationships/hyperlink" Target="https://smallformfactor.net/forum/threads/store-live-densium-net-4l-case-with-wood-front-panel-99-with-discount.17062/" TargetMode="External"/><Relationship Id="rId235" Type="http://schemas.openxmlformats.org/officeDocument/2006/relationships/hyperlink" Target="https://item.taobao.com/item.htm?id=681246319345" TargetMode="External"/><Relationship Id="rId356" Type="http://schemas.openxmlformats.org/officeDocument/2006/relationships/hyperlink" Target="https://item.taobao.com/item.htm?id=695605044459" TargetMode="External"/><Relationship Id="rId477" Type="http://schemas.openxmlformats.org/officeDocument/2006/relationships/hyperlink" Target="https://smallformfactor.net/forum/threads/formd-t1-classic-read-first-post.9933/" TargetMode="External"/><Relationship Id="rId113" Type="http://schemas.openxmlformats.org/officeDocument/2006/relationships/hyperlink" Target="https://www.in-win.com/public/index.php/en/gaming-chassis/Chopin_Pro/" TargetMode="External"/><Relationship Id="rId234" Type="http://schemas.openxmlformats.org/officeDocument/2006/relationships/hyperlink" Target="https://shop70176301.world.taobao.com/" TargetMode="External"/><Relationship Id="rId355" Type="http://schemas.openxmlformats.org/officeDocument/2006/relationships/hyperlink" Target="https://item.taobao.com/item.htm?id=666395641207" TargetMode="External"/><Relationship Id="rId476" Type="http://schemas.openxmlformats.org/officeDocument/2006/relationships/hyperlink" Target="https://formdt1.com/collections/t1" TargetMode="External"/><Relationship Id="rId112" Type="http://schemas.openxmlformats.org/officeDocument/2006/relationships/hyperlink" Target="https://www.in-win.com/en/gaming-chassis/chopin-max" TargetMode="External"/><Relationship Id="rId233" Type="http://schemas.openxmlformats.org/officeDocument/2006/relationships/hyperlink" Target="https://www.chieftec.eu/en/" TargetMode="External"/><Relationship Id="rId354" Type="http://schemas.openxmlformats.org/officeDocument/2006/relationships/hyperlink" Target="https://item.taobao.com/item.htm?id=578678402048" TargetMode="External"/><Relationship Id="rId475" Type="http://schemas.openxmlformats.org/officeDocument/2006/relationships/hyperlink" Target="https://formdt1.com/" TargetMode="External"/><Relationship Id="rId111" Type="http://schemas.openxmlformats.org/officeDocument/2006/relationships/hyperlink" Target="https://wiki.sff.media/en/Cases/InWin/Chopin" TargetMode="External"/><Relationship Id="rId232" Type="http://schemas.openxmlformats.org/officeDocument/2006/relationships/hyperlink" Target="https://www.chieftec.eu/en/" TargetMode="External"/><Relationship Id="rId353" Type="http://schemas.openxmlformats.org/officeDocument/2006/relationships/hyperlink" Target="https://geeek.world.taobao.com/" TargetMode="External"/><Relationship Id="rId474" Type="http://schemas.openxmlformats.org/officeDocument/2006/relationships/hyperlink" Target="https://www.caselabs.org/news/formd-lore" TargetMode="External"/><Relationship Id="rId305" Type="http://schemas.openxmlformats.org/officeDocument/2006/relationships/hyperlink" Target="https://shinysnake.world.taobao.com/" TargetMode="External"/><Relationship Id="rId426" Type="http://schemas.openxmlformats.org/officeDocument/2006/relationships/hyperlink" Target="https://teenage.engineering/products/computer-1" TargetMode="External"/><Relationship Id="rId304" Type="http://schemas.openxmlformats.org/officeDocument/2006/relationships/hyperlink" Target="https://www.custom-mod.com/en" TargetMode="External"/><Relationship Id="rId425" Type="http://schemas.openxmlformats.org/officeDocument/2006/relationships/hyperlink" Target="https://teenage.engineering/" TargetMode="External"/><Relationship Id="rId303" Type="http://schemas.openxmlformats.org/officeDocument/2006/relationships/hyperlink" Target="https://item.taobao.com/item.htm?id=636075750122" TargetMode="External"/><Relationship Id="rId424" Type="http://schemas.openxmlformats.org/officeDocument/2006/relationships/hyperlink" Target="https://wiki.sff.media/en/Cases/Louqe/Ghost" TargetMode="External"/><Relationship Id="rId302" Type="http://schemas.openxmlformats.org/officeDocument/2006/relationships/hyperlink" Target="https://game-club.world.taobao.com/" TargetMode="External"/><Relationship Id="rId423" Type="http://schemas.openxmlformats.org/officeDocument/2006/relationships/hyperlink" Target="https://www.louqe.com/ghost-s1/" TargetMode="External"/><Relationship Id="rId309" Type="http://schemas.openxmlformats.org/officeDocument/2006/relationships/hyperlink" Target="https://pccooler.tmall.com/" TargetMode="External"/><Relationship Id="rId308" Type="http://schemas.openxmlformats.org/officeDocument/2006/relationships/hyperlink" Target="https://detail.tmall.com/item.htm?id=649056105241" TargetMode="External"/><Relationship Id="rId429" Type="http://schemas.openxmlformats.org/officeDocument/2006/relationships/hyperlink" Target="https://item.taobao.com/item.htm?id=553697906602" TargetMode="External"/><Relationship Id="rId307" Type="http://schemas.openxmlformats.org/officeDocument/2006/relationships/hyperlink" Target="https://pccooler.tmall.com/" TargetMode="External"/><Relationship Id="rId428" Type="http://schemas.openxmlformats.org/officeDocument/2006/relationships/hyperlink" Target="https://shop104443308.world.taobao.com/" TargetMode="External"/><Relationship Id="rId306" Type="http://schemas.openxmlformats.org/officeDocument/2006/relationships/hyperlink" Target="https://item.taobao.com/item.htm?id=685587891454" TargetMode="External"/><Relationship Id="rId427" Type="http://schemas.openxmlformats.org/officeDocument/2006/relationships/hyperlink" Target="https://shop70176301.world.taobao.com/" TargetMode="External"/><Relationship Id="rId301" Type="http://schemas.openxmlformats.org/officeDocument/2006/relationships/hyperlink" Target="https://shop70176301.world.taobao.com/" TargetMode="External"/><Relationship Id="rId422" Type="http://schemas.openxmlformats.org/officeDocument/2006/relationships/hyperlink" Target="https://item.taobao.com/item.htm?id=625487701873" TargetMode="External"/><Relationship Id="rId300" Type="http://schemas.openxmlformats.org/officeDocument/2006/relationships/hyperlink" Target="https://shop100195373.world.taobao.com/" TargetMode="External"/><Relationship Id="rId421" Type="http://schemas.openxmlformats.org/officeDocument/2006/relationships/hyperlink" Target="https://shop331539571.world.taobao.com/" TargetMode="External"/><Relationship Id="rId420" Type="http://schemas.openxmlformats.org/officeDocument/2006/relationships/hyperlink" Target="https://shop70176301.world.taobao.com/" TargetMode="External"/><Relationship Id="rId415" Type="http://schemas.openxmlformats.org/officeDocument/2006/relationships/hyperlink" Target="https://shop458594376.world.taobao.com/" TargetMode="External"/><Relationship Id="rId414" Type="http://schemas.openxmlformats.org/officeDocument/2006/relationships/hyperlink" Target="https://item.taobao.com/item.htm?id=651649635604" TargetMode="External"/><Relationship Id="rId413" Type="http://schemas.openxmlformats.org/officeDocument/2006/relationships/hyperlink" Target="https://smallformfactor.net/forum/threads/jimu-d-v2-0-the-all-in-one-itx-case.17156/" TargetMode="External"/><Relationship Id="rId412" Type="http://schemas.openxmlformats.org/officeDocument/2006/relationships/hyperlink" Target="https://jmcustomized.com/products/jimu-d-v2-0-basic-package" TargetMode="External"/><Relationship Id="rId419" Type="http://schemas.openxmlformats.org/officeDocument/2006/relationships/hyperlink" Target="https://shop200669052.world.taobao.com/" TargetMode="External"/><Relationship Id="rId418" Type="http://schemas.openxmlformats.org/officeDocument/2006/relationships/hyperlink" Target="https://item.taobao.com/item.htm?id=691538418303" TargetMode="External"/><Relationship Id="rId417" Type="http://schemas.openxmlformats.org/officeDocument/2006/relationships/hyperlink" Target="https://shop113082141.world.taobao.com/" TargetMode="External"/><Relationship Id="rId416" Type="http://schemas.openxmlformats.org/officeDocument/2006/relationships/hyperlink" Target="https://item.taobao.com/item.htm?id=723255071067" TargetMode="External"/><Relationship Id="rId411" Type="http://schemas.openxmlformats.org/officeDocument/2006/relationships/hyperlink" Target="https://store.jmcustomized.com/" TargetMode="External"/><Relationship Id="rId410" Type="http://schemas.openxmlformats.org/officeDocument/2006/relationships/hyperlink" Target="https://www.colinreay.org/mk2" TargetMode="External"/><Relationship Id="rId206" Type="http://schemas.openxmlformats.org/officeDocument/2006/relationships/hyperlink" Target="https://smallformfactor.net/forum/threads/sparrow-mq5-5-5l-one-piece-aluminum.16424/" TargetMode="External"/><Relationship Id="rId327" Type="http://schemas.openxmlformats.org/officeDocument/2006/relationships/hyperlink" Target="https://item.taobao.com/item.htm?id=603745550553" TargetMode="External"/><Relationship Id="rId448" Type="http://schemas.openxmlformats.org/officeDocument/2006/relationships/hyperlink" Target="https://en.minicomputers.net/" TargetMode="External"/><Relationship Id="rId205" Type="http://schemas.openxmlformats.org/officeDocument/2006/relationships/hyperlink" Target="https://cooj.cc/products/sparrow-mq5-5-5l-one-piece-aluminum-itx-pc-case" TargetMode="External"/><Relationship Id="rId326" Type="http://schemas.openxmlformats.org/officeDocument/2006/relationships/hyperlink" Target="https://item.taobao.com/item.htm?id=622461049624" TargetMode="External"/><Relationship Id="rId447" Type="http://schemas.openxmlformats.org/officeDocument/2006/relationships/hyperlink" Target="https://wiki.sff.media/en/Cases/Louqe/Ghost" TargetMode="External"/><Relationship Id="rId204" Type="http://schemas.openxmlformats.org/officeDocument/2006/relationships/hyperlink" Target="https://cooj.cc/" TargetMode="External"/><Relationship Id="rId325" Type="http://schemas.openxmlformats.org/officeDocument/2006/relationships/hyperlink" Target="https://wiki.sff.media/en/Cases/ZS-Cases/ZS_Cases" TargetMode="External"/><Relationship Id="rId446" Type="http://schemas.openxmlformats.org/officeDocument/2006/relationships/hyperlink" Target="https://www.louqe.com/ghost-s1/" TargetMode="External"/><Relationship Id="rId203" Type="http://schemas.openxmlformats.org/officeDocument/2006/relationships/hyperlink" Target="https://item.taobao.com/item.htm?id=604278871254" TargetMode="External"/><Relationship Id="rId324" Type="http://schemas.openxmlformats.org/officeDocument/2006/relationships/hyperlink" Target="https://zscases.com/products/zs-a4-v2" TargetMode="External"/><Relationship Id="rId445" Type="http://schemas.openxmlformats.org/officeDocument/2006/relationships/hyperlink" Target="https://item.taobao.com/item.htm?id=649524226292" TargetMode="External"/><Relationship Id="rId209" Type="http://schemas.openxmlformats.org/officeDocument/2006/relationships/hyperlink" Target="https://xtia.design/products/xtia-slim-variable-computer-case" TargetMode="External"/><Relationship Id="rId208" Type="http://schemas.openxmlformats.org/officeDocument/2006/relationships/hyperlink" Target="https://xtia.design/" TargetMode="External"/><Relationship Id="rId329" Type="http://schemas.openxmlformats.org/officeDocument/2006/relationships/hyperlink" Target="https://shop295093040.world.taobao.com/" TargetMode="External"/><Relationship Id="rId207" Type="http://schemas.openxmlformats.org/officeDocument/2006/relationships/hyperlink" Target="https://shop70176301.world.taobao.com/" TargetMode="External"/><Relationship Id="rId328" Type="http://schemas.openxmlformats.org/officeDocument/2006/relationships/hyperlink" Target="https://shop154847351.world.taobao.com/" TargetMode="External"/><Relationship Id="rId449" Type="http://schemas.openxmlformats.org/officeDocument/2006/relationships/hyperlink" Target="https://en.minicomputers.net/product-page/case-gecko-itx-s" TargetMode="External"/><Relationship Id="rId440" Type="http://schemas.openxmlformats.org/officeDocument/2006/relationships/hyperlink" Target="https://smallformfactor.net/forum/threads/revoccases-rcc-dtc1-9-5l-classic-layout-desktop-case.17321/" TargetMode="External"/><Relationship Id="rId202" Type="http://schemas.openxmlformats.org/officeDocument/2006/relationships/hyperlink" Target="https://captaincase.world.taobao.com/" TargetMode="External"/><Relationship Id="rId323" Type="http://schemas.openxmlformats.org/officeDocument/2006/relationships/hyperlink" Target="https://zscases.com/" TargetMode="External"/><Relationship Id="rId444" Type="http://schemas.openxmlformats.org/officeDocument/2006/relationships/hyperlink" Target="https://www.chieftec.eu/products-detail/93/BT-02B-U3-250VS" TargetMode="External"/><Relationship Id="rId201" Type="http://schemas.openxmlformats.org/officeDocument/2006/relationships/hyperlink" Target="https://wiki.sff.media/en/Cases/Velkase/Velka5" TargetMode="External"/><Relationship Id="rId322" Type="http://schemas.openxmlformats.org/officeDocument/2006/relationships/hyperlink" Target="https://item.taobao.com/item.htm?id=613953323732" TargetMode="External"/><Relationship Id="rId443" Type="http://schemas.openxmlformats.org/officeDocument/2006/relationships/hyperlink" Target="https://www.chieftec.eu/en/" TargetMode="External"/><Relationship Id="rId200" Type="http://schemas.openxmlformats.org/officeDocument/2006/relationships/hyperlink" Target="https://item.taobao.com/item.htm?id=678165683953" TargetMode="External"/><Relationship Id="rId321" Type="http://schemas.openxmlformats.org/officeDocument/2006/relationships/hyperlink" Target="https://wiki.sff.media/en/Cases/GEEEK/A30-V2" TargetMode="External"/><Relationship Id="rId442" Type="http://schemas.openxmlformats.org/officeDocument/2006/relationships/hyperlink" Target="https://item.taobao.com/item.htm?id=624886684800" TargetMode="External"/><Relationship Id="rId320" Type="http://schemas.openxmlformats.org/officeDocument/2006/relationships/hyperlink" Target="https://www.geeekstore.com/shop/a30-v2-mini-itx-case/" TargetMode="External"/><Relationship Id="rId441" Type="http://schemas.openxmlformats.org/officeDocument/2006/relationships/hyperlink" Target="https://shop331539571.world.taobao.com/" TargetMode="External"/><Relationship Id="rId316" Type="http://schemas.openxmlformats.org/officeDocument/2006/relationships/hyperlink" Target="https://www.chieftec.eu/products-detail/94/BU-12B-300" TargetMode="External"/><Relationship Id="rId437" Type="http://schemas.openxmlformats.org/officeDocument/2006/relationships/hyperlink" Target="https://wiki.sff.media/en/Cases/FormD/T1" TargetMode="External"/><Relationship Id="rId315" Type="http://schemas.openxmlformats.org/officeDocument/2006/relationships/hyperlink" Target="https://www.chieftec.eu/en/" TargetMode="External"/><Relationship Id="rId436" Type="http://schemas.openxmlformats.org/officeDocument/2006/relationships/hyperlink" Target="https://smallformfactor.net/forum/threads/formd-t1-classic-read-first-post.9933/" TargetMode="External"/><Relationship Id="rId314" Type="http://schemas.openxmlformats.org/officeDocument/2006/relationships/hyperlink" Target="https://item.taobao.com/item.htm?id=612690329138" TargetMode="External"/><Relationship Id="rId435" Type="http://schemas.openxmlformats.org/officeDocument/2006/relationships/hyperlink" Target="https://smallformfactor.net/forum/threads/salvo-studios-s402-9l-steel-console-style-case.10939" TargetMode="External"/><Relationship Id="rId313" Type="http://schemas.openxmlformats.org/officeDocument/2006/relationships/hyperlink" Target="https://shop62690663.world.taobao.com/" TargetMode="External"/><Relationship Id="rId434" Type="http://schemas.openxmlformats.org/officeDocument/2006/relationships/hyperlink" Target="https://www.salvostudiosltd.com/store/p22/Salvo_Studios_S402.html" TargetMode="External"/><Relationship Id="rId319" Type="http://schemas.openxmlformats.org/officeDocument/2006/relationships/hyperlink" Target="https://www.geeekstore.com/" TargetMode="External"/><Relationship Id="rId318" Type="http://schemas.openxmlformats.org/officeDocument/2006/relationships/hyperlink" Target="https://www.custom-mod.com/en/stranica-tovara/sx2?currency=USD" TargetMode="External"/><Relationship Id="rId439" Type="http://schemas.openxmlformats.org/officeDocument/2006/relationships/hyperlink" Target="https://smallformfactor.net/forum/threads/revoccases-rcc-dtc1-9-5l-classic-layout-desktop-case.17321/" TargetMode="External"/><Relationship Id="rId317" Type="http://schemas.openxmlformats.org/officeDocument/2006/relationships/hyperlink" Target="https://www.custom-mod.com/en" TargetMode="External"/><Relationship Id="rId438" Type="http://schemas.openxmlformats.org/officeDocument/2006/relationships/hyperlink" Target="https://revoccases.com/" TargetMode="External"/><Relationship Id="rId312" Type="http://schemas.openxmlformats.org/officeDocument/2006/relationships/hyperlink" Target="https://midori-computer.com/products/midori-7-5l-mini-itx-computer-case-for-300mm-length-graphics-card" TargetMode="External"/><Relationship Id="rId433" Type="http://schemas.openxmlformats.org/officeDocument/2006/relationships/hyperlink" Target="https://detail.tmall.com/item.htm?id=655733306414" TargetMode="External"/><Relationship Id="rId311" Type="http://schemas.openxmlformats.org/officeDocument/2006/relationships/hyperlink" Target="https://midori-computer.com/" TargetMode="External"/><Relationship Id="rId432" Type="http://schemas.openxmlformats.org/officeDocument/2006/relationships/hyperlink" Target="https://pccooler.tmall.com/" TargetMode="External"/><Relationship Id="rId310" Type="http://schemas.openxmlformats.org/officeDocument/2006/relationships/hyperlink" Target="https://detail.tmall.com/item.htm?id=664609722482" TargetMode="External"/><Relationship Id="rId431" Type="http://schemas.openxmlformats.org/officeDocument/2006/relationships/hyperlink" Target="https://item.taobao.com/item.htm?id=612690329138" TargetMode="External"/><Relationship Id="rId430" Type="http://schemas.openxmlformats.org/officeDocument/2006/relationships/hyperlink" Target="https://shop62690663.world.taobao.com/"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shop113082141.world.taobao.com/" TargetMode="External"/><Relationship Id="rId194" Type="http://schemas.openxmlformats.org/officeDocument/2006/relationships/hyperlink" Target="http://www.almordor.com/product-14178-14187-42575.html" TargetMode="External"/><Relationship Id="rId193" Type="http://schemas.openxmlformats.org/officeDocument/2006/relationships/hyperlink" Target="http://www.almordor.com/" TargetMode="External"/><Relationship Id="rId192" Type="http://schemas.openxmlformats.org/officeDocument/2006/relationships/hyperlink" Target="https://item.taobao.com/item.htm?id=641938496171" TargetMode="External"/><Relationship Id="rId191" Type="http://schemas.openxmlformats.org/officeDocument/2006/relationships/hyperlink" Target="https://shop403010404.taobao.com/" TargetMode="External"/><Relationship Id="rId187" Type="http://schemas.openxmlformats.org/officeDocument/2006/relationships/hyperlink" Target="https://hzcase.world.taobao.com/" TargetMode="External"/><Relationship Id="rId186" Type="http://schemas.openxmlformats.org/officeDocument/2006/relationships/hyperlink" Target="https://item.taobao.com/item.htm?id=728824483381" TargetMode="External"/><Relationship Id="rId185" Type="http://schemas.openxmlformats.org/officeDocument/2006/relationships/hyperlink" Target="https://phanteks.com/Evolv-Shift-XT.html" TargetMode="External"/><Relationship Id="rId184" Type="http://schemas.openxmlformats.org/officeDocument/2006/relationships/hyperlink" Target="https://phanteks.com/index.html" TargetMode="External"/><Relationship Id="rId189" Type="http://schemas.openxmlformats.org/officeDocument/2006/relationships/hyperlink" Target="https://wiki.sff.media/en/Cases/NZXT/H1" TargetMode="External"/><Relationship Id="rId188" Type="http://schemas.openxmlformats.org/officeDocument/2006/relationships/hyperlink" Target="https://www.mcprue.com/" TargetMode="External"/><Relationship Id="rId183" Type="http://schemas.openxmlformats.org/officeDocument/2006/relationships/hyperlink" Target="https://item.taobao.com/item.htm?id=602069841133" TargetMode="External"/><Relationship Id="rId182" Type="http://schemas.openxmlformats.org/officeDocument/2006/relationships/hyperlink" Target="https://www.custom-mod.com/en/stranica-tovara/%D0%BA%D0%BE%D1%80%D0%BF%D1%83%D1%81-sx5-13l-liquid-cooling?currency=USD" TargetMode="External"/><Relationship Id="rId181" Type="http://schemas.openxmlformats.org/officeDocument/2006/relationships/hyperlink" Target="https://www.custom-mod.com/en" TargetMode="External"/><Relationship Id="rId180" Type="http://schemas.openxmlformats.org/officeDocument/2006/relationships/hyperlink" Target="https://item.taobao.com/item.htm?id=621907317021" TargetMode="External"/><Relationship Id="rId176" Type="http://schemas.openxmlformats.org/officeDocument/2006/relationships/hyperlink" Target="https://item.taobao.com/item.htm?id=675164263147" TargetMode="External"/><Relationship Id="rId297" Type="http://schemas.openxmlformats.org/officeDocument/2006/relationships/hyperlink" Target="https://smallformfactor.net/forum/threads/winter-one-15-6l-sff-case-3090-support-3-slot-gpus-dual-280mm-radiators-cfd-optimized-design.11601/" TargetMode="External"/><Relationship Id="rId175" Type="http://schemas.openxmlformats.org/officeDocument/2006/relationships/hyperlink" Target="https://www.sliger.com/products/cases/s610/" TargetMode="External"/><Relationship Id="rId296" Type="http://schemas.openxmlformats.org/officeDocument/2006/relationships/hyperlink" Target="https://smallformfactor.net/forum/threads/winter-one-15-6l-sff-case-3090-support-3-slot-gpus-dual-280mm-radiators-cfd-optimized-design.11601/" TargetMode="External"/><Relationship Id="rId174" Type="http://schemas.openxmlformats.org/officeDocument/2006/relationships/hyperlink" Target="https://wiki.sff.media/en/Cases/ZS-Cases/ZS_Cases" TargetMode="External"/><Relationship Id="rId295" Type="http://schemas.openxmlformats.org/officeDocument/2006/relationships/hyperlink" Target="https://wiki.sff.media/en/Cases/NZXT/H1" TargetMode="External"/><Relationship Id="rId173" Type="http://schemas.openxmlformats.org/officeDocument/2006/relationships/hyperlink" Target="https://zscases.com/products/zs-oc-v1" TargetMode="External"/><Relationship Id="rId294" Type="http://schemas.openxmlformats.org/officeDocument/2006/relationships/hyperlink" Target="https://nzxt.com/product/h1" TargetMode="External"/><Relationship Id="rId179" Type="http://schemas.openxmlformats.org/officeDocument/2006/relationships/hyperlink" Target="https://shop62690663.world.taobao.com/search.htm?spm=a312a.7700824.0.0.6e291bfatpXNgH&amp;search=y" TargetMode="External"/><Relationship Id="rId178" Type="http://schemas.openxmlformats.org/officeDocument/2006/relationships/hyperlink" Target="https://shop282928913.world.taobao.com/" TargetMode="External"/><Relationship Id="rId299" Type="http://schemas.openxmlformats.org/officeDocument/2006/relationships/hyperlink" Target="https://item.taobao.com/item.htm?id=603220908735" TargetMode="External"/><Relationship Id="rId177" Type="http://schemas.openxmlformats.org/officeDocument/2006/relationships/hyperlink" Target="https://item.taobao.com/item.htm?id=590377328719" TargetMode="External"/><Relationship Id="rId298" Type="http://schemas.openxmlformats.org/officeDocument/2006/relationships/hyperlink" Target="https://wiki.sff.media/en/Cases/Winter-Design/Winter-One" TargetMode="External"/><Relationship Id="rId198" Type="http://schemas.openxmlformats.org/officeDocument/2006/relationships/hyperlink" Target="https://item.taobao.com/item.htm?id=619509433848" TargetMode="External"/><Relationship Id="rId197" Type="http://schemas.openxmlformats.org/officeDocument/2006/relationships/hyperlink" Target="https://shop403010404.taobao.com/" TargetMode="External"/><Relationship Id="rId196" Type="http://schemas.openxmlformats.org/officeDocument/2006/relationships/hyperlink" Target="https://shop472748335.world.taobao.com/" TargetMode="External"/><Relationship Id="rId195" Type="http://schemas.openxmlformats.org/officeDocument/2006/relationships/hyperlink" Target="https://wiki.sff.media/en/Cases/Sliger/SM570" TargetMode="External"/><Relationship Id="rId199" Type="http://schemas.openxmlformats.org/officeDocument/2006/relationships/hyperlink" Target="https://streacom.com/products/fc10-fanless-atx-case/" TargetMode="External"/><Relationship Id="rId150" Type="http://schemas.openxmlformats.org/officeDocument/2006/relationships/hyperlink" Target="https://www.custom-mod.com/en" TargetMode="External"/><Relationship Id="rId271" Type="http://schemas.openxmlformats.org/officeDocument/2006/relationships/hyperlink" Target="https://www.sfftime.com/n-atx" TargetMode="External"/><Relationship Id="rId392" Type="http://schemas.openxmlformats.org/officeDocument/2006/relationships/hyperlink" Target="https://wiki.sff.media/en/Cases/HYTE/Revolt-3" TargetMode="External"/><Relationship Id="rId270" Type="http://schemas.openxmlformats.org/officeDocument/2006/relationships/hyperlink" Target="https://ssupd.co/products/new-meshroom-d" TargetMode="External"/><Relationship Id="rId391" Type="http://schemas.openxmlformats.org/officeDocument/2006/relationships/hyperlink" Target="https://hyte.com/revolt-3/" TargetMode="External"/><Relationship Id="rId390" Type="http://schemas.openxmlformats.org/officeDocument/2006/relationships/hyperlink" Target="https://hyte.com/" TargetMode="External"/><Relationship Id="rId1" Type="http://schemas.openxmlformats.org/officeDocument/2006/relationships/comments" Target="../comments2.xml"/><Relationship Id="rId2" Type="http://schemas.openxmlformats.org/officeDocument/2006/relationships/hyperlink" Target="https://zhaofangsm.world.tmall.com/" TargetMode="External"/><Relationship Id="rId3" Type="http://schemas.openxmlformats.org/officeDocument/2006/relationships/hyperlink" Target="https://streacom.com/products/fc9-fanless-micro-atx-case/" TargetMode="External"/><Relationship Id="rId149" Type="http://schemas.openxmlformats.org/officeDocument/2006/relationships/hyperlink" Target="https://cncaxe.world.taobao.com/" TargetMode="External"/><Relationship Id="rId4" Type="http://schemas.openxmlformats.org/officeDocument/2006/relationships/hyperlink" Target="https://breeze-diy.world.taobao.com/" TargetMode="External"/><Relationship Id="rId148" Type="http://schemas.openxmlformats.org/officeDocument/2006/relationships/hyperlink" Target="https://www.fractal-design.com/products/cases/ridge/ridge/white/" TargetMode="External"/><Relationship Id="rId269" Type="http://schemas.openxmlformats.org/officeDocument/2006/relationships/hyperlink" Target="https://www.ssupd.co/" TargetMode="External"/><Relationship Id="rId9" Type="http://schemas.openxmlformats.org/officeDocument/2006/relationships/hyperlink" Target="https://www.u-nas.com/xcart/cart.php?target=product&amp;product_id=17638" TargetMode="External"/><Relationship Id="rId143" Type="http://schemas.openxmlformats.org/officeDocument/2006/relationships/hyperlink" Target="https://www.louqe.com/raw-s1/" TargetMode="External"/><Relationship Id="rId264" Type="http://schemas.openxmlformats.org/officeDocument/2006/relationships/hyperlink" Target="https://item.taobao.com/item.htm?id=664245644053" TargetMode="External"/><Relationship Id="rId385" Type="http://schemas.openxmlformats.org/officeDocument/2006/relationships/hyperlink" Target="https://www.coolermaster.com/catalog/cases/mini-itx/masterbox-nr200p-v2/" TargetMode="External"/><Relationship Id="rId142" Type="http://schemas.openxmlformats.org/officeDocument/2006/relationships/hyperlink" Target="https://www.geeekstore.com/shop/geeek-g1-pro-mini-itx-case/" TargetMode="External"/><Relationship Id="rId263" Type="http://schemas.openxmlformats.org/officeDocument/2006/relationships/hyperlink" Target="https://shop100195373.world.taobao.com/" TargetMode="External"/><Relationship Id="rId384" Type="http://schemas.openxmlformats.org/officeDocument/2006/relationships/hyperlink" Target="https://wiki.sff.media/en/Cases/Cooler-Master/MasterBox-NR200" TargetMode="External"/><Relationship Id="rId141" Type="http://schemas.openxmlformats.org/officeDocument/2006/relationships/hyperlink" Target="https://item.taobao.com/item.htm?id=759219692323" TargetMode="External"/><Relationship Id="rId262" Type="http://schemas.openxmlformats.org/officeDocument/2006/relationships/hyperlink" Target="https://captaincase.world.taobao.com/" TargetMode="External"/><Relationship Id="rId383" Type="http://schemas.openxmlformats.org/officeDocument/2006/relationships/hyperlink" Target="https://www.coolermaster.com/catalog/cases/mini-itx/masterbox-nr200p/" TargetMode="External"/><Relationship Id="rId140" Type="http://schemas.openxmlformats.org/officeDocument/2006/relationships/hyperlink" Target="https://shinysnake.world.taobao.com/" TargetMode="External"/><Relationship Id="rId261" Type="http://schemas.openxmlformats.org/officeDocument/2006/relationships/hyperlink" Target="https://jmcustomized.com/products/jimu-d-v2-0-package-d" TargetMode="External"/><Relationship Id="rId382" Type="http://schemas.openxmlformats.org/officeDocument/2006/relationships/hyperlink" Target="https://wiki.sff.media/en/Cases/Cooler-Master/MasterBox-NR200" TargetMode="External"/><Relationship Id="rId5" Type="http://schemas.openxmlformats.org/officeDocument/2006/relationships/hyperlink" Target="https://item.taobao.com/item.htm?id=520057772724" TargetMode="External"/><Relationship Id="rId147" Type="http://schemas.openxmlformats.org/officeDocument/2006/relationships/hyperlink" Target="https://wiki.sff.media/en/Cases/GEEEK/A60-Plus" TargetMode="External"/><Relationship Id="rId268" Type="http://schemas.openxmlformats.org/officeDocument/2006/relationships/hyperlink" Target="https://ssupd.co/products/new-meshroom-s" TargetMode="External"/><Relationship Id="rId389" Type="http://schemas.openxmlformats.org/officeDocument/2006/relationships/hyperlink" Target="https://www.coolermaster.com/catalog/max/mini-itx/nr200p-max/" TargetMode="External"/><Relationship Id="rId6" Type="http://schemas.openxmlformats.org/officeDocument/2006/relationships/hyperlink" Target="https://www.sfftime.com/p-atx" TargetMode="External"/><Relationship Id="rId146" Type="http://schemas.openxmlformats.org/officeDocument/2006/relationships/hyperlink" Target="https://item.taobao.com/item.htm?id=618188040676" TargetMode="External"/><Relationship Id="rId267" Type="http://schemas.openxmlformats.org/officeDocument/2006/relationships/hyperlink" Target="https://www.ssupd.co/" TargetMode="External"/><Relationship Id="rId388" Type="http://schemas.openxmlformats.org/officeDocument/2006/relationships/hyperlink" Target="https://store.mcprue.com/store/mcprue-apollo-s-3-0" TargetMode="External"/><Relationship Id="rId7" Type="http://schemas.openxmlformats.org/officeDocument/2006/relationships/hyperlink" Target="https://smallformfactor.net/forum/threads/sfftime-presents-p-atx-v2-10-l-case-with-improved-atx-aio-and-3-slot-support.14152/" TargetMode="External"/><Relationship Id="rId145" Type="http://schemas.openxmlformats.org/officeDocument/2006/relationships/hyperlink" Target="https://shop472748335.world.taobao.com/" TargetMode="External"/><Relationship Id="rId266" Type="http://schemas.openxmlformats.org/officeDocument/2006/relationships/hyperlink" Target="https://spylabs.bigcartel.com/product/joatsff" TargetMode="External"/><Relationship Id="rId387" Type="http://schemas.openxmlformats.org/officeDocument/2006/relationships/hyperlink" Target="https://www.mcprue.com/" TargetMode="External"/><Relationship Id="rId8" Type="http://schemas.openxmlformats.org/officeDocument/2006/relationships/hyperlink" Target="https://wiki.sff.media/en/Cases/SFFtime/P-ATXv2" TargetMode="External"/><Relationship Id="rId144" Type="http://schemas.openxmlformats.org/officeDocument/2006/relationships/hyperlink" Target="https://www.jonsbo.com/en/products/T8PLUSSilver.html" TargetMode="External"/><Relationship Id="rId265" Type="http://schemas.openxmlformats.org/officeDocument/2006/relationships/hyperlink" Target="https://spylabs.bigcartel.com/" TargetMode="External"/><Relationship Id="rId386" Type="http://schemas.openxmlformats.org/officeDocument/2006/relationships/hyperlink" Target="https://streacom.com/products/db4-fanless-chassis/" TargetMode="External"/><Relationship Id="rId260" Type="http://schemas.openxmlformats.org/officeDocument/2006/relationships/hyperlink" Target="https://store.jmcustomized.com/" TargetMode="External"/><Relationship Id="rId381" Type="http://schemas.openxmlformats.org/officeDocument/2006/relationships/hyperlink" Target="https://www.coolermaster.com/catalog/cases/mini-itx/masterbox-nr200" TargetMode="External"/><Relationship Id="rId380" Type="http://schemas.openxmlformats.org/officeDocument/2006/relationships/hyperlink" Target="https://item.taobao.com/item.htm?id=702007582325" TargetMode="External"/><Relationship Id="rId139" Type="http://schemas.openxmlformats.org/officeDocument/2006/relationships/hyperlink" Target="https://www.custom-mod.com/en" TargetMode="External"/><Relationship Id="rId138" Type="http://schemas.openxmlformats.org/officeDocument/2006/relationships/hyperlink" Target="https://iqunix.store/collections/iqunix-all-products/products/itx-case-zx-1" TargetMode="External"/><Relationship Id="rId259" Type="http://schemas.openxmlformats.org/officeDocument/2006/relationships/hyperlink" Target="https://jmcustomized.com/products/jimu-d-v2-0-package-d" TargetMode="External"/><Relationship Id="rId137" Type="http://schemas.openxmlformats.org/officeDocument/2006/relationships/hyperlink" Target="https://www.iqunix.com/" TargetMode="External"/><Relationship Id="rId258" Type="http://schemas.openxmlformats.org/officeDocument/2006/relationships/hyperlink" Target="https://store.jmcustomized.com/" TargetMode="External"/><Relationship Id="rId379" Type="http://schemas.openxmlformats.org/officeDocument/2006/relationships/hyperlink" Target="https://cooj.cc/" TargetMode="External"/><Relationship Id="rId132" Type="http://schemas.openxmlformats.org/officeDocument/2006/relationships/hyperlink" Target="https://detail.tmall.com/item.htm?id=653544553922" TargetMode="External"/><Relationship Id="rId253" Type="http://schemas.openxmlformats.org/officeDocument/2006/relationships/hyperlink" Target="https://smallformfactor.net/forum/threads/z13-14-1l-one-piece-aluminum.15844/" TargetMode="External"/><Relationship Id="rId374" Type="http://schemas.openxmlformats.org/officeDocument/2006/relationships/hyperlink" Target="https://www.chieftec.eu/products-detail/530/CN-01B-OP" TargetMode="External"/><Relationship Id="rId131" Type="http://schemas.openxmlformats.org/officeDocument/2006/relationships/hyperlink" Target="https://jinhetian.world.tmall.com/" TargetMode="External"/><Relationship Id="rId252" Type="http://schemas.openxmlformats.org/officeDocument/2006/relationships/hyperlink" Target="https://cooj.cc/products/z13-14-1l-one-piece-aluminum-housing-itx-case?variant=39674598785200" TargetMode="External"/><Relationship Id="rId373" Type="http://schemas.openxmlformats.org/officeDocument/2006/relationships/hyperlink" Target="https://item.taobao.com/item.htm?id=627856411908" TargetMode="External"/><Relationship Id="rId130" Type="http://schemas.openxmlformats.org/officeDocument/2006/relationships/hyperlink" Target="https://smallformfactor.net/forum/threads/steck-minimalist-stackable-sandwich-style-sff-case-up-to-3x-slot-gpu-325mm-l.17933/" TargetMode="External"/><Relationship Id="rId251" Type="http://schemas.openxmlformats.org/officeDocument/2006/relationships/hyperlink" Target="https://cooj.cc/" TargetMode="External"/><Relationship Id="rId372" Type="http://schemas.openxmlformats.org/officeDocument/2006/relationships/hyperlink" Target="https://wiki.sff.media/en/Cases/Sliger/SV590" TargetMode="External"/><Relationship Id="rId250" Type="http://schemas.openxmlformats.org/officeDocument/2006/relationships/hyperlink" Target="https://item.taobao.com/item.htm?id=682951107552" TargetMode="External"/><Relationship Id="rId371" Type="http://schemas.openxmlformats.org/officeDocument/2006/relationships/hyperlink" Target="https://www.sliger.com/products/cases/sv590/" TargetMode="External"/><Relationship Id="rId136" Type="http://schemas.openxmlformats.org/officeDocument/2006/relationships/hyperlink" Target="https://wiki.sff.media/en/Cases/Silverstone/RVZ02" TargetMode="External"/><Relationship Id="rId257" Type="http://schemas.openxmlformats.org/officeDocument/2006/relationships/hyperlink" Target="https://www.silverstonetek.com/en/" TargetMode="External"/><Relationship Id="rId378" Type="http://schemas.openxmlformats.org/officeDocument/2006/relationships/hyperlink" Target="https://item.taobao.com/item.htm?id=702004006630" TargetMode="External"/><Relationship Id="rId135" Type="http://schemas.openxmlformats.org/officeDocument/2006/relationships/hyperlink" Target="https://www.silverstonetek.com/en/" TargetMode="External"/><Relationship Id="rId256" Type="http://schemas.openxmlformats.org/officeDocument/2006/relationships/hyperlink" Target="https://okicase.com/products/oki-case-black?variant=40231523975330" TargetMode="External"/><Relationship Id="rId377" Type="http://schemas.openxmlformats.org/officeDocument/2006/relationships/hyperlink" Target="https://cooj.cc/" TargetMode="External"/><Relationship Id="rId134" Type="http://schemas.openxmlformats.org/officeDocument/2006/relationships/hyperlink" Target="https://wiki.sff.media/en/Cases/Silverstone/ML08" TargetMode="External"/><Relationship Id="rId255" Type="http://schemas.openxmlformats.org/officeDocument/2006/relationships/hyperlink" Target="https://okicase.com/" TargetMode="External"/><Relationship Id="rId376" Type="http://schemas.openxmlformats.org/officeDocument/2006/relationships/hyperlink" Target="https://www.jonsbo.com/en/products/V10ban.html" TargetMode="External"/><Relationship Id="rId133" Type="http://schemas.openxmlformats.org/officeDocument/2006/relationships/hyperlink" Target="https://www.silverstonetek.com/en/" TargetMode="External"/><Relationship Id="rId254" Type="http://schemas.openxmlformats.org/officeDocument/2006/relationships/hyperlink" Target="https://www.silverstonetek.com/en/" TargetMode="External"/><Relationship Id="rId375" Type="http://schemas.openxmlformats.org/officeDocument/2006/relationships/hyperlink" Target="https://www.jonsbo.com/en/products/N3.html" TargetMode="External"/><Relationship Id="rId172" Type="http://schemas.openxmlformats.org/officeDocument/2006/relationships/hyperlink" Target="https://zscases.com/" TargetMode="External"/><Relationship Id="rId293" Type="http://schemas.openxmlformats.org/officeDocument/2006/relationships/hyperlink" Target="https://item.taobao.com/item.htm?id=671398813966" TargetMode="External"/><Relationship Id="rId171" Type="http://schemas.openxmlformats.org/officeDocument/2006/relationships/hyperlink" Target="https://smallformfactor.net/forum/threads/revoccases-rcc-big1-industrial-style-vertical-13l-sff-case.12871/" TargetMode="External"/><Relationship Id="rId292" Type="http://schemas.openxmlformats.org/officeDocument/2006/relationships/hyperlink" Target="https://item.taobao.com/item.htm?id=720957198918" TargetMode="External"/><Relationship Id="rId170" Type="http://schemas.openxmlformats.org/officeDocument/2006/relationships/hyperlink" Target="https://revoccases.com/" TargetMode="External"/><Relationship Id="rId291" Type="http://schemas.openxmlformats.org/officeDocument/2006/relationships/hyperlink" Target="https://shop113082141.world.taobao.com/" TargetMode="External"/><Relationship Id="rId290" Type="http://schemas.openxmlformats.org/officeDocument/2006/relationships/hyperlink" Target="https://item.taobao.com/item.htm?id=632480775744" TargetMode="External"/><Relationship Id="rId165" Type="http://schemas.openxmlformats.org/officeDocument/2006/relationships/hyperlink" Target="https://item.taobao.com/item.htm?id=613999752946" TargetMode="External"/><Relationship Id="rId286" Type="http://schemas.openxmlformats.org/officeDocument/2006/relationships/hyperlink" Target="https://smallformfactor.net/forum/threads/dan-c4-sfx-update-21-11-2020.12329/" TargetMode="External"/><Relationship Id="rId164" Type="http://schemas.openxmlformats.org/officeDocument/2006/relationships/hyperlink" Target="https://shop62690663.world.taobao.com/search.htm?spm=a312a.7700824.0.0.6e291bfatpXNgH&amp;search=y" TargetMode="External"/><Relationship Id="rId285" Type="http://schemas.openxmlformats.org/officeDocument/2006/relationships/hyperlink" Target="https://smallformfactor.net/forum/threads/dan-c4-sfx.12329/post-277751" TargetMode="External"/><Relationship Id="rId163" Type="http://schemas.openxmlformats.org/officeDocument/2006/relationships/hyperlink" Target="https://wiki.sff.media/en/Cases/GEEEK/A70-PRO" TargetMode="External"/><Relationship Id="rId284" Type="http://schemas.openxmlformats.org/officeDocument/2006/relationships/hyperlink" Target="https://smallformfactor.net/forum/threads/lazer3d-lzx-series-cnc-triple-slot-m-atx.15473/" TargetMode="External"/><Relationship Id="rId162" Type="http://schemas.openxmlformats.org/officeDocument/2006/relationships/hyperlink" Target="https://www.geeekstore.com/shop/a70-pro-mini-itx-case/" TargetMode="External"/><Relationship Id="rId283" Type="http://schemas.openxmlformats.org/officeDocument/2006/relationships/hyperlink" Target="https://lazer3d.com/product/lzx15-small-micro-atx-gaming-sffpc-case/" TargetMode="External"/><Relationship Id="rId169" Type="http://schemas.openxmlformats.org/officeDocument/2006/relationships/hyperlink" Target="https://www.jonsbo.com/en/products/N1.html" TargetMode="External"/><Relationship Id="rId168" Type="http://schemas.openxmlformats.org/officeDocument/2006/relationships/hyperlink" Target="https://www.jonsbo.com/en/products/V11Black.html" TargetMode="External"/><Relationship Id="rId289" Type="http://schemas.openxmlformats.org/officeDocument/2006/relationships/hyperlink" Target="https://www.custom-mod.com/en" TargetMode="External"/><Relationship Id="rId167" Type="http://schemas.openxmlformats.org/officeDocument/2006/relationships/hyperlink" Target="https://www.silverstonetek.com/product.php?pid=1021&amp;area=en" TargetMode="External"/><Relationship Id="rId288" Type="http://schemas.openxmlformats.org/officeDocument/2006/relationships/hyperlink" Target="https://www.fsplifestyle.com/en/product/CST110.html" TargetMode="External"/><Relationship Id="rId166" Type="http://schemas.openxmlformats.org/officeDocument/2006/relationships/hyperlink" Target="https://www.silverstonetek.com/en/" TargetMode="External"/><Relationship Id="rId287" Type="http://schemas.openxmlformats.org/officeDocument/2006/relationships/hyperlink" Target="http://www.fsplifestyle.com/en/index.php" TargetMode="External"/><Relationship Id="rId161" Type="http://schemas.openxmlformats.org/officeDocument/2006/relationships/hyperlink" Target="https://www.custom-mod.com/en/stranica-tovara/%D0%BA%D0%BE%D1%80%D0%BF%D1%83%D1%81-sxm-12-8l-liquid-cooling?currency=USD" TargetMode="External"/><Relationship Id="rId282" Type="http://schemas.openxmlformats.org/officeDocument/2006/relationships/hyperlink" Target="https://item.taobao.com/item.htm?id=662912851787" TargetMode="External"/><Relationship Id="rId160" Type="http://schemas.openxmlformats.org/officeDocument/2006/relationships/hyperlink" Target="https://www.custom-mod.com/en" TargetMode="External"/><Relationship Id="rId281" Type="http://schemas.openxmlformats.org/officeDocument/2006/relationships/hyperlink" Target="https://item.taobao.com/item.htm?id=673005845840" TargetMode="External"/><Relationship Id="rId280" Type="http://schemas.openxmlformats.org/officeDocument/2006/relationships/hyperlink" Target="https://item.taobao.com/item.htm?id=622010289554" TargetMode="External"/><Relationship Id="rId159" Type="http://schemas.openxmlformats.org/officeDocument/2006/relationships/hyperlink" Target="https://captaincase.world.taobao.com/" TargetMode="External"/><Relationship Id="rId154" Type="http://schemas.openxmlformats.org/officeDocument/2006/relationships/hyperlink" Target="https://item.taobao.com/item.htm?id=719271498472" TargetMode="External"/><Relationship Id="rId275" Type="http://schemas.openxmlformats.org/officeDocument/2006/relationships/hyperlink" Target="https://www.minicomputers.net/gecko-itx-l" TargetMode="External"/><Relationship Id="rId396" Type="http://schemas.openxmlformats.org/officeDocument/2006/relationships/hyperlink" Target="https://www.nanoxiausa.com/collections/gaming-pc-cases/products/project-s-mini" TargetMode="External"/><Relationship Id="rId153" Type="http://schemas.openxmlformats.org/officeDocument/2006/relationships/hyperlink" Target="https://shinysnake.world.taobao.com/" TargetMode="External"/><Relationship Id="rId274" Type="http://schemas.openxmlformats.org/officeDocument/2006/relationships/hyperlink" Target="https://en.minicomputers.net/" TargetMode="External"/><Relationship Id="rId395" Type="http://schemas.openxmlformats.org/officeDocument/2006/relationships/hyperlink" Target="https://www.nanoxiausa.com/" TargetMode="External"/><Relationship Id="rId152" Type="http://schemas.openxmlformats.org/officeDocument/2006/relationships/hyperlink" Target="https://wiki.sff.media/en/Cases/NCASE/M1" TargetMode="External"/><Relationship Id="rId273" Type="http://schemas.openxmlformats.org/officeDocument/2006/relationships/hyperlink" Target="https://wiki.sff.media/en/Cases/Cooler-Master/Elite-110" TargetMode="External"/><Relationship Id="rId394" Type="http://schemas.openxmlformats.org/officeDocument/2006/relationships/hyperlink" Target="https://item.taobao.com/item.htm?id=652802758935" TargetMode="External"/><Relationship Id="rId151" Type="http://schemas.openxmlformats.org/officeDocument/2006/relationships/hyperlink" Target="https://shop315429399.world.taobao.com/" TargetMode="External"/><Relationship Id="rId272" Type="http://schemas.openxmlformats.org/officeDocument/2006/relationships/hyperlink" Target="https://smallformfactor.net/forum/threads/sfftime-presents-n-atx-v2-15l-evolution-of-console-case-that-supports-atx-size-parts.17845" TargetMode="External"/><Relationship Id="rId393" Type="http://schemas.openxmlformats.org/officeDocument/2006/relationships/hyperlink" Target="https://shop472748335.world.taobao.com/" TargetMode="External"/><Relationship Id="rId158" Type="http://schemas.openxmlformats.org/officeDocument/2006/relationships/hyperlink" Target="https://item.taobao.com/item.htm?id=705112770591" TargetMode="External"/><Relationship Id="rId279" Type="http://schemas.openxmlformats.org/officeDocument/2006/relationships/hyperlink" Target="https://item.taobao.com/item.htm?id=692450940528" TargetMode="External"/><Relationship Id="rId157" Type="http://schemas.openxmlformats.org/officeDocument/2006/relationships/hyperlink" Target="https://captaincase.world.taobao.com/" TargetMode="External"/><Relationship Id="rId278" Type="http://schemas.openxmlformats.org/officeDocument/2006/relationships/hyperlink" Target="https://shop458594376.world.taobao.com/" TargetMode="External"/><Relationship Id="rId399" Type="http://schemas.openxmlformats.org/officeDocument/2006/relationships/hyperlink" Target="https://revoccases.com/" TargetMode="External"/><Relationship Id="rId156" Type="http://schemas.openxmlformats.org/officeDocument/2006/relationships/hyperlink" Target="https://jinhetian.world.tmall.com/" TargetMode="External"/><Relationship Id="rId277" Type="http://schemas.openxmlformats.org/officeDocument/2006/relationships/hyperlink" Target="https://wiki.sff.media/en/Cases/Sliger/SV540" TargetMode="External"/><Relationship Id="rId398" Type="http://schemas.openxmlformats.org/officeDocument/2006/relationships/hyperlink" Target="http://www.goldenfield.com.cn/ch/main.html" TargetMode="External"/><Relationship Id="rId155" Type="http://schemas.openxmlformats.org/officeDocument/2006/relationships/hyperlink" Target="https://item.taobao.com/item.htm?id=702748589457" TargetMode="External"/><Relationship Id="rId276" Type="http://schemas.openxmlformats.org/officeDocument/2006/relationships/hyperlink" Target="http://sliger.com/products/cases/sv540/" TargetMode="External"/><Relationship Id="rId397" Type="http://schemas.openxmlformats.org/officeDocument/2006/relationships/hyperlink" Target="https://item.taobao.com/item.htm?id=757214642819" TargetMode="External"/><Relationship Id="rId40" Type="http://schemas.openxmlformats.org/officeDocument/2006/relationships/hyperlink" Target="https://store.jmcustomized.com/" TargetMode="External"/><Relationship Id="rId42" Type="http://schemas.openxmlformats.org/officeDocument/2006/relationships/hyperlink" Target="https://smallformfactor.net/forum/threads/jimu-d-v2-0-the-all-in-one-itx-case.17156/" TargetMode="External"/><Relationship Id="rId41" Type="http://schemas.openxmlformats.org/officeDocument/2006/relationships/hyperlink" Target="https://store.jmcustomized.com/products/jimu-d-v2-0-package-b" TargetMode="External"/><Relationship Id="rId44" Type="http://schemas.openxmlformats.org/officeDocument/2006/relationships/hyperlink" Target="https://en.minicomputers.net/gecko-air-itx" TargetMode="External"/><Relationship Id="rId43" Type="http://schemas.openxmlformats.org/officeDocument/2006/relationships/hyperlink" Target="https://en.minicomputers.net/" TargetMode="External"/><Relationship Id="rId46" Type="http://schemas.openxmlformats.org/officeDocument/2006/relationships/hyperlink" Target="https://item.taobao.com/item.htm?id=630045332373" TargetMode="External"/><Relationship Id="rId45" Type="http://schemas.openxmlformats.org/officeDocument/2006/relationships/hyperlink" Target="https://item.taobao.com/item.htm?id=617924845856" TargetMode="External"/><Relationship Id="rId48" Type="http://schemas.openxmlformats.org/officeDocument/2006/relationships/hyperlink" Target="https://www.geeekstore.com/shop/m5-mini-itx-case/" TargetMode="External"/><Relationship Id="rId47" Type="http://schemas.openxmlformats.org/officeDocument/2006/relationships/hyperlink" Target="https://jzmdz.world.taobao.com/" TargetMode="External"/><Relationship Id="rId49" Type="http://schemas.openxmlformats.org/officeDocument/2006/relationships/hyperlink" Target="https://revoccases.com/" TargetMode="External"/><Relationship Id="rId31" Type="http://schemas.openxmlformats.org/officeDocument/2006/relationships/hyperlink" Target="https://shop62690663.world.taobao.com/search.htm?spm=a312a.7700824.0.0.6e291bfatpXNgH&amp;search=y" TargetMode="External"/><Relationship Id="rId30" Type="http://schemas.openxmlformats.org/officeDocument/2006/relationships/hyperlink" Target="https://store.jmcustomized.com/" TargetMode="External"/><Relationship Id="rId33" Type="http://schemas.openxmlformats.org/officeDocument/2006/relationships/hyperlink" Target="https://xtia.design/" TargetMode="External"/><Relationship Id="rId32" Type="http://schemas.openxmlformats.org/officeDocument/2006/relationships/hyperlink" Target="https://item.taobao.com/item.htm?id=612690329138" TargetMode="External"/><Relationship Id="rId35" Type="http://schemas.openxmlformats.org/officeDocument/2006/relationships/hyperlink" Target="https://xtia.design/" TargetMode="External"/><Relationship Id="rId34" Type="http://schemas.openxmlformats.org/officeDocument/2006/relationships/hyperlink" Target="https://xtia.design/products/xtia-xproto-1" TargetMode="External"/><Relationship Id="rId37" Type="http://schemas.openxmlformats.org/officeDocument/2006/relationships/hyperlink" Target="https://store.jmcustomized.com/" TargetMode="External"/><Relationship Id="rId36" Type="http://schemas.openxmlformats.org/officeDocument/2006/relationships/hyperlink" Target="https://xtia.design/products/xtia-xproto-n" TargetMode="External"/><Relationship Id="rId39" Type="http://schemas.openxmlformats.org/officeDocument/2006/relationships/hyperlink" Target="https://smallformfactor.net/forum/threads/jimu-d-v2-0-the-all-in-one-itx-case.17156/" TargetMode="External"/><Relationship Id="rId38" Type="http://schemas.openxmlformats.org/officeDocument/2006/relationships/hyperlink" Target="https://jmcustomized.com/products/copy-of-jimu-d-v2-0-package-a" TargetMode="External"/><Relationship Id="rId20" Type="http://schemas.openxmlformats.org/officeDocument/2006/relationships/hyperlink" Target="https://shop62690663.world.taobao.com/search.htm?spm=a312a.7700824.0.0.6e291bfatpXNgH&amp;search=y" TargetMode="External"/><Relationship Id="rId22" Type="http://schemas.openxmlformats.org/officeDocument/2006/relationships/hyperlink" Target="https://shop62690663.world.taobao.com/search.htm?spm=a312a.7700824.0.0.6e291bfatpXNgH&amp;search=y" TargetMode="External"/><Relationship Id="rId21" Type="http://schemas.openxmlformats.org/officeDocument/2006/relationships/hyperlink" Target="https://shop62690663.world.taobao.com/search.htm?spm=a312a.7700824.0.0.6e291bfatpXNgH&amp;search=y" TargetMode="External"/><Relationship Id="rId24" Type="http://schemas.openxmlformats.org/officeDocument/2006/relationships/hyperlink" Target="https://www.sfftime.com/p-atx" TargetMode="External"/><Relationship Id="rId23" Type="http://schemas.openxmlformats.org/officeDocument/2006/relationships/hyperlink" Target="https://www.fractal-design.com/products/cases/terra/terra/terra-jade/" TargetMode="External"/><Relationship Id="rId409" Type="http://schemas.openxmlformats.org/officeDocument/2006/relationships/hyperlink" Target="https://www.deepcool.com/" TargetMode="External"/><Relationship Id="rId404" Type="http://schemas.openxmlformats.org/officeDocument/2006/relationships/hyperlink" Target="https://hzcase.world.taobao.com/" TargetMode="External"/><Relationship Id="rId403" Type="http://schemas.openxmlformats.org/officeDocument/2006/relationships/hyperlink" Target="https://item.taobao.com/item.htm?id=685964541859" TargetMode="External"/><Relationship Id="rId402" Type="http://schemas.openxmlformats.org/officeDocument/2006/relationships/hyperlink" Target="https://item.taobao.com/item.htm?id=741840164907" TargetMode="External"/><Relationship Id="rId401" Type="http://schemas.openxmlformats.org/officeDocument/2006/relationships/hyperlink" Target="https://shinysnake.world.taobao.com/" TargetMode="External"/><Relationship Id="rId408" Type="http://schemas.openxmlformats.org/officeDocument/2006/relationships/hyperlink" Target="https://item.taobao.com/item.htm?id=648911867766" TargetMode="External"/><Relationship Id="rId407" Type="http://schemas.openxmlformats.org/officeDocument/2006/relationships/hyperlink" Target="https://item.taobao.com/item.htm?id=520138539668" TargetMode="External"/><Relationship Id="rId406" Type="http://schemas.openxmlformats.org/officeDocument/2006/relationships/hyperlink" Target="https://hzcase.world.taobao.com/" TargetMode="External"/><Relationship Id="rId405" Type="http://schemas.openxmlformats.org/officeDocument/2006/relationships/hyperlink" Target="https://item.taobao.com/item.htm?id=520138539668" TargetMode="External"/><Relationship Id="rId26" Type="http://schemas.openxmlformats.org/officeDocument/2006/relationships/hyperlink" Target="https://item.taobao.com/item.htm?id=625778923309" TargetMode="External"/><Relationship Id="rId25" Type="http://schemas.openxmlformats.org/officeDocument/2006/relationships/hyperlink" Target="https://smallformfactor.net/forum/threads/sfftime-presents-p-atx-v3-10-4l-case-evolution-of-atx-console-case.17260/" TargetMode="External"/><Relationship Id="rId28" Type="http://schemas.openxmlformats.org/officeDocument/2006/relationships/hyperlink" Target="https://shinysnake.world.taobao.com/" TargetMode="External"/><Relationship Id="rId27" Type="http://schemas.openxmlformats.org/officeDocument/2006/relationships/hyperlink" Target="https://item.taobao.com/item.htm?id=671796339338" TargetMode="External"/><Relationship Id="rId400" Type="http://schemas.openxmlformats.org/officeDocument/2006/relationships/hyperlink" Target="https://smallformfactor.net/forum/threads/rcc-big2-customizable-bto-case-support-for-280mm-aios-or-noctua-nh-c14s.15318/" TargetMode="External"/><Relationship Id="rId29" Type="http://schemas.openxmlformats.org/officeDocument/2006/relationships/hyperlink" Target="https://item.taobao.com/item.htm?id=688862346985" TargetMode="External"/><Relationship Id="rId11" Type="http://schemas.openxmlformats.org/officeDocument/2006/relationships/hyperlink" Target="https://shop331539571.world.taobao.com/" TargetMode="External"/><Relationship Id="rId10" Type="http://schemas.openxmlformats.org/officeDocument/2006/relationships/hyperlink" Target="https://wiki.sff.media/en/Cases/Fractal-Design/Node-202" TargetMode="External"/><Relationship Id="rId13" Type="http://schemas.openxmlformats.org/officeDocument/2006/relationships/hyperlink" Target="https://zscases.com/products/copy-of-zs-a4-v3" TargetMode="External"/><Relationship Id="rId12" Type="http://schemas.openxmlformats.org/officeDocument/2006/relationships/hyperlink" Target="https://zscases.com/" TargetMode="External"/><Relationship Id="rId15" Type="http://schemas.openxmlformats.org/officeDocument/2006/relationships/hyperlink" Target="https://www.in-win.com/en/computer-chassis/bp-series/APAC" TargetMode="External"/><Relationship Id="rId14" Type="http://schemas.openxmlformats.org/officeDocument/2006/relationships/hyperlink" Target="https://wiki.sff.media/en/Cases/ZS-Cases/ZS_Cases" TargetMode="External"/><Relationship Id="rId17" Type="http://schemas.openxmlformats.org/officeDocument/2006/relationships/hyperlink" Target="https://item.taobao.com/item.htm?id=637393691116" TargetMode="External"/><Relationship Id="rId16" Type="http://schemas.openxmlformats.org/officeDocument/2006/relationships/hyperlink" Target="https://shop62690663.world.taobao.com/search.htm?spm=a312a.7700824.0.0.6e291bfatpXNgH&amp;search=y" TargetMode="External"/><Relationship Id="rId19" Type="http://schemas.openxmlformats.org/officeDocument/2006/relationships/hyperlink" Target="https://www.silverstonetek.com/en/product/info/computer-chassis/MILO11/" TargetMode="External"/><Relationship Id="rId18" Type="http://schemas.openxmlformats.org/officeDocument/2006/relationships/hyperlink" Target="https://www.silverstonetek.com/en/" TargetMode="External"/><Relationship Id="rId84" Type="http://schemas.openxmlformats.org/officeDocument/2006/relationships/hyperlink" Target="https://www.geeekstore.com/shop/geeek-g1-se-miniitx-case/" TargetMode="External"/><Relationship Id="rId83" Type="http://schemas.openxmlformats.org/officeDocument/2006/relationships/hyperlink" Target="https://www.silverstonetek.com/en/" TargetMode="External"/><Relationship Id="rId86" Type="http://schemas.openxmlformats.org/officeDocument/2006/relationships/hyperlink" Target="https://captaincase.world.taobao.com/" TargetMode="External"/><Relationship Id="rId85" Type="http://schemas.openxmlformats.org/officeDocument/2006/relationships/hyperlink" Target="https://wiki.sff.media/en/Cases/GEEEK/G1-SE" TargetMode="External"/><Relationship Id="rId88" Type="http://schemas.openxmlformats.org/officeDocument/2006/relationships/hyperlink" Target="https://www.geeekstore.com/shop/g1-mini-itx-case/" TargetMode="External"/><Relationship Id="rId87" Type="http://schemas.openxmlformats.org/officeDocument/2006/relationships/hyperlink" Target="https://shop192864825.taobao.com/" TargetMode="External"/><Relationship Id="rId89" Type="http://schemas.openxmlformats.org/officeDocument/2006/relationships/hyperlink" Target="https://www.custom-mod.com/en" TargetMode="External"/><Relationship Id="rId80" Type="http://schemas.openxmlformats.org/officeDocument/2006/relationships/hyperlink" Target="http://www.lian-li.com/" TargetMode="External"/><Relationship Id="rId82" Type="http://schemas.openxmlformats.org/officeDocument/2006/relationships/hyperlink" Target="https://smallformfactor.net/forum/threads/lian-li-dan-a4-h2o.16201/" TargetMode="External"/><Relationship Id="rId81" Type="http://schemas.openxmlformats.org/officeDocument/2006/relationships/hyperlink" Target="https://lian-li.com/product/a4h2o/" TargetMode="External"/><Relationship Id="rId73" Type="http://schemas.openxmlformats.org/officeDocument/2006/relationships/hyperlink" Target="https://www.louqe.com/ghost-s1/" TargetMode="External"/><Relationship Id="rId72" Type="http://schemas.openxmlformats.org/officeDocument/2006/relationships/hyperlink" Target="https://item.taobao.com/item.htm?id=603220908735" TargetMode="External"/><Relationship Id="rId75" Type="http://schemas.openxmlformats.org/officeDocument/2006/relationships/hyperlink" Target="https://wiki.sff.media/en/Cases/Sliger/SM560" TargetMode="External"/><Relationship Id="rId74" Type="http://schemas.openxmlformats.org/officeDocument/2006/relationships/hyperlink" Target="https://wiki.sff.media/en/Cases/Louqe/Ghost" TargetMode="External"/><Relationship Id="rId77" Type="http://schemas.openxmlformats.org/officeDocument/2006/relationships/hyperlink" Target="https://en.minicomputers.net/gecko-250" TargetMode="External"/><Relationship Id="rId76" Type="http://schemas.openxmlformats.org/officeDocument/2006/relationships/hyperlink" Target="https://en.minicomputers.net/" TargetMode="External"/><Relationship Id="rId79" Type="http://schemas.openxmlformats.org/officeDocument/2006/relationships/hyperlink" Target="https://item.taobao.com/item.htm?id=651528678425" TargetMode="External"/><Relationship Id="rId78" Type="http://schemas.openxmlformats.org/officeDocument/2006/relationships/hyperlink" Target="https://www.jonsbo.com/en/products/N2Black.html" TargetMode="External"/><Relationship Id="rId71" Type="http://schemas.openxmlformats.org/officeDocument/2006/relationships/hyperlink" Target="https://item.taobao.com/item.htm?id=633719208558" TargetMode="External"/><Relationship Id="rId70" Type="http://schemas.openxmlformats.org/officeDocument/2006/relationships/hyperlink" Target="https://wiki.sff.media/en/Cases/GEEEK/A70" TargetMode="External"/><Relationship Id="rId62" Type="http://schemas.openxmlformats.org/officeDocument/2006/relationships/hyperlink" Target="https://wiki.sff.media/en/Cases/Sliger/CL530" TargetMode="External"/><Relationship Id="rId61" Type="http://schemas.openxmlformats.org/officeDocument/2006/relationships/hyperlink" Target="https://www.sliger.com/products/cases/cl530/" TargetMode="External"/><Relationship Id="rId64" Type="http://schemas.openxmlformats.org/officeDocument/2006/relationships/hyperlink" Target="https://wiki.sff.media/en/Cases/GEEEK/A40-V3" TargetMode="External"/><Relationship Id="rId63" Type="http://schemas.openxmlformats.org/officeDocument/2006/relationships/hyperlink" Target="https://www.geeekstore.com/shop/a40-v3-mini-itx-case/" TargetMode="External"/><Relationship Id="rId66" Type="http://schemas.openxmlformats.org/officeDocument/2006/relationships/hyperlink" Target="https://shop571249771.world.taobao.com/" TargetMode="External"/><Relationship Id="rId65" Type="http://schemas.openxmlformats.org/officeDocument/2006/relationships/hyperlink" Target="https://shop571249771.world.taobao.com/" TargetMode="External"/><Relationship Id="rId68" Type="http://schemas.openxmlformats.org/officeDocument/2006/relationships/hyperlink" Target="https://item.taobao.com/item.htm?id=633674140658" TargetMode="External"/><Relationship Id="rId67" Type="http://schemas.openxmlformats.org/officeDocument/2006/relationships/hyperlink" Target="https://item.taobao.com/item.htm?id=613345102217" TargetMode="External"/><Relationship Id="rId60" Type="http://schemas.openxmlformats.org/officeDocument/2006/relationships/hyperlink" Target="https://shop543367034.world.taobao.com/" TargetMode="External"/><Relationship Id="rId69" Type="http://schemas.openxmlformats.org/officeDocument/2006/relationships/hyperlink" Target="https://www.geeekstore.com/shop/a70-mini-itx-case/" TargetMode="External"/><Relationship Id="rId51" Type="http://schemas.openxmlformats.org/officeDocument/2006/relationships/hyperlink" Target="https://smallformfactor.net/forum/threads/revoccases-rcc-twr1-small-vertical-tower-with-bottom-i-o-and-atx-psu-support.17214/" TargetMode="External"/><Relationship Id="rId50" Type="http://schemas.openxmlformats.org/officeDocument/2006/relationships/hyperlink" Target="https://smallformfactor.net/forum/threads/revoccases-rcc-twr1-small-vertical-tower-with-bottom-i-o-and-atx-psu-support.17214/" TargetMode="External"/><Relationship Id="rId53" Type="http://schemas.openxmlformats.org/officeDocument/2006/relationships/hyperlink" Target="https://www.iqunix.com/" TargetMode="External"/><Relationship Id="rId52" Type="http://schemas.openxmlformats.org/officeDocument/2006/relationships/hyperlink" Target="https://shop331539571.world.taobao.com/" TargetMode="External"/><Relationship Id="rId55" Type="http://schemas.openxmlformats.org/officeDocument/2006/relationships/hyperlink" Target="https://item.taobao.com/item.htm?id=637352701672" TargetMode="External"/><Relationship Id="rId54" Type="http://schemas.openxmlformats.org/officeDocument/2006/relationships/hyperlink" Target="https://iqunix.store/collections/iqunix-all-products/products/itx-case-zx-1" TargetMode="External"/><Relationship Id="rId57" Type="http://schemas.openxmlformats.org/officeDocument/2006/relationships/hyperlink" Target="https://smallformfactor.net/forum/threads/no-more-sandwich-w19-up-to-360aio-and-custom-loop-up-to-full-size-3-slot-gpu-ddc-pump-ready-for-uncompromise-watercooled-in-10l-console-case.15214/" TargetMode="External"/><Relationship Id="rId56" Type="http://schemas.openxmlformats.org/officeDocument/2006/relationships/hyperlink" Target="https://smallformfactor.net/forum/threads/no-more-sandwich-w19-up-to-360aio-and-custom-loop-up-to-full-size-3-slot-gpu-ddc-pump-ready-for-uncompromise-watercooled-in-10l-console-case.15214/" TargetMode="External"/><Relationship Id="rId59" Type="http://schemas.openxmlformats.org/officeDocument/2006/relationships/hyperlink" Target="https://www.silverstonetek.com/en/" TargetMode="External"/><Relationship Id="rId58" Type="http://schemas.openxmlformats.org/officeDocument/2006/relationships/hyperlink" Target="https://wiki.sff.media/en/Cases/Anthe/W19" TargetMode="External"/><Relationship Id="rId107" Type="http://schemas.openxmlformats.org/officeDocument/2006/relationships/hyperlink" Target="https://kompcase.com/" TargetMode="External"/><Relationship Id="rId228" Type="http://schemas.openxmlformats.org/officeDocument/2006/relationships/hyperlink" Target="https://www.silverstonetek.com/en/" TargetMode="External"/><Relationship Id="rId349" Type="http://schemas.openxmlformats.org/officeDocument/2006/relationships/hyperlink" Target="http://www.goldenfield.com.cn/ch/main.html" TargetMode="External"/><Relationship Id="rId106" Type="http://schemas.openxmlformats.org/officeDocument/2006/relationships/hyperlink" Target="https://kompcase.com/" TargetMode="External"/><Relationship Id="rId227" Type="http://schemas.openxmlformats.org/officeDocument/2006/relationships/hyperlink" Target="https://bteamlab.com/" TargetMode="External"/><Relationship Id="rId348" Type="http://schemas.openxmlformats.org/officeDocument/2006/relationships/hyperlink" Target="http://www.goldenfield.com.cn/ch/main.html" TargetMode="External"/><Relationship Id="rId105" Type="http://schemas.openxmlformats.org/officeDocument/2006/relationships/hyperlink" Target="https://smallformfactor.net/forum/threads/revoccases-rcc-mid1-industrial-style-case-with-180mm-fan-and-rad-support.13116/" TargetMode="External"/><Relationship Id="rId226" Type="http://schemas.openxmlformats.org/officeDocument/2006/relationships/hyperlink" Target="https://bteamlab.com/" TargetMode="External"/><Relationship Id="rId347" Type="http://schemas.openxmlformats.org/officeDocument/2006/relationships/hyperlink" Target="https://www.darkflash.com/tw/product/show.php?num=12" TargetMode="External"/><Relationship Id="rId104" Type="http://schemas.openxmlformats.org/officeDocument/2006/relationships/hyperlink" Target="https://revoccases.com/" TargetMode="External"/><Relationship Id="rId225" Type="http://schemas.openxmlformats.org/officeDocument/2006/relationships/hyperlink" Target="https://smallformfactor.net/forum/threads/z13-14-1l-one-piece-aluminum.15844/" TargetMode="External"/><Relationship Id="rId346" Type="http://schemas.openxmlformats.org/officeDocument/2006/relationships/hyperlink" Target="https://www.darkflash.com/" TargetMode="External"/><Relationship Id="rId109" Type="http://schemas.openxmlformats.org/officeDocument/2006/relationships/hyperlink" Target="https://shop472748335.world.taobao.com/" TargetMode="External"/><Relationship Id="rId108" Type="http://schemas.openxmlformats.org/officeDocument/2006/relationships/hyperlink" Target="https://www.zalman.com/EN/Product/ProductDetail.do?pageIndex=1&amp;pageSize=10&amp;pageUnit=12&amp;productSeq=1097&amp;searchCategory1=5&amp;searchCategory2=60&amp;searchCategory3=-99&amp;searchKey=&amp;searchWord=" TargetMode="External"/><Relationship Id="rId229" Type="http://schemas.openxmlformats.org/officeDocument/2006/relationships/hyperlink" Target="https://www.silverstonetek.com/product.php?pid=549&amp;area=en" TargetMode="External"/><Relationship Id="rId220" Type="http://schemas.openxmlformats.org/officeDocument/2006/relationships/hyperlink" Target="https://valkpc.com/products/vf-1" TargetMode="External"/><Relationship Id="rId341" Type="http://schemas.openxmlformats.org/officeDocument/2006/relationships/hyperlink" Target="https://www.u-nas.com/xcart/cart.php?target=product&amp;product_id=17640" TargetMode="External"/><Relationship Id="rId340" Type="http://schemas.openxmlformats.org/officeDocument/2006/relationships/hyperlink" Target="https://www.u-nas.com/xcart/cart.php?target=product&amp;product_id=17639" TargetMode="External"/><Relationship Id="rId103" Type="http://schemas.openxmlformats.org/officeDocument/2006/relationships/hyperlink" Target="https://item.taobao.com/item.htm?id=719183150207" TargetMode="External"/><Relationship Id="rId224" Type="http://schemas.openxmlformats.org/officeDocument/2006/relationships/hyperlink" Target="https://cooj.cc/" TargetMode="External"/><Relationship Id="rId345" Type="http://schemas.openxmlformats.org/officeDocument/2006/relationships/hyperlink" Target="https://item.jd.com/100015885304.html" TargetMode="External"/><Relationship Id="rId102" Type="http://schemas.openxmlformats.org/officeDocument/2006/relationships/hyperlink" Target="https://shop458594376.world.taobao.com/" TargetMode="External"/><Relationship Id="rId223" Type="http://schemas.openxmlformats.org/officeDocument/2006/relationships/hyperlink" Target="https://item.taobao.com/item.htm?id=627326981289" TargetMode="External"/><Relationship Id="rId344" Type="http://schemas.openxmlformats.org/officeDocument/2006/relationships/hyperlink" Target="https://aigodiy.jd.com/" TargetMode="External"/><Relationship Id="rId101" Type="http://schemas.openxmlformats.org/officeDocument/2006/relationships/hyperlink" Target="https://item.taobao.com/item.htm?id=676531650418" TargetMode="External"/><Relationship Id="rId222" Type="http://schemas.openxmlformats.org/officeDocument/2006/relationships/hyperlink" Target="https://kolink.eu/Home/case-1/mini-itx-2/rocket-v2-1.html" TargetMode="External"/><Relationship Id="rId343" Type="http://schemas.openxmlformats.org/officeDocument/2006/relationships/hyperlink" Target="https://item.taobao.com/item.htm?id=700811484171" TargetMode="External"/><Relationship Id="rId100" Type="http://schemas.openxmlformats.org/officeDocument/2006/relationships/hyperlink" Target="https://wiki.sff.media/en/Cases/Silverstone/SG13" TargetMode="External"/><Relationship Id="rId221" Type="http://schemas.openxmlformats.org/officeDocument/2006/relationships/hyperlink" Target="https://smallformfactor.net/forum/threads/valkpc-vf-1.16630/" TargetMode="External"/><Relationship Id="rId342" Type="http://schemas.openxmlformats.org/officeDocument/2006/relationships/hyperlink" Target="https://shop458594376.world.taobao.com/" TargetMode="External"/><Relationship Id="rId217" Type="http://schemas.openxmlformats.org/officeDocument/2006/relationships/hyperlink" Target="https://www.silverstonetek.com/en/" TargetMode="External"/><Relationship Id="rId338" Type="http://schemas.openxmlformats.org/officeDocument/2006/relationships/hyperlink" Target="https://en.minicomputers.net/" TargetMode="External"/><Relationship Id="rId216" Type="http://schemas.openxmlformats.org/officeDocument/2006/relationships/hyperlink" Target="https://wiki.sff.media/en/Cases/Silverstone/FTZ01" TargetMode="External"/><Relationship Id="rId337" Type="http://schemas.openxmlformats.org/officeDocument/2006/relationships/hyperlink" Target="https://wiki.sff.media/en/Cases/Fractal-Design/Era-ITX" TargetMode="External"/><Relationship Id="rId215" Type="http://schemas.openxmlformats.org/officeDocument/2006/relationships/hyperlink" Target="https://www.silverstonetek.com/en/" TargetMode="External"/><Relationship Id="rId336" Type="http://schemas.openxmlformats.org/officeDocument/2006/relationships/hyperlink" Target="https://kolink.eu/Home/case-1/mini-itx-2/rocket-heavy.html" TargetMode="External"/><Relationship Id="rId214" Type="http://schemas.openxmlformats.org/officeDocument/2006/relationships/hyperlink" Target="https://aerocool.io/product/playa-slim/" TargetMode="External"/><Relationship Id="rId335" Type="http://schemas.openxmlformats.org/officeDocument/2006/relationships/hyperlink" Target="https://en.minicomputers.net/gecko-air-atx" TargetMode="External"/><Relationship Id="rId456" Type="http://schemas.openxmlformats.org/officeDocument/2006/relationships/vmlDrawing" Target="../drawings/vmlDrawing2.vml"/><Relationship Id="rId219" Type="http://schemas.openxmlformats.org/officeDocument/2006/relationships/hyperlink" Target="https://valkpc.com/" TargetMode="External"/><Relationship Id="rId218" Type="http://schemas.openxmlformats.org/officeDocument/2006/relationships/hyperlink" Target="https://wiki.sff.media/en/Cases/Silverstone/FTZ01" TargetMode="External"/><Relationship Id="rId339" Type="http://schemas.openxmlformats.org/officeDocument/2006/relationships/hyperlink" Target="https://en.minicomputers.net/gecko-320" TargetMode="External"/><Relationship Id="rId330" Type="http://schemas.openxmlformats.org/officeDocument/2006/relationships/hyperlink" Target="https://xtia.design/" TargetMode="External"/><Relationship Id="rId451" Type="http://schemas.openxmlformats.org/officeDocument/2006/relationships/hyperlink" Target="https://cougargaming.com/products/cases2/qbx/" TargetMode="External"/><Relationship Id="rId450" Type="http://schemas.openxmlformats.org/officeDocument/2006/relationships/hyperlink" Target="https://www.jonsbo.com/en/products/VR3Black.html" TargetMode="External"/><Relationship Id="rId213" Type="http://schemas.openxmlformats.org/officeDocument/2006/relationships/hyperlink" Target="https://aerocool.io/" TargetMode="External"/><Relationship Id="rId334" Type="http://schemas.openxmlformats.org/officeDocument/2006/relationships/hyperlink" Target="https://en.minicomputers.net/" TargetMode="External"/><Relationship Id="rId455" Type="http://schemas.openxmlformats.org/officeDocument/2006/relationships/drawing" Target="../drawings/drawing3.xml"/><Relationship Id="rId212" Type="http://schemas.openxmlformats.org/officeDocument/2006/relationships/hyperlink" Target="https://smallformfactor.net/forum/threads/sfftime-presents-n-atx-14-l-case-with-atx-mbo-and-psu-4-slot-gpu-and-360mm-rad-support.14894/" TargetMode="External"/><Relationship Id="rId333" Type="http://schemas.openxmlformats.org/officeDocument/2006/relationships/hyperlink" Target="https://mall.jd.com/index-790072.html" TargetMode="External"/><Relationship Id="rId454" Type="http://schemas.openxmlformats.org/officeDocument/2006/relationships/hyperlink" Target="https://streacom.com/news/company/da6-product-announcement/" TargetMode="External"/><Relationship Id="rId211" Type="http://schemas.openxmlformats.org/officeDocument/2006/relationships/hyperlink" Target="https://www.sfftime.com/n-atx" TargetMode="External"/><Relationship Id="rId332" Type="http://schemas.openxmlformats.org/officeDocument/2006/relationships/hyperlink" Target="https://smallformfactor.net/forum/threads/16-5l-atx-mobo-atx-psu-xtia-new-case-xproto-atx.17196/" TargetMode="External"/><Relationship Id="rId453" Type="http://schemas.openxmlformats.org/officeDocument/2006/relationships/hyperlink" Target="http://www.lian-li.com/" TargetMode="External"/><Relationship Id="rId210" Type="http://schemas.openxmlformats.org/officeDocument/2006/relationships/hyperlink" Target="https://wiki.sff.media/en/Cases/Silverstone/RVZ01" TargetMode="External"/><Relationship Id="rId331" Type="http://schemas.openxmlformats.org/officeDocument/2006/relationships/hyperlink" Target="https://xtia.design/products/xtia-xproto-atx-case" TargetMode="External"/><Relationship Id="rId452" Type="http://schemas.openxmlformats.org/officeDocument/2006/relationships/hyperlink" Target="https://wiki.sff.media/en/Cases/Cougar/QBX" TargetMode="External"/><Relationship Id="rId370" Type="http://schemas.openxmlformats.org/officeDocument/2006/relationships/hyperlink" Target="https://wiki.sff.media/en/Cases/Sliger/SV590" TargetMode="External"/><Relationship Id="rId129" Type="http://schemas.openxmlformats.org/officeDocument/2006/relationships/hyperlink" Target="https://www.nouvolo.com/pages/steck" TargetMode="External"/><Relationship Id="rId128" Type="http://schemas.openxmlformats.org/officeDocument/2006/relationships/hyperlink" Target="https://en.minicomputers.net/product-page/case-gecko-itx-m" TargetMode="External"/><Relationship Id="rId249" Type="http://schemas.openxmlformats.org/officeDocument/2006/relationships/hyperlink" Target="https://shop458594376.world.taobao.com/" TargetMode="External"/><Relationship Id="rId127" Type="http://schemas.openxmlformats.org/officeDocument/2006/relationships/hyperlink" Target="https://en.minicomputers.net/" TargetMode="External"/><Relationship Id="rId248" Type="http://schemas.openxmlformats.org/officeDocument/2006/relationships/hyperlink" Target="https://smallformfactor.net/forum/threads/dan-c4-sfx-update-21-11-2020.12329/" TargetMode="External"/><Relationship Id="rId369" Type="http://schemas.openxmlformats.org/officeDocument/2006/relationships/hyperlink" Target="https://wiki.sff.media/en/Cases/Cooler-Master/MasterCase-H100" TargetMode="External"/><Relationship Id="rId126" Type="http://schemas.openxmlformats.org/officeDocument/2006/relationships/hyperlink" Target="https://jzmdz.world.taobao.com/" TargetMode="External"/><Relationship Id="rId247" Type="http://schemas.openxmlformats.org/officeDocument/2006/relationships/hyperlink" Target="https://www.dan-cases.com/c4sfx.php" TargetMode="External"/><Relationship Id="rId368" Type="http://schemas.openxmlformats.org/officeDocument/2006/relationships/hyperlink" Target="https://smallformfactor.net/forum/threads/pluto-a-13l-wood-top-tower-by-artesian-builds.16959/" TargetMode="External"/><Relationship Id="rId121" Type="http://schemas.openxmlformats.org/officeDocument/2006/relationships/hyperlink" Target="https://wiki.sff.media/en/Cases/GEEEK/N500-LITE" TargetMode="External"/><Relationship Id="rId242" Type="http://schemas.openxmlformats.org/officeDocument/2006/relationships/hyperlink" Target="https://www.silverstonetek.com/en/" TargetMode="External"/><Relationship Id="rId363" Type="http://schemas.openxmlformats.org/officeDocument/2006/relationships/hyperlink" Target="https://revoccases.com/" TargetMode="External"/><Relationship Id="rId120" Type="http://schemas.openxmlformats.org/officeDocument/2006/relationships/hyperlink" Target="https://www.geeekstore.com/shop/n500-lite-mini-itx-case/" TargetMode="External"/><Relationship Id="rId241" Type="http://schemas.openxmlformats.org/officeDocument/2006/relationships/hyperlink" Target="https://lian-li.com/product/q58/" TargetMode="External"/><Relationship Id="rId362" Type="http://schemas.openxmlformats.org/officeDocument/2006/relationships/hyperlink" Target="https://louqe.com/products/ghost-r1" TargetMode="External"/><Relationship Id="rId240" Type="http://schemas.openxmlformats.org/officeDocument/2006/relationships/hyperlink" Target="http://www.lian-li.com/" TargetMode="External"/><Relationship Id="rId361" Type="http://schemas.openxmlformats.org/officeDocument/2006/relationships/hyperlink" Target="https://www.coolermaster.com/catalog/max/mini-itx/ncore-100-max/" TargetMode="External"/><Relationship Id="rId360" Type="http://schemas.openxmlformats.org/officeDocument/2006/relationships/hyperlink" Target="https://item.taobao.com/item.htm?id=696431115390" TargetMode="External"/><Relationship Id="rId125" Type="http://schemas.openxmlformats.org/officeDocument/2006/relationships/hyperlink" Target="https://item.taobao.com/item.htm?id=728367589376" TargetMode="External"/><Relationship Id="rId246" Type="http://schemas.openxmlformats.org/officeDocument/2006/relationships/hyperlink" Target="https://smallformfactor.net/forum/threads/meshlicious-14-5l-vertical-280aio-mainstream-case.14608/" TargetMode="External"/><Relationship Id="rId367" Type="http://schemas.openxmlformats.org/officeDocument/2006/relationships/hyperlink" Target="https://smallformfactor.net/forum/threads/pluto-a-13l-wood-top-tower-by-artesian-builds.16959/" TargetMode="External"/><Relationship Id="rId124" Type="http://schemas.openxmlformats.org/officeDocument/2006/relationships/hyperlink" Target="https://shop62690663.world.taobao.com/search.htm?spm=a312a.7700824.0.0.6e291bfatpXNgH&amp;search=y" TargetMode="External"/><Relationship Id="rId245" Type="http://schemas.openxmlformats.org/officeDocument/2006/relationships/hyperlink" Target="https://www.ssupd.co/products/meshlicious" TargetMode="External"/><Relationship Id="rId366" Type="http://schemas.openxmlformats.org/officeDocument/2006/relationships/hyperlink" Target="https://www.silverstonetek.com/en/" TargetMode="External"/><Relationship Id="rId123" Type="http://schemas.openxmlformats.org/officeDocument/2006/relationships/hyperlink" Target="https://item.taobao.com/item.htm?id=607189882069" TargetMode="External"/><Relationship Id="rId244" Type="http://schemas.openxmlformats.org/officeDocument/2006/relationships/hyperlink" Target="https://www.ssupd.co/" TargetMode="External"/><Relationship Id="rId365" Type="http://schemas.openxmlformats.org/officeDocument/2006/relationships/hyperlink" Target="https://www.jonsbo.com/en/products/V9Silver.html" TargetMode="External"/><Relationship Id="rId122" Type="http://schemas.openxmlformats.org/officeDocument/2006/relationships/hyperlink" Target="https://shop282928913.world.taobao.com/" TargetMode="External"/><Relationship Id="rId243" Type="http://schemas.openxmlformats.org/officeDocument/2006/relationships/hyperlink" Target="https://wiki.sff.media/en/Cases/Silverstone/RVZ03" TargetMode="External"/><Relationship Id="rId364" Type="http://schemas.openxmlformats.org/officeDocument/2006/relationships/hyperlink" Target="https://smallformfactor.net/forum/threads/rcc-big2-customizable-bto-case-support-for-280mm-aios-or-noctua-nh-c14s.15318/" TargetMode="External"/><Relationship Id="rId95" Type="http://schemas.openxmlformats.org/officeDocument/2006/relationships/hyperlink" Target="https://xtia.design/" TargetMode="External"/><Relationship Id="rId94" Type="http://schemas.openxmlformats.org/officeDocument/2006/relationships/hyperlink" Target="https://shop557172250.world.taobao.com/" TargetMode="External"/><Relationship Id="rId97" Type="http://schemas.openxmlformats.org/officeDocument/2006/relationships/hyperlink" Target="https://shop62690663.world.taobao.com/search.htm?spm=a312a.7700824.0.0.6e291bfatpXNgH&amp;search=y" TargetMode="External"/><Relationship Id="rId96" Type="http://schemas.openxmlformats.org/officeDocument/2006/relationships/hyperlink" Target="https://xtia.design/products/xtia-xproto-l" TargetMode="External"/><Relationship Id="rId99" Type="http://schemas.openxmlformats.org/officeDocument/2006/relationships/hyperlink" Target="https://www.silverstonetek.com/en/" TargetMode="External"/><Relationship Id="rId98" Type="http://schemas.openxmlformats.org/officeDocument/2006/relationships/hyperlink" Target="https://item.taobao.com/item.htm?id=621907317021" TargetMode="External"/><Relationship Id="rId91" Type="http://schemas.openxmlformats.org/officeDocument/2006/relationships/hyperlink" Target="https://item.taobao.com/item.htm?id=694800879129" TargetMode="External"/><Relationship Id="rId90" Type="http://schemas.openxmlformats.org/officeDocument/2006/relationships/hyperlink" Target="https://item.taobao.com/item.htm?id=657352747005" TargetMode="External"/><Relationship Id="rId93" Type="http://schemas.openxmlformats.org/officeDocument/2006/relationships/hyperlink" Target="https://item.taobao.com/item.htm?id=586109890102" TargetMode="External"/><Relationship Id="rId92" Type="http://schemas.openxmlformats.org/officeDocument/2006/relationships/hyperlink" Target="https://thor-zone.com/mini-itx/nanoq/" TargetMode="External"/><Relationship Id="rId118" Type="http://schemas.openxmlformats.org/officeDocument/2006/relationships/hyperlink" Target="https://smallformfactor.net/forum/threads/revoccases-rcc-twr1-small-vertical-tower-with-bottom-i-o-and-atx-psu-support.17214/" TargetMode="External"/><Relationship Id="rId239" Type="http://schemas.openxmlformats.org/officeDocument/2006/relationships/hyperlink" Target="https://www.u-nas.com/xcart/cart.php?target=product&amp;product_id=17617" TargetMode="External"/><Relationship Id="rId117" Type="http://schemas.openxmlformats.org/officeDocument/2006/relationships/hyperlink" Target="https://smallformfactor.net/forum/threads/revoccases-rcc-twr1-small-vertical-tower-with-bottom-i-o-and-atx-psu-support.17214/" TargetMode="External"/><Relationship Id="rId238" Type="http://schemas.openxmlformats.org/officeDocument/2006/relationships/hyperlink" Target="https://item.taobao.com/item.htm?id=661838865499" TargetMode="External"/><Relationship Id="rId359" Type="http://schemas.openxmlformats.org/officeDocument/2006/relationships/hyperlink" Target="https://phanteks.com/Evolv-Shift-XT.html" TargetMode="External"/><Relationship Id="rId116" Type="http://schemas.openxmlformats.org/officeDocument/2006/relationships/hyperlink" Target="https://revoccases.com/" TargetMode="External"/><Relationship Id="rId237" Type="http://schemas.openxmlformats.org/officeDocument/2006/relationships/hyperlink" Target="https://aerocool.io/product/cs-101/" TargetMode="External"/><Relationship Id="rId358" Type="http://schemas.openxmlformats.org/officeDocument/2006/relationships/hyperlink" Target="https://phanteks.com/index.html" TargetMode="External"/><Relationship Id="rId115" Type="http://schemas.openxmlformats.org/officeDocument/2006/relationships/hyperlink" Target="https://shop65316658.world.taobao.com/" TargetMode="External"/><Relationship Id="rId236" Type="http://schemas.openxmlformats.org/officeDocument/2006/relationships/hyperlink" Target="https://aerocool.io/" TargetMode="External"/><Relationship Id="rId357" Type="http://schemas.openxmlformats.org/officeDocument/2006/relationships/hyperlink" Target="http://www.lian-li.com/" TargetMode="External"/><Relationship Id="rId119" Type="http://schemas.openxmlformats.org/officeDocument/2006/relationships/hyperlink" Target="http://www.lian-li.com/" TargetMode="External"/><Relationship Id="rId110" Type="http://schemas.openxmlformats.org/officeDocument/2006/relationships/hyperlink" Target="https://item.taobao.com/item.htm?id=656993649511" TargetMode="External"/><Relationship Id="rId231" Type="http://schemas.openxmlformats.org/officeDocument/2006/relationships/hyperlink" Target="https://www.silverstonetek.com/product.php?pid=550&amp;area=en" TargetMode="External"/><Relationship Id="rId352" Type="http://schemas.openxmlformats.org/officeDocument/2006/relationships/hyperlink" Target="https://ssupd.co/products/new-meshroom-s" TargetMode="External"/><Relationship Id="rId230" Type="http://schemas.openxmlformats.org/officeDocument/2006/relationships/hyperlink" Target="https://www.silverstonetek.com/en/" TargetMode="External"/><Relationship Id="rId351" Type="http://schemas.openxmlformats.org/officeDocument/2006/relationships/hyperlink" Target="https://www.ssupd.co/" TargetMode="External"/><Relationship Id="rId350" Type="http://schemas.openxmlformats.org/officeDocument/2006/relationships/hyperlink" Target="https://item.taobao.com/item.htm?id=692794477994" TargetMode="External"/><Relationship Id="rId114" Type="http://schemas.openxmlformats.org/officeDocument/2006/relationships/hyperlink" Target="https://item.taobao.com/item.htm?id=669111878798" TargetMode="External"/><Relationship Id="rId235" Type="http://schemas.openxmlformats.org/officeDocument/2006/relationships/hyperlink" Target="https://smallformfactor.net/forum/threads/in-0-an-extreme-pure-vertical-itx-case-production-almost-complete.11940/" TargetMode="External"/><Relationship Id="rId356" Type="http://schemas.openxmlformats.org/officeDocument/2006/relationships/hyperlink" Target="https://www.mcprue.com/store/mcprue-apollo-se" TargetMode="External"/><Relationship Id="rId113" Type="http://schemas.openxmlformats.org/officeDocument/2006/relationships/hyperlink" Target="https://www.silverstonetek.com/product.php?pid=668" TargetMode="External"/><Relationship Id="rId234" Type="http://schemas.openxmlformats.org/officeDocument/2006/relationships/hyperlink" Target="https://item.taobao.com/item.htm?id=619525618684" TargetMode="External"/><Relationship Id="rId355" Type="http://schemas.openxmlformats.org/officeDocument/2006/relationships/hyperlink" Target="https://www.mcprue.com/" TargetMode="External"/><Relationship Id="rId112" Type="http://schemas.openxmlformats.org/officeDocument/2006/relationships/hyperlink" Target="https://www.silverstonetek.com/en/" TargetMode="External"/><Relationship Id="rId233" Type="http://schemas.openxmlformats.org/officeDocument/2006/relationships/hyperlink" Target="https://shop192864825.taobao.com/" TargetMode="External"/><Relationship Id="rId354" Type="http://schemas.openxmlformats.org/officeDocument/2006/relationships/hyperlink" Target="https://ssupd.co/products/new-meshroom-d" TargetMode="External"/><Relationship Id="rId111" Type="http://schemas.openxmlformats.org/officeDocument/2006/relationships/hyperlink" Target="https://yuelbeaststore.com/products/motif-monument" TargetMode="External"/><Relationship Id="rId232" Type="http://schemas.openxmlformats.org/officeDocument/2006/relationships/hyperlink" Target="https://item.taobao.com/item.htm?id=627222128696" TargetMode="External"/><Relationship Id="rId353" Type="http://schemas.openxmlformats.org/officeDocument/2006/relationships/hyperlink" Target="https://www.ssupd.co/" TargetMode="External"/><Relationship Id="rId305" Type="http://schemas.openxmlformats.org/officeDocument/2006/relationships/hyperlink" Target="https://item.taobao.com/item.htm?id=636102521786" TargetMode="External"/><Relationship Id="rId426" Type="http://schemas.openxmlformats.org/officeDocument/2006/relationships/hyperlink" Target="https://www.silverstonetek.com/product.php?pid=932" TargetMode="External"/><Relationship Id="rId304" Type="http://schemas.openxmlformats.org/officeDocument/2006/relationships/hyperlink" Target="https://item.taobao.com/item.htm?id=636102521786" TargetMode="External"/><Relationship Id="rId425" Type="http://schemas.openxmlformats.org/officeDocument/2006/relationships/hyperlink" Target="https://www.silverstonetek.com/en/" TargetMode="External"/><Relationship Id="rId303" Type="http://schemas.openxmlformats.org/officeDocument/2006/relationships/hyperlink" Target="https://item.taobao.com/item.htm?id=636102521786" TargetMode="External"/><Relationship Id="rId424" Type="http://schemas.openxmlformats.org/officeDocument/2006/relationships/hyperlink" Target="https://wiki.sff.media/en/Cases/Fractal-Design/Core-500" TargetMode="External"/><Relationship Id="rId302" Type="http://schemas.openxmlformats.org/officeDocument/2006/relationships/hyperlink" Target="https://www.silverstonetek.com/en/product/info/computer-chassis/milo12/" TargetMode="External"/><Relationship Id="rId423" Type="http://schemas.openxmlformats.org/officeDocument/2006/relationships/hyperlink" Target="https://shop472748335.world.taobao.com/" TargetMode="External"/><Relationship Id="rId309" Type="http://schemas.openxmlformats.org/officeDocument/2006/relationships/hyperlink" Target="https://www.jonsplus.com/products/bo100-sl.html" TargetMode="External"/><Relationship Id="rId308" Type="http://schemas.openxmlformats.org/officeDocument/2006/relationships/hyperlink" Target="https://www.jonsplus.com/" TargetMode="External"/><Relationship Id="rId429" Type="http://schemas.openxmlformats.org/officeDocument/2006/relationships/hyperlink" Target="http://anidees.com/product/ai-atomic/" TargetMode="External"/><Relationship Id="rId307" Type="http://schemas.openxmlformats.org/officeDocument/2006/relationships/hyperlink" Target="https://phanteks.com/Evolv-Shift-XT.html" TargetMode="External"/><Relationship Id="rId428" Type="http://schemas.openxmlformats.org/officeDocument/2006/relationships/hyperlink" Target="https://www.jonsbo.com/en/products/N4White.html" TargetMode="External"/><Relationship Id="rId306" Type="http://schemas.openxmlformats.org/officeDocument/2006/relationships/hyperlink" Target="https://phanteks.com/index.html" TargetMode="External"/><Relationship Id="rId427" Type="http://schemas.openxmlformats.org/officeDocument/2006/relationships/hyperlink" Target="https://wiki.sff.media/en/Cases/Silverstone/SG14" TargetMode="External"/><Relationship Id="rId301" Type="http://schemas.openxmlformats.org/officeDocument/2006/relationships/hyperlink" Target="https://www.silverstonetek.com/en/" TargetMode="External"/><Relationship Id="rId422" Type="http://schemas.openxmlformats.org/officeDocument/2006/relationships/hyperlink" Target="http://www.almordor.com/product-14178-14187-65082.html" TargetMode="External"/><Relationship Id="rId300" Type="http://schemas.openxmlformats.org/officeDocument/2006/relationships/hyperlink" Target="https://item.taobao.com/item.htm?id=736571765735" TargetMode="External"/><Relationship Id="rId421" Type="http://schemas.openxmlformats.org/officeDocument/2006/relationships/hyperlink" Target="http://www.almordor.com/" TargetMode="External"/><Relationship Id="rId420" Type="http://schemas.openxmlformats.org/officeDocument/2006/relationships/hyperlink" Target="http://www.almordor.com/product-14178-14187-42582.html" TargetMode="External"/><Relationship Id="rId415" Type="http://schemas.openxmlformats.org/officeDocument/2006/relationships/hyperlink" Target="https://item.taobao.com/item.htm?id=676938134109" TargetMode="External"/><Relationship Id="rId414" Type="http://schemas.openxmlformats.org/officeDocument/2006/relationships/hyperlink" Target="https://item.taobao.com/item.htm?id=717196484079" TargetMode="External"/><Relationship Id="rId413" Type="http://schemas.openxmlformats.org/officeDocument/2006/relationships/hyperlink" Target="https://wiki.sff.media/en/Cases/Silverstone/SG15" TargetMode="External"/><Relationship Id="rId412" Type="http://schemas.openxmlformats.org/officeDocument/2006/relationships/hyperlink" Target="https://www.silverstonetek.com/product.php?pid=953&amp;area=en" TargetMode="External"/><Relationship Id="rId419" Type="http://schemas.openxmlformats.org/officeDocument/2006/relationships/hyperlink" Target="http://www.almordor.com/" TargetMode="External"/><Relationship Id="rId418" Type="http://schemas.openxmlformats.org/officeDocument/2006/relationships/hyperlink" Target="https://en.minicomputers.net/" TargetMode="External"/><Relationship Id="rId417" Type="http://schemas.openxmlformats.org/officeDocument/2006/relationships/hyperlink" Target="http://www.almordor.com/product-14178-14187-42580.html" TargetMode="External"/><Relationship Id="rId416" Type="http://schemas.openxmlformats.org/officeDocument/2006/relationships/hyperlink" Target="http://www.almordor.com/" TargetMode="External"/><Relationship Id="rId411" Type="http://schemas.openxmlformats.org/officeDocument/2006/relationships/hyperlink" Target="https://www.silverstonetek.com/en/" TargetMode="External"/><Relationship Id="rId410" Type="http://schemas.openxmlformats.org/officeDocument/2006/relationships/hyperlink" Target="https://www.deepcool.com/products/Cases/CH160-Portable-High-Airflow-M-ITX-Case/2024/18115.shtml" TargetMode="External"/><Relationship Id="rId206" Type="http://schemas.openxmlformats.org/officeDocument/2006/relationships/hyperlink" Target="https://wiki.sff.media/en/Cases/Silverstone/ML07" TargetMode="External"/><Relationship Id="rId327" Type="http://schemas.openxmlformats.org/officeDocument/2006/relationships/hyperlink" Target="https://thor-zone.com/mini-itx/nanoq/" TargetMode="External"/><Relationship Id="rId448" Type="http://schemas.openxmlformats.org/officeDocument/2006/relationships/hyperlink" Target="https://en.segotep.com/index.aspx" TargetMode="External"/><Relationship Id="rId205" Type="http://schemas.openxmlformats.org/officeDocument/2006/relationships/hyperlink" Target="https://www.silverstonetek.com/en/" TargetMode="External"/><Relationship Id="rId326" Type="http://schemas.openxmlformats.org/officeDocument/2006/relationships/hyperlink" Target="https://en.minicomputers.net/gecko-xl" TargetMode="External"/><Relationship Id="rId447" Type="http://schemas.openxmlformats.org/officeDocument/2006/relationships/hyperlink" Target="https://item.taobao.com/item.htm?id=621715120646" TargetMode="External"/><Relationship Id="rId204" Type="http://schemas.openxmlformats.org/officeDocument/2006/relationships/hyperlink" Target="https://smallformfactor.net/forum/threads/steck-minimalist-stackable-sandwich-style-sff-case-up-to-3x-slot-gpu-325mm-l.17933/" TargetMode="External"/><Relationship Id="rId325" Type="http://schemas.openxmlformats.org/officeDocument/2006/relationships/hyperlink" Target="https://en.minicomputers.net/" TargetMode="External"/><Relationship Id="rId446" Type="http://schemas.openxmlformats.org/officeDocument/2006/relationships/hyperlink" Target="https://wiki.sff.media/en/Cases/Cooler-Master/Elite-130" TargetMode="External"/><Relationship Id="rId203" Type="http://schemas.openxmlformats.org/officeDocument/2006/relationships/hyperlink" Target="https://www.nouvolo.com/pages/steck" TargetMode="External"/><Relationship Id="rId324" Type="http://schemas.openxmlformats.org/officeDocument/2006/relationships/hyperlink" Target="https://www.silverstonetek.com/en/product/info/computer-chassis/ML04/" TargetMode="External"/><Relationship Id="rId445" Type="http://schemas.openxmlformats.org/officeDocument/2006/relationships/hyperlink" Target="https://smallformfactor.net/forum/threads/revoccases-rcc-big560-custom-bto-case-maximum-flexibility-for-high-end-hardware-in-20l.16507/" TargetMode="External"/><Relationship Id="rId209" Type="http://schemas.openxmlformats.org/officeDocument/2006/relationships/hyperlink" Target="https://www.silverstonetek.com/en/" TargetMode="External"/><Relationship Id="rId208" Type="http://schemas.openxmlformats.org/officeDocument/2006/relationships/hyperlink" Target="https://wiki.sff.media/en/Cases/Silverstone/RVZ01" TargetMode="External"/><Relationship Id="rId329" Type="http://schemas.openxmlformats.org/officeDocument/2006/relationships/hyperlink" Target="https://www.sliger.com/products/cases/s620/" TargetMode="External"/><Relationship Id="rId207" Type="http://schemas.openxmlformats.org/officeDocument/2006/relationships/hyperlink" Target="https://www.silverstonetek.com/en/" TargetMode="External"/><Relationship Id="rId328" Type="http://schemas.openxmlformats.org/officeDocument/2006/relationships/hyperlink" Target="https://www.hydra-shop.com/product-page/hydra-micro" TargetMode="External"/><Relationship Id="rId449" Type="http://schemas.openxmlformats.org/officeDocument/2006/relationships/hyperlink" Target="https://en.segotep.com/product_show.aspx?id=389" TargetMode="External"/><Relationship Id="rId440" Type="http://schemas.openxmlformats.org/officeDocument/2006/relationships/hyperlink" Target="https://en.minicomputers.net/gecko-wxl" TargetMode="External"/><Relationship Id="rId202" Type="http://schemas.openxmlformats.org/officeDocument/2006/relationships/hyperlink" Target="https://item.taobao.com/item.htm?id=603220908735" TargetMode="External"/><Relationship Id="rId323" Type="http://schemas.openxmlformats.org/officeDocument/2006/relationships/hyperlink" Target="https://www.silverstonetek.com/en/" TargetMode="External"/><Relationship Id="rId444" Type="http://schemas.openxmlformats.org/officeDocument/2006/relationships/hyperlink" Target="https://smallformfactor.net/forum/threads/revoccases-rcc-big560-custom-bto-case-maximum-flexibility-for-high-end-hardware-in-20l.16507/" TargetMode="External"/><Relationship Id="rId201" Type="http://schemas.openxmlformats.org/officeDocument/2006/relationships/hyperlink" Target="https://item.taobao.com/item.htm?id=618128591179" TargetMode="External"/><Relationship Id="rId322" Type="http://schemas.openxmlformats.org/officeDocument/2006/relationships/hyperlink" Target="https://en.minicomputers.net/" TargetMode="External"/><Relationship Id="rId443" Type="http://schemas.openxmlformats.org/officeDocument/2006/relationships/hyperlink" Target="https://revoccases.com/" TargetMode="External"/><Relationship Id="rId200" Type="http://schemas.openxmlformats.org/officeDocument/2006/relationships/hyperlink" Target="https://item.taobao.com/item.htm?id=591613843038" TargetMode="External"/><Relationship Id="rId321" Type="http://schemas.openxmlformats.org/officeDocument/2006/relationships/hyperlink" Target="https://item.taobao.com/item.htm?id=708156409439" TargetMode="External"/><Relationship Id="rId442" Type="http://schemas.openxmlformats.org/officeDocument/2006/relationships/hyperlink" Target="https://smallformfactor.net/forum/threads/sfftime-presents-mnlt-elegant-vertical-air-tunnel-case-with-excellent-air-cooling-support-and-no-riser.16820/" TargetMode="External"/><Relationship Id="rId320" Type="http://schemas.openxmlformats.org/officeDocument/2006/relationships/hyperlink" Target="https://shinysnake.world.taobao.com/" TargetMode="External"/><Relationship Id="rId441" Type="http://schemas.openxmlformats.org/officeDocument/2006/relationships/hyperlink" Target="https://www.sfftime.com/mnlt" TargetMode="External"/><Relationship Id="rId316" Type="http://schemas.openxmlformats.org/officeDocument/2006/relationships/hyperlink" Target="https://www.jonsbo.com/en/products/C6-ITXBlack.html" TargetMode="External"/><Relationship Id="rId437" Type="http://schemas.openxmlformats.org/officeDocument/2006/relationships/hyperlink" Target="https://www.sliger.com/products/cases/cerberus/" TargetMode="External"/><Relationship Id="rId315" Type="http://schemas.openxmlformats.org/officeDocument/2006/relationships/hyperlink" Target="https://smallformfactor.net/forum/threads/steck-minimalist-stackable-sandwich-style-sff-case-up-to-3x-slot-gpu-325mm-l.17933/" TargetMode="External"/><Relationship Id="rId436" Type="http://schemas.openxmlformats.org/officeDocument/2006/relationships/hyperlink" Target="http://www.azza-tek.com/m/2010-1275-364381.php?Lang=en" TargetMode="External"/><Relationship Id="rId314" Type="http://schemas.openxmlformats.org/officeDocument/2006/relationships/hyperlink" Target="https://www.nouvolo.com/pages/steck" TargetMode="External"/><Relationship Id="rId435" Type="http://schemas.openxmlformats.org/officeDocument/2006/relationships/hyperlink" Target="http://www.azza-tek.com/m/home.php" TargetMode="External"/><Relationship Id="rId313" Type="http://schemas.openxmlformats.org/officeDocument/2006/relationships/hyperlink" Target="https://www.coolermaster.com/catalog/max/mini-itx/ncore-100-max/" TargetMode="External"/><Relationship Id="rId434" Type="http://schemas.openxmlformats.org/officeDocument/2006/relationships/hyperlink" Target="https://item.taobao.com/item.htm?id=619953615577" TargetMode="External"/><Relationship Id="rId319" Type="http://schemas.openxmlformats.org/officeDocument/2006/relationships/hyperlink" Target="https://wiki.sff.media/en/Cases/Sliger/SM580" TargetMode="External"/><Relationship Id="rId318" Type="http://schemas.openxmlformats.org/officeDocument/2006/relationships/hyperlink" Target="https://asia.evga.com/products/product.aspx?pn=110-MA-1001-K3" TargetMode="External"/><Relationship Id="rId439" Type="http://schemas.openxmlformats.org/officeDocument/2006/relationships/hyperlink" Target="https://en.minicomputers.net/" TargetMode="External"/><Relationship Id="rId317" Type="http://schemas.openxmlformats.org/officeDocument/2006/relationships/hyperlink" Target="https://www.jonsbo.com/en/products/C6.html" TargetMode="External"/><Relationship Id="rId438" Type="http://schemas.openxmlformats.org/officeDocument/2006/relationships/hyperlink" Target="https://wiki.sff.media/en/Cases/Sliger/Cerberus" TargetMode="External"/><Relationship Id="rId312" Type="http://schemas.openxmlformats.org/officeDocument/2006/relationships/hyperlink" Target="https://yewdiy.world.taobao.com/" TargetMode="External"/><Relationship Id="rId433" Type="http://schemas.openxmlformats.org/officeDocument/2006/relationships/hyperlink" Target="https://wiki.sff.media/en/Cases/Fractal-Design/Node-304" TargetMode="External"/><Relationship Id="rId311" Type="http://schemas.openxmlformats.org/officeDocument/2006/relationships/hyperlink" Target="https://www.silverstonetek.com/en/product/info/computer-chassis/ML03/" TargetMode="External"/><Relationship Id="rId432" Type="http://schemas.openxmlformats.org/officeDocument/2006/relationships/hyperlink" Target="https://smallformfactor.net/forum/threads/slate-case-aq-push-for-production-new-website-for-waitlist-and-progress-updates.11629/" TargetMode="External"/><Relationship Id="rId310" Type="http://schemas.openxmlformats.org/officeDocument/2006/relationships/hyperlink" Target="https://www.silverstonetek.com/en/" TargetMode="External"/><Relationship Id="rId431" Type="http://schemas.openxmlformats.org/officeDocument/2006/relationships/hyperlink" Target="https://protolyth.com/products/slate-caseaq" TargetMode="External"/><Relationship Id="rId430" Type="http://schemas.openxmlformats.org/officeDocument/2006/relationships/hyperlink" Target="https://protolyth.com/" TargetMode="External"/></Relationships>
</file>

<file path=xl/worksheets/_rels/sheet4.xml.rels><?xml version="1.0" encoding="UTF-8" standalone="yes"?><Relationships xmlns="http://schemas.openxmlformats.org/package/2006/relationships"><Relationship Id="rId181" Type="http://schemas.openxmlformats.org/officeDocument/2006/relationships/vmlDrawing" Target="../drawings/vmlDrawing3.vml"/><Relationship Id="rId180" Type="http://schemas.openxmlformats.org/officeDocument/2006/relationships/drawing" Target="../drawings/drawing4.xml"/><Relationship Id="rId176" Type="http://schemas.openxmlformats.org/officeDocument/2006/relationships/hyperlink" Target="http://www.phanteks.com/Enthoo-Evolv-ITX-TemperedGlass.html" TargetMode="External"/><Relationship Id="rId175" Type="http://schemas.openxmlformats.org/officeDocument/2006/relationships/hyperlink" Target="http://www.phanteks.com/Enthoo-Evolv-ITX.html" TargetMode="External"/><Relationship Id="rId174" Type="http://schemas.openxmlformats.org/officeDocument/2006/relationships/hyperlink" Target="https://www.gamemaxpc.com/productkkk/1256-en.html" TargetMode="External"/><Relationship Id="rId173" Type="http://schemas.openxmlformats.org/officeDocument/2006/relationships/hyperlink" Target="https://www.gamemaxpc.com/index-en.html" TargetMode="External"/><Relationship Id="rId179" Type="http://schemas.openxmlformats.org/officeDocument/2006/relationships/hyperlink" Target="https://www.in-win.com/en/gaming-chassis/a5" TargetMode="External"/><Relationship Id="rId178" Type="http://schemas.openxmlformats.org/officeDocument/2006/relationships/hyperlink" Target="https://www.fractal-design.com/products/cases/torrent/torrent-nano/black-rgb-tg-light-tint/" TargetMode="External"/><Relationship Id="rId177" Type="http://schemas.openxmlformats.org/officeDocument/2006/relationships/hyperlink" Target="https://www.jonsbo.com/en/products/U4ProBlack.html" TargetMode="External"/><Relationship Id="rId150" Type="http://schemas.openxmlformats.org/officeDocument/2006/relationships/hyperlink" Target="https://www.phanteks.com/Eclipse-P200AC.html" TargetMode="External"/><Relationship Id="rId1" Type="http://schemas.openxmlformats.org/officeDocument/2006/relationships/comments" Target="../comments3.xml"/><Relationship Id="rId2" Type="http://schemas.openxmlformats.org/officeDocument/2006/relationships/hyperlink" Target="http://www.scythe.com/" TargetMode="External"/><Relationship Id="rId3" Type="http://schemas.openxmlformats.org/officeDocument/2006/relationships/hyperlink" Target="https://www.scythe.co.jp/product/case/otter/" TargetMode="External"/><Relationship Id="rId149" Type="http://schemas.openxmlformats.org/officeDocument/2006/relationships/hyperlink" Target="https://www.in-win.com/en/gaming-chassis/a3" TargetMode="External"/><Relationship Id="rId4" Type="http://schemas.openxmlformats.org/officeDocument/2006/relationships/hyperlink" Target="https://cascade-labs.com/" TargetMode="External"/><Relationship Id="rId148" Type="http://schemas.openxmlformats.org/officeDocument/2006/relationships/hyperlink" Target="https://en.sharkoon.com/product/40513" TargetMode="External"/><Relationship Id="rId9" Type="http://schemas.openxmlformats.org/officeDocument/2006/relationships/hyperlink" Target="https://acmod.world.taobao.com/" TargetMode="External"/><Relationship Id="rId143" Type="http://schemas.openxmlformats.org/officeDocument/2006/relationships/hyperlink" Target="https://www.gamemaxpc.com/productkkk/1213-en.html" TargetMode="External"/><Relationship Id="rId142" Type="http://schemas.openxmlformats.org/officeDocument/2006/relationships/hyperlink" Target="https://www.gamemaxpc.com/index-en.html" TargetMode="External"/><Relationship Id="rId141" Type="http://schemas.openxmlformats.org/officeDocument/2006/relationships/hyperlink" Target="https://www.fractal-design.com/products/cases/define/define-7-nano/black-tg-light-tint/" TargetMode="External"/><Relationship Id="rId140" Type="http://schemas.openxmlformats.org/officeDocument/2006/relationships/hyperlink" Target="https://www.nanoxiausa.com/collections/project-s-premium-transparent-cases/products/project-s-midi" TargetMode="External"/><Relationship Id="rId5" Type="http://schemas.openxmlformats.org/officeDocument/2006/relationships/hyperlink" Target="https://cascade-labs.com/products/sub-20" TargetMode="External"/><Relationship Id="rId147" Type="http://schemas.openxmlformats.org/officeDocument/2006/relationships/hyperlink" Target="https://www.newegg.com/white-sama-im-series-atx-micro-atx-itx/p/2AM-009W-00038" TargetMode="External"/><Relationship Id="rId6" Type="http://schemas.openxmlformats.org/officeDocument/2006/relationships/hyperlink" Target="https://www.jonsplus.com/" TargetMode="External"/><Relationship Id="rId146" Type="http://schemas.openxmlformats.org/officeDocument/2006/relationships/hyperlink" Target="http://www.sama.cn/en/p768.html" TargetMode="External"/><Relationship Id="rId7" Type="http://schemas.openxmlformats.org/officeDocument/2006/relationships/hyperlink" Target="https://www.jonsplus.com/products/z20b.html" TargetMode="External"/><Relationship Id="rId145" Type="http://schemas.openxmlformats.org/officeDocument/2006/relationships/hyperlink" Target="https://www.coolermaster.com/catalog/cases/mini-tower/q300l-v2/" TargetMode="External"/><Relationship Id="rId8" Type="http://schemas.openxmlformats.org/officeDocument/2006/relationships/hyperlink" Target="https://shop472748335.world.taobao.com/" TargetMode="External"/><Relationship Id="rId144" Type="http://schemas.openxmlformats.org/officeDocument/2006/relationships/hyperlink" Target="https://www.coolermaster.com/" TargetMode="External"/><Relationship Id="rId139" Type="http://schemas.openxmlformats.org/officeDocument/2006/relationships/hyperlink" Target="https://www.nanoxiausa.com/" TargetMode="External"/><Relationship Id="rId138" Type="http://schemas.openxmlformats.org/officeDocument/2006/relationships/hyperlink" Target="https://www.chieftec.eu/products-detail/538/BX-10B-OP" TargetMode="External"/><Relationship Id="rId137" Type="http://schemas.openxmlformats.org/officeDocument/2006/relationships/hyperlink" Target="https://www.chieftec.eu/" TargetMode="External"/><Relationship Id="rId132" Type="http://schemas.openxmlformats.org/officeDocument/2006/relationships/hyperlink" Target="https://www.silverstonetek.com/en/" TargetMode="External"/><Relationship Id="rId131" Type="http://schemas.openxmlformats.org/officeDocument/2006/relationships/hyperlink" Target="https://wiki.sff.media/en/Cases/Fractal-Design/Define-Nano-S" TargetMode="External"/><Relationship Id="rId130" Type="http://schemas.openxmlformats.org/officeDocument/2006/relationships/hyperlink" Target="https://www.jonsbo.com/en/products/D30.html" TargetMode="External"/><Relationship Id="rId136" Type="http://schemas.openxmlformats.org/officeDocument/2006/relationships/hyperlink" Target="https://www.nzxt.com/products/h210i-matte-white" TargetMode="External"/><Relationship Id="rId135" Type="http://schemas.openxmlformats.org/officeDocument/2006/relationships/hyperlink" Target="https://www.nzxt.com/products/h210-matte-white" TargetMode="External"/><Relationship Id="rId134" Type="http://schemas.openxmlformats.org/officeDocument/2006/relationships/hyperlink" Target="https://www.fractal-design.com/products/cases/meshify/meshify-2-nano/black-tg-dark-tint/" TargetMode="External"/><Relationship Id="rId133" Type="http://schemas.openxmlformats.org/officeDocument/2006/relationships/hyperlink" Target="https://www.silverstonetek.com/en/product/info/computer-chassis/FARA_311/" TargetMode="External"/><Relationship Id="rId172" Type="http://schemas.openxmlformats.org/officeDocument/2006/relationships/hyperlink" Target="https://www.gamemaxpc.com/productkkk/1359-en.html" TargetMode="External"/><Relationship Id="rId171" Type="http://schemas.openxmlformats.org/officeDocument/2006/relationships/hyperlink" Target="https://www.gamemaxpc.com/index-en.html" TargetMode="External"/><Relationship Id="rId170" Type="http://schemas.openxmlformats.org/officeDocument/2006/relationships/hyperlink" Target="https://www.coolermaster.com/catalog/cases/mid-tower/qube-500-flatpack-bw-edition/" TargetMode="External"/><Relationship Id="rId165" Type="http://schemas.openxmlformats.org/officeDocument/2006/relationships/hyperlink" Target="https://www.silverstonetek.com/product.php?pid=291" TargetMode="External"/><Relationship Id="rId164" Type="http://schemas.openxmlformats.org/officeDocument/2006/relationships/hyperlink" Target="https://www.silverstonetek.com/en/" TargetMode="External"/><Relationship Id="rId163" Type="http://schemas.openxmlformats.org/officeDocument/2006/relationships/hyperlink" Target="https://www.jonsbo.com/en/products/TK1White.html" TargetMode="External"/><Relationship Id="rId162" Type="http://schemas.openxmlformats.org/officeDocument/2006/relationships/hyperlink" Target="https://www.jonsbo.com/en/products/D31biaozhunfupingban.html" TargetMode="External"/><Relationship Id="rId169" Type="http://schemas.openxmlformats.org/officeDocument/2006/relationships/hyperlink" Target="https://www.fractal-design.com/products/cases/meshify/meshify-c-mini-dark-tempered-glass/black/" TargetMode="External"/><Relationship Id="rId168" Type="http://schemas.openxmlformats.org/officeDocument/2006/relationships/hyperlink" Target="https://www.asus.com/Motherboards-Components/Gaming-Cases/PRIME/ASUS-Prime-AP201-MicroATX-Case/" TargetMode="External"/><Relationship Id="rId167" Type="http://schemas.openxmlformats.org/officeDocument/2006/relationships/hyperlink" Target="https://www.asus.com/" TargetMode="External"/><Relationship Id="rId166" Type="http://schemas.openxmlformats.org/officeDocument/2006/relationships/hyperlink" Target="https://www.thermaltake.com/the-tower-100-mini-chassis.html" TargetMode="External"/><Relationship Id="rId161" Type="http://schemas.openxmlformats.org/officeDocument/2006/relationships/hyperlink" Target="https://item.taobao.com/item.htm?id=738690571222" TargetMode="External"/><Relationship Id="rId160" Type="http://schemas.openxmlformats.org/officeDocument/2006/relationships/hyperlink" Target="https://shinysnake.world.taobao.com/" TargetMode="External"/><Relationship Id="rId159" Type="http://schemas.openxmlformats.org/officeDocument/2006/relationships/hyperlink" Target="https://www.fractal-design.com/products/cases/define/define-7-mini/black-tg-light-tint/" TargetMode="External"/><Relationship Id="rId154" Type="http://schemas.openxmlformats.org/officeDocument/2006/relationships/hyperlink" Target="https://www.gamemaxpc.com/productkkk/1353-en.html" TargetMode="External"/><Relationship Id="rId153" Type="http://schemas.openxmlformats.org/officeDocument/2006/relationships/hyperlink" Target="https://www.gamemaxpc.com/index-en.html" TargetMode="External"/><Relationship Id="rId152" Type="http://schemas.openxmlformats.org/officeDocument/2006/relationships/hyperlink" Target="https://www.fractal-design.com/products/cases/meshify/meshify-2-mini/black-tg-dark-tint/" TargetMode="External"/><Relationship Id="rId151" Type="http://schemas.openxmlformats.org/officeDocument/2006/relationships/hyperlink" Target="https://item.taobao.com/item.htm?id=671603451160" TargetMode="External"/><Relationship Id="rId158" Type="http://schemas.openxmlformats.org/officeDocument/2006/relationships/hyperlink" Target="https://www.silverstonetek.com/product.php?pid=1010&amp;area=en" TargetMode="External"/><Relationship Id="rId157" Type="http://schemas.openxmlformats.org/officeDocument/2006/relationships/hyperlink" Target="https://www.silverstonetek.com/en/" TargetMode="External"/><Relationship Id="rId156" Type="http://schemas.openxmlformats.org/officeDocument/2006/relationships/hyperlink" Target="https://www.silverstonetek.com/product.php?pid=1052&amp;area=en" TargetMode="External"/><Relationship Id="rId155" Type="http://schemas.openxmlformats.org/officeDocument/2006/relationships/hyperlink" Target="https://www.silverstonetek.com/en/" TargetMode="External"/><Relationship Id="rId40" Type="http://schemas.openxmlformats.org/officeDocument/2006/relationships/hyperlink" Target="https://item.taobao.com/item.htm?id=714889713610" TargetMode="External"/><Relationship Id="rId42" Type="http://schemas.openxmlformats.org/officeDocument/2006/relationships/hyperlink" Target="https://www.sapphiretech.com/zh-cn/consumer/chassis_nitro-m01_c" TargetMode="External"/><Relationship Id="rId41" Type="http://schemas.openxmlformats.org/officeDocument/2006/relationships/hyperlink" Target="https://www.sapphiretech.com/en" TargetMode="External"/><Relationship Id="rId44" Type="http://schemas.openxmlformats.org/officeDocument/2006/relationships/hyperlink" Target="https://www.silverstonetek.com/en/" TargetMode="External"/><Relationship Id="rId43" Type="http://schemas.openxmlformats.org/officeDocument/2006/relationships/hyperlink" Target="https://www.silverstonetek.com/en/" TargetMode="External"/><Relationship Id="rId46" Type="http://schemas.openxmlformats.org/officeDocument/2006/relationships/hyperlink" Target="https://www.silverstonetek.com/en/" TargetMode="External"/><Relationship Id="rId45" Type="http://schemas.openxmlformats.org/officeDocument/2006/relationships/hyperlink" Target="https://www.silverstonetek.com/product.php?pid=182&amp;area=en" TargetMode="External"/><Relationship Id="rId48" Type="http://schemas.openxmlformats.org/officeDocument/2006/relationships/hyperlink" Target="http://www.phanteks.com/Enthoo-Evolv-Shift-Air.html" TargetMode="External"/><Relationship Id="rId47" Type="http://schemas.openxmlformats.org/officeDocument/2006/relationships/hyperlink" Target="http://www.phanteks.com/Enthoo-Evolv-Shift.html" TargetMode="External"/><Relationship Id="rId49" Type="http://schemas.openxmlformats.org/officeDocument/2006/relationships/hyperlink" Target="https://www.thermaltake.com/core-v1.html" TargetMode="External"/><Relationship Id="rId31" Type="http://schemas.openxmlformats.org/officeDocument/2006/relationships/hyperlink" Target="https://www.silverstonetek.com/en/" TargetMode="External"/><Relationship Id="rId30" Type="http://schemas.openxmlformats.org/officeDocument/2006/relationships/hyperlink" Target="https://www.silverstonetek.com/en/" TargetMode="External"/><Relationship Id="rId33" Type="http://schemas.openxmlformats.org/officeDocument/2006/relationships/hyperlink" Target="https://www.in-win.com/en/gaming-chassis/a1/" TargetMode="External"/><Relationship Id="rId32" Type="http://schemas.openxmlformats.org/officeDocument/2006/relationships/hyperlink" Target="https://www.silverstonetek.com/product.php?pid=452" TargetMode="External"/><Relationship Id="rId35" Type="http://schemas.openxmlformats.org/officeDocument/2006/relationships/hyperlink" Target="https://www.in-win.com/en/gaming-chassis/a1-prime" TargetMode="External"/><Relationship Id="rId34" Type="http://schemas.openxmlformats.org/officeDocument/2006/relationships/hyperlink" Target="https://www.in-win.com/en/gaming-chassis/a1-plus/" TargetMode="External"/><Relationship Id="rId37" Type="http://schemas.openxmlformats.org/officeDocument/2006/relationships/hyperlink" Target="https://www.newegg.com/p/N82E16811197012" TargetMode="External"/><Relationship Id="rId36" Type="http://schemas.openxmlformats.org/officeDocument/2006/relationships/hyperlink" Target="http://www.sama.cn/en/p768.html" TargetMode="External"/><Relationship Id="rId39" Type="http://schemas.openxmlformats.org/officeDocument/2006/relationships/hyperlink" Target="https://www.montechpc.com/en/products_detail.php?nid=262&amp;s_ok2=" TargetMode="External"/><Relationship Id="rId38" Type="http://schemas.openxmlformats.org/officeDocument/2006/relationships/hyperlink" Target="https://www.montechpc.com/en/index.php" TargetMode="External"/><Relationship Id="rId20" Type="http://schemas.openxmlformats.org/officeDocument/2006/relationships/hyperlink" Target="http://www.almordor.com/product-14178-42577.html" TargetMode="External"/><Relationship Id="rId22" Type="http://schemas.openxmlformats.org/officeDocument/2006/relationships/hyperlink" Target="https://cougargaming.com/products/cases/dust-2/" TargetMode="External"/><Relationship Id="rId21" Type="http://schemas.openxmlformats.org/officeDocument/2006/relationships/hyperlink" Target="https://item.taobao.com/item.htm?id=654685457785" TargetMode="External"/><Relationship Id="rId24" Type="http://schemas.openxmlformats.org/officeDocument/2006/relationships/hyperlink" Target="http://www.sama.cn/archives/834" TargetMode="External"/><Relationship Id="rId23" Type="http://schemas.openxmlformats.org/officeDocument/2006/relationships/hyperlink" Target="http://www.sama.cn/en/p768.html" TargetMode="External"/><Relationship Id="rId26" Type="http://schemas.openxmlformats.org/officeDocument/2006/relationships/hyperlink" Target="https://www.silverstonetek.com/en/" TargetMode="External"/><Relationship Id="rId25" Type="http://schemas.openxmlformats.org/officeDocument/2006/relationships/hyperlink" Target="https://abkoglobal.com/product/c350m-mini-tower-case/" TargetMode="External"/><Relationship Id="rId28" Type="http://schemas.openxmlformats.org/officeDocument/2006/relationships/hyperlink" Target="https://item.taobao.com/item.htm?id=616898216712" TargetMode="External"/><Relationship Id="rId27" Type="http://schemas.openxmlformats.org/officeDocument/2006/relationships/hyperlink" Target="https://shop458594376.world.taobao.com/" TargetMode="External"/><Relationship Id="rId29" Type="http://schemas.openxmlformats.org/officeDocument/2006/relationships/hyperlink" Target="https://streacom.com/news/company/da6-product-announcement/" TargetMode="External"/><Relationship Id="rId11" Type="http://schemas.openxmlformats.org/officeDocument/2006/relationships/hyperlink" Target="https://shop472748335.world.taobao.com/" TargetMode="External"/><Relationship Id="rId10" Type="http://schemas.openxmlformats.org/officeDocument/2006/relationships/hyperlink" Target="https://item.taobao.com/item.htm?id=635788487612" TargetMode="External"/><Relationship Id="rId13" Type="http://schemas.openxmlformats.org/officeDocument/2006/relationships/hyperlink" Target="https://www.fractal-design.com/products/cases/mood/mood/light-gray/" TargetMode="External"/><Relationship Id="rId12" Type="http://schemas.openxmlformats.org/officeDocument/2006/relationships/hyperlink" Target="https://item.taobao.com/item.htm?id=657535674433" TargetMode="External"/><Relationship Id="rId15" Type="http://schemas.openxmlformats.org/officeDocument/2006/relationships/hyperlink" Target="https://item.taobao.com/item.htm?id=690143799299" TargetMode="External"/><Relationship Id="rId14" Type="http://schemas.openxmlformats.org/officeDocument/2006/relationships/hyperlink" Target="https://kolink.eu/Home/case-1/mini-itx-2/rocket-complex.html" TargetMode="External"/><Relationship Id="rId17" Type="http://schemas.openxmlformats.org/officeDocument/2006/relationships/hyperlink" Target="https://item.taobao.com/item.htm?id=648332284872" TargetMode="External"/><Relationship Id="rId16" Type="http://schemas.openxmlformats.org/officeDocument/2006/relationships/hyperlink" Target="https://shop62690663.world.taobao.com/search.htm?spm=a312a.7700824.0.0.6e291bfatpXNgH&amp;search=y" TargetMode="External"/><Relationship Id="rId19" Type="http://schemas.openxmlformats.org/officeDocument/2006/relationships/hyperlink" Target="http://www.almordor.com/" TargetMode="External"/><Relationship Id="rId18" Type="http://schemas.openxmlformats.org/officeDocument/2006/relationships/hyperlink" Target="https://item.taobao.com/item.htm?id=659383748773" TargetMode="External"/><Relationship Id="rId84" Type="http://schemas.openxmlformats.org/officeDocument/2006/relationships/hyperlink" Target="https://item.taobao.com/item.htm?id=696120535820" TargetMode="External"/><Relationship Id="rId83" Type="http://schemas.openxmlformats.org/officeDocument/2006/relationships/hyperlink" Target="https://cubeor.myshopify.com/products/vault-2" TargetMode="External"/><Relationship Id="rId86" Type="http://schemas.openxmlformats.org/officeDocument/2006/relationships/hyperlink" Target="https://www.razer.com/gaming-desktops-and-cases/razer-tomahawk/RC21-01400100-R3M1" TargetMode="External"/><Relationship Id="rId85" Type="http://schemas.openxmlformats.org/officeDocument/2006/relationships/hyperlink" Target="https://www.razer.com/" TargetMode="External"/><Relationship Id="rId88" Type="http://schemas.openxmlformats.org/officeDocument/2006/relationships/hyperlink" Target="https://aerocool.io/product/cs-102/" TargetMode="External"/><Relationship Id="rId87" Type="http://schemas.openxmlformats.org/officeDocument/2006/relationships/hyperlink" Target="https://aerocool.io/" TargetMode="External"/><Relationship Id="rId89" Type="http://schemas.openxmlformats.org/officeDocument/2006/relationships/hyperlink" Target="https://www.gskill.com/" TargetMode="External"/><Relationship Id="rId80" Type="http://schemas.openxmlformats.org/officeDocument/2006/relationships/hyperlink" Target="https://www.gamemaxpc.com/index-en.html" TargetMode="External"/><Relationship Id="rId82" Type="http://schemas.openxmlformats.org/officeDocument/2006/relationships/hyperlink" Target="https://www.cubeor.com/" TargetMode="External"/><Relationship Id="rId81" Type="http://schemas.openxmlformats.org/officeDocument/2006/relationships/hyperlink" Target="https://www.gamemaxpc.com/productkkk/1217-en.html" TargetMode="External"/><Relationship Id="rId73" Type="http://schemas.openxmlformats.org/officeDocument/2006/relationships/hyperlink" Target="https://item.taobao.com/item.htm?id=678983081855" TargetMode="External"/><Relationship Id="rId72" Type="http://schemas.openxmlformats.org/officeDocument/2006/relationships/hyperlink" Target="http://www.lian-li.com/" TargetMode="External"/><Relationship Id="rId75" Type="http://schemas.openxmlformats.org/officeDocument/2006/relationships/hyperlink" Target="https://aerocool.io/product/cs-104/" TargetMode="External"/><Relationship Id="rId74" Type="http://schemas.openxmlformats.org/officeDocument/2006/relationships/hyperlink" Target="https://aerocool.io/" TargetMode="External"/><Relationship Id="rId77" Type="http://schemas.openxmlformats.org/officeDocument/2006/relationships/hyperlink" Target="https://aerocool.io/product/cs-106/" TargetMode="External"/><Relationship Id="rId76" Type="http://schemas.openxmlformats.org/officeDocument/2006/relationships/hyperlink" Target="https://aerocool.io/" TargetMode="External"/><Relationship Id="rId79" Type="http://schemas.openxmlformats.org/officeDocument/2006/relationships/hyperlink" Target="https://aerocool.io/product/cs-105/" TargetMode="External"/><Relationship Id="rId78" Type="http://schemas.openxmlformats.org/officeDocument/2006/relationships/hyperlink" Target="https://aerocool.io/" TargetMode="External"/><Relationship Id="rId71" Type="http://schemas.openxmlformats.org/officeDocument/2006/relationships/hyperlink" Target="https://aerocool.io/product/cs-107/" TargetMode="External"/><Relationship Id="rId70" Type="http://schemas.openxmlformats.org/officeDocument/2006/relationships/hyperlink" Target="https://aerocool.io/" TargetMode="External"/><Relationship Id="rId62" Type="http://schemas.openxmlformats.org/officeDocument/2006/relationships/hyperlink" Target="https://www.gamemaxpc.com/index-en.html" TargetMode="External"/><Relationship Id="rId61" Type="http://schemas.openxmlformats.org/officeDocument/2006/relationships/hyperlink" Target="https://www.gamemaxpc.com/productkkk/918-en.html" TargetMode="External"/><Relationship Id="rId64" Type="http://schemas.openxmlformats.org/officeDocument/2006/relationships/hyperlink" Target="https://en.minicomputers.net/" TargetMode="External"/><Relationship Id="rId63" Type="http://schemas.openxmlformats.org/officeDocument/2006/relationships/hyperlink" Target="https://www.gamemaxpc.com/productkkk/919-en.html" TargetMode="External"/><Relationship Id="rId66" Type="http://schemas.openxmlformats.org/officeDocument/2006/relationships/hyperlink" Target="https://aerocool.io/" TargetMode="External"/><Relationship Id="rId65" Type="http://schemas.openxmlformats.org/officeDocument/2006/relationships/hyperlink" Target="https://en.minicomputers.net/gecko-v" TargetMode="External"/><Relationship Id="rId68" Type="http://schemas.openxmlformats.org/officeDocument/2006/relationships/hyperlink" Target="https://aerocool.io/" TargetMode="External"/><Relationship Id="rId67" Type="http://schemas.openxmlformats.org/officeDocument/2006/relationships/hyperlink" Target="https://aerocool.io/product/cs-109/" TargetMode="External"/><Relationship Id="rId60" Type="http://schemas.openxmlformats.org/officeDocument/2006/relationships/hyperlink" Target="https://www.gamemaxpc.com/index-en.html" TargetMode="External"/><Relationship Id="rId69" Type="http://schemas.openxmlformats.org/officeDocument/2006/relationships/hyperlink" Target="https://aerocool.io/product/evo-mini/" TargetMode="External"/><Relationship Id="rId51" Type="http://schemas.openxmlformats.org/officeDocument/2006/relationships/hyperlink" Target="https://www.silverstonetek.com/en/product/info/computer-chassis/CS351/" TargetMode="External"/><Relationship Id="rId50" Type="http://schemas.openxmlformats.org/officeDocument/2006/relationships/hyperlink" Target="https://www.silverstonetek.com/en/" TargetMode="External"/><Relationship Id="rId53" Type="http://schemas.openxmlformats.org/officeDocument/2006/relationships/hyperlink" Target="http://www.phanteks.com/Evolv-Shift2-Air.html" TargetMode="External"/><Relationship Id="rId52" Type="http://schemas.openxmlformats.org/officeDocument/2006/relationships/hyperlink" Target="http://www.phanteks.com/Evolv-Shift2.html" TargetMode="External"/><Relationship Id="rId55" Type="http://schemas.openxmlformats.org/officeDocument/2006/relationships/hyperlink" Target="https://www.silverstonetek.com/en/" TargetMode="External"/><Relationship Id="rId54" Type="http://schemas.openxmlformats.org/officeDocument/2006/relationships/hyperlink" Target="https://www.silverstonetek.com/en/" TargetMode="External"/><Relationship Id="rId57" Type="http://schemas.openxmlformats.org/officeDocument/2006/relationships/hyperlink" Target="https://www.sliger.com/products/cases/cerberus_x/" TargetMode="External"/><Relationship Id="rId56" Type="http://schemas.openxmlformats.org/officeDocument/2006/relationships/hyperlink" Target="https://www.silverstonetek.com/en/" TargetMode="External"/><Relationship Id="rId59" Type="http://schemas.openxmlformats.org/officeDocument/2006/relationships/hyperlink" Target="https://en.minicomputers.net/" TargetMode="External"/><Relationship Id="rId58" Type="http://schemas.openxmlformats.org/officeDocument/2006/relationships/hyperlink" Target="https://wiki.sff.media/en/Cases/Sliger/Cerberus_X" TargetMode="External"/><Relationship Id="rId107" Type="http://schemas.openxmlformats.org/officeDocument/2006/relationships/hyperlink" Target="https://item.taobao.com/item.htm?id=687374475648" TargetMode="External"/><Relationship Id="rId106" Type="http://schemas.openxmlformats.org/officeDocument/2006/relationships/hyperlink" Target="https://abee.co.jp/product/case/ase-rs07a/" TargetMode="External"/><Relationship Id="rId105" Type="http://schemas.openxmlformats.org/officeDocument/2006/relationships/hyperlink" Target="https://abee.co.jp/" TargetMode="External"/><Relationship Id="rId104" Type="http://schemas.openxmlformats.org/officeDocument/2006/relationships/hyperlink" Target="http://www.almordor.com/product-14178-14187-42578.html" TargetMode="External"/><Relationship Id="rId109" Type="http://schemas.openxmlformats.org/officeDocument/2006/relationships/hyperlink" Target="https://www.silverstonetek.com/product.php?pid=855&amp;area=en" TargetMode="External"/><Relationship Id="rId108" Type="http://schemas.openxmlformats.org/officeDocument/2006/relationships/hyperlink" Target="https://www.silverstonetek.com/en/" TargetMode="External"/><Relationship Id="rId103" Type="http://schemas.openxmlformats.org/officeDocument/2006/relationships/hyperlink" Target="http://www.almordor.com/" TargetMode="External"/><Relationship Id="rId102" Type="http://schemas.openxmlformats.org/officeDocument/2006/relationships/hyperlink" Target="http://www.almordor.com/product-14178-14187-101013.html" TargetMode="External"/><Relationship Id="rId101" Type="http://schemas.openxmlformats.org/officeDocument/2006/relationships/hyperlink" Target="http://www.almordor.com/" TargetMode="External"/><Relationship Id="rId100" Type="http://schemas.openxmlformats.org/officeDocument/2006/relationships/hyperlink" Target="http://www.cryorig.com/taku.php" TargetMode="External"/><Relationship Id="rId129" Type="http://schemas.openxmlformats.org/officeDocument/2006/relationships/hyperlink" Target="https://lian-li.com/product/a3-matx/" TargetMode="External"/><Relationship Id="rId128" Type="http://schemas.openxmlformats.org/officeDocument/2006/relationships/hyperlink" Target="http://www.lian-li.com/" TargetMode="External"/><Relationship Id="rId127" Type="http://schemas.openxmlformats.org/officeDocument/2006/relationships/hyperlink" Target="https://www.silverstonetek.com/en/product/info/computer-chassis/sugo_17/" TargetMode="External"/><Relationship Id="rId126" Type="http://schemas.openxmlformats.org/officeDocument/2006/relationships/hyperlink" Target="https://www.silverstonetek.com/en/" TargetMode="External"/><Relationship Id="rId121" Type="http://schemas.openxmlformats.org/officeDocument/2006/relationships/hyperlink" Target="https://www.jonsplus.com/products/i100pro-sg.html" TargetMode="External"/><Relationship Id="rId120" Type="http://schemas.openxmlformats.org/officeDocument/2006/relationships/hyperlink" Target="http://www.jonsplus.com/" TargetMode="External"/><Relationship Id="rId125" Type="http://schemas.openxmlformats.org/officeDocument/2006/relationships/hyperlink" Target="https://www.newegg.com/white-sama-im-series-atx-micro-atx-itx/p/2AM-009W-00038" TargetMode="External"/><Relationship Id="rId124" Type="http://schemas.openxmlformats.org/officeDocument/2006/relationships/hyperlink" Target="http://www.sama.cn/en/p768.html" TargetMode="External"/><Relationship Id="rId123" Type="http://schemas.openxmlformats.org/officeDocument/2006/relationships/hyperlink" Target="https://www.abeepc.com/Cases/49.html?lang=2" TargetMode="External"/><Relationship Id="rId122" Type="http://schemas.openxmlformats.org/officeDocument/2006/relationships/hyperlink" Target="https://abee.co.jp/" TargetMode="External"/><Relationship Id="rId95" Type="http://schemas.openxmlformats.org/officeDocument/2006/relationships/hyperlink" Target="https://www.corsair.com/ww/en/p/pc-cases/cc-9011247-ww/2000d-rgb-airflow-mini-itx-pc-case-white-cc-9011247-ww" TargetMode="External"/><Relationship Id="rId94" Type="http://schemas.openxmlformats.org/officeDocument/2006/relationships/hyperlink" Target="https://www.corsair.com/ww/en" TargetMode="External"/><Relationship Id="rId97" Type="http://schemas.openxmlformats.org/officeDocument/2006/relationships/hyperlink" Target="https://shop472748335.world.taobao.com/" TargetMode="External"/><Relationship Id="rId96" Type="http://schemas.openxmlformats.org/officeDocument/2006/relationships/hyperlink" Target="https://www.raijintek.com/en/products_detail.php?ProductID=178" TargetMode="External"/><Relationship Id="rId99" Type="http://schemas.openxmlformats.org/officeDocument/2006/relationships/hyperlink" Target="http://www.cryorig.com/index.php" TargetMode="External"/><Relationship Id="rId98" Type="http://schemas.openxmlformats.org/officeDocument/2006/relationships/hyperlink" Target="https://item.taobao.com/item.htm?id=608938563174" TargetMode="External"/><Relationship Id="rId91" Type="http://schemas.openxmlformats.org/officeDocument/2006/relationships/hyperlink" Target="https://streacom.com/products/f12c-chassis/" TargetMode="External"/><Relationship Id="rId90" Type="http://schemas.openxmlformats.org/officeDocument/2006/relationships/hyperlink" Target="https://www.gskill.com/product/365/368/1624267006/Z5i-Mini-ITX-Case-Overview" TargetMode="External"/><Relationship Id="rId93" Type="http://schemas.openxmlformats.org/officeDocument/2006/relationships/hyperlink" Target="https://www.corsair.com/ww/en/p/pc-cases/cc-9011245-ww/2000d-airflow-mini-itx-pc-case-white-cc-9011245-ww" TargetMode="External"/><Relationship Id="rId92" Type="http://schemas.openxmlformats.org/officeDocument/2006/relationships/hyperlink" Target="https://www.corsair.com/ww/en" TargetMode="External"/><Relationship Id="rId118" Type="http://schemas.openxmlformats.org/officeDocument/2006/relationships/hyperlink" Target="https://www.salvostudiosltd.com/" TargetMode="External"/><Relationship Id="rId117" Type="http://schemas.openxmlformats.org/officeDocument/2006/relationships/hyperlink" Target="https://aerocool.io/product/cs-108/" TargetMode="External"/><Relationship Id="rId116" Type="http://schemas.openxmlformats.org/officeDocument/2006/relationships/hyperlink" Target="https://aerocool.io/" TargetMode="External"/><Relationship Id="rId115" Type="http://schemas.openxmlformats.org/officeDocument/2006/relationships/hyperlink" Target="https://www.silverstonetek.com/en/" TargetMode="External"/><Relationship Id="rId119" Type="http://schemas.openxmlformats.org/officeDocument/2006/relationships/hyperlink" Target="https://www.salvostudiosltd.com/store/p3/Salvo_Studios_S700.html" TargetMode="External"/><Relationship Id="rId110" Type="http://schemas.openxmlformats.org/officeDocument/2006/relationships/hyperlink" Target="https://www.silverstonetek.com/en/" TargetMode="External"/><Relationship Id="rId114" Type="http://schemas.openxmlformats.org/officeDocument/2006/relationships/hyperlink" Target="https://item.taobao.com/item.htm?id=661874859676" TargetMode="External"/><Relationship Id="rId113" Type="http://schemas.openxmlformats.org/officeDocument/2006/relationships/hyperlink" Target="https://captaincase.world.taobao.com/" TargetMode="External"/><Relationship Id="rId112" Type="http://schemas.openxmlformats.org/officeDocument/2006/relationships/hyperlink" Target="https://www.jonsbo.com/en/products/V8.html" TargetMode="External"/><Relationship Id="rId111" Type="http://schemas.openxmlformats.org/officeDocument/2006/relationships/hyperlink" Target="https://www.silverstonetek.com/product.php?pid=910&amp;area=e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bhiner.com/" TargetMode="External"/><Relationship Id="rId2" Type="http://schemas.openxmlformats.org/officeDocument/2006/relationships/hyperlink" Target="https://www.cssbuy.com/" TargetMode="External"/><Relationship Id="rId3" Type="http://schemas.openxmlformats.org/officeDocument/2006/relationships/hyperlink" Target="https://www.superbuy.com/en/" TargetMode="External"/><Relationship Id="rId4" Type="http://schemas.openxmlformats.org/officeDocument/2006/relationships/hyperlink" Target="https://www.wegobuy.com/en/" TargetMode="External"/><Relationship Id="rId5" Type="http://schemas.openxmlformats.org/officeDocument/2006/relationships/hyperlink" Target="https://www.yoybuy.com/" TargetMode="External"/><Relationship Id="rId6"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90" Type="http://schemas.openxmlformats.org/officeDocument/2006/relationships/hyperlink" Target="http://www.idcooling.com/Product/detail/id/227/name/IS-60%20EVO%20ARGB" TargetMode="External"/><Relationship Id="rId194" Type="http://schemas.openxmlformats.org/officeDocument/2006/relationships/hyperlink" Target="https://www.arctic.de/en/Alpine-23/ACALP00035A" TargetMode="External"/><Relationship Id="rId193" Type="http://schemas.openxmlformats.org/officeDocument/2006/relationships/hyperlink" Target="https://www.arctic.ac/worldwide_en/" TargetMode="External"/><Relationship Id="rId192" Type="http://schemas.openxmlformats.org/officeDocument/2006/relationships/hyperlink" Target="http://www.idcooling.com.cn/Product/detail/id/218/name/IS-6K" TargetMode="External"/><Relationship Id="rId191" Type="http://schemas.openxmlformats.org/officeDocument/2006/relationships/hyperlink" Target="http://www.idcooling.com/index.php" TargetMode="External"/><Relationship Id="rId187" Type="http://schemas.openxmlformats.org/officeDocument/2006/relationships/hyperlink" Target="http://www.jonsbo.com/en/" TargetMode="External"/><Relationship Id="rId186" Type="http://schemas.openxmlformats.org/officeDocument/2006/relationships/hyperlink" Target="https://www.jonsbo.com/en/products/HX6200DBlack.html" TargetMode="External"/><Relationship Id="rId185" Type="http://schemas.openxmlformats.org/officeDocument/2006/relationships/hyperlink" Target="http://www.jonsbo.com/en/" TargetMode="External"/><Relationship Id="rId184" Type="http://schemas.openxmlformats.org/officeDocument/2006/relationships/hyperlink" Target="https://www.alpenfoehn.de/en/" TargetMode="External"/><Relationship Id="rId189" Type="http://schemas.openxmlformats.org/officeDocument/2006/relationships/hyperlink" Target="http://www.idcooling.com/index.php" TargetMode="External"/><Relationship Id="rId188" Type="http://schemas.openxmlformats.org/officeDocument/2006/relationships/hyperlink" Target="https://www.jonsbo.com/en/products/HX6200DWhite.html" TargetMode="External"/><Relationship Id="rId183" Type="http://schemas.openxmlformats.org/officeDocument/2006/relationships/hyperlink" Target="https://www.coolermaster.com/" TargetMode="External"/><Relationship Id="rId182" Type="http://schemas.openxmlformats.org/officeDocument/2006/relationships/hyperlink" Target="http://www.reeven.com/brontes" TargetMode="External"/><Relationship Id="rId181" Type="http://schemas.openxmlformats.org/officeDocument/2006/relationships/hyperlink" Target="http://www.reeven.com/" TargetMode="External"/><Relationship Id="rId180" Type="http://schemas.openxmlformats.org/officeDocument/2006/relationships/hyperlink" Target="http://thermalright.com/" TargetMode="External"/><Relationship Id="rId176" Type="http://schemas.openxmlformats.org/officeDocument/2006/relationships/hyperlink" Target="https://www.idcooling.com/Product/detail/id/308/name/IS-55%20ARGB%20WHITE" TargetMode="External"/><Relationship Id="rId175" Type="http://schemas.openxmlformats.org/officeDocument/2006/relationships/hyperlink" Target="http://www.idcooling.com/index.php" TargetMode="External"/><Relationship Id="rId174" Type="http://schemas.openxmlformats.org/officeDocument/2006/relationships/hyperlink" Target="https://www.idcooling.com/Product/detail/id/307/name/IS-55%20ARGB" TargetMode="External"/><Relationship Id="rId173" Type="http://schemas.openxmlformats.org/officeDocument/2006/relationships/hyperlink" Target="http://www.idcooling.com/index.php" TargetMode="External"/><Relationship Id="rId179" Type="http://schemas.openxmlformats.org/officeDocument/2006/relationships/hyperlink" Target="https://www.silverstonetek.com/en/" TargetMode="External"/><Relationship Id="rId178" Type="http://schemas.openxmlformats.org/officeDocument/2006/relationships/hyperlink" Target="http://www.scythe.com/" TargetMode="External"/><Relationship Id="rId177" Type="http://schemas.openxmlformats.org/officeDocument/2006/relationships/hyperlink" Target="http://www.scythe.com/" TargetMode="External"/><Relationship Id="rId198" Type="http://schemas.openxmlformats.org/officeDocument/2006/relationships/hyperlink" Target="https://noctua.at/en/nh-l9x65/cpucomp" TargetMode="External"/><Relationship Id="rId197" Type="http://schemas.openxmlformats.org/officeDocument/2006/relationships/hyperlink" Target="https://noctua.at/" TargetMode="External"/><Relationship Id="rId196" Type="http://schemas.openxmlformats.org/officeDocument/2006/relationships/hyperlink" Target="https://www.arctic.de/en/Alpine-23-CO/ACALP00036A" TargetMode="External"/><Relationship Id="rId195" Type="http://schemas.openxmlformats.org/officeDocument/2006/relationships/hyperlink" Target="https://www.arctic.ac/worldwide_en/" TargetMode="External"/><Relationship Id="rId199" Type="http://schemas.openxmlformats.org/officeDocument/2006/relationships/hyperlink" Target="https://noctua.at/" TargetMode="External"/><Relationship Id="rId150" Type="http://schemas.openxmlformats.org/officeDocument/2006/relationships/hyperlink" Target="http://thermalright.com/" TargetMode="External"/><Relationship Id="rId1" Type="http://schemas.openxmlformats.org/officeDocument/2006/relationships/comments" Target="../comments4.xml"/><Relationship Id="rId2" Type="http://schemas.openxmlformats.org/officeDocument/2006/relationships/hyperlink" Target="https://www.thermaltake.com/" TargetMode="External"/><Relationship Id="rId3" Type="http://schemas.openxmlformats.org/officeDocument/2006/relationships/hyperlink" Target="https://metalfish.world.taobao.com/" TargetMode="External"/><Relationship Id="rId149" Type="http://schemas.openxmlformats.org/officeDocument/2006/relationships/hyperlink" Target="https://www.pccooler.com/Products/product_1/id/192/ids/0" TargetMode="External"/><Relationship Id="rId4" Type="http://schemas.openxmlformats.org/officeDocument/2006/relationships/hyperlink" Target="https://item.taobao.com/item.htm?id=576658261437" TargetMode="External"/><Relationship Id="rId148" Type="http://schemas.openxmlformats.org/officeDocument/2006/relationships/hyperlink" Target="https://www.pccooler.com/" TargetMode="External"/><Relationship Id="rId9" Type="http://schemas.openxmlformats.org/officeDocument/2006/relationships/hyperlink" Target="https://www.thermaltake.com/" TargetMode="External"/><Relationship Id="rId143" Type="http://schemas.openxmlformats.org/officeDocument/2006/relationships/hyperlink" Target="https://www.silverstonetek.com/product.php?pid=691&amp;area=en" TargetMode="External"/><Relationship Id="rId142" Type="http://schemas.openxmlformats.org/officeDocument/2006/relationships/hyperlink" Target="https://www.silverstonetek.com/en/" TargetMode="External"/><Relationship Id="rId141" Type="http://schemas.openxmlformats.org/officeDocument/2006/relationships/hyperlink" Target="https://www.silverstonetek.com/product.php?pid=1053&amp;area=en" TargetMode="External"/><Relationship Id="rId140" Type="http://schemas.openxmlformats.org/officeDocument/2006/relationships/hyperlink" Target="https://www.silverstonetek.com/en/" TargetMode="External"/><Relationship Id="rId5" Type="http://schemas.openxmlformats.org/officeDocument/2006/relationships/hyperlink" Target="http://www.idcooling.com/index.php" TargetMode="External"/><Relationship Id="rId147" Type="http://schemas.openxmlformats.org/officeDocument/2006/relationships/hyperlink" Target="https://www.deepcool.com/index.shtml" TargetMode="External"/><Relationship Id="rId6" Type="http://schemas.openxmlformats.org/officeDocument/2006/relationships/hyperlink" Target="http://www.idcooling.com/index.php" TargetMode="External"/><Relationship Id="rId146" Type="http://schemas.openxmlformats.org/officeDocument/2006/relationships/hyperlink" Target="https://item.taobao.com/item.htm?id=609868072093" TargetMode="External"/><Relationship Id="rId7" Type="http://schemas.openxmlformats.org/officeDocument/2006/relationships/hyperlink" Target="http://www.idcooling.com/index.php" TargetMode="External"/><Relationship Id="rId145" Type="http://schemas.openxmlformats.org/officeDocument/2006/relationships/hyperlink" Target="https://www.amd.com/en" TargetMode="External"/><Relationship Id="rId8" Type="http://schemas.openxmlformats.org/officeDocument/2006/relationships/hyperlink" Target="http://www.idcooling.com/Product/detail/id/263/name/IS-27i" TargetMode="External"/><Relationship Id="rId144" Type="http://schemas.openxmlformats.org/officeDocument/2006/relationships/hyperlink" Target="http://www.scythe.com/" TargetMode="External"/><Relationship Id="rId139" Type="http://schemas.openxmlformats.org/officeDocument/2006/relationships/hyperlink" Target="http://thermalright.com/product/axp90-x47-white/" TargetMode="External"/><Relationship Id="rId138" Type="http://schemas.openxmlformats.org/officeDocument/2006/relationships/hyperlink" Target="http://thermalright.com/" TargetMode="External"/><Relationship Id="rId137" Type="http://schemas.openxmlformats.org/officeDocument/2006/relationships/hyperlink" Target="http://thermalright.com/product/axp90-x47-full/" TargetMode="External"/><Relationship Id="rId132" Type="http://schemas.openxmlformats.org/officeDocument/2006/relationships/hyperlink" Target="http://thermalright.com/" TargetMode="External"/><Relationship Id="rId131" Type="http://schemas.openxmlformats.org/officeDocument/2006/relationships/hyperlink" Target="http://thermalright.com/product/axp-90r-%e7%ba%af%e9%93%9c%e7%89%88/" TargetMode="External"/><Relationship Id="rId130" Type="http://schemas.openxmlformats.org/officeDocument/2006/relationships/hyperlink" Target="http://thermalright.com/" TargetMode="External"/><Relationship Id="rId136" Type="http://schemas.openxmlformats.org/officeDocument/2006/relationships/hyperlink" Target="http://thermalright.com/" TargetMode="External"/><Relationship Id="rId135" Type="http://schemas.openxmlformats.org/officeDocument/2006/relationships/hyperlink" Target="http://www.thermalright.com/product/axp90-x47-black/" TargetMode="External"/><Relationship Id="rId134" Type="http://schemas.openxmlformats.org/officeDocument/2006/relationships/hyperlink" Target="http://thermalright.com/" TargetMode="External"/><Relationship Id="rId133" Type="http://schemas.openxmlformats.org/officeDocument/2006/relationships/hyperlink" Target="http://www.thermalright.com/product/axp90-x47/" TargetMode="External"/><Relationship Id="rId172" Type="http://schemas.openxmlformats.org/officeDocument/2006/relationships/hyperlink" Target="https://www.idcooling.com/Product/detail/id/326/name/IS-55%20BLACK" TargetMode="External"/><Relationship Id="rId171" Type="http://schemas.openxmlformats.org/officeDocument/2006/relationships/hyperlink" Target="http://www.idcooling.com/index.php" TargetMode="External"/><Relationship Id="rId170" Type="http://schemas.openxmlformats.org/officeDocument/2006/relationships/hyperlink" Target="http://www.idcooling.com.cn/Product/detail/id/259/name/IS-55" TargetMode="External"/><Relationship Id="rId165" Type="http://schemas.openxmlformats.org/officeDocument/2006/relationships/hyperlink" Target="http://www.idcooling.com/index.php" TargetMode="External"/><Relationship Id="rId164" Type="http://schemas.openxmlformats.org/officeDocument/2006/relationships/hyperlink" Target="http://www.idcooling.com/Product/detail/id/290/name/IS-60V2" TargetMode="External"/><Relationship Id="rId163" Type="http://schemas.openxmlformats.org/officeDocument/2006/relationships/hyperlink" Target="http://www.idcooling.com/index.php" TargetMode="External"/><Relationship Id="rId162" Type="http://schemas.openxmlformats.org/officeDocument/2006/relationships/hyperlink" Target="http://www.idcooling.com/index.php" TargetMode="External"/><Relationship Id="rId169" Type="http://schemas.openxmlformats.org/officeDocument/2006/relationships/hyperlink" Target="http://www.idcooling.com/index.php" TargetMode="External"/><Relationship Id="rId168" Type="http://schemas.openxmlformats.org/officeDocument/2006/relationships/hyperlink" Target="http://www.idcooling.com/Product/detail/id/258/name/IS-50X%20V2" TargetMode="External"/><Relationship Id="rId167" Type="http://schemas.openxmlformats.org/officeDocument/2006/relationships/hyperlink" Target="http://www.idcooling.com/index.php" TargetMode="External"/><Relationship Id="rId166" Type="http://schemas.openxmlformats.org/officeDocument/2006/relationships/hyperlink" Target="http://www.idcooling.com/Product/detail/id/20/name/IS-50" TargetMode="External"/><Relationship Id="rId161" Type="http://schemas.openxmlformats.org/officeDocument/2006/relationships/hyperlink" Target="https://www.silverstonetek.com/en/product/info/coolers/KR01/" TargetMode="External"/><Relationship Id="rId160" Type="http://schemas.openxmlformats.org/officeDocument/2006/relationships/hyperlink" Target="https://www.silverstonetek.com/en/" TargetMode="External"/><Relationship Id="rId159" Type="http://schemas.openxmlformats.org/officeDocument/2006/relationships/hyperlink" Target="https://detail.tmall.com/item_o.htm?id=692739482210" TargetMode="External"/><Relationship Id="rId154" Type="http://schemas.openxmlformats.org/officeDocument/2006/relationships/hyperlink" Target="http://thermalright.com/" TargetMode="External"/><Relationship Id="rId153" Type="http://schemas.openxmlformats.org/officeDocument/2006/relationships/hyperlink" Target="http://www.thermalright.com/product/axp90-x53-black/" TargetMode="External"/><Relationship Id="rId152" Type="http://schemas.openxmlformats.org/officeDocument/2006/relationships/hyperlink" Target="http://thermalright.com/" TargetMode="External"/><Relationship Id="rId151" Type="http://schemas.openxmlformats.org/officeDocument/2006/relationships/hyperlink" Target="http://thermalright.com/product/axp90-x53/" TargetMode="External"/><Relationship Id="rId158" Type="http://schemas.openxmlformats.org/officeDocument/2006/relationships/hyperlink" Target="http://thermalright.com/" TargetMode="External"/><Relationship Id="rId157" Type="http://schemas.openxmlformats.org/officeDocument/2006/relationships/hyperlink" Target="http://www.thermalright.com/product/axp90-x53-full-black/" TargetMode="External"/><Relationship Id="rId156" Type="http://schemas.openxmlformats.org/officeDocument/2006/relationships/hyperlink" Target="http://thermalright.com/" TargetMode="External"/><Relationship Id="rId155" Type="http://schemas.openxmlformats.org/officeDocument/2006/relationships/hyperlink" Target="https://www.thermalright.com/product/axp90-x53-full/" TargetMode="External"/><Relationship Id="rId40" Type="http://schemas.openxmlformats.org/officeDocument/2006/relationships/hyperlink" Target="https://noctua.at/en/nh-l9a-am4/cpucomp" TargetMode="External"/><Relationship Id="rId42" Type="http://schemas.openxmlformats.org/officeDocument/2006/relationships/hyperlink" Target="https://noctua.at/en/nh-l9a-am4-chromax-black" TargetMode="External"/><Relationship Id="rId41" Type="http://schemas.openxmlformats.org/officeDocument/2006/relationships/hyperlink" Target="https://noctua.at/" TargetMode="External"/><Relationship Id="rId44" Type="http://schemas.openxmlformats.org/officeDocument/2006/relationships/hyperlink" Target="https://noctua.at/" TargetMode="External"/><Relationship Id="rId43" Type="http://schemas.openxmlformats.org/officeDocument/2006/relationships/hyperlink" Target="https://noctua.at/en/nh-l9a-am4/cpucomp" TargetMode="External"/><Relationship Id="rId46" Type="http://schemas.openxmlformats.org/officeDocument/2006/relationships/hyperlink" Target="https://ncc.noctua.at/coolers/NH-L9a-AM5-84/cpus" TargetMode="External"/><Relationship Id="rId45" Type="http://schemas.openxmlformats.org/officeDocument/2006/relationships/hyperlink" Target="https://noctua.at/en/nh-l9a-am5" TargetMode="External"/><Relationship Id="rId48" Type="http://schemas.openxmlformats.org/officeDocument/2006/relationships/hyperlink" Target="https://noctua.at/en/nh-l9a-am5-chromax-black" TargetMode="External"/><Relationship Id="rId47" Type="http://schemas.openxmlformats.org/officeDocument/2006/relationships/hyperlink" Target="https://noctua.at/" TargetMode="External"/><Relationship Id="rId49" Type="http://schemas.openxmlformats.org/officeDocument/2006/relationships/hyperlink" Target="https://ncc.noctua.at/coolers/NH-L9a-AM5-chromax.black-85/cpus" TargetMode="External"/><Relationship Id="rId31" Type="http://schemas.openxmlformats.org/officeDocument/2006/relationships/hyperlink" Target="http://thermalright.com/product/axp90-x36-black/" TargetMode="External"/><Relationship Id="rId30" Type="http://schemas.openxmlformats.org/officeDocument/2006/relationships/hyperlink" Target="http://thermalright.com/" TargetMode="External"/><Relationship Id="rId33" Type="http://schemas.openxmlformats.org/officeDocument/2006/relationships/hyperlink" Target="https://www.jonsbo.com/en/products/HP400SBlack.html" TargetMode="External"/><Relationship Id="rId32" Type="http://schemas.openxmlformats.org/officeDocument/2006/relationships/hyperlink" Target="http://www.jonsbo.com/en/" TargetMode="External"/><Relationship Id="rId35" Type="http://schemas.openxmlformats.org/officeDocument/2006/relationships/hyperlink" Target="https://www.jonsbo.com/en/products/HP400SWhite.html" TargetMode="External"/><Relationship Id="rId34" Type="http://schemas.openxmlformats.org/officeDocument/2006/relationships/hyperlink" Target="http://www.jonsbo.com/en/" TargetMode="External"/><Relationship Id="rId37" Type="http://schemas.openxmlformats.org/officeDocument/2006/relationships/hyperlink" Target="https://noctua.at/en/nh-l9a/cpucomp" TargetMode="External"/><Relationship Id="rId36" Type="http://schemas.openxmlformats.org/officeDocument/2006/relationships/hyperlink" Target="https://noctua.at/" TargetMode="External"/><Relationship Id="rId39" Type="http://schemas.openxmlformats.org/officeDocument/2006/relationships/hyperlink" Target="https://noctua.at/en/nh-l9a-am4" TargetMode="External"/><Relationship Id="rId38" Type="http://schemas.openxmlformats.org/officeDocument/2006/relationships/hyperlink" Target="https://noctua.at/" TargetMode="External"/><Relationship Id="rId20" Type="http://schemas.openxmlformats.org/officeDocument/2006/relationships/hyperlink" Target="http://www.reeven.com/vanxie-rc-0801" TargetMode="External"/><Relationship Id="rId22" Type="http://schemas.openxmlformats.org/officeDocument/2006/relationships/hyperlink" Target="https://www.silverstonetek.com/en/" TargetMode="External"/><Relationship Id="rId21" Type="http://schemas.openxmlformats.org/officeDocument/2006/relationships/hyperlink" Target="http://www.scythe.com/" TargetMode="External"/><Relationship Id="rId24" Type="http://schemas.openxmlformats.org/officeDocument/2006/relationships/hyperlink" Target="http://www.jonsbo.com/en/" TargetMode="External"/><Relationship Id="rId23" Type="http://schemas.openxmlformats.org/officeDocument/2006/relationships/hyperlink" Target="https://www.silverstonetek.com/product.php?pid=720&amp;bno=39&amp;tb=21&amp;area=en" TargetMode="External"/><Relationship Id="rId26" Type="http://schemas.openxmlformats.org/officeDocument/2006/relationships/hyperlink" Target="https://metalfish.world.taobao.com/" TargetMode="External"/><Relationship Id="rId25" Type="http://schemas.openxmlformats.org/officeDocument/2006/relationships/hyperlink" Target="http://www.jonsbo.com/en/products/hp400.html" TargetMode="External"/><Relationship Id="rId28" Type="http://schemas.openxmlformats.org/officeDocument/2006/relationships/hyperlink" Target="http://thermalright.com/" TargetMode="External"/><Relationship Id="rId27" Type="http://schemas.openxmlformats.org/officeDocument/2006/relationships/hyperlink" Target="https://item.taobao.com/item.htm?id=636044339160" TargetMode="External"/><Relationship Id="rId29" Type="http://schemas.openxmlformats.org/officeDocument/2006/relationships/hyperlink" Target="http://thermalright.com/product/axp90-x36/" TargetMode="External"/><Relationship Id="rId11" Type="http://schemas.openxmlformats.org/officeDocument/2006/relationships/hyperlink" Target="https://www.zalman.com/EN/Product/ProductDetail.do?pageIndex=2&amp;pageSize=10&amp;pageUnit=12&amp;productSeq=314&amp;searchCategory1=4&amp;searchCategory2=48&amp;searchCategory3=-99&amp;searchKey=&amp;searchWord=" TargetMode="External"/><Relationship Id="rId10" Type="http://schemas.openxmlformats.org/officeDocument/2006/relationships/hyperlink" Target="https://www.zalman.com/EN/Main/Main.do" TargetMode="External"/><Relationship Id="rId13" Type="http://schemas.openxmlformats.org/officeDocument/2006/relationships/hyperlink" Target="http://www.idcooling.com/index.php" TargetMode="External"/><Relationship Id="rId12" Type="http://schemas.openxmlformats.org/officeDocument/2006/relationships/hyperlink" Target="http://www.idcooling.com/index.php" TargetMode="External"/><Relationship Id="rId15" Type="http://schemas.openxmlformats.org/officeDocument/2006/relationships/hyperlink" Target="http://www.idcooling.com/index.php" TargetMode="External"/><Relationship Id="rId14" Type="http://schemas.openxmlformats.org/officeDocument/2006/relationships/hyperlink" Target="https://www.idcooling.com/Product/detail/id/342/name/IS-30A" TargetMode="External"/><Relationship Id="rId17" Type="http://schemas.openxmlformats.org/officeDocument/2006/relationships/hyperlink" Target="http://www.scythe.com/" TargetMode="External"/><Relationship Id="rId16" Type="http://schemas.openxmlformats.org/officeDocument/2006/relationships/hyperlink" Target="https://www.idcooling.com/Product/detail/id/343/name/IS-30i" TargetMode="External"/><Relationship Id="rId19" Type="http://schemas.openxmlformats.org/officeDocument/2006/relationships/hyperlink" Target="http://www.reeven.com/" TargetMode="External"/><Relationship Id="rId18" Type="http://schemas.openxmlformats.org/officeDocument/2006/relationships/hyperlink" Target="http://www.scythe-cn.com/product/cooler/s950m.html" TargetMode="External"/><Relationship Id="rId84" Type="http://schemas.openxmlformats.org/officeDocument/2006/relationships/hyperlink" Target="https://www.bequiet.com/en/cpucooler/3992" TargetMode="External"/><Relationship Id="rId83" Type="http://schemas.openxmlformats.org/officeDocument/2006/relationships/hyperlink" Target="https://www.bequiet.com/en" TargetMode="External"/><Relationship Id="rId86" Type="http://schemas.openxmlformats.org/officeDocument/2006/relationships/hyperlink" Target="http://www.idcooling.com/index.php" TargetMode="External"/><Relationship Id="rId85" Type="http://schemas.openxmlformats.org/officeDocument/2006/relationships/hyperlink" Target="http://www.idcooling.com/index.php" TargetMode="External"/><Relationship Id="rId88" Type="http://schemas.openxmlformats.org/officeDocument/2006/relationships/hyperlink" Target="http://www.idcooling.com/index.php" TargetMode="External"/><Relationship Id="rId87" Type="http://schemas.openxmlformats.org/officeDocument/2006/relationships/hyperlink" Target="http://www.idcooling.com/Product/detail/id/275/name/IS-40X%20V2" TargetMode="External"/><Relationship Id="rId89" Type="http://schemas.openxmlformats.org/officeDocument/2006/relationships/hyperlink" Target="http://www.prolimatech.com/index.asp" TargetMode="External"/><Relationship Id="rId80" Type="http://schemas.openxmlformats.org/officeDocument/2006/relationships/hyperlink" Target="https://www.alpenfoehn.de/en/" TargetMode="External"/><Relationship Id="rId82" Type="http://schemas.openxmlformats.org/officeDocument/2006/relationships/hyperlink" Target="https://www.amd.com/en" TargetMode="External"/><Relationship Id="rId81" Type="http://schemas.openxmlformats.org/officeDocument/2006/relationships/hyperlink" Target="https://www.alpenfoehn.de/en/products/cpu-cooler/silvretta" TargetMode="External"/><Relationship Id="rId73" Type="http://schemas.openxmlformats.org/officeDocument/2006/relationships/hyperlink" Target="https://www.jonsbo.com/en/products/HP400S.html" TargetMode="External"/><Relationship Id="rId72" Type="http://schemas.openxmlformats.org/officeDocument/2006/relationships/hyperlink" Target="http://www.jonsbo.com/en/" TargetMode="External"/><Relationship Id="rId75" Type="http://schemas.openxmlformats.org/officeDocument/2006/relationships/hyperlink" Target="https://www.jonsbo.com/en/products/HP400SNEW.html" TargetMode="External"/><Relationship Id="rId74" Type="http://schemas.openxmlformats.org/officeDocument/2006/relationships/hyperlink" Target="http://www.jonsbo.com/en/" TargetMode="External"/><Relationship Id="rId77" Type="http://schemas.openxmlformats.org/officeDocument/2006/relationships/hyperlink" Target="https://gelidsolutions.com/" TargetMode="External"/><Relationship Id="rId76" Type="http://schemas.openxmlformats.org/officeDocument/2006/relationships/hyperlink" Target="http://www.scythe.com/" TargetMode="External"/><Relationship Id="rId79" Type="http://schemas.openxmlformats.org/officeDocument/2006/relationships/hyperlink" Target="https://www.raijintek.com/en/index.php" TargetMode="External"/><Relationship Id="rId78" Type="http://schemas.openxmlformats.org/officeDocument/2006/relationships/hyperlink" Target="https://gelidsolutions.com/product/slim-silence-black/" TargetMode="External"/><Relationship Id="rId71" Type="http://schemas.openxmlformats.org/officeDocument/2006/relationships/hyperlink" Target="https://www.coolermaster.com/" TargetMode="External"/><Relationship Id="rId70" Type="http://schemas.openxmlformats.org/officeDocument/2006/relationships/hyperlink" Target="https://item.taobao.com/item.htm?id=636044339160" TargetMode="External"/><Relationship Id="rId62" Type="http://schemas.openxmlformats.org/officeDocument/2006/relationships/hyperlink" Target="https://www.silverstonetek.com/en/" TargetMode="External"/><Relationship Id="rId61" Type="http://schemas.openxmlformats.org/officeDocument/2006/relationships/hyperlink" Target="https://ncc.noctua.at/coolers/NH-L9i-17xx-chromax.black-72/cpus" TargetMode="External"/><Relationship Id="rId64" Type="http://schemas.openxmlformats.org/officeDocument/2006/relationships/hyperlink" Target="https://www.iceberg-thermal.com/product/cpu-cooler/icefloe-t65/" TargetMode="External"/><Relationship Id="rId63" Type="http://schemas.openxmlformats.org/officeDocument/2006/relationships/hyperlink" Target="https://www.iceberg-thermal.com/consumer/" TargetMode="External"/><Relationship Id="rId66" Type="http://schemas.openxmlformats.org/officeDocument/2006/relationships/hyperlink" Target="http://www.scythe-cn.com/product/cooler/sc-jt8039.html" TargetMode="External"/><Relationship Id="rId65" Type="http://schemas.openxmlformats.org/officeDocument/2006/relationships/hyperlink" Target="http://www.scythe.com/" TargetMode="External"/><Relationship Id="rId68" Type="http://schemas.openxmlformats.org/officeDocument/2006/relationships/hyperlink" Target="http://www.scythe-cn.com/product/cooler/sc-jt8039-p.html" TargetMode="External"/><Relationship Id="rId67" Type="http://schemas.openxmlformats.org/officeDocument/2006/relationships/hyperlink" Target="http://www.scythe.com/" TargetMode="External"/><Relationship Id="rId60" Type="http://schemas.openxmlformats.org/officeDocument/2006/relationships/hyperlink" Target="https://noctua.at/en/nh-l9i-17xx-chromax-black" TargetMode="External"/><Relationship Id="rId69" Type="http://schemas.openxmlformats.org/officeDocument/2006/relationships/hyperlink" Target="https://metalfish.world.taobao.com/" TargetMode="External"/><Relationship Id="rId51" Type="http://schemas.openxmlformats.org/officeDocument/2006/relationships/hyperlink" Target="https://noctua.at/en/nh-l9i" TargetMode="External"/><Relationship Id="rId50" Type="http://schemas.openxmlformats.org/officeDocument/2006/relationships/hyperlink" Target="https://noctua.at/" TargetMode="External"/><Relationship Id="rId53" Type="http://schemas.openxmlformats.org/officeDocument/2006/relationships/hyperlink" Target="https://noctua.at/" TargetMode="External"/><Relationship Id="rId52" Type="http://schemas.openxmlformats.org/officeDocument/2006/relationships/hyperlink" Target="https://noctua.at/en/nh-l9i/cpucomp" TargetMode="External"/><Relationship Id="rId55" Type="http://schemas.openxmlformats.org/officeDocument/2006/relationships/hyperlink" Target="https://noctua.at/en/nh-l9i/cpucomp" TargetMode="External"/><Relationship Id="rId54" Type="http://schemas.openxmlformats.org/officeDocument/2006/relationships/hyperlink" Target="https://noctua.at/en/nh-l9i-chromax-black" TargetMode="External"/><Relationship Id="rId57" Type="http://schemas.openxmlformats.org/officeDocument/2006/relationships/hyperlink" Target="https://noctua.at/en/nh-l9i-17xx" TargetMode="External"/><Relationship Id="rId56" Type="http://schemas.openxmlformats.org/officeDocument/2006/relationships/hyperlink" Target="https://noctua.at/" TargetMode="External"/><Relationship Id="rId59" Type="http://schemas.openxmlformats.org/officeDocument/2006/relationships/hyperlink" Target="https://noctua.at/" TargetMode="External"/><Relationship Id="rId58" Type="http://schemas.openxmlformats.org/officeDocument/2006/relationships/hyperlink" Target="https://ncc.noctua.at/coolers/NH-L9i-17xx-71/cpus" TargetMode="External"/><Relationship Id="rId107" Type="http://schemas.openxmlformats.org/officeDocument/2006/relationships/hyperlink" Target="http://www.idcooling.com/index.php" TargetMode="External"/><Relationship Id="rId228" Type="http://schemas.openxmlformats.org/officeDocument/2006/relationships/hyperlink" Target="http://thermalright.com/" TargetMode="External"/><Relationship Id="rId106" Type="http://schemas.openxmlformats.org/officeDocument/2006/relationships/hyperlink" Target="http://www.cryorig.com/" TargetMode="External"/><Relationship Id="rId227" Type="http://schemas.openxmlformats.org/officeDocument/2006/relationships/hyperlink" Target="http://thermalright.com/product/axp120-x67-black-argb/" TargetMode="External"/><Relationship Id="rId105" Type="http://schemas.openxmlformats.org/officeDocument/2006/relationships/hyperlink" Target="http://www.cryorig.com/" TargetMode="External"/><Relationship Id="rId226" Type="http://schemas.openxmlformats.org/officeDocument/2006/relationships/hyperlink" Target="http://thermalright.com/" TargetMode="External"/><Relationship Id="rId104" Type="http://schemas.openxmlformats.org/officeDocument/2006/relationships/hyperlink" Target="http://www.cryorig.com/c7rgb.php" TargetMode="External"/><Relationship Id="rId225" Type="http://schemas.openxmlformats.org/officeDocument/2006/relationships/hyperlink" Target="http://thermalright.com/product/axp120-x67/" TargetMode="External"/><Relationship Id="rId109" Type="http://schemas.openxmlformats.org/officeDocument/2006/relationships/hyperlink" Target="https://docs.google.com/spreadsheets/d/1FWkLojkW3NugzzRWTENS-7bSjByufIEqy2Ipz8Kef18/" TargetMode="External"/><Relationship Id="rId108" Type="http://schemas.openxmlformats.org/officeDocument/2006/relationships/hyperlink" Target="http://www.idcooling.com/Product/detail/id/205/name/IS-47K" TargetMode="External"/><Relationship Id="rId229" Type="http://schemas.openxmlformats.org/officeDocument/2006/relationships/hyperlink" Target="http://thermalright.com/product/axp120-x67-white-argb/" TargetMode="External"/><Relationship Id="rId220" Type="http://schemas.openxmlformats.org/officeDocument/2006/relationships/hyperlink" Target="http://www.idcooling.com/index.php" TargetMode="External"/><Relationship Id="rId103" Type="http://schemas.openxmlformats.org/officeDocument/2006/relationships/hyperlink" Target="http://www.cryorig.com/" TargetMode="External"/><Relationship Id="rId224" Type="http://schemas.openxmlformats.org/officeDocument/2006/relationships/hyperlink" Target="http://thermalright.com/" TargetMode="External"/><Relationship Id="rId102" Type="http://schemas.openxmlformats.org/officeDocument/2006/relationships/hyperlink" Target="https://en.cryorig.com/products_detail/106" TargetMode="External"/><Relationship Id="rId223" Type="http://schemas.openxmlformats.org/officeDocument/2006/relationships/hyperlink" Target="https://www.scytheus.com/bigshuriken3-rev-b" TargetMode="External"/><Relationship Id="rId101" Type="http://schemas.openxmlformats.org/officeDocument/2006/relationships/hyperlink" Target="http://www.cryorig.com/" TargetMode="External"/><Relationship Id="rId222" Type="http://schemas.openxmlformats.org/officeDocument/2006/relationships/hyperlink" Target="http://www.scythe.com/" TargetMode="External"/><Relationship Id="rId100" Type="http://schemas.openxmlformats.org/officeDocument/2006/relationships/hyperlink" Target="https://www.alpenfoehn.de/en/products/cpu-cooler/panorama-2" TargetMode="External"/><Relationship Id="rId221" Type="http://schemas.openxmlformats.org/officeDocument/2006/relationships/hyperlink" Target="https://www.idcooling.com/Product/detail/id/396/name/IS-67-XT%20WHITE" TargetMode="External"/><Relationship Id="rId217" Type="http://schemas.openxmlformats.org/officeDocument/2006/relationships/hyperlink" Target="https://www.deepcool.com/products/Cooling/cpuaircoolers/AN600-Top-Flow-Low-Profile-Cooler-1700-AM5/2023/16837.shtml" TargetMode="External"/><Relationship Id="rId216" Type="http://schemas.openxmlformats.org/officeDocument/2006/relationships/hyperlink" Target="https://www.deepcool.com/index.shtml" TargetMode="External"/><Relationship Id="rId215" Type="http://schemas.openxmlformats.org/officeDocument/2006/relationships/hyperlink" Target="https://www.silverstonetek.com/en/product/info/coolers/AR09-AM4/" TargetMode="External"/><Relationship Id="rId214" Type="http://schemas.openxmlformats.org/officeDocument/2006/relationships/hyperlink" Target="https://www.silverstonetek.com/en/" TargetMode="External"/><Relationship Id="rId219" Type="http://schemas.openxmlformats.org/officeDocument/2006/relationships/hyperlink" Target="https://www.idcooling.com/Product/detail/id/395/name/IS-67-XT%20BLACK" TargetMode="External"/><Relationship Id="rId218" Type="http://schemas.openxmlformats.org/officeDocument/2006/relationships/hyperlink" Target="http://www.idcooling.com/index.php" TargetMode="External"/><Relationship Id="rId213" Type="http://schemas.openxmlformats.org/officeDocument/2006/relationships/hyperlink" Target="https://noctua.at/en/nh-l12/cpucomp" TargetMode="External"/><Relationship Id="rId212" Type="http://schemas.openxmlformats.org/officeDocument/2006/relationships/hyperlink" Target="https://noctua.at/en/nh-l12-ghost-s1-edition" TargetMode="External"/><Relationship Id="rId211" Type="http://schemas.openxmlformats.org/officeDocument/2006/relationships/hyperlink" Target="https://noctua.at/" TargetMode="External"/><Relationship Id="rId210" Type="http://schemas.openxmlformats.org/officeDocument/2006/relationships/hyperlink" Target="https://noctua.at/en/nh-l12/cpucomp" TargetMode="External"/><Relationship Id="rId129" Type="http://schemas.openxmlformats.org/officeDocument/2006/relationships/hyperlink" Target="http://thermalright.com/product/axp-90r-%e6%a0%87%e5%87%86%e7%89%88/" TargetMode="External"/><Relationship Id="rId128" Type="http://schemas.openxmlformats.org/officeDocument/2006/relationships/hyperlink" Target="http://thermalright.com/" TargetMode="External"/><Relationship Id="rId127" Type="http://schemas.openxmlformats.org/officeDocument/2006/relationships/hyperlink" Target="http://thermalright.com/product/axp-90i-%e7%ba%af%e9%93%9c%e7%89%88/" TargetMode="External"/><Relationship Id="rId126" Type="http://schemas.openxmlformats.org/officeDocument/2006/relationships/hyperlink" Target="http://thermalright.com/" TargetMode="External"/><Relationship Id="rId121" Type="http://schemas.openxmlformats.org/officeDocument/2006/relationships/hyperlink" Target="https://www.silverstonetek.com/en/" TargetMode="External"/><Relationship Id="rId242" Type="http://schemas.openxmlformats.org/officeDocument/2006/relationships/hyperlink" Target="https://noctua.at/en/nh-l12s/cpucomp" TargetMode="External"/><Relationship Id="rId120" Type="http://schemas.openxmlformats.org/officeDocument/2006/relationships/hyperlink" Target="https://www.intel.com/content/www/us/en/homepage.html" TargetMode="External"/><Relationship Id="rId241" Type="http://schemas.openxmlformats.org/officeDocument/2006/relationships/hyperlink" Target="https://noctua.at/" TargetMode="External"/><Relationship Id="rId240" Type="http://schemas.openxmlformats.org/officeDocument/2006/relationships/hyperlink" Target="https://www.arctic.ac/worldwide_en/" TargetMode="External"/><Relationship Id="rId125" Type="http://schemas.openxmlformats.org/officeDocument/2006/relationships/hyperlink" Target="http://thermalright.com/product/axp-90i-%e6%a0%87%e5%87%86%e7%89%88/" TargetMode="External"/><Relationship Id="rId124" Type="http://schemas.openxmlformats.org/officeDocument/2006/relationships/hyperlink" Target="http://thermalright.com/" TargetMode="External"/><Relationship Id="rId123" Type="http://schemas.openxmlformats.org/officeDocument/2006/relationships/hyperlink" Target="http://thermalright-china.com/product/axp90-full-black/" TargetMode="External"/><Relationship Id="rId244" Type="http://schemas.openxmlformats.org/officeDocument/2006/relationships/vmlDrawing" Target="../drawings/vmlDrawing4.vml"/><Relationship Id="rId122" Type="http://schemas.openxmlformats.org/officeDocument/2006/relationships/hyperlink" Target="http://thermalright.com/" TargetMode="External"/><Relationship Id="rId243" Type="http://schemas.openxmlformats.org/officeDocument/2006/relationships/drawing" Target="../drawings/drawing6.xml"/><Relationship Id="rId95" Type="http://schemas.openxmlformats.org/officeDocument/2006/relationships/hyperlink" Target="https://www.alpenfoehn.de/en/" TargetMode="External"/><Relationship Id="rId94" Type="http://schemas.openxmlformats.org/officeDocument/2006/relationships/hyperlink" Target="https://www.jonsbo.com/en/products/HX4170DWhite.html" TargetMode="External"/><Relationship Id="rId97" Type="http://schemas.openxmlformats.org/officeDocument/2006/relationships/hyperlink" Target="https://www.alpenfoehn.de/en/products/cpu-cooler/black-ridge-en" TargetMode="External"/><Relationship Id="rId96" Type="http://schemas.openxmlformats.org/officeDocument/2006/relationships/hyperlink" Target="https://www.alpenfoehn.de/en/" TargetMode="External"/><Relationship Id="rId99" Type="http://schemas.openxmlformats.org/officeDocument/2006/relationships/hyperlink" Target="https://www.alpenfoehn.de/en/" TargetMode="External"/><Relationship Id="rId98" Type="http://schemas.openxmlformats.org/officeDocument/2006/relationships/hyperlink" Target="https://imgur.com/a/Mt1eLzn" TargetMode="External"/><Relationship Id="rId91" Type="http://schemas.openxmlformats.org/officeDocument/2006/relationships/hyperlink" Target="http://www.jonsbo.com/en/" TargetMode="External"/><Relationship Id="rId90" Type="http://schemas.openxmlformats.org/officeDocument/2006/relationships/hyperlink" Target="http://www.prolimatech.com/en/products/detail.asp?id=2107&amp;page=1" TargetMode="External"/><Relationship Id="rId93" Type="http://schemas.openxmlformats.org/officeDocument/2006/relationships/hyperlink" Target="http://www.jonsbo.com/en/" TargetMode="External"/><Relationship Id="rId92" Type="http://schemas.openxmlformats.org/officeDocument/2006/relationships/hyperlink" Target="https://www.jonsbo.com/en/products/HX4170DBlack.html" TargetMode="External"/><Relationship Id="rId118" Type="http://schemas.openxmlformats.org/officeDocument/2006/relationships/hyperlink" Target="https://www.intel.com/content/www/us/en/homepage.html" TargetMode="External"/><Relationship Id="rId239" Type="http://schemas.openxmlformats.org/officeDocument/2006/relationships/hyperlink" Target="https://www.amd.com/en" TargetMode="External"/><Relationship Id="rId117" Type="http://schemas.openxmlformats.org/officeDocument/2006/relationships/hyperlink" Target="https://www.intel.com/content/www/us/en/support/articles/000089192/processors.html" TargetMode="External"/><Relationship Id="rId238" Type="http://schemas.openxmlformats.org/officeDocument/2006/relationships/hyperlink" Target="https://www.scythe-eu.com/en/products/cpu-cooler/big-shuriken-3-rgb.html" TargetMode="External"/><Relationship Id="rId116" Type="http://schemas.openxmlformats.org/officeDocument/2006/relationships/hyperlink" Target="https://www.intel.com/content/www/us/en/homepage.html" TargetMode="External"/><Relationship Id="rId237" Type="http://schemas.openxmlformats.org/officeDocument/2006/relationships/hyperlink" Target="http://www.scythe.com/" TargetMode="External"/><Relationship Id="rId115" Type="http://schemas.openxmlformats.org/officeDocument/2006/relationships/hyperlink" Target="https://www.idcooling.com/Product/detail/id/370/name/IS-47-XT%20WHITE" TargetMode="External"/><Relationship Id="rId236" Type="http://schemas.openxmlformats.org/officeDocument/2006/relationships/hyperlink" Target="https://www.scytheus.com/bigshuriken3" TargetMode="External"/><Relationship Id="rId119" Type="http://schemas.openxmlformats.org/officeDocument/2006/relationships/hyperlink" Target="https://www.intel.com/content/www/us/en/support/articles/000089190/processors/intel-core-processors.html" TargetMode="External"/><Relationship Id="rId110" Type="http://schemas.openxmlformats.org/officeDocument/2006/relationships/hyperlink" Target="http://www.idcooling.com/index.php" TargetMode="External"/><Relationship Id="rId231" Type="http://schemas.openxmlformats.org/officeDocument/2006/relationships/hyperlink" Target="https://www.raijintek.com/en/index.php" TargetMode="External"/><Relationship Id="rId230" Type="http://schemas.openxmlformats.org/officeDocument/2006/relationships/hyperlink" Target="https://www.raijintek.com/en/index.php" TargetMode="External"/><Relationship Id="rId114" Type="http://schemas.openxmlformats.org/officeDocument/2006/relationships/hyperlink" Target="http://www.idcooling.com/index.php" TargetMode="External"/><Relationship Id="rId235" Type="http://schemas.openxmlformats.org/officeDocument/2006/relationships/hyperlink" Target="http://www.scythe.com/" TargetMode="External"/><Relationship Id="rId113" Type="http://schemas.openxmlformats.org/officeDocument/2006/relationships/hyperlink" Target="https://www.idcooling.com/Product/detail/id/335/name/IS-47-XT" TargetMode="External"/><Relationship Id="rId234" Type="http://schemas.openxmlformats.org/officeDocument/2006/relationships/hyperlink" Target="https://www.intel.com/content/www/us/en/support/articles/000089189/processors.html" TargetMode="External"/><Relationship Id="rId112" Type="http://schemas.openxmlformats.org/officeDocument/2006/relationships/hyperlink" Target="http://www.idcooling.com/index.php" TargetMode="External"/><Relationship Id="rId233" Type="http://schemas.openxmlformats.org/officeDocument/2006/relationships/hyperlink" Target="https://www.intel.com/content/www/us/en/homepage.html" TargetMode="External"/><Relationship Id="rId111" Type="http://schemas.openxmlformats.org/officeDocument/2006/relationships/hyperlink" Target="http://www.idcooling.com/Product/detail/id/289/name/IS-47S" TargetMode="External"/><Relationship Id="rId232" Type="http://schemas.openxmlformats.org/officeDocument/2006/relationships/hyperlink" Target="https://www.arctic.ac/worldwide_en/" TargetMode="External"/><Relationship Id="rId206" Type="http://schemas.openxmlformats.org/officeDocument/2006/relationships/hyperlink" Target="https://www.jonsbo.com/en/products/HP-600Black.html" TargetMode="External"/><Relationship Id="rId205" Type="http://schemas.openxmlformats.org/officeDocument/2006/relationships/hyperlink" Target="http://www.jonsbo.com/en/" TargetMode="External"/><Relationship Id="rId204" Type="http://schemas.openxmlformats.org/officeDocument/2006/relationships/hyperlink" Target="http://thermalright.com/" TargetMode="External"/><Relationship Id="rId203" Type="http://schemas.openxmlformats.org/officeDocument/2006/relationships/hyperlink" Target="http://thermalright.com/" TargetMode="External"/><Relationship Id="rId209" Type="http://schemas.openxmlformats.org/officeDocument/2006/relationships/hyperlink" Target="https://noctua.at/" TargetMode="External"/><Relationship Id="rId208" Type="http://schemas.openxmlformats.org/officeDocument/2006/relationships/hyperlink" Target="https://www.jonsbo.com/en/products/HP-600White.html" TargetMode="External"/><Relationship Id="rId207" Type="http://schemas.openxmlformats.org/officeDocument/2006/relationships/hyperlink" Target="http://www.jonsbo.com/en/" TargetMode="External"/><Relationship Id="rId202" Type="http://schemas.openxmlformats.org/officeDocument/2006/relationships/hyperlink" Target="http://thermalright.com/" TargetMode="External"/><Relationship Id="rId201" Type="http://schemas.openxmlformats.org/officeDocument/2006/relationships/hyperlink" Target="https://noctua.at/en/nh-l9x65-chromax-black/cpucomp" TargetMode="External"/><Relationship Id="rId200" Type="http://schemas.openxmlformats.org/officeDocument/2006/relationships/hyperlink" Target="https://noctua.at/en/nh-l9x65-chromax-black"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www.idcooling.com/Product/detail/id/327/name/SE-225-XT%20BASIC" TargetMode="External"/><Relationship Id="rId194" Type="http://schemas.openxmlformats.org/officeDocument/2006/relationships/hyperlink" Target="https://www.idcooling.com/Product/detail/id/268/name/SE-226-XT%20ARGB" TargetMode="External"/><Relationship Id="rId193" Type="http://schemas.openxmlformats.org/officeDocument/2006/relationships/hyperlink" Target="http://www.idcooling.com/index.php" TargetMode="External"/><Relationship Id="rId192" Type="http://schemas.openxmlformats.org/officeDocument/2006/relationships/hyperlink" Target="https://www.idcooling.com/Product/detail/id/232/name/SE-225-XT%20BLACK" TargetMode="External"/><Relationship Id="rId191" Type="http://schemas.openxmlformats.org/officeDocument/2006/relationships/hyperlink" Target="http://www.idcooling.com/index.php" TargetMode="External"/><Relationship Id="rId187" Type="http://schemas.openxmlformats.org/officeDocument/2006/relationships/hyperlink" Target="http://www.idcooling.com/index.php" TargetMode="External"/><Relationship Id="rId186" Type="http://schemas.openxmlformats.org/officeDocument/2006/relationships/hyperlink" Target="https://www.idcooling.com/Product/detail/id/301/name/SE-207-XT%20ADVANCED" TargetMode="External"/><Relationship Id="rId185" Type="http://schemas.openxmlformats.org/officeDocument/2006/relationships/hyperlink" Target="http://www.idcooling.com/index.php" TargetMode="External"/><Relationship Id="rId184" Type="http://schemas.openxmlformats.org/officeDocument/2006/relationships/hyperlink" Target="https://www.idcooling.com/Product/detail/id/437/name/FROZN%20A620%20ARGB%20WHITE" TargetMode="External"/><Relationship Id="rId189" Type="http://schemas.openxmlformats.org/officeDocument/2006/relationships/hyperlink" Target="http://www.idcooling.com/index.php" TargetMode="External"/><Relationship Id="rId188" Type="http://schemas.openxmlformats.org/officeDocument/2006/relationships/hyperlink" Target="http://www.idcooling.com/Product/detail/id/187/name/SE-224-XT%20Basic" TargetMode="External"/><Relationship Id="rId183" Type="http://schemas.openxmlformats.org/officeDocument/2006/relationships/hyperlink" Target="http://www.idcooling.com/index.php" TargetMode="External"/><Relationship Id="rId182" Type="http://schemas.openxmlformats.org/officeDocument/2006/relationships/hyperlink" Target="https://www.idcooling.com/Product/detail/id/415/name/FROZN%20A620%20ARGB" TargetMode="External"/><Relationship Id="rId181" Type="http://schemas.openxmlformats.org/officeDocument/2006/relationships/hyperlink" Target="http://www.idcooling.com/index.php" TargetMode="External"/><Relationship Id="rId180" Type="http://schemas.openxmlformats.org/officeDocument/2006/relationships/hyperlink" Target="https://www.idcooling.com/Product/detail/id/410/name/FROZN%20A620%20BLACK" TargetMode="External"/><Relationship Id="rId176" Type="http://schemas.openxmlformats.org/officeDocument/2006/relationships/hyperlink" Target="https://www.coolermaster.com/catalog/coolers/cpu-air-coolers/hyper-212-halo-black/" TargetMode="External"/><Relationship Id="rId297" Type="http://schemas.openxmlformats.org/officeDocument/2006/relationships/hyperlink" Target="http://thermalright.com/" TargetMode="External"/><Relationship Id="rId175" Type="http://schemas.openxmlformats.org/officeDocument/2006/relationships/hyperlink" Target="https://www.coolermaster.com/" TargetMode="External"/><Relationship Id="rId296" Type="http://schemas.openxmlformats.org/officeDocument/2006/relationships/hyperlink" Target="http://thermalright.com/product/peerless-assassin-120-white-argb/" TargetMode="External"/><Relationship Id="rId174" Type="http://schemas.openxmlformats.org/officeDocument/2006/relationships/hyperlink" Target="https://www.montechpc.com/en/index.php" TargetMode="External"/><Relationship Id="rId295" Type="http://schemas.openxmlformats.org/officeDocument/2006/relationships/hyperlink" Target="http://thermalright.com/" TargetMode="External"/><Relationship Id="rId173" Type="http://schemas.openxmlformats.org/officeDocument/2006/relationships/hyperlink" Target="https://www.jonsbo.com/en/products/PISAA5White.html" TargetMode="External"/><Relationship Id="rId294" Type="http://schemas.openxmlformats.org/officeDocument/2006/relationships/hyperlink" Target="http://thermalright.com/product/peerless-assassin-120-black/" TargetMode="External"/><Relationship Id="rId179" Type="http://schemas.openxmlformats.org/officeDocument/2006/relationships/hyperlink" Target="http://www.idcooling.com/index.php" TargetMode="External"/><Relationship Id="rId178" Type="http://schemas.openxmlformats.org/officeDocument/2006/relationships/hyperlink" Target="https://www.coolermaster.com/catalog/coolers/cpu-air-coolers/hyper-212-halo-white/" TargetMode="External"/><Relationship Id="rId299" Type="http://schemas.openxmlformats.org/officeDocument/2006/relationships/hyperlink" Target="http://thermalright.com/" TargetMode="External"/><Relationship Id="rId177" Type="http://schemas.openxmlformats.org/officeDocument/2006/relationships/hyperlink" Target="https://www.coolermaster.com/" TargetMode="External"/><Relationship Id="rId298" Type="http://schemas.openxmlformats.org/officeDocument/2006/relationships/hyperlink" Target="http://thermalright.com/product/phantom-spirit-120-evo/" TargetMode="External"/><Relationship Id="rId198" Type="http://schemas.openxmlformats.org/officeDocument/2006/relationships/hyperlink" Target="https://www.idcooling.com/Product/detail/id/269/name/SE-226-XT%20BLACK" TargetMode="External"/><Relationship Id="rId197" Type="http://schemas.openxmlformats.org/officeDocument/2006/relationships/hyperlink" Target="http://www.idcooling.com/index.php" TargetMode="External"/><Relationship Id="rId196" Type="http://schemas.openxmlformats.org/officeDocument/2006/relationships/hyperlink" Target="https://www.idcooling.com/Product/detail/id/298/name/SE-226-XT%20ARGB%20SNOW" TargetMode="External"/><Relationship Id="rId195" Type="http://schemas.openxmlformats.org/officeDocument/2006/relationships/hyperlink" Target="http://www.idcooling.com/index.php" TargetMode="External"/><Relationship Id="rId199" Type="http://schemas.openxmlformats.org/officeDocument/2006/relationships/hyperlink" Target="http://www.idcooling.com/index.php" TargetMode="External"/><Relationship Id="rId150" Type="http://schemas.openxmlformats.org/officeDocument/2006/relationships/hyperlink" Target="http://www.idcooling.com/index.php" TargetMode="External"/><Relationship Id="rId271" Type="http://schemas.openxmlformats.org/officeDocument/2006/relationships/hyperlink" Target="http://thermalright.com/" TargetMode="External"/><Relationship Id="rId392" Type="http://schemas.openxmlformats.org/officeDocument/2006/relationships/hyperlink" Target="https://hwbusters.com/cooling/deepcool-assassin-iv-review-can-it-beat-the-noctua-nh-d15/" TargetMode="External"/><Relationship Id="rId270" Type="http://schemas.openxmlformats.org/officeDocument/2006/relationships/hyperlink" Target="http://thermalright.com/product/peerless-assassin-120-se/" TargetMode="External"/><Relationship Id="rId391" Type="http://schemas.openxmlformats.org/officeDocument/2006/relationships/hyperlink" Target="https://www.deepcool.com/products/Cooling/cpuaircoolers/Assassin-IV-Premium-CPU-Air-Cooler/2023/17129.shtml" TargetMode="External"/><Relationship Id="rId390" Type="http://schemas.openxmlformats.org/officeDocument/2006/relationships/hyperlink" Target="https://www.deepcool.com/index.shtml" TargetMode="External"/><Relationship Id="rId1" Type="http://schemas.openxmlformats.org/officeDocument/2006/relationships/comments" Target="../comments5.xml"/><Relationship Id="rId2" Type="http://schemas.openxmlformats.org/officeDocument/2006/relationships/hyperlink" Target="http://thermalright.com/" TargetMode="External"/><Relationship Id="rId3" Type="http://schemas.openxmlformats.org/officeDocument/2006/relationships/hyperlink" Target="http://thermalright.com/product/axp-200-muscle/" TargetMode="External"/><Relationship Id="rId149" Type="http://schemas.openxmlformats.org/officeDocument/2006/relationships/hyperlink" Target="https://www.idcooling.com/Product/detail/id/319/name/SE-224-XTS%20BLACK" TargetMode="External"/><Relationship Id="rId4" Type="http://schemas.openxmlformats.org/officeDocument/2006/relationships/hyperlink" Target="http://thermalright.com/" TargetMode="External"/><Relationship Id="rId148" Type="http://schemas.openxmlformats.org/officeDocument/2006/relationships/hyperlink" Target="http://www.idcooling.com/index.php" TargetMode="External"/><Relationship Id="rId269" Type="http://schemas.openxmlformats.org/officeDocument/2006/relationships/hyperlink" Target="http://thermalright.com/" TargetMode="External"/><Relationship Id="rId9" Type="http://schemas.openxmlformats.org/officeDocument/2006/relationships/hyperlink" Target="https://www.bequiet.com/en/cpucooler/570" TargetMode="External"/><Relationship Id="rId143" Type="http://schemas.openxmlformats.org/officeDocument/2006/relationships/hyperlink" Target="https://www.idcooling.com/Product/detail/id/318/name/SE-224-XTS" TargetMode="External"/><Relationship Id="rId264" Type="http://schemas.openxmlformats.org/officeDocument/2006/relationships/hyperlink" Target="https://www.idcooling.com/Product/detail/id/416/name/FROZN%20A610%20ARGB" TargetMode="External"/><Relationship Id="rId385" Type="http://schemas.openxmlformats.org/officeDocument/2006/relationships/hyperlink" Target="https://www.bequiet.com/en/cpucooler/1983" TargetMode="External"/><Relationship Id="rId142" Type="http://schemas.openxmlformats.org/officeDocument/2006/relationships/hyperlink" Target="http://www.idcooling.com/index.php" TargetMode="External"/><Relationship Id="rId263" Type="http://schemas.openxmlformats.org/officeDocument/2006/relationships/hyperlink" Target="http://www.idcooling.com/index.php" TargetMode="External"/><Relationship Id="rId384" Type="http://schemas.openxmlformats.org/officeDocument/2006/relationships/hyperlink" Target="https://www.bequiet.com/en" TargetMode="External"/><Relationship Id="rId141" Type="http://schemas.openxmlformats.org/officeDocument/2006/relationships/hyperlink" Target="https://www.idcooling.com/Product/detail/id/313/name/SE-225-XT%20BLACK%20V2" TargetMode="External"/><Relationship Id="rId262" Type="http://schemas.openxmlformats.org/officeDocument/2006/relationships/hyperlink" Target="https://www.idcooling.com/Product/detail/id/412/name/FROZN%20A610%20BLACK" TargetMode="External"/><Relationship Id="rId383" Type="http://schemas.openxmlformats.org/officeDocument/2006/relationships/hyperlink" Target="https://www.bequiet.com/en/cpucooler/1743" TargetMode="External"/><Relationship Id="rId140" Type="http://schemas.openxmlformats.org/officeDocument/2006/relationships/hyperlink" Target="http://www.idcooling.com/index.php" TargetMode="External"/><Relationship Id="rId261" Type="http://schemas.openxmlformats.org/officeDocument/2006/relationships/hyperlink" Target="http://www.idcooling.com/index.php" TargetMode="External"/><Relationship Id="rId382" Type="http://schemas.openxmlformats.org/officeDocument/2006/relationships/hyperlink" Target="https://www.bequiet.com/en" TargetMode="External"/><Relationship Id="rId5" Type="http://schemas.openxmlformats.org/officeDocument/2006/relationships/hyperlink" Target="http://thermalright.com/product/axp-200r/" TargetMode="External"/><Relationship Id="rId147" Type="http://schemas.openxmlformats.org/officeDocument/2006/relationships/hyperlink" Target="https://www.idcooling.com/Product/detail/id/322/name/SE-224-XTS%20ARGB%20WHITE" TargetMode="External"/><Relationship Id="rId268" Type="http://schemas.openxmlformats.org/officeDocument/2006/relationships/hyperlink" Target="https://www.phanteks.cn/CPU_Coolers/PH-TC12T6" TargetMode="External"/><Relationship Id="rId389" Type="http://schemas.openxmlformats.org/officeDocument/2006/relationships/hyperlink" Target="https://www.deepcool.com/products/Cooling/cpuaircoolers/Assassin-4S-Minimalistic-Premium-CPU-Air-Cooler-1700-AM5/2023/17881.shtml" TargetMode="External"/><Relationship Id="rId6" Type="http://schemas.openxmlformats.org/officeDocument/2006/relationships/hyperlink" Target="http://www.cryorig.com/" TargetMode="External"/><Relationship Id="rId146" Type="http://schemas.openxmlformats.org/officeDocument/2006/relationships/hyperlink" Target="http://www.idcooling.com/index.php" TargetMode="External"/><Relationship Id="rId267" Type="http://schemas.openxmlformats.org/officeDocument/2006/relationships/hyperlink" Target="https://www.phanteks.com/" TargetMode="External"/><Relationship Id="rId388" Type="http://schemas.openxmlformats.org/officeDocument/2006/relationships/hyperlink" Target="https://www.deepcool.com/index.shtml" TargetMode="External"/><Relationship Id="rId7" Type="http://schemas.openxmlformats.org/officeDocument/2006/relationships/hyperlink" Target="https://en.cryorig.com/products_detail/105" TargetMode="External"/><Relationship Id="rId145" Type="http://schemas.openxmlformats.org/officeDocument/2006/relationships/hyperlink" Target="https://www.idcooling.com/Product/detail/id/320/name/SE-224-XTS%20ARGB" TargetMode="External"/><Relationship Id="rId266" Type="http://schemas.openxmlformats.org/officeDocument/2006/relationships/hyperlink" Target="https://www.idcooling.com/Product/detail/id/436/name/FROZN%20A610%20ARGB%20WHITE" TargetMode="External"/><Relationship Id="rId387" Type="http://schemas.openxmlformats.org/officeDocument/2006/relationships/hyperlink" Target="https://www.idcooling.com/Product/detail/id/441/name/FROZN%20A720%20BLACK" TargetMode="External"/><Relationship Id="rId8" Type="http://schemas.openxmlformats.org/officeDocument/2006/relationships/hyperlink" Target="https://www.bequiet.com/en" TargetMode="External"/><Relationship Id="rId144" Type="http://schemas.openxmlformats.org/officeDocument/2006/relationships/hyperlink" Target="http://www.idcooling.com/index.php" TargetMode="External"/><Relationship Id="rId265" Type="http://schemas.openxmlformats.org/officeDocument/2006/relationships/hyperlink" Target="http://www.idcooling.com/index.php" TargetMode="External"/><Relationship Id="rId386" Type="http://schemas.openxmlformats.org/officeDocument/2006/relationships/hyperlink" Target="http://www.idcooling.com/index.php" TargetMode="External"/><Relationship Id="rId260" Type="http://schemas.openxmlformats.org/officeDocument/2006/relationships/hyperlink" Target="https://us.deepcool.com/products/Cooling/cpuaircoolers/AG500-BK-ARGB-Performance-CPU-Cooler-1700-AM5/2022/16280.shtml" TargetMode="External"/><Relationship Id="rId381" Type="http://schemas.openxmlformats.org/officeDocument/2006/relationships/hyperlink" Target="https://www.bequiet.com/en/cpucooler/1378" TargetMode="External"/><Relationship Id="rId380" Type="http://schemas.openxmlformats.org/officeDocument/2006/relationships/hyperlink" Target="https://www.bequiet.com/en" TargetMode="External"/><Relationship Id="rId139" Type="http://schemas.openxmlformats.org/officeDocument/2006/relationships/hyperlink" Target="https://www.deepcool.com/products/Cooling/cpuaircoolers/AG400-PLUS-Dual-Fan-CPU-Cooler-1700-AM5/2022/16123.shtml" TargetMode="External"/><Relationship Id="rId138" Type="http://schemas.openxmlformats.org/officeDocument/2006/relationships/hyperlink" Target="https://www.deepcool.com/index.shtml" TargetMode="External"/><Relationship Id="rId259" Type="http://schemas.openxmlformats.org/officeDocument/2006/relationships/hyperlink" Target="https://www.deepcool.com/index.shtml" TargetMode="External"/><Relationship Id="rId137" Type="http://schemas.openxmlformats.org/officeDocument/2006/relationships/hyperlink" Target="https://www.deepcool.com/products/Cooling/cpuaircoolers/GAMMAXX-AG400-LED-Single-Tower-CPU-Cooler-1700-AM5/2022/15899.shtml" TargetMode="External"/><Relationship Id="rId258" Type="http://schemas.openxmlformats.org/officeDocument/2006/relationships/hyperlink" Target="https://www.deepcool.com/products/Cooling/cpuaircoolers/AG500-ARGB-Performance-CPU-Cooler-1700-AM5/2022/16251.shtml" TargetMode="External"/><Relationship Id="rId379" Type="http://schemas.openxmlformats.org/officeDocument/2006/relationships/hyperlink" Target="https://www.jonsbo.com/en/products/HX6250.html" TargetMode="External"/><Relationship Id="rId132" Type="http://schemas.openxmlformats.org/officeDocument/2006/relationships/hyperlink" Target="https://www.deepcool.com/index.shtml" TargetMode="External"/><Relationship Id="rId253" Type="http://schemas.openxmlformats.org/officeDocument/2006/relationships/hyperlink" Target="https://www.deepcool.com/index.shtml" TargetMode="External"/><Relationship Id="rId374" Type="http://schemas.openxmlformats.org/officeDocument/2006/relationships/hyperlink" Target="http://www.jonsbo.com/en/" TargetMode="External"/><Relationship Id="rId131" Type="http://schemas.openxmlformats.org/officeDocument/2006/relationships/hyperlink" Target="https://www.deepcool.com/products/Cooling/cpuaircoolers/GAMMAXX-AG400-Single-Tower-CPU-Cooler-1700-AM5/2022/15898.shtml" TargetMode="External"/><Relationship Id="rId252" Type="http://schemas.openxmlformats.org/officeDocument/2006/relationships/hyperlink" Target="https://www.deepcool.com/products/Cooling/cpuaircoolers/AK400-ZERO-DARK-Performance-CPU-Cooler/2022/16140.shtml" TargetMode="External"/><Relationship Id="rId373" Type="http://schemas.openxmlformats.org/officeDocument/2006/relationships/hyperlink" Target="https://www.deepcool.com/products/Cooling/cpuaircoolers/AK620-Digital-Performance-CPU-Cooler-With-Status-Display-1700-AM5/2023/17202.shtml" TargetMode="External"/><Relationship Id="rId130" Type="http://schemas.openxmlformats.org/officeDocument/2006/relationships/hyperlink" Target="https://www.deepcool.com/index.shtml" TargetMode="External"/><Relationship Id="rId251" Type="http://schemas.openxmlformats.org/officeDocument/2006/relationships/hyperlink" Target="https://www.deepcool.com/index.shtml" TargetMode="External"/><Relationship Id="rId372" Type="http://schemas.openxmlformats.org/officeDocument/2006/relationships/hyperlink" Target="https://www.deepcool.com/index.shtml" TargetMode="External"/><Relationship Id="rId250" Type="http://schemas.openxmlformats.org/officeDocument/2006/relationships/hyperlink" Target="https://hwbusters.com/cooling/deepcool_ak400_aircooler_review/" TargetMode="External"/><Relationship Id="rId371" Type="http://schemas.openxmlformats.org/officeDocument/2006/relationships/hyperlink" Target="https://www.bequiet.com/en/cpucooler/2902" TargetMode="External"/><Relationship Id="rId136" Type="http://schemas.openxmlformats.org/officeDocument/2006/relationships/hyperlink" Target="https://www.deepcool.com/index.shtml" TargetMode="External"/><Relationship Id="rId257" Type="http://schemas.openxmlformats.org/officeDocument/2006/relationships/hyperlink" Target="https://www.deepcool.com/index.shtml" TargetMode="External"/><Relationship Id="rId378" Type="http://schemas.openxmlformats.org/officeDocument/2006/relationships/hyperlink" Target="http://www.jonsbo.com/en/" TargetMode="External"/><Relationship Id="rId135" Type="http://schemas.openxmlformats.org/officeDocument/2006/relationships/hyperlink" Target="https://www.deepcool.com/products/Cooling/cpuaircoolers/AG400-BK-ARGB-120mm-CPU-Cooler-1700-AM5/2022/16085.shtml" TargetMode="External"/><Relationship Id="rId256" Type="http://schemas.openxmlformats.org/officeDocument/2006/relationships/hyperlink" Target="https://www.deepcool.com/products/Cooling/cpuaircoolers/AG500-Performance-CPU-Cooler-1700-AM5/2022/16250.shtml" TargetMode="External"/><Relationship Id="rId377" Type="http://schemas.openxmlformats.org/officeDocument/2006/relationships/hyperlink" Target="https://www.jonsbo.com/en/products/HX6240White.html" TargetMode="External"/><Relationship Id="rId134" Type="http://schemas.openxmlformats.org/officeDocument/2006/relationships/hyperlink" Target="https://www.deepcool.com/index.shtml" TargetMode="External"/><Relationship Id="rId255" Type="http://schemas.openxmlformats.org/officeDocument/2006/relationships/hyperlink" Target="https://www.deepcool.com/index.shtml" TargetMode="External"/><Relationship Id="rId376" Type="http://schemas.openxmlformats.org/officeDocument/2006/relationships/hyperlink" Target="http://www.jonsbo.com/en/" TargetMode="External"/><Relationship Id="rId133" Type="http://schemas.openxmlformats.org/officeDocument/2006/relationships/hyperlink" Target="https://www.deepcool.com/products/Cooling/cpuaircoolers/AG400-ARGB-120mm-CPU-Cooler-1700-AM5/2022/16084.shtml" TargetMode="External"/><Relationship Id="rId254" Type="http://schemas.openxmlformats.org/officeDocument/2006/relationships/hyperlink" Target="https://www.deepcool.com/products/Cooling/cpuaircoolers/AK400-ZERO-DARK-PLUS-Dual-Fan-Performance-CPU-Cooler/2022/16141.shtml" TargetMode="External"/><Relationship Id="rId375" Type="http://schemas.openxmlformats.org/officeDocument/2006/relationships/hyperlink" Target="https://www.jonsbo.com/en/products/HX6240Black.html" TargetMode="External"/><Relationship Id="rId172" Type="http://schemas.openxmlformats.org/officeDocument/2006/relationships/hyperlink" Target="http://www.jonsbo.com/en/" TargetMode="External"/><Relationship Id="rId293" Type="http://schemas.openxmlformats.org/officeDocument/2006/relationships/hyperlink" Target="http://thermalright.com/" TargetMode="External"/><Relationship Id="rId171" Type="http://schemas.openxmlformats.org/officeDocument/2006/relationships/hyperlink" Target="https://www.jonsbo.com/en/products/PISAA5Grey.html" TargetMode="External"/><Relationship Id="rId292" Type="http://schemas.openxmlformats.org/officeDocument/2006/relationships/hyperlink" Target="https://www.idcooling.com/Product/detail/id/235/name/SE-207-XT%20BLACK" TargetMode="External"/><Relationship Id="rId170" Type="http://schemas.openxmlformats.org/officeDocument/2006/relationships/hyperlink" Target="http://www.jonsbo.com/en/" TargetMode="External"/><Relationship Id="rId291" Type="http://schemas.openxmlformats.org/officeDocument/2006/relationships/hyperlink" Target="http://www.idcooling.com/index.php" TargetMode="External"/><Relationship Id="rId290" Type="http://schemas.openxmlformats.org/officeDocument/2006/relationships/hyperlink" Target="https://www.deepcool.com/products/Cooling/cpuaircoolers/AG620-BK-ARGB-Dual-Tower-CPU-Cooler-1700-AM5/2022/16082.shtml" TargetMode="External"/><Relationship Id="rId165" Type="http://schemas.openxmlformats.org/officeDocument/2006/relationships/hyperlink" Target="https://www.idcooling.com/Product/detail/id/277/name/SE-224-XT%20BLACK%20V2" TargetMode="External"/><Relationship Id="rId286" Type="http://schemas.openxmlformats.org/officeDocument/2006/relationships/hyperlink" Target="https://www.deepcool.com/products/Cooling/cpuaircoolers/GAMMAXX-AG620-Dual-Tower-CPU-Cooler/2022/15900.shtml" TargetMode="External"/><Relationship Id="rId164" Type="http://schemas.openxmlformats.org/officeDocument/2006/relationships/hyperlink" Target="http://www.idcooling.com/index.php" TargetMode="External"/><Relationship Id="rId285" Type="http://schemas.openxmlformats.org/officeDocument/2006/relationships/hyperlink" Target="https://www.deepcool.com/index.shtml" TargetMode="External"/><Relationship Id="rId163" Type="http://schemas.openxmlformats.org/officeDocument/2006/relationships/hyperlink" Target="https://www.idcooling.com/Product/detail/id/438/name/FROZN%20A410%20ARGB%20WHITE" TargetMode="External"/><Relationship Id="rId284" Type="http://schemas.openxmlformats.org/officeDocument/2006/relationships/hyperlink" Target="https://www.coolermaster.com/catalog/coolers/cpu-air-coolers/hyper-622-halo-white/" TargetMode="External"/><Relationship Id="rId162" Type="http://schemas.openxmlformats.org/officeDocument/2006/relationships/hyperlink" Target="http://www.idcooling.com/index.php" TargetMode="External"/><Relationship Id="rId283" Type="http://schemas.openxmlformats.org/officeDocument/2006/relationships/hyperlink" Target="https://www.coolermaster.com/" TargetMode="External"/><Relationship Id="rId169" Type="http://schemas.openxmlformats.org/officeDocument/2006/relationships/hyperlink" Target="https://www.jonsbo.com/en/products/PISAA4White.html" TargetMode="External"/><Relationship Id="rId168" Type="http://schemas.openxmlformats.org/officeDocument/2006/relationships/hyperlink" Target="http://www.jonsbo.com/en/" TargetMode="External"/><Relationship Id="rId289" Type="http://schemas.openxmlformats.org/officeDocument/2006/relationships/hyperlink" Target="https://www.deepcool.com/index.shtml" TargetMode="External"/><Relationship Id="rId167" Type="http://schemas.openxmlformats.org/officeDocument/2006/relationships/hyperlink" Target="https://www.jonsbo.com/en/products/PISAA4Grey.html" TargetMode="External"/><Relationship Id="rId288" Type="http://schemas.openxmlformats.org/officeDocument/2006/relationships/hyperlink" Target="https://www.deepcool.com/products/Cooling/cpuaircoolers/AG620-ARGB-Dual-Tower-CPU-Cooler-1700-AM5/2022/16081.shtml" TargetMode="External"/><Relationship Id="rId166" Type="http://schemas.openxmlformats.org/officeDocument/2006/relationships/hyperlink" Target="http://www.jonsbo.com/en/" TargetMode="External"/><Relationship Id="rId287" Type="http://schemas.openxmlformats.org/officeDocument/2006/relationships/hyperlink" Target="https://www.deepcool.com/index.shtml" TargetMode="External"/><Relationship Id="rId161" Type="http://schemas.openxmlformats.org/officeDocument/2006/relationships/hyperlink" Target="https://www.idcooling.com/Product/detail/id/417/name/FROZN%20A410%20ARGB" TargetMode="External"/><Relationship Id="rId282" Type="http://schemas.openxmlformats.org/officeDocument/2006/relationships/hyperlink" Target="https://www.coolermaster.com/catalog/coolers/cpu-air-coolers/hyper-622-halo-black/" TargetMode="External"/><Relationship Id="rId160" Type="http://schemas.openxmlformats.org/officeDocument/2006/relationships/hyperlink" Target="http://www.idcooling.com/index.php" TargetMode="External"/><Relationship Id="rId281" Type="http://schemas.openxmlformats.org/officeDocument/2006/relationships/hyperlink" Target="https://www.coolermaster.com/" TargetMode="External"/><Relationship Id="rId280" Type="http://schemas.openxmlformats.org/officeDocument/2006/relationships/hyperlink" Target="https://www.thermalright.com/product/burst-assassin-120-evo-dark/" TargetMode="External"/><Relationship Id="rId159" Type="http://schemas.openxmlformats.org/officeDocument/2006/relationships/hyperlink" Target="https://www.idcooling.com/Product/detail/id/411/name/FROZN%20A410%20BLACK" TargetMode="External"/><Relationship Id="rId154" Type="http://schemas.openxmlformats.org/officeDocument/2006/relationships/hyperlink" Target="https://www.coolermaster.com/" TargetMode="External"/><Relationship Id="rId275" Type="http://schemas.openxmlformats.org/officeDocument/2006/relationships/hyperlink" Target="http://www.idcooling.com/index.php" TargetMode="External"/><Relationship Id="rId396" Type="http://schemas.openxmlformats.org/officeDocument/2006/relationships/hyperlink" Target="https://www.deepcool.com/index.shtml" TargetMode="External"/><Relationship Id="rId153" Type="http://schemas.openxmlformats.org/officeDocument/2006/relationships/hyperlink" Target="https://www.coolermaster.com/catalog/coolers/cpu-air-coolers/hyper-212-black/" TargetMode="External"/><Relationship Id="rId274" Type="http://schemas.openxmlformats.org/officeDocument/2006/relationships/hyperlink" Target="https://www.deepcool.com/products/Cooling/cpuaircoolers/AK400-Digital-CPU-Cooler-With-A-Status-Display-1700-AM5/2023/17203.shtml" TargetMode="External"/><Relationship Id="rId395" Type="http://schemas.openxmlformats.org/officeDocument/2006/relationships/hyperlink" Target="https://hwbusters.com/cooling/corsair-a115-air-cooler-review/" TargetMode="External"/><Relationship Id="rId152" Type="http://schemas.openxmlformats.org/officeDocument/2006/relationships/hyperlink" Target="https://www.coolermaster.com/" TargetMode="External"/><Relationship Id="rId273" Type="http://schemas.openxmlformats.org/officeDocument/2006/relationships/hyperlink" Target="https://www.deepcool.com/index.shtml" TargetMode="External"/><Relationship Id="rId394" Type="http://schemas.openxmlformats.org/officeDocument/2006/relationships/hyperlink" Target="https://www.corsair.com/us/en/p/cpu-coolers/ct-9010011-ww/a115-twin-tower-cpu-air-cooler-ct-9010011-ww" TargetMode="External"/><Relationship Id="rId151" Type="http://schemas.openxmlformats.org/officeDocument/2006/relationships/hyperlink" Target="https://www.idcooling.com/Product/detail/id/321/name/SE-224-XTS%20WHITE" TargetMode="External"/><Relationship Id="rId272" Type="http://schemas.openxmlformats.org/officeDocument/2006/relationships/hyperlink" Target="http://thermalright.com/product/peerless-assassin-120-se-white-argb/" TargetMode="External"/><Relationship Id="rId393" Type="http://schemas.openxmlformats.org/officeDocument/2006/relationships/hyperlink" Target="https://www.corsair.com/us/en" TargetMode="External"/><Relationship Id="rId158" Type="http://schemas.openxmlformats.org/officeDocument/2006/relationships/hyperlink" Target="http://www.idcooling.com/index.php" TargetMode="External"/><Relationship Id="rId279" Type="http://schemas.openxmlformats.org/officeDocument/2006/relationships/hyperlink" Target="http://thermalright.com/" TargetMode="External"/><Relationship Id="rId157" Type="http://schemas.openxmlformats.org/officeDocument/2006/relationships/hyperlink" Target="https://www.coolermaster.com/catalog/coolers/cpu-air-coolers/hyper-212-spectrum-v3/" TargetMode="External"/><Relationship Id="rId278" Type="http://schemas.openxmlformats.org/officeDocument/2006/relationships/hyperlink" Target="http://thermalright.com/product/assassin-spirit-120-evo/" TargetMode="External"/><Relationship Id="rId399" Type="http://schemas.openxmlformats.org/officeDocument/2006/relationships/hyperlink" Target="https://noctua.at/en/products/cpu-cooler-retail/nh-d15" TargetMode="External"/><Relationship Id="rId156" Type="http://schemas.openxmlformats.org/officeDocument/2006/relationships/hyperlink" Target="https://www.coolermaster.com/" TargetMode="External"/><Relationship Id="rId277" Type="http://schemas.openxmlformats.org/officeDocument/2006/relationships/hyperlink" Target="http://thermalright.com/" TargetMode="External"/><Relationship Id="rId398" Type="http://schemas.openxmlformats.org/officeDocument/2006/relationships/hyperlink" Target="https://noctua.at/" TargetMode="External"/><Relationship Id="rId155" Type="http://schemas.openxmlformats.org/officeDocument/2006/relationships/hyperlink" Target="https://www.coolermaster.com/catalog/coolers/cpu-air-coolers/hyper-212-black-x-duo/" TargetMode="External"/><Relationship Id="rId276" Type="http://schemas.openxmlformats.org/officeDocument/2006/relationships/hyperlink" Target="https://www.idcooling.com/Product/detail/id/329/name/SE-206-XT" TargetMode="External"/><Relationship Id="rId397" Type="http://schemas.openxmlformats.org/officeDocument/2006/relationships/hyperlink" Target="https://www.deepcool.com/products/Cooling/cpuaircoolers/Assassin-III-CPU-Cooler/2021/23.shtml" TargetMode="External"/><Relationship Id="rId40" Type="http://schemas.openxmlformats.org/officeDocument/2006/relationships/hyperlink" Target="https://noctua.at/en/products/cpu-cooler-retail/nh-c14s" TargetMode="External"/><Relationship Id="rId42" Type="http://schemas.openxmlformats.org/officeDocument/2006/relationships/hyperlink" Target="http://thermalright.com/" TargetMode="External"/><Relationship Id="rId41" Type="http://schemas.openxmlformats.org/officeDocument/2006/relationships/hyperlink" Target="https://noctua.at/en/products/cpu-cooler-retail/nh-c14s/cpucomp" TargetMode="External"/><Relationship Id="rId44" Type="http://schemas.openxmlformats.org/officeDocument/2006/relationships/hyperlink" Target="http://thermalright.com/" TargetMode="External"/><Relationship Id="rId43" Type="http://schemas.openxmlformats.org/officeDocument/2006/relationships/hyperlink" Target="http://thermalright.com/product/assassin-x-90-se/" TargetMode="External"/><Relationship Id="rId46" Type="http://schemas.openxmlformats.org/officeDocument/2006/relationships/hyperlink" Target="http://thermalright.com/" TargetMode="External"/><Relationship Id="rId45" Type="http://schemas.openxmlformats.org/officeDocument/2006/relationships/hyperlink" Target="http://thermalright.com/product/assassin-x-90-se-argb/" TargetMode="External"/><Relationship Id="rId48" Type="http://schemas.openxmlformats.org/officeDocument/2006/relationships/hyperlink" Target="http://www.idcooling.com/index.php" TargetMode="External"/><Relationship Id="rId47" Type="http://schemas.openxmlformats.org/officeDocument/2006/relationships/hyperlink" Target="https://www.thermalright.com/product/assassin-x-90-se-v2/" TargetMode="External"/><Relationship Id="rId49" Type="http://schemas.openxmlformats.org/officeDocument/2006/relationships/hyperlink" Target="https://www.idcooling.com/Product/detail/id/432/name/FROZN%20A400%20BLACK" TargetMode="External"/><Relationship Id="rId31" Type="http://schemas.openxmlformats.org/officeDocument/2006/relationships/hyperlink" Target="http://thermalright.com/" TargetMode="External"/><Relationship Id="rId30" Type="http://schemas.openxmlformats.org/officeDocument/2006/relationships/hyperlink" Target="https://www.thermalright.com/product/peerless-assassin-90-se-white/" TargetMode="External"/><Relationship Id="rId33" Type="http://schemas.openxmlformats.org/officeDocument/2006/relationships/hyperlink" Target="http://thermalright.com/" TargetMode="External"/><Relationship Id="rId32" Type="http://schemas.openxmlformats.org/officeDocument/2006/relationships/hyperlink" Target="http://thermalright.com/product/silver-soul-110-black/" TargetMode="External"/><Relationship Id="rId35" Type="http://schemas.openxmlformats.org/officeDocument/2006/relationships/hyperlink" Target="https://www.bequiet.com/en" TargetMode="External"/><Relationship Id="rId34" Type="http://schemas.openxmlformats.org/officeDocument/2006/relationships/hyperlink" Target="http://thermalright.com/product/silver-soul-110-white/" TargetMode="External"/><Relationship Id="rId37" Type="http://schemas.openxmlformats.org/officeDocument/2006/relationships/hyperlink" Target="https://www.thermaltake.com/" TargetMode="External"/><Relationship Id="rId36" Type="http://schemas.openxmlformats.org/officeDocument/2006/relationships/hyperlink" Target="https://www.bequiet.com/en/cpucooler/1074" TargetMode="External"/><Relationship Id="rId39" Type="http://schemas.openxmlformats.org/officeDocument/2006/relationships/hyperlink" Target="https://noctua.at/" TargetMode="External"/><Relationship Id="rId38" Type="http://schemas.openxmlformats.org/officeDocument/2006/relationships/hyperlink" Target="https://www.thermaltake.com/toughair-110-cpu-cooler.html" TargetMode="External"/><Relationship Id="rId20" Type="http://schemas.openxmlformats.org/officeDocument/2006/relationships/hyperlink" Target="http://thermalright.com/product/si-100-white-argb/" TargetMode="External"/><Relationship Id="rId22" Type="http://schemas.openxmlformats.org/officeDocument/2006/relationships/hyperlink" Target="https://www.idcooling.com/Product/detail/id/253/name/SE-904-XT%20SLIM" TargetMode="External"/><Relationship Id="rId21" Type="http://schemas.openxmlformats.org/officeDocument/2006/relationships/hyperlink" Target="http://www.idcooling.com/index.php" TargetMode="External"/><Relationship Id="rId24" Type="http://schemas.openxmlformats.org/officeDocument/2006/relationships/hyperlink" Target="https://noctua.at/en/nh-d9l" TargetMode="External"/><Relationship Id="rId23" Type="http://schemas.openxmlformats.org/officeDocument/2006/relationships/hyperlink" Target="https://noctua.at/" TargetMode="External"/><Relationship Id="rId409" Type="http://schemas.openxmlformats.org/officeDocument/2006/relationships/hyperlink" Target="https://hwbusters.com/cooling/cooler-master-masterair-ma824-stealth-review-is-it-the-best-air-cooler/" TargetMode="External"/><Relationship Id="rId404" Type="http://schemas.openxmlformats.org/officeDocument/2006/relationships/hyperlink" Target="https://noctua.at/" TargetMode="External"/><Relationship Id="rId403" Type="http://schemas.openxmlformats.org/officeDocument/2006/relationships/hyperlink" Target="https://ncc.noctua.at/coolers/NH-D15-chromax.black-3/cpus" TargetMode="External"/><Relationship Id="rId402" Type="http://schemas.openxmlformats.org/officeDocument/2006/relationships/hyperlink" Target="https://noctua.at/en/nh-d15-chromax-black" TargetMode="External"/><Relationship Id="rId401" Type="http://schemas.openxmlformats.org/officeDocument/2006/relationships/hyperlink" Target="https://noctua.at/" TargetMode="External"/><Relationship Id="rId408" Type="http://schemas.openxmlformats.org/officeDocument/2006/relationships/hyperlink" Target="https://www.coolermaster.com/catalog/coolers/cpu-air-coolers/masterair-ma824-stealth/" TargetMode="External"/><Relationship Id="rId407" Type="http://schemas.openxmlformats.org/officeDocument/2006/relationships/hyperlink" Target="https://www.coolermaster.com/" TargetMode="External"/><Relationship Id="rId406" Type="http://schemas.openxmlformats.org/officeDocument/2006/relationships/hyperlink" Target="https://ncc.noctua.at/coolers/NH-U14S-6/cpus" TargetMode="External"/><Relationship Id="rId405" Type="http://schemas.openxmlformats.org/officeDocument/2006/relationships/hyperlink" Target="https://noctua.at/en/nh-u14s" TargetMode="External"/><Relationship Id="rId26" Type="http://schemas.openxmlformats.org/officeDocument/2006/relationships/hyperlink" Target="https://noctua.at/" TargetMode="External"/><Relationship Id="rId25" Type="http://schemas.openxmlformats.org/officeDocument/2006/relationships/hyperlink" Target="https://noctua.at/en/nh-d9l/cpucomp" TargetMode="External"/><Relationship Id="rId28" Type="http://schemas.openxmlformats.org/officeDocument/2006/relationships/hyperlink" Target="https://noctua.at/en/nh-d9l-chromax-black/cpucomp" TargetMode="External"/><Relationship Id="rId27" Type="http://schemas.openxmlformats.org/officeDocument/2006/relationships/hyperlink" Target="https://noctua.at/en/nh-d9l-chromax-black" TargetMode="External"/><Relationship Id="rId400" Type="http://schemas.openxmlformats.org/officeDocument/2006/relationships/hyperlink" Target="https://ncc.noctua.at/coolers/NH-D15-2/cpus" TargetMode="External"/><Relationship Id="rId29" Type="http://schemas.openxmlformats.org/officeDocument/2006/relationships/hyperlink" Target="http://thermalright.com/" TargetMode="External"/><Relationship Id="rId11" Type="http://schemas.openxmlformats.org/officeDocument/2006/relationships/hyperlink" Target="https://www.idcooling.com/Product/detail/id/208/name/IS-50%20MAX%20RGB" TargetMode="External"/><Relationship Id="rId10" Type="http://schemas.openxmlformats.org/officeDocument/2006/relationships/hyperlink" Target="http://www.idcooling.com/index.php" TargetMode="External"/><Relationship Id="rId13" Type="http://schemas.openxmlformats.org/officeDocument/2006/relationships/hyperlink" Target="https://noctua.at/en/nh-l12sx77" TargetMode="External"/><Relationship Id="rId12" Type="http://schemas.openxmlformats.org/officeDocument/2006/relationships/hyperlink" Target="https://noctua.at/" TargetMode="External"/><Relationship Id="rId15" Type="http://schemas.openxmlformats.org/officeDocument/2006/relationships/hyperlink" Target="http://thermalright.com/" TargetMode="External"/><Relationship Id="rId14" Type="http://schemas.openxmlformats.org/officeDocument/2006/relationships/hyperlink" Target="https://ncc.noctua.at/coolers/NH-L12Sx77-cooler-95/cpu/all" TargetMode="External"/><Relationship Id="rId17" Type="http://schemas.openxmlformats.org/officeDocument/2006/relationships/hyperlink" Target="http://thermalright.com/" TargetMode="External"/><Relationship Id="rId16" Type="http://schemas.openxmlformats.org/officeDocument/2006/relationships/hyperlink" Target="http://thermalright.com/product/si-100/" TargetMode="External"/><Relationship Id="rId19" Type="http://schemas.openxmlformats.org/officeDocument/2006/relationships/hyperlink" Target="http://thermalright.com/" TargetMode="External"/><Relationship Id="rId18" Type="http://schemas.openxmlformats.org/officeDocument/2006/relationships/hyperlink" Target="http://thermalright.com/product/si-100-black/" TargetMode="External"/><Relationship Id="rId84" Type="http://schemas.openxmlformats.org/officeDocument/2006/relationships/hyperlink" Target="https://www.bequiet.com/en" TargetMode="External"/><Relationship Id="rId83" Type="http://schemas.openxmlformats.org/officeDocument/2006/relationships/hyperlink" Target="https://www.jonsbo.com/en/products/CR1400EVOStandard.html" TargetMode="External"/><Relationship Id="rId86" Type="http://schemas.openxmlformats.org/officeDocument/2006/relationships/hyperlink" Target="http://www.thermalright.com/product/silver-arrow-130/" TargetMode="External"/><Relationship Id="rId85" Type="http://schemas.openxmlformats.org/officeDocument/2006/relationships/hyperlink" Target="http://thermalright.com/" TargetMode="External"/><Relationship Id="rId88" Type="http://schemas.openxmlformats.org/officeDocument/2006/relationships/hyperlink" Target="https://www.deepcool.com/products/Cooling/cpuaircoolers/AG200-Single-Tower-CPU-Cooler-1700-AM5/2022/16203.shtml" TargetMode="External"/><Relationship Id="rId87" Type="http://schemas.openxmlformats.org/officeDocument/2006/relationships/hyperlink" Target="https://www.deepcool.com/index.shtml" TargetMode="External"/><Relationship Id="rId89" Type="http://schemas.openxmlformats.org/officeDocument/2006/relationships/hyperlink" Target="https://www.deepcool.com/index.shtml" TargetMode="External"/><Relationship Id="rId80" Type="http://schemas.openxmlformats.org/officeDocument/2006/relationships/hyperlink" Target="http://www.jonsbo.com/en/" TargetMode="External"/><Relationship Id="rId82" Type="http://schemas.openxmlformats.org/officeDocument/2006/relationships/hyperlink" Target="http://www.jonsbo.com/en/" TargetMode="External"/><Relationship Id="rId81" Type="http://schemas.openxmlformats.org/officeDocument/2006/relationships/hyperlink" Target="https://www.jonsbo.com/en/products/CR1400EVOARGBWhite.html" TargetMode="External"/><Relationship Id="rId73" Type="http://schemas.openxmlformats.org/officeDocument/2006/relationships/hyperlink" Target="https://www.jonsbo.com/en/products/cr1200.html" TargetMode="External"/><Relationship Id="rId72" Type="http://schemas.openxmlformats.org/officeDocument/2006/relationships/hyperlink" Target="http://www.jonsbo.com/en/" TargetMode="External"/><Relationship Id="rId75" Type="http://schemas.openxmlformats.org/officeDocument/2006/relationships/hyperlink" Target="https://www.jonsbo.com/en/products/CR1200E.html" TargetMode="External"/><Relationship Id="rId74" Type="http://schemas.openxmlformats.org/officeDocument/2006/relationships/hyperlink" Target="http://www.jonsbo.com/en/" TargetMode="External"/><Relationship Id="rId77" Type="http://schemas.openxmlformats.org/officeDocument/2006/relationships/hyperlink" Target="https://www.jonsbo.com/en/products/CR1300.html" TargetMode="External"/><Relationship Id="rId76" Type="http://schemas.openxmlformats.org/officeDocument/2006/relationships/hyperlink" Target="http://www.jonsbo.com/en/" TargetMode="External"/><Relationship Id="rId79" Type="http://schemas.openxmlformats.org/officeDocument/2006/relationships/hyperlink" Target="https://www.jonsbo.com/en/products/CR1400EVOARGBBlack.html" TargetMode="External"/><Relationship Id="rId78" Type="http://schemas.openxmlformats.org/officeDocument/2006/relationships/hyperlink" Target="http://www.jonsbo.com/en/" TargetMode="External"/><Relationship Id="rId71" Type="http://schemas.openxmlformats.org/officeDocument/2006/relationships/hyperlink" Target="https://www.jonsbo.com/en/products/CR1400White.html" TargetMode="External"/><Relationship Id="rId70" Type="http://schemas.openxmlformats.org/officeDocument/2006/relationships/hyperlink" Target="http://www.jonsbo.com/en/" TargetMode="External"/><Relationship Id="rId62" Type="http://schemas.openxmlformats.org/officeDocument/2006/relationships/hyperlink" Target="http://www.idcooling.com/index.php" TargetMode="External"/><Relationship Id="rId61" Type="http://schemas.openxmlformats.org/officeDocument/2006/relationships/hyperlink" Target="http://thermalright.com/product/assassin-king-90/" TargetMode="External"/><Relationship Id="rId64" Type="http://schemas.openxmlformats.org/officeDocument/2006/relationships/hyperlink" Target="http://www.jonsbo.com/en/" TargetMode="External"/><Relationship Id="rId63" Type="http://schemas.openxmlformats.org/officeDocument/2006/relationships/hyperlink" Target="https://www.idcooling.com/Product/detail/id/294/name/SE-914-XT%20BASIC%20V2" TargetMode="External"/><Relationship Id="rId66" Type="http://schemas.openxmlformats.org/officeDocument/2006/relationships/hyperlink" Target="http://www.jonsbo.com/en/" TargetMode="External"/><Relationship Id="rId65" Type="http://schemas.openxmlformats.org/officeDocument/2006/relationships/hyperlink" Target="https://www.jonsbo.com/en/products/cr1400.html" TargetMode="External"/><Relationship Id="rId68" Type="http://schemas.openxmlformats.org/officeDocument/2006/relationships/hyperlink" Target="http://www.jonsbo.com/en/" TargetMode="External"/><Relationship Id="rId67" Type="http://schemas.openxmlformats.org/officeDocument/2006/relationships/hyperlink" Target="https://www.jonsbo.com/en/products/CR1400ARGBWhite.html" TargetMode="External"/><Relationship Id="rId60" Type="http://schemas.openxmlformats.org/officeDocument/2006/relationships/hyperlink" Target="http://thermalright.com/" TargetMode="External"/><Relationship Id="rId69" Type="http://schemas.openxmlformats.org/officeDocument/2006/relationships/hyperlink" Target="https://www.jonsbo.com/en/products/CR1400COLOR.html" TargetMode="External"/><Relationship Id="rId51" Type="http://schemas.openxmlformats.org/officeDocument/2006/relationships/hyperlink" Target="https://www.jonsbo.com/en/products/HX6210Black.html" TargetMode="External"/><Relationship Id="rId50" Type="http://schemas.openxmlformats.org/officeDocument/2006/relationships/hyperlink" Target="http://www.jonsbo.com/en/" TargetMode="External"/><Relationship Id="rId53" Type="http://schemas.openxmlformats.org/officeDocument/2006/relationships/hyperlink" Target="https://www.jonsbo.com/en/products/HX6210White.html" TargetMode="External"/><Relationship Id="rId52" Type="http://schemas.openxmlformats.org/officeDocument/2006/relationships/hyperlink" Target="http://www.jonsbo.com/en/" TargetMode="External"/><Relationship Id="rId55" Type="http://schemas.openxmlformats.org/officeDocument/2006/relationships/hyperlink" Target="https://noctua.at/en/products/cpu-cooler-retail/nh-u9s" TargetMode="External"/><Relationship Id="rId54" Type="http://schemas.openxmlformats.org/officeDocument/2006/relationships/hyperlink" Target="https://noctua.at/" TargetMode="External"/><Relationship Id="rId57" Type="http://schemas.openxmlformats.org/officeDocument/2006/relationships/hyperlink" Target="https://noctua.at/" TargetMode="External"/><Relationship Id="rId56" Type="http://schemas.openxmlformats.org/officeDocument/2006/relationships/hyperlink" Target="https://noctua.at/en/products/cpu-cooler-retail/nh-u9s/cpucomp" TargetMode="External"/><Relationship Id="rId59" Type="http://schemas.openxmlformats.org/officeDocument/2006/relationships/hyperlink" Target="https://noctua.at/en/products/cpu-cooler-retail/nh-u9s/cpucomp" TargetMode="External"/><Relationship Id="rId58" Type="http://schemas.openxmlformats.org/officeDocument/2006/relationships/hyperlink" Target="https://noctua.at/en//nh-u9s-chromax-black" TargetMode="External"/><Relationship Id="rId107" Type="http://schemas.openxmlformats.org/officeDocument/2006/relationships/hyperlink" Target="http://thermalright.com/" TargetMode="External"/><Relationship Id="rId228" Type="http://schemas.openxmlformats.org/officeDocument/2006/relationships/hyperlink" Target="https://www.scytheus.com/mugen-5-s" TargetMode="External"/><Relationship Id="rId349" Type="http://schemas.openxmlformats.org/officeDocument/2006/relationships/hyperlink" Target="https://www.jonsbo.com/en/products/CR3000ARGBWhite.html" TargetMode="External"/><Relationship Id="rId106" Type="http://schemas.openxmlformats.org/officeDocument/2006/relationships/hyperlink" Target="http://thermalright.com/product/assassin-king-120-mini-v2/" TargetMode="External"/><Relationship Id="rId227" Type="http://schemas.openxmlformats.org/officeDocument/2006/relationships/hyperlink" Target="http://www.scythe.com/" TargetMode="External"/><Relationship Id="rId348" Type="http://schemas.openxmlformats.org/officeDocument/2006/relationships/hyperlink" Target="http://www.jonsbo.com/en/" TargetMode="External"/><Relationship Id="rId105" Type="http://schemas.openxmlformats.org/officeDocument/2006/relationships/hyperlink" Target="http://thermalright.com/" TargetMode="External"/><Relationship Id="rId226" Type="http://schemas.openxmlformats.org/officeDocument/2006/relationships/hyperlink" Target="https://www.phanteks.cn/CPU_Coolers/PH-TC12S4" TargetMode="External"/><Relationship Id="rId347" Type="http://schemas.openxmlformats.org/officeDocument/2006/relationships/hyperlink" Target="https://www.jonsbo.com/en/products/CR3000ARGBBlack.html" TargetMode="External"/><Relationship Id="rId104" Type="http://schemas.openxmlformats.org/officeDocument/2006/relationships/hyperlink" Target="http://thermalright.com/product/assassin-king-mini/" TargetMode="External"/><Relationship Id="rId225" Type="http://schemas.openxmlformats.org/officeDocument/2006/relationships/hyperlink" Target="https://www.phanteks.com/" TargetMode="External"/><Relationship Id="rId346" Type="http://schemas.openxmlformats.org/officeDocument/2006/relationships/hyperlink" Target="http://www.jonsbo.com/en/" TargetMode="External"/><Relationship Id="rId109" Type="http://schemas.openxmlformats.org/officeDocument/2006/relationships/hyperlink" Target="http://thermalright.com/" TargetMode="External"/><Relationship Id="rId108" Type="http://schemas.openxmlformats.org/officeDocument/2006/relationships/hyperlink" Target="https://www.thermalright.com/product/assassin-king-120-mini-white-argb-v3/" TargetMode="External"/><Relationship Id="rId229" Type="http://schemas.openxmlformats.org/officeDocument/2006/relationships/hyperlink" Target="http://www.scythe.com/" TargetMode="External"/><Relationship Id="rId220" Type="http://schemas.openxmlformats.org/officeDocument/2006/relationships/hyperlink" Target="http://thermalright.com/product/frost-tower-120/" TargetMode="External"/><Relationship Id="rId341" Type="http://schemas.openxmlformats.org/officeDocument/2006/relationships/hyperlink" Target="https://www.deepcool.com/products/Cooling/cpuaircoolers/AK500S-DIGITAL-CPU-Cooler-With-Status-Display-1700-AM5/2023/17235.shtml" TargetMode="External"/><Relationship Id="rId340" Type="http://schemas.openxmlformats.org/officeDocument/2006/relationships/hyperlink" Target="https://www.deepcool.com/index.shtml" TargetMode="External"/><Relationship Id="rId103" Type="http://schemas.openxmlformats.org/officeDocument/2006/relationships/hyperlink" Target="http://thermalright.com/" TargetMode="External"/><Relationship Id="rId224" Type="http://schemas.openxmlformats.org/officeDocument/2006/relationships/hyperlink" Target="http://thermalright.com/product/phantom-spirit-120-se-argb/" TargetMode="External"/><Relationship Id="rId345" Type="http://schemas.openxmlformats.org/officeDocument/2006/relationships/hyperlink" Target="https://www.deepcool.com/products/Cooling/cpuaircoolers/AK620-ZERO-DARK-High-Performance-CPU-Cooler/2022/16124.shtml" TargetMode="External"/><Relationship Id="rId102" Type="http://schemas.openxmlformats.org/officeDocument/2006/relationships/hyperlink" Target="https://www.jonsbo.com/en/products/CR2200.html" TargetMode="External"/><Relationship Id="rId223" Type="http://schemas.openxmlformats.org/officeDocument/2006/relationships/hyperlink" Target="http://thermalright.com/" TargetMode="External"/><Relationship Id="rId344" Type="http://schemas.openxmlformats.org/officeDocument/2006/relationships/hyperlink" Target="https://www.deepcool.com/index.shtml" TargetMode="External"/><Relationship Id="rId101" Type="http://schemas.openxmlformats.org/officeDocument/2006/relationships/hyperlink" Target="http://www.jonsbo.com/en/" TargetMode="External"/><Relationship Id="rId222" Type="http://schemas.openxmlformats.org/officeDocument/2006/relationships/hyperlink" Target="http://thermalright.com/product/phantom-spirit-120-se/" TargetMode="External"/><Relationship Id="rId343" Type="http://schemas.openxmlformats.org/officeDocument/2006/relationships/hyperlink" Target="https://www.deepcool.com/products/Cooling/cpuaircoolers/AK620-High-Performance-CPU-Cooler/2021/13067.shtml" TargetMode="External"/><Relationship Id="rId100" Type="http://schemas.openxmlformats.org/officeDocument/2006/relationships/hyperlink" Target="https://www.idcooling.com/Product/detail/id/328/name/SE-207-XT%20SLIM%20SNOW" TargetMode="External"/><Relationship Id="rId221" Type="http://schemas.openxmlformats.org/officeDocument/2006/relationships/hyperlink" Target="http://thermalright.com/" TargetMode="External"/><Relationship Id="rId342" Type="http://schemas.openxmlformats.org/officeDocument/2006/relationships/hyperlink" Target="https://www.deepcool.com/index.shtml" TargetMode="External"/><Relationship Id="rId217" Type="http://schemas.openxmlformats.org/officeDocument/2006/relationships/hyperlink" Target="http://thermalright.com/" TargetMode="External"/><Relationship Id="rId338" Type="http://schemas.openxmlformats.org/officeDocument/2006/relationships/hyperlink" Target="https://www.deepcool.com/index.shtml" TargetMode="External"/><Relationship Id="rId216" Type="http://schemas.openxmlformats.org/officeDocument/2006/relationships/hyperlink" Target="http://thermalright.com/product/assassin-spirit-120-plus-v2/" TargetMode="External"/><Relationship Id="rId337" Type="http://schemas.openxmlformats.org/officeDocument/2006/relationships/hyperlink" Target="https://www.coolermaster.com/catalog/coolers/cpu-air-coolers/masterair-ma624-stealth/" TargetMode="External"/><Relationship Id="rId215" Type="http://schemas.openxmlformats.org/officeDocument/2006/relationships/hyperlink" Target="http://thermalright.com/" TargetMode="External"/><Relationship Id="rId336" Type="http://schemas.openxmlformats.org/officeDocument/2006/relationships/hyperlink" Target="https://www.coolermaster.com/" TargetMode="External"/><Relationship Id="rId214" Type="http://schemas.openxmlformats.org/officeDocument/2006/relationships/hyperlink" Target="https://www.scytheus.com/mugen6dbe" TargetMode="External"/><Relationship Id="rId335" Type="http://schemas.openxmlformats.org/officeDocument/2006/relationships/hyperlink" Target="https://www.bequiet.com/en/cpucooler/1659" TargetMode="External"/><Relationship Id="rId219" Type="http://schemas.openxmlformats.org/officeDocument/2006/relationships/hyperlink" Target="http://thermalright.com/" TargetMode="External"/><Relationship Id="rId218" Type="http://schemas.openxmlformats.org/officeDocument/2006/relationships/hyperlink" Target="http://thermalright.com/product/assassin-spirit-120-v2/" TargetMode="External"/><Relationship Id="rId339" Type="http://schemas.openxmlformats.org/officeDocument/2006/relationships/hyperlink" Target="https://www.deepcool.com/products/Cooling/cpuaircoolers/AK500-DIGITAL-CPU-Cooler-With-Status-Display-1700-AM5/2023/17236.shtml" TargetMode="External"/><Relationship Id="rId330" Type="http://schemas.openxmlformats.org/officeDocument/2006/relationships/hyperlink" Target="https://www.arctic.ac/worldwide_en/" TargetMode="External"/><Relationship Id="rId213" Type="http://schemas.openxmlformats.org/officeDocument/2006/relationships/hyperlink" Target="http://www.scythe.com/" TargetMode="External"/><Relationship Id="rId334" Type="http://schemas.openxmlformats.org/officeDocument/2006/relationships/hyperlink" Target="https://www.bequiet.com/en" TargetMode="External"/><Relationship Id="rId212" Type="http://schemas.openxmlformats.org/officeDocument/2006/relationships/hyperlink" Target="https://www.scytheus.com/mugen6" TargetMode="External"/><Relationship Id="rId333" Type="http://schemas.openxmlformats.org/officeDocument/2006/relationships/hyperlink" Target="https://www.bequiet.com/en/cpucooler/1376" TargetMode="External"/><Relationship Id="rId211" Type="http://schemas.openxmlformats.org/officeDocument/2006/relationships/hyperlink" Target="http://www.scythe.com/" TargetMode="External"/><Relationship Id="rId332" Type="http://schemas.openxmlformats.org/officeDocument/2006/relationships/hyperlink" Target="https://www.bequiet.com/en" TargetMode="External"/><Relationship Id="rId210" Type="http://schemas.openxmlformats.org/officeDocument/2006/relationships/hyperlink" Target="https://www.scytheus.com/fuma-3" TargetMode="External"/><Relationship Id="rId331" Type="http://schemas.openxmlformats.org/officeDocument/2006/relationships/hyperlink" Target="https://www.arctic.de/en/Freezer-36-CO/ACFRE00122A" TargetMode="External"/><Relationship Id="rId370" Type="http://schemas.openxmlformats.org/officeDocument/2006/relationships/hyperlink" Target="https://www.bequiet.com/en" TargetMode="External"/><Relationship Id="rId129" Type="http://schemas.openxmlformats.org/officeDocument/2006/relationships/hyperlink" Target="https://vetroo.com/collections/cooler/products/cooler-v5bk" TargetMode="External"/><Relationship Id="rId128" Type="http://schemas.openxmlformats.org/officeDocument/2006/relationships/hyperlink" Target="https://vetroo.com/" TargetMode="External"/><Relationship Id="rId249" Type="http://schemas.openxmlformats.org/officeDocument/2006/relationships/hyperlink" Target="https://www.deepcool.com/products/Cooling/cpuaircoolers/AK400-Performance-CPU-Cooler/2021/15222.shtml" TargetMode="External"/><Relationship Id="rId127" Type="http://schemas.openxmlformats.org/officeDocument/2006/relationships/hyperlink" Target="http://thermalright.com/product/assassin-x-120-refined-se/" TargetMode="External"/><Relationship Id="rId248" Type="http://schemas.openxmlformats.org/officeDocument/2006/relationships/hyperlink" Target="https://www.deepcool.com/index.shtml" TargetMode="External"/><Relationship Id="rId369" Type="http://schemas.openxmlformats.org/officeDocument/2006/relationships/hyperlink" Target="https://www.bequiet.com/en/cpucooler/5110" TargetMode="External"/><Relationship Id="rId126" Type="http://schemas.openxmlformats.org/officeDocument/2006/relationships/hyperlink" Target="http://thermalright.com/" TargetMode="External"/><Relationship Id="rId247" Type="http://schemas.openxmlformats.org/officeDocument/2006/relationships/hyperlink" Target="https://www.coolermaster.com/catalog/coolers/cpu-air-coolers/hyper-212-evo-v2/" TargetMode="External"/><Relationship Id="rId368" Type="http://schemas.openxmlformats.org/officeDocument/2006/relationships/hyperlink" Target="https://www.bequiet.com/en" TargetMode="External"/><Relationship Id="rId121" Type="http://schemas.openxmlformats.org/officeDocument/2006/relationships/hyperlink" Target="https://ncc.noctua.at/coolers/NH-D12L-69/cpus" TargetMode="External"/><Relationship Id="rId242" Type="http://schemas.openxmlformats.org/officeDocument/2006/relationships/hyperlink" Target="https://www.bequiet.com/en/cpucooler/1842" TargetMode="External"/><Relationship Id="rId363" Type="http://schemas.openxmlformats.org/officeDocument/2006/relationships/hyperlink" Target="http://thermalright.com/product/frost-commander-140-white/" TargetMode="External"/><Relationship Id="rId120" Type="http://schemas.openxmlformats.org/officeDocument/2006/relationships/hyperlink" Target="https://noctua.at/en/nh-d12l" TargetMode="External"/><Relationship Id="rId241" Type="http://schemas.openxmlformats.org/officeDocument/2006/relationships/hyperlink" Target="https://www.bequiet.com/en" TargetMode="External"/><Relationship Id="rId362" Type="http://schemas.openxmlformats.org/officeDocument/2006/relationships/hyperlink" Target="http://thermalright.com/" TargetMode="External"/><Relationship Id="rId240" Type="http://schemas.openxmlformats.org/officeDocument/2006/relationships/hyperlink" Target="https://www.bequiet.com/en/cpucooler/1841" TargetMode="External"/><Relationship Id="rId361" Type="http://schemas.openxmlformats.org/officeDocument/2006/relationships/hyperlink" Target="http://thermalright.com/product/frost-commander-140-black/" TargetMode="External"/><Relationship Id="rId360" Type="http://schemas.openxmlformats.org/officeDocument/2006/relationships/hyperlink" Target="http://thermalright.com/" TargetMode="External"/><Relationship Id="rId125" Type="http://schemas.openxmlformats.org/officeDocument/2006/relationships/hyperlink" Target="https://hwbusters.com/cooling/noctua-nh-d12l-chromax-black-review/" TargetMode="External"/><Relationship Id="rId246" Type="http://schemas.openxmlformats.org/officeDocument/2006/relationships/hyperlink" Target="https://www.coolermaster.com/" TargetMode="External"/><Relationship Id="rId367" Type="http://schemas.openxmlformats.org/officeDocument/2006/relationships/hyperlink" Target="http://thermalright.com/product/frost-spirit-140-white-v3-argb/" TargetMode="External"/><Relationship Id="rId124" Type="http://schemas.openxmlformats.org/officeDocument/2006/relationships/hyperlink" Target="https://ncc.noctua.at/coolers/NH-D12L-chromax.black-cooler-93" TargetMode="External"/><Relationship Id="rId245" Type="http://schemas.openxmlformats.org/officeDocument/2006/relationships/hyperlink" Target="https://hwbusters.com/cooling/bequiet_pure_rock2_fx_review-2/" TargetMode="External"/><Relationship Id="rId366" Type="http://schemas.openxmlformats.org/officeDocument/2006/relationships/hyperlink" Target="http://thermalright.com/" TargetMode="External"/><Relationship Id="rId123" Type="http://schemas.openxmlformats.org/officeDocument/2006/relationships/hyperlink" Target="https://noctua.at/en/nh-d12l-chromax-black" TargetMode="External"/><Relationship Id="rId244" Type="http://schemas.openxmlformats.org/officeDocument/2006/relationships/hyperlink" Target="https://www.bequiet.com/en/cpucooler/3739" TargetMode="External"/><Relationship Id="rId365" Type="http://schemas.openxmlformats.org/officeDocument/2006/relationships/hyperlink" Target="http://thermalright.com/product/frost-spirit-140-black-v3/" TargetMode="External"/><Relationship Id="rId122" Type="http://schemas.openxmlformats.org/officeDocument/2006/relationships/hyperlink" Target="https://noctua.at/" TargetMode="External"/><Relationship Id="rId243" Type="http://schemas.openxmlformats.org/officeDocument/2006/relationships/hyperlink" Target="https://www.bequiet.com/en" TargetMode="External"/><Relationship Id="rId364" Type="http://schemas.openxmlformats.org/officeDocument/2006/relationships/hyperlink" Target="http://thermalright.com/" TargetMode="External"/><Relationship Id="rId95" Type="http://schemas.openxmlformats.org/officeDocument/2006/relationships/hyperlink" Target="https://www.bequiet.com/en" TargetMode="External"/><Relationship Id="rId94" Type="http://schemas.openxmlformats.org/officeDocument/2006/relationships/hyperlink" Target="https://www.idcooling.com/Product/detail/id/330/name/SE-224-XTS%20MINI%20BLACK" TargetMode="External"/><Relationship Id="rId97" Type="http://schemas.openxmlformats.org/officeDocument/2006/relationships/hyperlink" Target="http://www.idcooling.com/index.php" TargetMode="External"/><Relationship Id="rId96" Type="http://schemas.openxmlformats.org/officeDocument/2006/relationships/hyperlink" Target="https://www.bequiet.com/en/cpucooler/2248" TargetMode="External"/><Relationship Id="rId99" Type="http://schemas.openxmlformats.org/officeDocument/2006/relationships/hyperlink" Target="http://www.idcooling.com/index.php" TargetMode="External"/><Relationship Id="rId98" Type="http://schemas.openxmlformats.org/officeDocument/2006/relationships/hyperlink" Target="https://www.idcooling.com/Product/detail/id/312/name/SE-207-XT%20SLIM" TargetMode="External"/><Relationship Id="rId91" Type="http://schemas.openxmlformats.org/officeDocument/2006/relationships/hyperlink" Target="https://www.bequiet.com/en" TargetMode="External"/><Relationship Id="rId90" Type="http://schemas.openxmlformats.org/officeDocument/2006/relationships/hyperlink" Target="https://www.deepcool.com/products/Cooling/cpuaircoolers/AG300-Single-Tower-CPU-Cooler/2022/16202.shtml" TargetMode="External"/><Relationship Id="rId93" Type="http://schemas.openxmlformats.org/officeDocument/2006/relationships/hyperlink" Target="http://www.idcooling.com/index.php" TargetMode="External"/><Relationship Id="rId92" Type="http://schemas.openxmlformats.org/officeDocument/2006/relationships/hyperlink" Target="https://www.bequiet.com/en/cpucooler/3351" TargetMode="External"/><Relationship Id="rId118" Type="http://schemas.openxmlformats.org/officeDocument/2006/relationships/hyperlink" Target="https://detail.tmall.com/item.htm?id=667686551798" TargetMode="External"/><Relationship Id="rId239" Type="http://schemas.openxmlformats.org/officeDocument/2006/relationships/hyperlink" Target="https://www.bequiet.com/en" TargetMode="External"/><Relationship Id="rId117" Type="http://schemas.openxmlformats.org/officeDocument/2006/relationships/hyperlink" Target="http://thermalright.com/" TargetMode="External"/><Relationship Id="rId238" Type="http://schemas.openxmlformats.org/officeDocument/2006/relationships/hyperlink" Target="https://www.scytheus.com/fuma2-rev-b" TargetMode="External"/><Relationship Id="rId359" Type="http://schemas.openxmlformats.org/officeDocument/2006/relationships/hyperlink" Target="https://ncc.noctua.at/coolers/NH-D15S-chromax.black-67/cpus" TargetMode="External"/><Relationship Id="rId116" Type="http://schemas.openxmlformats.org/officeDocument/2006/relationships/hyperlink" Target="http://thermalright.com/product/silver-soul-135-black/" TargetMode="External"/><Relationship Id="rId237" Type="http://schemas.openxmlformats.org/officeDocument/2006/relationships/hyperlink" Target="http://www.scythe.com/" TargetMode="External"/><Relationship Id="rId358" Type="http://schemas.openxmlformats.org/officeDocument/2006/relationships/hyperlink" Target="https://noctua.at/en/nh-d15s-chromax-black" TargetMode="External"/><Relationship Id="rId115" Type="http://schemas.openxmlformats.org/officeDocument/2006/relationships/hyperlink" Target="http://thermalright.com/" TargetMode="External"/><Relationship Id="rId236" Type="http://schemas.openxmlformats.org/officeDocument/2006/relationships/hyperlink" Target="https://www.scytheus.com/fuma2" TargetMode="External"/><Relationship Id="rId357" Type="http://schemas.openxmlformats.org/officeDocument/2006/relationships/hyperlink" Target="https://noctua.at/" TargetMode="External"/><Relationship Id="rId119" Type="http://schemas.openxmlformats.org/officeDocument/2006/relationships/hyperlink" Target="https://noctua.at/" TargetMode="External"/><Relationship Id="rId110" Type="http://schemas.openxmlformats.org/officeDocument/2006/relationships/hyperlink" Target="https://www.thermalright.com/product/peerless-assassin-120-mini-black/" TargetMode="External"/><Relationship Id="rId231" Type="http://schemas.openxmlformats.org/officeDocument/2006/relationships/hyperlink" Target="http://www.scythe.com/" TargetMode="External"/><Relationship Id="rId352" Type="http://schemas.openxmlformats.org/officeDocument/2006/relationships/hyperlink" Target="http://www.jonsbo.com/en/" TargetMode="External"/><Relationship Id="rId230" Type="http://schemas.openxmlformats.org/officeDocument/2006/relationships/hyperlink" Target="https://www.scythe-eu.com/en/products/cpu-cooler/mugen-5-revb.html" TargetMode="External"/><Relationship Id="rId351" Type="http://schemas.openxmlformats.org/officeDocument/2006/relationships/hyperlink" Target="https://www.jonsbo.com/en/products/CR3000Standard.html" TargetMode="External"/><Relationship Id="rId350" Type="http://schemas.openxmlformats.org/officeDocument/2006/relationships/hyperlink" Target="http://www.jonsbo.com/en/" TargetMode="External"/><Relationship Id="rId114" Type="http://schemas.openxmlformats.org/officeDocument/2006/relationships/hyperlink" Target="http://thermalright.com/product/silver-soul-135/" TargetMode="External"/><Relationship Id="rId235" Type="http://schemas.openxmlformats.org/officeDocument/2006/relationships/hyperlink" Target="http://www.scythe.com/" TargetMode="External"/><Relationship Id="rId356" Type="http://schemas.openxmlformats.org/officeDocument/2006/relationships/hyperlink" Target="https://ncc.noctua.at/coolers/NH-D15S-5/cpus" TargetMode="External"/><Relationship Id="rId113" Type="http://schemas.openxmlformats.org/officeDocument/2006/relationships/hyperlink" Target="http://thermalright.com/" TargetMode="External"/><Relationship Id="rId234" Type="http://schemas.openxmlformats.org/officeDocument/2006/relationships/hyperlink" Target="https://www.scytheus.com/mugen-5-black-edition-revc" TargetMode="External"/><Relationship Id="rId355" Type="http://schemas.openxmlformats.org/officeDocument/2006/relationships/hyperlink" Target="https://noctua.at/en/nh-d15s" TargetMode="External"/><Relationship Id="rId112" Type="http://schemas.openxmlformats.org/officeDocument/2006/relationships/hyperlink" Target="https://www.thermalright.com/product/peerless-assassin-120-mini-white/" TargetMode="External"/><Relationship Id="rId233" Type="http://schemas.openxmlformats.org/officeDocument/2006/relationships/hyperlink" Target="http://www.scythe.com/" TargetMode="External"/><Relationship Id="rId354" Type="http://schemas.openxmlformats.org/officeDocument/2006/relationships/hyperlink" Target="https://noctua.at/" TargetMode="External"/><Relationship Id="rId111" Type="http://schemas.openxmlformats.org/officeDocument/2006/relationships/hyperlink" Target="http://thermalright.com/" TargetMode="External"/><Relationship Id="rId232" Type="http://schemas.openxmlformats.org/officeDocument/2006/relationships/hyperlink" Target="https://www.scytheus.com/mugen-5-revc" TargetMode="External"/><Relationship Id="rId353" Type="http://schemas.openxmlformats.org/officeDocument/2006/relationships/hyperlink" Target="https://www.jonsbo.com/en/products/HX7280.html" TargetMode="External"/><Relationship Id="rId305" Type="http://schemas.openxmlformats.org/officeDocument/2006/relationships/hyperlink" Target="https://www.coolermaster.com/" TargetMode="External"/><Relationship Id="rId304" Type="http://schemas.openxmlformats.org/officeDocument/2006/relationships/hyperlink" Target="https://www.coolermaster.com/catalog/coolers/cpu-air-coolers/masterair-ma612-stealth/" TargetMode="External"/><Relationship Id="rId303" Type="http://schemas.openxmlformats.org/officeDocument/2006/relationships/hyperlink" Target="https://www.coolermaster.com/" TargetMode="External"/><Relationship Id="rId302" Type="http://schemas.openxmlformats.org/officeDocument/2006/relationships/hyperlink" Target="http://thermalright.com/product/ultra120ex-rev-4-white/" TargetMode="External"/><Relationship Id="rId309" Type="http://schemas.openxmlformats.org/officeDocument/2006/relationships/hyperlink" Target="https://www.deepcool.com/index.shtml" TargetMode="External"/><Relationship Id="rId308" Type="http://schemas.openxmlformats.org/officeDocument/2006/relationships/hyperlink" Target="https://www.deepcool.com/products/Cooling/cpuaircoolers/AK500-High-Performance-CPU-Cooler/2022/16040.shtml" TargetMode="External"/><Relationship Id="rId307" Type="http://schemas.openxmlformats.org/officeDocument/2006/relationships/hyperlink" Target="https://www.deepcool.com/index.shtml" TargetMode="External"/><Relationship Id="rId306" Type="http://schemas.openxmlformats.org/officeDocument/2006/relationships/hyperlink" Target="https://www.coolermaster.com/catalog/coolers/cpu-air-coolers/masterair-ma612-stealth-argb/" TargetMode="External"/><Relationship Id="rId301" Type="http://schemas.openxmlformats.org/officeDocument/2006/relationships/hyperlink" Target="http://thermalright.com/" TargetMode="External"/><Relationship Id="rId300" Type="http://schemas.openxmlformats.org/officeDocument/2006/relationships/hyperlink" Target="http://thermalright.com/product/ultra120ex-rev-4-black/" TargetMode="External"/><Relationship Id="rId415" Type="http://schemas.openxmlformats.org/officeDocument/2006/relationships/hyperlink" Target="https://hwbusters.com/cooling/be-quiet-dark-rock-pro-5-review/" TargetMode="External"/><Relationship Id="rId414" Type="http://schemas.openxmlformats.org/officeDocument/2006/relationships/hyperlink" Target="https://www.bequiet.com/en/cpucooler/4466" TargetMode="External"/><Relationship Id="rId413" Type="http://schemas.openxmlformats.org/officeDocument/2006/relationships/hyperlink" Target="https://www.bequiet.com/en" TargetMode="External"/><Relationship Id="rId412" Type="http://schemas.openxmlformats.org/officeDocument/2006/relationships/hyperlink" Target="https://hwbusters.com/cooling/be-quiet-dark-rock-elite-review/" TargetMode="External"/><Relationship Id="rId417" Type="http://schemas.openxmlformats.org/officeDocument/2006/relationships/vmlDrawing" Target="../drawings/vmlDrawing5.vml"/><Relationship Id="rId416" Type="http://schemas.openxmlformats.org/officeDocument/2006/relationships/drawing" Target="../drawings/drawing7.xml"/><Relationship Id="rId411" Type="http://schemas.openxmlformats.org/officeDocument/2006/relationships/hyperlink" Target="https://www.bequiet.com/en/cpucooler/4468" TargetMode="External"/><Relationship Id="rId410" Type="http://schemas.openxmlformats.org/officeDocument/2006/relationships/hyperlink" Target="https://www.bequiet.com/en" TargetMode="External"/><Relationship Id="rId206" Type="http://schemas.openxmlformats.org/officeDocument/2006/relationships/hyperlink" Target="https://www.jonsbo.com/en/products/CR1000EVOStandard.html" TargetMode="External"/><Relationship Id="rId327" Type="http://schemas.openxmlformats.org/officeDocument/2006/relationships/hyperlink" Target="https://www.arctic.de/en/Freezer-36-A-RGB-White/ACFRE00125A" TargetMode="External"/><Relationship Id="rId205" Type="http://schemas.openxmlformats.org/officeDocument/2006/relationships/hyperlink" Target="http://www.jonsbo.com/en/" TargetMode="External"/><Relationship Id="rId326" Type="http://schemas.openxmlformats.org/officeDocument/2006/relationships/hyperlink" Target="https://www.arctic.ac/worldwide_en/" TargetMode="External"/><Relationship Id="rId204" Type="http://schemas.openxmlformats.org/officeDocument/2006/relationships/hyperlink" Target="https://www.jonsbo.com/en/products/CR1000EVOARGBWhite.html" TargetMode="External"/><Relationship Id="rId325" Type="http://schemas.openxmlformats.org/officeDocument/2006/relationships/hyperlink" Target="https://www.arctic.de/en/Freezer-36-A-RGB-Black/ACFRE00124A" TargetMode="External"/><Relationship Id="rId203" Type="http://schemas.openxmlformats.org/officeDocument/2006/relationships/hyperlink" Target="http://www.jonsbo.com/en/" TargetMode="External"/><Relationship Id="rId324" Type="http://schemas.openxmlformats.org/officeDocument/2006/relationships/hyperlink" Target="https://www.arctic.ac/worldwide_en/" TargetMode="External"/><Relationship Id="rId209" Type="http://schemas.openxmlformats.org/officeDocument/2006/relationships/hyperlink" Target="http://www.scythe.com/" TargetMode="External"/><Relationship Id="rId208" Type="http://schemas.openxmlformats.org/officeDocument/2006/relationships/hyperlink" Target="https://www.phanteks.cn/CPU_Coolers/PH-TC12S5" TargetMode="External"/><Relationship Id="rId329" Type="http://schemas.openxmlformats.org/officeDocument/2006/relationships/hyperlink" Target="https://www.arctic.de/en/Freezer-36-Black/ACFRE00123A" TargetMode="External"/><Relationship Id="rId207" Type="http://schemas.openxmlformats.org/officeDocument/2006/relationships/hyperlink" Target="https://www.phanteks.com/" TargetMode="External"/><Relationship Id="rId328" Type="http://schemas.openxmlformats.org/officeDocument/2006/relationships/hyperlink" Target="https://www.arctic.ac/worldwide_en/" TargetMode="External"/><Relationship Id="rId202" Type="http://schemas.openxmlformats.org/officeDocument/2006/relationships/hyperlink" Target="https://www.jonsbo.com/en/products/CR1000EVOARGBBlack.html" TargetMode="External"/><Relationship Id="rId323" Type="http://schemas.openxmlformats.org/officeDocument/2006/relationships/hyperlink" Target="https://www.arctic.de/en/Freezer-36/ACFRE00121A" TargetMode="External"/><Relationship Id="rId201" Type="http://schemas.openxmlformats.org/officeDocument/2006/relationships/hyperlink" Target="http://www.jonsbo.com/en/" TargetMode="External"/><Relationship Id="rId322" Type="http://schemas.openxmlformats.org/officeDocument/2006/relationships/hyperlink" Target="https://www.arctic.ac/worldwide_en/" TargetMode="External"/><Relationship Id="rId200" Type="http://schemas.openxmlformats.org/officeDocument/2006/relationships/hyperlink" Target="https://www.idcooling.com/Product/detail/id/299/name/SE-226-XT%20WHITE" TargetMode="External"/><Relationship Id="rId321" Type="http://schemas.openxmlformats.org/officeDocument/2006/relationships/hyperlink" Target="https://ncc.noctua.at/coolers/NH-U12A-8/cpus" TargetMode="External"/><Relationship Id="rId320" Type="http://schemas.openxmlformats.org/officeDocument/2006/relationships/hyperlink" Target="https://noctua.at/en/nh-u12a" TargetMode="External"/><Relationship Id="rId316" Type="http://schemas.openxmlformats.org/officeDocument/2006/relationships/hyperlink" Target="https://noctua.at/" TargetMode="External"/><Relationship Id="rId315" Type="http://schemas.openxmlformats.org/officeDocument/2006/relationships/hyperlink" Target="https://ncc.noctua.at/coolers/NH-U12S-redux-70/cpus" TargetMode="External"/><Relationship Id="rId314" Type="http://schemas.openxmlformats.org/officeDocument/2006/relationships/hyperlink" Target="https://noctua.at/en/nh-u12s-redux" TargetMode="External"/><Relationship Id="rId313" Type="http://schemas.openxmlformats.org/officeDocument/2006/relationships/hyperlink" Target="https://noctua.at/" TargetMode="External"/><Relationship Id="rId319" Type="http://schemas.openxmlformats.org/officeDocument/2006/relationships/hyperlink" Target="https://noctua.at/" TargetMode="External"/><Relationship Id="rId318" Type="http://schemas.openxmlformats.org/officeDocument/2006/relationships/hyperlink" Target="https://ncc.noctua.at/coolers/NH-U12S-9/cpus" TargetMode="External"/><Relationship Id="rId317" Type="http://schemas.openxmlformats.org/officeDocument/2006/relationships/hyperlink" Target="https://noctua.at/en/nh-u12s" TargetMode="External"/><Relationship Id="rId312" Type="http://schemas.openxmlformats.org/officeDocument/2006/relationships/hyperlink" Target="https://www.montechpc.com/en/products_detail.php?nid=299&amp;s_ok2=" TargetMode="External"/><Relationship Id="rId311" Type="http://schemas.openxmlformats.org/officeDocument/2006/relationships/hyperlink" Target="https://www.montechpc.com/en/index.php" TargetMode="External"/><Relationship Id="rId310" Type="http://schemas.openxmlformats.org/officeDocument/2006/relationships/hyperlink" Target="https://us.deepcool.com/products/Cooling/cpuaircoolers/AK500-ZERO-DARK-High-Performance-CPU-Cooler-1700-AM5/2022/16398.shtml" TargetMode="External"/></Relationships>
</file>

<file path=xl/worksheets/_rels/sheet8.xml.rels><?xml version="1.0" encoding="UTF-8" standalone="yes"?><Relationships xmlns="http://schemas.openxmlformats.org/package/2006/relationships"><Relationship Id="rId392" Type="http://schemas.openxmlformats.org/officeDocument/2006/relationships/hyperlink" Target="https://www.coolermaster.com/" TargetMode="External"/><Relationship Id="rId391" Type="http://schemas.openxmlformats.org/officeDocument/2006/relationships/hyperlink" Target="https://www.coolermaster.com/" TargetMode="External"/><Relationship Id="rId390" Type="http://schemas.openxmlformats.org/officeDocument/2006/relationships/hyperlink" Target="https://www.coolermaster.com/catalog/coolers/cpu-liquid-coolers/masterliquid-360l-core-argb/" TargetMode="External"/><Relationship Id="rId1" Type="http://schemas.openxmlformats.org/officeDocument/2006/relationships/comments" Target="../comments6.xml"/><Relationship Id="rId2" Type="http://schemas.openxmlformats.org/officeDocument/2006/relationships/hyperlink" Target="https://www.adata.com/" TargetMode="External"/><Relationship Id="rId3" Type="http://schemas.openxmlformats.org/officeDocument/2006/relationships/hyperlink" Target="https://www.adata.com/uk/xpg/644" TargetMode="External"/><Relationship Id="rId4" Type="http://schemas.openxmlformats.org/officeDocument/2006/relationships/hyperlink" Target="https://www.asetek.com/" TargetMode="External"/><Relationship Id="rId9" Type="http://schemas.openxmlformats.org/officeDocument/2006/relationships/hyperlink" Target="https://aerocool.io/product/mirage-l120/" TargetMode="External"/><Relationship Id="rId385" Type="http://schemas.openxmlformats.org/officeDocument/2006/relationships/hyperlink" Target="https://hwbusters.com/cooling/cooler-master-masterliquid-360-atmos-aio-review/" TargetMode="External"/><Relationship Id="rId384" Type="http://schemas.openxmlformats.org/officeDocument/2006/relationships/hyperlink" Target="https://www.coolermaster.com/" TargetMode="External"/><Relationship Id="rId383" Type="http://schemas.openxmlformats.org/officeDocument/2006/relationships/hyperlink" Target="https://www.coolermaster.com/catalog/coolers/cpu-liquid-coolers/masterliquid-360-atmos/" TargetMode="External"/><Relationship Id="rId382" Type="http://schemas.openxmlformats.org/officeDocument/2006/relationships/hyperlink" Target="https://www.coolermaster.com/" TargetMode="External"/><Relationship Id="rId5" Type="http://schemas.openxmlformats.org/officeDocument/2006/relationships/hyperlink" Target="https://www.adata.com/" TargetMode="External"/><Relationship Id="rId389" Type="http://schemas.openxmlformats.org/officeDocument/2006/relationships/hyperlink" Target="https://www.coolermaster.com/" TargetMode="External"/><Relationship Id="rId6" Type="http://schemas.openxmlformats.org/officeDocument/2006/relationships/hyperlink" Target="https://www.xpg.com/uk/xpg/709" TargetMode="External"/><Relationship Id="rId388" Type="http://schemas.openxmlformats.org/officeDocument/2006/relationships/hyperlink" Target="https://www.coolermaster.com/" TargetMode="External"/><Relationship Id="rId7" Type="http://schemas.openxmlformats.org/officeDocument/2006/relationships/hyperlink" Target="https://www.asetek.com/" TargetMode="External"/><Relationship Id="rId387" Type="http://schemas.openxmlformats.org/officeDocument/2006/relationships/hyperlink" Target="https://www.coolermaster.com/catalog/coolers/cpu-liquid-coolers/masterliquid-360-atmos-white/" TargetMode="External"/><Relationship Id="rId8" Type="http://schemas.openxmlformats.org/officeDocument/2006/relationships/hyperlink" Target="https://aerocool.io/" TargetMode="External"/><Relationship Id="rId386" Type="http://schemas.openxmlformats.org/officeDocument/2006/relationships/hyperlink" Target="https://www.coolermaster.com/" TargetMode="External"/><Relationship Id="rId381" Type="http://schemas.openxmlformats.org/officeDocument/2006/relationships/hyperlink" Target="https://www.coolermaster.com/" TargetMode="External"/><Relationship Id="rId380" Type="http://schemas.openxmlformats.org/officeDocument/2006/relationships/hyperlink" Target="https://www.coolermaster.com/catalog/coolers/cpu-liquid-coolers/masterliquid-240l-core-argb-white/" TargetMode="External"/><Relationship Id="rId379" Type="http://schemas.openxmlformats.org/officeDocument/2006/relationships/hyperlink" Target="https://www.coolermaster.com/" TargetMode="External"/><Relationship Id="rId374" Type="http://schemas.openxmlformats.org/officeDocument/2006/relationships/hyperlink" Target="https://www.coolermaster.com/catalog/coolers/cpu-liquid-coolers/masterliquid-240-atmos-white/" TargetMode="External"/><Relationship Id="rId373" Type="http://schemas.openxmlformats.org/officeDocument/2006/relationships/hyperlink" Target="https://www.coolermaster.com/" TargetMode="External"/><Relationship Id="rId372" Type="http://schemas.openxmlformats.org/officeDocument/2006/relationships/hyperlink" Target="https://www.coolermaster.com/" TargetMode="External"/><Relationship Id="rId371" Type="http://schemas.openxmlformats.org/officeDocument/2006/relationships/hyperlink" Target="https://www.coolermaster.com/catalog/coolers/cpu-liquid-coolers/masterliquid-240-atmos/" TargetMode="External"/><Relationship Id="rId378" Type="http://schemas.openxmlformats.org/officeDocument/2006/relationships/hyperlink" Target="https://www.coolermaster.com/" TargetMode="External"/><Relationship Id="rId377" Type="http://schemas.openxmlformats.org/officeDocument/2006/relationships/hyperlink" Target="https://www.coolermaster.com/catalog/coolers/cpu-liquid-coolers/masterliquid-240l-core-argb/" TargetMode="External"/><Relationship Id="rId376" Type="http://schemas.openxmlformats.org/officeDocument/2006/relationships/hyperlink" Target="https://www.coolermaster.com/" TargetMode="External"/><Relationship Id="rId375" Type="http://schemas.openxmlformats.org/officeDocument/2006/relationships/hyperlink" Target="https://www.coolermaster.com/" TargetMode="External"/><Relationship Id="rId396" Type="http://schemas.openxmlformats.org/officeDocument/2006/relationships/hyperlink" Target="https://www.coolermaster.com/catalog/coolers/cpu-liquid-coolers/masterliquid-360l-core-sf6-chun-li/" TargetMode="External"/><Relationship Id="rId395" Type="http://schemas.openxmlformats.org/officeDocument/2006/relationships/hyperlink" Target="https://www.coolermaster.com/" TargetMode="External"/><Relationship Id="rId394" Type="http://schemas.openxmlformats.org/officeDocument/2006/relationships/hyperlink" Target="https://www.coolermaster.com/" TargetMode="External"/><Relationship Id="rId393" Type="http://schemas.openxmlformats.org/officeDocument/2006/relationships/hyperlink" Target="https://www.coolermaster.com/catalog/coolers/cpu-liquid-coolers/masterliquid-360l-core-argb-white/" TargetMode="External"/><Relationship Id="rId399" Type="http://schemas.openxmlformats.org/officeDocument/2006/relationships/hyperlink" Target="https://www.coolermaster.com/catalog/coolers/cpu-liquid-coolers/masterliquid-360l-core-sf6-luke/" TargetMode="External"/><Relationship Id="rId398" Type="http://schemas.openxmlformats.org/officeDocument/2006/relationships/hyperlink" Target="https://www.coolermaster.com/" TargetMode="External"/><Relationship Id="rId397" Type="http://schemas.openxmlformats.org/officeDocument/2006/relationships/hyperlink" Target="https://www.coolermaster.com/" TargetMode="External"/><Relationship Id="rId1730" Type="http://schemas.openxmlformats.org/officeDocument/2006/relationships/hyperlink" Target="https://www.thermaltake.com/" TargetMode="External"/><Relationship Id="rId1731" Type="http://schemas.openxmlformats.org/officeDocument/2006/relationships/hyperlink" Target="https://www.thermaltake.com/floe-riing-rgb-240-tt-premium-edition.html" TargetMode="External"/><Relationship Id="rId1732" Type="http://schemas.openxmlformats.org/officeDocument/2006/relationships/hyperlink" Target="https://www.asetek.com/" TargetMode="External"/><Relationship Id="rId1733" Type="http://schemas.openxmlformats.org/officeDocument/2006/relationships/hyperlink" Target="https://www.thermaltake.com/" TargetMode="External"/><Relationship Id="rId1734" Type="http://schemas.openxmlformats.org/officeDocument/2006/relationships/hyperlink" Target="https://www.thermaltake.com/floe-riing-rgb-280-tt-premium-edition.html" TargetMode="External"/><Relationship Id="rId1735" Type="http://schemas.openxmlformats.org/officeDocument/2006/relationships/hyperlink" Target="https://www.asetek.com/" TargetMode="External"/><Relationship Id="rId1736" Type="http://schemas.openxmlformats.org/officeDocument/2006/relationships/hyperlink" Target="https://www.thermaltake.com/" TargetMode="External"/><Relationship Id="rId1737" Type="http://schemas.openxmlformats.org/officeDocument/2006/relationships/hyperlink" Target="https://www.thermaltake.com/floe-riing-rgb-360-tt-premium-edition.html" TargetMode="External"/><Relationship Id="rId1738" Type="http://schemas.openxmlformats.org/officeDocument/2006/relationships/hyperlink" Target="https://www.asetek.com/" TargetMode="External"/><Relationship Id="rId1739" Type="http://schemas.openxmlformats.org/officeDocument/2006/relationships/hyperlink" Target="https://www.thermaltake.com/" TargetMode="External"/><Relationship Id="rId1720" Type="http://schemas.openxmlformats.org/officeDocument/2006/relationships/hyperlink" Target="https://www.thermaltake.com/" TargetMode="External"/><Relationship Id="rId1721" Type="http://schemas.openxmlformats.org/officeDocument/2006/relationships/hyperlink" Target="https://www.thermaltake.com/floe-rc240-cpu-memory-aio-liquid-cooler-snow-edition.html" TargetMode="External"/><Relationship Id="rId1722" Type="http://schemas.openxmlformats.org/officeDocument/2006/relationships/hyperlink" Target="https://www.thermaltake.com/" TargetMode="External"/><Relationship Id="rId1723" Type="http://schemas.openxmlformats.org/officeDocument/2006/relationships/hyperlink" Target="https://www.thermaltake.com/floe-rc360-cpu-memory-aio-liquid-cooler.html" TargetMode="External"/><Relationship Id="rId1724" Type="http://schemas.openxmlformats.org/officeDocument/2006/relationships/hyperlink" Target="https://www.thermaltake.com/" TargetMode="External"/><Relationship Id="rId1725" Type="http://schemas.openxmlformats.org/officeDocument/2006/relationships/hyperlink" Target="https://www.thermaltake.com/floe-rc360-cpu-memory-aio-liquid-cooler-snow-edition.html" TargetMode="External"/><Relationship Id="rId1726" Type="http://schemas.openxmlformats.org/officeDocument/2006/relationships/hyperlink" Target="https://www.thermaltake.com/" TargetMode="External"/><Relationship Id="rId1727" Type="http://schemas.openxmlformats.org/officeDocument/2006/relationships/hyperlink" Target="https://www.thermaltake.com/floe-rc-ultra-240-cpu-memory-aio-liquid-cooler.html" TargetMode="External"/><Relationship Id="rId1728" Type="http://schemas.openxmlformats.org/officeDocument/2006/relationships/hyperlink" Target="https://www.thermaltake.com/" TargetMode="External"/><Relationship Id="rId1729" Type="http://schemas.openxmlformats.org/officeDocument/2006/relationships/hyperlink" Target="https://www.thermaltake.com/floe-rc-ultra-360-cpu-memory-aio-liquid-cooler.html" TargetMode="External"/><Relationship Id="rId1752" Type="http://schemas.openxmlformats.org/officeDocument/2006/relationships/hyperlink" Target="https://www.thermaltake.com/th360-argb-sync-snow-edition-aio-liquid-cooler.html" TargetMode="External"/><Relationship Id="rId1753" Type="http://schemas.openxmlformats.org/officeDocument/2006/relationships/hyperlink" Target="http://www.apalcool.com/index.php?c=category&amp;id=28" TargetMode="External"/><Relationship Id="rId1754" Type="http://schemas.openxmlformats.org/officeDocument/2006/relationships/hyperlink" Target="https://www.thermaltake.com/" TargetMode="External"/><Relationship Id="rId1755" Type="http://schemas.openxmlformats.org/officeDocument/2006/relationships/hyperlink" Target="https://www.thermaltake.com/toughliquid-240-argb-sync-all-in-one-liquid-cooler.html" TargetMode="External"/><Relationship Id="rId1756" Type="http://schemas.openxmlformats.org/officeDocument/2006/relationships/hyperlink" Target="https://www.thermaltake.com/" TargetMode="External"/><Relationship Id="rId1757" Type="http://schemas.openxmlformats.org/officeDocument/2006/relationships/hyperlink" Target="https://www.thermaltake.com/toughliquid-240-argb-sync-racing-green-all-in-one-liquid-cooler.html" TargetMode="External"/><Relationship Id="rId1758" Type="http://schemas.openxmlformats.org/officeDocument/2006/relationships/hyperlink" Target="https://www.thermaltake.com/" TargetMode="External"/><Relationship Id="rId1759" Type="http://schemas.openxmlformats.org/officeDocument/2006/relationships/hyperlink" Target="https://www.thermaltake.com/toughliquid-240-argb-sync-turquoise-all-in-one-liquid-cooler.html" TargetMode="External"/><Relationship Id="rId808" Type="http://schemas.openxmlformats.org/officeDocument/2006/relationships/hyperlink" Target="https://www.deepcool.com/index.shtml" TargetMode="External"/><Relationship Id="rId807" Type="http://schemas.openxmlformats.org/officeDocument/2006/relationships/hyperlink" Target="https://www.deepcool.com/products/Cooling/cpuliquidcoolers/LT520-240mm-Liquid-CPU-Cooler/2022/16271.shtml" TargetMode="External"/><Relationship Id="rId806" Type="http://schemas.openxmlformats.org/officeDocument/2006/relationships/hyperlink" Target="https://www.deepcool.com/index.shtml" TargetMode="External"/><Relationship Id="rId805" Type="http://schemas.openxmlformats.org/officeDocument/2006/relationships/hyperlink" Target="https://www.deepcool.com/index.shtml" TargetMode="External"/><Relationship Id="rId809" Type="http://schemas.openxmlformats.org/officeDocument/2006/relationships/hyperlink" Target="https://www.deepcool.com/index.shtml" TargetMode="External"/><Relationship Id="rId800" Type="http://schemas.openxmlformats.org/officeDocument/2006/relationships/hyperlink" Target="https://www.deepcool.com/index.shtml" TargetMode="External"/><Relationship Id="rId804" Type="http://schemas.openxmlformats.org/officeDocument/2006/relationships/hyperlink" Target="https://us.deepcool.com/products/Cooling/cpuliquidcoolers/LS720-WH-High-Performance-360mm-Liquid-CPU-Cooler-1700-AM5/2022/15988.shtml" TargetMode="External"/><Relationship Id="rId803" Type="http://schemas.openxmlformats.org/officeDocument/2006/relationships/hyperlink" Target="https://www.deepcool.com/index.shtml" TargetMode="External"/><Relationship Id="rId802" Type="http://schemas.openxmlformats.org/officeDocument/2006/relationships/hyperlink" Target="https://www.deepcool.com/index.shtml" TargetMode="External"/><Relationship Id="rId801" Type="http://schemas.openxmlformats.org/officeDocument/2006/relationships/hyperlink" Target="https://us.deepcool.com/products/Cooling/cpuliquidcoolers/LS720-SE-WH-360mm-Liquid-CPU-Cooler-1700-AM5/2022/16474.shtml" TargetMode="External"/><Relationship Id="rId1750" Type="http://schemas.openxmlformats.org/officeDocument/2006/relationships/hyperlink" Target="http://www.apalcool.com/index.php?c=category&amp;id=28" TargetMode="External"/><Relationship Id="rId1751" Type="http://schemas.openxmlformats.org/officeDocument/2006/relationships/hyperlink" Target="https://www.thermaltake.com/" TargetMode="External"/><Relationship Id="rId1741" Type="http://schemas.openxmlformats.org/officeDocument/2006/relationships/hyperlink" Target="http://www.apalcool.com/index.php?c=category&amp;id=28" TargetMode="External"/><Relationship Id="rId1742" Type="http://schemas.openxmlformats.org/officeDocument/2006/relationships/hyperlink" Target="https://www.thermaltake.com/" TargetMode="External"/><Relationship Id="rId1743" Type="http://schemas.openxmlformats.org/officeDocument/2006/relationships/hyperlink" Target="https://www.thermaltake.com/th240-argb-sync-aio-liquid-cooler.html" TargetMode="External"/><Relationship Id="rId1744" Type="http://schemas.openxmlformats.org/officeDocument/2006/relationships/hyperlink" Target="http://www.apalcool.com/index.php?c=category&amp;id=28" TargetMode="External"/><Relationship Id="rId1745" Type="http://schemas.openxmlformats.org/officeDocument/2006/relationships/hyperlink" Target="https://www.thermaltake.com/" TargetMode="External"/><Relationship Id="rId1746" Type="http://schemas.openxmlformats.org/officeDocument/2006/relationships/hyperlink" Target="https://www.thermaltake.com/th240-argb-sync-snow-edition-aio-liquid-cooler.html" TargetMode="External"/><Relationship Id="rId1747" Type="http://schemas.openxmlformats.org/officeDocument/2006/relationships/hyperlink" Target="http://www.apalcool.com/index.php?c=category&amp;id=28" TargetMode="External"/><Relationship Id="rId1748" Type="http://schemas.openxmlformats.org/officeDocument/2006/relationships/hyperlink" Target="https://www.thermaltake.com/" TargetMode="External"/><Relationship Id="rId1749" Type="http://schemas.openxmlformats.org/officeDocument/2006/relationships/hyperlink" Target="https://www.thermaltake.com/th360-argb-sync-aio-liquid-cooler.html" TargetMode="External"/><Relationship Id="rId1740" Type="http://schemas.openxmlformats.org/officeDocument/2006/relationships/hyperlink" Target="https://www.thermaltake.com/th120-argb-sync-aio-liquid-cooler.html" TargetMode="External"/><Relationship Id="rId1710" Type="http://schemas.openxmlformats.org/officeDocument/2006/relationships/hyperlink" Target="http://thermalright.com/" TargetMode="External"/><Relationship Id="rId1711" Type="http://schemas.openxmlformats.org/officeDocument/2006/relationships/hyperlink" Target="http://thermalright.com/product/turbo-right-360-c/" TargetMode="External"/><Relationship Id="rId1712" Type="http://schemas.openxmlformats.org/officeDocument/2006/relationships/hyperlink" Target="https://www.thermaltake.com/" TargetMode="External"/><Relationship Id="rId1713" Type="http://schemas.openxmlformats.org/officeDocument/2006/relationships/hyperlink" Target="https://www.thermaltake.com/floe-dx-rgb-240-tt-premium-edition.html" TargetMode="External"/><Relationship Id="rId1714" Type="http://schemas.openxmlformats.org/officeDocument/2006/relationships/hyperlink" Target="https://www.thermaltake.com/" TargetMode="External"/><Relationship Id="rId1715" Type="http://schemas.openxmlformats.org/officeDocument/2006/relationships/hyperlink" Target="https://www.thermaltake.com/floe-dx-rgb-280-tt-premium-edition.html" TargetMode="External"/><Relationship Id="rId1716" Type="http://schemas.openxmlformats.org/officeDocument/2006/relationships/hyperlink" Target="https://www.thermaltake.com/" TargetMode="External"/><Relationship Id="rId1717" Type="http://schemas.openxmlformats.org/officeDocument/2006/relationships/hyperlink" Target="https://www.thermaltake.com/floe-dx-rgb-360-tt-premium-edition.html" TargetMode="External"/><Relationship Id="rId1718" Type="http://schemas.openxmlformats.org/officeDocument/2006/relationships/hyperlink" Target="https://www.thermaltake.com/" TargetMode="External"/><Relationship Id="rId1719" Type="http://schemas.openxmlformats.org/officeDocument/2006/relationships/hyperlink" Target="https://www.thermaltake.com/floe-rc240-cpu-memory-aio-liquid-cooler.html" TargetMode="External"/><Relationship Id="rId1700" Type="http://schemas.openxmlformats.org/officeDocument/2006/relationships/hyperlink" Target="http://thermalright.com/" TargetMode="External"/><Relationship Id="rId1701" Type="http://schemas.openxmlformats.org/officeDocument/2006/relationships/hyperlink" Target="https://www.thermalright.com/product/mjolnir-vision-360-black-argb/" TargetMode="External"/><Relationship Id="rId1702" Type="http://schemas.openxmlformats.org/officeDocument/2006/relationships/hyperlink" Target="http://thermalright.com/" TargetMode="External"/><Relationship Id="rId1703" Type="http://schemas.openxmlformats.org/officeDocument/2006/relationships/hyperlink" Target="https://www.thermalright.com/product/mjolnir-vision-360-white-argb/" TargetMode="External"/><Relationship Id="rId1704" Type="http://schemas.openxmlformats.org/officeDocument/2006/relationships/hyperlink" Target="http://thermalright.com/" TargetMode="External"/><Relationship Id="rId1705" Type="http://schemas.openxmlformats.org/officeDocument/2006/relationships/hyperlink" Target="http://thermalright.com/product/turbo-right-240/" TargetMode="External"/><Relationship Id="rId1706" Type="http://schemas.openxmlformats.org/officeDocument/2006/relationships/hyperlink" Target="http://thermalright.com/" TargetMode="External"/><Relationship Id="rId1707" Type="http://schemas.openxmlformats.org/officeDocument/2006/relationships/hyperlink" Target="http://thermalright.com/product/turbo-right-240-c/" TargetMode="External"/><Relationship Id="rId1708" Type="http://schemas.openxmlformats.org/officeDocument/2006/relationships/hyperlink" Target="http://thermalright.com/" TargetMode="External"/><Relationship Id="rId1709" Type="http://schemas.openxmlformats.org/officeDocument/2006/relationships/hyperlink" Target="http://thermalright.com/product/turbo-right-360/" TargetMode="External"/><Relationship Id="rId40" Type="http://schemas.openxmlformats.org/officeDocument/2006/relationships/hyperlink" Target="https://www.alphacool.com/shop/sets-systems/eisbaer/20225/alphacool-eisbaer-240-cpu-black" TargetMode="External"/><Relationship Id="rId1334" Type="http://schemas.openxmlformats.org/officeDocument/2006/relationships/hyperlink" Target="https://www.asetek.com/" TargetMode="External"/><Relationship Id="rId1335" Type="http://schemas.openxmlformats.org/officeDocument/2006/relationships/hyperlink" Target="https://www.nzxt.com/" TargetMode="External"/><Relationship Id="rId42" Type="http://schemas.openxmlformats.org/officeDocument/2006/relationships/hyperlink" Target="https://www.alphacool.com/" TargetMode="External"/><Relationship Id="rId1336" Type="http://schemas.openxmlformats.org/officeDocument/2006/relationships/hyperlink" Target="https://nzxt.com/product/kraken-280-elite" TargetMode="External"/><Relationship Id="rId41" Type="http://schemas.openxmlformats.org/officeDocument/2006/relationships/hyperlink" Target="https://www.alphacool.com/" TargetMode="External"/><Relationship Id="rId1337" Type="http://schemas.openxmlformats.org/officeDocument/2006/relationships/hyperlink" Target="https://www.asetek.com/" TargetMode="External"/><Relationship Id="rId44" Type="http://schemas.openxmlformats.org/officeDocument/2006/relationships/hyperlink" Target="https://www.alphacool.com/" TargetMode="External"/><Relationship Id="rId1338" Type="http://schemas.openxmlformats.org/officeDocument/2006/relationships/hyperlink" Target="https://www.nzxt.com/" TargetMode="External"/><Relationship Id="rId43" Type="http://schemas.openxmlformats.org/officeDocument/2006/relationships/hyperlink" Target="https://www.alphacool.com/shop/new-products/20227/alphacool-eisbaer-280-cpu-black" TargetMode="External"/><Relationship Id="rId1339" Type="http://schemas.openxmlformats.org/officeDocument/2006/relationships/hyperlink" Target="https://nzxt.com/product/kraken-280-elite-rgb" TargetMode="External"/><Relationship Id="rId46" Type="http://schemas.openxmlformats.org/officeDocument/2006/relationships/hyperlink" Target="https://www.alphacool.com/shop/aios-sets/cpu-aio/23150/alphacool-eisbaer-360-cpu-black?c=21228" TargetMode="External"/><Relationship Id="rId45" Type="http://schemas.openxmlformats.org/officeDocument/2006/relationships/hyperlink" Target="https://www.alphacool.com/" TargetMode="External"/><Relationship Id="rId745" Type="http://schemas.openxmlformats.org/officeDocument/2006/relationships/hyperlink" Target="https://www.deepcool.com/index.shtml" TargetMode="External"/><Relationship Id="rId744" Type="http://schemas.openxmlformats.org/officeDocument/2006/relationships/hyperlink" Target="https://www.deepcool.com/index.shtml" TargetMode="External"/><Relationship Id="rId743" Type="http://schemas.openxmlformats.org/officeDocument/2006/relationships/hyperlink" Target="https://www.deepcool.com/index.shtml" TargetMode="External"/><Relationship Id="rId742" Type="http://schemas.openxmlformats.org/officeDocument/2006/relationships/hyperlink" Target="https://uk.deepcool.com/products/Cooling/cpuliquidcoolers/2021/11919.shtml" TargetMode="External"/><Relationship Id="rId749" Type="http://schemas.openxmlformats.org/officeDocument/2006/relationships/hyperlink" Target="https://www.deepcool.com/index.shtml" TargetMode="External"/><Relationship Id="rId748" Type="http://schemas.openxmlformats.org/officeDocument/2006/relationships/hyperlink" Target="https://www.deepcool.com/index.shtml" TargetMode="External"/><Relationship Id="rId747" Type="http://schemas.openxmlformats.org/officeDocument/2006/relationships/hyperlink" Target="https://uk.deepcool.com/products/Cooling/cpuliquidcoolers/GAMMAXX-L360-A-RGB-WH-Liquid-CPU-Cooler-White/2022/15566.shtml" TargetMode="External"/><Relationship Id="rId746" Type="http://schemas.openxmlformats.org/officeDocument/2006/relationships/hyperlink" Target="https://www.deepcool.com/index.shtml" TargetMode="External"/><Relationship Id="rId48" Type="http://schemas.openxmlformats.org/officeDocument/2006/relationships/hyperlink" Target="https://www.alphacool.com/" TargetMode="External"/><Relationship Id="rId47" Type="http://schemas.openxmlformats.org/officeDocument/2006/relationships/hyperlink" Target="https://www.alphacool.com/" TargetMode="External"/><Relationship Id="rId49" Type="http://schemas.openxmlformats.org/officeDocument/2006/relationships/hyperlink" Target="https://www.alphacool.com/shop/aios-sets/cpu-aio/21588/alphacool-eisbaer-420-cpu-black?c=21228" TargetMode="External"/><Relationship Id="rId741" Type="http://schemas.openxmlformats.org/officeDocument/2006/relationships/hyperlink" Target="https://www.deepcool.com/index.shtml" TargetMode="External"/><Relationship Id="rId1330" Type="http://schemas.openxmlformats.org/officeDocument/2006/relationships/hyperlink" Target="https://nzxt.com/product/kraken-240-elite" TargetMode="External"/><Relationship Id="rId740" Type="http://schemas.openxmlformats.org/officeDocument/2006/relationships/hyperlink" Target="https://www.deepcool.com/index.shtml" TargetMode="External"/><Relationship Id="rId1331" Type="http://schemas.openxmlformats.org/officeDocument/2006/relationships/hyperlink" Target="https://www.asetek.com/" TargetMode="External"/><Relationship Id="rId1332" Type="http://schemas.openxmlformats.org/officeDocument/2006/relationships/hyperlink" Target="https://www.nzxt.com/" TargetMode="External"/><Relationship Id="rId1333" Type="http://schemas.openxmlformats.org/officeDocument/2006/relationships/hyperlink" Target="https://nzxt.com/product/kraken-240-elite-rgb" TargetMode="External"/><Relationship Id="rId1323" Type="http://schemas.openxmlformats.org/officeDocument/2006/relationships/hyperlink" Target="https://www.nzxt.com/" TargetMode="External"/><Relationship Id="rId1324" Type="http://schemas.openxmlformats.org/officeDocument/2006/relationships/hyperlink" Target="https://nzxt.com/product/kraken-360" TargetMode="External"/><Relationship Id="rId31" Type="http://schemas.openxmlformats.org/officeDocument/2006/relationships/hyperlink" Target="https://www.alphacool.com/shop/aios-sets/cpu-aio/29692/alphacool-core-ocean-t38-aio-280mm" TargetMode="External"/><Relationship Id="rId1325" Type="http://schemas.openxmlformats.org/officeDocument/2006/relationships/hyperlink" Target="https://www.asetek.com/" TargetMode="External"/><Relationship Id="rId30" Type="http://schemas.openxmlformats.org/officeDocument/2006/relationships/hyperlink" Target="https://www.alphacool.com/" TargetMode="External"/><Relationship Id="rId1326" Type="http://schemas.openxmlformats.org/officeDocument/2006/relationships/hyperlink" Target="https://www.nzxt.com/" TargetMode="External"/><Relationship Id="rId33" Type="http://schemas.openxmlformats.org/officeDocument/2006/relationships/hyperlink" Target="https://www.alphacool.com/" TargetMode="External"/><Relationship Id="rId1327" Type="http://schemas.openxmlformats.org/officeDocument/2006/relationships/hyperlink" Target="https://nzxt.com/product/kraken-360-rgb" TargetMode="External"/><Relationship Id="rId32" Type="http://schemas.openxmlformats.org/officeDocument/2006/relationships/hyperlink" Target="https://www.alphacool.com/" TargetMode="External"/><Relationship Id="rId1328" Type="http://schemas.openxmlformats.org/officeDocument/2006/relationships/hyperlink" Target="https://www.asetek.com/" TargetMode="External"/><Relationship Id="rId35" Type="http://schemas.openxmlformats.org/officeDocument/2006/relationships/hyperlink" Target="https://www.alphacool.com/" TargetMode="External"/><Relationship Id="rId1329" Type="http://schemas.openxmlformats.org/officeDocument/2006/relationships/hyperlink" Target="https://www.nzxt.com/" TargetMode="External"/><Relationship Id="rId34" Type="http://schemas.openxmlformats.org/officeDocument/2006/relationships/hyperlink" Target="https://www.alphacool.com/shop/aios-sets/cpu-aio/29691/alphacool-core-ocean-t38-aio-360mm" TargetMode="External"/><Relationship Id="rId739" Type="http://schemas.openxmlformats.org/officeDocument/2006/relationships/hyperlink" Target="https://www.deepcool.com/products/Cooling/cpuliquidcoolers/2021/11413.shtml" TargetMode="External"/><Relationship Id="rId734" Type="http://schemas.openxmlformats.org/officeDocument/2006/relationships/hyperlink" Target="https://www.deepcool.com/index.shtml" TargetMode="External"/><Relationship Id="rId733" Type="http://schemas.openxmlformats.org/officeDocument/2006/relationships/hyperlink" Target="https://www.deepcool.com/index.shtml" TargetMode="External"/><Relationship Id="rId732" Type="http://schemas.openxmlformats.org/officeDocument/2006/relationships/hyperlink" Target="https://www.deepcool.com/index.shtml" TargetMode="External"/><Relationship Id="rId731" Type="http://schemas.openxmlformats.org/officeDocument/2006/relationships/hyperlink" Target="https://uk.deepcool.com/products/Cooling/cpuliquidcoolers/2021/11897.shtml" TargetMode="External"/><Relationship Id="rId738" Type="http://schemas.openxmlformats.org/officeDocument/2006/relationships/hyperlink" Target="https://www.deepcool.com/index.shtml" TargetMode="External"/><Relationship Id="rId737" Type="http://schemas.openxmlformats.org/officeDocument/2006/relationships/hyperlink" Target="https://www.deepcool.com/index.shtml" TargetMode="External"/><Relationship Id="rId736" Type="http://schemas.openxmlformats.org/officeDocument/2006/relationships/hyperlink" Target="https://uk.deepcool.com/products/Cooling/cpuliquidcoolers/2021/14877.shtml" TargetMode="External"/><Relationship Id="rId735" Type="http://schemas.openxmlformats.org/officeDocument/2006/relationships/hyperlink" Target="https://www.deepcool.com/index.shtml" TargetMode="External"/><Relationship Id="rId37" Type="http://schemas.openxmlformats.org/officeDocument/2006/relationships/hyperlink" Target="https://www.alphacool.com/shop/aios-sets/cpu-aio/29693/alphacool-core-ocean-t38-aio-420mm" TargetMode="External"/><Relationship Id="rId36" Type="http://schemas.openxmlformats.org/officeDocument/2006/relationships/hyperlink" Target="https://www.alphacool.com/" TargetMode="External"/><Relationship Id="rId39" Type="http://schemas.openxmlformats.org/officeDocument/2006/relationships/hyperlink" Target="https://www.alphacool.com/" TargetMode="External"/><Relationship Id="rId38" Type="http://schemas.openxmlformats.org/officeDocument/2006/relationships/hyperlink" Target="https://www.alphacool.com/" TargetMode="External"/><Relationship Id="rId730" Type="http://schemas.openxmlformats.org/officeDocument/2006/relationships/hyperlink" Target="https://www.deepcool.com/index.shtml" TargetMode="External"/><Relationship Id="rId1320" Type="http://schemas.openxmlformats.org/officeDocument/2006/relationships/hyperlink" Target="https://www.nzxt.com/" TargetMode="External"/><Relationship Id="rId1321" Type="http://schemas.openxmlformats.org/officeDocument/2006/relationships/hyperlink" Target="https://nzxt.com/product/kraken-280-rgb" TargetMode="External"/><Relationship Id="rId1322" Type="http://schemas.openxmlformats.org/officeDocument/2006/relationships/hyperlink" Target="https://www.asetek.com/" TargetMode="External"/><Relationship Id="rId1356" Type="http://schemas.openxmlformats.org/officeDocument/2006/relationships/hyperlink" Target="https://www.nzxt.com/" TargetMode="External"/><Relationship Id="rId1357" Type="http://schemas.openxmlformats.org/officeDocument/2006/relationships/hyperlink" Target="https://www.nzxt.com/products/kraken-x63" TargetMode="External"/><Relationship Id="rId20" Type="http://schemas.openxmlformats.org/officeDocument/2006/relationships/hyperlink" Target="https://aerocool.io/" TargetMode="External"/><Relationship Id="rId1358" Type="http://schemas.openxmlformats.org/officeDocument/2006/relationships/hyperlink" Target="https://www.asetek.com/" TargetMode="External"/><Relationship Id="rId1359" Type="http://schemas.openxmlformats.org/officeDocument/2006/relationships/hyperlink" Target="https://www.nzxt.com/" TargetMode="External"/><Relationship Id="rId22" Type="http://schemas.openxmlformats.org/officeDocument/2006/relationships/hyperlink" Target="https://aerocool.io/" TargetMode="External"/><Relationship Id="rId21" Type="http://schemas.openxmlformats.org/officeDocument/2006/relationships/hyperlink" Target="https://aerocool.io/product/pulse-l240/" TargetMode="External"/><Relationship Id="rId24" Type="http://schemas.openxmlformats.org/officeDocument/2006/relationships/hyperlink" Target="https://www.alphacool.com/" TargetMode="External"/><Relationship Id="rId23" Type="http://schemas.openxmlformats.org/officeDocument/2006/relationships/hyperlink" Target="https://aerocool.io/product/pulse-l240f/" TargetMode="External"/><Relationship Id="rId767" Type="http://schemas.openxmlformats.org/officeDocument/2006/relationships/hyperlink" Target="https://www.deepcool.com/index.shtml" TargetMode="External"/><Relationship Id="rId766" Type="http://schemas.openxmlformats.org/officeDocument/2006/relationships/hyperlink" Target="https://www.deepcool.com/index.shtml" TargetMode="External"/><Relationship Id="rId765" Type="http://schemas.openxmlformats.org/officeDocument/2006/relationships/hyperlink" Target="https://www.deepcool.com/products/Cooling/cpuliquidcoolers/LE520-240mm-Liquid-CPU-Cooler-1700-AM5/2022/16608.shtml" TargetMode="External"/><Relationship Id="rId764" Type="http://schemas.openxmlformats.org/officeDocument/2006/relationships/hyperlink" Target="https://www.deepcool.com/index.shtml" TargetMode="External"/><Relationship Id="rId769" Type="http://schemas.openxmlformats.org/officeDocument/2006/relationships/hyperlink" Target="https://www.deepcool.com/index.shtml" TargetMode="External"/><Relationship Id="rId768" Type="http://schemas.openxmlformats.org/officeDocument/2006/relationships/hyperlink" Target="https://www.deepcool.com/products/Cooling/cpuliquidcoolers/LE520-WH-240mm-Liquid-CPU-Cooler-1700-AM5/2023/17146.shtml" TargetMode="External"/><Relationship Id="rId26" Type="http://schemas.openxmlformats.org/officeDocument/2006/relationships/hyperlink" Target="https://www.alphacool.com/" TargetMode="External"/><Relationship Id="rId25" Type="http://schemas.openxmlformats.org/officeDocument/2006/relationships/hyperlink" Target="https://www.alphacool.com/shop/aios-sets/cpu-aio/29689/alphacool-core-ocean-t38-aio-120mm" TargetMode="External"/><Relationship Id="rId28" Type="http://schemas.openxmlformats.org/officeDocument/2006/relationships/hyperlink" Target="https://www.alphacool.com/shop/aios-sets/cpu-aio/29690/alphacool-core-ocean-t38-aio-240mm" TargetMode="External"/><Relationship Id="rId1350" Type="http://schemas.openxmlformats.org/officeDocument/2006/relationships/hyperlink" Target="https://www.nzxt.com/" TargetMode="External"/><Relationship Id="rId27" Type="http://schemas.openxmlformats.org/officeDocument/2006/relationships/hyperlink" Target="https://www.alphacool.com/" TargetMode="External"/><Relationship Id="rId1351" Type="http://schemas.openxmlformats.org/officeDocument/2006/relationships/hyperlink" Target="https://www.nzxt.com/products/kraken-x53" TargetMode="External"/><Relationship Id="rId763" Type="http://schemas.openxmlformats.org/officeDocument/2006/relationships/hyperlink" Target="https://www.deepcool.com/index.shtml" TargetMode="External"/><Relationship Id="rId1352" Type="http://schemas.openxmlformats.org/officeDocument/2006/relationships/hyperlink" Target="https://www.asetek.com/" TargetMode="External"/><Relationship Id="rId29" Type="http://schemas.openxmlformats.org/officeDocument/2006/relationships/hyperlink" Target="https://www.alphacool.com/" TargetMode="External"/><Relationship Id="rId762" Type="http://schemas.openxmlformats.org/officeDocument/2006/relationships/hyperlink" Target="https://www.deepcool.com/products/Cooling/cpuliquidcoolers/LE500-Marrs-240mm-Liquid-CPU-Cooler-1700-AM5/2022/15780.shtml" TargetMode="External"/><Relationship Id="rId1353" Type="http://schemas.openxmlformats.org/officeDocument/2006/relationships/hyperlink" Target="https://www.nzxt.com/" TargetMode="External"/><Relationship Id="rId761" Type="http://schemas.openxmlformats.org/officeDocument/2006/relationships/hyperlink" Target="https://www.deepcool.com/index.shtml" TargetMode="External"/><Relationship Id="rId1354" Type="http://schemas.openxmlformats.org/officeDocument/2006/relationships/hyperlink" Target="https://www.nzxt.com/products/kraken-x53-rgb" TargetMode="External"/><Relationship Id="rId760" Type="http://schemas.openxmlformats.org/officeDocument/2006/relationships/hyperlink" Target="https://www.deepcool.com/index.shtml" TargetMode="External"/><Relationship Id="rId1355" Type="http://schemas.openxmlformats.org/officeDocument/2006/relationships/hyperlink" Target="https://www.asetek.com/" TargetMode="External"/><Relationship Id="rId1345" Type="http://schemas.openxmlformats.org/officeDocument/2006/relationships/hyperlink" Target="https://nzxt.com/product/kraken-360-elite-rgb" TargetMode="External"/><Relationship Id="rId1346" Type="http://schemas.openxmlformats.org/officeDocument/2006/relationships/hyperlink" Target="https://www.asetek.com/" TargetMode="External"/><Relationship Id="rId1347" Type="http://schemas.openxmlformats.org/officeDocument/2006/relationships/hyperlink" Target="https://www.nzxt.com/" TargetMode="External"/><Relationship Id="rId1348" Type="http://schemas.openxmlformats.org/officeDocument/2006/relationships/hyperlink" Target="https://www.nzxt.com/products/kraken-m22" TargetMode="External"/><Relationship Id="rId11" Type="http://schemas.openxmlformats.org/officeDocument/2006/relationships/hyperlink" Target="https://aerocool.io/product/mirage-l240/" TargetMode="External"/><Relationship Id="rId1349" Type="http://schemas.openxmlformats.org/officeDocument/2006/relationships/hyperlink" Target="http://www.apalcool.com/index.php?c=category&amp;id=28" TargetMode="External"/><Relationship Id="rId10" Type="http://schemas.openxmlformats.org/officeDocument/2006/relationships/hyperlink" Target="https://aerocool.io/" TargetMode="External"/><Relationship Id="rId13" Type="http://schemas.openxmlformats.org/officeDocument/2006/relationships/hyperlink" Target="https://aerocool.io/product/mirage-l360/" TargetMode="External"/><Relationship Id="rId12" Type="http://schemas.openxmlformats.org/officeDocument/2006/relationships/hyperlink" Target="https://aerocool.io/" TargetMode="External"/><Relationship Id="rId756" Type="http://schemas.openxmlformats.org/officeDocument/2006/relationships/hyperlink" Target="https://www.deepcool.com/products/Cooling/cpuliquidcoolers/LE300-Marrs-120mm-Liquid-CPU-Cooler-1700-AM5/2022/15779.shtml" TargetMode="External"/><Relationship Id="rId755" Type="http://schemas.openxmlformats.org/officeDocument/2006/relationships/hyperlink" Target="https://www.deepcool.com/index.shtml" TargetMode="External"/><Relationship Id="rId754" Type="http://schemas.openxmlformats.org/officeDocument/2006/relationships/hyperlink" Target="https://www.deepcool.com/index.shtml" TargetMode="External"/><Relationship Id="rId753" Type="http://schemas.openxmlformats.org/officeDocument/2006/relationships/hyperlink" Target="https://www.deepcool.com/products/Cooling/cpuliquidcoolers/LE300-120mm-Liquid-CPU-Cooler/2022/15773.shtml" TargetMode="External"/><Relationship Id="rId759" Type="http://schemas.openxmlformats.org/officeDocument/2006/relationships/hyperlink" Target="https://www.deepcool.com/products/Cooling/cpuliquidcoolers/LE500-240mm-Liquid-CPU-Cooler/2022/15778.shtml" TargetMode="External"/><Relationship Id="rId758" Type="http://schemas.openxmlformats.org/officeDocument/2006/relationships/hyperlink" Target="https://www.deepcool.com/index.shtml" TargetMode="External"/><Relationship Id="rId757" Type="http://schemas.openxmlformats.org/officeDocument/2006/relationships/hyperlink" Target="https://www.deepcool.com/index.shtml" TargetMode="External"/><Relationship Id="rId15" Type="http://schemas.openxmlformats.org/officeDocument/2006/relationships/hyperlink" Target="https://aerocool.io/product/p7-l240/" TargetMode="External"/><Relationship Id="rId14" Type="http://schemas.openxmlformats.org/officeDocument/2006/relationships/hyperlink" Target="https://aerocool.io/" TargetMode="External"/><Relationship Id="rId17" Type="http://schemas.openxmlformats.org/officeDocument/2006/relationships/hyperlink" Target="https://aerocool.io/product/pulse-l120/" TargetMode="External"/><Relationship Id="rId16" Type="http://schemas.openxmlformats.org/officeDocument/2006/relationships/hyperlink" Target="https://aerocool.io/" TargetMode="External"/><Relationship Id="rId1340" Type="http://schemas.openxmlformats.org/officeDocument/2006/relationships/hyperlink" Target="https://www.asetek.com/" TargetMode="External"/><Relationship Id="rId19" Type="http://schemas.openxmlformats.org/officeDocument/2006/relationships/hyperlink" Target="https://aerocool.io/product/pulse-l120f/" TargetMode="External"/><Relationship Id="rId752" Type="http://schemas.openxmlformats.org/officeDocument/2006/relationships/hyperlink" Target="https://www.deepcool.com/index.shtml" TargetMode="External"/><Relationship Id="rId1341" Type="http://schemas.openxmlformats.org/officeDocument/2006/relationships/hyperlink" Target="https://www.nzxt.com/" TargetMode="External"/><Relationship Id="rId18" Type="http://schemas.openxmlformats.org/officeDocument/2006/relationships/hyperlink" Target="https://aerocool.io/" TargetMode="External"/><Relationship Id="rId751" Type="http://schemas.openxmlformats.org/officeDocument/2006/relationships/hyperlink" Target="https://www.deepcool.com/index.shtml" TargetMode="External"/><Relationship Id="rId1342" Type="http://schemas.openxmlformats.org/officeDocument/2006/relationships/hyperlink" Target="https://nzxt.com/product/kraken-360-elite" TargetMode="External"/><Relationship Id="rId750" Type="http://schemas.openxmlformats.org/officeDocument/2006/relationships/hyperlink" Target="https://www.deepcool.com/products/Cooling/cpuliquidcoolers/2021/11881.shtml" TargetMode="External"/><Relationship Id="rId1343" Type="http://schemas.openxmlformats.org/officeDocument/2006/relationships/hyperlink" Target="https://www.asetek.com/" TargetMode="External"/><Relationship Id="rId1344" Type="http://schemas.openxmlformats.org/officeDocument/2006/relationships/hyperlink" Target="https://www.nzxt.com/" TargetMode="External"/><Relationship Id="rId84" Type="http://schemas.openxmlformats.org/officeDocument/2006/relationships/hyperlink" Target="https://www.alphacool.com/shop/aios-sets/cpu-aio/29458/alphacool-eisbaer-lt360-aurora-hpe-cpu-aio?c=21228" TargetMode="External"/><Relationship Id="rId1774" Type="http://schemas.openxmlformats.org/officeDocument/2006/relationships/hyperlink" Target="https://www.thermaltake.com/" TargetMode="External"/><Relationship Id="rId83" Type="http://schemas.openxmlformats.org/officeDocument/2006/relationships/hyperlink" Target="https://www.alphacool.com/" TargetMode="External"/><Relationship Id="rId1775" Type="http://schemas.openxmlformats.org/officeDocument/2006/relationships/hyperlink" Target="https://www.thermaltake.com/water-3-0-240-argb-sync.html" TargetMode="External"/><Relationship Id="rId86" Type="http://schemas.openxmlformats.org/officeDocument/2006/relationships/hyperlink" Target="https://www.alphacool.com/" TargetMode="External"/><Relationship Id="rId1776" Type="http://schemas.openxmlformats.org/officeDocument/2006/relationships/hyperlink" Target="https://www.asetek.com/" TargetMode="External"/><Relationship Id="rId85" Type="http://schemas.openxmlformats.org/officeDocument/2006/relationships/hyperlink" Target="https://www.alphacool.com/" TargetMode="External"/><Relationship Id="rId1777" Type="http://schemas.openxmlformats.org/officeDocument/2006/relationships/hyperlink" Target="https://www.thermaltake.com/" TargetMode="External"/><Relationship Id="rId88" Type="http://schemas.openxmlformats.org/officeDocument/2006/relationships/hyperlink" Target="https://www.alphacool.com/" TargetMode="External"/><Relationship Id="rId1778" Type="http://schemas.openxmlformats.org/officeDocument/2006/relationships/hyperlink" Target="https://www.thermaltake.com/water-3-0-360-argb-sync.html" TargetMode="External"/><Relationship Id="rId87" Type="http://schemas.openxmlformats.org/officeDocument/2006/relationships/hyperlink" Target="https://www.alphacool.com/shop/aios-sets/cpu-aio/27125/alphacool-eisbaer-pro-aurora-240-cpu-aio?c=21228" TargetMode="External"/><Relationship Id="rId1779" Type="http://schemas.openxmlformats.org/officeDocument/2006/relationships/hyperlink" Target="https://www.asetek.com/" TargetMode="External"/><Relationship Id="rId89" Type="http://schemas.openxmlformats.org/officeDocument/2006/relationships/hyperlink" Target="https://www.alphacool.com/" TargetMode="External"/><Relationship Id="rId709" Type="http://schemas.openxmlformats.org/officeDocument/2006/relationships/hyperlink" Target="https://www.deepcool.com/index.shtml" TargetMode="External"/><Relationship Id="rId708" Type="http://schemas.openxmlformats.org/officeDocument/2006/relationships/hyperlink" Target="https://www.deepcool.com/index.shtml" TargetMode="External"/><Relationship Id="rId707" Type="http://schemas.openxmlformats.org/officeDocument/2006/relationships/hyperlink" Target="https://www.gamerstorm.com/product/CPULIQUIDCOOLER/2020-03/1286_12962.shtml" TargetMode="External"/><Relationship Id="rId706" Type="http://schemas.openxmlformats.org/officeDocument/2006/relationships/hyperlink" Target="https://www.deepcool.com/index.shtml" TargetMode="External"/><Relationship Id="rId80" Type="http://schemas.openxmlformats.org/officeDocument/2006/relationships/hyperlink" Target="https://www.alphacool.com/" TargetMode="External"/><Relationship Id="rId82" Type="http://schemas.openxmlformats.org/officeDocument/2006/relationships/hyperlink" Target="https://www.alphacool.com/" TargetMode="External"/><Relationship Id="rId81" Type="http://schemas.openxmlformats.org/officeDocument/2006/relationships/hyperlink" Target="https://www.alphacool.com/shop/aios-sets/cpu-aio/22107/alphacool-eisbaer-lt360-cpu-black?c=21228" TargetMode="External"/><Relationship Id="rId701" Type="http://schemas.openxmlformats.org/officeDocument/2006/relationships/hyperlink" Target="https://us.deepcool.com/products/Cooling/cpuliquidcoolers/Castle-240R-Liquid-CPU-Cooler/2021/8597.shtml" TargetMode="External"/><Relationship Id="rId700" Type="http://schemas.openxmlformats.org/officeDocument/2006/relationships/hyperlink" Target="https://www.deepcool.com/index.shtml" TargetMode="External"/><Relationship Id="rId705" Type="http://schemas.openxmlformats.org/officeDocument/2006/relationships/hyperlink" Target="https://www.deepcool.com/index.shtml" TargetMode="External"/><Relationship Id="rId704" Type="http://schemas.openxmlformats.org/officeDocument/2006/relationships/hyperlink" Target="https://www.deepcool.com/products/Cooling/cpuliquidcoolers/2021/11397.shtml" TargetMode="External"/><Relationship Id="rId703" Type="http://schemas.openxmlformats.org/officeDocument/2006/relationships/hyperlink" Target="https://www.deepcool.com/index.shtml" TargetMode="External"/><Relationship Id="rId702" Type="http://schemas.openxmlformats.org/officeDocument/2006/relationships/hyperlink" Target="https://www.deepcool.com/index.shtml" TargetMode="External"/><Relationship Id="rId1770" Type="http://schemas.openxmlformats.org/officeDocument/2006/relationships/hyperlink" Target="https://www.asetek.com/" TargetMode="External"/><Relationship Id="rId1771" Type="http://schemas.openxmlformats.org/officeDocument/2006/relationships/hyperlink" Target="https://www.thermaltake.com/" TargetMode="External"/><Relationship Id="rId1772" Type="http://schemas.openxmlformats.org/officeDocument/2006/relationships/hyperlink" Target="https://www.thermaltake.com/water-3-0-performer-c-lnc.html" TargetMode="External"/><Relationship Id="rId1773" Type="http://schemas.openxmlformats.org/officeDocument/2006/relationships/hyperlink" Target="https://www.asetek.com/" TargetMode="External"/><Relationship Id="rId73" Type="http://schemas.openxmlformats.org/officeDocument/2006/relationships/hyperlink" Target="https://shop.alphacool.com/en/shop/cpu-gpu-aios/cpu-aio/11761-alphacool-eisbaer-lt92-cpu-black-without-fan?c=1452" TargetMode="External"/><Relationship Id="rId1763" Type="http://schemas.openxmlformats.org/officeDocument/2006/relationships/hyperlink" Target="https://www.thermaltake.com/toughliquid-360-argb-sync-all-in-one-liquid-cooler.html" TargetMode="External"/><Relationship Id="rId72" Type="http://schemas.openxmlformats.org/officeDocument/2006/relationships/hyperlink" Target="https://www.alphacool.com/" TargetMode="External"/><Relationship Id="rId1764" Type="http://schemas.openxmlformats.org/officeDocument/2006/relationships/hyperlink" Target="https://www.thermaltake.com/" TargetMode="External"/><Relationship Id="rId75" Type="http://schemas.openxmlformats.org/officeDocument/2006/relationships/hyperlink" Target="https://www.alphacool.com/" TargetMode="External"/><Relationship Id="rId1765" Type="http://schemas.openxmlformats.org/officeDocument/2006/relationships/hyperlink" Target="https://www.thermaltake.com/toughliquid-ultra-240-all-in-one-liquid-cooler.html" TargetMode="External"/><Relationship Id="rId74" Type="http://schemas.openxmlformats.org/officeDocument/2006/relationships/hyperlink" Target="https://www.alphacool.com/" TargetMode="External"/><Relationship Id="rId1766" Type="http://schemas.openxmlformats.org/officeDocument/2006/relationships/hyperlink" Target="https://www.thermaltake.com/" TargetMode="External"/><Relationship Id="rId77" Type="http://schemas.openxmlformats.org/officeDocument/2006/relationships/hyperlink" Target="https://www.alphacool.com/" TargetMode="External"/><Relationship Id="rId1767" Type="http://schemas.openxmlformats.org/officeDocument/2006/relationships/hyperlink" Target="https://www.thermaltake.com/toughliquid-ultra-360-all-in-one-liquid-cooler.html" TargetMode="External"/><Relationship Id="rId76" Type="http://schemas.openxmlformats.org/officeDocument/2006/relationships/hyperlink" Target="https://www.alphacool.com/" TargetMode="External"/><Relationship Id="rId1768" Type="http://schemas.openxmlformats.org/officeDocument/2006/relationships/hyperlink" Target="https://www.thermaltake.com/" TargetMode="External"/><Relationship Id="rId79" Type="http://schemas.openxmlformats.org/officeDocument/2006/relationships/hyperlink" Target="https://www.alphacool.com/" TargetMode="External"/><Relationship Id="rId1769" Type="http://schemas.openxmlformats.org/officeDocument/2006/relationships/hyperlink" Target="https://www.thermaltake.com/water-3-0-120-argb-sync.html" TargetMode="External"/><Relationship Id="rId78" Type="http://schemas.openxmlformats.org/officeDocument/2006/relationships/hyperlink" Target="https://www.alphacool.com/detail/index/sArticle/22106" TargetMode="External"/><Relationship Id="rId71" Type="http://schemas.openxmlformats.org/officeDocument/2006/relationships/hyperlink" Target="https://www.alphacool.com/" TargetMode="External"/><Relationship Id="rId70" Type="http://schemas.openxmlformats.org/officeDocument/2006/relationships/hyperlink" Target="https://www.alphacool.com/shop/aios-sets/cpu-aio/24034/alphacool-eisbaer-aurora-lt360-cpu-aio-digital-rgb?c=21228" TargetMode="External"/><Relationship Id="rId1760" Type="http://schemas.openxmlformats.org/officeDocument/2006/relationships/hyperlink" Target="https://www.thermaltake.com/" TargetMode="External"/><Relationship Id="rId1761" Type="http://schemas.openxmlformats.org/officeDocument/2006/relationships/hyperlink" Target="https://www.thermaltake.com/toughliquid-280-argb-sync-all-in-one-liquid-cooler.html" TargetMode="External"/><Relationship Id="rId1762" Type="http://schemas.openxmlformats.org/officeDocument/2006/relationships/hyperlink" Target="https://www.thermaltake.com/" TargetMode="External"/><Relationship Id="rId62" Type="http://schemas.openxmlformats.org/officeDocument/2006/relationships/hyperlink" Target="https://www.alphacool.com/" TargetMode="External"/><Relationship Id="rId1312" Type="http://schemas.openxmlformats.org/officeDocument/2006/relationships/hyperlink" Target="https://nzxt.com/product/kraken-240" TargetMode="External"/><Relationship Id="rId1796" Type="http://schemas.openxmlformats.org/officeDocument/2006/relationships/hyperlink" Target="https://www.thermaltake.com/water-3-0-riing-rgb-360.html" TargetMode="External"/><Relationship Id="rId61" Type="http://schemas.openxmlformats.org/officeDocument/2006/relationships/hyperlink" Target="https://www.alphacool.com/shop/aios-sets/cpu-aio/24620/alphacool-eisbaer-aurora-420-cpu-digital-rgb?c=21228" TargetMode="External"/><Relationship Id="rId1313" Type="http://schemas.openxmlformats.org/officeDocument/2006/relationships/hyperlink" Target="https://www.asetek.com/" TargetMode="External"/><Relationship Id="rId1797" Type="http://schemas.openxmlformats.org/officeDocument/2006/relationships/hyperlink" Target="https://www.asetek.com/" TargetMode="External"/><Relationship Id="rId64" Type="http://schemas.openxmlformats.org/officeDocument/2006/relationships/hyperlink" Target="https://www.alphacool.com/shop/aios-sets/cpu-aio/29461/alphacool-eisbaer-aurora-hpe-edition-360-cpu-aio?c=21228" TargetMode="External"/><Relationship Id="rId1314" Type="http://schemas.openxmlformats.org/officeDocument/2006/relationships/hyperlink" Target="https://www.nzxt.com/" TargetMode="External"/><Relationship Id="rId1798" Type="http://schemas.openxmlformats.org/officeDocument/2006/relationships/hyperlink" Target="https://www.thermaltake.com/" TargetMode="External"/><Relationship Id="rId63" Type="http://schemas.openxmlformats.org/officeDocument/2006/relationships/hyperlink" Target="https://www.alphacool.com/" TargetMode="External"/><Relationship Id="rId1315" Type="http://schemas.openxmlformats.org/officeDocument/2006/relationships/hyperlink" Target="https://nzxt.com/product/kraken-240-rgb" TargetMode="External"/><Relationship Id="rId1799" Type="http://schemas.openxmlformats.org/officeDocument/2006/relationships/hyperlink" Target="https://www.thermaltake.com/water-3-0-ultimate.html" TargetMode="External"/><Relationship Id="rId66" Type="http://schemas.openxmlformats.org/officeDocument/2006/relationships/hyperlink" Target="https://www.alphacool.com/" TargetMode="External"/><Relationship Id="rId1316" Type="http://schemas.openxmlformats.org/officeDocument/2006/relationships/hyperlink" Target="https://www.asetek.com/" TargetMode="External"/><Relationship Id="rId65" Type="http://schemas.openxmlformats.org/officeDocument/2006/relationships/hyperlink" Target="https://www.alphacool.com/" TargetMode="External"/><Relationship Id="rId1317" Type="http://schemas.openxmlformats.org/officeDocument/2006/relationships/hyperlink" Target="https://www.nzxt.com/" TargetMode="External"/><Relationship Id="rId68" Type="http://schemas.openxmlformats.org/officeDocument/2006/relationships/hyperlink" Target="https://www.alphacool.com/" TargetMode="External"/><Relationship Id="rId1318" Type="http://schemas.openxmlformats.org/officeDocument/2006/relationships/hyperlink" Target="https://nzxt.com/product/kraken-280" TargetMode="External"/><Relationship Id="rId67" Type="http://schemas.openxmlformats.org/officeDocument/2006/relationships/hyperlink" Target="https://www.alphacool.com/shop/aios-sets/cpu-aio/24033/alphacool-eisbaer-aurora-lt240-cpu-aio-digital-rgb?c=21228" TargetMode="External"/><Relationship Id="rId1319" Type="http://schemas.openxmlformats.org/officeDocument/2006/relationships/hyperlink" Target="https://www.asetek.com/" TargetMode="External"/><Relationship Id="rId729" Type="http://schemas.openxmlformats.org/officeDocument/2006/relationships/hyperlink" Target="https://www.deepcool.com/index.shtml" TargetMode="External"/><Relationship Id="rId728" Type="http://schemas.openxmlformats.org/officeDocument/2006/relationships/hyperlink" Target="https://www.deepcool.com/products/Cooling/cpuliquidcoolers/2021/11882.shtml" TargetMode="External"/><Relationship Id="rId60" Type="http://schemas.openxmlformats.org/officeDocument/2006/relationships/hyperlink" Target="https://www.alphacool.com/" TargetMode="External"/><Relationship Id="rId723" Type="http://schemas.openxmlformats.org/officeDocument/2006/relationships/hyperlink" Target="https://www.deepcool.com/index.shtml" TargetMode="External"/><Relationship Id="rId722" Type="http://schemas.openxmlformats.org/officeDocument/2006/relationships/hyperlink" Target="https://us.deepcool.com/products/Cooling/cpuliquidcoolers/Castle-360EX-White-Liquid-CPU-Cooler/2021/8602.shtml" TargetMode="External"/><Relationship Id="rId721" Type="http://schemas.openxmlformats.org/officeDocument/2006/relationships/hyperlink" Target="https://www.deepcool.com/index.shtml" TargetMode="External"/><Relationship Id="rId720" Type="http://schemas.openxmlformats.org/officeDocument/2006/relationships/hyperlink" Target="https://www.deepcool.com/index.shtml" TargetMode="External"/><Relationship Id="rId727" Type="http://schemas.openxmlformats.org/officeDocument/2006/relationships/hyperlink" Target="https://www.deepcool.com/index.shtml" TargetMode="External"/><Relationship Id="rId726" Type="http://schemas.openxmlformats.org/officeDocument/2006/relationships/hyperlink" Target="https://www.deepcool.com/index.shtml" TargetMode="External"/><Relationship Id="rId725" Type="http://schemas.openxmlformats.org/officeDocument/2006/relationships/hyperlink" Target="https://www.deepcool.com/products/Cooling/cpuliquidcoolers/2021/11398.shtml" TargetMode="External"/><Relationship Id="rId724" Type="http://schemas.openxmlformats.org/officeDocument/2006/relationships/hyperlink" Target="https://www.deepcool.com/index.shtml" TargetMode="External"/><Relationship Id="rId69" Type="http://schemas.openxmlformats.org/officeDocument/2006/relationships/hyperlink" Target="https://www.alphacool.com/" TargetMode="External"/><Relationship Id="rId1790" Type="http://schemas.openxmlformats.org/officeDocument/2006/relationships/hyperlink" Target="https://www.thermaltake.com/water-3-0-riing-rgb-240.html" TargetMode="External"/><Relationship Id="rId1791" Type="http://schemas.openxmlformats.org/officeDocument/2006/relationships/hyperlink" Target="https://www.asetek.com/" TargetMode="External"/><Relationship Id="rId1792" Type="http://schemas.openxmlformats.org/officeDocument/2006/relationships/hyperlink" Target="https://www.thermaltake.com/" TargetMode="External"/><Relationship Id="rId1793" Type="http://schemas.openxmlformats.org/officeDocument/2006/relationships/hyperlink" Target="https://www.thermaltake.com/water-3-0-riing-rgb-280.html" TargetMode="External"/><Relationship Id="rId1310" Type="http://schemas.openxmlformats.org/officeDocument/2006/relationships/hyperlink" Target="http://www.apalcool.com/index.php?c=category&amp;id=28" TargetMode="External"/><Relationship Id="rId1794" Type="http://schemas.openxmlformats.org/officeDocument/2006/relationships/hyperlink" Target="https://www.asetek.com/" TargetMode="External"/><Relationship Id="rId1311" Type="http://schemas.openxmlformats.org/officeDocument/2006/relationships/hyperlink" Target="https://www.nzxt.com/" TargetMode="External"/><Relationship Id="rId1795" Type="http://schemas.openxmlformats.org/officeDocument/2006/relationships/hyperlink" Target="https://www.thermaltake.com/" TargetMode="External"/><Relationship Id="rId51" Type="http://schemas.openxmlformats.org/officeDocument/2006/relationships/hyperlink" Target="https://www.alphacool.com/" TargetMode="External"/><Relationship Id="rId1301" Type="http://schemas.openxmlformats.org/officeDocument/2006/relationships/hyperlink" Target="https://www.asetek.com/" TargetMode="External"/><Relationship Id="rId1785" Type="http://schemas.openxmlformats.org/officeDocument/2006/relationships/hyperlink" Target="https://www.asetek.com/" TargetMode="External"/><Relationship Id="rId50" Type="http://schemas.openxmlformats.org/officeDocument/2006/relationships/hyperlink" Target="https://www.alphacool.com/" TargetMode="External"/><Relationship Id="rId1302" Type="http://schemas.openxmlformats.org/officeDocument/2006/relationships/hyperlink" Target="https://www.msi.com/Liquid-Cooling/MPG-CORELIQUID-K240-V2-" TargetMode="External"/><Relationship Id="rId1786" Type="http://schemas.openxmlformats.org/officeDocument/2006/relationships/hyperlink" Target="https://www.thermaltake.com/" TargetMode="External"/><Relationship Id="rId53" Type="http://schemas.openxmlformats.org/officeDocument/2006/relationships/hyperlink" Target="https://www.alphacool.com/" TargetMode="External"/><Relationship Id="rId1303" Type="http://schemas.openxmlformats.org/officeDocument/2006/relationships/hyperlink" Target="https://www.asetek.com/" TargetMode="External"/><Relationship Id="rId1787" Type="http://schemas.openxmlformats.org/officeDocument/2006/relationships/hyperlink" Target="https://www.thermaltake.com/water-3-0-riing-red-280.html" TargetMode="External"/><Relationship Id="rId52" Type="http://schemas.openxmlformats.org/officeDocument/2006/relationships/hyperlink" Target="https://www.alphacool.com/shop/aios-sets/cpu-aio/24617/alphacool-eisbaer-aurora-240-cpu-digital-rgb?c=21228" TargetMode="External"/><Relationship Id="rId1304" Type="http://schemas.openxmlformats.org/officeDocument/2006/relationships/hyperlink" Target="https://www.msi.com/Liquid-Cooling/MPG-CORELIQUID-K360" TargetMode="External"/><Relationship Id="rId1788" Type="http://schemas.openxmlformats.org/officeDocument/2006/relationships/hyperlink" Target="https://www.asetek.com/" TargetMode="External"/><Relationship Id="rId55" Type="http://schemas.openxmlformats.org/officeDocument/2006/relationships/hyperlink" Target="https://www.alphacool.com/shop/aios-sets/cpu-aio/24618/alphacool-eisbaer-aurora-280-cpu-digital-rgb?c=21228" TargetMode="External"/><Relationship Id="rId1305" Type="http://schemas.openxmlformats.org/officeDocument/2006/relationships/hyperlink" Target="https://www.asetek.com/" TargetMode="External"/><Relationship Id="rId1789" Type="http://schemas.openxmlformats.org/officeDocument/2006/relationships/hyperlink" Target="https://www.thermaltake.com/" TargetMode="External"/><Relationship Id="rId54" Type="http://schemas.openxmlformats.org/officeDocument/2006/relationships/hyperlink" Target="https://www.alphacool.com/" TargetMode="External"/><Relationship Id="rId1306" Type="http://schemas.openxmlformats.org/officeDocument/2006/relationships/hyperlink" Target="https://www.msi.com/Liquid-Cooling/MPG-CORELIQUID-K360-V2" TargetMode="External"/><Relationship Id="rId57" Type="http://schemas.openxmlformats.org/officeDocument/2006/relationships/hyperlink" Target="https://www.alphacool.com/" TargetMode="External"/><Relationship Id="rId1307" Type="http://schemas.openxmlformats.org/officeDocument/2006/relationships/hyperlink" Target="https://www.asetek.com/" TargetMode="External"/><Relationship Id="rId56" Type="http://schemas.openxmlformats.org/officeDocument/2006/relationships/hyperlink" Target="https://www.alphacool.com/" TargetMode="External"/><Relationship Id="rId1308" Type="http://schemas.openxmlformats.org/officeDocument/2006/relationships/hyperlink" Target="https://www.nzxt.com/" TargetMode="External"/><Relationship Id="rId1309" Type="http://schemas.openxmlformats.org/officeDocument/2006/relationships/hyperlink" Target="https://nzxt.com/product/kraken-120" TargetMode="External"/><Relationship Id="rId719" Type="http://schemas.openxmlformats.org/officeDocument/2006/relationships/hyperlink" Target="https://us.deepcool.com/products/Cooling/cpuliquidcoolers//2021/8603.shtml" TargetMode="External"/><Relationship Id="rId718" Type="http://schemas.openxmlformats.org/officeDocument/2006/relationships/hyperlink" Target="https://www.deepcool.com/index.shtml" TargetMode="External"/><Relationship Id="rId717" Type="http://schemas.openxmlformats.org/officeDocument/2006/relationships/hyperlink" Target="https://www.deepcool.com/index.shtml" TargetMode="External"/><Relationship Id="rId712" Type="http://schemas.openxmlformats.org/officeDocument/2006/relationships/hyperlink" Target="https://www.deepcool.com/index.shtml" TargetMode="External"/><Relationship Id="rId711" Type="http://schemas.openxmlformats.org/officeDocument/2006/relationships/hyperlink" Target="https://www.deepcool.com/index.shtml" TargetMode="External"/><Relationship Id="rId710" Type="http://schemas.openxmlformats.org/officeDocument/2006/relationships/hyperlink" Target="https://www.deepcool.com/products/Cooling/cpuliquidcoolers/Castle-360EX-Liquid-CPU-Cooler/2021/121.shtml" TargetMode="External"/><Relationship Id="rId716" Type="http://schemas.openxmlformats.org/officeDocument/2006/relationships/hyperlink" Target="https://us.deepcool.com/products/Cooling/cpuliquidcoolers/2021/11974.shtml" TargetMode="External"/><Relationship Id="rId715" Type="http://schemas.openxmlformats.org/officeDocument/2006/relationships/hyperlink" Target="https://www.deepcool.com/index.shtml" TargetMode="External"/><Relationship Id="rId714" Type="http://schemas.openxmlformats.org/officeDocument/2006/relationships/hyperlink" Target="https://www.deepcool.com/index.shtml" TargetMode="External"/><Relationship Id="rId713" Type="http://schemas.openxmlformats.org/officeDocument/2006/relationships/hyperlink" Target="https://us.deepcool.com/products/Cooling/cpuliquidcoolers/2021/11969.shtml" TargetMode="External"/><Relationship Id="rId59" Type="http://schemas.openxmlformats.org/officeDocument/2006/relationships/hyperlink" Target="https://www.alphacool.com/" TargetMode="External"/><Relationship Id="rId58" Type="http://schemas.openxmlformats.org/officeDocument/2006/relationships/hyperlink" Target="https://www.alphacool.com/shop/aios-sets/cpu-aio/24619/alphacool-eisbaer-aurora-360-cpu-digital-rgb?c=21228" TargetMode="External"/><Relationship Id="rId1780" Type="http://schemas.openxmlformats.org/officeDocument/2006/relationships/hyperlink" Target="https://www.thermaltake.com/" TargetMode="External"/><Relationship Id="rId1781" Type="http://schemas.openxmlformats.org/officeDocument/2006/relationships/hyperlink" Target="https://www.thermaltake.com/water-3-0-extreme-s.html" TargetMode="External"/><Relationship Id="rId1782" Type="http://schemas.openxmlformats.org/officeDocument/2006/relationships/hyperlink" Target="https://www.asetek.com/" TargetMode="External"/><Relationship Id="rId1783" Type="http://schemas.openxmlformats.org/officeDocument/2006/relationships/hyperlink" Target="https://www.thermaltake.com/" TargetMode="External"/><Relationship Id="rId1300" Type="http://schemas.openxmlformats.org/officeDocument/2006/relationships/hyperlink" Target="https://www.msi.com/Liquid-Cooling/MPG-CORELIQUID-K240" TargetMode="External"/><Relationship Id="rId1784" Type="http://schemas.openxmlformats.org/officeDocument/2006/relationships/hyperlink" Target="https://www.thermaltake.com/water-3-0-riing-red-140.html" TargetMode="External"/><Relationship Id="rId349" Type="http://schemas.openxmlformats.org/officeDocument/2006/relationships/hyperlink" Target="https://bequiet.com/" TargetMode="External"/><Relationship Id="rId348" Type="http://schemas.openxmlformats.org/officeDocument/2006/relationships/hyperlink" Target="https://www.bequiet.com/en/watercooler/4397" TargetMode="External"/><Relationship Id="rId347" Type="http://schemas.openxmlformats.org/officeDocument/2006/relationships/hyperlink" Target="https://bequiet.com/" TargetMode="External"/><Relationship Id="rId346" Type="http://schemas.openxmlformats.org/officeDocument/2006/relationships/hyperlink" Target="https://www.bequiet.com/en/watercooler/4398" TargetMode="External"/><Relationship Id="rId341" Type="http://schemas.openxmlformats.org/officeDocument/2006/relationships/hyperlink" Target="https://bequiet.com/" TargetMode="External"/><Relationship Id="rId340" Type="http://schemas.openxmlformats.org/officeDocument/2006/relationships/hyperlink" Target="https://www.bequiet.com/en/watercooler/1959" TargetMode="External"/><Relationship Id="rId345" Type="http://schemas.openxmlformats.org/officeDocument/2006/relationships/hyperlink" Target="https://bequiet.com/" TargetMode="External"/><Relationship Id="rId344" Type="http://schemas.openxmlformats.org/officeDocument/2006/relationships/hyperlink" Target="https://www.bequiet.com/en/watercooler/4399" TargetMode="External"/><Relationship Id="rId343" Type="http://schemas.openxmlformats.org/officeDocument/2006/relationships/hyperlink" Target="https://bequiet.com/" TargetMode="External"/><Relationship Id="rId342" Type="http://schemas.openxmlformats.org/officeDocument/2006/relationships/hyperlink" Target="https://www.bequiet.com/en/watercooler/4400" TargetMode="External"/><Relationship Id="rId338" Type="http://schemas.openxmlformats.org/officeDocument/2006/relationships/hyperlink" Target="https://www.bequiet.com/en/watercooler/1960" TargetMode="External"/><Relationship Id="rId337" Type="http://schemas.openxmlformats.org/officeDocument/2006/relationships/hyperlink" Target="https://bequiet.com/" TargetMode="External"/><Relationship Id="rId336" Type="http://schemas.openxmlformats.org/officeDocument/2006/relationships/hyperlink" Target="https://www.bequiet.com/en/watercooler/1961" TargetMode="External"/><Relationship Id="rId335" Type="http://schemas.openxmlformats.org/officeDocument/2006/relationships/hyperlink" Target="https://bequiet.com/" TargetMode="External"/><Relationship Id="rId339" Type="http://schemas.openxmlformats.org/officeDocument/2006/relationships/hyperlink" Target="https://bequiet.com/" TargetMode="External"/><Relationship Id="rId330" Type="http://schemas.openxmlformats.org/officeDocument/2006/relationships/hyperlink" Target="https://www.asetek.com/" TargetMode="External"/><Relationship Id="rId334" Type="http://schemas.openxmlformats.org/officeDocument/2006/relationships/hyperlink" Target="https://www.bequiet.com/en/watercooler/1962" TargetMode="External"/><Relationship Id="rId333" Type="http://schemas.openxmlformats.org/officeDocument/2006/relationships/hyperlink" Target="https://bequiet.com/" TargetMode="External"/><Relationship Id="rId332" Type="http://schemas.openxmlformats.org/officeDocument/2006/relationships/hyperlink" Target="http://www.barrowint.com/product/qtlt/CPU_integrated_water_cooling_radiator/1512.html" TargetMode="External"/><Relationship Id="rId331" Type="http://schemas.openxmlformats.org/officeDocument/2006/relationships/hyperlink" Target="http://www.barrowint.com/" TargetMode="External"/><Relationship Id="rId370" Type="http://schemas.openxmlformats.org/officeDocument/2006/relationships/hyperlink" Target="https://www.coolermaster.com/" TargetMode="External"/><Relationship Id="rId369" Type="http://schemas.openxmlformats.org/officeDocument/2006/relationships/hyperlink" Target="https://www.coolermaster.com/" TargetMode="External"/><Relationship Id="rId368" Type="http://schemas.openxmlformats.org/officeDocument/2006/relationships/hyperlink" Target="https://www.coolermaster.com/catalog/coolers/cpu-liquid-coolers/masterliquid-240" TargetMode="External"/><Relationship Id="rId363" Type="http://schemas.openxmlformats.org/officeDocument/2006/relationships/hyperlink" Target="https://www.bequiet.com/en/watercooler/2260" TargetMode="External"/><Relationship Id="rId362" Type="http://schemas.openxmlformats.org/officeDocument/2006/relationships/hyperlink" Target="https://bequiet.com/" TargetMode="External"/><Relationship Id="rId361" Type="http://schemas.openxmlformats.org/officeDocument/2006/relationships/hyperlink" Target="https://www.bequiet.com/en/watercooler/2261" TargetMode="External"/><Relationship Id="rId360" Type="http://schemas.openxmlformats.org/officeDocument/2006/relationships/hyperlink" Target="https://bequiet.com/" TargetMode="External"/><Relationship Id="rId367" Type="http://schemas.openxmlformats.org/officeDocument/2006/relationships/hyperlink" Target="https://www.coolermaster.com/" TargetMode="External"/><Relationship Id="rId366" Type="http://schemas.openxmlformats.org/officeDocument/2006/relationships/hyperlink" Target="https://www.coolermaster.com/" TargetMode="External"/><Relationship Id="rId365" Type="http://schemas.openxmlformats.org/officeDocument/2006/relationships/hyperlink" Target="https://www.coolermaster.com/catalog/coolers/cpu-liquid-coolers/masterliquid-120/" TargetMode="External"/><Relationship Id="rId364" Type="http://schemas.openxmlformats.org/officeDocument/2006/relationships/hyperlink" Target="https://www.coolermaster.com/" TargetMode="External"/><Relationship Id="rId95" Type="http://schemas.openxmlformats.org/officeDocument/2006/relationships/hyperlink" Target="https://www.alphacool.com/" TargetMode="External"/><Relationship Id="rId94" Type="http://schemas.openxmlformats.org/officeDocument/2006/relationships/hyperlink" Target="https://www.alphacool.com/" TargetMode="External"/><Relationship Id="rId97" Type="http://schemas.openxmlformats.org/officeDocument/2006/relationships/hyperlink" Target="https://www.alphacool.com/" TargetMode="External"/><Relationship Id="rId96" Type="http://schemas.openxmlformats.org/officeDocument/2006/relationships/hyperlink" Target="https://www.alphacool.com/shop/aios-sets/cpu-aio/27127/alphacool-eisbaer-pro-aurora-420-cpu-aio?c=21228" TargetMode="External"/><Relationship Id="rId99" Type="http://schemas.openxmlformats.org/officeDocument/2006/relationships/hyperlink" Target="https://www.alphacool.com/detail/index/sArticle/29844/sCategory/21228" TargetMode="External"/><Relationship Id="rId98" Type="http://schemas.openxmlformats.org/officeDocument/2006/relationships/hyperlink" Target="https://www.alphacool.com/" TargetMode="External"/><Relationship Id="rId91" Type="http://schemas.openxmlformats.org/officeDocument/2006/relationships/hyperlink" Target="https://www.alphacool.com/" TargetMode="External"/><Relationship Id="rId90" Type="http://schemas.openxmlformats.org/officeDocument/2006/relationships/hyperlink" Target="https://www.alphacool.com/shop/aios-sets/cpu-aio/27126/alphacool-eisbaer-pro-aurora-280-cpu-aio?c=21228" TargetMode="External"/><Relationship Id="rId93" Type="http://schemas.openxmlformats.org/officeDocument/2006/relationships/hyperlink" Target="https://www.alphacool.com/shop/aios-sets/cpu-aio/27124/alphacool-eisbaer-pro-aurora-360-cpu-aio?c=21228" TargetMode="External"/><Relationship Id="rId92" Type="http://schemas.openxmlformats.org/officeDocument/2006/relationships/hyperlink" Target="https://www.alphacool.com/" TargetMode="External"/><Relationship Id="rId359" Type="http://schemas.openxmlformats.org/officeDocument/2006/relationships/hyperlink" Target="https://www.bequiet.com/en/watercooler/2262" TargetMode="External"/><Relationship Id="rId358" Type="http://schemas.openxmlformats.org/officeDocument/2006/relationships/hyperlink" Target="https://bequiet.com/" TargetMode="External"/><Relationship Id="rId357" Type="http://schemas.openxmlformats.org/officeDocument/2006/relationships/hyperlink" Target="https://www.bequiet.com/en/watercooler/2263" TargetMode="External"/><Relationship Id="rId352" Type="http://schemas.openxmlformats.org/officeDocument/2006/relationships/hyperlink" Target="https://bequiet.com/" TargetMode="External"/><Relationship Id="rId351" Type="http://schemas.openxmlformats.org/officeDocument/2006/relationships/hyperlink" Target="https://hwbusters.com/cooling/bequiet_pure_loop2_fx_review/" TargetMode="External"/><Relationship Id="rId350" Type="http://schemas.openxmlformats.org/officeDocument/2006/relationships/hyperlink" Target="https://www.bequiet.com/en/watercooler/3745" TargetMode="External"/><Relationship Id="rId356" Type="http://schemas.openxmlformats.org/officeDocument/2006/relationships/hyperlink" Target="https://bequiet.com/" TargetMode="External"/><Relationship Id="rId355" Type="http://schemas.openxmlformats.org/officeDocument/2006/relationships/hyperlink" Target="https://www.bequiet.com/en/watercooler/3743" TargetMode="External"/><Relationship Id="rId354" Type="http://schemas.openxmlformats.org/officeDocument/2006/relationships/hyperlink" Target="https://bequiet.com/" TargetMode="External"/><Relationship Id="rId353" Type="http://schemas.openxmlformats.org/officeDocument/2006/relationships/hyperlink" Target="https://www.bequiet.com/en/watercooler/3744" TargetMode="External"/><Relationship Id="rId1378" Type="http://schemas.openxmlformats.org/officeDocument/2006/relationships/hyperlink" Target="https://nzxt.com/product/kraken-z63-rgb" TargetMode="External"/><Relationship Id="rId1379" Type="http://schemas.openxmlformats.org/officeDocument/2006/relationships/hyperlink" Target="https://www.asetek.com/" TargetMode="External"/><Relationship Id="rId305" Type="http://schemas.openxmlformats.org/officeDocument/2006/relationships/hyperlink" Target="https://rog.asus.com/cooling/cpu-liquid-coolers/rog-strix-lc/rog-strix-lc-ii-280-argb-model/" TargetMode="External"/><Relationship Id="rId789" Type="http://schemas.openxmlformats.org/officeDocument/2006/relationships/hyperlink" Target="https://us.deepcool.com/products/Cooling/cpuliquidcoolers/LS520-SE-Liquid-CPU-Cooler-1700-AM5/2022/16472.shtml" TargetMode="External"/><Relationship Id="rId304" Type="http://schemas.openxmlformats.org/officeDocument/2006/relationships/hyperlink" Target="https://www.asus.com/" TargetMode="External"/><Relationship Id="rId788" Type="http://schemas.openxmlformats.org/officeDocument/2006/relationships/hyperlink" Target="https://www.deepcool.com/index.shtml" TargetMode="External"/><Relationship Id="rId303" Type="http://schemas.openxmlformats.org/officeDocument/2006/relationships/hyperlink" Target="https://www.asetek.com/" TargetMode="External"/><Relationship Id="rId787" Type="http://schemas.openxmlformats.org/officeDocument/2006/relationships/hyperlink" Target="https://www.deepcool.com/index.shtml" TargetMode="External"/><Relationship Id="rId302" Type="http://schemas.openxmlformats.org/officeDocument/2006/relationships/hyperlink" Target="https://rog.asus.com/cooling/cpu-liquid-coolers/rog-strix-lc/rog-strix-lc-ii-240-argb-white-edition-model/" TargetMode="External"/><Relationship Id="rId786" Type="http://schemas.openxmlformats.org/officeDocument/2006/relationships/hyperlink" Target="https://us.deepcool.com/products/Cooling/cpuliquidcoolers/LS520-SE-Liquid-CPU-Cooler-1700-AM5/2022/16471.shtml" TargetMode="External"/><Relationship Id="rId309" Type="http://schemas.openxmlformats.org/officeDocument/2006/relationships/hyperlink" Target="https://www.asetek.com/" TargetMode="External"/><Relationship Id="rId308" Type="http://schemas.openxmlformats.org/officeDocument/2006/relationships/hyperlink" Target="https://rog.asus.com/cooling/cpu-liquid-coolers/rog-strix-lc/rog-strix-lc-ii-360-model/" TargetMode="External"/><Relationship Id="rId307" Type="http://schemas.openxmlformats.org/officeDocument/2006/relationships/hyperlink" Target="https://www.asus.com/" TargetMode="External"/><Relationship Id="rId306" Type="http://schemas.openxmlformats.org/officeDocument/2006/relationships/hyperlink" Target="https://www.asetek.com/" TargetMode="External"/><Relationship Id="rId781" Type="http://schemas.openxmlformats.org/officeDocument/2006/relationships/hyperlink" Target="https://www.deepcool.com/index.shtml" TargetMode="External"/><Relationship Id="rId1370" Type="http://schemas.openxmlformats.org/officeDocument/2006/relationships/hyperlink" Target="https://www.asetek.com/" TargetMode="External"/><Relationship Id="rId780" Type="http://schemas.openxmlformats.org/officeDocument/2006/relationships/hyperlink" Target="https://www.deepcool.com/products/Cooling/cpuliquidcoolers/LS320-WH-High-Performance-120mm-Liquid-CPU-Cooler-1700-AM5/2022/15983.shtml" TargetMode="External"/><Relationship Id="rId1371" Type="http://schemas.openxmlformats.org/officeDocument/2006/relationships/hyperlink" Target="https://www.nzxt.com/" TargetMode="External"/><Relationship Id="rId1372" Type="http://schemas.openxmlformats.org/officeDocument/2006/relationships/hyperlink" Target="https://nzxt.com/product/kraken-z53-rgb" TargetMode="External"/><Relationship Id="rId1373" Type="http://schemas.openxmlformats.org/officeDocument/2006/relationships/hyperlink" Target="https://www.asetek.com/" TargetMode="External"/><Relationship Id="rId301" Type="http://schemas.openxmlformats.org/officeDocument/2006/relationships/hyperlink" Target="https://www.asus.com/" TargetMode="External"/><Relationship Id="rId785" Type="http://schemas.openxmlformats.org/officeDocument/2006/relationships/hyperlink" Target="https://www.deepcool.com/index.shtml" TargetMode="External"/><Relationship Id="rId1374" Type="http://schemas.openxmlformats.org/officeDocument/2006/relationships/hyperlink" Target="https://www.nzxt.com/" TargetMode="External"/><Relationship Id="rId300" Type="http://schemas.openxmlformats.org/officeDocument/2006/relationships/hyperlink" Target="https://www.asetek.com/" TargetMode="External"/><Relationship Id="rId784" Type="http://schemas.openxmlformats.org/officeDocument/2006/relationships/hyperlink" Target="https://www.deepcool.com/index.shtml" TargetMode="External"/><Relationship Id="rId1375" Type="http://schemas.openxmlformats.org/officeDocument/2006/relationships/hyperlink" Target="https://www.nzxt.com/products/kraken-z63" TargetMode="External"/><Relationship Id="rId783" Type="http://schemas.openxmlformats.org/officeDocument/2006/relationships/hyperlink" Target="https://www.deepcool.com/products/Cooling/cpuliquidcoolers/LS520-High-Performance-240mm-Liquid-CPU-Cooler/2022/15827.shtml" TargetMode="External"/><Relationship Id="rId1376" Type="http://schemas.openxmlformats.org/officeDocument/2006/relationships/hyperlink" Target="https://www.asetek.com/" TargetMode="External"/><Relationship Id="rId782" Type="http://schemas.openxmlformats.org/officeDocument/2006/relationships/hyperlink" Target="https://www.deepcool.com/index.shtml" TargetMode="External"/><Relationship Id="rId1377" Type="http://schemas.openxmlformats.org/officeDocument/2006/relationships/hyperlink" Target="https://www.nzxt.com/" TargetMode="External"/><Relationship Id="rId1367" Type="http://schemas.openxmlformats.org/officeDocument/2006/relationships/hyperlink" Target="https://www.asetek.com/" TargetMode="External"/><Relationship Id="rId1368" Type="http://schemas.openxmlformats.org/officeDocument/2006/relationships/hyperlink" Target="https://www.nzxt.com/" TargetMode="External"/><Relationship Id="rId1369" Type="http://schemas.openxmlformats.org/officeDocument/2006/relationships/hyperlink" Target="https://www.nzxt.com/products/kraken-z53" TargetMode="External"/><Relationship Id="rId778" Type="http://schemas.openxmlformats.org/officeDocument/2006/relationships/hyperlink" Target="https://www.deepcool.com/index.shtml" TargetMode="External"/><Relationship Id="rId777" Type="http://schemas.openxmlformats.org/officeDocument/2006/relationships/hyperlink" Target="https://www.deepcool.com/products/Cooling/cpuliquidcoolers/LS320-High-Performance-120mm-Liquid-CPU-Cooler/2022/15828.shtml" TargetMode="External"/><Relationship Id="rId776" Type="http://schemas.openxmlformats.org/officeDocument/2006/relationships/hyperlink" Target="https://www.deepcool.com/index.shtml" TargetMode="External"/><Relationship Id="rId775" Type="http://schemas.openxmlformats.org/officeDocument/2006/relationships/hyperlink" Target="https://www.deepcool.com/index.shtml" TargetMode="External"/><Relationship Id="rId779" Type="http://schemas.openxmlformats.org/officeDocument/2006/relationships/hyperlink" Target="https://www.deepcool.com/index.shtml" TargetMode="External"/><Relationship Id="rId770" Type="http://schemas.openxmlformats.org/officeDocument/2006/relationships/hyperlink" Target="https://www.deepcool.com/index.shtml" TargetMode="External"/><Relationship Id="rId1360" Type="http://schemas.openxmlformats.org/officeDocument/2006/relationships/hyperlink" Target="https://www.nzxt.com/products/kraken-x63-rgb" TargetMode="External"/><Relationship Id="rId1361" Type="http://schemas.openxmlformats.org/officeDocument/2006/relationships/hyperlink" Target="https://www.asetek.com/" TargetMode="External"/><Relationship Id="rId1362" Type="http://schemas.openxmlformats.org/officeDocument/2006/relationships/hyperlink" Target="https://www.nzxt.com/" TargetMode="External"/><Relationship Id="rId774" Type="http://schemas.openxmlformats.org/officeDocument/2006/relationships/hyperlink" Target="https://www.deepcool.com/products/Cooling/cpuliquidcoolers/LE720-WH-360mm-Liquid-CPU-Cooler-1700-AM5/2023/17147.shtml" TargetMode="External"/><Relationship Id="rId1363" Type="http://schemas.openxmlformats.org/officeDocument/2006/relationships/hyperlink" Target="https://nzxt.com/product/kraken-x73" TargetMode="External"/><Relationship Id="rId773" Type="http://schemas.openxmlformats.org/officeDocument/2006/relationships/hyperlink" Target="https://www.deepcool.com/index.shtml" TargetMode="External"/><Relationship Id="rId1364" Type="http://schemas.openxmlformats.org/officeDocument/2006/relationships/hyperlink" Target="https://www.asetek.com/" TargetMode="External"/><Relationship Id="rId772" Type="http://schemas.openxmlformats.org/officeDocument/2006/relationships/hyperlink" Target="https://www.deepcool.com/index.shtml" TargetMode="External"/><Relationship Id="rId1365" Type="http://schemas.openxmlformats.org/officeDocument/2006/relationships/hyperlink" Target="https://www.nzxt.com/" TargetMode="External"/><Relationship Id="rId771" Type="http://schemas.openxmlformats.org/officeDocument/2006/relationships/hyperlink" Target="https://www.deepcool.com/products/Cooling/cpuliquidcoolers/LE720-360mm-Liquid-CPU-Cooler-1700-AM5/2023/16983.shtml" TargetMode="External"/><Relationship Id="rId1366" Type="http://schemas.openxmlformats.org/officeDocument/2006/relationships/hyperlink" Target="https://nzxt.com/product/kraken-x73-rgb" TargetMode="External"/><Relationship Id="rId327" Type="http://schemas.openxmlformats.org/officeDocument/2006/relationships/hyperlink" Target="https://www.asetek.com/" TargetMode="External"/><Relationship Id="rId326" Type="http://schemas.openxmlformats.org/officeDocument/2006/relationships/hyperlink" Target="https://www.asus.com/Motherboards-Components/Cooling/TUF-Gaming/TUF-Gaming-LC-240-RGB" TargetMode="External"/><Relationship Id="rId325" Type="http://schemas.openxmlformats.org/officeDocument/2006/relationships/hyperlink" Target="https://www.asus.com/" TargetMode="External"/><Relationship Id="rId324" Type="http://schemas.openxmlformats.org/officeDocument/2006/relationships/hyperlink" Target="https://www.asetek.com/" TargetMode="External"/><Relationship Id="rId329" Type="http://schemas.openxmlformats.org/officeDocument/2006/relationships/hyperlink" Target="https://www.asus.com/Motherboards-Components/Cooling/All-series/TUF-GAMING-LC-240-RGB-ZAKU-II-EDITION/" TargetMode="External"/><Relationship Id="rId1390" Type="http://schemas.openxmlformats.org/officeDocument/2006/relationships/hyperlink" Target="http://www.phanteks.com/" TargetMode="External"/><Relationship Id="rId328" Type="http://schemas.openxmlformats.org/officeDocument/2006/relationships/hyperlink" Target="https://www.asus.com/" TargetMode="External"/><Relationship Id="rId1391" Type="http://schemas.openxmlformats.org/officeDocument/2006/relationships/hyperlink" Target="http://www.phanteks.com/Glacier-One-MP.html" TargetMode="External"/><Relationship Id="rId1392" Type="http://schemas.openxmlformats.org/officeDocument/2006/relationships/hyperlink" Target="https://www.asetek.com/" TargetMode="External"/><Relationship Id="rId1393" Type="http://schemas.openxmlformats.org/officeDocument/2006/relationships/hyperlink" Target="http://www.phanteks.com/" TargetMode="External"/><Relationship Id="rId1394" Type="http://schemas.openxmlformats.org/officeDocument/2006/relationships/hyperlink" Target="http://www.phanteks.com/Glacier-One-MPH.html" TargetMode="External"/><Relationship Id="rId1395" Type="http://schemas.openxmlformats.org/officeDocument/2006/relationships/hyperlink" Target="https://www.asetek.com/" TargetMode="External"/><Relationship Id="rId323" Type="http://schemas.openxmlformats.org/officeDocument/2006/relationships/hyperlink" Target="https://www.asus.com/Motherboards-Components/Cooling/TUF-Gaming/TUF-GAMING-LC-240-ARGB/" TargetMode="External"/><Relationship Id="rId1396" Type="http://schemas.openxmlformats.org/officeDocument/2006/relationships/hyperlink" Target="http://www.phanteks.com/" TargetMode="External"/><Relationship Id="rId322" Type="http://schemas.openxmlformats.org/officeDocument/2006/relationships/hyperlink" Target="https://www.asus.com/" TargetMode="External"/><Relationship Id="rId1397" Type="http://schemas.openxmlformats.org/officeDocument/2006/relationships/hyperlink" Target="http://www.phanteks.com/Glacier-One-T30.html" TargetMode="External"/><Relationship Id="rId321" Type="http://schemas.openxmlformats.org/officeDocument/2006/relationships/hyperlink" Target="https://www.asetek.com/" TargetMode="External"/><Relationship Id="rId1398" Type="http://schemas.openxmlformats.org/officeDocument/2006/relationships/hyperlink" Target="https://www.asetek.com/" TargetMode="External"/><Relationship Id="rId320" Type="http://schemas.openxmlformats.org/officeDocument/2006/relationships/hyperlink" Target="https://www.asus.com/Motherboards-Components/Cooling/TUF-Gaming/TUF-Gaming-LC-120-RGB" TargetMode="External"/><Relationship Id="rId1399" Type="http://schemas.openxmlformats.org/officeDocument/2006/relationships/hyperlink" Target="http://www.phanteks.com/" TargetMode="External"/><Relationship Id="rId1389" Type="http://schemas.openxmlformats.org/officeDocument/2006/relationships/hyperlink" Target="https://www.phanteks.com/Glacier-One-D30.html" TargetMode="External"/><Relationship Id="rId316" Type="http://schemas.openxmlformats.org/officeDocument/2006/relationships/hyperlink" Target="https://www.asus.com/" TargetMode="External"/><Relationship Id="rId315" Type="http://schemas.openxmlformats.org/officeDocument/2006/relationships/hyperlink" Target="https://www.asetek.com/" TargetMode="External"/><Relationship Id="rId799" Type="http://schemas.openxmlformats.org/officeDocument/2006/relationships/hyperlink" Target="https://www.deepcool.com/index.shtml" TargetMode="External"/><Relationship Id="rId314" Type="http://schemas.openxmlformats.org/officeDocument/2006/relationships/hyperlink" Target="https://rog.asus.com/cooling/cpu-liquid-coolers/rog-strix-lc/rog-strix-lc-ii-360-argb-white-edition-model/" TargetMode="External"/><Relationship Id="rId798" Type="http://schemas.openxmlformats.org/officeDocument/2006/relationships/hyperlink" Target="https://us.deepcool.com/products/Cooling/cpuliquidcoolers/LS720-SE-360mm-Liquid-CPU-Cooler-1700-AM5/2022/16473.shtml" TargetMode="External"/><Relationship Id="rId313" Type="http://schemas.openxmlformats.org/officeDocument/2006/relationships/hyperlink" Target="https://www.asus.com/" TargetMode="External"/><Relationship Id="rId797" Type="http://schemas.openxmlformats.org/officeDocument/2006/relationships/hyperlink" Target="https://www.deepcool.com/index.shtml" TargetMode="External"/><Relationship Id="rId319" Type="http://schemas.openxmlformats.org/officeDocument/2006/relationships/hyperlink" Target="https://www.asus.com/" TargetMode="External"/><Relationship Id="rId318" Type="http://schemas.openxmlformats.org/officeDocument/2006/relationships/hyperlink" Target="https://www.asetek.com/" TargetMode="External"/><Relationship Id="rId317" Type="http://schemas.openxmlformats.org/officeDocument/2006/relationships/hyperlink" Target="https://www.asus.com/Motherboards-Components/Cooling/TUF-Gaming/TUF-GAMING-LC-120-ARGB/" TargetMode="External"/><Relationship Id="rId1380" Type="http://schemas.openxmlformats.org/officeDocument/2006/relationships/hyperlink" Target="https://www.nzxt.com/" TargetMode="External"/><Relationship Id="rId792" Type="http://schemas.openxmlformats.org/officeDocument/2006/relationships/hyperlink" Target="https://us.deepcool.com/products/Cooling/cpuliquidcoolers/LS520-WH-High-Performance-240mm-Liquid-CPU-Cooler-1700-AM5/2022/15987.shtml" TargetMode="External"/><Relationship Id="rId1381" Type="http://schemas.openxmlformats.org/officeDocument/2006/relationships/hyperlink" Target="https://nzxt.com/product/kraken-z73" TargetMode="External"/><Relationship Id="rId791" Type="http://schemas.openxmlformats.org/officeDocument/2006/relationships/hyperlink" Target="https://www.deepcool.com/index.shtml" TargetMode="External"/><Relationship Id="rId1382" Type="http://schemas.openxmlformats.org/officeDocument/2006/relationships/hyperlink" Target="https://www.asetek.com/" TargetMode="External"/><Relationship Id="rId790" Type="http://schemas.openxmlformats.org/officeDocument/2006/relationships/hyperlink" Target="https://www.deepcool.com/index.shtml" TargetMode="External"/><Relationship Id="rId1383" Type="http://schemas.openxmlformats.org/officeDocument/2006/relationships/hyperlink" Target="https://www.nzxt.com/" TargetMode="External"/><Relationship Id="rId1384" Type="http://schemas.openxmlformats.org/officeDocument/2006/relationships/hyperlink" Target="https://nzxt.com/product/kraken-z73-rgb" TargetMode="External"/><Relationship Id="rId312" Type="http://schemas.openxmlformats.org/officeDocument/2006/relationships/hyperlink" Target="https://www.asetek.com/" TargetMode="External"/><Relationship Id="rId796" Type="http://schemas.openxmlformats.org/officeDocument/2006/relationships/hyperlink" Target="https://www.deepcool.com/index.shtml" TargetMode="External"/><Relationship Id="rId1385" Type="http://schemas.openxmlformats.org/officeDocument/2006/relationships/hyperlink" Target="https://www.asetek.com/" TargetMode="External"/><Relationship Id="rId311" Type="http://schemas.openxmlformats.org/officeDocument/2006/relationships/hyperlink" Target="https://rog.asus.com/cooling/cpu-liquid-coolers/rog-strix-lc/rog-strix-lc-ii-360-argb-model/" TargetMode="External"/><Relationship Id="rId795" Type="http://schemas.openxmlformats.org/officeDocument/2006/relationships/hyperlink" Target="https://www.deepcool.com/products/Cooling/cpuliquidcoolers/LS720-High-Performance-360mm-Liquid-CPU-Cooler/2022/15826.shtml" TargetMode="External"/><Relationship Id="rId1386" Type="http://schemas.openxmlformats.org/officeDocument/2006/relationships/hyperlink" Target="http://www.phanteks.com/" TargetMode="External"/><Relationship Id="rId310" Type="http://schemas.openxmlformats.org/officeDocument/2006/relationships/hyperlink" Target="https://www.asus.com/" TargetMode="External"/><Relationship Id="rId794" Type="http://schemas.openxmlformats.org/officeDocument/2006/relationships/hyperlink" Target="https://www.deepcool.com/index.shtml" TargetMode="External"/><Relationship Id="rId1387" Type="http://schemas.openxmlformats.org/officeDocument/2006/relationships/hyperlink" Target="https://www.phanteks.com/Glacier-One-D30.html" TargetMode="External"/><Relationship Id="rId793" Type="http://schemas.openxmlformats.org/officeDocument/2006/relationships/hyperlink" Target="https://www.deepcool.com/index.shtml" TargetMode="External"/><Relationship Id="rId1388" Type="http://schemas.openxmlformats.org/officeDocument/2006/relationships/hyperlink" Target="http://www.phanteks.com/" TargetMode="External"/><Relationship Id="rId297" Type="http://schemas.openxmlformats.org/officeDocument/2006/relationships/hyperlink" Target="https://www.asetek.com/" TargetMode="External"/><Relationship Id="rId296" Type="http://schemas.openxmlformats.org/officeDocument/2006/relationships/hyperlink" Target="https://rog.asus.com/cooling/cpu-liquid-coolers/rog-strix-lc/rog-strix-lc-ii-240-model/" TargetMode="External"/><Relationship Id="rId295" Type="http://schemas.openxmlformats.org/officeDocument/2006/relationships/hyperlink" Target="https://www.asus.com/" TargetMode="External"/><Relationship Id="rId294" Type="http://schemas.openxmlformats.org/officeDocument/2006/relationships/hyperlink" Target="https://www.asetek.com/" TargetMode="External"/><Relationship Id="rId299" Type="http://schemas.openxmlformats.org/officeDocument/2006/relationships/hyperlink" Target="https://rog.asus.com/cooling/cpu-liquid-coolers/rog-strix-lc/rog-strix-lc-ii-240-argb-model/" TargetMode="External"/><Relationship Id="rId298" Type="http://schemas.openxmlformats.org/officeDocument/2006/relationships/hyperlink" Target="https://www.asus.com/" TargetMode="External"/><Relationship Id="rId271" Type="http://schemas.openxmlformats.org/officeDocument/2006/relationships/hyperlink" Target="https://www.asus.com/" TargetMode="External"/><Relationship Id="rId270" Type="http://schemas.openxmlformats.org/officeDocument/2006/relationships/hyperlink" Target="https://www.asetek.com/" TargetMode="External"/><Relationship Id="rId269" Type="http://schemas.openxmlformats.org/officeDocument/2006/relationships/hyperlink" Target="https://rog.asus.com/Cooling/CPU-Liquid-Coolers/ROG-Strix-LC/ROG-STRIX-LC-120-Model/" TargetMode="External"/><Relationship Id="rId264" Type="http://schemas.openxmlformats.org/officeDocument/2006/relationships/hyperlink" Target="https://www.asetek.com/" TargetMode="External"/><Relationship Id="rId263" Type="http://schemas.openxmlformats.org/officeDocument/2006/relationships/hyperlink" Target="https://rog.asus.com/cooling/cpu-liquid-coolers/rog-ryuo/rog-ryuo-iii-360-argb-model/" TargetMode="External"/><Relationship Id="rId262" Type="http://schemas.openxmlformats.org/officeDocument/2006/relationships/hyperlink" Target="https://www.asus.com/" TargetMode="External"/><Relationship Id="rId261" Type="http://schemas.openxmlformats.org/officeDocument/2006/relationships/hyperlink" Target="https://www.asetek.com/" TargetMode="External"/><Relationship Id="rId268" Type="http://schemas.openxmlformats.org/officeDocument/2006/relationships/hyperlink" Target="https://www.asus.com/" TargetMode="External"/><Relationship Id="rId267" Type="http://schemas.openxmlformats.org/officeDocument/2006/relationships/hyperlink" Target="https://www.asetek.com/" TargetMode="External"/><Relationship Id="rId266" Type="http://schemas.openxmlformats.org/officeDocument/2006/relationships/hyperlink" Target="https://rog.asus.com/cooling/cpu-liquid-coolers/rog-ryuo/rog-ryuo-iii-360-argb-white-edition-model/" TargetMode="External"/><Relationship Id="rId265" Type="http://schemas.openxmlformats.org/officeDocument/2006/relationships/hyperlink" Target="https://www.asus.com/" TargetMode="External"/><Relationship Id="rId260" Type="http://schemas.openxmlformats.org/officeDocument/2006/relationships/hyperlink" Target="https://rog.asus.com/cooling/cpu-liquid-coolers/rog-ryuo/rog-ryuo-iii-240-argb-white-edition-model/" TargetMode="External"/><Relationship Id="rId259" Type="http://schemas.openxmlformats.org/officeDocument/2006/relationships/hyperlink" Target="https://www.asus.com/" TargetMode="External"/><Relationship Id="rId258" Type="http://schemas.openxmlformats.org/officeDocument/2006/relationships/hyperlink" Target="https://www.asetek.com/" TargetMode="External"/><Relationship Id="rId253" Type="http://schemas.openxmlformats.org/officeDocument/2006/relationships/hyperlink" Target="https://www.asus.com/" TargetMode="External"/><Relationship Id="rId252" Type="http://schemas.openxmlformats.org/officeDocument/2006/relationships/hyperlink" Target="https://www.asetek.com/" TargetMode="External"/><Relationship Id="rId251" Type="http://schemas.openxmlformats.org/officeDocument/2006/relationships/hyperlink" Target="https://rog.asus.com/Cooling/CPU-Liquid-Coolers/ROG-Ryuo/ROG-RYUO-120-Model/" TargetMode="External"/><Relationship Id="rId250" Type="http://schemas.openxmlformats.org/officeDocument/2006/relationships/hyperlink" Target="https://www.asus.com/" TargetMode="External"/><Relationship Id="rId257" Type="http://schemas.openxmlformats.org/officeDocument/2006/relationships/hyperlink" Target="https://rog.asus.com/cooling/cpu-liquid-coolers/rog-ryuo/rog-ryuo-iii-240-argb-model/" TargetMode="External"/><Relationship Id="rId256" Type="http://schemas.openxmlformats.org/officeDocument/2006/relationships/hyperlink" Target="https://www.asus.com/" TargetMode="External"/><Relationship Id="rId255" Type="http://schemas.openxmlformats.org/officeDocument/2006/relationships/hyperlink" Target="https://www.asetek.com/" TargetMode="External"/><Relationship Id="rId254" Type="http://schemas.openxmlformats.org/officeDocument/2006/relationships/hyperlink" Target="https://rog.asus.com/Cooling/CPU-Liquid-Coolers/ROG-Ryuo/ROG-RYUO-240-Model/" TargetMode="External"/><Relationship Id="rId293" Type="http://schemas.openxmlformats.org/officeDocument/2006/relationships/hyperlink" Target="https://rog.asus.com/cooling/cpu-liquid-coolers/rog-strix-lc/rog-strix-lc-360-rgb-white-edition-model/" TargetMode="External"/><Relationship Id="rId292" Type="http://schemas.openxmlformats.org/officeDocument/2006/relationships/hyperlink" Target="https://www.asus.com/" TargetMode="External"/><Relationship Id="rId291" Type="http://schemas.openxmlformats.org/officeDocument/2006/relationships/hyperlink" Target="https://www.asetek.com/" TargetMode="External"/><Relationship Id="rId290" Type="http://schemas.openxmlformats.org/officeDocument/2006/relationships/hyperlink" Target="https://rog.asus.com/cooling/cpu-liquid-coolers/rog-strix-lc/rog-strix-lc-360-rgb-gundam-edition-model/" TargetMode="External"/><Relationship Id="rId286" Type="http://schemas.openxmlformats.org/officeDocument/2006/relationships/hyperlink" Target="https://www.asus.com/" TargetMode="External"/><Relationship Id="rId285" Type="http://schemas.openxmlformats.org/officeDocument/2006/relationships/hyperlink" Target="https://www.asetek.com/" TargetMode="External"/><Relationship Id="rId284" Type="http://schemas.openxmlformats.org/officeDocument/2006/relationships/hyperlink" Target="https://rog.asus.com/cooling/cpu-liquid-coolers/rog-strix-lc/rog-strix-lc-360-model/" TargetMode="External"/><Relationship Id="rId283" Type="http://schemas.openxmlformats.org/officeDocument/2006/relationships/hyperlink" Target="https://www.asus.com/" TargetMode="External"/><Relationship Id="rId289" Type="http://schemas.openxmlformats.org/officeDocument/2006/relationships/hyperlink" Target="https://www.asus.com/" TargetMode="External"/><Relationship Id="rId288" Type="http://schemas.openxmlformats.org/officeDocument/2006/relationships/hyperlink" Target="https://www.asetek.com/" TargetMode="External"/><Relationship Id="rId287" Type="http://schemas.openxmlformats.org/officeDocument/2006/relationships/hyperlink" Target="https://rog.asus.com/cooling/cpu-liquid-coolers/rog-strix-lc/rog-strix-lc-360-rgb-model/" TargetMode="External"/><Relationship Id="rId282" Type="http://schemas.openxmlformats.org/officeDocument/2006/relationships/hyperlink" Target="https://www.asetek.com/" TargetMode="External"/><Relationship Id="rId281" Type="http://schemas.openxmlformats.org/officeDocument/2006/relationships/hyperlink" Target="https://rog.asus.com/Cooling/CPU-Liquid-Coolers/ROG-Strix-LC/ROG-Strix-LC-240-RGB-White-Edition-Model/" TargetMode="External"/><Relationship Id="rId280" Type="http://schemas.openxmlformats.org/officeDocument/2006/relationships/hyperlink" Target="https://www.asus.com/" TargetMode="External"/><Relationship Id="rId275" Type="http://schemas.openxmlformats.org/officeDocument/2006/relationships/hyperlink" Target="https://rog.asus.com/Cooling/CPU-Liquid-Coolers/ROG-Strix-LC/ROG-STRIX-LC-240-Model/" TargetMode="External"/><Relationship Id="rId274" Type="http://schemas.openxmlformats.org/officeDocument/2006/relationships/hyperlink" Target="https://www.asus.com/" TargetMode="External"/><Relationship Id="rId273" Type="http://schemas.openxmlformats.org/officeDocument/2006/relationships/hyperlink" Target="https://www.asetek.com/" TargetMode="External"/><Relationship Id="rId272" Type="http://schemas.openxmlformats.org/officeDocument/2006/relationships/hyperlink" Target="https://rog.asus.com/Cooling/CPU-Liquid-Coolers/ROG-Strix-LC/ROG-STRIX-LC-120-RGB-Model/" TargetMode="External"/><Relationship Id="rId279" Type="http://schemas.openxmlformats.org/officeDocument/2006/relationships/hyperlink" Target="https://www.asetek.com/" TargetMode="External"/><Relationship Id="rId278" Type="http://schemas.openxmlformats.org/officeDocument/2006/relationships/hyperlink" Target="https://rog.asus.com/Cooling/CPU-Liquid-Coolers/ROG-Strix-LC/ROG-STRIX-LC-240-RGB-Model/" TargetMode="External"/><Relationship Id="rId277" Type="http://schemas.openxmlformats.org/officeDocument/2006/relationships/hyperlink" Target="https://www.asus.com/" TargetMode="External"/><Relationship Id="rId276" Type="http://schemas.openxmlformats.org/officeDocument/2006/relationships/hyperlink" Target="https://www.asetek.com/" TargetMode="External"/><Relationship Id="rId1810" Type="http://schemas.openxmlformats.org/officeDocument/2006/relationships/hyperlink" Target="https://www.xigmatek.com/product_detail.php?item=228" TargetMode="External"/><Relationship Id="rId1811" Type="http://schemas.openxmlformats.org/officeDocument/2006/relationships/hyperlink" Target="https://www.xigmatek.com/" TargetMode="External"/><Relationship Id="rId1812" Type="http://schemas.openxmlformats.org/officeDocument/2006/relationships/hyperlink" Target="https://www.xigmatek.com/product_detail.php?item=237" TargetMode="External"/><Relationship Id="rId1813" Type="http://schemas.openxmlformats.org/officeDocument/2006/relationships/hyperlink" Target="https://www.xigmatek.com/" TargetMode="External"/><Relationship Id="rId1814" Type="http://schemas.openxmlformats.org/officeDocument/2006/relationships/hyperlink" Target="https://www.xigmatek.com/product_detail.php?item=238" TargetMode="External"/><Relationship Id="rId1815" Type="http://schemas.openxmlformats.org/officeDocument/2006/relationships/hyperlink" Target="https://www.xigmatek.com/" TargetMode="External"/><Relationship Id="rId1816" Type="http://schemas.openxmlformats.org/officeDocument/2006/relationships/hyperlink" Target="https://www.xigmatek.com/product_detail.php?item=280" TargetMode="External"/><Relationship Id="rId1817" Type="http://schemas.openxmlformats.org/officeDocument/2006/relationships/hyperlink" Target="https://www.xigmatek.com/" TargetMode="External"/><Relationship Id="rId1818" Type="http://schemas.openxmlformats.org/officeDocument/2006/relationships/hyperlink" Target="https://www.xigmatek.com/product_detail.php?item=347" TargetMode="External"/><Relationship Id="rId1819" Type="http://schemas.openxmlformats.org/officeDocument/2006/relationships/hyperlink" Target="https://www.xigmatek.com/" TargetMode="External"/><Relationship Id="rId1800" Type="http://schemas.openxmlformats.org/officeDocument/2006/relationships/hyperlink" Target="https://www.asetek.com/" TargetMode="External"/><Relationship Id="rId1801" Type="http://schemas.openxmlformats.org/officeDocument/2006/relationships/hyperlink" Target="https://vetroo.com/" TargetMode="External"/><Relationship Id="rId1802" Type="http://schemas.openxmlformats.org/officeDocument/2006/relationships/hyperlink" Target="https://vetroo.com/collections/cooler/products/cooler-v240bk" TargetMode="External"/><Relationship Id="rId1803" Type="http://schemas.openxmlformats.org/officeDocument/2006/relationships/hyperlink" Target="https://vetroo.com/" TargetMode="External"/><Relationship Id="rId1804" Type="http://schemas.openxmlformats.org/officeDocument/2006/relationships/hyperlink" Target="https://vetroo.com/collections/cooler/products/cooler-v240wt" TargetMode="External"/><Relationship Id="rId1805" Type="http://schemas.openxmlformats.org/officeDocument/2006/relationships/hyperlink" Target="https://vetroo.com/" TargetMode="External"/><Relationship Id="rId1806" Type="http://schemas.openxmlformats.org/officeDocument/2006/relationships/hyperlink" Target="https://vetroo.com/collections/cooler/products/cooler-v360bk" TargetMode="External"/><Relationship Id="rId1807" Type="http://schemas.openxmlformats.org/officeDocument/2006/relationships/hyperlink" Target="https://vetroo.com/" TargetMode="External"/><Relationship Id="rId1808" Type="http://schemas.openxmlformats.org/officeDocument/2006/relationships/hyperlink" Target="https://vetroo.com/collections/cooler/products/cooler-v360wt" TargetMode="External"/><Relationship Id="rId1809" Type="http://schemas.openxmlformats.org/officeDocument/2006/relationships/hyperlink" Target="https://www.xigmatek.com/" TargetMode="External"/><Relationship Id="rId1830" Type="http://schemas.openxmlformats.org/officeDocument/2006/relationships/vmlDrawing" Target="../drawings/vmlDrawing6.vml"/><Relationship Id="rId1820" Type="http://schemas.openxmlformats.org/officeDocument/2006/relationships/hyperlink" Target="https://www.xigmatek.com/" TargetMode="External"/><Relationship Id="rId1821" Type="http://schemas.openxmlformats.org/officeDocument/2006/relationships/hyperlink" Target="https://www.xigmatek.com/" TargetMode="External"/><Relationship Id="rId1822" Type="http://schemas.openxmlformats.org/officeDocument/2006/relationships/hyperlink" Target="https://www.xigmatek.com/product_detail.php?item=488" TargetMode="External"/><Relationship Id="rId1823" Type="http://schemas.openxmlformats.org/officeDocument/2006/relationships/hyperlink" Target="https://www.xigmatek.com/" TargetMode="External"/><Relationship Id="rId1824" Type="http://schemas.openxmlformats.org/officeDocument/2006/relationships/hyperlink" Target="https://www.xigmatek.com/product_detail.php?item=489" TargetMode="External"/><Relationship Id="rId1825" Type="http://schemas.openxmlformats.org/officeDocument/2006/relationships/hyperlink" Target="https://www.xigmatek.com/" TargetMode="External"/><Relationship Id="rId1826" Type="http://schemas.openxmlformats.org/officeDocument/2006/relationships/hyperlink" Target="https://www.xigmatek.com/product_detail.php?item=490" TargetMode="External"/><Relationship Id="rId1827" Type="http://schemas.openxmlformats.org/officeDocument/2006/relationships/hyperlink" Target="https://www.xigmatek.com/" TargetMode="External"/><Relationship Id="rId1828" Type="http://schemas.openxmlformats.org/officeDocument/2006/relationships/hyperlink" Target="https://www.xigmatek.com/product_detail.php?item=524" TargetMode="External"/><Relationship Id="rId1829" Type="http://schemas.openxmlformats.org/officeDocument/2006/relationships/drawing" Target="../drawings/drawing8.xml"/><Relationship Id="rId1455" Type="http://schemas.openxmlformats.org/officeDocument/2006/relationships/hyperlink" Target="https://www.rosewill.com/" TargetMode="External"/><Relationship Id="rId1456" Type="http://schemas.openxmlformats.org/officeDocument/2006/relationships/hyperlink" Target="http://www.apalcool.com/index.php?c=category&amp;id=28" TargetMode="External"/><Relationship Id="rId1457" Type="http://schemas.openxmlformats.org/officeDocument/2006/relationships/hyperlink" Target="https://www.rosewill.com/" TargetMode="External"/><Relationship Id="rId1458" Type="http://schemas.openxmlformats.org/officeDocument/2006/relationships/hyperlink" Target="http://www.apalcool.com/index.php?c=category&amp;id=28" TargetMode="External"/><Relationship Id="rId1459" Type="http://schemas.openxmlformats.org/officeDocument/2006/relationships/hyperlink" Target="https://www.rosewill.com/" TargetMode="External"/><Relationship Id="rId629" Type="http://schemas.openxmlformats.org/officeDocument/2006/relationships/hyperlink" Target="https://www.coolitsystems.com/" TargetMode="External"/><Relationship Id="rId624" Type="http://schemas.openxmlformats.org/officeDocument/2006/relationships/hyperlink" Target="https://www.corsair.com/ww/en/" TargetMode="External"/><Relationship Id="rId623" Type="http://schemas.openxmlformats.org/officeDocument/2006/relationships/hyperlink" Target="https://www.coolitsystems.com/" TargetMode="External"/><Relationship Id="rId622" Type="http://schemas.openxmlformats.org/officeDocument/2006/relationships/hyperlink" Target="https://www.corsair.com/ww/en/p/cpu-coolers/cw-9061005-ww/icue-link-h100i-rgb-aio-liquid-cpu-cooler-white-cw-9061005-ww" TargetMode="External"/><Relationship Id="rId621" Type="http://schemas.openxmlformats.org/officeDocument/2006/relationships/hyperlink" Target="https://www.corsair.com/ww/en/" TargetMode="External"/><Relationship Id="rId628" Type="http://schemas.openxmlformats.org/officeDocument/2006/relationships/hyperlink" Target="https://www.corsair.com/ww/en/p/cpu-coolers/cw-9061003-ww/icue-link-h150i-rgb-aio-liquid-cpu-cooler-cw-9061003-ww" TargetMode="External"/><Relationship Id="rId627" Type="http://schemas.openxmlformats.org/officeDocument/2006/relationships/hyperlink" Target="https://www.corsair.com/ww/en/" TargetMode="External"/><Relationship Id="rId626" Type="http://schemas.openxmlformats.org/officeDocument/2006/relationships/hyperlink" Target="https://www.coolitsystems.com/" TargetMode="External"/><Relationship Id="rId625" Type="http://schemas.openxmlformats.org/officeDocument/2006/relationships/hyperlink" Target="https://www.corsair.com/ww/en/p/cpu-coolers/cw-9061002-ww/icue-link-h115i-rgb-aio-liquid-cpu-cooler-cw-9061002-ww" TargetMode="External"/><Relationship Id="rId1450" Type="http://schemas.openxmlformats.org/officeDocument/2006/relationships/hyperlink" Target="https://www.asetek.com/" TargetMode="External"/><Relationship Id="rId620" Type="http://schemas.openxmlformats.org/officeDocument/2006/relationships/hyperlink" Target="https://www.coolitsystems.com/" TargetMode="External"/><Relationship Id="rId1451" Type="http://schemas.openxmlformats.org/officeDocument/2006/relationships/hyperlink" Target="https://www.rosewill.com/" TargetMode="External"/><Relationship Id="rId1452" Type="http://schemas.openxmlformats.org/officeDocument/2006/relationships/hyperlink" Target="http://www.apalcool.com/index.php?c=category&amp;id=28" TargetMode="External"/><Relationship Id="rId1453" Type="http://schemas.openxmlformats.org/officeDocument/2006/relationships/hyperlink" Target="https://www.rosewill.com/" TargetMode="External"/><Relationship Id="rId1454" Type="http://schemas.openxmlformats.org/officeDocument/2006/relationships/hyperlink" Target="http://www.apalcool.com/index.php?c=category&amp;id=28" TargetMode="External"/><Relationship Id="rId1444" Type="http://schemas.openxmlformats.org/officeDocument/2006/relationships/hyperlink" Target="https://www.raijintek.com/en/products_detail.php?ProductID=87" TargetMode="External"/><Relationship Id="rId1445" Type="http://schemas.openxmlformats.org/officeDocument/2006/relationships/hyperlink" Target="https://www.razer.com/" TargetMode="External"/><Relationship Id="rId1446" Type="http://schemas.openxmlformats.org/officeDocument/2006/relationships/hyperlink" Target="https://www.razer.com/gaming-pc-accessories/razer-hanbo-chroma" TargetMode="External"/><Relationship Id="rId1447" Type="http://schemas.openxmlformats.org/officeDocument/2006/relationships/hyperlink" Target="https://www.asetek.com/" TargetMode="External"/><Relationship Id="rId1448" Type="http://schemas.openxmlformats.org/officeDocument/2006/relationships/hyperlink" Target="https://www.razer.com/" TargetMode="External"/><Relationship Id="rId1449" Type="http://schemas.openxmlformats.org/officeDocument/2006/relationships/hyperlink" Target="https://www.razer.com/gaming-pc-cooling/razer-hanbo-chroma/RC21-01770200-R3U1" TargetMode="External"/><Relationship Id="rId619" Type="http://schemas.openxmlformats.org/officeDocument/2006/relationships/hyperlink" Target="https://www.corsair.com/ww/en/p/cpu-coolers/cw-9061001-ww/icue-link-h100i-rgb-aio-liquid-cpu-cooler-cw-9061001-ww" TargetMode="External"/><Relationship Id="rId618" Type="http://schemas.openxmlformats.org/officeDocument/2006/relationships/hyperlink" Target="https://www.corsair.com/ww/en/" TargetMode="External"/><Relationship Id="rId613" Type="http://schemas.openxmlformats.org/officeDocument/2006/relationships/hyperlink" Target="https://www.coolitsystems.com/" TargetMode="External"/><Relationship Id="rId612" Type="http://schemas.openxmlformats.org/officeDocument/2006/relationships/hyperlink" Target="https://www.corsair.com/ww/en/Categories/Products/Liquid-Cooling/iCUE-ELITE-LCD-Display-Liquid-CPU-Cooler/p/CW-9060063-WW" TargetMode="External"/><Relationship Id="rId611" Type="http://schemas.openxmlformats.org/officeDocument/2006/relationships/hyperlink" Target="https://www.corsair.com/ww/en/" TargetMode="External"/><Relationship Id="rId610" Type="http://schemas.openxmlformats.org/officeDocument/2006/relationships/hyperlink" Target="https://www.coolitsystems.com/" TargetMode="External"/><Relationship Id="rId617" Type="http://schemas.openxmlformats.org/officeDocument/2006/relationships/hyperlink" Target="https://hwbusters.com/cooling/corsair-icue-h170i-elite-lcd-xt-aio-review/" TargetMode="External"/><Relationship Id="rId616" Type="http://schemas.openxmlformats.org/officeDocument/2006/relationships/hyperlink" Target="https://www.coolitsystems.com/" TargetMode="External"/><Relationship Id="rId615" Type="http://schemas.openxmlformats.org/officeDocument/2006/relationships/hyperlink" Target="https://www.corsair.com/ww/en/Categories/Products/Liquid-Cooling/iCUE-ELITE-LCD-XT-Liquid-CPU-Cooler/p/CW-9060076-WW" TargetMode="External"/><Relationship Id="rId614" Type="http://schemas.openxmlformats.org/officeDocument/2006/relationships/hyperlink" Target="https://www.corsair.com/ww/en/" TargetMode="External"/><Relationship Id="rId1440" Type="http://schemas.openxmlformats.org/officeDocument/2006/relationships/hyperlink" Target="https://www.raijintek.com/en/products_detail.php?ProductID=85" TargetMode="External"/><Relationship Id="rId1441" Type="http://schemas.openxmlformats.org/officeDocument/2006/relationships/hyperlink" Target="https://www.raijintek.com/en/index.php" TargetMode="External"/><Relationship Id="rId1442" Type="http://schemas.openxmlformats.org/officeDocument/2006/relationships/hyperlink" Target="https://www.raijintek.com/en/products_detail.php?ProductID=75" TargetMode="External"/><Relationship Id="rId1443" Type="http://schemas.openxmlformats.org/officeDocument/2006/relationships/hyperlink" Target="https://www.raijintek.com/en/index.php" TargetMode="External"/><Relationship Id="rId1477" Type="http://schemas.openxmlformats.org/officeDocument/2006/relationships/hyperlink" Target="https://www.silentiumpc.com/en/" TargetMode="External"/><Relationship Id="rId1478" Type="http://schemas.openxmlformats.org/officeDocument/2006/relationships/hyperlink" Target="https://www.silentiumpc.com/en/product/navis-rgb-120/" TargetMode="External"/><Relationship Id="rId1479" Type="http://schemas.openxmlformats.org/officeDocument/2006/relationships/hyperlink" Target="https://www.silentiumpc.com/en/" TargetMode="External"/><Relationship Id="rId646" Type="http://schemas.openxmlformats.org/officeDocument/2006/relationships/hyperlink" Target="https://www.darkflash.com/tw/product/show.php?num=38" TargetMode="External"/><Relationship Id="rId645" Type="http://schemas.openxmlformats.org/officeDocument/2006/relationships/hyperlink" Target="https://www.darkflash.com/" TargetMode="External"/><Relationship Id="rId644" Type="http://schemas.openxmlformats.org/officeDocument/2006/relationships/hyperlink" Target="https://www.asetek.com/" TargetMode="External"/><Relationship Id="rId643" Type="http://schemas.openxmlformats.org/officeDocument/2006/relationships/hyperlink" Target="http://www.cryorig.com/a-series.php" TargetMode="External"/><Relationship Id="rId649" Type="http://schemas.openxmlformats.org/officeDocument/2006/relationships/hyperlink" Target="https://www.darkflash.com/" TargetMode="External"/><Relationship Id="rId648" Type="http://schemas.openxmlformats.org/officeDocument/2006/relationships/hyperlink" Target="https://www.darkflash.com/tw/product/show.php?num=40" TargetMode="External"/><Relationship Id="rId647" Type="http://schemas.openxmlformats.org/officeDocument/2006/relationships/hyperlink" Target="https://www.darkflash.com/" TargetMode="External"/><Relationship Id="rId1470" Type="http://schemas.openxmlformats.org/officeDocument/2006/relationships/hyperlink" Target="https://en.sharkoon.com/product//38008" TargetMode="External"/><Relationship Id="rId1471" Type="http://schemas.openxmlformats.org/officeDocument/2006/relationships/hyperlink" Target="https://en.sharkoon.com/" TargetMode="External"/><Relationship Id="rId1472" Type="http://schemas.openxmlformats.org/officeDocument/2006/relationships/hyperlink" Target="https://en.sharkoon.com/product//38015" TargetMode="External"/><Relationship Id="rId642" Type="http://schemas.openxmlformats.org/officeDocument/2006/relationships/hyperlink" Target="http://www.cryorig.com/index.php" TargetMode="External"/><Relationship Id="rId1473" Type="http://schemas.openxmlformats.org/officeDocument/2006/relationships/hyperlink" Target="https://www.silentiumpc.com/en/" TargetMode="External"/><Relationship Id="rId641" Type="http://schemas.openxmlformats.org/officeDocument/2006/relationships/hyperlink" Target="https://www.asetek.com/" TargetMode="External"/><Relationship Id="rId1474" Type="http://schemas.openxmlformats.org/officeDocument/2006/relationships/hyperlink" Target="https://www.silentiumpc.com/en/product/navis-f240/" TargetMode="External"/><Relationship Id="rId640" Type="http://schemas.openxmlformats.org/officeDocument/2006/relationships/hyperlink" Target="http://www.cryorig.com/a-series.php" TargetMode="External"/><Relationship Id="rId1475" Type="http://schemas.openxmlformats.org/officeDocument/2006/relationships/hyperlink" Target="https://www.silentiumpc.com/en/" TargetMode="External"/><Relationship Id="rId1476" Type="http://schemas.openxmlformats.org/officeDocument/2006/relationships/hyperlink" Target="https://www.silentiumpc.com/en/product/navis-f240-argb/" TargetMode="External"/><Relationship Id="rId1466" Type="http://schemas.openxmlformats.org/officeDocument/2006/relationships/hyperlink" Target="https://www.asetek.com/" TargetMode="External"/><Relationship Id="rId1467" Type="http://schemas.openxmlformats.org/officeDocument/2006/relationships/hyperlink" Target="https://en.sharkoon.com/" TargetMode="External"/><Relationship Id="rId1468" Type="http://schemas.openxmlformats.org/officeDocument/2006/relationships/hyperlink" Target="https://en.sharkoon.com/product//37995" TargetMode="External"/><Relationship Id="rId1469" Type="http://schemas.openxmlformats.org/officeDocument/2006/relationships/hyperlink" Target="https://en.sharkoon.com/" TargetMode="External"/><Relationship Id="rId635" Type="http://schemas.openxmlformats.org/officeDocument/2006/relationships/hyperlink" Target="https://www.coolitsystems.com/" TargetMode="External"/><Relationship Id="rId634" Type="http://schemas.openxmlformats.org/officeDocument/2006/relationships/hyperlink" Target="https://www.corsair.com/ww/en/p/cpu-coolers/cw-9061004-ww/icue-link-h170i-rgb-aio-liquid-cpu-cooler-cw-9061004-ww" TargetMode="External"/><Relationship Id="rId633" Type="http://schemas.openxmlformats.org/officeDocument/2006/relationships/hyperlink" Target="https://www.corsair.com/ww/en/" TargetMode="External"/><Relationship Id="rId632" Type="http://schemas.openxmlformats.org/officeDocument/2006/relationships/hyperlink" Target="https://www.coolitsystems.com/" TargetMode="External"/><Relationship Id="rId639" Type="http://schemas.openxmlformats.org/officeDocument/2006/relationships/hyperlink" Target="http://www.cryorig.com/index.php" TargetMode="External"/><Relationship Id="rId638" Type="http://schemas.openxmlformats.org/officeDocument/2006/relationships/hyperlink" Target="https://www.asetek.com/" TargetMode="External"/><Relationship Id="rId637" Type="http://schemas.openxmlformats.org/officeDocument/2006/relationships/hyperlink" Target="http://www.cryorig.com/a-series.php" TargetMode="External"/><Relationship Id="rId636" Type="http://schemas.openxmlformats.org/officeDocument/2006/relationships/hyperlink" Target="http://www.cryorig.com/index.php" TargetMode="External"/><Relationship Id="rId1460" Type="http://schemas.openxmlformats.org/officeDocument/2006/relationships/hyperlink" Target="http://www.apalcool.com/index.php?c=category&amp;id=28" TargetMode="External"/><Relationship Id="rId1461" Type="http://schemas.openxmlformats.org/officeDocument/2006/relationships/hyperlink" Target="https://www.sapphiretech.com/en" TargetMode="External"/><Relationship Id="rId631" Type="http://schemas.openxmlformats.org/officeDocument/2006/relationships/hyperlink" Target="https://www.corsair.com/ww/en/p/cpu-coolers/cw-9061006-ww/icue-link-h150i-rgb-aio-liquid-cpu-cooler-white-cw-9061006-ww" TargetMode="External"/><Relationship Id="rId1462" Type="http://schemas.openxmlformats.org/officeDocument/2006/relationships/hyperlink" Target="https://www.sapphiretech.com/en/consumer/nitro-s240a-aio-cpu-cooler" TargetMode="External"/><Relationship Id="rId630" Type="http://schemas.openxmlformats.org/officeDocument/2006/relationships/hyperlink" Target="https://www.corsair.com/ww/en/" TargetMode="External"/><Relationship Id="rId1463" Type="http://schemas.openxmlformats.org/officeDocument/2006/relationships/hyperlink" Target="https://www.asetek.com/" TargetMode="External"/><Relationship Id="rId1464" Type="http://schemas.openxmlformats.org/officeDocument/2006/relationships/hyperlink" Target="https://www.sapphiretech.com/en" TargetMode="External"/><Relationship Id="rId1465" Type="http://schemas.openxmlformats.org/officeDocument/2006/relationships/hyperlink" Target="https://www.sapphiretech.com/en/consumer/nitro-s360a-aio-cpu-cooler" TargetMode="External"/><Relationship Id="rId1411" Type="http://schemas.openxmlformats.org/officeDocument/2006/relationships/hyperlink" Target="https://www.phanteks.com/Glacier-One-D30.html" TargetMode="External"/><Relationship Id="rId1412" Type="http://schemas.openxmlformats.org/officeDocument/2006/relationships/hyperlink" Target="http://www.phanteks.com/" TargetMode="External"/><Relationship Id="rId1413" Type="http://schemas.openxmlformats.org/officeDocument/2006/relationships/hyperlink" Target="http://www.phanteks.com/Glacier-One-MP.html" TargetMode="External"/><Relationship Id="rId1414" Type="http://schemas.openxmlformats.org/officeDocument/2006/relationships/hyperlink" Target="https://www.asetek.com/" TargetMode="External"/><Relationship Id="rId1415" Type="http://schemas.openxmlformats.org/officeDocument/2006/relationships/hyperlink" Target="http://www.phanteks.com/" TargetMode="External"/><Relationship Id="rId1416" Type="http://schemas.openxmlformats.org/officeDocument/2006/relationships/hyperlink" Target="http://www.phanteks.com/Glacier-One-MPH.html" TargetMode="External"/><Relationship Id="rId1417" Type="http://schemas.openxmlformats.org/officeDocument/2006/relationships/hyperlink" Target="https://www.asetek.com/" TargetMode="External"/><Relationship Id="rId1418" Type="http://schemas.openxmlformats.org/officeDocument/2006/relationships/hyperlink" Target="http://www.phanteks.com/" TargetMode="External"/><Relationship Id="rId1419" Type="http://schemas.openxmlformats.org/officeDocument/2006/relationships/hyperlink" Target="https://www.phanteks.com/Glacier-One-T30-v2.html" TargetMode="External"/><Relationship Id="rId1410" Type="http://schemas.openxmlformats.org/officeDocument/2006/relationships/hyperlink" Target="http://www.phanteks.com/" TargetMode="External"/><Relationship Id="rId1400" Type="http://schemas.openxmlformats.org/officeDocument/2006/relationships/hyperlink" Target="https://www.phanteks.com/Glacier-One-T30-v2.html" TargetMode="External"/><Relationship Id="rId1401" Type="http://schemas.openxmlformats.org/officeDocument/2006/relationships/hyperlink" Target="https://www.asetek.com/" TargetMode="External"/><Relationship Id="rId1402" Type="http://schemas.openxmlformats.org/officeDocument/2006/relationships/hyperlink" Target="http://www.phanteks.com/" TargetMode="External"/><Relationship Id="rId1403" Type="http://schemas.openxmlformats.org/officeDocument/2006/relationships/hyperlink" Target="http://www.phanteks.com/Glacier-One-MP.html" TargetMode="External"/><Relationship Id="rId1404" Type="http://schemas.openxmlformats.org/officeDocument/2006/relationships/hyperlink" Target="https://www.asetek.com/" TargetMode="External"/><Relationship Id="rId1405" Type="http://schemas.openxmlformats.org/officeDocument/2006/relationships/hyperlink" Target="http://www.phanteks.com/" TargetMode="External"/><Relationship Id="rId1406" Type="http://schemas.openxmlformats.org/officeDocument/2006/relationships/hyperlink" Target="http://www.phanteks.com/Glacier-One-MPH.html" TargetMode="External"/><Relationship Id="rId1407" Type="http://schemas.openxmlformats.org/officeDocument/2006/relationships/hyperlink" Target="https://www.asetek.com/" TargetMode="External"/><Relationship Id="rId1408" Type="http://schemas.openxmlformats.org/officeDocument/2006/relationships/hyperlink" Target="http://www.phanteks.com/" TargetMode="External"/><Relationship Id="rId1409" Type="http://schemas.openxmlformats.org/officeDocument/2006/relationships/hyperlink" Target="https://www.phanteks.com/Glacier-One-D30.html" TargetMode="External"/><Relationship Id="rId1433" Type="http://schemas.openxmlformats.org/officeDocument/2006/relationships/hyperlink" Target="https://www.raijintek.com/en/index.php" TargetMode="External"/><Relationship Id="rId1434" Type="http://schemas.openxmlformats.org/officeDocument/2006/relationships/hyperlink" Target="https://www.raijintek.com/en/products_detail.php?ProductID=84" TargetMode="External"/><Relationship Id="rId1435" Type="http://schemas.openxmlformats.org/officeDocument/2006/relationships/hyperlink" Target="https://www.raijintek.com/en/index.php" TargetMode="External"/><Relationship Id="rId1436" Type="http://schemas.openxmlformats.org/officeDocument/2006/relationships/hyperlink" Target="https://www.raijintek.com/en/products_detail.php?ProductID=70" TargetMode="External"/><Relationship Id="rId1437" Type="http://schemas.openxmlformats.org/officeDocument/2006/relationships/hyperlink" Target="https://www.raijintek.com/en/index.php" TargetMode="External"/><Relationship Id="rId1438" Type="http://schemas.openxmlformats.org/officeDocument/2006/relationships/hyperlink" Target="https://www.raijintek.com/en/products_detail.php?ProductID=88" TargetMode="External"/><Relationship Id="rId1439" Type="http://schemas.openxmlformats.org/officeDocument/2006/relationships/hyperlink" Target="https://www.raijintek.com/en/index.php" TargetMode="External"/><Relationship Id="rId609" Type="http://schemas.openxmlformats.org/officeDocument/2006/relationships/hyperlink" Target="https://www.corsair.com/ww/en/Categories/Products/Liquid-Cooling/iCUE-ELITE-CAPELLIX-XT-Liquid-CPU-Cooler/p/CW-9060071-WW" TargetMode="External"/><Relationship Id="rId608" Type="http://schemas.openxmlformats.org/officeDocument/2006/relationships/hyperlink" Target="https://www.corsair.com/ww/en/" TargetMode="External"/><Relationship Id="rId607" Type="http://schemas.openxmlformats.org/officeDocument/2006/relationships/hyperlink" Target="https://www.coolitsystems.com/" TargetMode="External"/><Relationship Id="rId602" Type="http://schemas.openxmlformats.org/officeDocument/2006/relationships/hyperlink" Target="https://www.corsair.com/ww/en/" TargetMode="External"/><Relationship Id="rId601" Type="http://schemas.openxmlformats.org/officeDocument/2006/relationships/hyperlink" Target="https://www.coolitsystems.com/" TargetMode="External"/><Relationship Id="rId600" Type="http://schemas.openxmlformats.org/officeDocument/2006/relationships/hyperlink" Target="https://www.corsair.com/ww/en/Categories/Products/Liquid-Cooling/iCUE-RGB-ELITE-Liquid-CPU-Cooler/p/CW-9060060-WW" TargetMode="External"/><Relationship Id="rId606" Type="http://schemas.openxmlformats.org/officeDocument/2006/relationships/hyperlink" Target="https://www.corsair.com/ww/en/Categories/Products/Liquid-Cooling/iCUE-ELITE-CAPELLIX-Liquid-CPU-Cooler/p/CW-9060055-WW" TargetMode="External"/><Relationship Id="rId605" Type="http://schemas.openxmlformats.org/officeDocument/2006/relationships/hyperlink" Target="https://www.corsair.com/ww/en/" TargetMode="External"/><Relationship Id="rId604" Type="http://schemas.openxmlformats.org/officeDocument/2006/relationships/hyperlink" Target="https://www.coolitsystems.com/" TargetMode="External"/><Relationship Id="rId603" Type="http://schemas.openxmlformats.org/officeDocument/2006/relationships/hyperlink" Target="https://www.corsair.com/ww/en/Categories/Products/Liquid-Cooling/iCUE-RGB-PRO-XT-Coolers/p/CW-9060045-WW" TargetMode="External"/><Relationship Id="rId1430" Type="http://schemas.openxmlformats.org/officeDocument/2006/relationships/hyperlink" Target="https://www.raijintek.com/en/products_detail.php?ProductID=74" TargetMode="External"/><Relationship Id="rId1431" Type="http://schemas.openxmlformats.org/officeDocument/2006/relationships/hyperlink" Target="https://www.raijintek.com/en/index.php" TargetMode="External"/><Relationship Id="rId1432" Type="http://schemas.openxmlformats.org/officeDocument/2006/relationships/hyperlink" Target="https://www.raijintek.com/en/products_detail.php?ProductID=86" TargetMode="External"/><Relationship Id="rId1422" Type="http://schemas.openxmlformats.org/officeDocument/2006/relationships/hyperlink" Target="https://www.phanteks.com/Glacier-One-D30.html" TargetMode="External"/><Relationship Id="rId1423" Type="http://schemas.openxmlformats.org/officeDocument/2006/relationships/hyperlink" Target="http://www.phanteks.com/" TargetMode="External"/><Relationship Id="rId1424" Type="http://schemas.openxmlformats.org/officeDocument/2006/relationships/hyperlink" Target="https://www.phanteks.com/Glacier-One-D30.html" TargetMode="External"/><Relationship Id="rId1425" Type="http://schemas.openxmlformats.org/officeDocument/2006/relationships/hyperlink" Target="https://www.raijintek.com/en/index.php" TargetMode="External"/><Relationship Id="rId1426" Type="http://schemas.openxmlformats.org/officeDocument/2006/relationships/hyperlink" Target="https://www.raijintek.com/en/products_detail.php?ProductID=126" TargetMode="External"/><Relationship Id="rId1427" Type="http://schemas.openxmlformats.org/officeDocument/2006/relationships/hyperlink" Target="https://www.raijintek.com/en/index.php" TargetMode="External"/><Relationship Id="rId1428" Type="http://schemas.openxmlformats.org/officeDocument/2006/relationships/hyperlink" Target="https://www.raijintek.com/en/products_detail.php?ProductID=125" TargetMode="External"/><Relationship Id="rId1429" Type="http://schemas.openxmlformats.org/officeDocument/2006/relationships/hyperlink" Target="https://www.raijintek.com/en/index.php" TargetMode="External"/><Relationship Id="rId1420" Type="http://schemas.openxmlformats.org/officeDocument/2006/relationships/hyperlink" Target="https://www.asetek.com/" TargetMode="External"/><Relationship Id="rId1421" Type="http://schemas.openxmlformats.org/officeDocument/2006/relationships/hyperlink" Target="http://www.phanteks.com/" TargetMode="External"/><Relationship Id="rId1059" Type="http://schemas.openxmlformats.org/officeDocument/2006/relationships/hyperlink" Target="http://www.idcooling.com/Product/detail/id/219/name/ICEFLOW%20240%20ARGB%20SNOW" TargetMode="External"/><Relationship Id="rId228" Type="http://schemas.openxmlformats.org/officeDocument/2006/relationships/hyperlink" Target="https://www.asetek.com/" TargetMode="External"/><Relationship Id="rId227" Type="http://schemas.openxmlformats.org/officeDocument/2006/relationships/hyperlink" Target="https://rog.asus.com/cooling/cpu-liquid-coolers/rog-ryujin/rog-ryujin-ii-360-model/" TargetMode="External"/><Relationship Id="rId226" Type="http://schemas.openxmlformats.org/officeDocument/2006/relationships/hyperlink" Target="https://www.asus.com/" TargetMode="External"/><Relationship Id="rId225" Type="http://schemas.openxmlformats.org/officeDocument/2006/relationships/hyperlink" Target="https://www.asetek.com/" TargetMode="External"/><Relationship Id="rId229" Type="http://schemas.openxmlformats.org/officeDocument/2006/relationships/hyperlink" Target="https://www.asus.com/" TargetMode="External"/><Relationship Id="rId1050" Type="http://schemas.openxmlformats.org/officeDocument/2006/relationships/hyperlink" Target="http://www.idcooling.com/index.php" TargetMode="External"/><Relationship Id="rId220" Type="http://schemas.openxmlformats.org/officeDocument/2006/relationships/hyperlink" Target="https://www.asus.com/" TargetMode="External"/><Relationship Id="rId1051" Type="http://schemas.openxmlformats.org/officeDocument/2006/relationships/hyperlink" Target="http://www.idcooling.com/Product/detail/id/168/name/FROSTFLOW%20X%20240%20SNOW" TargetMode="External"/><Relationship Id="rId1052" Type="http://schemas.openxmlformats.org/officeDocument/2006/relationships/hyperlink" Target="http://www.idcooling.com/index.php" TargetMode="External"/><Relationship Id="rId1053" Type="http://schemas.openxmlformats.org/officeDocument/2006/relationships/hyperlink" Target="https://www.idcooling.com/Product/detail/id/300/name/FROSTFLOW%20X%20280" TargetMode="External"/><Relationship Id="rId1054" Type="http://schemas.openxmlformats.org/officeDocument/2006/relationships/hyperlink" Target="http://www.idcooling.com/index.php" TargetMode="External"/><Relationship Id="rId224" Type="http://schemas.openxmlformats.org/officeDocument/2006/relationships/hyperlink" Target="https://rog.asus.com/cooling/cpu-liquid-coolers/rog-ryujin/rog-ryujin-ii-240-argb-model/" TargetMode="External"/><Relationship Id="rId1055" Type="http://schemas.openxmlformats.org/officeDocument/2006/relationships/hyperlink" Target="https://www.idcooling.com/Product/detail/id/160/name/FROSTFLOW%20X%20360" TargetMode="External"/><Relationship Id="rId223" Type="http://schemas.openxmlformats.org/officeDocument/2006/relationships/hyperlink" Target="https://www.asus.com/" TargetMode="External"/><Relationship Id="rId1056" Type="http://schemas.openxmlformats.org/officeDocument/2006/relationships/hyperlink" Target="http://www.idcooling.com/index.php" TargetMode="External"/><Relationship Id="rId222" Type="http://schemas.openxmlformats.org/officeDocument/2006/relationships/hyperlink" Target="https://www.asetek.com/" TargetMode="External"/><Relationship Id="rId1057" Type="http://schemas.openxmlformats.org/officeDocument/2006/relationships/hyperlink" Target="http://www.idcooling.com/Product/detail/id/209/name/ICEFLOW%20240%20ARGB" TargetMode="External"/><Relationship Id="rId221" Type="http://schemas.openxmlformats.org/officeDocument/2006/relationships/hyperlink" Target="https://rog.asus.com/cooling/cpu-liquid-coolers/rog-ryujin/rog-ryujin-ii-240-model/" TargetMode="External"/><Relationship Id="rId1058" Type="http://schemas.openxmlformats.org/officeDocument/2006/relationships/hyperlink" Target="http://www.idcooling.com/index.php" TargetMode="External"/><Relationship Id="rId1048" Type="http://schemas.openxmlformats.org/officeDocument/2006/relationships/hyperlink" Target="http://www.idcooling.com/index.php" TargetMode="External"/><Relationship Id="rId1049" Type="http://schemas.openxmlformats.org/officeDocument/2006/relationships/hyperlink" Target="http://www.idcooling.com/Product/detail/id/146/name/FROSTFLOW%20X%20240" TargetMode="External"/><Relationship Id="rId217" Type="http://schemas.openxmlformats.org/officeDocument/2006/relationships/hyperlink" Target="https://www.asus.com/" TargetMode="External"/><Relationship Id="rId216" Type="http://schemas.openxmlformats.org/officeDocument/2006/relationships/hyperlink" Target="https://www.asetek.com/" TargetMode="External"/><Relationship Id="rId215" Type="http://schemas.openxmlformats.org/officeDocument/2006/relationships/hyperlink" Target="https://rog.asus.com/Cooling/CPU-Liquid-Coolers/ROG-Ryujin/ROG-RYUJIN-240-Model/" TargetMode="External"/><Relationship Id="rId699" Type="http://schemas.openxmlformats.org/officeDocument/2006/relationships/hyperlink" Target="https://www.deepcool.com/index.shtml" TargetMode="External"/><Relationship Id="rId214" Type="http://schemas.openxmlformats.org/officeDocument/2006/relationships/hyperlink" Target="https://www.asus.com/" TargetMode="External"/><Relationship Id="rId698" Type="http://schemas.openxmlformats.org/officeDocument/2006/relationships/hyperlink" Target="https://www.gamerstorm.com/product/CPULIQUIDCOOLER/2019-09/1286_12246.shtml" TargetMode="External"/><Relationship Id="rId219" Type="http://schemas.openxmlformats.org/officeDocument/2006/relationships/hyperlink" Target="https://www.asetek.com/" TargetMode="External"/><Relationship Id="rId218" Type="http://schemas.openxmlformats.org/officeDocument/2006/relationships/hyperlink" Target="https://rog.asus.com/cooling/cpu-liquid-coolers/rog-ryujin/rog-ryujin-360-model/" TargetMode="External"/><Relationship Id="rId693" Type="http://schemas.openxmlformats.org/officeDocument/2006/relationships/hyperlink" Target="https://www.deepcool.com/index.shtml" TargetMode="External"/><Relationship Id="rId1040" Type="http://schemas.openxmlformats.org/officeDocument/2006/relationships/hyperlink" Target="http://www.idcooling.com/index.php" TargetMode="External"/><Relationship Id="rId692" Type="http://schemas.openxmlformats.org/officeDocument/2006/relationships/hyperlink" Target="https://us.deepcool.com/products/Cooling/cpuliquidcoolers/2021/11968.shtml" TargetMode="External"/><Relationship Id="rId1041" Type="http://schemas.openxmlformats.org/officeDocument/2006/relationships/hyperlink" Target="http://www.idcooling.com/Product/detail/id/284/name/FROSTFLOW%20240%20XT" TargetMode="External"/><Relationship Id="rId691" Type="http://schemas.openxmlformats.org/officeDocument/2006/relationships/hyperlink" Target="https://www.deepcool.com/index.shtml" TargetMode="External"/><Relationship Id="rId1042" Type="http://schemas.openxmlformats.org/officeDocument/2006/relationships/hyperlink" Target="http://www.idcooling.com/index.php" TargetMode="External"/><Relationship Id="rId690" Type="http://schemas.openxmlformats.org/officeDocument/2006/relationships/hyperlink" Target="https://www.deepcool.com/index.shtml" TargetMode="External"/><Relationship Id="rId1043" Type="http://schemas.openxmlformats.org/officeDocument/2006/relationships/hyperlink" Target="http://www.idcooling.com/Product/detail/id/285/name/FROSTFLOW%20240%20XT%20SNOW" TargetMode="External"/><Relationship Id="rId213" Type="http://schemas.openxmlformats.org/officeDocument/2006/relationships/hyperlink" Target="https://www.asetek.com/" TargetMode="External"/><Relationship Id="rId697" Type="http://schemas.openxmlformats.org/officeDocument/2006/relationships/hyperlink" Target="https://www.deepcool.com/index.shtml" TargetMode="External"/><Relationship Id="rId1044" Type="http://schemas.openxmlformats.org/officeDocument/2006/relationships/hyperlink" Target="http://www.idcooling.com/index.php" TargetMode="External"/><Relationship Id="rId212" Type="http://schemas.openxmlformats.org/officeDocument/2006/relationships/hyperlink" Target="https://www.asetek.com/gamingenthusiasts/technology-for-gamingdiy/cpu-cooling/small-form-factor-cpu-cooler" TargetMode="External"/><Relationship Id="rId696" Type="http://schemas.openxmlformats.org/officeDocument/2006/relationships/hyperlink" Target="https://www.deepcool.com/index.shtml" TargetMode="External"/><Relationship Id="rId1045" Type="http://schemas.openxmlformats.org/officeDocument/2006/relationships/hyperlink" Target="http://www.idcooling.com/Product/detail/id/147/name/FROSTFLOW%20X%20120" TargetMode="External"/><Relationship Id="rId211" Type="http://schemas.openxmlformats.org/officeDocument/2006/relationships/hyperlink" Target="https://www.asetek.com/" TargetMode="External"/><Relationship Id="rId695" Type="http://schemas.openxmlformats.org/officeDocument/2006/relationships/hyperlink" Target="https://us.deepcool.com/products/Cooling/cpuliquidcoolers/2021/8598.shtml" TargetMode="External"/><Relationship Id="rId1046" Type="http://schemas.openxmlformats.org/officeDocument/2006/relationships/hyperlink" Target="http://www.idcooling.com/index.php" TargetMode="External"/><Relationship Id="rId210" Type="http://schemas.openxmlformats.org/officeDocument/2006/relationships/hyperlink" Target="https://hwbusters.com/cooling/arctic-liquid-freezer-iii-420-a-rgb-aio-review-promo-price-top-performance/" TargetMode="External"/><Relationship Id="rId694" Type="http://schemas.openxmlformats.org/officeDocument/2006/relationships/hyperlink" Target="https://www.deepcool.com/index.shtml" TargetMode="External"/><Relationship Id="rId1047" Type="http://schemas.openxmlformats.org/officeDocument/2006/relationships/hyperlink" Target="http://www.idcooling.com/Product/detail/id/217/name/FROSTFLOW%20X%20120%20SNOW" TargetMode="External"/><Relationship Id="rId249" Type="http://schemas.openxmlformats.org/officeDocument/2006/relationships/hyperlink" Target="https://www.asetek.com/" TargetMode="External"/><Relationship Id="rId248" Type="http://schemas.openxmlformats.org/officeDocument/2006/relationships/hyperlink" Target="https://rog.asus.com/cooling/cpu-liquid-coolers/rog-ryujin/rog-ryujin-iii-360-argb-eva-02-edition/" TargetMode="External"/><Relationship Id="rId247" Type="http://schemas.openxmlformats.org/officeDocument/2006/relationships/hyperlink" Target="https://www.asus.com/" TargetMode="External"/><Relationship Id="rId1070" Type="http://schemas.openxmlformats.org/officeDocument/2006/relationships/hyperlink" Target="http://www.idcooling.com/index.php" TargetMode="External"/><Relationship Id="rId1071" Type="http://schemas.openxmlformats.org/officeDocument/2006/relationships/hyperlink" Target="https://www.idcooling.com/Product/detail/id/236/name/PINKFLOW%20360" TargetMode="External"/><Relationship Id="rId1072" Type="http://schemas.openxmlformats.org/officeDocument/2006/relationships/hyperlink" Target="http://www.idcooling.com/index.php" TargetMode="External"/><Relationship Id="rId242" Type="http://schemas.openxmlformats.org/officeDocument/2006/relationships/hyperlink" Target="https://rog.asus.com/cooling/cpu-liquid-coolers/rog-ryujin/rog-ryujin-iii-360/" TargetMode="External"/><Relationship Id="rId1073" Type="http://schemas.openxmlformats.org/officeDocument/2006/relationships/hyperlink" Target="https://www.idcooling.com/Product/detail/id/404/name/SL240" TargetMode="External"/><Relationship Id="rId241" Type="http://schemas.openxmlformats.org/officeDocument/2006/relationships/hyperlink" Target="https://www.asus.com/" TargetMode="External"/><Relationship Id="rId1074" Type="http://schemas.openxmlformats.org/officeDocument/2006/relationships/hyperlink" Target="http://www.idcooling.com/index.php" TargetMode="External"/><Relationship Id="rId240" Type="http://schemas.openxmlformats.org/officeDocument/2006/relationships/hyperlink" Target="https://www.asetek.com/" TargetMode="External"/><Relationship Id="rId1075" Type="http://schemas.openxmlformats.org/officeDocument/2006/relationships/hyperlink" Target="https://www.idcooling.com/Product/detail/id/403/name/SL240%20WHITE" TargetMode="External"/><Relationship Id="rId1076" Type="http://schemas.openxmlformats.org/officeDocument/2006/relationships/hyperlink" Target="http://www.idcooling.com/index.php" TargetMode="External"/><Relationship Id="rId246" Type="http://schemas.openxmlformats.org/officeDocument/2006/relationships/hyperlink" Target="https://www.asetek.com/" TargetMode="External"/><Relationship Id="rId1077" Type="http://schemas.openxmlformats.org/officeDocument/2006/relationships/hyperlink" Target="https://www.idcooling.com/Product/detail/id/402/name/SL360" TargetMode="External"/><Relationship Id="rId245" Type="http://schemas.openxmlformats.org/officeDocument/2006/relationships/hyperlink" Target="https://rog.asus.com/cooling/cpu-liquid-coolers/rog-ryujin/rog-ryujin-iii-360-argb/" TargetMode="External"/><Relationship Id="rId1078" Type="http://schemas.openxmlformats.org/officeDocument/2006/relationships/hyperlink" Target="http://www.idcooling.com/index.php" TargetMode="External"/><Relationship Id="rId244" Type="http://schemas.openxmlformats.org/officeDocument/2006/relationships/hyperlink" Target="https://www.asus.com/" TargetMode="External"/><Relationship Id="rId1079" Type="http://schemas.openxmlformats.org/officeDocument/2006/relationships/hyperlink" Target="https://www.idcooling.com/Product/detail/id/401/name/SL360%20WHITE" TargetMode="External"/><Relationship Id="rId243" Type="http://schemas.openxmlformats.org/officeDocument/2006/relationships/hyperlink" Target="https://www.asetek.com/" TargetMode="External"/><Relationship Id="rId239" Type="http://schemas.openxmlformats.org/officeDocument/2006/relationships/hyperlink" Target="https://rog.asus.com/cooling/cpu-liquid-coolers/rog-ryujin/rog-ryujin-iii-240-argb/" TargetMode="External"/><Relationship Id="rId238" Type="http://schemas.openxmlformats.org/officeDocument/2006/relationships/hyperlink" Target="https://www.asus.com/" TargetMode="External"/><Relationship Id="rId237" Type="http://schemas.openxmlformats.org/officeDocument/2006/relationships/hyperlink" Target="https://www.asetek.com/" TargetMode="External"/><Relationship Id="rId236" Type="http://schemas.openxmlformats.org/officeDocument/2006/relationships/hyperlink" Target="https://rog.asus.com/cooling/cpu-liquid-coolers/rog-ryujin/rog-ryujin-iii-240/" TargetMode="External"/><Relationship Id="rId1060" Type="http://schemas.openxmlformats.org/officeDocument/2006/relationships/hyperlink" Target="http://www.idcooling.com/index.php" TargetMode="External"/><Relationship Id="rId1061" Type="http://schemas.openxmlformats.org/officeDocument/2006/relationships/hyperlink" Target="https://www.idcooling.com/Product/detail/id/74/name/ICEKIMO%20120W" TargetMode="External"/><Relationship Id="rId231" Type="http://schemas.openxmlformats.org/officeDocument/2006/relationships/hyperlink" Target="https://www.asetek.com/" TargetMode="External"/><Relationship Id="rId1062" Type="http://schemas.openxmlformats.org/officeDocument/2006/relationships/hyperlink" Target="http://www.idcooling.com/index.php" TargetMode="External"/><Relationship Id="rId230" Type="http://schemas.openxmlformats.org/officeDocument/2006/relationships/hyperlink" Target="https://rog.asus.com/cooling/cpu-liquid-coolers/rog-ryujin/rog-ryujin-ii-360-argb-model/" TargetMode="External"/><Relationship Id="rId1063" Type="http://schemas.openxmlformats.org/officeDocument/2006/relationships/hyperlink" Target="http://www.idcooling.com/Product/detail/id/163/name/PINKFLOW%20240" TargetMode="External"/><Relationship Id="rId1064" Type="http://schemas.openxmlformats.org/officeDocument/2006/relationships/hyperlink" Target="http://www.idcooling.com/index.php" TargetMode="External"/><Relationship Id="rId1065" Type="http://schemas.openxmlformats.org/officeDocument/2006/relationships/hyperlink" Target="https://www.idcooling.com/Product/detail/id/260/name/PINKFLOW%20240%20Diamond" TargetMode="External"/><Relationship Id="rId235" Type="http://schemas.openxmlformats.org/officeDocument/2006/relationships/hyperlink" Target="https://www.asus.com/" TargetMode="External"/><Relationship Id="rId1066" Type="http://schemas.openxmlformats.org/officeDocument/2006/relationships/hyperlink" Target="http://www.idcooling.com/index.php" TargetMode="External"/><Relationship Id="rId234" Type="http://schemas.openxmlformats.org/officeDocument/2006/relationships/hyperlink" Target="https://www.asetek.com/" TargetMode="External"/><Relationship Id="rId1067" Type="http://schemas.openxmlformats.org/officeDocument/2006/relationships/hyperlink" Target="https://www.idcooling.com/Product/detail/id/270/name/PINKFLOW%20240%20DIAMOND%20PURPLE" TargetMode="External"/><Relationship Id="rId233" Type="http://schemas.openxmlformats.org/officeDocument/2006/relationships/hyperlink" Target="https://rog.asus.com/cooling/cpu-liquid-coolers/rog-ryujin/rog-ryujin-ii-360-argb-eva-edition-model/" TargetMode="External"/><Relationship Id="rId1068" Type="http://schemas.openxmlformats.org/officeDocument/2006/relationships/hyperlink" Target="http://www.idcooling.com/index.php" TargetMode="External"/><Relationship Id="rId232" Type="http://schemas.openxmlformats.org/officeDocument/2006/relationships/hyperlink" Target="https://www.asus.com/" TargetMode="External"/><Relationship Id="rId1069" Type="http://schemas.openxmlformats.org/officeDocument/2006/relationships/hyperlink" Target="https://www.idcooling.com/Product/detail/id/295/name/PINKFLOW%20240%20V2" TargetMode="External"/><Relationship Id="rId1015" Type="http://schemas.openxmlformats.org/officeDocument/2006/relationships/hyperlink" Target="https://www.gigabyte.com/CPU-Cooler/AORUS-WATERFORCE-X-II-360-ICE" TargetMode="External"/><Relationship Id="rId1499" Type="http://schemas.openxmlformats.org/officeDocument/2006/relationships/hyperlink" Target="https://www.silverstonetek.com/en/" TargetMode="External"/><Relationship Id="rId1016" Type="http://schemas.openxmlformats.org/officeDocument/2006/relationships/hyperlink" Target="http://www.idcooling.com/index.php" TargetMode="External"/><Relationship Id="rId1017" Type="http://schemas.openxmlformats.org/officeDocument/2006/relationships/hyperlink" Target="http://www.idcooling.com/Product/detail/id/145/name/AURAFLOW%20X%20120" TargetMode="External"/><Relationship Id="rId1018" Type="http://schemas.openxmlformats.org/officeDocument/2006/relationships/hyperlink" Target="http://www.idcooling.com/index.php" TargetMode="External"/><Relationship Id="rId1019" Type="http://schemas.openxmlformats.org/officeDocument/2006/relationships/hyperlink" Target="http://www.idcooling.com/Product/detail/id/143/name/AURAFLOW%20X%20240" TargetMode="External"/><Relationship Id="rId668" Type="http://schemas.openxmlformats.org/officeDocument/2006/relationships/hyperlink" Target="https://www.darkflash.com/" TargetMode="External"/><Relationship Id="rId667" Type="http://schemas.openxmlformats.org/officeDocument/2006/relationships/hyperlink" Target="https://www.darkflash.com/tw/product/show.php?num=118" TargetMode="External"/><Relationship Id="rId666" Type="http://schemas.openxmlformats.org/officeDocument/2006/relationships/hyperlink" Target="https://www.darkflash.com/" TargetMode="External"/><Relationship Id="rId665" Type="http://schemas.openxmlformats.org/officeDocument/2006/relationships/hyperlink" Target="https://www.darkflash.com/tw/product/show.php?num=69" TargetMode="External"/><Relationship Id="rId669" Type="http://schemas.openxmlformats.org/officeDocument/2006/relationships/hyperlink" Target="https://www.darkflash.com/tw/product/show.php?num=119" TargetMode="External"/><Relationship Id="rId1490" Type="http://schemas.openxmlformats.org/officeDocument/2006/relationships/hyperlink" Target="https://www.silentiumpc.com/en/product/navis-evo-argb-280/" TargetMode="External"/><Relationship Id="rId660" Type="http://schemas.openxmlformats.org/officeDocument/2006/relationships/hyperlink" Target="https://www.darkflash.com/" TargetMode="External"/><Relationship Id="rId1491" Type="http://schemas.openxmlformats.org/officeDocument/2006/relationships/hyperlink" Target="https://www.silentiumpc.com/en/" TargetMode="External"/><Relationship Id="rId1492" Type="http://schemas.openxmlformats.org/officeDocument/2006/relationships/hyperlink" Target="https://www.silentiumpc.com/en/product/navis-evo-argb-360/" TargetMode="External"/><Relationship Id="rId1493" Type="http://schemas.openxmlformats.org/officeDocument/2006/relationships/hyperlink" Target="https://www.silverstonetek.com/en/" TargetMode="External"/><Relationship Id="rId1010" Type="http://schemas.openxmlformats.org/officeDocument/2006/relationships/hyperlink" Target="https://www.gigabyte.com/" TargetMode="External"/><Relationship Id="rId1494" Type="http://schemas.openxmlformats.org/officeDocument/2006/relationships/hyperlink" Target="https://www.silverstonetek.com/product.php?pid=949&amp;bno=40&amp;tb=21&amp;area=en" TargetMode="External"/><Relationship Id="rId664" Type="http://schemas.openxmlformats.org/officeDocument/2006/relationships/hyperlink" Target="https://www.darkflash.com/" TargetMode="External"/><Relationship Id="rId1011" Type="http://schemas.openxmlformats.org/officeDocument/2006/relationships/hyperlink" Target="https://www.gigabyte.com/CPU-Cooler/AORUS-WATERFORCE-X-II-240" TargetMode="External"/><Relationship Id="rId1495" Type="http://schemas.openxmlformats.org/officeDocument/2006/relationships/hyperlink" Target="http://www.apalcool.com/index.php?c=category&amp;id=28" TargetMode="External"/><Relationship Id="rId663" Type="http://schemas.openxmlformats.org/officeDocument/2006/relationships/hyperlink" Target="https://www.darkflash.com/tw/product/show.php?num=67" TargetMode="External"/><Relationship Id="rId1012" Type="http://schemas.openxmlformats.org/officeDocument/2006/relationships/hyperlink" Target="https://www.gigabyte.com/" TargetMode="External"/><Relationship Id="rId1496" Type="http://schemas.openxmlformats.org/officeDocument/2006/relationships/hyperlink" Target="https://www.silverstonetek.com/en/" TargetMode="External"/><Relationship Id="rId662" Type="http://schemas.openxmlformats.org/officeDocument/2006/relationships/hyperlink" Target="https://www.darkflash.com/" TargetMode="External"/><Relationship Id="rId1013" Type="http://schemas.openxmlformats.org/officeDocument/2006/relationships/hyperlink" Target="https://www.gigabyte.com/CPU-Cooler/AORUS-WATERFORCE-X-II-360" TargetMode="External"/><Relationship Id="rId1497" Type="http://schemas.openxmlformats.org/officeDocument/2006/relationships/hyperlink" Target="https://www.silverstonetek.com/product.php?pid=950&amp;bno=40&amp;tb=21&amp;area=en" TargetMode="External"/><Relationship Id="rId661" Type="http://schemas.openxmlformats.org/officeDocument/2006/relationships/hyperlink" Target="https://www.darkflash.com/tw/product/show.php?num=27" TargetMode="External"/><Relationship Id="rId1014" Type="http://schemas.openxmlformats.org/officeDocument/2006/relationships/hyperlink" Target="https://www.gigabyte.com/" TargetMode="External"/><Relationship Id="rId1498" Type="http://schemas.openxmlformats.org/officeDocument/2006/relationships/hyperlink" Target="http://www.apalcool.com/index.php?c=category&amp;id=28" TargetMode="External"/><Relationship Id="rId1004" Type="http://schemas.openxmlformats.org/officeDocument/2006/relationships/hyperlink" Target="https://www.gigabyte.com/" TargetMode="External"/><Relationship Id="rId1488" Type="http://schemas.openxmlformats.org/officeDocument/2006/relationships/hyperlink" Target="https://www.silentiumpc.com/en/product/navis-evo-argb-240/" TargetMode="External"/><Relationship Id="rId1005" Type="http://schemas.openxmlformats.org/officeDocument/2006/relationships/hyperlink" Target="https://www.gigabyte.com/Thermal-Solution/AORUS-WATERFORCE-X-280" TargetMode="External"/><Relationship Id="rId1489" Type="http://schemas.openxmlformats.org/officeDocument/2006/relationships/hyperlink" Target="https://www.silentiumpc.com/en/" TargetMode="External"/><Relationship Id="rId1006" Type="http://schemas.openxmlformats.org/officeDocument/2006/relationships/hyperlink" Target="https://www.asetek.com/" TargetMode="External"/><Relationship Id="rId1007" Type="http://schemas.openxmlformats.org/officeDocument/2006/relationships/hyperlink" Target="https://www.gigabyte.com/" TargetMode="External"/><Relationship Id="rId1008" Type="http://schemas.openxmlformats.org/officeDocument/2006/relationships/hyperlink" Target="https://www.gigabyte.com/CPU-Cooler/AORUS-WATERFORCE-X-360" TargetMode="External"/><Relationship Id="rId1009" Type="http://schemas.openxmlformats.org/officeDocument/2006/relationships/hyperlink" Target="https://www.asetek.com/" TargetMode="External"/><Relationship Id="rId657" Type="http://schemas.openxmlformats.org/officeDocument/2006/relationships/hyperlink" Target="https://www.darkflash.com/cooling-dt-240" TargetMode="External"/><Relationship Id="rId656" Type="http://schemas.openxmlformats.org/officeDocument/2006/relationships/hyperlink" Target="https://www.darkflash.com/" TargetMode="External"/><Relationship Id="rId655" Type="http://schemas.openxmlformats.org/officeDocument/2006/relationships/hyperlink" Target="https://www.darkflash.com/cooling-dt-120" TargetMode="External"/><Relationship Id="rId654" Type="http://schemas.openxmlformats.org/officeDocument/2006/relationships/hyperlink" Target="https://www.darkflash.com/" TargetMode="External"/><Relationship Id="rId659" Type="http://schemas.openxmlformats.org/officeDocument/2006/relationships/hyperlink" Target="https://www.darkflash.com/tw/product/show.php?num=101" TargetMode="External"/><Relationship Id="rId658" Type="http://schemas.openxmlformats.org/officeDocument/2006/relationships/hyperlink" Target="https://www.darkflash.com/" TargetMode="External"/><Relationship Id="rId1480" Type="http://schemas.openxmlformats.org/officeDocument/2006/relationships/hyperlink" Target="https://www.silentiumpc.com/en/product/navis-rgb-240/" TargetMode="External"/><Relationship Id="rId1481" Type="http://schemas.openxmlformats.org/officeDocument/2006/relationships/hyperlink" Target="https://www.silentiumpc.com/en/" TargetMode="External"/><Relationship Id="rId1482" Type="http://schemas.openxmlformats.org/officeDocument/2006/relationships/hyperlink" Target="https://www.silentiumpc.com/en/product/navis-rgb-280/" TargetMode="External"/><Relationship Id="rId1483" Type="http://schemas.openxmlformats.org/officeDocument/2006/relationships/hyperlink" Target="https://www.silentiumpc.com/en/" TargetMode="External"/><Relationship Id="rId653" Type="http://schemas.openxmlformats.org/officeDocument/2006/relationships/hyperlink" Target="https://www.darkflash.com/tw/product/show.php?num=53" TargetMode="External"/><Relationship Id="rId1000" Type="http://schemas.openxmlformats.org/officeDocument/2006/relationships/hyperlink" Target="https://www.gigabyte.com/CPU-Cooler/AORUS-WATERFORCE-II-360-ICE" TargetMode="External"/><Relationship Id="rId1484" Type="http://schemas.openxmlformats.org/officeDocument/2006/relationships/hyperlink" Target="https://www.silentiumpc.com/en/product/navis-rgb-360/" TargetMode="External"/><Relationship Id="rId652" Type="http://schemas.openxmlformats.org/officeDocument/2006/relationships/hyperlink" Target="https://www.darkflash.com/" TargetMode="External"/><Relationship Id="rId1001" Type="http://schemas.openxmlformats.org/officeDocument/2006/relationships/hyperlink" Target="https://www.gigabyte.com/" TargetMode="External"/><Relationship Id="rId1485" Type="http://schemas.openxmlformats.org/officeDocument/2006/relationships/hyperlink" Target="https://www.silentiumpc.com/en/" TargetMode="External"/><Relationship Id="rId651" Type="http://schemas.openxmlformats.org/officeDocument/2006/relationships/hyperlink" Target="https://www.darkflash.com/cooling-tr240" TargetMode="External"/><Relationship Id="rId1002" Type="http://schemas.openxmlformats.org/officeDocument/2006/relationships/hyperlink" Target="https://www.gigabyte.com/Thermal-Solution/AORUS-WATERFORCE-X-240" TargetMode="External"/><Relationship Id="rId1486" Type="http://schemas.openxmlformats.org/officeDocument/2006/relationships/hyperlink" Target="https://www.silentiumpc.com/en/product/navis-evo-argb-120/" TargetMode="External"/><Relationship Id="rId650" Type="http://schemas.openxmlformats.org/officeDocument/2006/relationships/hyperlink" Target="https://www.darkflash.com/" TargetMode="External"/><Relationship Id="rId1003" Type="http://schemas.openxmlformats.org/officeDocument/2006/relationships/hyperlink" Target="https://www.asetek.com/" TargetMode="External"/><Relationship Id="rId1487" Type="http://schemas.openxmlformats.org/officeDocument/2006/relationships/hyperlink" Target="https://www.silentiumpc.com/en/" TargetMode="External"/><Relationship Id="rId1037" Type="http://schemas.openxmlformats.org/officeDocument/2006/relationships/hyperlink" Target="https://www.idcooling.com/Product/detail/id/316/name/DASHFLOW%20240%20BASIC%20BLACK" TargetMode="External"/><Relationship Id="rId1038" Type="http://schemas.openxmlformats.org/officeDocument/2006/relationships/hyperlink" Target="http://www.idcooling.com/index.php" TargetMode="External"/><Relationship Id="rId1039" Type="http://schemas.openxmlformats.org/officeDocument/2006/relationships/hyperlink" Target="https://www.idcooling.com/Product/detail/id/135/name/DASHFLOW%20360" TargetMode="External"/><Relationship Id="rId206" Type="http://schemas.openxmlformats.org/officeDocument/2006/relationships/hyperlink" Target="https://hwbusters.com/cooling/arctic-liquid-freezer-iii-420-a-rgb-aio-review-promo-price-top-performance/" TargetMode="External"/><Relationship Id="rId205" Type="http://schemas.openxmlformats.org/officeDocument/2006/relationships/hyperlink" Target="https://www.arctic.de/en/" TargetMode="External"/><Relationship Id="rId689" Type="http://schemas.openxmlformats.org/officeDocument/2006/relationships/hyperlink" Target="https://us.deepcool.com/products/Cooling/cpuliquidcoolers/2021/11965.shtml" TargetMode="External"/><Relationship Id="rId204" Type="http://schemas.openxmlformats.org/officeDocument/2006/relationships/hyperlink" Target="https://www.arctic.de/en/Liquid-Freezer-III-420-A-RGB/ACFRE00145A" TargetMode="External"/><Relationship Id="rId688" Type="http://schemas.openxmlformats.org/officeDocument/2006/relationships/hyperlink" Target="https://www.deepcool.com/index.shtml" TargetMode="External"/><Relationship Id="rId203" Type="http://schemas.openxmlformats.org/officeDocument/2006/relationships/hyperlink" Target="https://www.arctic.de/en/" TargetMode="External"/><Relationship Id="rId687" Type="http://schemas.openxmlformats.org/officeDocument/2006/relationships/hyperlink" Target="https://www.deepcool.com/index.shtml" TargetMode="External"/><Relationship Id="rId209" Type="http://schemas.openxmlformats.org/officeDocument/2006/relationships/hyperlink" Target="https://www.arctic.de/en/" TargetMode="External"/><Relationship Id="rId208" Type="http://schemas.openxmlformats.org/officeDocument/2006/relationships/hyperlink" Target="https://www.arctic.de/en/Liquid-Freezer-III-420-A-RGB/ACFRE00153A" TargetMode="External"/><Relationship Id="rId207" Type="http://schemas.openxmlformats.org/officeDocument/2006/relationships/hyperlink" Target="https://www.arctic.de/en/" TargetMode="External"/><Relationship Id="rId682" Type="http://schemas.openxmlformats.org/officeDocument/2006/relationships/hyperlink" Target="https://www.deepcool.com/index.shtml" TargetMode="External"/><Relationship Id="rId681" Type="http://schemas.openxmlformats.org/officeDocument/2006/relationships/hyperlink" Target="https://www.deepcool.com/index.shtml" TargetMode="External"/><Relationship Id="rId1030" Type="http://schemas.openxmlformats.org/officeDocument/2006/relationships/hyperlink" Target="http://www.idcooling.com/index.php" TargetMode="External"/><Relationship Id="rId680" Type="http://schemas.openxmlformats.org/officeDocument/2006/relationships/hyperlink" Target="https://www.deepcool.com/products/Cooling/cpuliquidcoolers/2020/130.shtml" TargetMode="External"/><Relationship Id="rId1031" Type="http://schemas.openxmlformats.org/officeDocument/2006/relationships/hyperlink" Target="https://www.idcooling.com/Product/detail/id/172/name/AURAFLOW%20X%20360%20SNOW" TargetMode="External"/><Relationship Id="rId1032" Type="http://schemas.openxmlformats.org/officeDocument/2006/relationships/hyperlink" Target="http://www.idcooling.com/index.php" TargetMode="External"/><Relationship Id="rId202" Type="http://schemas.openxmlformats.org/officeDocument/2006/relationships/hyperlink" Target="https://www.arctic.de/en/" TargetMode="External"/><Relationship Id="rId686" Type="http://schemas.openxmlformats.org/officeDocument/2006/relationships/hyperlink" Target="https://www.deepcool.com/products/Cooling/cpuliquidcoolers/Castle-240EX-Liquid-CPU-Cooler/2021/119.shtml" TargetMode="External"/><Relationship Id="rId1033" Type="http://schemas.openxmlformats.org/officeDocument/2006/relationships/hyperlink" Target="https://www.idcooling.com/Product/detail/id/131/name/CHROMAFLOW%20240" TargetMode="External"/><Relationship Id="rId201" Type="http://schemas.openxmlformats.org/officeDocument/2006/relationships/hyperlink" Target="https://www.arctic.de/en/Liquid-Freezer-III-420/ACFRE00137A" TargetMode="External"/><Relationship Id="rId685" Type="http://schemas.openxmlformats.org/officeDocument/2006/relationships/hyperlink" Target="https://www.deepcool.com/index.shtml" TargetMode="External"/><Relationship Id="rId1034" Type="http://schemas.openxmlformats.org/officeDocument/2006/relationships/hyperlink" Target="http://www.idcooling.com/index.php" TargetMode="External"/><Relationship Id="rId200" Type="http://schemas.openxmlformats.org/officeDocument/2006/relationships/hyperlink" Target="https://www.arctic.de/en/" TargetMode="External"/><Relationship Id="rId684" Type="http://schemas.openxmlformats.org/officeDocument/2006/relationships/hyperlink" Target="https://www.deepcool.com/index.shtml" TargetMode="External"/><Relationship Id="rId1035" Type="http://schemas.openxmlformats.org/officeDocument/2006/relationships/hyperlink" Target="https://www.idcooling.com/Product/detail/id/129/name/DASHFLOW%20240" TargetMode="External"/><Relationship Id="rId683" Type="http://schemas.openxmlformats.org/officeDocument/2006/relationships/hyperlink" Target="https://us.deepcool.com/products/Cooling/cpuliquidcoolers/Castle-120R-Liquid-CPU-Cooler/2021/8596.shtml" TargetMode="External"/><Relationship Id="rId1036" Type="http://schemas.openxmlformats.org/officeDocument/2006/relationships/hyperlink" Target="http://www.idcooling.com/index.php" TargetMode="External"/><Relationship Id="rId1026" Type="http://schemas.openxmlformats.org/officeDocument/2006/relationships/hyperlink" Target="http://www.idcooling.com/index.php" TargetMode="External"/><Relationship Id="rId1027" Type="http://schemas.openxmlformats.org/officeDocument/2006/relationships/hyperlink" Target="https://www.idcooling.com/Product/detail/id/296/name/AURAFLOW%20X%20240%20EVO%20SNOW" TargetMode="External"/><Relationship Id="rId1028" Type="http://schemas.openxmlformats.org/officeDocument/2006/relationships/hyperlink" Target="http://www.idcooling.com/index.php" TargetMode="External"/><Relationship Id="rId1029" Type="http://schemas.openxmlformats.org/officeDocument/2006/relationships/hyperlink" Target="https://www.idcooling.com/Product/detail/id/153/name/AURAFLOW%20X%20360" TargetMode="External"/><Relationship Id="rId679" Type="http://schemas.openxmlformats.org/officeDocument/2006/relationships/hyperlink" Target="https://www.deepcool.com/index.shtml" TargetMode="External"/><Relationship Id="rId678" Type="http://schemas.openxmlformats.org/officeDocument/2006/relationships/hyperlink" Target="https://www.deepcool.com/index.shtml" TargetMode="External"/><Relationship Id="rId677" Type="http://schemas.openxmlformats.org/officeDocument/2006/relationships/hyperlink" Target="https://www.gamerstorm.com/product/CPULIQUIDCOOLER/2019-07/1286_11564.shtml" TargetMode="External"/><Relationship Id="rId676" Type="http://schemas.openxmlformats.org/officeDocument/2006/relationships/hyperlink" Target="https://www.deepcool.com/index.shtml" TargetMode="External"/><Relationship Id="rId671" Type="http://schemas.openxmlformats.org/officeDocument/2006/relationships/hyperlink" Target="https://www.gamerstorm.com/product/CPULIQUIDCOOLER/2019-08/1286_11625.shtml" TargetMode="External"/><Relationship Id="rId670" Type="http://schemas.openxmlformats.org/officeDocument/2006/relationships/hyperlink" Target="https://www.deepcool.com/index.shtml" TargetMode="External"/><Relationship Id="rId1020" Type="http://schemas.openxmlformats.org/officeDocument/2006/relationships/hyperlink" Target="http://www.idcooling.com/index.php" TargetMode="External"/><Relationship Id="rId1021" Type="http://schemas.openxmlformats.org/officeDocument/2006/relationships/hyperlink" Target="http://www.idcooling.com/Product/detail/id/169/name/AURAFLOW%20X%20240%20SNOW" TargetMode="External"/><Relationship Id="rId675" Type="http://schemas.openxmlformats.org/officeDocument/2006/relationships/hyperlink" Target="https://www.deepcool.com/index.shtml" TargetMode="External"/><Relationship Id="rId1022" Type="http://schemas.openxmlformats.org/officeDocument/2006/relationships/hyperlink" Target="http://www.idcooling.com/index.php" TargetMode="External"/><Relationship Id="rId674" Type="http://schemas.openxmlformats.org/officeDocument/2006/relationships/hyperlink" Target="https://www.gamerstorm.com/product/CPULIQUIDCOOLER/2019-08/1286_11611.shtml" TargetMode="External"/><Relationship Id="rId1023" Type="http://schemas.openxmlformats.org/officeDocument/2006/relationships/hyperlink" Target="https://www.idcooling.com/Product/detail/id/152/name/AURAFLOW%20X%20240%20TGA" TargetMode="External"/><Relationship Id="rId673" Type="http://schemas.openxmlformats.org/officeDocument/2006/relationships/hyperlink" Target="https://www.deepcool.com/index.shtml" TargetMode="External"/><Relationship Id="rId1024" Type="http://schemas.openxmlformats.org/officeDocument/2006/relationships/hyperlink" Target="http://www.idcooling.com/index.php" TargetMode="External"/><Relationship Id="rId672" Type="http://schemas.openxmlformats.org/officeDocument/2006/relationships/hyperlink" Target="https://www.deepcool.com/index.shtml" TargetMode="External"/><Relationship Id="rId1025" Type="http://schemas.openxmlformats.org/officeDocument/2006/relationships/hyperlink" Target="https://www.idcooling.com/Product/detail/id/297/name/AURAFLOW%20X%20240%20EVO" TargetMode="External"/><Relationship Id="rId190" Type="http://schemas.openxmlformats.org/officeDocument/2006/relationships/hyperlink" Target="https://www.arctic.de/en/Liquid-Freezer-III-360/ACFRE00136A" TargetMode="External"/><Relationship Id="rId194" Type="http://schemas.openxmlformats.org/officeDocument/2006/relationships/hyperlink" Target="https://www.arctic.de/en/" TargetMode="External"/><Relationship Id="rId193" Type="http://schemas.openxmlformats.org/officeDocument/2006/relationships/hyperlink" Target="https://www.arctic.de/en/Liquid-Freezer-III-360-A-RGB/ACFRE00144A" TargetMode="External"/><Relationship Id="rId192" Type="http://schemas.openxmlformats.org/officeDocument/2006/relationships/hyperlink" Target="https://www.arctic.de/en/" TargetMode="External"/><Relationship Id="rId191" Type="http://schemas.openxmlformats.org/officeDocument/2006/relationships/hyperlink" Target="https://www.arctic.de/en/" TargetMode="External"/><Relationship Id="rId187" Type="http://schemas.openxmlformats.org/officeDocument/2006/relationships/hyperlink" Target="https://www.arctic.de/en/Liquid-Freezer-III-280-A-RGB/ACFRE00151A" TargetMode="External"/><Relationship Id="rId186" Type="http://schemas.openxmlformats.org/officeDocument/2006/relationships/hyperlink" Target="https://www.arctic.de/en/" TargetMode="External"/><Relationship Id="rId185" Type="http://schemas.openxmlformats.org/officeDocument/2006/relationships/hyperlink" Target="https://hwbusters.com/cooling/arctic-liquid-freezer-iii-280-a-rgb-aio-review-great-performance-per-price-ratio/" TargetMode="External"/><Relationship Id="rId184" Type="http://schemas.openxmlformats.org/officeDocument/2006/relationships/hyperlink" Target="https://www.arctic.de/en/" TargetMode="External"/><Relationship Id="rId189" Type="http://schemas.openxmlformats.org/officeDocument/2006/relationships/hyperlink" Target="https://www.arctic.de/en/" TargetMode="External"/><Relationship Id="rId188" Type="http://schemas.openxmlformats.org/officeDocument/2006/relationships/hyperlink" Target="https://www.arctic.de/en/" TargetMode="External"/><Relationship Id="rId183" Type="http://schemas.openxmlformats.org/officeDocument/2006/relationships/hyperlink" Target="https://www.arctic.de/en/Liquid-Freezer-III-280-A-RGB/ACFRE00143A" TargetMode="External"/><Relationship Id="rId182" Type="http://schemas.openxmlformats.org/officeDocument/2006/relationships/hyperlink" Target="https://www.arctic.de/en/" TargetMode="External"/><Relationship Id="rId181" Type="http://schemas.openxmlformats.org/officeDocument/2006/relationships/hyperlink" Target="https://www.arctic.de/en/" TargetMode="External"/><Relationship Id="rId180" Type="http://schemas.openxmlformats.org/officeDocument/2006/relationships/hyperlink" Target="https://www.arctic.de/en/Liquid-Freezer-III-280/ACFRE00135A" TargetMode="External"/><Relationship Id="rId176" Type="http://schemas.openxmlformats.org/officeDocument/2006/relationships/hyperlink" Target="https://www.arctic.de/en/" TargetMode="External"/><Relationship Id="rId175" Type="http://schemas.openxmlformats.org/officeDocument/2006/relationships/hyperlink" Target="https://www.arctic.de/en/" TargetMode="External"/><Relationship Id="rId174" Type="http://schemas.openxmlformats.org/officeDocument/2006/relationships/hyperlink" Target="https://www.arctic.de/en/Liquid-Freezer-III-240-A-RGB/ACFRE00142A" TargetMode="External"/><Relationship Id="rId173" Type="http://schemas.openxmlformats.org/officeDocument/2006/relationships/hyperlink" Target="https://www.arctic.de/en/" TargetMode="External"/><Relationship Id="rId179" Type="http://schemas.openxmlformats.org/officeDocument/2006/relationships/hyperlink" Target="https://www.arctic.de/en/" TargetMode="External"/><Relationship Id="rId178" Type="http://schemas.openxmlformats.org/officeDocument/2006/relationships/hyperlink" Target="https://www.arctic.de/en/" TargetMode="External"/><Relationship Id="rId177" Type="http://schemas.openxmlformats.org/officeDocument/2006/relationships/hyperlink" Target="https://www.arctic.de/en/Liquid-Freezer-III-240-A-RGB/ACFRE00150A" TargetMode="External"/><Relationship Id="rId198" Type="http://schemas.openxmlformats.org/officeDocument/2006/relationships/hyperlink" Target="https://www.arctic.de/en/" TargetMode="External"/><Relationship Id="rId197" Type="http://schemas.openxmlformats.org/officeDocument/2006/relationships/hyperlink" Target="https://www.arctic.de/en/Liquid-Freezer-III-360-A-RGB/ACFRE00152A" TargetMode="External"/><Relationship Id="rId196" Type="http://schemas.openxmlformats.org/officeDocument/2006/relationships/hyperlink" Target="https://www.arctic.de/en/" TargetMode="External"/><Relationship Id="rId195" Type="http://schemas.openxmlformats.org/officeDocument/2006/relationships/hyperlink" Target="https://hwbusters.com/cooling/arctic-liquid-freezer-iii-360-a-rgb-aio-review/" TargetMode="External"/><Relationship Id="rId199" Type="http://schemas.openxmlformats.org/officeDocument/2006/relationships/hyperlink" Target="https://hwbusters.com/cooling/arctic-liquid-freezer-iii-360-a-rgb-aio-review/" TargetMode="External"/><Relationship Id="rId150" Type="http://schemas.openxmlformats.org/officeDocument/2006/relationships/hyperlink" Target="https://www.arctic.de/en/Liquid-Freezer-II-280-A-RGB/ACFRE00106A" TargetMode="External"/><Relationship Id="rId149" Type="http://schemas.openxmlformats.org/officeDocument/2006/relationships/hyperlink" Target="https://www.arctic.de/en/" TargetMode="External"/><Relationship Id="rId148" Type="http://schemas.openxmlformats.org/officeDocument/2006/relationships/hyperlink" Target="https://www.arctic.de/en/" TargetMode="External"/><Relationship Id="rId1090" Type="http://schemas.openxmlformats.org/officeDocument/2006/relationships/hyperlink" Target="http://www.idcooling.com/index.php" TargetMode="External"/><Relationship Id="rId1091" Type="http://schemas.openxmlformats.org/officeDocument/2006/relationships/hyperlink" Target="https://www.idcooling.com/Product/detail/id/155/name/ZOOMFLOW%20360" TargetMode="External"/><Relationship Id="rId1092" Type="http://schemas.openxmlformats.org/officeDocument/2006/relationships/hyperlink" Target="http://www.idcooling.com/index.php" TargetMode="External"/><Relationship Id="rId1093" Type="http://schemas.openxmlformats.org/officeDocument/2006/relationships/hyperlink" Target="https://www.idcooling.com/Product/detail/id/182/name/ZOOMFLOW%20360X%20ARGB" TargetMode="External"/><Relationship Id="rId1094" Type="http://schemas.openxmlformats.org/officeDocument/2006/relationships/hyperlink" Target="http://www.idcooling.com/index.php" TargetMode="External"/><Relationship Id="rId143" Type="http://schemas.openxmlformats.org/officeDocument/2006/relationships/hyperlink" Target="https://www.arctic.de/en/" TargetMode="External"/><Relationship Id="rId1095" Type="http://schemas.openxmlformats.org/officeDocument/2006/relationships/hyperlink" Target="https://www.idcooling.com/Product/detail/id/191/name/ZOOMFLOW%20360X%20SNOW" TargetMode="External"/><Relationship Id="rId142" Type="http://schemas.openxmlformats.org/officeDocument/2006/relationships/hyperlink" Target="https://www.arctic.de/en/" TargetMode="External"/><Relationship Id="rId1096" Type="http://schemas.openxmlformats.org/officeDocument/2006/relationships/hyperlink" Target="http://www.idcooling.com/index.php" TargetMode="External"/><Relationship Id="rId141" Type="http://schemas.openxmlformats.org/officeDocument/2006/relationships/hyperlink" Target="https://www.arctic.de/en/Liquid-Freezer-II-240-A-RGB/ACFRE00093A" TargetMode="External"/><Relationship Id="rId1097" Type="http://schemas.openxmlformats.org/officeDocument/2006/relationships/hyperlink" Target="https://www.idcooling.com/Product/detail/id/238/name/ZOOMFLOW%20360%20XT" TargetMode="External"/><Relationship Id="rId140" Type="http://schemas.openxmlformats.org/officeDocument/2006/relationships/hyperlink" Target="https://www.arctic.de/en/" TargetMode="External"/><Relationship Id="rId1098" Type="http://schemas.openxmlformats.org/officeDocument/2006/relationships/hyperlink" Target="http://www.idcooling.com/index.php" TargetMode="External"/><Relationship Id="rId147" Type="http://schemas.openxmlformats.org/officeDocument/2006/relationships/hyperlink" Target="https://www.arctic.de/en/Liquid-Freezer-II-280-RGB/ACFRE00108A" TargetMode="External"/><Relationship Id="rId1099" Type="http://schemas.openxmlformats.org/officeDocument/2006/relationships/hyperlink" Target="https://www.idcooling.com/Product/detail/id/239/name/ZOOMFLOW%20360%20XT%20SNOW" TargetMode="External"/><Relationship Id="rId146" Type="http://schemas.openxmlformats.org/officeDocument/2006/relationships/hyperlink" Target="https://www.arctic.de/en/" TargetMode="External"/><Relationship Id="rId145" Type="http://schemas.openxmlformats.org/officeDocument/2006/relationships/hyperlink" Target="https://www.arctic.de/en/" TargetMode="External"/><Relationship Id="rId144" Type="http://schemas.openxmlformats.org/officeDocument/2006/relationships/hyperlink" Target="https://www.arctic.de/en/Liquid-Freezer-II-280/ACFRE00066A" TargetMode="External"/><Relationship Id="rId139" Type="http://schemas.openxmlformats.org/officeDocument/2006/relationships/hyperlink" Target="https://www.arctic.de/en/" TargetMode="External"/><Relationship Id="rId138" Type="http://schemas.openxmlformats.org/officeDocument/2006/relationships/hyperlink" Target="https://www.arctic.de/en/Liquid-Freezer-II-240-RGB/ACFRE00098A" TargetMode="External"/><Relationship Id="rId137" Type="http://schemas.openxmlformats.org/officeDocument/2006/relationships/hyperlink" Target="https://www.arctic.de/en/" TargetMode="External"/><Relationship Id="rId1080" Type="http://schemas.openxmlformats.org/officeDocument/2006/relationships/hyperlink" Target="http://www.idcooling.com/index.php" TargetMode="External"/><Relationship Id="rId1081" Type="http://schemas.openxmlformats.org/officeDocument/2006/relationships/hyperlink" Target="http://www.idcooling.com/Product/detail/id/139/name/ZOOMFLOW%20240" TargetMode="External"/><Relationship Id="rId1082" Type="http://schemas.openxmlformats.org/officeDocument/2006/relationships/hyperlink" Target="http://www.idcooling.com/index.php" TargetMode="External"/><Relationship Id="rId1083" Type="http://schemas.openxmlformats.org/officeDocument/2006/relationships/hyperlink" Target="http://www.idcooling.com/Product/detail/id/174/name/ZOOMFLOW%20240X%20ARGB" TargetMode="External"/><Relationship Id="rId132" Type="http://schemas.openxmlformats.org/officeDocument/2006/relationships/hyperlink" Target="https://www.arctic.de/en/Liquid-Freezer-II-120/ACFRE00067A" TargetMode="External"/><Relationship Id="rId1084" Type="http://schemas.openxmlformats.org/officeDocument/2006/relationships/hyperlink" Target="http://www.idcooling.com/index.php" TargetMode="External"/><Relationship Id="rId131" Type="http://schemas.openxmlformats.org/officeDocument/2006/relationships/hyperlink" Target="https://www.arctic.de/en/" TargetMode="External"/><Relationship Id="rId1085" Type="http://schemas.openxmlformats.org/officeDocument/2006/relationships/hyperlink" Target="http://www.idcooling.com/Product/detail/id/194/name/ZOOMFLOW%20240X%20SNOW" TargetMode="External"/><Relationship Id="rId130" Type="http://schemas.openxmlformats.org/officeDocument/2006/relationships/hyperlink" Target="https://www.antec.com/product/cooling/vortex360-argb" TargetMode="External"/><Relationship Id="rId1086" Type="http://schemas.openxmlformats.org/officeDocument/2006/relationships/hyperlink" Target="http://www.idcooling.com/index.php" TargetMode="External"/><Relationship Id="rId1087" Type="http://schemas.openxmlformats.org/officeDocument/2006/relationships/hyperlink" Target="https://www.idcooling.com/Product/detail/id/241/name/ZOOMFLOW%20240%20XT" TargetMode="External"/><Relationship Id="rId136" Type="http://schemas.openxmlformats.org/officeDocument/2006/relationships/hyperlink" Target="https://www.arctic.de/en/" TargetMode="External"/><Relationship Id="rId1088" Type="http://schemas.openxmlformats.org/officeDocument/2006/relationships/hyperlink" Target="http://www.idcooling.com/index.php" TargetMode="External"/><Relationship Id="rId135" Type="http://schemas.openxmlformats.org/officeDocument/2006/relationships/hyperlink" Target="https://www.arctic.de/en/Liquid-Freezer-II-240/ACFRE00046A" TargetMode="External"/><Relationship Id="rId1089" Type="http://schemas.openxmlformats.org/officeDocument/2006/relationships/hyperlink" Target="https://www.idcooling.com/Product/detail/id/240/name/ZOOMFLOW%20240%20XT%20SNOW" TargetMode="External"/><Relationship Id="rId134" Type="http://schemas.openxmlformats.org/officeDocument/2006/relationships/hyperlink" Target="https://www.arctic.de/en/" TargetMode="External"/><Relationship Id="rId133" Type="http://schemas.openxmlformats.org/officeDocument/2006/relationships/hyperlink" Target="https://www.arctic.de/en/" TargetMode="External"/><Relationship Id="rId172" Type="http://schemas.openxmlformats.org/officeDocument/2006/relationships/hyperlink" Target="https://www.arctic.de/en/" TargetMode="External"/><Relationship Id="rId171" Type="http://schemas.openxmlformats.org/officeDocument/2006/relationships/hyperlink" Target="https://www.arctic.de/en/Liquid-Freezer-III-240/ACFRE00134A" TargetMode="External"/><Relationship Id="rId170" Type="http://schemas.openxmlformats.org/officeDocument/2006/relationships/hyperlink" Target="https://www.arctic.de/en/" TargetMode="External"/><Relationship Id="rId165" Type="http://schemas.openxmlformats.org/officeDocument/2006/relationships/hyperlink" Target="https://www.arctic.de/en/Liquid-Freezer-II-420-RGB/ACFRE00110A" TargetMode="External"/><Relationship Id="rId164" Type="http://schemas.openxmlformats.org/officeDocument/2006/relationships/hyperlink" Target="https://www.arctic.de/en/" TargetMode="External"/><Relationship Id="rId163" Type="http://schemas.openxmlformats.org/officeDocument/2006/relationships/hyperlink" Target="https://www.arctic.de/en/" TargetMode="External"/><Relationship Id="rId162" Type="http://schemas.openxmlformats.org/officeDocument/2006/relationships/hyperlink" Target="https://www.arctic.de/en/Liquid-Freezer-II-420/ACFRE00092A" TargetMode="External"/><Relationship Id="rId169" Type="http://schemas.openxmlformats.org/officeDocument/2006/relationships/hyperlink" Target="https://www.arctic.de/en/" TargetMode="External"/><Relationship Id="rId168" Type="http://schemas.openxmlformats.org/officeDocument/2006/relationships/hyperlink" Target="https://www.arctic.de/en/Liquid-Freezer-II-420-A-RGB/ACFRE00109A" TargetMode="External"/><Relationship Id="rId167" Type="http://schemas.openxmlformats.org/officeDocument/2006/relationships/hyperlink" Target="https://www.arctic.de/en/" TargetMode="External"/><Relationship Id="rId166" Type="http://schemas.openxmlformats.org/officeDocument/2006/relationships/hyperlink" Target="https://www.arctic.de/en/" TargetMode="External"/><Relationship Id="rId161" Type="http://schemas.openxmlformats.org/officeDocument/2006/relationships/hyperlink" Target="https://www.arctic.de/en/" TargetMode="External"/><Relationship Id="rId160" Type="http://schemas.openxmlformats.org/officeDocument/2006/relationships/hyperlink" Target="https://www.arctic.de/en/" TargetMode="External"/><Relationship Id="rId159" Type="http://schemas.openxmlformats.org/officeDocument/2006/relationships/hyperlink" Target="https://www.arctic.de/en/Liquid-Freezer-II-360-A-RGB/ACFRE00101A" TargetMode="External"/><Relationship Id="rId154" Type="http://schemas.openxmlformats.org/officeDocument/2006/relationships/hyperlink" Target="https://www.arctic.de/en/" TargetMode="External"/><Relationship Id="rId153" Type="http://schemas.openxmlformats.org/officeDocument/2006/relationships/hyperlink" Target="https://www.arctic.de/en/Liquid-Freezer-II-360/ACFRE00068A" TargetMode="External"/><Relationship Id="rId152" Type="http://schemas.openxmlformats.org/officeDocument/2006/relationships/hyperlink" Target="https://www.arctic.de/en/" TargetMode="External"/><Relationship Id="rId151" Type="http://schemas.openxmlformats.org/officeDocument/2006/relationships/hyperlink" Target="https://www.arctic.de/en/" TargetMode="External"/><Relationship Id="rId158" Type="http://schemas.openxmlformats.org/officeDocument/2006/relationships/hyperlink" Target="https://www.arctic.de/en/" TargetMode="External"/><Relationship Id="rId157" Type="http://schemas.openxmlformats.org/officeDocument/2006/relationships/hyperlink" Target="https://www.arctic.de/en/" TargetMode="External"/><Relationship Id="rId156" Type="http://schemas.openxmlformats.org/officeDocument/2006/relationships/hyperlink" Target="https://www.arctic.de/en/Liquid-Freezer-II-360-RGB/ACFRE00097A" TargetMode="External"/><Relationship Id="rId155" Type="http://schemas.openxmlformats.org/officeDocument/2006/relationships/hyperlink" Target="https://www.arctic.de/en/" TargetMode="External"/><Relationship Id="rId1510" Type="http://schemas.openxmlformats.org/officeDocument/2006/relationships/hyperlink" Target="https://www.silverstonetek.com/en/" TargetMode="External"/><Relationship Id="rId1511" Type="http://schemas.openxmlformats.org/officeDocument/2006/relationships/hyperlink" Target="https://www.silverstonetek.com/product.php?pid=865&amp;bno=40&amp;tb=21&amp;area=en" TargetMode="External"/><Relationship Id="rId1512" Type="http://schemas.openxmlformats.org/officeDocument/2006/relationships/hyperlink" Target="http://www.apalcool.com/index.php?c=category&amp;id=28" TargetMode="External"/><Relationship Id="rId1513" Type="http://schemas.openxmlformats.org/officeDocument/2006/relationships/hyperlink" Target="https://www.silverstonetek.com/en/" TargetMode="External"/><Relationship Id="rId1514" Type="http://schemas.openxmlformats.org/officeDocument/2006/relationships/hyperlink" Target="https://www.silverstonetek.com/product.php?pid=866&amp;bno=40&amp;tb=21&amp;area=en" TargetMode="External"/><Relationship Id="rId1515" Type="http://schemas.openxmlformats.org/officeDocument/2006/relationships/hyperlink" Target="http://www.apalcool.com/index.php?c=category&amp;id=28" TargetMode="External"/><Relationship Id="rId1516" Type="http://schemas.openxmlformats.org/officeDocument/2006/relationships/hyperlink" Target="https://www.silverstonetek.com/en/" TargetMode="External"/><Relationship Id="rId1517" Type="http://schemas.openxmlformats.org/officeDocument/2006/relationships/hyperlink" Target="https://www.silverstonetek.com/product.php?pid=961&amp;bno=40&amp;tb=21&amp;area=en" TargetMode="External"/><Relationship Id="rId1518" Type="http://schemas.openxmlformats.org/officeDocument/2006/relationships/hyperlink" Target="http://www.apalcool.com/index.php?c=category&amp;id=28" TargetMode="External"/><Relationship Id="rId1519" Type="http://schemas.openxmlformats.org/officeDocument/2006/relationships/hyperlink" Target="https://www.silverstonetek.com/en/" TargetMode="External"/><Relationship Id="rId1500" Type="http://schemas.openxmlformats.org/officeDocument/2006/relationships/hyperlink" Target="https://www.silverstonetek.com/en/product/info/coolers/IceGem360/" TargetMode="External"/><Relationship Id="rId1501" Type="http://schemas.openxmlformats.org/officeDocument/2006/relationships/hyperlink" Target="http://www.apalcool.com/index.php?c=category&amp;id=28" TargetMode="External"/><Relationship Id="rId1502" Type="http://schemas.openxmlformats.org/officeDocument/2006/relationships/hyperlink" Target="https://www.silverstonetek.com/en/" TargetMode="External"/><Relationship Id="rId1503" Type="http://schemas.openxmlformats.org/officeDocument/2006/relationships/hyperlink" Target="https://www.silverstonetek.com/en/product/info/coolers/im240_argb/" TargetMode="External"/><Relationship Id="rId1504" Type="http://schemas.openxmlformats.org/officeDocument/2006/relationships/hyperlink" Target="https://www.silverstonetek.com/en/" TargetMode="External"/><Relationship Id="rId1505" Type="http://schemas.openxmlformats.org/officeDocument/2006/relationships/hyperlink" Target="https://www.silverstonetek.com/en/product/info/coolers/im280_argb/" TargetMode="External"/><Relationship Id="rId1506" Type="http://schemas.openxmlformats.org/officeDocument/2006/relationships/hyperlink" Target="https://www.silverstonetek.com/en/" TargetMode="External"/><Relationship Id="rId1507" Type="http://schemas.openxmlformats.org/officeDocument/2006/relationships/hyperlink" Target="https://www.silverstonetek.com/en/product/info/coolers/im360_argb/" TargetMode="External"/><Relationship Id="rId1508" Type="http://schemas.openxmlformats.org/officeDocument/2006/relationships/hyperlink" Target="https://www.silverstonetek.com/en/" TargetMode="External"/><Relationship Id="rId1509" Type="http://schemas.openxmlformats.org/officeDocument/2006/relationships/hyperlink" Target="https://www.silverstonetek.com/en/product/info/coolers/im420_argb/" TargetMode="External"/><Relationship Id="rId1576" Type="http://schemas.openxmlformats.org/officeDocument/2006/relationships/hyperlink" Target="http://thermalright.com/" TargetMode="External"/><Relationship Id="rId1577" Type="http://schemas.openxmlformats.org/officeDocument/2006/relationships/hyperlink" Target="http://thermalright.com/product/aqua-elite-360-white-v3/" TargetMode="External"/><Relationship Id="rId1578" Type="http://schemas.openxmlformats.org/officeDocument/2006/relationships/hyperlink" Target="http://thermalright.com/" TargetMode="External"/><Relationship Id="rId1579" Type="http://schemas.openxmlformats.org/officeDocument/2006/relationships/hyperlink" Target="http://thermalright.com/product/core-matrix-240-black/" TargetMode="External"/><Relationship Id="rId509" Type="http://schemas.openxmlformats.org/officeDocument/2006/relationships/hyperlink" Target="https://www.corsair.com/ww/en/" TargetMode="External"/><Relationship Id="rId508" Type="http://schemas.openxmlformats.org/officeDocument/2006/relationships/hyperlink" Target="https://www.asetek.com/" TargetMode="External"/><Relationship Id="rId503" Type="http://schemas.openxmlformats.org/officeDocument/2006/relationships/hyperlink" Target="https://www.corsair.com/ww/en/" TargetMode="External"/><Relationship Id="rId987" Type="http://schemas.openxmlformats.org/officeDocument/2006/relationships/hyperlink" Target="https://www.gigabyte.com/Thermal-Solution/AORUS-WATERFORCE-240" TargetMode="External"/><Relationship Id="rId502" Type="http://schemas.openxmlformats.org/officeDocument/2006/relationships/hyperlink" Target="https://www.coolermaster.com/" TargetMode="External"/><Relationship Id="rId986" Type="http://schemas.openxmlformats.org/officeDocument/2006/relationships/hyperlink" Target="https://www.gigabyte.com/" TargetMode="External"/><Relationship Id="rId501" Type="http://schemas.openxmlformats.org/officeDocument/2006/relationships/hyperlink" Target="https://www.coolermaster.com/catalog/coolers/cpu-liquid-coolers/masterliquid-pro-280-rgb/" TargetMode="External"/><Relationship Id="rId985" Type="http://schemas.openxmlformats.org/officeDocument/2006/relationships/hyperlink" Target="https://www.asetek.com/" TargetMode="External"/><Relationship Id="rId500" Type="http://schemas.openxmlformats.org/officeDocument/2006/relationships/hyperlink" Target="https://www.coolermaster.com/" TargetMode="External"/><Relationship Id="rId984" Type="http://schemas.openxmlformats.org/officeDocument/2006/relationships/hyperlink" Target="https://www.gigabyte.com/Thermal-Solution/AORUS-LIQUID-COOLER-280" TargetMode="External"/><Relationship Id="rId507" Type="http://schemas.openxmlformats.org/officeDocument/2006/relationships/hyperlink" Target="https://www.corsair.com/ww/en/Categories/Products/Liquid-Cooling/RGB-Liquid-CPU-Coolers/p/CW-9060052-WW" TargetMode="External"/><Relationship Id="rId506" Type="http://schemas.openxmlformats.org/officeDocument/2006/relationships/hyperlink" Target="https://www.corsair.com/ww/en/" TargetMode="External"/><Relationship Id="rId505" Type="http://schemas.openxmlformats.org/officeDocument/2006/relationships/hyperlink" Target="https://www.dynatron.co/" TargetMode="External"/><Relationship Id="rId989" Type="http://schemas.openxmlformats.org/officeDocument/2006/relationships/hyperlink" Target="https://www.gigabyte.com/" TargetMode="External"/><Relationship Id="rId504" Type="http://schemas.openxmlformats.org/officeDocument/2006/relationships/hyperlink" Target="https://www.corsair.com/ww/en/Categories/Products/Liquid-Cooling/Hydro-Series%E2%84%A2-H45-Liquid-CPU-Cooler/p/CW-9060028-WW" TargetMode="External"/><Relationship Id="rId988" Type="http://schemas.openxmlformats.org/officeDocument/2006/relationships/hyperlink" Target="https://www.asetek.com/" TargetMode="External"/><Relationship Id="rId1570" Type="http://schemas.openxmlformats.org/officeDocument/2006/relationships/hyperlink" Target="http://thermalright.com/" TargetMode="External"/><Relationship Id="rId1571" Type="http://schemas.openxmlformats.org/officeDocument/2006/relationships/hyperlink" Target="http://thermalright.com/product/aqua-elite-360-v3/" TargetMode="External"/><Relationship Id="rId983" Type="http://schemas.openxmlformats.org/officeDocument/2006/relationships/hyperlink" Target="https://www.gigabyte.com/" TargetMode="External"/><Relationship Id="rId1572" Type="http://schemas.openxmlformats.org/officeDocument/2006/relationships/hyperlink" Target="http://thermalright.com/" TargetMode="External"/><Relationship Id="rId982" Type="http://schemas.openxmlformats.org/officeDocument/2006/relationships/hyperlink" Target="https://www.asetek.com/" TargetMode="External"/><Relationship Id="rId1573" Type="http://schemas.openxmlformats.org/officeDocument/2006/relationships/hyperlink" Target="http://thermalright.com/product/aqua-elite-360-white-argb/" TargetMode="External"/><Relationship Id="rId981" Type="http://schemas.openxmlformats.org/officeDocument/2006/relationships/hyperlink" Target="https://www.gigabyte.com/Thermal-Solution/AORUS-LIQUID-COOLER-240" TargetMode="External"/><Relationship Id="rId1574" Type="http://schemas.openxmlformats.org/officeDocument/2006/relationships/hyperlink" Target="http://thermalright.com/" TargetMode="External"/><Relationship Id="rId980" Type="http://schemas.openxmlformats.org/officeDocument/2006/relationships/hyperlink" Target="https://www.gigabyte.com/" TargetMode="External"/><Relationship Id="rId1575" Type="http://schemas.openxmlformats.org/officeDocument/2006/relationships/hyperlink" Target="http://thermalright.com/product/aqua-elite-360-white-argb-v2/" TargetMode="External"/><Relationship Id="rId1565" Type="http://schemas.openxmlformats.org/officeDocument/2006/relationships/hyperlink" Target="http://thermalright.com/product/aqua-elite-240-white-v3/" TargetMode="External"/><Relationship Id="rId1566" Type="http://schemas.openxmlformats.org/officeDocument/2006/relationships/hyperlink" Target="http://thermalright.com/" TargetMode="External"/><Relationship Id="rId1567" Type="http://schemas.openxmlformats.org/officeDocument/2006/relationships/hyperlink" Target="http://thermalright.com/product/aqua-elite-360-argb/" TargetMode="External"/><Relationship Id="rId1568" Type="http://schemas.openxmlformats.org/officeDocument/2006/relationships/hyperlink" Target="http://thermalright.com/" TargetMode="External"/><Relationship Id="rId1569" Type="http://schemas.openxmlformats.org/officeDocument/2006/relationships/hyperlink" Target="http://thermalright.com/product/aqua-elite-360-black-argb-v2/" TargetMode="External"/><Relationship Id="rId976" Type="http://schemas.openxmlformats.org/officeDocument/2006/relationships/hyperlink" Target="https://www.gskill.com/" TargetMode="External"/><Relationship Id="rId975" Type="http://schemas.openxmlformats.org/officeDocument/2006/relationships/hyperlink" Target="https://www.gskill.com/product/353/356/1609405520/ENKI-240-AIO240mm-AIO-CPU-CoolerStair-Shaped-High-Density-Micro-FinsCustom-Tuned-Convex-Cold-PlateHigh-Density-Radiator-Piping" TargetMode="External"/><Relationship Id="rId974" Type="http://schemas.openxmlformats.org/officeDocument/2006/relationships/hyperlink" Target="https://www.gskill.com/" TargetMode="External"/><Relationship Id="rId973" Type="http://schemas.openxmlformats.org/officeDocument/2006/relationships/hyperlink" Target="http://www.apalcool.com/index.php?c=category&amp;id=28" TargetMode="External"/><Relationship Id="rId979" Type="http://schemas.openxmlformats.org/officeDocument/2006/relationships/hyperlink" Target="https://www.gskill.com/product/353/356/1609405759/ENKI-360-AIO" TargetMode="External"/><Relationship Id="rId978" Type="http://schemas.openxmlformats.org/officeDocument/2006/relationships/hyperlink" Target="https://www.gskill.com/" TargetMode="External"/><Relationship Id="rId977" Type="http://schemas.openxmlformats.org/officeDocument/2006/relationships/hyperlink" Target="https://www.gskill.com/product/353/356/1609405633/ENKI-280-AIO280mm-AIO-CPU-CoolerStair-Shaped-High-Density-Micro-FinsCustom-Tuned-Convex-Cold-PlateHigh-Density-Radiator-Piping" TargetMode="External"/><Relationship Id="rId1560" Type="http://schemas.openxmlformats.org/officeDocument/2006/relationships/hyperlink" Target="http://thermalright.com/" TargetMode="External"/><Relationship Id="rId972" Type="http://schemas.openxmlformats.org/officeDocument/2006/relationships/hyperlink" Target="https://www.fractal-design.com/products/water-cooling/lumen/lumen-s36-rgb/lumen-s36-rgb/" TargetMode="External"/><Relationship Id="rId1561" Type="http://schemas.openxmlformats.org/officeDocument/2006/relationships/hyperlink" Target="http://thermalright.com/product/aqua-elite-240-white-argb/" TargetMode="External"/><Relationship Id="rId971" Type="http://schemas.openxmlformats.org/officeDocument/2006/relationships/hyperlink" Target="https://www.fractal-design.com/" TargetMode="External"/><Relationship Id="rId1562" Type="http://schemas.openxmlformats.org/officeDocument/2006/relationships/hyperlink" Target="http://thermalright.com/" TargetMode="External"/><Relationship Id="rId970" Type="http://schemas.openxmlformats.org/officeDocument/2006/relationships/hyperlink" Target="http://www.apalcool.com/index.php?c=category&amp;id=28" TargetMode="External"/><Relationship Id="rId1563" Type="http://schemas.openxmlformats.org/officeDocument/2006/relationships/hyperlink" Target="http://thermalright.com/product/aqua-elite-240-white-argb-v2-2/" TargetMode="External"/><Relationship Id="rId1564" Type="http://schemas.openxmlformats.org/officeDocument/2006/relationships/hyperlink" Target="http://thermalright.com/" TargetMode="External"/><Relationship Id="rId1114" Type="http://schemas.openxmlformats.org/officeDocument/2006/relationships/hyperlink" Target="https://www.in-win.com/en" TargetMode="External"/><Relationship Id="rId1598" Type="http://schemas.openxmlformats.org/officeDocument/2006/relationships/hyperlink" Target="http://thermalright.com/" TargetMode="External"/><Relationship Id="rId1115" Type="http://schemas.openxmlformats.org/officeDocument/2006/relationships/hyperlink" Target="https://www.in-win.com/en/cooling/sr36-pro" TargetMode="External"/><Relationship Id="rId1599" Type="http://schemas.openxmlformats.org/officeDocument/2006/relationships/hyperlink" Target="http://thermalright-china.com/product/frozen-eye-240-%e4%b8%80%e4%bd%93%e5%bc%8f%e6%b0%b4%e5%86%b7/" TargetMode="External"/><Relationship Id="rId1116" Type="http://schemas.openxmlformats.org/officeDocument/2006/relationships/hyperlink" Target="http://www.jonsbo.com/en/" TargetMode="External"/><Relationship Id="rId1117" Type="http://schemas.openxmlformats.org/officeDocument/2006/relationships/hyperlink" Target="https://www.jonsbo.com/en/products/HXW240ARGBWhite.html" TargetMode="External"/><Relationship Id="rId1118" Type="http://schemas.openxmlformats.org/officeDocument/2006/relationships/hyperlink" Target="http://www.jonsbo.com/en/" TargetMode="External"/><Relationship Id="rId1119" Type="http://schemas.openxmlformats.org/officeDocument/2006/relationships/hyperlink" Target="https://www.jonsbo.com/en/products/HXW360ARGBWhite.html" TargetMode="External"/><Relationship Id="rId525" Type="http://schemas.openxmlformats.org/officeDocument/2006/relationships/hyperlink" Target="https://www.corsair.com/ww/en/Categories/Products/Liquid-Cooling/Dual-Radiator-Liquid-Coolers/Hydro-Series%E2%84%A2-H100i-RGB-PLATINUM-SE-240mm-Liquid-CPU-Cooler/p/CW-9060042-WW" TargetMode="External"/><Relationship Id="rId524" Type="http://schemas.openxmlformats.org/officeDocument/2006/relationships/hyperlink" Target="https://www.corsair.com/ww/en/" TargetMode="External"/><Relationship Id="rId523" Type="http://schemas.openxmlformats.org/officeDocument/2006/relationships/hyperlink" Target="https://www.coolitsystems.com/" TargetMode="External"/><Relationship Id="rId522" Type="http://schemas.openxmlformats.org/officeDocument/2006/relationships/hyperlink" Target="https://www.corsair.com/ww/en/Categories/Products/Liquid-Cooling/Dual-Radiator-Liquid-Coolers/Hydro-Series%E2%84%A2-RGB-Platinum/p/CW-9060039-WW" TargetMode="External"/><Relationship Id="rId529" Type="http://schemas.openxmlformats.org/officeDocument/2006/relationships/hyperlink" Target="https://www.asetek.com/" TargetMode="External"/><Relationship Id="rId528" Type="http://schemas.openxmlformats.org/officeDocument/2006/relationships/hyperlink" Target="https://www.corsair.com/ww/en/Categories/Products/Liquid-Cooling/Hydro-Series%E2%84%A2-PRO-RGB-Liquid-CPU-Coolers/p/CW-9060032-WW" TargetMode="External"/><Relationship Id="rId527" Type="http://schemas.openxmlformats.org/officeDocument/2006/relationships/hyperlink" Target="https://www.corsair.com/ww/en/" TargetMode="External"/><Relationship Id="rId526" Type="http://schemas.openxmlformats.org/officeDocument/2006/relationships/hyperlink" Target="https://www.coolitsystems.com/" TargetMode="External"/><Relationship Id="rId1590" Type="http://schemas.openxmlformats.org/officeDocument/2006/relationships/hyperlink" Target="http://thermalright.com/" TargetMode="External"/><Relationship Id="rId1591" Type="http://schemas.openxmlformats.org/officeDocument/2006/relationships/hyperlink" Target="http://thermalright.com/product/frozen-edge-240-black/" TargetMode="External"/><Relationship Id="rId1592" Type="http://schemas.openxmlformats.org/officeDocument/2006/relationships/hyperlink" Target="http://thermalright.com/" TargetMode="External"/><Relationship Id="rId1593" Type="http://schemas.openxmlformats.org/officeDocument/2006/relationships/hyperlink" Target="http://thermalright.com/tw/product/frozen-edge-240-white/" TargetMode="External"/><Relationship Id="rId521" Type="http://schemas.openxmlformats.org/officeDocument/2006/relationships/hyperlink" Target="https://www.corsair.com/ww/en/" TargetMode="External"/><Relationship Id="rId1110" Type="http://schemas.openxmlformats.org/officeDocument/2006/relationships/hyperlink" Target="https://www.in-win.com/en" TargetMode="External"/><Relationship Id="rId1594" Type="http://schemas.openxmlformats.org/officeDocument/2006/relationships/hyperlink" Target="http://thermalright.com/" TargetMode="External"/><Relationship Id="rId520" Type="http://schemas.openxmlformats.org/officeDocument/2006/relationships/hyperlink" Target="https://www.asetek.com/" TargetMode="External"/><Relationship Id="rId1111" Type="http://schemas.openxmlformats.org/officeDocument/2006/relationships/hyperlink" Target="https://www.in-win.com/en/cooling/sr24-pro/" TargetMode="External"/><Relationship Id="rId1595" Type="http://schemas.openxmlformats.org/officeDocument/2006/relationships/hyperlink" Target="http://thermalright.com/product/frozen-edge-360-black/" TargetMode="External"/><Relationship Id="rId1112" Type="http://schemas.openxmlformats.org/officeDocument/2006/relationships/hyperlink" Target="https://www.in-win.com/en" TargetMode="External"/><Relationship Id="rId1596" Type="http://schemas.openxmlformats.org/officeDocument/2006/relationships/hyperlink" Target="http://thermalright.com/" TargetMode="External"/><Relationship Id="rId1113" Type="http://schemas.openxmlformats.org/officeDocument/2006/relationships/hyperlink" Target="https://www.in-win.com/en/cooling/sr36" TargetMode="External"/><Relationship Id="rId1597" Type="http://schemas.openxmlformats.org/officeDocument/2006/relationships/hyperlink" Target="http://thermalright.com/tw/product/frozen-edge-360-white/" TargetMode="External"/><Relationship Id="rId1103" Type="http://schemas.openxmlformats.org/officeDocument/2006/relationships/hyperlink" Target="https://www.in-win.com/en/cooling/br36" TargetMode="External"/><Relationship Id="rId1587" Type="http://schemas.openxmlformats.org/officeDocument/2006/relationships/hyperlink" Target="https://www.thermalright.com/product/core-vision-360-black/" TargetMode="External"/><Relationship Id="rId1104" Type="http://schemas.openxmlformats.org/officeDocument/2006/relationships/hyperlink" Target="https://www.in-win.com/en" TargetMode="External"/><Relationship Id="rId1588" Type="http://schemas.openxmlformats.org/officeDocument/2006/relationships/hyperlink" Target="http://thermalright.com/" TargetMode="External"/><Relationship Id="rId1105" Type="http://schemas.openxmlformats.org/officeDocument/2006/relationships/hyperlink" Target="https://www.in-win.com/en/cooling/nr-24" TargetMode="External"/><Relationship Id="rId1589" Type="http://schemas.openxmlformats.org/officeDocument/2006/relationships/hyperlink" Target="https://www.thermalright.com/product/core-vision-360-black-argb/" TargetMode="External"/><Relationship Id="rId1106" Type="http://schemas.openxmlformats.org/officeDocument/2006/relationships/hyperlink" Target="https://www.in-win.com/en" TargetMode="External"/><Relationship Id="rId1107" Type="http://schemas.openxmlformats.org/officeDocument/2006/relationships/hyperlink" Target="https://www.in-win.com/en/cooling/nr-36" TargetMode="External"/><Relationship Id="rId1108" Type="http://schemas.openxmlformats.org/officeDocument/2006/relationships/hyperlink" Target="https://www.in-win.com/en" TargetMode="External"/><Relationship Id="rId1109" Type="http://schemas.openxmlformats.org/officeDocument/2006/relationships/hyperlink" Target="https://www.in-win.com/en/cooling/sr24/" TargetMode="External"/><Relationship Id="rId519" Type="http://schemas.openxmlformats.org/officeDocument/2006/relationships/hyperlink" Target="https://www.corsair.com/ww/en/Categories/Products/Liquid-Cooling/Hydro-Series%E2%84%A2-PRO-RGB-Liquid-CPU-Coolers/p/CW-9060033-WW" TargetMode="External"/><Relationship Id="rId514" Type="http://schemas.openxmlformats.org/officeDocument/2006/relationships/hyperlink" Target="https://www.asetek.com/" TargetMode="External"/><Relationship Id="rId998" Type="http://schemas.openxmlformats.org/officeDocument/2006/relationships/hyperlink" Target="https://www.gigabyte.com/CPU-Cooler/AORUS-WATERFORCE-II-360" TargetMode="External"/><Relationship Id="rId513" Type="http://schemas.openxmlformats.org/officeDocument/2006/relationships/hyperlink" Target="https://www.corsair.com/ww/en/Categories/Products/Liquid-Cooling/Single-Radiator-Liquid-Coolers/Hydro-Series%E2%84%A2-H80i-v2-High-Performance-Liquid-CPU-Cooler/p/CW-9060024-WW" TargetMode="External"/><Relationship Id="rId997" Type="http://schemas.openxmlformats.org/officeDocument/2006/relationships/hyperlink" Target="https://www.gigabyte.com/" TargetMode="External"/><Relationship Id="rId512" Type="http://schemas.openxmlformats.org/officeDocument/2006/relationships/hyperlink" Target="https://www.corsair.com/ww/en/" TargetMode="External"/><Relationship Id="rId996" Type="http://schemas.openxmlformats.org/officeDocument/2006/relationships/hyperlink" Target="https://www.gigabyte.com/CPU-Cooler/AORUS-WATERFORCE-II-240" TargetMode="External"/><Relationship Id="rId511" Type="http://schemas.openxmlformats.org/officeDocument/2006/relationships/hyperlink" Target="https://www.coolitsystems.com/" TargetMode="External"/><Relationship Id="rId995" Type="http://schemas.openxmlformats.org/officeDocument/2006/relationships/hyperlink" Target="https://www.gigabyte.com/" TargetMode="External"/><Relationship Id="rId518" Type="http://schemas.openxmlformats.org/officeDocument/2006/relationships/hyperlink" Target="https://www.corsair.com/ww/en/" TargetMode="External"/><Relationship Id="rId517" Type="http://schemas.openxmlformats.org/officeDocument/2006/relationships/hyperlink" Target="https://www.coolitsystems.com/" TargetMode="External"/><Relationship Id="rId516" Type="http://schemas.openxmlformats.org/officeDocument/2006/relationships/hyperlink" Target="https://www.corsair.com/ww/en/Categories/Products/Liquid-Cooling/RGB-Liquid-CPU-Coolers/p/CW-9060053-WW" TargetMode="External"/><Relationship Id="rId515" Type="http://schemas.openxmlformats.org/officeDocument/2006/relationships/hyperlink" Target="https://www.corsair.com/ww/en/" TargetMode="External"/><Relationship Id="rId999" Type="http://schemas.openxmlformats.org/officeDocument/2006/relationships/hyperlink" Target="https://www.gigabyte.com/" TargetMode="External"/><Relationship Id="rId990" Type="http://schemas.openxmlformats.org/officeDocument/2006/relationships/hyperlink" Target="https://www.gigabyte.com/Thermal-Solution/AORUS-WATERFORCE-280" TargetMode="External"/><Relationship Id="rId1580" Type="http://schemas.openxmlformats.org/officeDocument/2006/relationships/hyperlink" Target="http://thermalright.com/" TargetMode="External"/><Relationship Id="rId1581" Type="http://schemas.openxmlformats.org/officeDocument/2006/relationships/hyperlink" Target="http://thermalright.com/product/core-matrix-240-white/" TargetMode="External"/><Relationship Id="rId1582" Type="http://schemas.openxmlformats.org/officeDocument/2006/relationships/hyperlink" Target="http://thermalright.com/" TargetMode="External"/><Relationship Id="rId510" Type="http://schemas.openxmlformats.org/officeDocument/2006/relationships/hyperlink" Target="https://www.corsair.com/ww/en/Categories/Products/Liquid-Cooling/Single-Radiator-Liquid-Coolers/Hydro-Series%E2%84%A2-H60-%282018%29-120mm-Liquid-CPU-Cooler/p/CW-9060036-WW" TargetMode="External"/><Relationship Id="rId994" Type="http://schemas.openxmlformats.org/officeDocument/2006/relationships/hyperlink" Target="https://www.asetek.com/" TargetMode="External"/><Relationship Id="rId1583" Type="http://schemas.openxmlformats.org/officeDocument/2006/relationships/hyperlink" Target="http://thermalright.com/product/core-matrix-360-black/" TargetMode="External"/><Relationship Id="rId993" Type="http://schemas.openxmlformats.org/officeDocument/2006/relationships/hyperlink" Target="https://www.gigabyte.com/CPU-Cooler/AORUS-WATERFORCE-360" TargetMode="External"/><Relationship Id="rId1100" Type="http://schemas.openxmlformats.org/officeDocument/2006/relationships/hyperlink" Target="https://www.in-win.com/en" TargetMode="External"/><Relationship Id="rId1584" Type="http://schemas.openxmlformats.org/officeDocument/2006/relationships/hyperlink" Target="http://thermalright.com/" TargetMode="External"/><Relationship Id="rId992" Type="http://schemas.openxmlformats.org/officeDocument/2006/relationships/hyperlink" Target="https://www.gigabyte.com/" TargetMode="External"/><Relationship Id="rId1101" Type="http://schemas.openxmlformats.org/officeDocument/2006/relationships/hyperlink" Target="https://www.in-win.com/en/cooling/br24" TargetMode="External"/><Relationship Id="rId1585" Type="http://schemas.openxmlformats.org/officeDocument/2006/relationships/hyperlink" Target="http://thermalright.com/product/core-matrix-360-white/" TargetMode="External"/><Relationship Id="rId991" Type="http://schemas.openxmlformats.org/officeDocument/2006/relationships/hyperlink" Target="https://www.asetek.com/" TargetMode="External"/><Relationship Id="rId1102" Type="http://schemas.openxmlformats.org/officeDocument/2006/relationships/hyperlink" Target="https://www.in-win.com/en" TargetMode="External"/><Relationship Id="rId1586" Type="http://schemas.openxmlformats.org/officeDocument/2006/relationships/hyperlink" Target="http://thermalright.com/" TargetMode="External"/><Relationship Id="rId1532" Type="http://schemas.openxmlformats.org/officeDocument/2006/relationships/hyperlink" Target="https://www.silverstonetek.com/product.php?pid=811&amp;bno=40&amp;tb=21&amp;area=en" TargetMode="External"/><Relationship Id="rId1533" Type="http://schemas.openxmlformats.org/officeDocument/2006/relationships/hyperlink" Target="http://www.apalcool.com/index.php?c=category&amp;id=28" TargetMode="External"/><Relationship Id="rId1534" Type="http://schemas.openxmlformats.org/officeDocument/2006/relationships/hyperlink" Target="https://www.silverstonetek.com/en/" TargetMode="External"/><Relationship Id="rId1535" Type="http://schemas.openxmlformats.org/officeDocument/2006/relationships/hyperlink" Target="https://www.silverstonetek.com/en/product/info/coolers/VIDA120SLIM/" TargetMode="External"/><Relationship Id="rId1536" Type="http://schemas.openxmlformats.org/officeDocument/2006/relationships/hyperlink" Target="http://www.apalcool.com/index.php?c=category&amp;id=28" TargetMode="External"/><Relationship Id="rId1537" Type="http://schemas.openxmlformats.org/officeDocument/2006/relationships/hyperlink" Target="https://www.silverstonetek.com/en/" TargetMode="External"/><Relationship Id="rId1538" Type="http://schemas.openxmlformats.org/officeDocument/2006/relationships/hyperlink" Target="https://www.silverstonetek.com/en/product/info/coolers/VIDA120SLIM/" TargetMode="External"/><Relationship Id="rId1539" Type="http://schemas.openxmlformats.org/officeDocument/2006/relationships/hyperlink" Target="http://www.apalcool.com/index.php?c=category&amp;id=28" TargetMode="External"/><Relationship Id="rId949" Type="http://schemas.openxmlformats.org/officeDocument/2006/relationships/hyperlink" Target="https://www.asetek.com/" TargetMode="External"/><Relationship Id="rId948" Type="http://schemas.openxmlformats.org/officeDocument/2006/relationships/hyperlink" Target="https://www.fractal-design.com/products/water-cooling/celsius/celsius-plus-s28-prisma/celsius-s28-prisma/" TargetMode="External"/><Relationship Id="rId943" Type="http://schemas.openxmlformats.org/officeDocument/2006/relationships/hyperlink" Target="https://www.asetek.com/" TargetMode="External"/><Relationship Id="rId942" Type="http://schemas.openxmlformats.org/officeDocument/2006/relationships/hyperlink" Target="https://www.fractal-design.com/products/water-cooling/celsius/celsius-plus-s24-prisma/celsius-s24-prisma/" TargetMode="External"/><Relationship Id="rId941" Type="http://schemas.openxmlformats.org/officeDocument/2006/relationships/hyperlink" Target="https://www.fractal-design.com/" TargetMode="External"/><Relationship Id="rId940" Type="http://schemas.openxmlformats.org/officeDocument/2006/relationships/hyperlink" Target="https://www.asetek.com/" TargetMode="External"/><Relationship Id="rId947" Type="http://schemas.openxmlformats.org/officeDocument/2006/relationships/hyperlink" Target="https://www.fractal-design.com/" TargetMode="External"/><Relationship Id="rId946" Type="http://schemas.openxmlformats.org/officeDocument/2006/relationships/hyperlink" Target="https://www.asetek.com/" TargetMode="External"/><Relationship Id="rId945" Type="http://schemas.openxmlformats.org/officeDocument/2006/relationships/hyperlink" Target="https://www.fractal-design.com/products/water-cooling/celsius/celsius-plus-s28-dynamic/celsius-s28-dynamic/" TargetMode="External"/><Relationship Id="rId944" Type="http://schemas.openxmlformats.org/officeDocument/2006/relationships/hyperlink" Target="https://www.fractal-design.com/" TargetMode="External"/><Relationship Id="rId1530" Type="http://schemas.openxmlformats.org/officeDocument/2006/relationships/hyperlink" Target="http://www.apalcool.com/index.php?c=category&amp;id=28" TargetMode="External"/><Relationship Id="rId1531" Type="http://schemas.openxmlformats.org/officeDocument/2006/relationships/hyperlink" Target="https://www.silverstonetek.com/en/" TargetMode="External"/><Relationship Id="rId1521" Type="http://schemas.openxmlformats.org/officeDocument/2006/relationships/hyperlink" Target="http://www.apalcool.com/index.php?c=category&amp;id=28" TargetMode="External"/><Relationship Id="rId1522" Type="http://schemas.openxmlformats.org/officeDocument/2006/relationships/hyperlink" Target="https://www.silverstonetek.com/en/" TargetMode="External"/><Relationship Id="rId1523" Type="http://schemas.openxmlformats.org/officeDocument/2006/relationships/hyperlink" Target="https://www.silverstonetek.com/en/product/info/coolers/PF360W-ARGB/" TargetMode="External"/><Relationship Id="rId1524" Type="http://schemas.openxmlformats.org/officeDocument/2006/relationships/hyperlink" Target="http://www.apalcool.com/index.php?c=category&amp;id=28" TargetMode="External"/><Relationship Id="rId1525" Type="http://schemas.openxmlformats.org/officeDocument/2006/relationships/hyperlink" Target="https://www.silverstonetek.com/en/" TargetMode="External"/><Relationship Id="rId1526" Type="http://schemas.openxmlformats.org/officeDocument/2006/relationships/hyperlink" Target="https://www.silverstonetek.com/product.php?pid=810&amp;bno=40&amp;tb=21&amp;area=en" TargetMode="External"/><Relationship Id="rId1527" Type="http://schemas.openxmlformats.org/officeDocument/2006/relationships/hyperlink" Target="http://www.apalcool.com/index.php?c=category&amp;id=28" TargetMode="External"/><Relationship Id="rId1528" Type="http://schemas.openxmlformats.org/officeDocument/2006/relationships/hyperlink" Target="https://www.silverstonetek.com/en/" TargetMode="External"/><Relationship Id="rId1529" Type="http://schemas.openxmlformats.org/officeDocument/2006/relationships/hyperlink" Target="https://www.silverstonetek.com/product.php?pid=597&amp;bno=40&amp;tb=21&amp;area=en" TargetMode="External"/><Relationship Id="rId939" Type="http://schemas.openxmlformats.org/officeDocument/2006/relationships/hyperlink" Target="https://www.fractal-design.com/products/water-cooling/celsius/celsius-plus-s24-dynamic/celsius-s24-dynamic/" TargetMode="External"/><Relationship Id="rId938" Type="http://schemas.openxmlformats.org/officeDocument/2006/relationships/hyperlink" Target="https://www.fractal-design.com/" TargetMode="External"/><Relationship Id="rId937" Type="http://schemas.openxmlformats.org/officeDocument/2006/relationships/hyperlink" Target="https://www.asetek.com/" TargetMode="External"/><Relationship Id="rId932" Type="http://schemas.openxmlformats.org/officeDocument/2006/relationships/hyperlink" Target="https://www.fractal-design.com/" TargetMode="External"/><Relationship Id="rId931" Type="http://schemas.openxmlformats.org/officeDocument/2006/relationships/hyperlink" Target="https://www.asetek.com/" TargetMode="External"/><Relationship Id="rId930" Type="http://schemas.openxmlformats.org/officeDocument/2006/relationships/hyperlink" Target="https://www.evga.com/products/product.aspx?pn=400-HY-CX36-V1" TargetMode="External"/><Relationship Id="rId936" Type="http://schemas.openxmlformats.org/officeDocument/2006/relationships/hyperlink" Target="https://www.fractal-design.com/products/water-cooling/celsius/celsius-s36/black/" TargetMode="External"/><Relationship Id="rId935" Type="http://schemas.openxmlformats.org/officeDocument/2006/relationships/hyperlink" Target="https://www.fractal-design.com/" TargetMode="External"/><Relationship Id="rId934" Type="http://schemas.openxmlformats.org/officeDocument/2006/relationships/hyperlink" Target="https://www.asetek.com/" TargetMode="External"/><Relationship Id="rId933" Type="http://schemas.openxmlformats.org/officeDocument/2006/relationships/hyperlink" Target="https://www.fractal-design.com/products/water-cooling/celsius/celsius-s24-2/black/" TargetMode="External"/><Relationship Id="rId1520" Type="http://schemas.openxmlformats.org/officeDocument/2006/relationships/hyperlink" Target="https://www.silverstonetek.com/en/product/info/coolers/PF360-ARGB/" TargetMode="External"/><Relationship Id="rId1554" Type="http://schemas.openxmlformats.org/officeDocument/2006/relationships/hyperlink" Target="http://thermalright.com/" TargetMode="External"/><Relationship Id="rId1555" Type="http://schemas.openxmlformats.org/officeDocument/2006/relationships/hyperlink" Target="http://thermalright.com/product/aqua-elite-240-argb/" TargetMode="External"/><Relationship Id="rId1556" Type="http://schemas.openxmlformats.org/officeDocument/2006/relationships/hyperlink" Target="http://thermalright.com/" TargetMode="External"/><Relationship Id="rId1557" Type="http://schemas.openxmlformats.org/officeDocument/2006/relationships/hyperlink" Target="http://thermalright.com/product/aqua-elite-240-black-argb-v2/" TargetMode="External"/><Relationship Id="rId1558" Type="http://schemas.openxmlformats.org/officeDocument/2006/relationships/hyperlink" Target="http://thermalright.com/" TargetMode="External"/><Relationship Id="rId1559" Type="http://schemas.openxmlformats.org/officeDocument/2006/relationships/hyperlink" Target="http://thermalright.com/product/aqua-elite-240-v3/" TargetMode="External"/><Relationship Id="rId965" Type="http://schemas.openxmlformats.org/officeDocument/2006/relationships/hyperlink" Target="https://www.fractal-design.com/" TargetMode="External"/><Relationship Id="rId964" Type="http://schemas.openxmlformats.org/officeDocument/2006/relationships/hyperlink" Target="http://www.apalcool.com/index.php?c=category&amp;id=28" TargetMode="External"/><Relationship Id="rId963" Type="http://schemas.openxmlformats.org/officeDocument/2006/relationships/hyperlink" Target="https://www.fractal-design.com/products/water-cooling/lumen/lumen-s28/lumen-s28/" TargetMode="External"/><Relationship Id="rId962" Type="http://schemas.openxmlformats.org/officeDocument/2006/relationships/hyperlink" Target="https://www.fractal-design.com/" TargetMode="External"/><Relationship Id="rId969" Type="http://schemas.openxmlformats.org/officeDocument/2006/relationships/hyperlink" Target="https://www.fractal-design.com/products/water-cooling/lumen/lumen-s36/lumen-s36/" TargetMode="External"/><Relationship Id="rId968" Type="http://schemas.openxmlformats.org/officeDocument/2006/relationships/hyperlink" Target="https://www.fractal-design.com/" TargetMode="External"/><Relationship Id="rId967" Type="http://schemas.openxmlformats.org/officeDocument/2006/relationships/hyperlink" Target="http://www.apalcool.com/index.php?c=category&amp;id=28" TargetMode="External"/><Relationship Id="rId966" Type="http://schemas.openxmlformats.org/officeDocument/2006/relationships/hyperlink" Target="https://www.fractal-design.com/products/water-cooling/lumen/lumen-s28-rgb/lumen-s28-rgb/" TargetMode="External"/><Relationship Id="rId961" Type="http://schemas.openxmlformats.org/officeDocument/2006/relationships/hyperlink" Target="http://www.apalcool.com/index.php?c=category&amp;id=28" TargetMode="External"/><Relationship Id="rId1550" Type="http://schemas.openxmlformats.org/officeDocument/2006/relationships/hyperlink" Target="https://www.teamgroupinc.com/en/product/siren-duo360-all-in-one-argb-cpu-ssd-liquid-cooler" TargetMode="External"/><Relationship Id="rId960" Type="http://schemas.openxmlformats.org/officeDocument/2006/relationships/hyperlink" Target="https://www.fractal-design.com/products/water-cooling/lumen/lumen-s24-rgb/lumen-s24-rgb/" TargetMode="External"/><Relationship Id="rId1551" Type="http://schemas.openxmlformats.org/officeDocument/2006/relationships/hyperlink" Target="http://www.apalcool.com/index.php?c=category&amp;id=28" TargetMode="External"/><Relationship Id="rId1552" Type="http://schemas.openxmlformats.org/officeDocument/2006/relationships/hyperlink" Target="http://thermalright.com/" TargetMode="External"/><Relationship Id="rId1553" Type="http://schemas.openxmlformats.org/officeDocument/2006/relationships/hyperlink" Target="http://thermalright.com/product/aqua-elite-120-v3/" TargetMode="External"/><Relationship Id="rId1543" Type="http://schemas.openxmlformats.org/officeDocument/2006/relationships/hyperlink" Target="https://www.teamgroupinc.com/en/" TargetMode="External"/><Relationship Id="rId1544" Type="http://schemas.openxmlformats.org/officeDocument/2006/relationships/hyperlink" Target="https://www.teamgroupinc.com/en/product/siren-gd240-all-in-one-argb-cpu-liquid-cooler" TargetMode="External"/><Relationship Id="rId1545" Type="http://schemas.openxmlformats.org/officeDocument/2006/relationships/hyperlink" Target="http://www.apalcool.com/index.php?c=category&amp;id=28" TargetMode="External"/><Relationship Id="rId1546" Type="http://schemas.openxmlformats.org/officeDocument/2006/relationships/hyperlink" Target="https://www.teamgroupinc.com/en/" TargetMode="External"/><Relationship Id="rId1547" Type="http://schemas.openxmlformats.org/officeDocument/2006/relationships/hyperlink" Target="https://www.teamgroupinc.com/en/product/siren-gd360e-all-in-one-argb-cpu-liquid-cooler" TargetMode="External"/><Relationship Id="rId1548" Type="http://schemas.openxmlformats.org/officeDocument/2006/relationships/hyperlink" Target="http://www.apalcool.com/index.php?c=category&amp;id=28" TargetMode="External"/><Relationship Id="rId1549" Type="http://schemas.openxmlformats.org/officeDocument/2006/relationships/hyperlink" Target="https://www.teamgroupinc.com/en/" TargetMode="External"/><Relationship Id="rId959" Type="http://schemas.openxmlformats.org/officeDocument/2006/relationships/hyperlink" Target="https://www.fractal-design.com/" TargetMode="External"/><Relationship Id="rId954" Type="http://schemas.openxmlformats.org/officeDocument/2006/relationships/hyperlink" Target="https://www.fractal-design.com/products/water-cooling/celsius/celsius-plus-s36-prisma/celsius-s36-prisma/" TargetMode="External"/><Relationship Id="rId953" Type="http://schemas.openxmlformats.org/officeDocument/2006/relationships/hyperlink" Target="https://www.fractal-design.com/" TargetMode="External"/><Relationship Id="rId952" Type="http://schemas.openxmlformats.org/officeDocument/2006/relationships/hyperlink" Target="https://www.asetek.com/" TargetMode="External"/><Relationship Id="rId951" Type="http://schemas.openxmlformats.org/officeDocument/2006/relationships/hyperlink" Target="https://www.fractal-design.com/products/water-cooling/celsius/celsius-plus-s36-dynamic/celsius-s36-dynamic/" TargetMode="External"/><Relationship Id="rId958" Type="http://schemas.openxmlformats.org/officeDocument/2006/relationships/hyperlink" Target="http://www.apalcool.com/index.php?c=category&amp;id=28" TargetMode="External"/><Relationship Id="rId957" Type="http://schemas.openxmlformats.org/officeDocument/2006/relationships/hyperlink" Target="https://www.fractal-design.com/products/water-cooling/lumen/lumen-s24/lumen-s24/" TargetMode="External"/><Relationship Id="rId956" Type="http://schemas.openxmlformats.org/officeDocument/2006/relationships/hyperlink" Target="https://www.fractal-design.com/" TargetMode="External"/><Relationship Id="rId955" Type="http://schemas.openxmlformats.org/officeDocument/2006/relationships/hyperlink" Target="https://www.asetek.com/" TargetMode="External"/><Relationship Id="rId950" Type="http://schemas.openxmlformats.org/officeDocument/2006/relationships/hyperlink" Target="https://www.fractal-design.com/" TargetMode="External"/><Relationship Id="rId1540" Type="http://schemas.openxmlformats.org/officeDocument/2006/relationships/hyperlink" Target="https://www.teamgroupinc.com/en/" TargetMode="External"/><Relationship Id="rId1541" Type="http://schemas.openxmlformats.org/officeDocument/2006/relationships/hyperlink" Target="https://www.teamgroupinc.com/en/product/siren-ga360-argb-aio-cooler" TargetMode="External"/><Relationship Id="rId1542" Type="http://schemas.openxmlformats.org/officeDocument/2006/relationships/hyperlink" Target="https://www.asetek.com/" TargetMode="External"/><Relationship Id="rId590" Type="http://schemas.openxmlformats.org/officeDocument/2006/relationships/hyperlink" Target="https://www.corsair.com/ww/en/" TargetMode="External"/><Relationship Id="rId107" Type="http://schemas.openxmlformats.org/officeDocument/2006/relationships/hyperlink" Target="https://www.antec.com/" TargetMode="External"/><Relationship Id="rId106" Type="http://schemas.openxmlformats.org/officeDocument/2006/relationships/hyperlink" Target="https://antec.com/product/cooling/k240.php" TargetMode="External"/><Relationship Id="rId105" Type="http://schemas.openxmlformats.org/officeDocument/2006/relationships/hyperlink" Target="https://www.antec.com/" TargetMode="External"/><Relationship Id="rId589" Type="http://schemas.openxmlformats.org/officeDocument/2006/relationships/hyperlink" Target="https://www.coolitsystems.com/" TargetMode="External"/><Relationship Id="rId104" Type="http://schemas.openxmlformats.org/officeDocument/2006/relationships/hyperlink" Target="https://antec.com/product/cooling/k120-rgb.php" TargetMode="External"/><Relationship Id="rId588" Type="http://schemas.openxmlformats.org/officeDocument/2006/relationships/hyperlink" Target="https://www.corsair.com/ww/en/Categories/Products/Liquid-Cooling/iCUE-ELITE-CAPELLIX-XT-White-Liquid-CPU-Cooler/p/CW-9060073-WW" TargetMode="External"/><Relationship Id="rId109" Type="http://schemas.openxmlformats.org/officeDocument/2006/relationships/hyperlink" Target="https://www.antec.com/" TargetMode="External"/><Relationship Id="rId1170" Type="http://schemas.openxmlformats.org/officeDocument/2006/relationships/hyperlink" Target="http://www.jonsbo.com/en/" TargetMode="External"/><Relationship Id="rId108" Type="http://schemas.openxmlformats.org/officeDocument/2006/relationships/hyperlink" Target="https://antec.com/product/cooling/k240-rgb.php" TargetMode="External"/><Relationship Id="rId1171" Type="http://schemas.openxmlformats.org/officeDocument/2006/relationships/hyperlink" Target="https://www.jonsbo.com/en/products/TW2120(501).html" TargetMode="External"/><Relationship Id="rId583" Type="http://schemas.openxmlformats.org/officeDocument/2006/relationships/hyperlink" Target="https://www.coolitsystems.com/" TargetMode="External"/><Relationship Id="rId1172" Type="http://schemas.openxmlformats.org/officeDocument/2006/relationships/hyperlink" Target="http://www.jonsbo.com/en/" TargetMode="External"/><Relationship Id="rId582" Type="http://schemas.openxmlformats.org/officeDocument/2006/relationships/hyperlink" Target="https://www.corsair.com/ww/en/Categories/Products/Liquid-Cooling/iCUE-ELITE-CAPELLIX-WHITE-Liquid-CPU-Cooler/p/CW-9060051-WW" TargetMode="External"/><Relationship Id="rId1173" Type="http://schemas.openxmlformats.org/officeDocument/2006/relationships/hyperlink" Target="https://www.jonsbo.com/en/products/TW2120(601).html" TargetMode="External"/><Relationship Id="rId581" Type="http://schemas.openxmlformats.org/officeDocument/2006/relationships/hyperlink" Target="https://www.corsair.com/ww/en/" TargetMode="External"/><Relationship Id="rId1174" Type="http://schemas.openxmlformats.org/officeDocument/2006/relationships/hyperlink" Target="http://www.jonsbo.com/en/" TargetMode="External"/><Relationship Id="rId580" Type="http://schemas.openxmlformats.org/officeDocument/2006/relationships/hyperlink" Target="https://www.coolitsystems.com/" TargetMode="External"/><Relationship Id="rId1175" Type="http://schemas.openxmlformats.org/officeDocument/2006/relationships/hyperlink" Target="https://www.jonsbo.com/en/products/TW2120(601RGB).html" TargetMode="External"/><Relationship Id="rId103" Type="http://schemas.openxmlformats.org/officeDocument/2006/relationships/hyperlink" Target="https://www.antec.com/" TargetMode="External"/><Relationship Id="rId587" Type="http://schemas.openxmlformats.org/officeDocument/2006/relationships/hyperlink" Target="https://www.corsair.com/ww/en/" TargetMode="External"/><Relationship Id="rId1176" Type="http://schemas.openxmlformats.org/officeDocument/2006/relationships/hyperlink" Target="http://www.jonsbo.com/en/" TargetMode="External"/><Relationship Id="rId102" Type="http://schemas.openxmlformats.org/officeDocument/2006/relationships/hyperlink" Target="https://antec.com/product/cooling/k120.php" TargetMode="External"/><Relationship Id="rId586" Type="http://schemas.openxmlformats.org/officeDocument/2006/relationships/hyperlink" Target="https://www.coolitsystems.com/" TargetMode="External"/><Relationship Id="rId1177" Type="http://schemas.openxmlformats.org/officeDocument/2006/relationships/hyperlink" Target="https://www.jonsbo.com/en/products/TW2120Pro.html" TargetMode="External"/><Relationship Id="rId101" Type="http://schemas.openxmlformats.org/officeDocument/2006/relationships/hyperlink" Target="https://www.antec.com/" TargetMode="External"/><Relationship Id="rId585" Type="http://schemas.openxmlformats.org/officeDocument/2006/relationships/hyperlink" Target="https://www.corsair.com/ww/en/Categories/Products/Liquid-Cooling/iCUE-ELITE-CAPELLIX-XT-Liquid-CPU-Cooler/p/CW-9060070-WW" TargetMode="External"/><Relationship Id="rId1178" Type="http://schemas.openxmlformats.org/officeDocument/2006/relationships/hyperlink" Target="http://www.jonsbo.com/en/" TargetMode="External"/><Relationship Id="rId100" Type="http://schemas.openxmlformats.org/officeDocument/2006/relationships/hyperlink" Target="https://www.alphacool.com/" TargetMode="External"/><Relationship Id="rId584" Type="http://schemas.openxmlformats.org/officeDocument/2006/relationships/hyperlink" Target="https://www.corsair.com/ww/en/" TargetMode="External"/><Relationship Id="rId1179" Type="http://schemas.openxmlformats.org/officeDocument/2006/relationships/hyperlink" Target="https://www.jonsbo.com/en/products/tw2240(501).html" TargetMode="External"/><Relationship Id="rId1169" Type="http://schemas.openxmlformats.org/officeDocument/2006/relationships/hyperlink" Target="https://www.jonsbo.com/en/products/tw240rgb.html" TargetMode="External"/><Relationship Id="rId579" Type="http://schemas.openxmlformats.org/officeDocument/2006/relationships/hyperlink" Target="https://www.corsair.com/ww/en/Categories/Products/Liquid-Cooling/iCUE-ELITE-CAPELLIX-Liquid-CPU-Cooler/p/CW-9060048-WW" TargetMode="External"/><Relationship Id="rId578" Type="http://schemas.openxmlformats.org/officeDocument/2006/relationships/hyperlink" Target="https://www.corsair.com/ww/en/" TargetMode="External"/><Relationship Id="rId577" Type="http://schemas.openxmlformats.org/officeDocument/2006/relationships/hyperlink" Target="https://www.coolitsystems.com/" TargetMode="External"/><Relationship Id="rId1160" Type="http://schemas.openxmlformats.org/officeDocument/2006/relationships/hyperlink" Target="http://www.jonsbo.com/en/" TargetMode="External"/><Relationship Id="rId572" Type="http://schemas.openxmlformats.org/officeDocument/2006/relationships/hyperlink" Target="https://www.corsair.com/ww/en/" TargetMode="External"/><Relationship Id="rId1161" Type="http://schemas.openxmlformats.org/officeDocument/2006/relationships/hyperlink" Target="https://www.jonsbo.com/en/products/375.html" TargetMode="External"/><Relationship Id="rId571" Type="http://schemas.openxmlformats.org/officeDocument/2006/relationships/hyperlink" Target="https://www.coolitsystems.com/" TargetMode="External"/><Relationship Id="rId1162" Type="http://schemas.openxmlformats.org/officeDocument/2006/relationships/hyperlink" Target="http://www.jonsbo.com/en/" TargetMode="External"/><Relationship Id="rId570" Type="http://schemas.openxmlformats.org/officeDocument/2006/relationships/hyperlink" Target="https://www.corsair.com/ww/en/Categories/Products/Liquid-Cooling/iCUE-ELITE-CAPELLIX-XT-Liquid-CPU-Cooler/p/CW-9060069-WW" TargetMode="External"/><Relationship Id="rId1163" Type="http://schemas.openxmlformats.org/officeDocument/2006/relationships/hyperlink" Target="https://www.jonsbo.com/en/products/TG360Black.html" TargetMode="External"/><Relationship Id="rId1164" Type="http://schemas.openxmlformats.org/officeDocument/2006/relationships/hyperlink" Target="http://www.jonsbo.com/en/" TargetMode="External"/><Relationship Id="rId576" Type="http://schemas.openxmlformats.org/officeDocument/2006/relationships/hyperlink" Target="https://www.corsair.com/ww/en/Categories/Products/Liquid-Cooling/iCUE-RGB-PRO-XT-Coolers/p/CW-9060044-WW" TargetMode="External"/><Relationship Id="rId1165" Type="http://schemas.openxmlformats.org/officeDocument/2006/relationships/hyperlink" Target="https://www.jonsbo.com/en/products/TG360White.html" TargetMode="External"/><Relationship Id="rId575" Type="http://schemas.openxmlformats.org/officeDocument/2006/relationships/hyperlink" Target="https://www.corsair.com/ww/en/" TargetMode="External"/><Relationship Id="rId1166" Type="http://schemas.openxmlformats.org/officeDocument/2006/relationships/hyperlink" Target="http://www.jonsbo.com/en/" TargetMode="External"/><Relationship Id="rId574" Type="http://schemas.openxmlformats.org/officeDocument/2006/relationships/hyperlink" Target="https://www.coolitsystems.com/" TargetMode="External"/><Relationship Id="rId1167" Type="http://schemas.openxmlformats.org/officeDocument/2006/relationships/hyperlink" Target="https://www.jonsbo.com/en/products/tw120rgb.html" TargetMode="External"/><Relationship Id="rId573" Type="http://schemas.openxmlformats.org/officeDocument/2006/relationships/hyperlink" Target="https://www.corsair.com/ww/en/Categories/Products/Liquid-Cooling/iCUE-RGB-ELITE-Liquid-CPU-Cooler/p/CW-9060059-WW" TargetMode="External"/><Relationship Id="rId1168" Type="http://schemas.openxmlformats.org/officeDocument/2006/relationships/hyperlink" Target="http://www.jonsbo.com/en/" TargetMode="External"/><Relationship Id="rId129" Type="http://schemas.openxmlformats.org/officeDocument/2006/relationships/hyperlink" Target="https://www.antec.com/" TargetMode="External"/><Relationship Id="rId128" Type="http://schemas.openxmlformats.org/officeDocument/2006/relationships/hyperlink" Target="https://www.antec.com/product/cooling/vortex240-argb" TargetMode="External"/><Relationship Id="rId127" Type="http://schemas.openxmlformats.org/officeDocument/2006/relationships/hyperlink" Target="https://www.antec.com/" TargetMode="External"/><Relationship Id="rId126" Type="http://schemas.openxmlformats.org/officeDocument/2006/relationships/hyperlink" Target="https://www.antec.com/product/cooling/symphony-360-argb-white" TargetMode="External"/><Relationship Id="rId1190" Type="http://schemas.openxmlformats.org/officeDocument/2006/relationships/hyperlink" Target="http://www.jonsbo.com/en/" TargetMode="External"/><Relationship Id="rId1191" Type="http://schemas.openxmlformats.org/officeDocument/2006/relationships/hyperlink" Target="https://www.jonsbo.com/en/products/TW2360.html" TargetMode="External"/><Relationship Id="rId1192" Type="http://schemas.openxmlformats.org/officeDocument/2006/relationships/hyperlink" Target="http://www.jonsbo.com/en/" TargetMode="External"/><Relationship Id="rId1193" Type="http://schemas.openxmlformats.org/officeDocument/2006/relationships/hyperlink" Target="https://www.jonsbo.com/en/products/TW2360Pro.html" TargetMode="External"/><Relationship Id="rId121" Type="http://schemas.openxmlformats.org/officeDocument/2006/relationships/hyperlink" Target="https://www.antec.com/" TargetMode="External"/><Relationship Id="rId1194" Type="http://schemas.openxmlformats.org/officeDocument/2006/relationships/hyperlink" Target="http://www.jonsbo.com/en/" TargetMode="External"/><Relationship Id="rId120" Type="http://schemas.openxmlformats.org/officeDocument/2006/relationships/hyperlink" Target="https://antec.com/product/cooling/neptune240.php" TargetMode="External"/><Relationship Id="rId1195" Type="http://schemas.openxmlformats.org/officeDocument/2006/relationships/hyperlink" Target="https://www.jonsbo.com/en/products/TW2360ProCOLOR.html" TargetMode="External"/><Relationship Id="rId1196" Type="http://schemas.openxmlformats.org/officeDocument/2006/relationships/hyperlink" Target="http://www.jonsbo.com/en/" TargetMode="External"/><Relationship Id="rId1197" Type="http://schemas.openxmlformats.org/officeDocument/2006/relationships/hyperlink" Target="https://www.jonsbo.com/en/products/qiaosiboTW3120shuilengsanreqi.html" TargetMode="External"/><Relationship Id="rId125" Type="http://schemas.openxmlformats.org/officeDocument/2006/relationships/hyperlink" Target="https://www.antec.com/" TargetMode="External"/><Relationship Id="rId1198" Type="http://schemas.openxmlformats.org/officeDocument/2006/relationships/hyperlink" Target="http://www.jonsbo.com/en/" TargetMode="External"/><Relationship Id="rId124" Type="http://schemas.openxmlformats.org/officeDocument/2006/relationships/hyperlink" Target="https://www.antec.com/product/cooling/symphony-360-argb" TargetMode="External"/><Relationship Id="rId1199" Type="http://schemas.openxmlformats.org/officeDocument/2006/relationships/hyperlink" Target="https://www.jonsbo.com/en/products/TW3240.html" TargetMode="External"/><Relationship Id="rId123" Type="http://schemas.openxmlformats.org/officeDocument/2006/relationships/hyperlink" Target="https://www.antec.com/" TargetMode="External"/><Relationship Id="rId122" Type="http://schemas.openxmlformats.org/officeDocument/2006/relationships/hyperlink" Target="https://www.antec.com/product/cooling/symphony-240-argb" TargetMode="External"/><Relationship Id="rId118" Type="http://schemas.openxmlformats.org/officeDocument/2006/relationships/hyperlink" Target="https://antec.com/product/cooling/neptune120.php" TargetMode="External"/><Relationship Id="rId117" Type="http://schemas.openxmlformats.org/officeDocument/2006/relationships/hyperlink" Target="https://www.antec.com/" TargetMode="External"/><Relationship Id="rId116" Type="http://schemas.openxmlformats.org/officeDocument/2006/relationships/hyperlink" Target="https://antec.com/product/cooling/m240-rgb.php" TargetMode="External"/><Relationship Id="rId115" Type="http://schemas.openxmlformats.org/officeDocument/2006/relationships/hyperlink" Target="https://www.antec.com/" TargetMode="External"/><Relationship Id="rId599" Type="http://schemas.openxmlformats.org/officeDocument/2006/relationships/hyperlink" Target="https://www.corsair.com/ww/en/" TargetMode="External"/><Relationship Id="rId1180" Type="http://schemas.openxmlformats.org/officeDocument/2006/relationships/hyperlink" Target="http://www.jonsbo.com/en/" TargetMode="External"/><Relationship Id="rId1181" Type="http://schemas.openxmlformats.org/officeDocument/2006/relationships/hyperlink" Target="https://www.jonsbo.com/en/products/tw2240(601).html" TargetMode="External"/><Relationship Id="rId119" Type="http://schemas.openxmlformats.org/officeDocument/2006/relationships/hyperlink" Target="https://www.antec.com/" TargetMode="External"/><Relationship Id="rId1182" Type="http://schemas.openxmlformats.org/officeDocument/2006/relationships/hyperlink" Target="http://www.jonsbo.com/en/" TargetMode="External"/><Relationship Id="rId110" Type="http://schemas.openxmlformats.org/officeDocument/2006/relationships/hyperlink" Target="https://antec.com/product/cooling/m120.php" TargetMode="External"/><Relationship Id="rId594" Type="http://schemas.openxmlformats.org/officeDocument/2006/relationships/hyperlink" Target="https://www.corsair.com/ww/en/Categories/Products/Liquid-Cooling/iCUE-ELITE-LCD-XT-Liquid-CPU-Cooler/p/CW-9060075-WW" TargetMode="External"/><Relationship Id="rId1183" Type="http://schemas.openxmlformats.org/officeDocument/2006/relationships/hyperlink" Target="https://www.jonsbo.com/en/products/tw2240(601rgb).html" TargetMode="External"/><Relationship Id="rId593" Type="http://schemas.openxmlformats.org/officeDocument/2006/relationships/hyperlink" Target="https://www.corsair.com/ww/en/" TargetMode="External"/><Relationship Id="rId1184" Type="http://schemas.openxmlformats.org/officeDocument/2006/relationships/hyperlink" Target="http://www.jonsbo.com/en/" TargetMode="External"/><Relationship Id="rId592" Type="http://schemas.openxmlformats.org/officeDocument/2006/relationships/hyperlink" Target="https://www.coolitsystems.com/" TargetMode="External"/><Relationship Id="rId1185" Type="http://schemas.openxmlformats.org/officeDocument/2006/relationships/hyperlink" Target="https://www.jonsbo.com/en/products/TW2240ARGB2.html" TargetMode="External"/><Relationship Id="rId591" Type="http://schemas.openxmlformats.org/officeDocument/2006/relationships/hyperlink" Target="https://www.corsair.com/ww/en/Categories/Products/Liquid-Cooling/iCUE-ELITE-LCD-Display-Liquid-CPU-Cooler/p/CW-9060062-WW" TargetMode="External"/><Relationship Id="rId1186" Type="http://schemas.openxmlformats.org/officeDocument/2006/relationships/hyperlink" Target="http://www.jonsbo.com/en/" TargetMode="External"/><Relationship Id="rId114" Type="http://schemas.openxmlformats.org/officeDocument/2006/relationships/hyperlink" Target="https://antec.com/product/cooling/m240.php" TargetMode="External"/><Relationship Id="rId598" Type="http://schemas.openxmlformats.org/officeDocument/2006/relationships/hyperlink" Target="https://www.coolitsystems.com/" TargetMode="External"/><Relationship Id="rId1187" Type="http://schemas.openxmlformats.org/officeDocument/2006/relationships/hyperlink" Target="https://www.jonsbo.com/en/products/TW2240Pro.html" TargetMode="External"/><Relationship Id="rId113" Type="http://schemas.openxmlformats.org/officeDocument/2006/relationships/hyperlink" Target="https://www.antec.com/" TargetMode="External"/><Relationship Id="rId597" Type="http://schemas.openxmlformats.org/officeDocument/2006/relationships/hyperlink" Target="https://www.corsair.com/ww/en/Categories/Products/Liquid-Cooling/iCUE-ELITE-LCD-XT-White-Liquid-CPU-Cooler/p/CW-9060077-WW" TargetMode="External"/><Relationship Id="rId1188" Type="http://schemas.openxmlformats.org/officeDocument/2006/relationships/hyperlink" Target="http://www.jonsbo.com/en/" TargetMode="External"/><Relationship Id="rId112" Type="http://schemas.openxmlformats.org/officeDocument/2006/relationships/hyperlink" Target="https://antec.com/product/cooling/m120-rgb.php" TargetMode="External"/><Relationship Id="rId596" Type="http://schemas.openxmlformats.org/officeDocument/2006/relationships/hyperlink" Target="https://www.corsair.com/ww/en/" TargetMode="External"/><Relationship Id="rId1189" Type="http://schemas.openxmlformats.org/officeDocument/2006/relationships/hyperlink" Target="https://www.jonsbo.com/en/products/TW2240ProCOLOR.html" TargetMode="External"/><Relationship Id="rId111" Type="http://schemas.openxmlformats.org/officeDocument/2006/relationships/hyperlink" Target="https://www.antec.com/" TargetMode="External"/><Relationship Id="rId595" Type="http://schemas.openxmlformats.org/officeDocument/2006/relationships/hyperlink" Target="https://www.coolitsystems.com/" TargetMode="External"/><Relationship Id="rId1136" Type="http://schemas.openxmlformats.org/officeDocument/2006/relationships/hyperlink" Target="http://www.jonsbo.com/en/" TargetMode="External"/><Relationship Id="rId1137" Type="http://schemas.openxmlformats.org/officeDocument/2006/relationships/hyperlink" Target="https://www.jonsbo.com/en/products/SHADOW240ARGBPLUS.html" TargetMode="External"/><Relationship Id="rId1138" Type="http://schemas.openxmlformats.org/officeDocument/2006/relationships/hyperlink" Target="http://www.jonsbo.com/en/" TargetMode="External"/><Relationship Id="rId1139" Type="http://schemas.openxmlformats.org/officeDocument/2006/relationships/hyperlink" Target="https://www.jonsbo.com/en/products/SHADOW240ARGBVer2.0.html" TargetMode="External"/><Relationship Id="rId547" Type="http://schemas.openxmlformats.org/officeDocument/2006/relationships/hyperlink" Target="https://www.coolitsystems.com/" TargetMode="External"/><Relationship Id="rId546" Type="http://schemas.openxmlformats.org/officeDocument/2006/relationships/hyperlink" Target="https://www.corsair.com/ww/en/Categories/Products/Liquid-Cooling/iCUE-ELITE-CAPELLIX-XT-Liquid-CPU-Cooler/p/CW-9060068-WW" TargetMode="External"/><Relationship Id="rId545" Type="http://schemas.openxmlformats.org/officeDocument/2006/relationships/hyperlink" Target="https://www.corsair.com/ww/en/" TargetMode="External"/><Relationship Id="rId544" Type="http://schemas.openxmlformats.org/officeDocument/2006/relationships/hyperlink" Target="https://www.coolitsystems.com/" TargetMode="External"/><Relationship Id="rId549" Type="http://schemas.openxmlformats.org/officeDocument/2006/relationships/hyperlink" Target="https://www.corsair.com/ww/en/Categories/Products/Liquid-Cooling/iCUE-ELITE-CAPELLIX-XT-White-Liquid-CPU-Cooler/p/CW-9060072-WW" TargetMode="External"/><Relationship Id="rId548" Type="http://schemas.openxmlformats.org/officeDocument/2006/relationships/hyperlink" Target="https://www.corsair.com/ww/en/" TargetMode="External"/><Relationship Id="rId1130" Type="http://schemas.openxmlformats.org/officeDocument/2006/relationships/hyperlink" Target="http://www.jonsbo.com/en/" TargetMode="External"/><Relationship Id="rId1131" Type="http://schemas.openxmlformats.org/officeDocument/2006/relationships/hyperlink" Target="https://www.jonsbo.com/en/products/SHADOW240WhiteColor.html" TargetMode="External"/><Relationship Id="rId543" Type="http://schemas.openxmlformats.org/officeDocument/2006/relationships/hyperlink" Target="https://www.corsair.com/ww/en/Categories/Products/Liquid-Cooling/iCUE-ELITE-CAPELLIX-Liquid-CPU-Cooler/p/CW-9060046-WW" TargetMode="External"/><Relationship Id="rId1132" Type="http://schemas.openxmlformats.org/officeDocument/2006/relationships/hyperlink" Target="http://www.jonsbo.com/en/" TargetMode="External"/><Relationship Id="rId542" Type="http://schemas.openxmlformats.org/officeDocument/2006/relationships/hyperlink" Target="https://www.corsair.com/ww/en/" TargetMode="External"/><Relationship Id="rId1133" Type="http://schemas.openxmlformats.org/officeDocument/2006/relationships/hyperlink" Target="https://www.jonsbo.com/en/products/Shadow360.html" TargetMode="External"/><Relationship Id="rId541" Type="http://schemas.openxmlformats.org/officeDocument/2006/relationships/hyperlink" Target="https://www.coolitsystems.com/" TargetMode="External"/><Relationship Id="rId1134" Type="http://schemas.openxmlformats.org/officeDocument/2006/relationships/hyperlink" Target="http://www.jonsbo.com/en/" TargetMode="External"/><Relationship Id="rId540" Type="http://schemas.openxmlformats.org/officeDocument/2006/relationships/hyperlink" Target="https://www.corsair.com/ww/en/Categories/Products/Liquid-Cooling/iCUE-RGB-ELITE-Liquid-CPU-Cooler/p/CW-9060064-WW" TargetMode="External"/><Relationship Id="rId1135" Type="http://schemas.openxmlformats.org/officeDocument/2006/relationships/hyperlink" Target="https://www.jonsbo.com/en/products/SHADOW240White.html" TargetMode="External"/><Relationship Id="rId1125" Type="http://schemas.openxmlformats.org/officeDocument/2006/relationships/hyperlink" Target="https://www.jonsbo.com/en/products/Shadow240.html" TargetMode="External"/><Relationship Id="rId1126" Type="http://schemas.openxmlformats.org/officeDocument/2006/relationships/hyperlink" Target="http://www.jonsbo.com/en/" TargetMode="External"/><Relationship Id="rId1127" Type="http://schemas.openxmlformats.org/officeDocument/2006/relationships/hyperlink" Target="https://www.jonsbo.com/en/products/SHADOW240White.html" TargetMode="External"/><Relationship Id="rId1128" Type="http://schemas.openxmlformats.org/officeDocument/2006/relationships/hyperlink" Target="http://www.jonsbo.com/en/" TargetMode="External"/><Relationship Id="rId1129" Type="http://schemas.openxmlformats.org/officeDocument/2006/relationships/hyperlink" Target="https://www.jonsbo.com/en/products/SHADOW240COLOR.html" TargetMode="External"/><Relationship Id="rId536" Type="http://schemas.openxmlformats.org/officeDocument/2006/relationships/hyperlink" Target="https://www.corsair.com/ww/en/" TargetMode="External"/><Relationship Id="rId535" Type="http://schemas.openxmlformats.org/officeDocument/2006/relationships/hyperlink" Target="https://www.coolitsystems.com/" TargetMode="External"/><Relationship Id="rId534" Type="http://schemas.openxmlformats.org/officeDocument/2006/relationships/hyperlink" Target="https://www.corsair.com/ww/en/Categories/Products/Liquid-Cooling/RGB-Liquid-CPU-Coolers/p/CW-9060054-WW" TargetMode="External"/><Relationship Id="rId533" Type="http://schemas.openxmlformats.org/officeDocument/2006/relationships/hyperlink" Target="https://www.corsair.com/ww/en/" TargetMode="External"/><Relationship Id="rId539" Type="http://schemas.openxmlformats.org/officeDocument/2006/relationships/hyperlink" Target="https://www.corsair.com/ww/en/" TargetMode="External"/><Relationship Id="rId538" Type="http://schemas.openxmlformats.org/officeDocument/2006/relationships/hyperlink" Target="https://www.coolitsystems.com/" TargetMode="External"/><Relationship Id="rId537" Type="http://schemas.openxmlformats.org/officeDocument/2006/relationships/hyperlink" Target="https://www.corsair.com/ww/en/Categories/Products/Liquid-Cooling/iCUE-RGB-PRO-XT-Coolers/p/CW-9060049-WW" TargetMode="External"/><Relationship Id="rId1120" Type="http://schemas.openxmlformats.org/officeDocument/2006/relationships/hyperlink" Target="http://www.jonsbo.com/en/" TargetMode="External"/><Relationship Id="rId532" Type="http://schemas.openxmlformats.org/officeDocument/2006/relationships/hyperlink" Target="https://www.coolitsystems.com/" TargetMode="External"/><Relationship Id="rId1121" Type="http://schemas.openxmlformats.org/officeDocument/2006/relationships/hyperlink" Target="https://www.jonsbo.com/en/products/JELLYFISH240.html" TargetMode="External"/><Relationship Id="rId531" Type="http://schemas.openxmlformats.org/officeDocument/2006/relationships/hyperlink" Target="https://www.corsair.com/ww/en/Categories/Products/Liquid-Cooling/Dual-Radiator-Liquid-Coolers/Hydro-Series%E2%84%A2-RGB-Platinum/p/CW-9060038-WW" TargetMode="External"/><Relationship Id="rId1122" Type="http://schemas.openxmlformats.org/officeDocument/2006/relationships/hyperlink" Target="http://www.jonsbo.com/en/" TargetMode="External"/><Relationship Id="rId530" Type="http://schemas.openxmlformats.org/officeDocument/2006/relationships/hyperlink" Target="https://www.corsair.com/ww/en/" TargetMode="External"/><Relationship Id="rId1123" Type="http://schemas.openxmlformats.org/officeDocument/2006/relationships/hyperlink" Target="https://www.jonsbo.com/en/products/JELLYFISH360.html" TargetMode="External"/><Relationship Id="rId1124" Type="http://schemas.openxmlformats.org/officeDocument/2006/relationships/hyperlink" Target="http://www.jonsbo.com/en/" TargetMode="External"/><Relationship Id="rId1158" Type="http://schemas.openxmlformats.org/officeDocument/2006/relationships/hyperlink" Target="http://www.jonsbo.com/en/" TargetMode="External"/><Relationship Id="rId1159" Type="http://schemas.openxmlformats.org/officeDocument/2006/relationships/hyperlink" Target="https://www.jonsbo.com/en/products/TG240Black.html" TargetMode="External"/><Relationship Id="rId569" Type="http://schemas.openxmlformats.org/officeDocument/2006/relationships/hyperlink" Target="https://www.corsair.com/ww/en/" TargetMode="External"/><Relationship Id="rId568" Type="http://schemas.openxmlformats.org/officeDocument/2006/relationships/hyperlink" Target="https://www.coolitsystems.com/" TargetMode="External"/><Relationship Id="rId567" Type="http://schemas.openxmlformats.org/officeDocument/2006/relationships/hyperlink" Target="https://www.corsair.com/ww/en/Categories/Products/Liquid-Cooling/iCUE-ELITE-CAPELLIX-Liquid-CPU-Cooler/p/CW-9060047-WW" TargetMode="External"/><Relationship Id="rId566" Type="http://schemas.openxmlformats.org/officeDocument/2006/relationships/hyperlink" Target="https://www.corsair.com/ww/en/" TargetMode="External"/><Relationship Id="rId561" Type="http://schemas.openxmlformats.org/officeDocument/2006/relationships/hyperlink" Target="https://www.corsair.com/ww/en/Categories/Products/Liquid-Cooling/iCUE-RGB-PRO-XT-Coolers/p/CW-9060043-WW" TargetMode="External"/><Relationship Id="rId1150" Type="http://schemas.openxmlformats.org/officeDocument/2006/relationships/hyperlink" Target="http://www.jonsbo.com/en/" TargetMode="External"/><Relationship Id="rId560" Type="http://schemas.openxmlformats.org/officeDocument/2006/relationships/hyperlink" Target="https://www.corsair.com/ww/en/" TargetMode="External"/><Relationship Id="rId1151" Type="http://schemas.openxmlformats.org/officeDocument/2006/relationships/hyperlink" Target="https://www.jonsbo.com/en/products/SHADOW360COLOR.html" TargetMode="External"/><Relationship Id="rId1152" Type="http://schemas.openxmlformats.org/officeDocument/2006/relationships/hyperlink" Target="http://www.jonsbo.com/en/" TargetMode="External"/><Relationship Id="rId1153" Type="http://schemas.openxmlformats.org/officeDocument/2006/relationships/hyperlink" Target="https://www.jonsbo.com/en/products/SHADOW360WhiteColor.html" TargetMode="External"/><Relationship Id="rId565" Type="http://schemas.openxmlformats.org/officeDocument/2006/relationships/hyperlink" Target="https://www.coolitsystems.com/" TargetMode="External"/><Relationship Id="rId1154" Type="http://schemas.openxmlformats.org/officeDocument/2006/relationships/hyperlink" Target="http://www.jonsbo.com/en/" TargetMode="External"/><Relationship Id="rId564" Type="http://schemas.openxmlformats.org/officeDocument/2006/relationships/hyperlink" Target="https://www.corsair.com/ww/en/Categories/Products/Liquid-Cooling/iCUE-RGB-ELITE-Liquid-CPU-Cooler/p/CW-9060065-WW" TargetMode="External"/><Relationship Id="rId1155" Type="http://schemas.openxmlformats.org/officeDocument/2006/relationships/hyperlink" Target="https://www.jonsbo.com/en/products/TF240ARGB.html" TargetMode="External"/><Relationship Id="rId563" Type="http://schemas.openxmlformats.org/officeDocument/2006/relationships/hyperlink" Target="https://www.corsair.com/ww/en/" TargetMode="External"/><Relationship Id="rId1156" Type="http://schemas.openxmlformats.org/officeDocument/2006/relationships/hyperlink" Target="http://www.jonsbo.com/en/" TargetMode="External"/><Relationship Id="rId562" Type="http://schemas.openxmlformats.org/officeDocument/2006/relationships/hyperlink" Target="https://www.coolitsystems.com/" TargetMode="External"/><Relationship Id="rId1157" Type="http://schemas.openxmlformats.org/officeDocument/2006/relationships/hyperlink" Target="https://www.jonsbo.com/en/products/TF360ARGB.html" TargetMode="External"/><Relationship Id="rId1147" Type="http://schemas.openxmlformats.org/officeDocument/2006/relationships/hyperlink" Target="https://www.jonsbo.com/en/products/SHADOW360ARGBPLUS.html" TargetMode="External"/><Relationship Id="rId1148" Type="http://schemas.openxmlformats.org/officeDocument/2006/relationships/hyperlink" Target="http://www.jonsbo.com/en/" TargetMode="External"/><Relationship Id="rId1149" Type="http://schemas.openxmlformats.org/officeDocument/2006/relationships/hyperlink" Target="https://www.jonsbo.com/en/products/SHADOW360ARGBVer2.0.html" TargetMode="External"/><Relationship Id="rId558" Type="http://schemas.openxmlformats.org/officeDocument/2006/relationships/hyperlink" Target="https://www.corsair.com/ww/en/Categories/Products/Liquid-Cooling/iCUE-RGB-ELITE-Liquid-CPU-Cooler/p/CW-9060058-WW" TargetMode="External"/><Relationship Id="rId557" Type="http://schemas.openxmlformats.org/officeDocument/2006/relationships/hyperlink" Target="https://www.corsair.com/ww/en/" TargetMode="External"/><Relationship Id="rId556" Type="http://schemas.openxmlformats.org/officeDocument/2006/relationships/hyperlink" Target="https://www.coolitsystems.com/" TargetMode="External"/><Relationship Id="rId555" Type="http://schemas.openxmlformats.org/officeDocument/2006/relationships/hyperlink" Target="https://www.corsair.com/ww/en/Categories/Products/Liquid-Cooling/iCUE-ELITE-LCD-XT-Liquid-CPU-Cooler/p/CW-9060074-WW" TargetMode="External"/><Relationship Id="rId559" Type="http://schemas.openxmlformats.org/officeDocument/2006/relationships/hyperlink" Target="https://www.coolitsystems.com/" TargetMode="External"/><Relationship Id="rId550" Type="http://schemas.openxmlformats.org/officeDocument/2006/relationships/hyperlink" Target="https://www.coolitsystems.com/" TargetMode="External"/><Relationship Id="rId1140" Type="http://schemas.openxmlformats.org/officeDocument/2006/relationships/hyperlink" Target="http://www.jonsbo.com/en/" TargetMode="External"/><Relationship Id="rId1141" Type="http://schemas.openxmlformats.org/officeDocument/2006/relationships/hyperlink" Target="https://www.jonsbo.com/en/products/SHADOW240COLOR.html" TargetMode="External"/><Relationship Id="rId1142" Type="http://schemas.openxmlformats.org/officeDocument/2006/relationships/hyperlink" Target="http://www.jonsbo.com/en/" TargetMode="External"/><Relationship Id="rId554" Type="http://schemas.openxmlformats.org/officeDocument/2006/relationships/hyperlink" Target="https://www.corsair.com/ww/en/" TargetMode="External"/><Relationship Id="rId1143" Type="http://schemas.openxmlformats.org/officeDocument/2006/relationships/hyperlink" Target="https://www.jonsbo.com/en/products/SHADOW240WhiteColor.html" TargetMode="External"/><Relationship Id="rId553" Type="http://schemas.openxmlformats.org/officeDocument/2006/relationships/hyperlink" Target="https://www.coolitsystems.com/" TargetMode="External"/><Relationship Id="rId1144" Type="http://schemas.openxmlformats.org/officeDocument/2006/relationships/hyperlink" Target="http://www.jonsbo.com/en/" TargetMode="External"/><Relationship Id="rId552" Type="http://schemas.openxmlformats.org/officeDocument/2006/relationships/hyperlink" Target="https://www.corsair.com/ww/en/Categories/Products/Liquid-Cooling/iCUE-ELITE-LCD-Display-Liquid-CPU-Cooler/p/CW-9060061-WW" TargetMode="External"/><Relationship Id="rId1145" Type="http://schemas.openxmlformats.org/officeDocument/2006/relationships/hyperlink" Target="https://www.jonsbo.com/en/products/SHADOW360White.html" TargetMode="External"/><Relationship Id="rId551" Type="http://schemas.openxmlformats.org/officeDocument/2006/relationships/hyperlink" Target="https://www.corsair.com/ww/en/" TargetMode="External"/><Relationship Id="rId1146" Type="http://schemas.openxmlformats.org/officeDocument/2006/relationships/hyperlink" Target="http://www.jonsbo.com/en/" TargetMode="External"/><Relationship Id="rId495" Type="http://schemas.openxmlformats.org/officeDocument/2006/relationships/hyperlink" Target="https://www.coolermaster.com/catalog/coolers/cpu-liquid-coolers/masterliquid-pro-240-non-sleeve/" TargetMode="External"/><Relationship Id="rId494" Type="http://schemas.openxmlformats.org/officeDocument/2006/relationships/hyperlink" Target="https://www.coolermaster.com/" TargetMode="External"/><Relationship Id="rId493" Type="http://schemas.openxmlformats.org/officeDocument/2006/relationships/hyperlink" Target="https://www.coolermaster.com/" TargetMode="External"/><Relationship Id="rId492" Type="http://schemas.openxmlformats.org/officeDocument/2006/relationships/hyperlink" Target="https://www.coolermaster.com/catalog/coolers/cpu-liquid-coolers/masterliquid-pro-120-rgb/" TargetMode="External"/><Relationship Id="rId499" Type="http://schemas.openxmlformats.org/officeDocument/2006/relationships/hyperlink" Target="https://www.coolermaster.com/" TargetMode="External"/><Relationship Id="rId498" Type="http://schemas.openxmlformats.org/officeDocument/2006/relationships/hyperlink" Target="https://www.coolermaster.com/catalog/coolers/cpu-liquid-coolers/masterliquid-pro-240-rgb/" TargetMode="External"/><Relationship Id="rId497" Type="http://schemas.openxmlformats.org/officeDocument/2006/relationships/hyperlink" Target="https://www.coolermaster.com/" TargetMode="External"/><Relationship Id="rId496" Type="http://schemas.openxmlformats.org/officeDocument/2006/relationships/hyperlink" Target="https://www.coolermaster.com/" TargetMode="External"/><Relationship Id="rId1610" Type="http://schemas.openxmlformats.org/officeDocument/2006/relationships/hyperlink" Target="https://www.asetek.com/" TargetMode="External"/><Relationship Id="rId1611" Type="http://schemas.openxmlformats.org/officeDocument/2006/relationships/hyperlink" Target="http://thermalright.com/" TargetMode="External"/><Relationship Id="rId1612" Type="http://schemas.openxmlformats.org/officeDocument/2006/relationships/hyperlink" Target="http://thermalright.com/product/frozen-fusion-360-black-argb/" TargetMode="External"/><Relationship Id="rId1613" Type="http://schemas.openxmlformats.org/officeDocument/2006/relationships/hyperlink" Target="https://www.asetek.com/" TargetMode="External"/><Relationship Id="rId1614" Type="http://schemas.openxmlformats.org/officeDocument/2006/relationships/hyperlink" Target="http://thermalright.com/" TargetMode="External"/><Relationship Id="rId1615" Type="http://schemas.openxmlformats.org/officeDocument/2006/relationships/hyperlink" Target="http://thermalright.com/product/frozen-horizon-360-black-argb/" TargetMode="External"/><Relationship Id="rId1616" Type="http://schemas.openxmlformats.org/officeDocument/2006/relationships/hyperlink" Target="http://thermalright.com/" TargetMode="External"/><Relationship Id="rId907" Type="http://schemas.openxmlformats.org/officeDocument/2006/relationships/hyperlink" Target="https://www.enermax.com/en" TargetMode="External"/><Relationship Id="rId1617" Type="http://schemas.openxmlformats.org/officeDocument/2006/relationships/hyperlink" Target="http://thermalright.com/product/frozen-horizon-360-white-argb/" TargetMode="External"/><Relationship Id="rId906" Type="http://schemas.openxmlformats.org/officeDocument/2006/relationships/hyperlink" Target="http://www.apalcool.com/index.php?c=category&amp;id=28" TargetMode="External"/><Relationship Id="rId1618" Type="http://schemas.openxmlformats.org/officeDocument/2006/relationships/hyperlink" Target="http://thermalright.com/" TargetMode="External"/><Relationship Id="rId905" Type="http://schemas.openxmlformats.org/officeDocument/2006/relationships/hyperlink" Target="https://www.enermax.com/en/products/liqtech-ii-series-240mm-cpu-liquid-cooler" TargetMode="External"/><Relationship Id="rId1619" Type="http://schemas.openxmlformats.org/officeDocument/2006/relationships/hyperlink" Target="http://thermalright.com/product/aqua-elite-360-white-argb/" TargetMode="External"/><Relationship Id="rId904" Type="http://schemas.openxmlformats.org/officeDocument/2006/relationships/hyperlink" Target="https://www.enermax.com/en" TargetMode="External"/><Relationship Id="rId909" Type="http://schemas.openxmlformats.org/officeDocument/2006/relationships/hyperlink" Target="http://www.apalcool.com/index.php?c=category&amp;id=28" TargetMode="External"/><Relationship Id="rId908" Type="http://schemas.openxmlformats.org/officeDocument/2006/relationships/hyperlink" Target="https://www.enermax.com/en/products/liqtech-ii-series-280mm-cpu-liquid-cooler" TargetMode="External"/><Relationship Id="rId903" Type="http://schemas.openxmlformats.org/officeDocument/2006/relationships/hyperlink" Target="https://www.enermax.com/en/products/liqtech-240" TargetMode="External"/><Relationship Id="rId902" Type="http://schemas.openxmlformats.org/officeDocument/2006/relationships/hyperlink" Target="https://www.enermax.com/en" TargetMode="External"/><Relationship Id="rId901" Type="http://schemas.openxmlformats.org/officeDocument/2006/relationships/hyperlink" Target="https://www.enermax.com/en/products/liqtech-120x" TargetMode="External"/><Relationship Id="rId900" Type="http://schemas.openxmlformats.org/officeDocument/2006/relationships/hyperlink" Target="https://www.enermax.com/en" TargetMode="External"/><Relationship Id="rId1600" Type="http://schemas.openxmlformats.org/officeDocument/2006/relationships/hyperlink" Target="http://thermalright.com/" TargetMode="External"/><Relationship Id="rId1601" Type="http://schemas.openxmlformats.org/officeDocument/2006/relationships/hyperlink" Target="http://thermalright-china.com/product/frozen-eye-240-argb%e4%b8%80%e4%bd%93%e5%bc%8f%e6%b0%b4%e5%86%b7/" TargetMode="External"/><Relationship Id="rId1602" Type="http://schemas.openxmlformats.org/officeDocument/2006/relationships/hyperlink" Target="http://thermalright.com/" TargetMode="External"/><Relationship Id="rId1603" Type="http://schemas.openxmlformats.org/officeDocument/2006/relationships/hyperlink" Target="http://thermalright-china.com/product/frozen-eye-280-argb%e4%b8%80%e4%bd%93%e5%bc%8f%e6%b0%b4%e5%86%b7/" TargetMode="External"/><Relationship Id="rId1604" Type="http://schemas.openxmlformats.org/officeDocument/2006/relationships/hyperlink" Target="http://thermalright.com/" TargetMode="External"/><Relationship Id="rId1605" Type="http://schemas.openxmlformats.org/officeDocument/2006/relationships/hyperlink" Target="http://thermalright-china.com/product/frozen-eye-360-%e4%b8%80%e4%bd%93%e5%bc%8f%e6%b0%b4%e5%86%b7/" TargetMode="External"/><Relationship Id="rId1606" Type="http://schemas.openxmlformats.org/officeDocument/2006/relationships/hyperlink" Target="http://thermalright.com/" TargetMode="External"/><Relationship Id="rId1607" Type="http://schemas.openxmlformats.org/officeDocument/2006/relationships/hyperlink" Target="http://thermalright-china.com/product/frozen-eye-360-argb%e4%b8%80%e4%bd%93%e5%bc%8f%e6%b0%b4%e5%86%b7/" TargetMode="External"/><Relationship Id="rId1608" Type="http://schemas.openxmlformats.org/officeDocument/2006/relationships/hyperlink" Target="http://thermalright.com/" TargetMode="External"/><Relationship Id="rId1609" Type="http://schemas.openxmlformats.org/officeDocument/2006/relationships/hyperlink" Target="http://thermalright.com/product/frozen-fusion-360-black/" TargetMode="External"/><Relationship Id="rId1631" Type="http://schemas.openxmlformats.org/officeDocument/2006/relationships/hyperlink" Target="http://thermalright.com/product/frozen-magic-240-white-argb/" TargetMode="External"/><Relationship Id="rId1632" Type="http://schemas.openxmlformats.org/officeDocument/2006/relationships/hyperlink" Target="http://thermalright.com/" TargetMode="External"/><Relationship Id="rId1633" Type="http://schemas.openxmlformats.org/officeDocument/2006/relationships/hyperlink" Target="http://thermalright.com/product/frozen-magic-280-scenic-v2/" TargetMode="External"/><Relationship Id="rId1634" Type="http://schemas.openxmlformats.org/officeDocument/2006/relationships/hyperlink" Target="http://thermalright.com/" TargetMode="External"/><Relationship Id="rId1635" Type="http://schemas.openxmlformats.org/officeDocument/2006/relationships/hyperlink" Target="http://thermalright.com/product/frozen-magic-360/" TargetMode="External"/><Relationship Id="rId1636" Type="http://schemas.openxmlformats.org/officeDocument/2006/relationships/hyperlink" Target="http://thermalright.com/" TargetMode="External"/><Relationship Id="rId1637" Type="http://schemas.openxmlformats.org/officeDocument/2006/relationships/hyperlink" Target="http://thermalright.com/product/frozen-magic-360-argb/" TargetMode="External"/><Relationship Id="rId1638" Type="http://schemas.openxmlformats.org/officeDocument/2006/relationships/hyperlink" Target="http://thermalright.com/" TargetMode="External"/><Relationship Id="rId929" Type="http://schemas.openxmlformats.org/officeDocument/2006/relationships/hyperlink" Target="https://www.evga.com/" TargetMode="External"/><Relationship Id="rId1639" Type="http://schemas.openxmlformats.org/officeDocument/2006/relationships/hyperlink" Target="http://thermalright.com/product/frozen-magic-360-scenic-v2/" TargetMode="External"/><Relationship Id="rId928" Type="http://schemas.openxmlformats.org/officeDocument/2006/relationships/hyperlink" Target="https://www.asetek.com/" TargetMode="External"/><Relationship Id="rId927" Type="http://schemas.openxmlformats.org/officeDocument/2006/relationships/hyperlink" Target="https://www.evga.com/products/product.aspx?pn=400-HY-CX28-V1" TargetMode="External"/><Relationship Id="rId926" Type="http://schemas.openxmlformats.org/officeDocument/2006/relationships/hyperlink" Target="https://www.evga.com/" TargetMode="External"/><Relationship Id="rId921" Type="http://schemas.openxmlformats.org/officeDocument/2006/relationships/hyperlink" Target="https://www.evga.com/" TargetMode="External"/><Relationship Id="rId920" Type="http://schemas.openxmlformats.org/officeDocument/2006/relationships/hyperlink" Target="https://www.asetek.com/" TargetMode="External"/><Relationship Id="rId925" Type="http://schemas.openxmlformats.org/officeDocument/2006/relationships/hyperlink" Target="https://www.asetek.com/" TargetMode="External"/><Relationship Id="rId924" Type="http://schemas.openxmlformats.org/officeDocument/2006/relationships/hyperlink" Target="https://www.evga.com/products/product.aspx?pn=400-HY-CX24-V1" TargetMode="External"/><Relationship Id="rId923" Type="http://schemas.openxmlformats.org/officeDocument/2006/relationships/hyperlink" Target="https://www.evga.com/" TargetMode="External"/><Relationship Id="rId922" Type="http://schemas.openxmlformats.org/officeDocument/2006/relationships/hyperlink" Target="https://www.asetek.com/" TargetMode="External"/><Relationship Id="rId1630" Type="http://schemas.openxmlformats.org/officeDocument/2006/relationships/hyperlink" Target="http://thermalright.com/" TargetMode="External"/><Relationship Id="rId1620" Type="http://schemas.openxmlformats.org/officeDocument/2006/relationships/hyperlink" Target="http://thermalright.com/" TargetMode="External"/><Relationship Id="rId1621" Type="http://schemas.openxmlformats.org/officeDocument/2006/relationships/hyperlink" Target="http://thermalright.com/product/frozen-magic-120-v2/" TargetMode="External"/><Relationship Id="rId1622" Type="http://schemas.openxmlformats.org/officeDocument/2006/relationships/hyperlink" Target="http://thermalright.com/" TargetMode="External"/><Relationship Id="rId1623" Type="http://schemas.openxmlformats.org/officeDocument/2006/relationships/hyperlink" Target="http://thermalright.com/product/frozen-magic-240/" TargetMode="External"/><Relationship Id="rId1624" Type="http://schemas.openxmlformats.org/officeDocument/2006/relationships/hyperlink" Target="http://thermalright.com/" TargetMode="External"/><Relationship Id="rId1625" Type="http://schemas.openxmlformats.org/officeDocument/2006/relationships/hyperlink" Target="http://thermalright.com/product/frozen-magic-240-argb/" TargetMode="External"/><Relationship Id="rId1626" Type="http://schemas.openxmlformats.org/officeDocument/2006/relationships/hyperlink" Target="http://thermalright.com/" TargetMode="External"/><Relationship Id="rId1627" Type="http://schemas.openxmlformats.org/officeDocument/2006/relationships/hyperlink" Target="https://detail.tmall.com/item.htm?id=638284660541" TargetMode="External"/><Relationship Id="rId918" Type="http://schemas.openxmlformats.org/officeDocument/2006/relationships/hyperlink" Target="https://www.asetek.com/" TargetMode="External"/><Relationship Id="rId1628" Type="http://schemas.openxmlformats.org/officeDocument/2006/relationships/hyperlink" Target="http://thermalright.com/" TargetMode="External"/><Relationship Id="rId917" Type="http://schemas.openxmlformats.org/officeDocument/2006/relationships/hyperlink" Target="https://www.evga.com/" TargetMode="External"/><Relationship Id="rId1629" Type="http://schemas.openxmlformats.org/officeDocument/2006/relationships/hyperlink" Target="http://thermalright.com/product/frozen-magic-240-scenic-v2/" TargetMode="External"/><Relationship Id="rId916" Type="http://schemas.openxmlformats.org/officeDocument/2006/relationships/hyperlink" Target="https://www.asetek.com/" TargetMode="External"/><Relationship Id="rId915" Type="http://schemas.openxmlformats.org/officeDocument/2006/relationships/hyperlink" Target="https://www.evga.com/" TargetMode="External"/><Relationship Id="rId919" Type="http://schemas.openxmlformats.org/officeDocument/2006/relationships/hyperlink" Target="https://www.evga.com/" TargetMode="External"/><Relationship Id="rId910" Type="http://schemas.openxmlformats.org/officeDocument/2006/relationships/hyperlink" Target="https://www.enermax.com/en" TargetMode="External"/><Relationship Id="rId914" Type="http://schemas.openxmlformats.org/officeDocument/2006/relationships/hyperlink" Target="https://www.asetek.com/" TargetMode="External"/><Relationship Id="rId913" Type="http://schemas.openxmlformats.org/officeDocument/2006/relationships/hyperlink" Target="https://www.evga.com/" TargetMode="External"/><Relationship Id="rId912" Type="http://schemas.openxmlformats.org/officeDocument/2006/relationships/hyperlink" Target="http://www.apalcool.com/index.php?c=category&amp;id=28" TargetMode="External"/><Relationship Id="rId911" Type="http://schemas.openxmlformats.org/officeDocument/2006/relationships/hyperlink" Target="https://www.enermax.com/en/products/liqtech-ii-series-360mm-cpu-liquid-cooler" TargetMode="External"/><Relationship Id="rId1213" Type="http://schemas.openxmlformats.org/officeDocument/2006/relationships/hyperlink" Target="https://www.jonsbo.com/en/products/TW7240Black.html" TargetMode="External"/><Relationship Id="rId1697" Type="http://schemas.openxmlformats.org/officeDocument/2006/relationships/hyperlink" Target="https://www.thermalright.com/product/frozen-warframe-pro-360-black/" TargetMode="External"/><Relationship Id="rId1214" Type="http://schemas.openxmlformats.org/officeDocument/2006/relationships/hyperlink" Target="http://www.jonsbo.com/en/" TargetMode="External"/><Relationship Id="rId1698" Type="http://schemas.openxmlformats.org/officeDocument/2006/relationships/hyperlink" Target="http://thermalright.com/" TargetMode="External"/><Relationship Id="rId1215" Type="http://schemas.openxmlformats.org/officeDocument/2006/relationships/hyperlink" Target="https://www.jonsbo.com/en/products/TW7240White.html" TargetMode="External"/><Relationship Id="rId1699" Type="http://schemas.openxmlformats.org/officeDocument/2006/relationships/hyperlink" Target="https://www.thermalright.com/product/frozen-warframe-pro-360-black-argb/" TargetMode="External"/><Relationship Id="rId1216" Type="http://schemas.openxmlformats.org/officeDocument/2006/relationships/hyperlink" Target="http://www.jonsbo.com/en/" TargetMode="External"/><Relationship Id="rId1217" Type="http://schemas.openxmlformats.org/officeDocument/2006/relationships/hyperlink" Target="https://www.jonsbo.com/en/products/TW7360Black.html" TargetMode="External"/><Relationship Id="rId1218" Type="http://schemas.openxmlformats.org/officeDocument/2006/relationships/hyperlink" Target="http://www.jonsbo.com/en/" TargetMode="External"/><Relationship Id="rId1219" Type="http://schemas.openxmlformats.org/officeDocument/2006/relationships/hyperlink" Target="https://www.jonsbo.com/en/products/TW7360White.html" TargetMode="External"/><Relationship Id="rId866" Type="http://schemas.openxmlformats.org/officeDocument/2006/relationships/hyperlink" Target="https://www.ekwb.com/shop/ek-nucleus-aio-cr360-vision-d-rgb" TargetMode="External"/><Relationship Id="rId865" Type="http://schemas.openxmlformats.org/officeDocument/2006/relationships/hyperlink" Target="https://www.ekwb.com/" TargetMode="External"/><Relationship Id="rId864" Type="http://schemas.openxmlformats.org/officeDocument/2006/relationships/hyperlink" Target="https://www.ekwb.com/" TargetMode="External"/><Relationship Id="rId863" Type="http://schemas.openxmlformats.org/officeDocument/2006/relationships/hyperlink" Target="https://www.ekwb.com/shop/ek-nucleus-aio-cr240-vision-d-rgb" TargetMode="External"/><Relationship Id="rId869" Type="http://schemas.openxmlformats.org/officeDocument/2006/relationships/hyperlink" Target="https://www.enermax.com/en/products/aquafusion-series-120mm-cpu-liquid-cooler" TargetMode="External"/><Relationship Id="rId868" Type="http://schemas.openxmlformats.org/officeDocument/2006/relationships/hyperlink" Target="https://www.enermax.com/en" TargetMode="External"/><Relationship Id="rId867" Type="http://schemas.openxmlformats.org/officeDocument/2006/relationships/hyperlink" Target="https://www.ekwb.com/" TargetMode="External"/><Relationship Id="rId1690" Type="http://schemas.openxmlformats.org/officeDocument/2006/relationships/hyperlink" Target="http://thermalright.com/" TargetMode="External"/><Relationship Id="rId1691" Type="http://schemas.openxmlformats.org/officeDocument/2006/relationships/hyperlink" Target="https://www.thermalright.com/product/frozen-warframe-360-white-argb/" TargetMode="External"/><Relationship Id="rId1692" Type="http://schemas.openxmlformats.org/officeDocument/2006/relationships/hyperlink" Target="http://thermalright.com/" TargetMode="External"/><Relationship Id="rId862" Type="http://schemas.openxmlformats.org/officeDocument/2006/relationships/hyperlink" Target="https://www.ekwb.com/" TargetMode="External"/><Relationship Id="rId1693" Type="http://schemas.openxmlformats.org/officeDocument/2006/relationships/hyperlink" Target="https://www.thermalright.com/product/frozen-warframe-420-black-argb/" TargetMode="External"/><Relationship Id="rId861" Type="http://schemas.openxmlformats.org/officeDocument/2006/relationships/hyperlink" Target="https://hwbusters.com/cooling/ek-nucleus-aio-cr360-lux-d-rgb-aio-review-great-performance/" TargetMode="External"/><Relationship Id="rId1210" Type="http://schemas.openxmlformats.org/officeDocument/2006/relationships/hyperlink" Target="http://www.jonsbo.com/en/" TargetMode="External"/><Relationship Id="rId1694" Type="http://schemas.openxmlformats.org/officeDocument/2006/relationships/hyperlink" Target="http://thermalright.com/" TargetMode="External"/><Relationship Id="rId860" Type="http://schemas.openxmlformats.org/officeDocument/2006/relationships/hyperlink" Target="https://www.ekwb.com/" TargetMode="External"/><Relationship Id="rId1211" Type="http://schemas.openxmlformats.org/officeDocument/2006/relationships/hyperlink" Target="https://www.jonsbo.com/en/products/TW6360ARGBWhite.html" TargetMode="External"/><Relationship Id="rId1695" Type="http://schemas.openxmlformats.org/officeDocument/2006/relationships/hyperlink" Target="https://www.thermalright.com/product/frozen-warframe-420-white-argb/" TargetMode="External"/><Relationship Id="rId1212" Type="http://schemas.openxmlformats.org/officeDocument/2006/relationships/hyperlink" Target="http://www.jonsbo.com/en/" TargetMode="External"/><Relationship Id="rId1696" Type="http://schemas.openxmlformats.org/officeDocument/2006/relationships/hyperlink" Target="http://thermalright.com/" TargetMode="External"/><Relationship Id="rId1202" Type="http://schemas.openxmlformats.org/officeDocument/2006/relationships/hyperlink" Target="http://www.jonsbo.com/en/" TargetMode="External"/><Relationship Id="rId1686" Type="http://schemas.openxmlformats.org/officeDocument/2006/relationships/hyperlink" Target="http://thermalright.com/" TargetMode="External"/><Relationship Id="rId1203" Type="http://schemas.openxmlformats.org/officeDocument/2006/relationships/hyperlink" Target="https://www.jonsbo.com/en/products/TW6240ARGBbai.html" TargetMode="External"/><Relationship Id="rId1687" Type="http://schemas.openxmlformats.org/officeDocument/2006/relationships/hyperlink" Target="https://www.thermalright.com/product/frozen-warframe-360-black/" TargetMode="External"/><Relationship Id="rId1204" Type="http://schemas.openxmlformats.org/officeDocument/2006/relationships/hyperlink" Target="http://www.jonsbo.com/en/" TargetMode="External"/><Relationship Id="rId1688" Type="http://schemas.openxmlformats.org/officeDocument/2006/relationships/hyperlink" Target="http://thermalright.com/" TargetMode="External"/><Relationship Id="rId1205" Type="http://schemas.openxmlformats.org/officeDocument/2006/relationships/hyperlink" Target="https://www.jonsbo.com/en/products/TW6280ARGBBlack.html" TargetMode="External"/><Relationship Id="rId1689" Type="http://schemas.openxmlformats.org/officeDocument/2006/relationships/hyperlink" Target="https://www.thermalright.com/product/frozen-warframe-360-black-argb/" TargetMode="External"/><Relationship Id="rId1206" Type="http://schemas.openxmlformats.org/officeDocument/2006/relationships/hyperlink" Target="http://www.jonsbo.com/en/" TargetMode="External"/><Relationship Id="rId1207" Type="http://schemas.openxmlformats.org/officeDocument/2006/relationships/hyperlink" Target="https://www.jonsbo.com/en/products/TW6280ARGBWhite.html" TargetMode="External"/><Relationship Id="rId1208" Type="http://schemas.openxmlformats.org/officeDocument/2006/relationships/hyperlink" Target="http://www.jonsbo.com/en/" TargetMode="External"/><Relationship Id="rId1209" Type="http://schemas.openxmlformats.org/officeDocument/2006/relationships/hyperlink" Target="https://www.jonsbo.com/en/products/TW6360ARGBBlack.html" TargetMode="External"/><Relationship Id="rId855" Type="http://schemas.openxmlformats.org/officeDocument/2006/relationships/hyperlink" Target="https://www.ekwb.com/" TargetMode="External"/><Relationship Id="rId854" Type="http://schemas.openxmlformats.org/officeDocument/2006/relationships/hyperlink" Target="https://www.ekwb.com/" TargetMode="External"/><Relationship Id="rId853" Type="http://schemas.openxmlformats.org/officeDocument/2006/relationships/hyperlink" Target="https://www.ekwb.com/shop/ek-nucleus-aio-cr240-lux-d-rgb" TargetMode="External"/><Relationship Id="rId852" Type="http://schemas.openxmlformats.org/officeDocument/2006/relationships/hyperlink" Target="https://www.ekwb.com/" TargetMode="External"/><Relationship Id="rId859" Type="http://schemas.openxmlformats.org/officeDocument/2006/relationships/hyperlink" Target="https://www.ekwb.com/shop/ek-nucleus-aio-cr360-lux-d-rgb" TargetMode="External"/><Relationship Id="rId858" Type="http://schemas.openxmlformats.org/officeDocument/2006/relationships/hyperlink" Target="https://www.ekwb.com/" TargetMode="External"/><Relationship Id="rId857" Type="http://schemas.openxmlformats.org/officeDocument/2006/relationships/hyperlink" Target="https://www.ekwb.com/" TargetMode="External"/><Relationship Id="rId856" Type="http://schemas.openxmlformats.org/officeDocument/2006/relationships/hyperlink" Target="https://www.ekwb.com/shop/ek-nucleus-aio-cr360-dark" TargetMode="External"/><Relationship Id="rId1680" Type="http://schemas.openxmlformats.org/officeDocument/2006/relationships/hyperlink" Target="http://thermalright.com/" TargetMode="External"/><Relationship Id="rId1681" Type="http://schemas.openxmlformats.org/officeDocument/2006/relationships/hyperlink" Target="http://thermalright.com/product/frozen-vision-360-black/" TargetMode="External"/><Relationship Id="rId851" Type="http://schemas.openxmlformats.org/officeDocument/2006/relationships/hyperlink" Target="https://www.ekwb.com/" TargetMode="External"/><Relationship Id="rId1682" Type="http://schemas.openxmlformats.org/officeDocument/2006/relationships/hyperlink" Target="http://thermalright.com/" TargetMode="External"/><Relationship Id="rId850" Type="http://schemas.openxmlformats.org/officeDocument/2006/relationships/hyperlink" Target="https://www.ekwb.com/shop/ek-nucleus-aio-cr240-dark" TargetMode="External"/><Relationship Id="rId1683" Type="http://schemas.openxmlformats.org/officeDocument/2006/relationships/hyperlink" Target="https://www.thermalright.com/product/frozen-warframe-240-black-argb/" TargetMode="External"/><Relationship Id="rId1200" Type="http://schemas.openxmlformats.org/officeDocument/2006/relationships/hyperlink" Target="http://www.jonsbo.com/en/" TargetMode="External"/><Relationship Id="rId1684" Type="http://schemas.openxmlformats.org/officeDocument/2006/relationships/hyperlink" Target="http://thermalright.com/" TargetMode="External"/><Relationship Id="rId1201" Type="http://schemas.openxmlformats.org/officeDocument/2006/relationships/hyperlink" Target="https://www.jonsbo.com/en/products/TW6240ARGBBlack.html" TargetMode="External"/><Relationship Id="rId1685" Type="http://schemas.openxmlformats.org/officeDocument/2006/relationships/hyperlink" Target="https://www.thermalright.com/product/frozen-warframe-240-white-argb/" TargetMode="External"/><Relationship Id="rId1235" Type="http://schemas.openxmlformats.org/officeDocument/2006/relationships/hyperlink" Target="https://www.lian-li.com/" TargetMode="External"/><Relationship Id="rId1236" Type="http://schemas.openxmlformats.org/officeDocument/2006/relationships/hyperlink" Target="https://lian-li.com/product/galahad-ii-lcd/" TargetMode="External"/><Relationship Id="rId1237" Type="http://schemas.openxmlformats.org/officeDocument/2006/relationships/hyperlink" Target="https://www.asetek.com/" TargetMode="External"/><Relationship Id="rId1238" Type="http://schemas.openxmlformats.org/officeDocument/2006/relationships/hyperlink" Target="https://www.lian-li.com/" TargetMode="External"/><Relationship Id="rId1239" Type="http://schemas.openxmlformats.org/officeDocument/2006/relationships/hyperlink" Target="https://lian-li.com/product/galahad-ii-trinity/" TargetMode="External"/><Relationship Id="rId409" Type="http://schemas.openxmlformats.org/officeDocument/2006/relationships/hyperlink" Target="https://www.coolermaster.com/" TargetMode="External"/><Relationship Id="rId404" Type="http://schemas.openxmlformats.org/officeDocument/2006/relationships/hyperlink" Target="https://www.coolermaster.com/" TargetMode="External"/><Relationship Id="rId888" Type="http://schemas.openxmlformats.org/officeDocument/2006/relationships/hyperlink" Target="https://www.enermax.com/en" TargetMode="External"/><Relationship Id="rId403" Type="http://schemas.openxmlformats.org/officeDocument/2006/relationships/hyperlink" Target="https://www.coolermaster.com/" TargetMode="External"/><Relationship Id="rId887" Type="http://schemas.openxmlformats.org/officeDocument/2006/relationships/hyperlink" Target="http://www.apalcool.com/index.php?c=category&amp;id=28" TargetMode="External"/><Relationship Id="rId402" Type="http://schemas.openxmlformats.org/officeDocument/2006/relationships/hyperlink" Target="https://www.coolermaster.com/catalog/coolers/cpu-liquid-coolers/masterliquid-lite-120/" TargetMode="External"/><Relationship Id="rId886" Type="http://schemas.openxmlformats.org/officeDocument/2006/relationships/hyperlink" Target="https://www.enermax.com/en/products/liqmax-ii-240" TargetMode="External"/><Relationship Id="rId401" Type="http://schemas.openxmlformats.org/officeDocument/2006/relationships/hyperlink" Target="https://www.coolermaster.com/" TargetMode="External"/><Relationship Id="rId885" Type="http://schemas.openxmlformats.org/officeDocument/2006/relationships/hyperlink" Target="https://www.enermax.com/en" TargetMode="External"/><Relationship Id="rId408" Type="http://schemas.openxmlformats.org/officeDocument/2006/relationships/hyperlink" Target="https://www.coolermaster.com/catalog/coolers/cpu-liquid-coolers/masterliquid-ml120l-rgb/" TargetMode="External"/><Relationship Id="rId407" Type="http://schemas.openxmlformats.org/officeDocument/2006/relationships/hyperlink" Target="https://www.coolermaster.com/" TargetMode="External"/><Relationship Id="rId406" Type="http://schemas.openxmlformats.org/officeDocument/2006/relationships/hyperlink" Target="https://www.coolermaster.com/" TargetMode="External"/><Relationship Id="rId405" Type="http://schemas.openxmlformats.org/officeDocument/2006/relationships/hyperlink" Target="https://www.coolermaster.com/catalog/coolers/cpu-liquid-coolers/masterliquid-lite-240/" TargetMode="External"/><Relationship Id="rId889" Type="http://schemas.openxmlformats.org/officeDocument/2006/relationships/hyperlink" Target="https://www.enermax.com/en/products/liqmax-iii-rgb-series-120mm-cpu-liquid-cooler" TargetMode="External"/><Relationship Id="rId880" Type="http://schemas.openxmlformats.org/officeDocument/2006/relationships/hyperlink" Target="https://www.enermax.com/en" TargetMode="External"/><Relationship Id="rId1230" Type="http://schemas.openxmlformats.org/officeDocument/2006/relationships/hyperlink" Target="https://lian-li.com/product/galahad-aio-uni-fan-sl-edition-240-360/" TargetMode="External"/><Relationship Id="rId400" Type="http://schemas.openxmlformats.org/officeDocument/2006/relationships/hyperlink" Target="https://www.coolermaster.com/" TargetMode="External"/><Relationship Id="rId884" Type="http://schemas.openxmlformats.org/officeDocument/2006/relationships/hyperlink" Target="http://www.apalcool.com/index.php?c=category&amp;id=28" TargetMode="External"/><Relationship Id="rId1231" Type="http://schemas.openxmlformats.org/officeDocument/2006/relationships/hyperlink" Target="http://www.apalcool.com/index.php?c=category&amp;id=28" TargetMode="External"/><Relationship Id="rId883" Type="http://schemas.openxmlformats.org/officeDocument/2006/relationships/hyperlink" Target="https://www.enermax.com/en/products/liqmax-ii-120" TargetMode="External"/><Relationship Id="rId1232" Type="http://schemas.openxmlformats.org/officeDocument/2006/relationships/hyperlink" Target="https://www.lian-li.com/" TargetMode="External"/><Relationship Id="rId882" Type="http://schemas.openxmlformats.org/officeDocument/2006/relationships/hyperlink" Target="https://www.enermax.com/en" TargetMode="External"/><Relationship Id="rId1233" Type="http://schemas.openxmlformats.org/officeDocument/2006/relationships/hyperlink" Target="https://lian-li.com/product/galahad-ii-lcd/" TargetMode="External"/><Relationship Id="rId881" Type="http://schemas.openxmlformats.org/officeDocument/2006/relationships/hyperlink" Target="https://www.enermax.com/en/products/liqfusion-360" TargetMode="External"/><Relationship Id="rId1234" Type="http://schemas.openxmlformats.org/officeDocument/2006/relationships/hyperlink" Target="https://www.asetek.com/" TargetMode="External"/><Relationship Id="rId1224" Type="http://schemas.openxmlformats.org/officeDocument/2006/relationships/hyperlink" Target="https://www.lian-li.com/galahad-240-360/" TargetMode="External"/><Relationship Id="rId1225" Type="http://schemas.openxmlformats.org/officeDocument/2006/relationships/hyperlink" Target="http://www.apalcool.com/index.php?c=category&amp;id=28" TargetMode="External"/><Relationship Id="rId1226" Type="http://schemas.openxmlformats.org/officeDocument/2006/relationships/hyperlink" Target="https://www.lian-li.com/" TargetMode="External"/><Relationship Id="rId1227" Type="http://schemas.openxmlformats.org/officeDocument/2006/relationships/hyperlink" Target="https://lian-li.com/product/galahad-aio-uni-fan-sl-edition-240-360/" TargetMode="External"/><Relationship Id="rId1228" Type="http://schemas.openxmlformats.org/officeDocument/2006/relationships/hyperlink" Target="http://www.apalcool.com/index.php?c=category&amp;id=28" TargetMode="External"/><Relationship Id="rId1229" Type="http://schemas.openxmlformats.org/officeDocument/2006/relationships/hyperlink" Target="https://www.lian-li.com/" TargetMode="External"/><Relationship Id="rId877" Type="http://schemas.openxmlformats.org/officeDocument/2006/relationships/hyperlink" Target="https://www.enermax.com/en/products/aquafusion-series-360mm-cpu-liquid-cooler" TargetMode="External"/><Relationship Id="rId876" Type="http://schemas.openxmlformats.org/officeDocument/2006/relationships/hyperlink" Target="https://www.enermax.com/en" TargetMode="External"/><Relationship Id="rId875" Type="http://schemas.openxmlformats.org/officeDocument/2006/relationships/hyperlink" Target="https://www.enermax.com/en/products/aquafusion-series-240mm-cpu-liquid-cooler-white" TargetMode="External"/><Relationship Id="rId874" Type="http://schemas.openxmlformats.org/officeDocument/2006/relationships/hyperlink" Target="https://www.enermax.com/en" TargetMode="External"/><Relationship Id="rId879" Type="http://schemas.openxmlformats.org/officeDocument/2006/relationships/hyperlink" Target="https://www.enermax.com/en/products/liqfusion-240" TargetMode="External"/><Relationship Id="rId878" Type="http://schemas.openxmlformats.org/officeDocument/2006/relationships/hyperlink" Target="https://www.enermax.com/en" TargetMode="External"/><Relationship Id="rId873" Type="http://schemas.openxmlformats.org/officeDocument/2006/relationships/hyperlink" Target="https://www.enermax.com/en/products/aquafusion-series-240mm-cpu-liquid-coole" TargetMode="External"/><Relationship Id="rId1220" Type="http://schemas.openxmlformats.org/officeDocument/2006/relationships/hyperlink" Target="https://www.lian-li.com/" TargetMode="External"/><Relationship Id="rId872" Type="http://schemas.openxmlformats.org/officeDocument/2006/relationships/hyperlink" Target="https://www.enermax.com/en" TargetMode="External"/><Relationship Id="rId1221" Type="http://schemas.openxmlformats.org/officeDocument/2006/relationships/hyperlink" Target="https://www.lian-li.com/galahad-240-360/" TargetMode="External"/><Relationship Id="rId871" Type="http://schemas.openxmlformats.org/officeDocument/2006/relationships/hyperlink" Target="https://www.enermax.com/en/products/aquafusion-series-120mm-cpu-liquid-cooler-white" TargetMode="External"/><Relationship Id="rId1222" Type="http://schemas.openxmlformats.org/officeDocument/2006/relationships/hyperlink" Target="http://www.apalcool.com/index.php?c=category&amp;id=28" TargetMode="External"/><Relationship Id="rId870" Type="http://schemas.openxmlformats.org/officeDocument/2006/relationships/hyperlink" Target="https://www.enermax.com/en" TargetMode="External"/><Relationship Id="rId1223" Type="http://schemas.openxmlformats.org/officeDocument/2006/relationships/hyperlink" Target="https://www.lian-li.com/" TargetMode="External"/><Relationship Id="rId1653" Type="http://schemas.openxmlformats.org/officeDocument/2006/relationships/hyperlink" Target="http://thermalright.com/product/frozen-notte-240-white-argb/" TargetMode="External"/><Relationship Id="rId1654" Type="http://schemas.openxmlformats.org/officeDocument/2006/relationships/hyperlink" Target="http://thermalright.com/" TargetMode="External"/><Relationship Id="rId1655" Type="http://schemas.openxmlformats.org/officeDocument/2006/relationships/hyperlink" Target="https://www.thermalright.com/product/frozen-notte-240-white-argb-v2/" TargetMode="External"/><Relationship Id="rId1656" Type="http://schemas.openxmlformats.org/officeDocument/2006/relationships/hyperlink" Target="http://thermalright.com/" TargetMode="External"/><Relationship Id="rId1657" Type="http://schemas.openxmlformats.org/officeDocument/2006/relationships/hyperlink" Target="http://thermalright.com/product/frozen-notte-360-black-argb/" TargetMode="External"/><Relationship Id="rId1658" Type="http://schemas.openxmlformats.org/officeDocument/2006/relationships/hyperlink" Target="http://thermalright.com/" TargetMode="External"/><Relationship Id="rId1659" Type="http://schemas.openxmlformats.org/officeDocument/2006/relationships/hyperlink" Target="https://www.thermalright.com/product/frozen-notte-360-black-argb-v2/" TargetMode="External"/><Relationship Id="rId829" Type="http://schemas.openxmlformats.org/officeDocument/2006/relationships/hyperlink" Target="https://www.ekwb.com/shop/ek-aio-240-d-rgb" TargetMode="External"/><Relationship Id="rId828" Type="http://schemas.openxmlformats.org/officeDocument/2006/relationships/hyperlink" Target="https://www.ekwb.com/" TargetMode="External"/><Relationship Id="rId827" Type="http://schemas.openxmlformats.org/officeDocument/2006/relationships/hyperlink" Target="https://www.ekwb.com/" TargetMode="External"/><Relationship Id="rId822" Type="http://schemas.openxmlformats.org/officeDocument/2006/relationships/hyperlink" Target="https://www.deepcool.com/index.shtml" TargetMode="External"/><Relationship Id="rId821" Type="http://schemas.openxmlformats.org/officeDocument/2006/relationships/hyperlink" Target="https://www.deepcool.com/index.shtml" TargetMode="External"/><Relationship Id="rId820" Type="http://schemas.openxmlformats.org/officeDocument/2006/relationships/hyperlink" Target="https://www.deepcool.com/index.shtml" TargetMode="External"/><Relationship Id="rId826" Type="http://schemas.openxmlformats.org/officeDocument/2006/relationships/hyperlink" Target="https://www.ekwb.com/shop/ek-aio-120-d-rgb" TargetMode="External"/><Relationship Id="rId825" Type="http://schemas.openxmlformats.org/officeDocument/2006/relationships/hyperlink" Target="https://www.ekwb.com/" TargetMode="External"/><Relationship Id="rId824" Type="http://schemas.openxmlformats.org/officeDocument/2006/relationships/hyperlink" Target="https://www.deepcool.com/index.shtml" TargetMode="External"/><Relationship Id="rId823" Type="http://schemas.openxmlformats.org/officeDocument/2006/relationships/hyperlink" Target="https://www.deepcool.com/products/Cooling/cpuliquidcoolers/MYSTIQUE-360-5th-Gen-Liquid-Cooler-with-LCD-1700-AM5/2024/18059.shtml" TargetMode="External"/><Relationship Id="rId1650" Type="http://schemas.openxmlformats.org/officeDocument/2006/relationships/hyperlink" Target="http://thermalright.com/" TargetMode="External"/><Relationship Id="rId1651" Type="http://schemas.openxmlformats.org/officeDocument/2006/relationships/hyperlink" Target="https://www.thermalright.com/product/frozen-notte-240-black-argb-v2/" TargetMode="External"/><Relationship Id="rId1652" Type="http://schemas.openxmlformats.org/officeDocument/2006/relationships/hyperlink" Target="http://thermalright.com/" TargetMode="External"/><Relationship Id="rId1642" Type="http://schemas.openxmlformats.org/officeDocument/2006/relationships/hyperlink" Target="http://thermalright.com/" TargetMode="External"/><Relationship Id="rId1643" Type="http://schemas.openxmlformats.org/officeDocument/2006/relationships/hyperlink" Target="http://thermalright.com/product/frozen-magic-ex-120/" TargetMode="External"/><Relationship Id="rId1644" Type="http://schemas.openxmlformats.org/officeDocument/2006/relationships/hyperlink" Target="http://thermalright.com/" TargetMode="External"/><Relationship Id="rId1645" Type="http://schemas.openxmlformats.org/officeDocument/2006/relationships/hyperlink" Target="http://thermalright.com/product/frozen-magic-ex-240/" TargetMode="External"/><Relationship Id="rId1646" Type="http://schemas.openxmlformats.org/officeDocument/2006/relationships/hyperlink" Target="http://thermalright.com/" TargetMode="External"/><Relationship Id="rId1647" Type="http://schemas.openxmlformats.org/officeDocument/2006/relationships/hyperlink" Target="http://thermalright.com/product/frozen-magic-ex-360/" TargetMode="External"/><Relationship Id="rId1648" Type="http://schemas.openxmlformats.org/officeDocument/2006/relationships/hyperlink" Target="http://thermalright.com/" TargetMode="External"/><Relationship Id="rId1649" Type="http://schemas.openxmlformats.org/officeDocument/2006/relationships/hyperlink" Target="http://thermalright.com/product/frozen-notte-240-black-argb/" TargetMode="External"/><Relationship Id="rId819" Type="http://schemas.openxmlformats.org/officeDocument/2006/relationships/hyperlink" Target="https://hwbusters.com/cooling/deepcool-infinity-series-lt720-360mm-the-best-performance-aio/" TargetMode="External"/><Relationship Id="rId818" Type="http://schemas.openxmlformats.org/officeDocument/2006/relationships/hyperlink" Target="https://www.deepcool.com/index.shtml" TargetMode="External"/><Relationship Id="rId817" Type="http://schemas.openxmlformats.org/officeDocument/2006/relationships/hyperlink" Target="https://us.deepcool.com/products/Cooling/cpuliquidcoolers/LT720-WH-360mm-Liquid-Cooler-1700-AM5/2023/16762.shtml" TargetMode="External"/><Relationship Id="rId816" Type="http://schemas.openxmlformats.org/officeDocument/2006/relationships/hyperlink" Target="https://www.deepcool.com/index.shtml" TargetMode="External"/><Relationship Id="rId811" Type="http://schemas.openxmlformats.org/officeDocument/2006/relationships/hyperlink" Target="https://www.deepcool.com/index.shtml" TargetMode="External"/><Relationship Id="rId810" Type="http://schemas.openxmlformats.org/officeDocument/2006/relationships/hyperlink" Target="https://us.deepcool.com/products/Cooling/cpuliquidcoolers/LT520-WH-240mm-Liquid-Cooler-1700-AM5/2023/16761.shtml" TargetMode="External"/><Relationship Id="rId815" Type="http://schemas.openxmlformats.org/officeDocument/2006/relationships/hyperlink" Target="https://hwbusters.com/cooling/deepcool-infinity-series-lt720-360mm-the-best-performance-aio/" TargetMode="External"/><Relationship Id="rId814" Type="http://schemas.openxmlformats.org/officeDocument/2006/relationships/hyperlink" Target="https://www.deepcool.com/index.shtml" TargetMode="External"/><Relationship Id="rId813" Type="http://schemas.openxmlformats.org/officeDocument/2006/relationships/hyperlink" Target="https://global.deepcool.com/products/Cooling/cpuliquidcoolers/LT720-360mm-Liquid-CPU-Cooler/2022/16286.shtml" TargetMode="External"/><Relationship Id="rId812" Type="http://schemas.openxmlformats.org/officeDocument/2006/relationships/hyperlink" Target="https://www.deepcool.com/index.shtml" TargetMode="External"/><Relationship Id="rId1640" Type="http://schemas.openxmlformats.org/officeDocument/2006/relationships/hyperlink" Target="http://thermalright.com/" TargetMode="External"/><Relationship Id="rId1641" Type="http://schemas.openxmlformats.org/officeDocument/2006/relationships/hyperlink" Target="http://thermalright.com/product/frozen-magic-360-white-argb/" TargetMode="External"/><Relationship Id="rId1675" Type="http://schemas.openxmlformats.org/officeDocument/2006/relationships/hyperlink" Target="http://thermalright.com/product/frozen-prism-360-white-argb/" TargetMode="External"/><Relationship Id="rId1676" Type="http://schemas.openxmlformats.org/officeDocument/2006/relationships/hyperlink" Target="http://thermalright.com/" TargetMode="External"/><Relationship Id="rId1677" Type="http://schemas.openxmlformats.org/officeDocument/2006/relationships/hyperlink" Target="https://www.thermalright.com/product/frozen-vision-240-black/" TargetMode="External"/><Relationship Id="rId1678" Type="http://schemas.openxmlformats.org/officeDocument/2006/relationships/hyperlink" Target="http://thermalright.com/" TargetMode="External"/><Relationship Id="rId1679" Type="http://schemas.openxmlformats.org/officeDocument/2006/relationships/hyperlink" Target="https://www.thermalright.com/product/frozen-vision-240-white/" TargetMode="External"/><Relationship Id="rId849" Type="http://schemas.openxmlformats.org/officeDocument/2006/relationships/hyperlink" Target="https://www.ekwb.com/" TargetMode="External"/><Relationship Id="rId844" Type="http://schemas.openxmlformats.org/officeDocument/2006/relationships/hyperlink" Target="https://www.ekwb.com/shop/ek-aio-elite-280-d-rgb" TargetMode="External"/><Relationship Id="rId843" Type="http://schemas.openxmlformats.org/officeDocument/2006/relationships/hyperlink" Target="https://www.ekwb.com/" TargetMode="External"/><Relationship Id="rId842" Type="http://schemas.openxmlformats.org/officeDocument/2006/relationships/hyperlink" Target="https://www.ekwb.com/" TargetMode="External"/><Relationship Id="rId841" Type="http://schemas.openxmlformats.org/officeDocument/2006/relationships/hyperlink" Target="https://www.ekwb.com/shop/ek-aio-basic-360" TargetMode="External"/><Relationship Id="rId848" Type="http://schemas.openxmlformats.org/officeDocument/2006/relationships/hyperlink" Target="https://www.ekwb.com/" TargetMode="External"/><Relationship Id="rId847" Type="http://schemas.openxmlformats.org/officeDocument/2006/relationships/hyperlink" Target="https://www.ekwb.com/shop/ek-aio-elite-360-d-rgb" TargetMode="External"/><Relationship Id="rId846" Type="http://schemas.openxmlformats.org/officeDocument/2006/relationships/hyperlink" Target="https://www.ekwb.com/" TargetMode="External"/><Relationship Id="rId845" Type="http://schemas.openxmlformats.org/officeDocument/2006/relationships/hyperlink" Target="https://www.ekwb.com/" TargetMode="External"/><Relationship Id="rId1670" Type="http://schemas.openxmlformats.org/officeDocument/2006/relationships/hyperlink" Target="http://thermalright.com/" TargetMode="External"/><Relationship Id="rId840" Type="http://schemas.openxmlformats.org/officeDocument/2006/relationships/hyperlink" Target="https://www.ekwb.com/" TargetMode="External"/><Relationship Id="rId1671" Type="http://schemas.openxmlformats.org/officeDocument/2006/relationships/hyperlink" Target="http://thermalright.com/product/frozen-prism-360-black/" TargetMode="External"/><Relationship Id="rId1672" Type="http://schemas.openxmlformats.org/officeDocument/2006/relationships/hyperlink" Target="http://thermalright.com/" TargetMode="External"/><Relationship Id="rId1673" Type="http://schemas.openxmlformats.org/officeDocument/2006/relationships/hyperlink" Target="http://thermalright.com/product/frozen-prism-360-black-argb/" TargetMode="External"/><Relationship Id="rId1674" Type="http://schemas.openxmlformats.org/officeDocument/2006/relationships/hyperlink" Target="http://thermalright.com/" TargetMode="External"/><Relationship Id="rId1664" Type="http://schemas.openxmlformats.org/officeDocument/2006/relationships/hyperlink" Target="http://thermalright.com/" TargetMode="External"/><Relationship Id="rId1665" Type="http://schemas.openxmlformats.org/officeDocument/2006/relationships/hyperlink" Target="http://thermalright.com/product/frozen-prism-240-black/" TargetMode="External"/><Relationship Id="rId1666" Type="http://schemas.openxmlformats.org/officeDocument/2006/relationships/hyperlink" Target="http://thermalright.com/" TargetMode="External"/><Relationship Id="rId1667" Type="http://schemas.openxmlformats.org/officeDocument/2006/relationships/hyperlink" Target="http://thermalright.com/product/frozen-prism-240-black-argb/" TargetMode="External"/><Relationship Id="rId1668" Type="http://schemas.openxmlformats.org/officeDocument/2006/relationships/hyperlink" Target="http://thermalright.com/" TargetMode="External"/><Relationship Id="rId1669" Type="http://schemas.openxmlformats.org/officeDocument/2006/relationships/hyperlink" Target="http://thermalright.com/product/frozen-prism-240-white-argb/" TargetMode="External"/><Relationship Id="rId839" Type="http://schemas.openxmlformats.org/officeDocument/2006/relationships/hyperlink" Target="https://www.ekwb.com/" TargetMode="External"/><Relationship Id="rId838" Type="http://schemas.openxmlformats.org/officeDocument/2006/relationships/hyperlink" Target="https://www.ekwb.com/shop/ek-aio-basic-240" TargetMode="External"/><Relationship Id="rId833" Type="http://schemas.openxmlformats.org/officeDocument/2006/relationships/hyperlink" Target="https://www.ekwb.com/" TargetMode="External"/><Relationship Id="rId832" Type="http://schemas.openxmlformats.org/officeDocument/2006/relationships/hyperlink" Target="https://www.ekwb.com/shop/ek-aio-280-d-rgb" TargetMode="External"/><Relationship Id="rId831" Type="http://schemas.openxmlformats.org/officeDocument/2006/relationships/hyperlink" Target="https://www.ekwb.com/" TargetMode="External"/><Relationship Id="rId830" Type="http://schemas.openxmlformats.org/officeDocument/2006/relationships/hyperlink" Target="https://www.ekwb.com/" TargetMode="External"/><Relationship Id="rId837" Type="http://schemas.openxmlformats.org/officeDocument/2006/relationships/hyperlink" Target="https://www.ekwb.com/" TargetMode="External"/><Relationship Id="rId836" Type="http://schemas.openxmlformats.org/officeDocument/2006/relationships/hyperlink" Target="https://www.ekwb.com/" TargetMode="External"/><Relationship Id="rId835" Type="http://schemas.openxmlformats.org/officeDocument/2006/relationships/hyperlink" Target="https://www.ekwb.com/shop/ek-aio-360-d-rgb" TargetMode="External"/><Relationship Id="rId834" Type="http://schemas.openxmlformats.org/officeDocument/2006/relationships/hyperlink" Target="https://www.ekwb.com/" TargetMode="External"/><Relationship Id="rId1660" Type="http://schemas.openxmlformats.org/officeDocument/2006/relationships/hyperlink" Target="http://thermalright.com/" TargetMode="External"/><Relationship Id="rId1661" Type="http://schemas.openxmlformats.org/officeDocument/2006/relationships/hyperlink" Target="http://thermalright.com/product/frozen-notte-360-white-argb/" TargetMode="External"/><Relationship Id="rId1662" Type="http://schemas.openxmlformats.org/officeDocument/2006/relationships/hyperlink" Target="http://thermalright.com/" TargetMode="External"/><Relationship Id="rId1663" Type="http://schemas.openxmlformats.org/officeDocument/2006/relationships/hyperlink" Target="https://www.thermalright.com/product/frozen-notte-360-white-argb-v2/" TargetMode="External"/><Relationship Id="rId469" Type="http://schemas.openxmlformats.org/officeDocument/2006/relationships/hyperlink" Target="https://www.coolermaster.com/" TargetMode="External"/><Relationship Id="rId468" Type="http://schemas.openxmlformats.org/officeDocument/2006/relationships/hyperlink" Target="https://www.coolermaster.com/catalog/coolers/cpu-liquid-coolers/masterliquid-ml360p-silver-edition/" TargetMode="External"/><Relationship Id="rId467" Type="http://schemas.openxmlformats.org/officeDocument/2006/relationships/hyperlink" Target="https://www.coolermaster.com/" TargetMode="External"/><Relationship Id="rId1290" Type="http://schemas.openxmlformats.org/officeDocument/2006/relationships/hyperlink" Target="https://www.msi.com/Liquid-Cooling/MAG-CORELIQUID-P240" TargetMode="External"/><Relationship Id="rId1291" Type="http://schemas.openxmlformats.org/officeDocument/2006/relationships/hyperlink" Target="http://www.apalcool.com/index.php?c=category&amp;id=28" TargetMode="External"/><Relationship Id="rId1292" Type="http://schemas.openxmlformats.org/officeDocument/2006/relationships/hyperlink" Target="https://www.msi.com/Liquid-Cooling/MAG-CORELIQUID-P280" TargetMode="External"/><Relationship Id="rId462" Type="http://schemas.openxmlformats.org/officeDocument/2006/relationships/hyperlink" Target="https://www.coolermaster.com/catalog/coolers/cpu-liquid-coolers/masterliquid-ml360-sub-zero/" TargetMode="External"/><Relationship Id="rId1293" Type="http://schemas.openxmlformats.org/officeDocument/2006/relationships/hyperlink" Target="http://www.apalcool.com/index.php?c=category&amp;id=28" TargetMode="External"/><Relationship Id="rId461" Type="http://schemas.openxmlformats.org/officeDocument/2006/relationships/hyperlink" Target="https://www.coolermaster.com/" TargetMode="External"/><Relationship Id="rId1294" Type="http://schemas.openxmlformats.org/officeDocument/2006/relationships/hyperlink" Target="https://www.msi.com/Liquid-Cooling/MAG-CORELIQUID-P360" TargetMode="External"/><Relationship Id="rId460" Type="http://schemas.openxmlformats.org/officeDocument/2006/relationships/hyperlink" Target="https://www.coolermaster.com/" TargetMode="External"/><Relationship Id="rId1295" Type="http://schemas.openxmlformats.org/officeDocument/2006/relationships/hyperlink" Target="http://www.apalcool.com/index.php?c=category&amp;id=28" TargetMode="External"/><Relationship Id="rId1296" Type="http://schemas.openxmlformats.org/officeDocument/2006/relationships/hyperlink" Target="https://www.msi.com/Liquid-Cooling/MEG-CORELIQUID-S280" TargetMode="External"/><Relationship Id="rId466" Type="http://schemas.openxmlformats.org/officeDocument/2006/relationships/hyperlink" Target="https://www.coolermaster.com/" TargetMode="External"/><Relationship Id="rId1297" Type="http://schemas.openxmlformats.org/officeDocument/2006/relationships/hyperlink" Target="https://www.asetek.com/" TargetMode="External"/><Relationship Id="rId465" Type="http://schemas.openxmlformats.org/officeDocument/2006/relationships/hyperlink" Target="https://www.coolermaster.com/catalog/coolers/cpu-liquid-coolers/masterliquid-ml360-sub-zero-evo/" TargetMode="External"/><Relationship Id="rId1298" Type="http://schemas.openxmlformats.org/officeDocument/2006/relationships/hyperlink" Target="https://www.msi.com/Liquid-Cooling/MEG-CORELIQUID-S360" TargetMode="External"/><Relationship Id="rId464" Type="http://schemas.openxmlformats.org/officeDocument/2006/relationships/hyperlink" Target="https://www.coolermaster.com/" TargetMode="External"/><Relationship Id="rId1299" Type="http://schemas.openxmlformats.org/officeDocument/2006/relationships/hyperlink" Target="https://www.asetek.com/" TargetMode="External"/><Relationship Id="rId463" Type="http://schemas.openxmlformats.org/officeDocument/2006/relationships/hyperlink" Target="https://www.coolermaster.com/" TargetMode="External"/><Relationship Id="rId459" Type="http://schemas.openxmlformats.org/officeDocument/2006/relationships/hyperlink" Target="https://www.coolermaster.com/catalog/coolers/cpu-liquid-coolers/masterliquid-ml360-mirror/" TargetMode="External"/><Relationship Id="rId458" Type="http://schemas.openxmlformats.org/officeDocument/2006/relationships/hyperlink" Target="https://www.coolermaster.com/" TargetMode="External"/><Relationship Id="rId457" Type="http://schemas.openxmlformats.org/officeDocument/2006/relationships/hyperlink" Target="https://www.coolermaster.com/" TargetMode="External"/><Relationship Id="rId456" Type="http://schemas.openxmlformats.org/officeDocument/2006/relationships/hyperlink" Target="https://www.coolermaster.com/catalog/coolers/cpu-liquid-coolers/masterliquid-ml360-illusion/" TargetMode="External"/><Relationship Id="rId1280" Type="http://schemas.openxmlformats.org/officeDocument/2006/relationships/hyperlink" Target="http://www.apalcool.com/index.php?c=category&amp;id=28" TargetMode="External"/><Relationship Id="rId1281" Type="http://schemas.openxmlformats.org/officeDocument/2006/relationships/hyperlink" Target="https://www.msi.com/Liquid-Cooling/MAG-CORELIQUID-C280" TargetMode="External"/><Relationship Id="rId451" Type="http://schemas.openxmlformats.org/officeDocument/2006/relationships/hyperlink" Target="https://www.coolermaster.com/" TargetMode="External"/><Relationship Id="rId1282" Type="http://schemas.openxmlformats.org/officeDocument/2006/relationships/hyperlink" Target="http://www.apalcool.com/index.php?c=category&amp;id=28" TargetMode="External"/><Relationship Id="rId450" Type="http://schemas.openxmlformats.org/officeDocument/2006/relationships/hyperlink" Target="https://www.coolermaster.com/catalog/coolers/cpu-liquid-coolers/masterliquid-ml240rs-rgb/" TargetMode="External"/><Relationship Id="rId1283" Type="http://schemas.openxmlformats.org/officeDocument/2006/relationships/hyperlink" Target="https://www.msi.com/Liquid-Cooling/MAG-CORELIQUID-C360" TargetMode="External"/><Relationship Id="rId1284" Type="http://schemas.openxmlformats.org/officeDocument/2006/relationships/hyperlink" Target="http://www.apalcool.com/index.php?c=category&amp;id=28" TargetMode="External"/><Relationship Id="rId1285" Type="http://schemas.openxmlformats.org/officeDocument/2006/relationships/hyperlink" Target="https://www.msi.com/Liquid-Cooling/MAG-CORELIQUID-E240" TargetMode="External"/><Relationship Id="rId455" Type="http://schemas.openxmlformats.org/officeDocument/2006/relationships/hyperlink" Target="https://www.coolermaster.com/" TargetMode="External"/><Relationship Id="rId1286" Type="http://schemas.openxmlformats.org/officeDocument/2006/relationships/hyperlink" Target="https://www.msi.com/Liquid-Cooling/MAG-CORELIQUID-E360" TargetMode="External"/><Relationship Id="rId454" Type="http://schemas.openxmlformats.org/officeDocument/2006/relationships/hyperlink" Target="https://www.coolermaster.com/" TargetMode="External"/><Relationship Id="rId1287" Type="http://schemas.openxmlformats.org/officeDocument/2006/relationships/hyperlink" Target="https://hwbusters.com/cooling/msi-mag-coreliquid-e360-aio-review/" TargetMode="External"/><Relationship Id="rId453" Type="http://schemas.openxmlformats.org/officeDocument/2006/relationships/hyperlink" Target="https://www.coolermaster.com/catalog/coolers/cpu-liquid-coolers/masterliquid-ml280-mirror/" TargetMode="External"/><Relationship Id="rId1288" Type="http://schemas.openxmlformats.org/officeDocument/2006/relationships/hyperlink" Target="https://www.msi.com/Liquid-Cooling/MAG-CORELIQUID-M240" TargetMode="External"/><Relationship Id="rId452" Type="http://schemas.openxmlformats.org/officeDocument/2006/relationships/hyperlink" Target="https://www.coolermaster.com/" TargetMode="External"/><Relationship Id="rId1289" Type="http://schemas.openxmlformats.org/officeDocument/2006/relationships/hyperlink" Target="https://www.msi.com/Liquid-Cooling/MAG-CORELIQUID-M360" TargetMode="External"/><Relationship Id="rId491" Type="http://schemas.openxmlformats.org/officeDocument/2006/relationships/hyperlink" Target="https://www.coolermaster.com/" TargetMode="External"/><Relationship Id="rId490" Type="http://schemas.openxmlformats.org/officeDocument/2006/relationships/hyperlink" Target="https://www.coolermaster.com/" TargetMode="External"/><Relationship Id="rId489" Type="http://schemas.openxmlformats.org/officeDocument/2006/relationships/hyperlink" Target="https://www.coolermaster.com/catalog/coolers/cpu-liquid-coolers/masterliquid-pro-120-non-sleeve/" TargetMode="External"/><Relationship Id="rId484" Type="http://schemas.openxmlformats.org/officeDocument/2006/relationships/hyperlink" Target="https://www.coolermaster.com/" TargetMode="External"/><Relationship Id="rId483" Type="http://schemas.openxmlformats.org/officeDocument/2006/relationships/hyperlink" Target="https://www.coolermaster.com/catalog/coolers/cpu-liquid-coolers/masterliquid-pl360-flux-30th-anniversary-edition/" TargetMode="External"/><Relationship Id="rId482" Type="http://schemas.openxmlformats.org/officeDocument/2006/relationships/hyperlink" Target="https://www.coolermaster.com/" TargetMode="External"/><Relationship Id="rId481" Type="http://schemas.openxmlformats.org/officeDocument/2006/relationships/hyperlink" Target="https://www.coolermaster.com/" TargetMode="External"/><Relationship Id="rId488" Type="http://schemas.openxmlformats.org/officeDocument/2006/relationships/hyperlink" Target="https://www.coolermaster.com/" TargetMode="External"/><Relationship Id="rId487" Type="http://schemas.openxmlformats.org/officeDocument/2006/relationships/hyperlink" Target="https://www.coolermaster.com/" TargetMode="External"/><Relationship Id="rId486" Type="http://schemas.openxmlformats.org/officeDocument/2006/relationships/hyperlink" Target="https://www.coolermaster.com/catalog/coolers/cpu-liquid-coolers/masterliquid-pl360-flux-white-edition/" TargetMode="External"/><Relationship Id="rId485" Type="http://schemas.openxmlformats.org/officeDocument/2006/relationships/hyperlink" Target="https://www.coolermaster.com/" TargetMode="External"/><Relationship Id="rId480" Type="http://schemas.openxmlformats.org/officeDocument/2006/relationships/hyperlink" Target="https://www.coolermaster.com/catalog/coolers/cpu-liquid-coolers/masterliquid-pl360-flux/" TargetMode="External"/><Relationship Id="rId479" Type="http://schemas.openxmlformats.org/officeDocument/2006/relationships/hyperlink" Target="https://www.coolermaster.com/" TargetMode="External"/><Relationship Id="rId478" Type="http://schemas.openxmlformats.org/officeDocument/2006/relationships/hyperlink" Target="https://www.coolermaster.com/" TargetMode="External"/><Relationship Id="rId473" Type="http://schemas.openxmlformats.org/officeDocument/2006/relationships/hyperlink" Target="https://www.coolermaster.com/" TargetMode="External"/><Relationship Id="rId472" Type="http://schemas.openxmlformats.org/officeDocument/2006/relationships/hyperlink" Target="https://www.coolermaster.com/" TargetMode="External"/><Relationship Id="rId471" Type="http://schemas.openxmlformats.org/officeDocument/2006/relationships/hyperlink" Target="https://www.coolermaster.com/catalog/coolers/cpu-liquid-coolers/masterliquid-ml360r-rgb/" TargetMode="External"/><Relationship Id="rId470" Type="http://schemas.openxmlformats.org/officeDocument/2006/relationships/hyperlink" Target="https://www.coolermaster.com/" TargetMode="External"/><Relationship Id="rId477" Type="http://schemas.openxmlformats.org/officeDocument/2006/relationships/hyperlink" Target="https://www.coolermaster.com/catalog/coolers/cpu-liquid-coolers/masterliquid-pl240-flux-white-edition/" TargetMode="External"/><Relationship Id="rId476" Type="http://schemas.openxmlformats.org/officeDocument/2006/relationships/hyperlink" Target="https://www.coolermaster.com/" TargetMode="External"/><Relationship Id="rId475" Type="http://schemas.openxmlformats.org/officeDocument/2006/relationships/hyperlink" Target="https://www.coolermaster.com/" TargetMode="External"/><Relationship Id="rId474" Type="http://schemas.openxmlformats.org/officeDocument/2006/relationships/hyperlink" Target="https://www.coolermaster.com/catalog/coolers/cpu-liquid-coolers/masterliquid-pl240-flux/" TargetMode="External"/><Relationship Id="rId1257" Type="http://schemas.openxmlformats.org/officeDocument/2006/relationships/hyperlink" Target="https://www.msi.com/Liquid-Cooling/MAG-CORELIQUID-240R-V2" TargetMode="External"/><Relationship Id="rId1258" Type="http://schemas.openxmlformats.org/officeDocument/2006/relationships/hyperlink" Target="http://www.apalcool.com/index.php?c=category&amp;id=28" TargetMode="External"/><Relationship Id="rId1259" Type="http://schemas.openxmlformats.org/officeDocument/2006/relationships/hyperlink" Target="https://www.msi.com/Liquid-Cooling/MAG-CORELIQUID-240R-V2-WHITE" TargetMode="External"/><Relationship Id="rId426" Type="http://schemas.openxmlformats.org/officeDocument/2006/relationships/hyperlink" Target="https://www.coolermaster.com/catalog/coolers/cpu-liquid-coolers/masterliquid-ml240-mirror/" TargetMode="External"/><Relationship Id="rId425" Type="http://schemas.openxmlformats.org/officeDocument/2006/relationships/hyperlink" Target="https://www.coolermaster.com/" TargetMode="External"/><Relationship Id="rId424" Type="http://schemas.openxmlformats.org/officeDocument/2006/relationships/hyperlink" Target="https://www.coolermaster.com/" TargetMode="External"/><Relationship Id="rId423" Type="http://schemas.openxmlformats.org/officeDocument/2006/relationships/hyperlink" Target="https://www.coolermaster.com/catalog/coolers/cpu-liquid-coolers/masterliquid-ml240-illusion-white-edition/" TargetMode="External"/><Relationship Id="rId429" Type="http://schemas.openxmlformats.org/officeDocument/2006/relationships/hyperlink" Target="https://www.coolermaster.com/catalog/coolers/cpu-liquid-coolers/masterliquid-ml240l-rgb/" TargetMode="External"/><Relationship Id="rId428" Type="http://schemas.openxmlformats.org/officeDocument/2006/relationships/hyperlink" Target="https://www.coolermaster.com/" TargetMode="External"/><Relationship Id="rId427" Type="http://schemas.openxmlformats.org/officeDocument/2006/relationships/hyperlink" Target="https://www.coolermaster.com/" TargetMode="External"/><Relationship Id="rId1250" Type="http://schemas.openxmlformats.org/officeDocument/2006/relationships/hyperlink" Target="https://www.lian-li.com/" TargetMode="External"/><Relationship Id="rId1251" Type="http://schemas.openxmlformats.org/officeDocument/2006/relationships/hyperlink" Target="https://lian-li.com/product/galahad-ii-trinity/" TargetMode="External"/><Relationship Id="rId1252" Type="http://schemas.openxmlformats.org/officeDocument/2006/relationships/hyperlink" Target="http://www.apalcool.com/index.php?c=category&amp;id=28" TargetMode="External"/><Relationship Id="rId422" Type="http://schemas.openxmlformats.org/officeDocument/2006/relationships/hyperlink" Target="https://www.coolermaster.com/" TargetMode="External"/><Relationship Id="rId1253" Type="http://schemas.openxmlformats.org/officeDocument/2006/relationships/hyperlink" Target="https://www.msi.com/Liquid-Cooling/MAG-CORELIQUID-120R" TargetMode="External"/><Relationship Id="rId421" Type="http://schemas.openxmlformats.org/officeDocument/2006/relationships/hyperlink" Target="https://www.coolermaster.com/" TargetMode="External"/><Relationship Id="rId1254" Type="http://schemas.openxmlformats.org/officeDocument/2006/relationships/hyperlink" Target="http://www.apalcool.com/index.php?c=category&amp;id=28" TargetMode="External"/><Relationship Id="rId420" Type="http://schemas.openxmlformats.org/officeDocument/2006/relationships/hyperlink" Target="https://www.coolermaster.com/catalog/coolers/cpu-liquid-coolers/masterliquid-ml240-illusion/" TargetMode="External"/><Relationship Id="rId1255" Type="http://schemas.openxmlformats.org/officeDocument/2006/relationships/hyperlink" Target="https://www.msi.com/Liquid-Cooling/MAG-CORELIQUID-240R" TargetMode="External"/><Relationship Id="rId1256" Type="http://schemas.openxmlformats.org/officeDocument/2006/relationships/hyperlink" Target="http://www.apalcool.com/index.php?c=category&amp;id=28" TargetMode="External"/><Relationship Id="rId1246" Type="http://schemas.openxmlformats.org/officeDocument/2006/relationships/hyperlink" Target="http://www.apalcool.com/index.php?c=category&amp;id=28" TargetMode="External"/><Relationship Id="rId1247" Type="http://schemas.openxmlformats.org/officeDocument/2006/relationships/hyperlink" Target="https://www.lian-li.com/" TargetMode="External"/><Relationship Id="rId1248" Type="http://schemas.openxmlformats.org/officeDocument/2006/relationships/hyperlink" Target="https://lian-li.com/product/galahad-ii-trinity/" TargetMode="External"/><Relationship Id="rId1249" Type="http://schemas.openxmlformats.org/officeDocument/2006/relationships/hyperlink" Target="http://www.apalcool.com/index.php?c=category&amp;id=28" TargetMode="External"/><Relationship Id="rId415" Type="http://schemas.openxmlformats.org/officeDocument/2006/relationships/hyperlink" Target="https://www.coolermaster.com/" TargetMode="External"/><Relationship Id="rId899" Type="http://schemas.openxmlformats.org/officeDocument/2006/relationships/hyperlink" Target="https://www.enermax.com/en/products/liqmax-iii-hf-cpu-liquid-cooler" TargetMode="External"/><Relationship Id="rId414" Type="http://schemas.openxmlformats.org/officeDocument/2006/relationships/hyperlink" Target="https://www.coolermaster.com/catalog/coolers/cpu-liquid-coolers/masterliquid-ml120r-rgb/" TargetMode="External"/><Relationship Id="rId898" Type="http://schemas.openxmlformats.org/officeDocument/2006/relationships/hyperlink" Target="https://www.enermax.com/en" TargetMode="External"/><Relationship Id="rId413" Type="http://schemas.openxmlformats.org/officeDocument/2006/relationships/hyperlink" Target="https://www.coolermaster.com/" TargetMode="External"/><Relationship Id="rId897" Type="http://schemas.openxmlformats.org/officeDocument/2006/relationships/hyperlink" Target="https://www.enermax.com/en/products/liqmax-iii-argb-series-360mm-cpu-liquid-cooler" TargetMode="External"/><Relationship Id="rId412" Type="http://schemas.openxmlformats.org/officeDocument/2006/relationships/hyperlink" Target="https://www.coolermaster.com/" TargetMode="External"/><Relationship Id="rId896" Type="http://schemas.openxmlformats.org/officeDocument/2006/relationships/hyperlink" Target="https://www.enermax.com/en" TargetMode="External"/><Relationship Id="rId419" Type="http://schemas.openxmlformats.org/officeDocument/2006/relationships/hyperlink" Target="https://www.coolermaster.com/" TargetMode="External"/><Relationship Id="rId418" Type="http://schemas.openxmlformats.org/officeDocument/2006/relationships/hyperlink" Target="https://www.coolermaster.com/" TargetMode="External"/><Relationship Id="rId417" Type="http://schemas.openxmlformats.org/officeDocument/2006/relationships/hyperlink" Target="https://www.coolermaster.com/catalog/coolers/cpu-liquid-coolers/masterliquid-ml120rs-rgb/" TargetMode="External"/><Relationship Id="rId416" Type="http://schemas.openxmlformats.org/officeDocument/2006/relationships/hyperlink" Target="https://www.coolermaster.com/" TargetMode="External"/><Relationship Id="rId891" Type="http://schemas.openxmlformats.org/officeDocument/2006/relationships/hyperlink" Target="https://www.enermax.com/en/products/liqmax-iii-argb-series-120mm-cpu-liquid-cooler" TargetMode="External"/><Relationship Id="rId890" Type="http://schemas.openxmlformats.org/officeDocument/2006/relationships/hyperlink" Target="https://www.enermax.com/en" TargetMode="External"/><Relationship Id="rId1240" Type="http://schemas.openxmlformats.org/officeDocument/2006/relationships/hyperlink" Target="http://www.apalcool.com/index.php?c=category&amp;id=28" TargetMode="External"/><Relationship Id="rId1241" Type="http://schemas.openxmlformats.org/officeDocument/2006/relationships/hyperlink" Target="https://www.lian-li.com/" TargetMode="External"/><Relationship Id="rId411" Type="http://schemas.openxmlformats.org/officeDocument/2006/relationships/hyperlink" Target="https://www.coolermaster.com/catalog/coolers/cpu-liquid-coolers/masterliquid-ml120l-v2-rgb/" TargetMode="External"/><Relationship Id="rId895" Type="http://schemas.openxmlformats.org/officeDocument/2006/relationships/hyperlink" Target="https://www.enermax.com/en/products/liqmax-iii-argb-series-240mm-cpu-liquid-cooler" TargetMode="External"/><Relationship Id="rId1242" Type="http://schemas.openxmlformats.org/officeDocument/2006/relationships/hyperlink" Target="https://lian-li.com/product/galahad-ii-trinity/" TargetMode="External"/><Relationship Id="rId410" Type="http://schemas.openxmlformats.org/officeDocument/2006/relationships/hyperlink" Target="https://www.coolermaster.com/" TargetMode="External"/><Relationship Id="rId894" Type="http://schemas.openxmlformats.org/officeDocument/2006/relationships/hyperlink" Target="https://www.enermax.com/en" TargetMode="External"/><Relationship Id="rId1243" Type="http://schemas.openxmlformats.org/officeDocument/2006/relationships/hyperlink" Target="http://www.apalcool.com/index.php?c=category&amp;id=28" TargetMode="External"/><Relationship Id="rId893" Type="http://schemas.openxmlformats.org/officeDocument/2006/relationships/hyperlink" Target="https://www.enermax.com/en/products/liqmax-iii-rgb-series-240mm-cpu-liquid-cooler" TargetMode="External"/><Relationship Id="rId1244" Type="http://schemas.openxmlformats.org/officeDocument/2006/relationships/hyperlink" Target="https://www.lian-li.com/" TargetMode="External"/><Relationship Id="rId892" Type="http://schemas.openxmlformats.org/officeDocument/2006/relationships/hyperlink" Target="https://www.enermax.com/en" TargetMode="External"/><Relationship Id="rId1245" Type="http://schemas.openxmlformats.org/officeDocument/2006/relationships/hyperlink" Target="https://lian-li.com/product/galahad-ii-trinity-performance/" TargetMode="External"/><Relationship Id="rId1279" Type="http://schemas.openxmlformats.org/officeDocument/2006/relationships/hyperlink" Target="https://www.msi.com/Liquid-Cooling/MAG-CORELIQUID-C240-EVA-e-PROJECT" TargetMode="External"/><Relationship Id="rId448" Type="http://schemas.openxmlformats.org/officeDocument/2006/relationships/hyperlink" Target="https://www.coolermaster.com/" TargetMode="External"/><Relationship Id="rId447" Type="http://schemas.openxmlformats.org/officeDocument/2006/relationships/hyperlink" Target="https://www.coolermaster.com/catalog/coolers/cpu-liquid-coolers/masterliquid-ml240r-rgb/" TargetMode="External"/><Relationship Id="rId446" Type="http://schemas.openxmlformats.org/officeDocument/2006/relationships/hyperlink" Target="https://www.coolermaster.com/" TargetMode="External"/><Relationship Id="rId445" Type="http://schemas.openxmlformats.org/officeDocument/2006/relationships/hyperlink" Target="https://www.coolermaster.com/" TargetMode="External"/><Relationship Id="rId449" Type="http://schemas.openxmlformats.org/officeDocument/2006/relationships/hyperlink" Target="https://www.coolermaster.com/" TargetMode="External"/><Relationship Id="rId1270" Type="http://schemas.openxmlformats.org/officeDocument/2006/relationships/hyperlink" Target="http://www.apalcool.com/index.php?c=category&amp;id=28" TargetMode="External"/><Relationship Id="rId440" Type="http://schemas.openxmlformats.org/officeDocument/2006/relationships/hyperlink" Target="https://www.coolermaster.com/" TargetMode="External"/><Relationship Id="rId1271" Type="http://schemas.openxmlformats.org/officeDocument/2006/relationships/hyperlink" Target="https://www.msi.com/Liquid-Cooling/MAG-CORELIQUID-360R-V2-WHITE" TargetMode="External"/><Relationship Id="rId1272" Type="http://schemas.openxmlformats.org/officeDocument/2006/relationships/hyperlink" Target="http://www.apalcool.com/index.php?c=category&amp;id=28" TargetMode="External"/><Relationship Id="rId1273" Type="http://schemas.openxmlformats.org/officeDocument/2006/relationships/hyperlink" Target="https://www.msi.com/Liquid-Cooling/MAG-CORELIQUID-B120" TargetMode="External"/><Relationship Id="rId1274" Type="http://schemas.openxmlformats.org/officeDocument/2006/relationships/hyperlink" Target="http://www.apalcool.com/index.php?c=category&amp;id=28" TargetMode="External"/><Relationship Id="rId444" Type="http://schemas.openxmlformats.org/officeDocument/2006/relationships/hyperlink" Target="https://www.coolermaster.com/catalog/coolers/cpu-liquid-coolers/masterliquid-ml240p-mirage/" TargetMode="External"/><Relationship Id="rId1275" Type="http://schemas.openxmlformats.org/officeDocument/2006/relationships/hyperlink" Target="https://www.msi.com/Liquid-Cooling/MAG-CORELIQUID-B240" TargetMode="External"/><Relationship Id="rId443" Type="http://schemas.openxmlformats.org/officeDocument/2006/relationships/hyperlink" Target="https://www.coolermaster.com/" TargetMode="External"/><Relationship Id="rId1276" Type="http://schemas.openxmlformats.org/officeDocument/2006/relationships/hyperlink" Target="http://www.apalcool.com/index.php?c=category&amp;id=28" TargetMode="External"/><Relationship Id="rId442" Type="http://schemas.openxmlformats.org/officeDocument/2006/relationships/hyperlink" Target="https://www.coolermaster.com/" TargetMode="External"/><Relationship Id="rId1277" Type="http://schemas.openxmlformats.org/officeDocument/2006/relationships/hyperlink" Target="https://www.msi.com/Liquid-Cooling/MAG-CORELIQUID-C240" TargetMode="External"/><Relationship Id="rId441" Type="http://schemas.openxmlformats.org/officeDocument/2006/relationships/hyperlink" Target="https://www.coolermaster.com/catalog/coolers/cpu-liquid-coolers/masterliquid-ml240l-v2-rgb-white-edition/" TargetMode="External"/><Relationship Id="rId1278" Type="http://schemas.openxmlformats.org/officeDocument/2006/relationships/hyperlink" Target="http://www.apalcool.com/index.php?c=category&amp;id=28" TargetMode="External"/><Relationship Id="rId1268" Type="http://schemas.openxmlformats.org/officeDocument/2006/relationships/hyperlink" Target="http://www.apalcool.com/index.php?c=category&amp;id=28" TargetMode="External"/><Relationship Id="rId1269" Type="http://schemas.openxmlformats.org/officeDocument/2006/relationships/hyperlink" Target="https://www.msi.com/Liquid-Cooling/MAG-CORELIQUID-360R-V2" TargetMode="External"/><Relationship Id="rId437" Type="http://schemas.openxmlformats.org/officeDocument/2006/relationships/hyperlink" Target="https://www.coolermaster.com/" TargetMode="External"/><Relationship Id="rId436" Type="http://schemas.openxmlformats.org/officeDocument/2006/relationships/hyperlink" Target="https://www.coolermaster.com/" TargetMode="External"/><Relationship Id="rId435" Type="http://schemas.openxmlformats.org/officeDocument/2006/relationships/hyperlink" Target="https://www.coolermaster.com/catalog/coolers/cpu-liquid-coolers/masterliquid-ml240l-v2-argb-white-edition/" TargetMode="External"/><Relationship Id="rId434" Type="http://schemas.openxmlformats.org/officeDocument/2006/relationships/hyperlink" Target="https://www.coolermaster.com/" TargetMode="External"/><Relationship Id="rId439" Type="http://schemas.openxmlformats.org/officeDocument/2006/relationships/hyperlink" Target="https://www.coolermaster.com/" TargetMode="External"/><Relationship Id="rId438" Type="http://schemas.openxmlformats.org/officeDocument/2006/relationships/hyperlink" Target="https://www.coolermaster.com/catalog/coolers/cpu-liquid-coolers/masterliquid-ml240l-v2-rgb/" TargetMode="External"/><Relationship Id="rId1260" Type="http://schemas.openxmlformats.org/officeDocument/2006/relationships/hyperlink" Target="http://www.apalcool.com/index.php?c=category&amp;id=28" TargetMode="External"/><Relationship Id="rId1261" Type="http://schemas.openxmlformats.org/officeDocument/2006/relationships/hyperlink" Target="https://www.msi.com/Liquid-Cooling/MAG-CORELIQUID-240-RH" TargetMode="External"/><Relationship Id="rId1262" Type="http://schemas.openxmlformats.org/officeDocument/2006/relationships/hyperlink" Target="http://www.apalcool.com/index.php?c=category&amp;id=28" TargetMode="External"/><Relationship Id="rId1263" Type="http://schemas.openxmlformats.org/officeDocument/2006/relationships/hyperlink" Target="https://www.msi.com/Liquid-Cooling/MAG-CORELIQUID-280R/" TargetMode="External"/><Relationship Id="rId433" Type="http://schemas.openxmlformats.org/officeDocument/2006/relationships/hyperlink" Target="https://www.coolermaster.com/" TargetMode="External"/><Relationship Id="rId1264" Type="http://schemas.openxmlformats.org/officeDocument/2006/relationships/hyperlink" Target="http://www.apalcool.com/index.php?c=category&amp;id=28" TargetMode="External"/><Relationship Id="rId432" Type="http://schemas.openxmlformats.org/officeDocument/2006/relationships/hyperlink" Target="https://www.coolermaster.com/my/en-my/catalog/coolers/cpu-liquid-coolers/masterliquid-ml240l-argb-v2/" TargetMode="External"/><Relationship Id="rId1265" Type="http://schemas.openxmlformats.org/officeDocument/2006/relationships/hyperlink" Target="https://www.msi.com/Liquid-Cooling/MAG-CORELIQUID-280R-V2" TargetMode="External"/><Relationship Id="rId431" Type="http://schemas.openxmlformats.org/officeDocument/2006/relationships/hyperlink" Target="https://www.coolermaster.com/" TargetMode="External"/><Relationship Id="rId1266" Type="http://schemas.openxmlformats.org/officeDocument/2006/relationships/hyperlink" Target="http://www.apalcool.com/index.php?c=category&amp;id=28" TargetMode="External"/><Relationship Id="rId430" Type="http://schemas.openxmlformats.org/officeDocument/2006/relationships/hyperlink" Target="https://www.coolermaster.com/" TargetMode="External"/><Relationship Id="rId1267" Type="http://schemas.openxmlformats.org/officeDocument/2006/relationships/hyperlink" Target="https://www.msi.com/Liquid-Cooling/MAG-CORELIQUID-360R" TargetMode="Externa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deepcool.com/index.shtml" TargetMode="External"/><Relationship Id="rId3" Type="http://schemas.openxmlformats.org/officeDocument/2006/relationships/hyperlink" Target="http://www.idcooling.com/index.php" TargetMode="External"/><Relationship Id="rId4" Type="http://schemas.openxmlformats.org/officeDocument/2006/relationships/hyperlink" Target="http://www.idcooling.com/Product/detail/id/151/name/NO-4010-SD" TargetMode="External"/><Relationship Id="rId9" Type="http://schemas.openxmlformats.org/officeDocument/2006/relationships/hyperlink" Target="https://noctua.at/" TargetMode="External"/><Relationship Id="rId5" Type="http://schemas.openxmlformats.org/officeDocument/2006/relationships/hyperlink" Target="https://noctua.at/" TargetMode="External"/><Relationship Id="rId6" Type="http://schemas.openxmlformats.org/officeDocument/2006/relationships/hyperlink" Target="https://noctua.at/en/products/fan/nf-a4x10-5v" TargetMode="External"/><Relationship Id="rId7" Type="http://schemas.openxmlformats.org/officeDocument/2006/relationships/hyperlink" Target="https://noctua.at/" TargetMode="External"/><Relationship Id="rId8" Type="http://schemas.openxmlformats.org/officeDocument/2006/relationships/hyperlink" Target="https://noctua.at/en/products/fan/nf-a4x10-5v-pwm" TargetMode="External"/><Relationship Id="rId40" Type="http://schemas.openxmlformats.org/officeDocument/2006/relationships/hyperlink" Target="http://www.cryorig.com/qt90.php" TargetMode="External"/><Relationship Id="rId42" Type="http://schemas.openxmlformats.org/officeDocument/2006/relationships/hyperlink" Target="https://www.geeekstore.com/" TargetMode="External"/><Relationship Id="rId41" Type="http://schemas.openxmlformats.org/officeDocument/2006/relationships/hyperlink" Target="http://deepcool.com/index.shtml" TargetMode="External"/><Relationship Id="rId44" Type="http://schemas.openxmlformats.org/officeDocument/2006/relationships/hyperlink" Target="http://www.idcooling.com/index.php" TargetMode="External"/><Relationship Id="rId43" Type="http://schemas.openxmlformats.org/officeDocument/2006/relationships/hyperlink" Target="https://www.geeekstore.com/shop/geeek-92mm-9215-4pin-pwm-slim-cooling-fan/" TargetMode="External"/><Relationship Id="rId46" Type="http://schemas.openxmlformats.org/officeDocument/2006/relationships/hyperlink" Target="http://www.idcooling.com/index.php" TargetMode="External"/><Relationship Id="rId45" Type="http://schemas.openxmlformats.org/officeDocument/2006/relationships/hyperlink" Target="http://www.idcooling.com/Product/detail/id/180/name/NO-9215" TargetMode="External"/><Relationship Id="rId48" Type="http://schemas.openxmlformats.org/officeDocument/2006/relationships/hyperlink" Target="http://www.idcooling.com/index.php" TargetMode="External"/><Relationship Id="rId47" Type="http://schemas.openxmlformats.org/officeDocument/2006/relationships/hyperlink" Target="http://www.idcooling.com/Product/detail/id/254/name/NO-9215-XT%20ARGB" TargetMode="External"/><Relationship Id="rId49" Type="http://schemas.openxmlformats.org/officeDocument/2006/relationships/hyperlink" Target="http://www.idcooling.com/Product/detail/id/266/name/TF-9215" TargetMode="External"/><Relationship Id="rId31" Type="http://schemas.openxmlformats.org/officeDocument/2006/relationships/hyperlink" Target="https://www.coolermaster.com/" TargetMode="External"/><Relationship Id="rId30" Type="http://schemas.openxmlformats.org/officeDocument/2006/relationships/hyperlink" Target="http://www.akasa.com.tw/update.php?tpl=product/product.detail.tpl&amp;no=181&amp;type=Fans&amp;type_sub=Slim&amp;model=AK-FN076" TargetMode="External"/><Relationship Id="rId33" Type="http://schemas.openxmlformats.org/officeDocument/2006/relationships/hyperlink" Target="https://www.blacknoise.com/site/en/home.php" TargetMode="External"/><Relationship Id="rId32" Type="http://schemas.openxmlformats.org/officeDocument/2006/relationships/hyperlink" Target="https://www.coolermaster.com/catalog/coolers/case-fan/standard-fan-80mm/" TargetMode="External"/><Relationship Id="rId35" Type="http://schemas.openxmlformats.org/officeDocument/2006/relationships/hyperlink" Target="http://www.scythe.com/" TargetMode="External"/><Relationship Id="rId34" Type="http://schemas.openxmlformats.org/officeDocument/2006/relationships/hyperlink" Target="https://www.blacknoise.com/site/en/products/noiseblocker-it-fans/nb-blacksilent-pro-series/80x80x15mm.php?lang=EN" TargetMode="External"/><Relationship Id="rId37" Type="http://schemas.openxmlformats.org/officeDocument/2006/relationships/hyperlink" Target="http://thermalright.com/" TargetMode="External"/><Relationship Id="rId36" Type="http://schemas.openxmlformats.org/officeDocument/2006/relationships/hyperlink" Target="https://www.aliexpress.com/item/4000025852422.html" TargetMode="External"/><Relationship Id="rId39" Type="http://schemas.openxmlformats.org/officeDocument/2006/relationships/hyperlink" Target="http://www.cryorig.com/" TargetMode="External"/><Relationship Id="rId38" Type="http://schemas.openxmlformats.org/officeDocument/2006/relationships/hyperlink" Target="http://thermalright.com/product/tl-8015w/" TargetMode="External"/><Relationship Id="rId20" Type="http://schemas.openxmlformats.org/officeDocument/2006/relationships/hyperlink" Target="https://noctua.at/en/products/fan/nf-a4x20-pwm" TargetMode="External"/><Relationship Id="rId22" Type="http://schemas.openxmlformats.org/officeDocument/2006/relationships/hyperlink" Target="http://www.idcooling.com/Product/detail/id/150/name/NO-5010-SD" TargetMode="External"/><Relationship Id="rId21" Type="http://schemas.openxmlformats.org/officeDocument/2006/relationships/hyperlink" Target="http://www.idcooling.com/index.php" TargetMode="External"/><Relationship Id="rId24" Type="http://schemas.openxmlformats.org/officeDocument/2006/relationships/hyperlink" Target="http://www.idcooling.com/index.php" TargetMode="External"/><Relationship Id="rId23" Type="http://schemas.openxmlformats.org/officeDocument/2006/relationships/hyperlink" Target="http://deepcool.com/index.shtml" TargetMode="External"/><Relationship Id="rId26" Type="http://schemas.openxmlformats.org/officeDocument/2006/relationships/hyperlink" Target="http://deepcool.com/index.shtml" TargetMode="External"/><Relationship Id="rId25" Type="http://schemas.openxmlformats.org/officeDocument/2006/relationships/hyperlink" Target="http://www.idcooling.com/Product/detail/id/149/name/NO-6010-SD" TargetMode="External"/><Relationship Id="rId28" Type="http://schemas.openxmlformats.org/officeDocument/2006/relationships/hyperlink" Target="http://www.idcooling.com/Product/detail/id/148/name/NO-7015-SD" TargetMode="External"/><Relationship Id="rId27" Type="http://schemas.openxmlformats.org/officeDocument/2006/relationships/hyperlink" Target="http://www.idcooling.com/index.php" TargetMode="External"/><Relationship Id="rId29" Type="http://schemas.openxmlformats.org/officeDocument/2006/relationships/hyperlink" Target="http://www.akasa.com.tw/index.php?lang=en" TargetMode="External"/><Relationship Id="rId11" Type="http://schemas.openxmlformats.org/officeDocument/2006/relationships/hyperlink" Target="https://noctua.at/" TargetMode="External"/><Relationship Id="rId10" Type="http://schemas.openxmlformats.org/officeDocument/2006/relationships/hyperlink" Target="https://noctua.at/en/products/fan/nf-a4x10-flx" TargetMode="External"/><Relationship Id="rId13" Type="http://schemas.openxmlformats.org/officeDocument/2006/relationships/hyperlink" Target="https://noctua.at/" TargetMode="External"/><Relationship Id="rId12" Type="http://schemas.openxmlformats.org/officeDocument/2006/relationships/hyperlink" Target="https://noctua.at/en/products/fan/nf-a4x10-pwm" TargetMode="External"/><Relationship Id="rId15" Type="http://schemas.openxmlformats.org/officeDocument/2006/relationships/hyperlink" Target="https://noctua.at/" TargetMode="External"/><Relationship Id="rId14" Type="http://schemas.openxmlformats.org/officeDocument/2006/relationships/hyperlink" Target="https://noctua.at/en/products/fan/nf-a4x20-5v" TargetMode="External"/><Relationship Id="rId17" Type="http://schemas.openxmlformats.org/officeDocument/2006/relationships/hyperlink" Target="https://noctua.at/" TargetMode="External"/><Relationship Id="rId16" Type="http://schemas.openxmlformats.org/officeDocument/2006/relationships/hyperlink" Target="https://noctua.at/en/products/fan/nf-a4x20-5v-pwm" TargetMode="External"/><Relationship Id="rId19" Type="http://schemas.openxmlformats.org/officeDocument/2006/relationships/hyperlink" Target="https://noctua.at/" TargetMode="External"/><Relationship Id="rId18" Type="http://schemas.openxmlformats.org/officeDocument/2006/relationships/hyperlink" Target="https://noctua.at/en/products/fan/nf-a4x20-flx" TargetMode="External"/><Relationship Id="rId84" Type="http://schemas.openxmlformats.org/officeDocument/2006/relationships/hyperlink" Target="https://www.corsair.com/ww/en/" TargetMode="External"/><Relationship Id="rId83" Type="http://schemas.openxmlformats.org/officeDocument/2006/relationships/hyperlink" Target="https://www.corsair.com/us/en/Categories/Products/Fans/AF-SLIM-Series-Dynamic-Bearing-Fan/p/CO-9050145-WW" TargetMode="External"/><Relationship Id="rId86" Type="http://schemas.openxmlformats.org/officeDocument/2006/relationships/hyperlink" Target="https://www.corsair.com/ww/en/" TargetMode="External"/><Relationship Id="rId85" Type="http://schemas.openxmlformats.org/officeDocument/2006/relationships/hyperlink" Target="https://www.corsair.com/ww/en/p/case-fans/co-9050162-ww/icue-af120-rgb-slim-120mm-pwm-fluid-dynamic-bearing-fan-black-single-pack-co-9050162-ww" TargetMode="External"/><Relationship Id="rId88" Type="http://schemas.openxmlformats.org/officeDocument/2006/relationships/hyperlink" Target="http://deepcool.com/index.shtml" TargetMode="External"/><Relationship Id="rId87" Type="http://schemas.openxmlformats.org/officeDocument/2006/relationships/hyperlink" Target="https://www.corsair.com/ww/en/p/case-fans/co-9050164-ww/icue-af120-rgb-slim-120mm-pwm-fluid-dynamic-bearing-fan-white-single-pack-co-9050164-ww" TargetMode="External"/><Relationship Id="rId89" Type="http://schemas.openxmlformats.org/officeDocument/2006/relationships/hyperlink" Target="https://www.aliexpress.com/item/4001131255788.html" TargetMode="External"/><Relationship Id="rId80" Type="http://schemas.openxmlformats.org/officeDocument/2006/relationships/hyperlink" Target="https://www.corsair.com/ww/en/" TargetMode="External"/><Relationship Id="rId82" Type="http://schemas.openxmlformats.org/officeDocument/2006/relationships/hyperlink" Target="https://www.corsair.com/ww/en/" TargetMode="External"/><Relationship Id="rId81" Type="http://schemas.openxmlformats.org/officeDocument/2006/relationships/hyperlink" Target="https://www.corsair.com/us/en/Categories/Products/Fans/AF-SLIM-Series-Dynamic-Bearing-Fan/p/CO-9050144-WW" TargetMode="External"/><Relationship Id="rId73" Type="http://schemas.openxmlformats.org/officeDocument/2006/relationships/hyperlink" Target="http://www.akasa.com.tw/update.php?tpl=product/product.detail.tpl&amp;no=181&amp;type=Fans&amp;type_sub=Slim&amp;model=AK-FN078" TargetMode="External"/><Relationship Id="rId72" Type="http://schemas.openxmlformats.org/officeDocument/2006/relationships/hyperlink" Target="http://www.akasa.com.tw/index.php?lang=en" TargetMode="External"/><Relationship Id="rId75" Type="http://schemas.openxmlformats.org/officeDocument/2006/relationships/hyperlink" Target="https://www.alphacool.com/shop/fans/fans/27633/alphacool-sl-15-pwm-fan-600-1800rpm-120x120x15mm" TargetMode="External"/><Relationship Id="rId74" Type="http://schemas.openxmlformats.org/officeDocument/2006/relationships/hyperlink" Target="https://www.alphacool.com/" TargetMode="External"/><Relationship Id="rId77" Type="http://schemas.openxmlformats.org/officeDocument/2006/relationships/hyperlink" Target="https://www.arctic.de/en/P12-Slim-PWM-PST/ACFAN00187A" TargetMode="External"/><Relationship Id="rId76" Type="http://schemas.openxmlformats.org/officeDocument/2006/relationships/hyperlink" Target="https://www.arctic.de/en/" TargetMode="External"/><Relationship Id="rId79" Type="http://schemas.openxmlformats.org/officeDocument/2006/relationships/hyperlink" Target="https://www.coolermaster.com/catalog/coolers/case-fan/xtraflo-120-slim/" TargetMode="External"/><Relationship Id="rId78" Type="http://schemas.openxmlformats.org/officeDocument/2006/relationships/hyperlink" Target="https://www.coolermaster.com/" TargetMode="External"/><Relationship Id="rId71" Type="http://schemas.openxmlformats.org/officeDocument/2006/relationships/hyperlink" Target="http://thermalright.com/product/tl-9015w/" TargetMode="External"/><Relationship Id="rId70" Type="http://schemas.openxmlformats.org/officeDocument/2006/relationships/hyperlink" Target="http://thermalright.com/" TargetMode="External"/><Relationship Id="rId62" Type="http://schemas.openxmlformats.org/officeDocument/2006/relationships/hyperlink" Target="https://www.silverstonetek.com/" TargetMode="External"/><Relationship Id="rId61" Type="http://schemas.openxmlformats.org/officeDocument/2006/relationships/hyperlink" Target="https://www.silverstonetek.com/en/product/info/fans/Air_Slimmer_90/" TargetMode="External"/><Relationship Id="rId64" Type="http://schemas.openxmlformats.org/officeDocument/2006/relationships/hyperlink" Target="http://thermalright.com/" TargetMode="External"/><Relationship Id="rId63" Type="http://schemas.openxmlformats.org/officeDocument/2006/relationships/hyperlink" Target="https://www.silverstonetek.com/en/product/info/fans/Air_Slimmer_90_ARGB/" TargetMode="External"/><Relationship Id="rId66" Type="http://schemas.openxmlformats.org/officeDocument/2006/relationships/hyperlink" Target="http://thermalright.com/" TargetMode="External"/><Relationship Id="rId65" Type="http://schemas.openxmlformats.org/officeDocument/2006/relationships/hyperlink" Target="http://thermalright.com/product/tl-9015/" TargetMode="External"/><Relationship Id="rId68" Type="http://schemas.openxmlformats.org/officeDocument/2006/relationships/hyperlink" Target="http://thermalright.com/" TargetMode="External"/><Relationship Id="rId67" Type="http://schemas.openxmlformats.org/officeDocument/2006/relationships/hyperlink" Target="http://thermalright.com/product/tl-9015b/" TargetMode="External"/><Relationship Id="rId60" Type="http://schemas.openxmlformats.org/officeDocument/2006/relationships/hyperlink" Target="https://www.silverstonetek.com/" TargetMode="External"/><Relationship Id="rId69" Type="http://schemas.openxmlformats.org/officeDocument/2006/relationships/hyperlink" Target="http://thermalright.com/product/tl-9015r/" TargetMode="External"/><Relationship Id="rId51" Type="http://schemas.openxmlformats.org/officeDocument/2006/relationships/hyperlink" Target="https://www.idcooling.com/Product/detail/id/317/name/TF-9215%20ARGB" TargetMode="External"/><Relationship Id="rId50" Type="http://schemas.openxmlformats.org/officeDocument/2006/relationships/hyperlink" Target="http://www.idcooling.com/index.php" TargetMode="External"/><Relationship Id="rId53" Type="http://schemas.openxmlformats.org/officeDocument/2006/relationships/hyperlink" Target="https://noctua.at/en/nf-a9x14-pwm-chromax-black-swap" TargetMode="External"/><Relationship Id="rId52" Type="http://schemas.openxmlformats.org/officeDocument/2006/relationships/hyperlink" Target="https://noctua.at/" TargetMode="External"/><Relationship Id="rId55" Type="http://schemas.openxmlformats.org/officeDocument/2006/relationships/hyperlink" Target="https://noctua.at/en/products/fan/nf-a9x14-pwm" TargetMode="External"/><Relationship Id="rId54" Type="http://schemas.openxmlformats.org/officeDocument/2006/relationships/hyperlink" Target="https://noctua.at/" TargetMode="External"/><Relationship Id="rId57" Type="http://schemas.openxmlformats.org/officeDocument/2006/relationships/hyperlink" Target="https://www.scytheus.com/kaze-flex-92-silm" TargetMode="External"/><Relationship Id="rId56" Type="http://schemas.openxmlformats.org/officeDocument/2006/relationships/hyperlink" Target="http://www.scythe.com/" TargetMode="External"/><Relationship Id="rId59" Type="http://schemas.openxmlformats.org/officeDocument/2006/relationships/hyperlink" Target="https://www.scytheus.com/kaze-flex-92-rgb" TargetMode="External"/><Relationship Id="rId58" Type="http://schemas.openxmlformats.org/officeDocument/2006/relationships/hyperlink" Target="http://www.scythe.com/" TargetMode="External"/><Relationship Id="rId95" Type="http://schemas.openxmlformats.org/officeDocument/2006/relationships/hyperlink" Target="http://www.idcooling.com/Product/detail/id/29/name/NO-12015" TargetMode="External"/><Relationship Id="rId94" Type="http://schemas.openxmlformats.org/officeDocument/2006/relationships/hyperlink" Target="http://www.idcooling.com/index.php" TargetMode="External"/><Relationship Id="rId97" Type="http://schemas.openxmlformats.org/officeDocument/2006/relationships/hyperlink" Target="http://www.idcooling.com/Product/detail/id/222/name/NO-12015-XT" TargetMode="External"/><Relationship Id="rId96" Type="http://schemas.openxmlformats.org/officeDocument/2006/relationships/hyperlink" Target="http://www.idcooling.com/index.php" TargetMode="External"/><Relationship Id="rId99" Type="http://schemas.openxmlformats.org/officeDocument/2006/relationships/hyperlink" Target="http://www.idcooling.com/Product/detail/id/223/name/NO-12015-XT-ARGB" TargetMode="External"/><Relationship Id="rId98" Type="http://schemas.openxmlformats.org/officeDocument/2006/relationships/hyperlink" Target="http://www.idcooling.com/index.php" TargetMode="External"/><Relationship Id="rId91" Type="http://schemas.openxmlformats.org/officeDocument/2006/relationships/hyperlink" Target="https://gelidsolutions.com/thermal-solutions/case-fan-slim-12-pl-blue/" TargetMode="External"/><Relationship Id="rId90" Type="http://schemas.openxmlformats.org/officeDocument/2006/relationships/hyperlink" Target="https://gelidsolutions.com/" TargetMode="External"/><Relationship Id="rId93" Type="http://schemas.openxmlformats.org/officeDocument/2006/relationships/hyperlink" Target="https://gelidsolutions.com/thermal-solutions/case-fan-slim-12-uv-blue/" TargetMode="External"/><Relationship Id="rId92" Type="http://schemas.openxmlformats.org/officeDocument/2006/relationships/hyperlink" Target="https://gelidsolutions.com/" TargetMode="External"/><Relationship Id="rId203" Type="http://schemas.openxmlformats.org/officeDocument/2006/relationships/vmlDrawing" Target="../drawings/vmlDrawing7.vml"/><Relationship Id="rId202" Type="http://schemas.openxmlformats.org/officeDocument/2006/relationships/drawing" Target="../drawings/drawing9.xml"/><Relationship Id="rId201" Type="http://schemas.openxmlformats.org/officeDocument/2006/relationships/hyperlink" Target="https://www.silverstonetek.com/product.php?pid=531&amp;area=usa" TargetMode="External"/><Relationship Id="rId200" Type="http://schemas.openxmlformats.org/officeDocument/2006/relationships/hyperlink" Target="https://www.silverstonetek.com/en/" TargetMode="External"/><Relationship Id="rId190" Type="http://schemas.openxmlformats.org/officeDocument/2006/relationships/hyperlink" Target="https://www.thermaltake.com/" TargetMode="External"/><Relationship Id="rId194" Type="http://schemas.openxmlformats.org/officeDocument/2006/relationships/hyperlink" Target="https://www.silverstonetek.com/en/" TargetMode="External"/><Relationship Id="rId193" Type="http://schemas.openxmlformats.org/officeDocument/2006/relationships/hyperlink" Target="https://www.raijintek.com/en/products_detail.php?ProductID=5" TargetMode="External"/><Relationship Id="rId192" Type="http://schemas.openxmlformats.org/officeDocument/2006/relationships/hyperlink" Target="https://www.raijintek.com/en/index.php" TargetMode="External"/><Relationship Id="rId191" Type="http://schemas.openxmlformats.org/officeDocument/2006/relationships/hyperlink" Target="https://www.thermaltake.com/luna-14-slim-led-white.html" TargetMode="External"/><Relationship Id="rId187" Type="http://schemas.openxmlformats.org/officeDocument/2006/relationships/hyperlink" Target="https://www.silverstonetek.com/en/product/info/fans/as140b/" TargetMode="External"/><Relationship Id="rId186" Type="http://schemas.openxmlformats.org/officeDocument/2006/relationships/hyperlink" Target="https://www.silverstonetek.com/en/" TargetMode="External"/><Relationship Id="rId185" Type="http://schemas.openxmlformats.org/officeDocument/2006/relationships/hyperlink" Target="http://www.prolimatech.com/en/products/detail.asp?id=1906&amp;page=1" TargetMode="External"/><Relationship Id="rId184" Type="http://schemas.openxmlformats.org/officeDocument/2006/relationships/hyperlink" Target="http://www.prolimatech.com/index.asp" TargetMode="External"/><Relationship Id="rId189" Type="http://schemas.openxmlformats.org/officeDocument/2006/relationships/hyperlink" Target="https://www.silverstonetek.com/en/product/info/fans/as140_argb/" TargetMode="External"/><Relationship Id="rId188" Type="http://schemas.openxmlformats.org/officeDocument/2006/relationships/hyperlink" Target="https://www.silverstonetek.com/en/" TargetMode="External"/><Relationship Id="rId183" Type="http://schemas.openxmlformats.org/officeDocument/2006/relationships/hyperlink" Target="https://www.jonsbo.com/en/products/HF1415White.html" TargetMode="External"/><Relationship Id="rId182" Type="http://schemas.openxmlformats.org/officeDocument/2006/relationships/hyperlink" Target="http://www.jonsbo.com/en/" TargetMode="External"/><Relationship Id="rId181" Type="http://schemas.openxmlformats.org/officeDocument/2006/relationships/hyperlink" Target="https://www.jonsbo.com/en/products/HF1415Black.html" TargetMode="External"/><Relationship Id="rId180" Type="http://schemas.openxmlformats.org/officeDocument/2006/relationships/hyperlink" Target="http://www.jonsbo.com/en/" TargetMode="External"/><Relationship Id="rId176" Type="http://schemas.openxmlformats.org/officeDocument/2006/relationships/hyperlink" Target="https://www.arctic.de/en/" TargetMode="External"/><Relationship Id="rId175" Type="http://schemas.openxmlformats.org/officeDocument/2006/relationships/hyperlink" Target="https://aerocool.io/us/product/streamliner-140-silver/" TargetMode="External"/><Relationship Id="rId174" Type="http://schemas.openxmlformats.org/officeDocument/2006/relationships/hyperlink" Target="https://aerocool.io/us" TargetMode="External"/><Relationship Id="rId173" Type="http://schemas.openxmlformats.org/officeDocument/2006/relationships/hyperlink" Target="https://www.raijintek.com/en/products_detail.php?ProductID=110" TargetMode="External"/><Relationship Id="rId179" Type="http://schemas.openxmlformats.org/officeDocument/2006/relationships/hyperlink" Target="http://www.cryorig.com/xt140.php" TargetMode="External"/><Relationship Id="rId178" Type="http://schemas.openxmlformats.org/officeDocument/2006/relationships/hyperlink" Target="http://www.cryorig.com/" TargetMode="External"/><Relationship Id="rId177" Type="http://schemas.openxmlformats.org/officeDocument/2006/relationships/hyperlink" Target="https://www.arctic.de/en/P14-Slim-PWM-PST/ACFAN00268A" TargetMode="External"/><Relationship Id="rId198" Type="http://schemas.openxmlformats.org/officeDocument/2006/relationships/hyperlink" Target="https://www.silverstonetek.com/en/" TargetMode="External"/><Relationship Id="rId197" Type="http://schemas.openxmlformats.org/officeDocument/2006/relationships/hyperlink" Target="http://thermalright.com/product/ty-14013r/" TargetMode="External"/><Relationship Id="rId196" Type="http://schemas.openxmlformats.org/officeDocument/2006/relationships/hyperlink" Target="http://thermalright.com/" TargetMode="External"/><Relationship Id="rId195" Type="http://schemas.openxmlformats.org/officeDocument/2006/relationships/hyperlink" Target="https://www.silverstonetek.com/product.php?pid=530&amp;area=usa" TargetMode="External"/><Relationship Id="rId199" Type="http://schemas.openxmlformats.org/officeDocument/2006/relationships/hyperlink" Target="https://www.silverstonetek.com/product.php?pid=532&amp;area=usa" TargetMode="External"/><Relationship Id="rId150" Type="http://schemas.openxmlformats.org/officeDocument/2006/relationships/hyperlink" Target="https://www.silverstonetek.com/en/" TargetMode="External"/><Relationship Id="rId149" Type="http://schemas.openxmlformats.org/officeDocument/2006/relationships/hyperlink" Target="https://www.cybenetics.com/fansPDFs/cybenetics_ffk.pdf" TargetMode="External"/><Relationship Id="rId148" Type="http://schemas.openxmlformats.org/officeDocument/2006/relationships/hyperlink" Target="https://www.silverstonetek.com/product.php?pid=1017&amp;area=en" TargetMode="External"/><Relationship Id="rId143" Type="http://schemas.openxmlformats.org/officeDocument/2006/relationships/hyperlink" Target="http://www.scythe.com/" TargetMode="External"/><Relationship Id="rId142" Type="http://schemas.openxmlformats.org/officeDocument/2006/relationships/hyperlink" Target="http://www.scythe.com/" TargetMode="External"/><Relationship Id="rId141" Type="http://schemas.openxmlformats.org/officeDocument/2006/relationships/hyperlink" Target="http://www.scythe.com/" TargetMode="External"/><Relationship Id="rId140" Type="http://schemas.openxmlformats.org/officeDocument/2006/relationships/hyperlink" Target="http://www.scythe.com/" TargetMode="External"/><Relationship Id="rId147" Type="http://schemas.openxmlformats.org/officeDocument/2006/relationships/hyperlink" Target="https://www.silverstonetek.com/en/" TargetMode="External"/><Relationship Id="rId146" Type="http://schemas.openxmlformats.org/officeDocument/2006/relationships/hyperlink" Target="https://www.silverstonetek.com/product.php?pid=1016&amp;area=en" TargetMode="External"/><Relationship Id="rId145" Type="http://schemas.openxmlformats.org/officeDocument/2006/relationships/hyperlink" Target="https://www.silverstonetek.com/en/" TargetMode="External"/><Relationship Id="rId144" Type="http://schemas.openxmlformats.org/officeDocument/2006/relationships/hyperlink" Target="http://www.scythe.com/" TargetMode="External"/><Relationship Id="rId139" Type="http://schemas.openxmlformats.org/officeDocument/2006/relationships/hyperlink" Target="https://www.aliexpress.com/i/4000959937656.html" TargetMode="External"/><Relationship Id="rId138" Type="http://schemas.openxmlformats.org/officeDocument/2006/relationships/hyperlink" Target="http://www.scythe.com/" TargetMode="External"/><Relationship Id="rId137" Type="http://schemas.openxmlformats.org/officeDocument/2006/relationships/hyperlink" Target="https://www.scytheus.com/kaze-flex-ii-120-slim" TargetMode="External"/><Relationship Id="rId132" Type="http://schemas.openxmlformats.org/officeDocument/2006/relationships/hyperlink" Target="http://www.scythe.com/" TargetMode="External"/><Relationship Id="rId131" Type="http://schemas.openxmlformats.org/officeDocument/2006/relationships/hyperlink" Target="https://www.scytheus.com/kazeflex-120-slim-rgb" TargetMode="External"/><Relationship Id="rId130" Type="http://schemas.openxmlformats.org/officeDocument/2006/relationships/hyperlink" Target="http://www.scythe.com/" TargetMode="External"/><Relationship Id="rId136" Type="http://schemas.openxmlformats.org/officeDocument/2006/relationships/hyperlink" Target="http://www.scythe.com/" TargetMode="External"/><Relationship Id="rId135" Type="http://schemas.openxmlformats.org/officeDocument/2006/relationships/hyperlink" Target="https://www.scytheus.com/kaze-flex-ii-120-slim" TargetMode="External"/><Relationship Id="rId134" Type="http://schemas.openxmlformats.org/officeDocument/2006/relationships/hyperlink" Target="http://www.scythe.com/" TargetMode="External"/><Relationship Id="rId133" Type="http://schemas.openxmlformats.org/officeDocument/2006/relationships/hyperlink" Target="https://www.scytheus.com/kaze-flex-ii-120-slim" TargetMode="External"/><Relationship Id="rId172" Type="http://schemas.openxmlformats.org/officeDocument/2006/relationships/hyperlink" Target="https://www.raijintek.com/en/index.php" TargetMode="External"/><Relationship Id="rId171" Type="http://schemas.openxmlformats.org/officeDocument/2006/relationships/hyperlink" Target="https://www.raijintek.com/en/products_detail.php?ProductID=14" TargetMode="External"/><Relationship Id="rId170" Type="http://schemas.openxmlformats.org/officeDocument/2006/relationships/hyperlink" Target="https://www.raijintek.com/en/index.php" TargetMode="External"/><Relationship Id="rId165" Type="http://schemas.openxmlformats.org/officeDocument/2006/relationships/hyperlink" Target="http://thermalright.com/product/tl-c12015s/" TargetMode="External"/><Relationship Id="rId164" Type="http://schemas.openxmlformats.org/officeDocument/2006/relationships/hyperlink" Target="http://thermalright.com/" TargetMode="External"/><Relationship Id="rId163" Type="http://schemas.openxmlformats.org/officeDocument/2006/relationships/hyperlink" Target="http://thermalright.com/product/tl-c12015l/" TargetMode="External"/><Relationship Id="rId162" Type="http://schemas.openxmlformats.org/officeDocument/2006/relationships/hyperlink" Target="http://thermalright.com/" TargetMode="External"/><Relationship Id="rId169" Type="http://schemas.openxmlformats.org/officeDocument/2006/relationships/hyperlink" Target="https://www.thermaltake.com/luna-12-slim-led-white.html" TargetMode="External"/><Relationship Id="rId168" Type="http://schemas.openxmlformats.org/officeDocument/2006/relationships/hyperlink" Target="https://www.thermaltake.com/" TargetMode="External"/><Relationship Id="rId167" Type="http://schemas.openxmlformats.org/officeDocument/2006/relationships/hyperlink" Target="http://thermalright.com/product/tl-c12015w-s/" TargetMode="External"/><Relationship Id="rId166" Type="http://schemas.openxmlformats.org/officeDocument/2006/relationships/hyperlink" Target="http://thermalright.com/" TargetMode="External"/><Relationship Id="rId161" Type="http://schemas.openxmlformats.org/officeDocument/2006/relationships/hyperlink" Target="http://thermalright.com/product/tl-c12015b/" TargetMode="External"/><Relationship Id="rId160" Type="http://schemas.openxmlformats.org/officeDocument/2006/relationships/hyperlink" Target="http://thermalright.com/" TargetMode="External"/><Relationship Id="rId159" Type="http://schemas.openxmlformats.org/officeDocument/2006/relationships/hyperlink" Target="http://thermalright.com/product/tl-c12015/" TargetMode="External"/><Relationship Id="rId154" Type="http://schemas.openxmlformats.org/officeDocument/2006/relationships/hyperlink" Target="https://www.silverstonetek.com/en/" TargetMode="External"/><Relationship Id="rId153" Type="http://schemas.openxmlformats.org/officeDocument/2006/relationships/hyperlink" Target="https://www.silverstonetek.com/product.php?pid=828&amp;area=usa" TargetMode="External"/><Relationship Id="rId152" Type="http://schemas.openxmlformats.org/officeDocument/2006/relationships/hyperlink" Target="https://www.silverstonetek.com/en/" TargetMode="External"/><Relationship Id="rId151" Type="http://schemas.openxmlformats.org/officeDocument/2006/relationships/hyperlink" Target="https://www.silverstonetek.com/product.php?pid=499&amp;area=usa" TargetMode="External"/><Relationship Id="rId158" Type="http://schemas.openxmlformats.org/officeDocument/2006/relationships/hyperlink" Target="http://thermalright.com/" TargetMode="External"/><Relationship Id="rId157" Type="http://schemas.openxmlformats.org/officeDocument/2006/relationships/hyperlink" Target="https://www.silverstonetek.com/product.php?pid=829&amp;area=usa" TargetMode="External"/><Relationship Id="rId156" Type="http://schemas.openxmlformats.org/officeDocument/2006/relationships/hyperlink" Target="https://www.silverstonetek.com/en/" TargetMode="External"/><Relationship Id="rId155" Type="http://schemas.openxmlformats.org/officeDocument/2006/relationships/hyperlink" Target="https://www.silverstonetek.com/product.php?pid=500&amp;area=usa" TargetMode="External"/><Relationship Id="rId107" Type="http://schemas.openxmlformats.org/officeDocument/2006/relationships/hyperlink" Target="https://www.in-win.com/en/cooling/am120s" TargetMode="External"/><Relationship Id="rId106" Type="http://schemas.openxmlformats.org/officeDocument/2006/relationships/hyperlink" Target="https://www.in-win.com/en" TargetMode="External"/><Relationship Id="rId105" Type="http://schemas.openxmlformats.org/officeDocument/2006/relationships/hyperlink" Target="https://www.idcooling.com/Product/detail/id/421/name/TF-12015-W" TargetMode="External"/><Relationship Id="rId104" Type="http://schemas.openxmlformats.org/officeDocument/2006/relationships/hyperlink" Target="http://www.idcooling.com/index.php" TargetMode="External"/><Relationship Id="rId109" Type="http://schemas.openxmlformats.org/officeDocument/2006/relationships/hyperlink" Target="https://www.jonsbo.com/en/products/HF1215.html" TargetMode="External"/><Relationship Id="rId108" Type="http://schemas.openxmlformats.org/officeDocument/2006/relationships/hyperlink" Target="http://www.jonsbo.com/en/" TargetMode="External"/><Relationship Id="rId103" Type="http://schemas.openxmlformats.org/officeDocument/2006/relationships/hyperlink" Target="https://www.idcooling.com/Product/detail/id/420/name/TF-12015-K" TargetMode="External"/><Relationship Id="rId102" Type="http://schemas.openxmlformats.org/officeDocument/2006/relationships/hyperlink" Target="http://www.idcooling.com/index.php" TargetMode="External"/><Relationship Id="rId101" Type="http://schemas.openxmlformats.org/officeDocument/2006/relationships/hyperlink" Target="http://www.idcooling.com/Product/detail/id/291/name/NO-12015-XT%20ARGB%20SNOW" TargetMode="External"/><Relationship Id="rId100" Type="http://schemas.openxmlformats.org/officeDocument/2006/relationships/hyperlink" Target="http://www.idcooling.com/index.php" TargetMode="External"/><Relationship Id="rId129" Type="http://schemas.openxmlformats.org/officeDocument/2006/relationships/hyperlink" Target="https://www.scytheus.com/kazeflex-120-slim-rgb" TargetMode="External"/><Relationship Id="rId128" Type="http://schemas.openxmlformats.org/officeDocument/2006/relationships/hyperlink" Target="http://www.scythe.com/" TargetMode="External"/><Relationship Id="rId127" Type="http://schemas.openxmlformats.org/officeDocument/2006/relationships/hyperlink" Target="https://www.scytheus.com/kazeflex-120-silm" TargetMode="External"/><Relationship Id="rId126" Type="http://schemas.openxmlformats.org/officeDocument/2006/relationships/hyperlink" Target="http://www.scythe.com/" TargetMode="External"/><Relationship Id="rId121" Type="http://schemas.openxmlformats.org/officeDocument/2006/relationships/hyperlink" Target="https://www.scytheus.com/kazeflex-120-silm" TargetMode="External"/><Relationship Id="rId120" Type="http://schemas.openxmlformats.org/officeDocument/2006/relationships/hyperlink" Target="http://www.scythe.com/" TargetMode="External"/><Relationship Id="rId125" Type="http://schemas.openxmlformats.org/officeDocument/2006/relationships/hyperlink" Target="https://www.scytheus.com/kazeflex-120-silm" TargetMode="External"/><Relationship Id="rId124" Type="http://schemas.openxmlformats.org/officeDocument/2006/relationships/hyperlink" Target="http://www.scythe.com/" TargetMode="External"/><Relationship Id="rId123" Type="http://schemas.openxmlformats.org/officeDocument/2006/relationships/hyperlink" Target="https://www.scytheus.com/kazeflex-120-silm" TargetMode="External"/><Relationship Id="rId122" Type="http://schemas.openxmlformats.org/officeDocument/2006/relationships/hyperlink" Target="http://www.scythe.com/" TargetMode="External"/><Relationship Id="rId118" Type="http://schemas.openxmlformats.org/officeDocument/2006/relationships/hyperlink" Target="http://www.prolimatech.com/index.asp" TargetMode="External"/><Relationship Id="rId117" Type="http://schemas.openxmlformats.org/officeDocument/2006/relationships/hyperlink" Target="https://noctua.at/en/nf-a12x15-pwm-chromax-black-swap" TargetMode="External"/><Relationship Id="rId116" Type="http://schemas.openxmlformats.org/officeDocument/2006/relationships/hyperlink" Target="https://noctua.at/" TargetMode="External"/><Relationship Id="rId115" Type="http://schemas.openxmlformats.org/officeDocument/2006/relationships/hyperlink" Target="https://noctua.at/en/products/fan/nf-a12x15-pwm" TargetMode="External"/><Relationship Id="rId119" Type="http://schemas.openxmlformats.org/officeDocument/2006/relationships/hyperlink" Target="http://www.prolimatech.com/en/products/detail.asp?id=2722&amp;page=1" TargetMode="External"/><Relationship Id="rId110" Type="http://schemas.openxmlformats.org/officeDocument/2006/relationships/hyperlink" Target="http://www.jonsbo.com/en/" TargetMode="External"/><Relationship Id="rId114" Type="http://schemas.openxmlformats.org/officeDocument/2006/relationships/hyperlink" Target="https://noctua.at/" TargetMode="External"/><Relationship Id="rId113" Type="http://schemas.openxmlformats.org/officeDocument/2006/relationships/hyperlink" Target="https://noctua.at/en/products/fan/nf-a12x15-flx" TargetMode="External"/><Relationship Id="rId112" Type="http://schemas.openxmlformats.org/officeDocument/2006/relationships/hyperlink" Target="https://noctua.at/" TargetMode="External"/><Relationship Id="rId111" Type="http://schemas.openxmlformats.org/officeDocument/2006/relationships/hyperlink" Target="https://www.jonsbo.com/en/products/HF1215White.html" TargetMode="External"/></Relationships>
</file>

<file path=xl/worksheets/_rels/sheet10.xml.rels><?xml version="1.0" encoding="UTF-8" standalone="yes"?><Relationships xmlns="http://schemas.openxmlformats.org/package/2006/relationships"><Relationship Id="rId392" Type="http://schemas.openxmlformats.org/officeDocument/2006/relationships/hyperlink" Target="https://www.arctic.de/en/" TargetMode="External"/><Relationship Id="rId391" Type="http://schemas.openxmlformats.org/officeDocument/2006/relationships/hyperlink" Target="https://hwbusters.com/cooling/arctic-p14-pwm-pst-140mm-fan-review/" TargetMode="External"/><Relationship Id="rId390" Type="http://schemas.openxmlformats.org/officeDocument/2006/relationships/hyperlink" Target="https://www.cybenetics.com/fansPDFs/cybenetics_Org.pdf" TargetMode="External"/><Relationship Id="rId1" Type="http://schemas.openxmlformats.org/officeDocument/2006/relationships/hyperlink" Target="https://bequiet.com/" TargetMode="External"/><Relationship Id="rId2" Type="http://schemas.openxmlformats.org/officeDocument/2006/relationships/hyperlink" Target="https://www.bequiet.com/en/casefans/618" TargetMode="External"/><Relationship Id="rId3" Type="http://schemas.openxmlformats.org/officeDocument/2006/relationships/hyperlink" Target="http://www.jonsbo.com/en/" TargetMode="External"/><Relationship Id="rId4" Type="http://schemas.openxmlformats.org/officeDocument/2006/relationships/hyperlink" Target="https://www.jonsbo.com/en/products/SL925Black.html" TargetMode="External"/><Relationship Id="rId9" Type="http://schemas.openxmlformats.org/officeDocument/2006/relationships/hyperlink" Target="http://www.jonsbo.com/en/" TargetMode="External"/><Relationship Id="rId385" Type="http://schemas.openxmlformats.org/officeDocument/2006/relationships/hyperlink" Target="https://www.arctic.de/en/P14-Max/ACFAN00287A" TargetMode="External"/><Relationship Id="rId384" Type="http://schemas.openxmlformats.org/officeDocument/2006/relationships/hyperlink" Target="https://www.arctic.de/en/" TargetMode="External"/><Relationship Id="rId383" Type="http://schemas.openxmlformats.org/officeDocument/2006/relationships/hyperlink" Target="https://www.akasa.com.tw/update.php?tpl=product/product.detail.tpl&amp;no=181&amp;type=Fans&amp;type_sub=Ultra%20Quiet%20Fan&amp;model=AK-FN117" TargetMode="External"/><Relationship Id="rId382" Type="http://schemas.openxmlformats.org/officeDocument/2006/relationships/hyperlink" Target="https://www.akasa.com.tw/index.php?lang=en" TargetMode="External"/><Relationship Id="rId5" Type="http://schemas.openxmlformats.org/officeDocument/2006/relationships/hyperlink" Target="http://www.jonsbo.com/en/" TargetMode="External"/><Relationship Id="rId389" Type="http://schemas.openxmlformats.org/officeDocument/2006/relationships/hyperlink" Target="https://www.arctic.de/en/P14-PWM-PST/ACFAN00125A/" TargetMode="External"/><Relationship Id="rId6" Type="http://schemas.openxmlformats.org/officeDocument/2006/relationships/hyperlink" Target="https://www.jonsbo.com/en/products/SL925White.html" TargetMode="External"/><Relationship Id="rId388" Type="http://schemas.openxmlformats.org/officeDocument/2006/relationships/hyperlink" Target="https://www.arctic.de/en/" TargetMode="External"/><Relationship Id="rId7" Type="http://schemas.openxmlformats.org/officeDocument/2006/relationships/hyperlink" Target="http://www.jonsbo.com/en/" TargetMode="External"/><Relationship Id="rId387" Type="http://schemas.openxmlformats.org/officeDocument/2006/relationships/hyperlink" Target="https://hwbusters.com/cooling/arctic-p14-max-140mm-review-the-best-140mm-fan/" TargetMode="External"/><Relationship Id="rId8" Type="http://schemas.openxmlformats.org/officeDocument/2006/relationships/hyperlink" Target="https://www.jonsbo.com/en/products/SL925Color.html" TargetMode="External"/><Relationship Id="rId386" Type="http://schemas.openxmlformats.org/officeDocument/2006/relationships/hyperlink" Target="https://www.cybenetics.com/fansPDFs/cybenetics_7Xn.pdf" TargetMode="External"/><Relationship Id="rId381" Type="http://schemas.openxmlformats.org/officeDocument/2006/relationships/hyperlink" Target="https://www.thermaltake.com/toughfan-12-turbo-high-static-pressure-fan-single-pack.html" TargetMode="External"/><Relationship Id="rId380" Type="http://schemas.openxmlformats.org/officeDocument/2006/relationships/hyperlink" Target="https://www.thermaltake.com/" TargetMode="External"/><Relationship Id="rId379" Type="http://schemas.openxmlformats.org/officeDocument/2006/relationships/hyperlink" Target="https://www.thermaltake.com/toughfan-12-rgb-high-static-pressure-radiator-fan-3-fan-pack.html" TargetMode="External"/><Relationship Id="rId374" Type="http://schemas.openxmlformats.org/officeDocument/2006/relationships/hyperlink" Target="https://www.thermaltake.com/" TargetMode="External"/><Relationship Id="rId373" Type="http://schemas.openxmlformats.org/officeDocument/2006/relationships/hyperlink" Target="https://www.cybenetics.com/fansPDFs/cybenetics_ESD.pdf" TargetMode="External"/><Relationship Id="rId372" Type="http://schemas.openxmlformats.org/officeDocument/2006/relationships/hyperlink" Target="https://www.thermaltake.com/toughfan-12-high-static-pressure-fan-single-pack.html" TargetMode="External"/><Relationship Id="rId371" Type="http://schemas.openxmlformats.org/officeDocument/2006/relationships/hyperlink" Target="https://www.thermaltake.com/" TargetMode="External"/><Relationship Id="rId378" Type="http://schemas.openxmlformats.org/officeDocument/2006/relationships/hyperlink" Target="https://www.thermaltake.com/" TargetMode="External"/><Relationship Id="rId377" Type="http://schemas.openxmlformats.org/officeDocument/2006/relationships/hyperlink" Target="https://hwbusters.com/cooling/thermaltake-toughfan-12-pro-fan-review/" TargetMode="External"/><Relationship Id="rId376" Type="http://schemas.openxmlformats.org/officeDocument/2006/relationships/hyperlink" Target="https://www.cybenetics.com/fansPDFs/cybenetics_r9Y.pdf" TargetMode="External"/><Relationship Id="rId375" Type="http://schemas.openxmlformats.org/officeDocument/2006/relationships/hyperlink" Target="https://www.thermaltake.com/toughfan-12-pro-pc-cooling-fan-1-pack.html" TargetMode="External"/><Relationship Id="rId396" Type="http://schemas.openxmlformats.org/officeDocument/2006/relationships/hyperlink" Target="https://www.cybenetics.com/fansPDFs/cybenetics_Wrd.pdf" TargetMode="External"/><Relationship Id="rId395" Type="http://schemas.openxmlformats.org/officeDocument/2006/relationships/hyperlink" Target="https://www.arctic.de/en/P14-PWM-PST-CO/ACFAN00126A" TargetMode="External"/><Relationship Id="rId394" Type="http://schemas.openxmlformats.org/officeDocument/2006/relationships/hyperlink" Target="https://www.arctic.de/en/" TargetMode="External"/><Relationship Id="rId393" Type="http://schemas.openxmlformats.org/officeDocument/2006/relationships/hyperlink" Target="https://www.arctic.de/en/P14-PWM-PST-A-RGB-0dB/ACFAN00239A" TargetMode="External"/><Relationship Id="rId399" Type="http://schemas.openxmlformats.org/officeDocument/2006/relationships/hyperlink" Target="https://www.arctic.de/en/P14-PWM-PST-RGB-0dB/ACFAN00238A" TargetMode="External"/><Relationship Id="rId398" Type="http://schemas.openxmlformats.org/officeDocument/2006/relationships/hyperlink" Target="https://www.arctic.de/en/" TargetMode="External"/><Relationship Id="rId397" Type="http://schemas.openxmlformats.org/officeDocument/2006/relationships/hyperlink" Target="https://hwbusters.com/cooling/arctic-p14-pwm-pst-co-review-the-budget-friendly-140mm-fan/" TargetMode="External"/><Relationship Id="rId40" Type="http://schemas.openxmlformats.org/officeDocument/2006/relationships/hyperlink" Target="https://hwbusters.com/cooling/xpg-nidec-vento-pro-120-pwm-fan-review/" TargetMode="External"/><Relationship Id="rId42" Type="http://schemas.openxmlformats.org/officeDocument/2006/relationships/hyperlink" Target="https://www.akasa.com.tw/update.php?tpl=product/product.detail.tpl&amp;no=181&amp;type=Fans&amp;type_sub=Ultra%20Quiet%20Fan&amp;model=AK-FN117" TargetMode="External"/><Relationship Id="rId41" Type="http://schemas.openxmlformats.org/officeDocument/2006/relationships/hyperlink" Target="https://www.akasa.com.tw/index.php?lang=en" TargetMode="External"/><Relationship Id="rId44" Type="http://schemas.openxmlformats.org/officeDocument/2006/relationships/hyperlink" Target="https://www.alphacool.com/en/stealth-metal-fan" TargetMode="External"/><Relationship Id="rId43" Type="http://schemas.openxmlformats.org/officeDocument/2006/relationships/hyperlink" Target="https://www.alphacool.com/en" TargetMode="External"/><Relationship Id="rId46" Type="http://schemas.openxmlformats.org/officeDocument/2006/relationships/hyperlink" Target="https://hwbusters.com/cooling/alphacool-apex-stealth-metal-120mm-fan-review/" TargetMode="External"/><Relationship Id="rId45" Type="http://schemas.openxmlformats.org/officeDocument/2006/relationships/hyperlink" Target="https://www.cybenetics.com/fansPDFs/cybenetics_wOn.pdf" TargetMode="External"/><Relationship Id="rId48" Type="http://schemas.openxmlformats.org/officeDocument/2006/relationships/hyperlink" Target="https://www.alphacool.com/en/stealth-metal-fan" TargetMode="External"/><Relationship Id="rId47" Type="http://schemas.openxmlformats.org/officeDocument/2006/relationships/hyperlink" Target="https://www.alphacool.com/en" TargetMode="External"/><Relationship Id="rId49" Type="http://schemas.openxmlformats.org/officeDocument/2006/relationships/hyperlink" Target="https://www.cybenetics.com/fansPDFs/cybenetics_3ow.pdf" TargetMode="External"/><Relationship Id="rId31" Type="http://schemas.openxmlformats.org/officeDocument/2006/relationships/hyperlink" Target="http://thermalright.com/" TargetMode="External"/><Relationship Id="rId30" Type="http://schemas.openxmlformats.org/officeDocument/2006/relationships/hyperlink" Target="http://thermalright.com/product/tl-p9/" TargetMode="External"/><Relationship Id="rId33" Type="http://schemas.openxmlformats.org/officeDocument/2006/relationships/hyperlink" Target="http://thermalright.com/" TargetMode="External"/><Relationship Id="rId32" Type="http://schemas.openxmlformats.org/officeDocument/2006/relationships/hyperlink" Target="http://thermalright.com/product/tl-p9-s/" TargetMode="External"/><Relationship Id="rId35" Type="http://schemas.openxmlformats.org/officeDocument/2006/relationships/hyperlink" Target="http://thermalright.com/" TargetMode="External"/><Relationship Id="rId34" Type="http://schemas.openxmlformats.org/officeDocument/2006/relationships/hyperlink" Target="http://thermalright.com/product/tl-p9w/" TargetMode="External"/><Relationship Id="rId37" Type="http://schemas.openxmlformats.org/officeDocument/2006/relationships/hyperlink" Target="https://www.adata.com/" TargetMode="External"/><Relationship Id="rId36" Type="http://schemas.openxmlformats.org/officeDocument/2006/relationships/hyperlink" Target="http://thermalright.com/product/tl-p9w-s/" TargetMode="External"/><Relationship Id="rId39" Type="http://schemas.openxmlformats.org/officeDocument/2006/relationships/hyperlink" Target="https://www.cybenetics.com/fansPDFs/cybenetics_NWP.pdf" TargetMode="External"/><Relationship Id="rId38" Type="http://schemas.openxmlformats.org/officeDocument/2006/relationships/hyperlink" Target="https://www.adata.com/uk/xpg/691" TargetMode="External"/><Relationship Id="rId20" Type="http://schemas.openxmlformats.org/officeDocument/2006/relationships/hyperlink" Target="https://www.scytheus.com/kazeflex-92-rgb" TargetMode="External"/><Relationship Id="rId22" Type="http://schemas.openxmlformats.org/officeDocument/2006/relationships/hyperlink" Target="http://thermalright.com/product/tl-b9/" TargetMode="External"/><Relationship Id="rId21" Type="http://schemas.openxmlformats.org/officeDocument/2006/relationships/hyperlink" Target="http://thermalright.com/" TargetMode="External"/><Relationship Id="rId24" Type="http://schemas.openxmlformats.org/officeDocument/2006/relationships/hyperlink" Target="http://thermalright.com/product/tl-b9w/" TargetMode="External"/><Relationship Id="rId23" Type="http://schemas.openxmlformats.org/officeDocument/2006/relationships/hyperlink" Target="http://thermalright.com/" TargetMode="External"/><Relationship Id="rId26" Type="http://schemas.openxmlformats.org/officeDocument/2006/relationships/hyperlink" Target="http://thermalright.com/product/tl-c9/" TargetMode="External"/><Relationship Id="rId25" Type="http://schemas.openxmlformats.org/officeDocument/2006/relationships/hyperlink" Target="http://thermalright.com/" TargetMode="External"/><Relationship Id="rId28" Type="http://schemas.openxmlformats.org/officeDocument/2006/relationships/hyperlink" Target="http://thermalright.com/product/tl-c9b/" TargetMode="External"/><Relationship Id="rId27" Type="http://schemas.openxmlformats.org/officeDocument/2006/relationships/hyperlink" Target="http://thermalright.com/" TargetMode="External"/><Relationship Id="rId29" Type="http://schemas.openxmlformats.org/officeDocument/2006/relationships/hyperlink" Target="http://thermalright.com/" TargetMode="External"/><Relationship Id="rId11" Type="http://schemas.openxmlformats.org/officeDocument/2006/relationships/hyperlink" Target="https://noctua.at/" TargetMode="External"/><Relationship Id="rId10" Type="http://schemas.openxmlformats.org/officeDocument/2006/relationships/hyperlink" Target="https://www.jonsbo.com/en/products/SL925ColorWhite.html" TargetMode="External"/><Relationship Id="rId13" Type="http://schemas.openxmlformats.org/officeDocument/2006/relationships/hyperlink" Target="https://noctua.at/" TargetMode="External"/><Relationship Id="rId12" Type="http://schemas.openxmlformats.org/officeDocument/2006/relationships/hyperlink" Target="https://noctua.at/en/products/fan/nf-a9-pwm" TargetMode="External"/><Relationship Id="rId15" Type="http://schemas.openxmlformats.org/officeDocument/2006/relationships/hyperlink" Target="https://noctua.at/" TargetMode="External"/><Relationship Id="rId14" Type="http://schemas.openxmlformats.org/officeDocument/2006/relationships/hyperlink" Target="https://noctua.at/en/products/fan/nf-a9-pwm-chromax-black-swap" TargetMode="External"/><Relationship Id="rId17" Type="http://schemas.openxmlformats.org/officeDocument/2006/relationships/hyperlink" Target="http://www.scythe.com/" TargetMode="External"/><Relationship Id="rId16" Type="http://schemas.openxmlformats.org/officeDocument/2006/relationships/hyperlink" Target="https://noctua.at/en/nf-b9-redux-1600-pwm" TargetMode="External"/><Relationship Id="rId19" Type="http://schemas.openxmlformats.org/officeDocument/2006/relationships/hyperlink" Target="http://www.scythe.com/" TargetMode="External"/><Relationship Id="rId18" Type="http://schemas.openxmlformats.org/officeDocument/2006/relationships/hyperlink" Target="https://www.scytheus.com/kazeflex-92" TargetMode="External"/><Relationship Id="rId84" Type="http://schemas.openxmlformats.org/officeDocument/2006/relationships/hyperlink" Target="https://www.bequiet.com/en/casefans/3701" TargetMode="External"/><Relationship Id="rId83" Type="http://schemas.openxmlformats.org/officeDocument/2006/relationships/hyperlink" Target="https://bequiet.com/" TargetMode="External"/><Relationship Id="rId86" Type="http://schemas.openxmlformats.org/officeDocument/2006/relationships/hyperlink" Target="https://www.bequiet.com/en/casefans/5006" TargetMode="External"/><Relationship Id="rId85" Type="http://schemas.openxmlformats.org/officeDocument/2006/relationships/hyperlink" Target="https://bequiet.com/" TargetMode="External"/><Relationship Id="rId88" Type="http://schemas.openxmlformats.org/officeDocument/2006/relationships/hyperlink" Target="https://hwbusters.com/cooling/be-quiet-silent-wings-4-120mm-high-speed-white-fan-review/" TargetMode="External"/><Relationship Id="rId87" Type="http://schemas.openxmlformats.org/officeDocument/2006/relationships/hyperlink" Target="https://www.cybenetics.com/fansPDFs/cybenetics_i9B.pdf" TargetMode="External"/><Relationship Id="rId89" Type="http://schemas.openxmlformats.org/officeDocument/2006/relationships/hyperlink" Target="https://bequiet.com/" TargetMode="External"/><Relationship Id="rId80" Type="http://schemas.openxmlformats.org/officeDocument/2006/relationships/hyperlink" Target="https://bequiet.com/" TargetMode="External"/><Relationship Id="rId82" Type="http://schemas.openxmlformats.org/officeDocument/2006/relationships/hyperlink" Target="https://www.cybenetics.com/fansPDFs/cybenetics_aJw.pdf" TargetMode="External"/><Relationship Id="rId81" Type="http://schemas.openxmlformats.org/officeDocument/2006/relationships/hyperlink" Target="https://www.bequiet.com/en/casefans/3700" TargetMode="External"/><Relationship Id="rId73" Type="http://schemas.openxmlformats.org/officeDocument/2006/relationships/hyperlink" Target="https://www.bequiet.com/en/casefans/4606" TargetMode="External"/><Relationship Id="rId72" Type="http://schemas.openxmlformats.org/officeDocument/2006/relationships/hyperlink" Target="https://bequiet.com/" TargetMode="External"/><Relationship Id="rId75" Type="http://schemas.openxmlformats.org/officeDocument/2006/relationships/hyperlink" Target="https://www.bequiet.com/en/casefans/4607" TargetMode="External"/><Relationship Id="rId74" Type="http://schemas.openxmlformats.org/officeDocument/2006/relationships/hyperlink" Target="https://bequiet.com/" TargetMode="External"/><Relationship Id="rId77" Type="http://schemas.openxmlformats.org/officeDocument/2006/relationships/hyperlink" Target="https://bequiet.com/" TargetMode="External"/><Relationship Id="rId76" Type="http://schemas.openxmlformats.org/officeDocument/2006/relationships/hyperlink" Target="https://www.cybenetics.com/fansPDFs/cybenetics_5DJ.pdf" TargetMode="External"/><Relationship Id="rId79" Type="http://schemas.openxmlformats.org/officeDocument/2006/relationships/hyperlink" Target="https://bequiet.com/" TargetMode="External"/><Relationship Id="rId78" Type="http://schemas.openxmlformats.org/officeDocument/2006/relationships/hyperlink" Target="https://www.cybenetics.com/fansPDFs/cybenetics_RTe.pdf" TargetMode="External"/><Relationship Id="rId71" Type="http://schemas.openxmlformats.org/officeDocument/2006/relationships/hyperlink" Target="https://www.cybenetics.com/fansPDFs/cybenetics_2VH.pdf" TargetMode="External"/><Relationship Id="rId70" Type="http://schemas.openxmlformats.org/officeDocument/2006/relationships/hyperlink" Target="https://www.bequiet.com/en/casefans/3454" TargetMode="External"/><Relationship Id="rId62" Type="http://schemas.openxmlformats.org/officeDocument/2006/relationships/hyperlink" Target="https://hwbusters.com/cooling/arctic-p12-pwm-pst-fan-review/" TargetMode="External"/><Relationship Id="rId61" Type="http://schemas.openxmlformats.org/officeDocument/2006/relationships/hyperlink" Target="https://www.cybenetics.com/fansPDFs/cybenetics_wNj.pdf" TargetMode="External"/><Relationship Id="rId64" Type="http://schemas.openxmlformats.org/officeDocument/2006/relationships/hyperlink" Target="https://www.arctic.de/en/P12-PWM-PST-RGB-0dB/ACFAN00186A" TargetMode="External"/><Relationship Id="rId63" Type="http://schemas.openxmlformats.org/officeDocument/2006/relationships/hyperlink" Target="https://www.arctic.de/en/" TargetMode="External"/><Relationship Id="rId66" Type="http://schemas.openxmlformats.org/officeDocument/2006/relationships/hyperlink" Target="https://www.arctic.de/en/P12-PWM-PST-A-RGB-0dB/ACFAN00231A" TargetMode="External"/><Relationship Id="rId65" Type="http://schemas.openxmlformats.org/officeDocument/2006/relationships/hyperlink" Target="https://www.arctic.de/en/" TargetMode="External"/><Relationship Id="rId68" Type="http://schemas.openxmlformats.org/officeDocument/2006/relationships/hyperlink" Target="https://www.bequiet.com/en/casefans/3450" TargetMode="External"/><Relationship Id="rId67" Type="http://schemas.openxmlformats.org/officeDocument/2006/relationships/hyperlink" Target="https://bequiet.com/" TargetMode="External"/><Relationship Id="rId60" Type="http://schemas.openxmlformats.org/officeDocument/2006/relationships/hyperlink" Target="https://www.arctic.de/en/P12-PWM-PST/ACFAN00120A" TargetMode="External"/><Relationship Id="rId69" Type="http://schemas.openxmlformats.org/officeDocument/2006/relationships/hyperlink" Target="https://bequiet.com/" TargetMode="External"/><Relationship Id="rId51" Type="http://schemas.openxmlformats.org/officeDocument/2006/relationships/hyperlink" Target="https://www.arctic.de/en/" TargetMode="External"/><Relationship Id="rId50" Type="http://schemas.openxmlformats.org/officeDocument/2006/relationships/hyperlink" Target="https://hwbusters.com/cooling/alphacool-apex-stealth-metal-power-120mm-fan-review/" TargetMode="External"/><Relationship Id="rId53" Type="http://schemas.openxmlformats.org/officeDocument/2006/relationships/hyperlink" Target="https://www.cybenetics.com/fansPDFs/cybenetics_OpE.pdf" TargetMode="External"/><Relationship Id="rId52" Type="http://schemas.openxmlformats.org/officeDocument/2006/relationships/hyperlink" Target="https://www.arctic.de/en/P12-Max/ACFAN00280A" TargetMode="External"/><Relationship Id="rId55" Type="http://schemas.openxmlformats.org/officeDocument/2006/relationships/hyperlink" Target="https://www.arctic.de/en/" TargetMode="External"/><Relationship Id="rId54" Type="http://schemas.openxmlformats.org/officeDocument/2006/relationships/hyperlink" Target="https://hwbusters.com/cooling/arctic-p12-max-fan-review/" TargetMode="External"/><Relationship Id="rId57" Type="http://schemas.openxmlformats.org/officeDocument/2006/relationships/hyperlink" Target="https://www.cybenetics.com/fansPDFs/cybenetics_R5C.pdf" TargetMode="External"/><Relationship Id="rId56" Type="http://schemas.openxmlformats.org/officeDocument/2006/relationships/hyperlink" Target="https://www.arctic.de/en/P12-Max/ACFAN00293A" TargetMode="External"/><Relationship Id="rId59" Type="http://schemas.openxmlformats.org/officeDocument/2006/relationships/hyperlink" Target="https://www.arctic.de/en/" TargetMode="External"/><Relationship Id="rId58" Type="http://schemas.openxmlformats.org/officeDocument/2006/relationships/hyperlink" Target="https://hwbusters.com/cooling/arctic-p12-max-showdown-black-dbb-vs-white-fdb/" TargetMode="External"/><Relationship Id="rId349" Type="http://schemas.openxmlformats.org/officeDocument/2006/relationships/hyperlink" Target="http://thermalright.com/" TargetMode="External"/><Relationship Id="rId348" Type="http://schemas.openxmlformats.org/officeDocument/2006/relationships/hyperlink" Target="http://thermalright.com/product/tl-b12-extrem/" TargetMode="External"/><Relationship Id="rId347" Type="http://schemas.openxmlformats.org/officeDocument/2006/relationships/hyperlink" Target="http://thermalright.com/" TargetMode="External"/><Relationship Id="rId346" Type="http://schemas.openxmlformats.org/officeDocument/2006/relationships/hyperlink" Target="http://thermalright.com/product/tl-b12w-s-x3/" TargetMode="External"/><Relationship Id="rId341" Type="http://schemas.openxmlformats.org/officeDocument/2006/relationships/hyperlink" Target="http://thermalright.com/product/tl-b12rw-s/" TargetMode="External"/><Relationship Id="rId340" Type="http://schemas.openxmlformats.org/officeDocument/2006/relationships/hyperlink" Target="http://thermalright.com/" TargetMode="External"/><Relationship Id="rId345" Type="http://schemas.openxmlformats.org/officeDocument/2006/relationships/hyperlink" Target="http://thermalright.com/" TargetMode="External"/><Relationship Id="rId344" Type="http://schemas.openxmlformats.org/officeDocument/2006/relationships/hyperlink" Target="http://thermalright.com/" TargetMode="External"/><Relationship Id="rId343" Type="http://schemas.openxmlformats.org/officeDocument/2006/relationships/hyperlink" Target="http://thermalright.com/product/tl-b12s-x3/" TargetMode="External"/><Relationship Id="rId342" Type="http://schemas.openxmlformats.org/officeDocument/2006/relationships/hyperlink" Target="http://thermalright.com/" TargetMode="External"/><Relationship Id="rId338" Type="http://schemas.openxmlformats.org/officeDocument/2006/relationships/hyperlink" Target="http://thermalright.com/" TargetMode="External"/><Relationship Id="rId337" Type="http://schemas.openxmlformats.org/officeDocument/2006/relationships/hyperlink" Target="http://thermalright.com/product/tl-b12/" TargetMode="External"/><Relationship Id="rId336" Type="http://schemas.openxmlformats.org/officeDocument/2006/relationships/hyperlink" Target="http://thermalright.com/" TargetMode="External"/><Relationship Id="rId335" Type="http://schemas.openxmlformats.org/officeDocument/2006/relationships/hyperlink" Target="https://www.silverstonetek.com/en/product/info/fans/vs120b_f/" TargetMode="External"/><Relationship Id="rId339" Type="http://schemas.openxmlformats.org/officeDocument/2006/relationships/hyperlink" Target="http://thermalright.com/product/tl-b12r-s/" TargetMode="External"/><Relationship Id="rId330" Type="http://schemas.openxmlformats.org/officeDocument/2006/relationships/hyperlink" Target="https://www.silverstonetek.com/en/product/info/fans/vs120b/" TargetMode="External"/><Relationship Id="rId334" Type="http://schemas.openxmlformats.org/officeDocument/2006/relationships/hyperlink" Target="https://www.silverstonetek.com/en/" TargetMode="External"/><Relationship Id="rId333" Type="http://schemas.openxmlformats.org/officeDocument/2006/relationships/hyperlink" Target="https://www.cybenetics.com/fansPDFs/cybenetics_XFj.pdf" TargetMode="External"/><Relationship Id="rId332" Type="http://schemas.openxmlformats.org/officeDocument/2006/relationships/hyperlink" Target="https://www.silverstonetek.com/en/product/info/fans/vs120b_argb/" TargetMode="External"/><Relationship Id="rId331" Type="http://schemas.openxmlformats.org/officeDocument/2006/relationships/hyperlink" Target="https://www.silverstonetek.com/en/" TargetMode="External"/><Relationship Id="rId370" Type="http://schemas.openxmlformats.org/officeDocument/2006/relationships/hyperlink" Target="https://item.jd.com/100016354504.html" TargetMode="External"/><Relationship Id="rId369" Type="http://schemas.openxmlformats.org/officeDocument/2006/relationships/hyperlink" Target="https://www.thermaltake.com/" TargetMode="External"/><Relationship Id="rId368" Type="http://schemas.openxmlformats.org/officeDocument/2006/relationships/hyperlink" Target="http://thermalright.com/product/tl-s12w/" TargetMode="External"/><Relationship Id="rId363" Type="http://schemas.openxmlformats.org/officeDocument/2006/relationships/hyperlink" Target="http://thermalright.com/" TargetMode="External"/><Relationship Id="rId362" Type="http://schemas.openxmlformats.org/officeDocument/2006/relationships/hyperlink" Target="http://thermalright.com/product/tl-k12/" TargetMode="External"/><Relationship Id="rId361" Type="http://schemas.openxmlformats.org/officeDocument/2006/relationships/hyperlink" Target="http://thermalright.com/" TargetMode="External"/><Relationship Id="rId360" Type="http://schemas.openxmlformats.org/officeDocument/2006/relationships/hyperlink" Target="https://detail.tmall.com/item_o.htm?id=694848465735" TargetMode="External"/><Relationship Id="rId367" Type="http://schemas.openxmlformats.org/officeDocument/2006/relationships/hyperlink" Target="http://thermalright.com/" TargetMode="External"/><Relationship Id="rId366" Type="http://schemas.openxmlformats.org/officeDocument/2006/relationships/hyperlink" Target="http://thermalright.com/product/tl-s12/" TargetMode="External"/><Relationship Id="rId365" Type="http://schemas.openxmlformats.org/officeDocument/2006/relationships/hyperlink" Target="http://thermalright.com/" TargetMode="External"/><Relationship Id="rId364" Type="http://schemas.openxmlformats.org/officeDocument/2006/relationships/hyperlink" Target="http://thermalright.com/product/tl-k12w/" TargetMode="External"/><Relationship Id="rId95" Type="http://schemas.openxmlformats.org/officeDocument/2006/relationships/hyperlink" Target="https://www.cybenetics.com/fansPDFs/cybenetics_w4j.pdf" TargetMode="External"/><Relationship Id="rId94" Type="http://schemas.openxmlformats.org/officeDocument/2006/relationships/hyperlink" Target="https://www.bequiet.com/en/casefans/5003" TargetMode="External"/><Relationship Id="rId97" Type="http://schemas.openxmlformats.org/officeDocument/2006/relationships/hyperlink" Target="https://www.bequiet.com/en/casefans/5003" TargetMode="External"/><Relationship Id="rId96" Type="http://schemas.openxmlformats.org/officeDocument/2006/relationships/hyperlink" Target="https://bequiet.com/" TargetMode="External"/><Relationship Id="rId99" Type="http://schemas.openxmlformats.org/officeDocument/2006/relationships/hyperlink" Target="https://bequiet.com/" TargetMode="External"/><Relationship Id="rId98" Type="http://schemas.openxmlformats.org/officeDocument/2006/relationships/hyperlink" Target="https://www.cybenetics.com/fansPDFs/cybenetics_q8e.pdf" TargetMode="External"/><Relationship Id="rId91" Type="http://schemas.openxmlformats.org/officeDocument/2006/relationships/hyperlink" Target="https://www.cybenetics.com/fansPDFs/cybenetics_CPh.pdf" TargetMode="External"/><Relationship Id="rId90" Type="http://schemas.openxmlformats.org/officeDocument/2006/relationships/hyperlink" Target="https://www.bequiet.com/en/casefans/3705" TargetMode="External"/><Relationship Id="rId93" Type="http://schemas.openxmlformats.org/officeDocument/2006/relationships/hyperlink" Target="https://bequiet.com/" TargetMode="External"/><Relationship Id="rId92" Type="http://schemas.openxmlformats.org/officeDocument/2006/relationships/hyperlink" Target="https://hwbusters.com/cooling/be-quiet-silent-wings-pro-4-120mm-fan-review/" TargetMode="External"/><Relationship Id="rId359" Type="http://schemas.openxmlformats.org/officeDocument/2006/relationships/hyperlink" Target="http://thermalright.com/" TargetMode="External"/><Relationship Id="rId358" Type="http://schemas.openxmlformats.org/officeDocument/2006/relationships/hyperlink" Target="http://thermalright.com/product/tl-e12b-extrem/" TargetMode="External"/><Relationship Id="rId357" Type="http://schemas.openxmlformats.org/officeDocument/2006/relationships/hyperlink" Target="http://thermalright.com/" TargetMode="External"/><Relationship Id="rId352" Type="http://schemas.openxmlformats.org/officeDocument/2006/relationships/hyperlink" Target="http://thermalright.com/product/tl-c12-pro/" TargetMode="External"/><Relationship Id="rId351" Type="http://schemas.openxmlformats.org/officeDocument/2006/relationships/hyperlink" Target="http://thermalright.com/" TargetMode="External"/><Relationship Id="rId350" Type="http://schemas.openxmlformats.org/officeDocument/2006/relationships/hyperlink" Target="http://thermalright.com/product/tl-b12-extrem-lcp/" TargetMode="External"/><Relationship Id="rId356" Type="http://schemas.openxmlformats.org/officeDocument/2006/relationships/hyperlink" Target="http://thermalright.com/product/tl-e12/" TargetMode="External"/><Relationship Id="rId355" Type="http://schemas.openxmlformats.org/officeDocument/2006/relationships/hyperlink" Target="http://thermalright.com/" TargetMode="External"/><Relationship Id="rId354" Type="http://schemas.openxmlformats.org/officeDocument/2006/relationships/hyperlink" Target="http://thermalright.com/product/tl-c12pro-w/" TargetMode="External"/><Relationship Id="rId353" Type="http://schemas.openxmlformats.org/officeDocument/2006/relationships/hyperlink" Target="http://thermalright.com/" TargetMode="External"/><Relationship Id="rId305" Type="http://schemas.openxmlformats.org/officeDocument/2006/relationships/hyperlink" Target="https://www.scytheus.com/kazeflex-120-rgb" TargetMode="External"/><Relationship Id="rId304" Type="http://schemas.openxmlformats.org/officeDocument/2006/relationships/hyperlink" Target="http://www.scythe.com/" TargetMode="External"/><Relationship Id="rId303" Type="http://schemas.openxmlformats.org/officeDocument/2006/relationships/hyperlink" Target="https://www.scytheus.com/kazeflex-120-black" TargetMode="External"/><Relationship Id="rId302" Type="http://schemas.openxmlformats.org/officeDocument/2006/relationships/hyperlink" Target="http://www.scythe.com/" TargetMode="External"/><Relationship Id="rId309" Type="http://schemas.openxmlformats.org/officeDocument/2006/relationships/hyperlink" Target="https://www.scytheus.com/kazeflexii-120" TargetMode="External"/><Relationship Id="rId308" Type="http://schemas.openxmlformats.org/officeDocument/2006/relationships/hyperlink" Target="http://www.scythe.com/" TargetMode="External"/><Relationship Id="rId307" Type="http://schemas.openxmlformats.org/officeDocument/2006/relationships/hyperlink" Target="https://www.scytheus.com/kazeflexii-120" TargetMode="External"/><Relationship Id="rId306" Type="http://schemas.openxmlformats.org/officeDocument/2006/relationships/hyperlink" Target="http://www.scythe.com/" TargetMode="External"/><Relationship Id="rId301" Type="http://schemas.openxmlformats.org/officeDocument/2006/relationships/hyperlink" Target="https://www.scytheus.com/kazeflex-120-argb" TargetMode="External"/><Relationship Id="rId300" Type="http://schemas.openxmlformats.org/officeDocument/2006/relationships/hyperlink" Target="http://www.scythe.com/" TargetMode="External"/><Relationship Id="rId327" Type="http://schemas.openxmlformats.org/officeDocument/2006/relationships/hyperlink" Target="https://www.cybenetics.com/fansPDFs/cybenetics_Y3h.pdf" TargetMode="External"/><Relationship Id="rId326" Type="http://schemas.openxmlformats.org/officeDocument/2006/relationships/hyperlink" Target="https://www.silverstonetek.com/product.php?pid=1046&amp;bno=53&amp;tb=101&amp;area=en" TargetMode="External"/><Relationship Id="rId325" Type="http://schemas.openxmlformats.org/officeDocument/2006/relationships/hyperlink" Target="https://www.silverstonetek.com/en/" TargetMode="External"/><Relationship Id="rId324" Type="http://schemas.openxmlformats.org/officeDocument/2006/relationships/hyperlink" Target="https://www.silverstonetek.com/en/product/info/fans/SF120B/" TargetMode="External"/><Relationship Id="rId329" Type="http://schemas.openxmlformats.org/officeDocument/2006/relationships/hyperlink" Target="https://www.silverstonetek.com/en/" TargetMode="External"/><Relationship Id="rId328" Type="http://schemas.openxmlformats.org/officeDocument/2006/relationships/hyperlink" Target="https://hwbusters.com/cooling/silverstone-shark-force-120-argb-fan-review/" TargetMode="External"/><Relationship Id="rId323" Type="http://schemas.openxmlformats.org/officeDocument/2006/relationships/hyperlink" Target="https://www.silverstonetek.com/en/" TargetMode="External"/><Relationship Id="rId322" Type="http://schemas.openxmlformats.org/officeDocument/2006/relationships/hyperlink" Target="https://www.cybenetics.com/fansPDFs/cybenetics_Ox0.pdf" TargetMode="External"/><Relationship Id="rId321" Type="http://schemas.openxmlformats.org/officeDocument/2006/relationships/hyperlink" Target="https://www.silverstonetek.com/en/product/info/fans/AP120SK_ARGB/" TargetMode="External"/><Relationship Id="rId320" Type="http://schemas.openxmlformats.org/officeDocument/2006/relationships/hyperlink" Target="https://www.silverstonetek.com/en/" TargetMode="External"/><Relationship Id="rId316" Type="http://schemas.openxmlformats.org/officeDocument/2006/relationships/hyperlink" Target="http://www.scythe.com/" TargetMode="External"/><Relationship Id="rId315" Type="http://schemas.openxmlformats.org/officeDocument/2006/relationships/hyperlink" Target="https://www.scytheus.com/wonder-snail-120" TargetMode="External"/><Relationship Id="rId314" Type="http://schemas.openxmlformats.org/officeDocument/2006/relationships/hyperlink" Target="http://www.scythe.com/" TargetMode="External"/><Relationship Id="rId313" Type="http://schemas.openxmlformats.org/officeDocument/2006/relationships/hyperlink" Target="https://www.scytheus.com/wonder-snail-120" TargetMode="External"/><Relationship Id="rId319" Type="http://schemas.openxmlformats.org/officeDocument/2006/relationships/hyperlink" Target="https://www.scytheus.com/wonder-tornado-120" TargetMode="External"/><Relationship Id="rId318" Type="http://schemas.openxmlformats.org/officeDocument/2006/relationships/hyperlink" Target="http://www.scythe.com/" TargetMode="External"/><Relationship Id="rId317" Type="http://schemas.openxmlformats.org/officeDocument/2006/relationships/hyperlink" Target="https://www.scytheus.com/wonder-snail-120" TargetMode="External"/><Relationship Id="rId312" Type="http://schemas.openxmlformats.org/officeDocument/2006/relationships/hyperlink" Target="http://www.scythe.com/" TargetMode="External"/><Relationship Id="rId311" Type="http://schemas.openxmlformats.org/officeDocument/2006/relationships/hyperlink" Target="https://www.scytheus.com/kazeflexii-120" TargetMode="External"/><Relationship Id="rId310" Type="http://schemas.openxmlformats.org/officeDocument/2006/relationships/hyperlink" Target="http://www.scythe.com/" TargetMode="External"/><Relationship Id="rId297" Type="http://schemas.openxmlformats.org/officeDocument/2006/relationships/hyperlink" Target="https://www.scytheus.com/kazeflex-120" TargetMode="External"/><Relationship Id="rId296" Type="http://schemas.openxmlformats.org/officeDocument/2006/relationships/hyperlink" Target="http://www.scythe.com/" TargetMode="External"/><Relationship Id="rId295" Type="http://schemas.openxmlformats.org/officeDocument/2006/relationships/hyperlink" Target="https://hwbusters.com/cooling/scythe-grand-tornado-120mm-fan-review/" TargetMode="External"/><Relationship Id="rId294" Type="http://schemas.openxmlformats.org/officeDocument/2006/relationships/hyperlink" Target="https://www.cybenetics.com/fansPDFs/cybenetics_cTn.pdf" TargetMode="External"/><Relationship Id="rId299" Type="http://schemas.openxmlformats.org/officeDocument/2006/relationships/hyperlink" Target="https://www.scytheus.com/kazeflex-120" TargetMode="External"/><Relationship Id="rId298" Type="http://schemas.openxmlformats.org/officeDocument/2006/relationships/hyperlink" Target="http://www.scythe.com/" TargetMode="External"/><Relationship Id="rId271" Type="http://schemas.openxmlformats.org/officeDocument/2006/relationships/hyperlink" Target="https://phanteks.com/PH-F120M25-BBK.html" TargetMode="External"/><Relationship Id="rId270" Type="http://schemas.openxmlformats.org/officeDocument/2006/relationships/hyperlink" Target="http://www.phanteks.com/" TargetMode="External"/><Relationship Id="rId269" Type="http://schemas.openxmlformats.org/officeDocument/2006/relationships/hyperlink" Target="https://www.phanteks.com/PH-F120D30.html" TargetMode="External"/><Relationship Id="rId264" Type="http://schemas.openxmlformats.org/officeDocument/2006/relationships/hyperlink" Target="https://www.blacknoise.com/site/en/home.php" TargetMode="External"/><Relationship Id="rId263" Type="http://schemas.openxmlformats.org/officeDocument/2006/relationships/hyperlink" Target="https://www.blacknoise.com/site/en/products/noiseblocker-it-fans/nb-eloop-series/120x120x25mm.php" TargetMode="External"/><Relationship Id="rId262" Type="http://schemas.openxmlformats.org/officeDocument/2006/relationships/hyperlink" Target="https://www.blacknoise.com/site/en/home.php" TargetMode="External"/><Relationship Id="rId261" Type="http://schemas.openxmlformats.org/officeDocument/2006/relationships/hyperlink" Target="https://www.blacknoise.com/site/en/products/noiseblocker-it-fans/nb-eloop-series/120x120x25mm.php" TargetMode="External"/><Relationship Id="rId268" Type="http://schemas.openxmlformats.org/officeDocument/2006/relationships/hyperlink" Target="http://www.phanteks.com/" TargetMode="External"/><Relationship Id="rId267" Type="http://schemas.openxmlformats.org/officeDocument/2006/relationships/hyperlink" Target="https://www.blacknoise.com/site/en/products/noiseblocker-led-modding/nb-eloop-x-series/120x120x25mm.php" TargetMode="External"/><Relationship Id="rId266" Type="http://schemas.openxmlformats.org/officeDocument/2006/relationships/hyperlink" Target="https://www.blacknoise.com/site/en/home.php" TargetMode="External"/><Relationship Id="rId265" Type="http://schemas.openxmlformats.org/officeDocument/2006/relationships/hyperlink" Target="https://www.blacknoise.com/site/en/products/noiseblocker-led-modding/nb-eloop-x-series/120x120x25mm.php" TargetMode="External"/><Relationship Id="rId260" Type="http://schemas.openxmlformats.org/officeDocument/2006/relationships/hyperlink" Target="https://www.blacknoise.com/site/en/home.php" TargetMode="External"/><Relationship Id="rId259" Type="http://schemas.openxmlformats.org/officeDocument/2006/relationships/hyperlink" Target="https://noctua.at/en/nf-p12-redux-1700-pwm" TargetMode="External"/><Relationship Id="rId258" Type="http://schemas.openxmlformats.org/officeDocument/2006/relationships/hyperlink" Target="https://noctua.at/" TargetMode="External"/><Relationship Id="rId253" Type="http://schemas.openxmlformats.org/officeDocument/2006/relationships/hyperlink" Target="https://www.cybenetics.com/fansPDFs/cybenetics_hRW.pdf" TargetMode="External"/><Relationship Id="rId252" Type="http://schemas.openxmlformats.org/officeDocument/2006/relationships/hyperlink" Target="https://noctua.at/en/products/fan/nf-f12-pwm" TargetMode="External"/><Relationship Id="rId251" Type="http://schemas.openxmlformats.org/officeDocument/2006/relationships/hyperlink" Target="https://noctua.at/" TargetMode="External"/><Relationship Id="rId250" Type="http://schemas.openxmlformats.org/officeDocument/2006/relationships/hyperlink" Target="https://noctua.at/en/products/fan/nf-a12x25-pwm-chromax-black-swap" TargetMode="External"/><Relationship Id="rId257" Type="http://schemas.openxmlformats.org/officeDocument/2006/relationships/hyperlink" Target="https://noctua.at/en/nf-f12-industrialppc-3000-pwm" TargetMode="External"/><Relationship Id="rId256" Type="http://schemas.openxmlformats.org/officeDocument/2006/relationships/hyperlink" Target="https://noctua.at/" TargetMode="External"/><Relationship Id="rId255" Type="http://schemas.openxmlformats.org/officeDocument/2006/relationships/hyperlink" Target="https://noctua.at/en/nf-f12-industrialppc-2000-pwm" TargetMode="External"/><Relationship Id="rId254" Type="http://schemas.openxmlformats.org/officeDocument/2006/relationships/hyperlink" Target="https://noctua.at/" TargetMode="External"/><Relationship Id="rId293" Type="http://schemas.openxmlformats.org/officeDocument/2006/relationships/hyperlink" Target="https://www.scytheus.com/grand-tornado-120" TargetMode="External"/><Relationship Id="rId292" Type="http://schemas.openxmlformats.org/officeDocument/2006/relationships/hyperlink" Target="http://www.scythe.com/" TargetMode="External"/><Relationship Id="rId291" Type="http://schemas.openxmlformats.org/officeDocument/2006/relationships/hyperlink" Target="https://www.scytheus.com/grand-tornado-120" TargetMode="External"/><Relationship Id="rId290" Type="http://schemas.openxmlformats.org/officeDocument/2006/relationships/hyperlink" Target="http://www.scythe.com/" TargetMode="External"/><Relationship Id="rId286" Type="http://schemas.openxmlformats.org/officeDocument/2006/relationships/hyperlink" Target="http://www.phanteks.com/" TargetMode="External"/><Relationship Id="rId285" Type="http://schemas.openxmlformats.org/officeDocument/2006/relationships/hyperlink" Target="https://hwbusters.com/cooling/phanteks-t30-120-cooling-fan-review/" TargetMode="External"/><Relationship Id="rId284" Type="http://schemas.openxmlformats.org/officeDocument/2006/relationships/hyperlink" Target="https://www.cybenetics.com/fansPDFs/cybenetics_FFa.pdf" TargetMode="External"/><Relationship Id="rId283" Type="http://schemas.openxmlformats.org/officeDocument/2006/relationships/hyperlink" Target="http://www.phanteks.com/PH-F120T30.html" TargetMode="External"/><Relationship Id="rId289" Type="http://schemas.openxmlformats.org/officeDocument/2006/relationships/hyperlink" Target="https://hwbusters.com/cooling/phanteks-t30-120-cooling-fan-review/" TargetMode="External"/><Relationship Id="rId288" Type="http://schemas.openxmlformats.org/officeDocument/2006/relationships/hyperlink" Target="https://www.cybenetics.com/fansPDFs/cybenetics_edH.pdf" TargetMode="External"/><Relationship Id="rId287" Type="http://schemas.openxmlformats.org/officeDocument/2006/relationships/hyperlink" Target="http://www.phanteks.com/PH-F120T30.html" TargetMode="External"/><Relationship Id="rId282" Type="http://schemas.openxmlformats.org/officeDocument/2006/relationships/hyperlink" Target="http://www.phanteks.com/" TargetMode="External"/><Relationship Id="rId281" Type="http://schemas.openxmlformats.org/officeDocument/2006/relationships/hyperlink" Target="https://hwbusters.com/cooling/phanteks-t30-120-cooling-fan-review/" TargetMode="External"/><Relationship Id="rId280" Type="http://schemas.openxmlformats.org/officeDocument/2006/relationships/hyperlink" Target="https://www.cybenetics.com/fansPDFs/cybenetics_nBf.pdf" TargetMode="External"/><Relationship Id="rId275" Type="http://schemas.openxmlformats.org/officeDocument/2006/relationships/hyperlink" Target="http://www.phanteks.com/PH-F120SK-BBK.html" TargetMode="External"/><Relationship Id="rId274" Type="http://schemas.openxmlformats.org/officeDocument/2006/relationships/hyperlink" Target="http://www.phanteks.com/" TargetMode="External"/><Relationship Id="rId273" Type="http://schemas.openxmlformats.org/officeDocument/2006/relationships/hyperlink" Target="https://phanteks.com/PH-F120M25-DRGB.html" TargetMode="External"/><Relationship Id="rId272" Type="http://schemas.openxmlformats.org/officeDocument/2006/relationships/hyperlink" Target="http://www.phanteks.com/" TargetMode="External"/><Relationship Id="rId279" Type="http://schemas.openxmlformats.org/officeDocument/2006/relationships/hyperlink" Target="http://www.phanteks.com/PH-F120T30.html" TargetMode="External"/><Relationship Id="rId278" Type="http://schemas.openxmlformats.org/officeDocument/2006/relationships/hyperlink" Target="http://www.phanteks.com/" TargetMode="External"/><Relationship Id="rId277" Type="http://schemas.openxmlformats.org/officeDocument/2006/relationships/hyperlink" Target="http://www.phanteks.com/PH-F120SK-DRGB.html" TargetMode="External"/><Relationship Id="rId276" Type="http://schemas.openxmlformats.org/officeDocument/2006/relationships/hyperlink" Target="http://www.phanteks.com/" TargetMode="External"/><Relationship Id="rId228" Type="http://schemas.openxmlformats.org/officeDocument/2006/relationships/hyperlink" Target="https://lian-li.com/product/uni-fan-tl/" TargetMode="External"/><Relationship Id="rId227" Type="http://schemas.openxmlformats.org/officeDocument/2006/relationships/hyperlink" Target="https://lian-li.com/" TargetMode="External"/><Relationship Id="rId226" Type="http://schemas.openxmlformats.org/officeDocument/2006/relationships/hyperlink" Target="https://lian-li.com/product/uni-fan-p28/?cn-reloaded=1" TargetMode="External"/><Relationship Id="rId225" Type="http://schemas.openxmlformats.org/officeDocument/2006/relationships/hyperlink" Target="https://lian-li.com/" TargetMode="External"/><Relationship Id="rId229" Type="http://schemas.openxmlformats.org/officeDocument/2006/relationships/hyperlink" Target="https://www.cybenetics.com/fansPDFs/cybenetics_DFr.pdf" TargetMode="External"/><Relationship Id="rId220" Type="http://schemas.openxmlformats.org/officeDocument/2006/relationships/hyperlink" Target="https://www.jonsbo.com/en/products/SL120WR.html" TargetMode="External"/><Relationship Id="rId224" Type="http://schemas.openxmlformats.org/officeDocument/2006/relationships/hyperlink" Target="https://lian-li.com/product/uni-fan-p28/?cn-reloaded=1" TargetMode="External"/><Relationship Id="rId223" Type="http://schemas.openxmlformats.org/officeDocument/2006/relationships/hyperlink" Target="https://lian-li.com/" TargetMode="External"/><Relationship Id="rId222" Type="http://schemas.openxmlformats.org/officeDocument/2006/relationships/hyperlink" Target="https://lian-li.com/product/uni-fan-p28/?cn-reloaded=1" TargetMode="External"/><Relationship Id="rId221" Type="http://schemas.openxmlformats.org/officeDocument/2006/relationships/hyperlink" Target="https://lian-li.com/" TargetMode="External"/><Relationship Id="rId217" Type="http://schemas.openxmlformats.org/officeDocument/2006/relationships/hyperlink" Target="http://www.jonsbo.com/en/" TargetMode="External"/><Relationship Id="rId216" Type="http://schemas.openxmlformats.org/officeDocument/2006/relationships/hyperlink" Target="https://www.jonsbo.com/en/products/SL120CW.html" TargetMode="External"/><Relationship Id="rId215" Type="http://schemas.openxmlformats.org/officeDocument/2006/relationships/hyperlink" Target="http://www.jonsbo.com/en/" TargetMode="External"/><Relationship Id="rId214" Type="http://schemas.openxmlformats.org/officeDocument/2006/relationships/hyperlink" Target="https://www.jonsbo.com/en/products/SL120C.html" TargetMode="External"/><Relationship Id="rId219" Type="http://schemas.openxmlformats.org/officeDocument/2006/relationships/hyperlink" Target="http://www.jonsbo.com/en/" TargetMode="External"/><Relationship Id="rId218" Type="http://schemas.openxmlformats.org/officeDocument/2006/relationships/hyperlink" Target="https://www.jonsbo.com/en/products/SL120W.html" TargetMode="External"/><Relationship Id="rId213" Type="http://schemas.openxmlformats.org/officeDocument/2006/relationships/hyperlink" Target="http://www.jonsbo.com/en/" TargetMode="External"/><Relationship Id="rId212" Type="http://schemas.openxmlformats.org/officeDocument/2006/relationships/hyperlink" Target="https://www.jonsbo.com/en/products/SL120BR.html" TargetMode="External"/><Relationship Id="rId211" Type="http://schemas.openxmlformats.org/officeDocument/2006/relationships/hyperlink" Target="http://www.jonsbo.com/en/" TargetMode="External"/><Relationship Id="rId210" Type="http://schemas.openxmlformats.org/officeDocument/2006/relationships/hyperlink" Target="https://www.jonsbo.com/en/products/SL120B.html" TargetMode="External"/><Relationship Id="rId249" Type="http://schemas.openxmlformats.org/officeDocument/2006/relationships/hyperlink" Target="https://noctua.at/" TargetMode="External"/><Relationship Id="rId248" Type="http://schemas.openxmlformats.org/officeDocument/2006/relationships/hyperlink" Target="https://hwbusters.com/cooling/noctua-nf-a12x25-pwm-fan-review-recheck/" TargetMode="External"/><Relationship Id="rId247" Type="http://schemas.openxmlformats.org/officeDocument/2006/relationships/hyperlink" Target="https://www.cybenetics.com/fansPDFs/cybenetics_csv.pdf" TargetMode="External"/><Relationship Id="rId242" Type="http://schemas.openxmlformats.org/officeDocument/2006/relationships/hyperlink" Target="http://www.nidec-servo.com/en/digital/pdf/D1225C_hi.pdf" TargetMode="External"/><Relationship Id="rId241" Type="http://schemas.openxmlformats.org/officeDocument/2006/relationships/hyperlink" Target="https://www.nidec.com/en/nidec-servo/" TargetMode="External"/><Relationship Id="rId240" Type="http://schemas.openxmlformats.org/officeDocument/2006/relationships/hyperlink" Target="http://www.nidec-servo.com/en/digital/pdf/D1225C_hi.pdf" TargetMode="External"/><Relationship Id="rId246" Type="http://schemas.openxmlformats.org/officeDocument/2006/relationships/hyperlink" Target="https://noctua.at/en/products/fan/nf-a12x25-pwm" TargetMode="External"/><Relationship Id="rId245" Type="http://schemas.openxmlformats.org/officeDocument/2006/relationships/hyperlink" Target="https://noctua.at/" TargetMode="External"/><Relationship Id="rId244" Type="http://schemas.openxmlformats.org/officeDocument/2006/relationships/hyperlink" Target="http://www.nidec-servo.com/en/digital/pdf/D1225C_hi.pdf" TargetMode="External"/><Relationship Id="rId243" Type="http://schemas.openxmlformats.org/officeDocument/2006/relationships/hyperlink" Target="https://www.nidec.com/en/nidec-servo/" TargetMode="External"/><Relationship Id="rId239" Type="http://schemas.openxmlformats.org/officeDocument/2006/relationships/hyperlink" Target="https://www.nidec.com/en/nidec-servo/" TargetMode="External"/><Relationship Id="rId238" Type="http://schemas.openxmlformats.org/officeDocument/2006/relationships/hyperlink" Target="http://www.nidec-servo.com/en/digital/pdf/D1225C.pdf" TargetMode="External"/><Relationship Id="rId237" Type="http://schemas.openxmlformats.org/officeDocument/2006/relationships/hyperlink" Target="https://www.nidec.com/en/nidec-servo/" TargetMode="External"/><Relationship Id="rId236" Type="http://schemas.openxmlformats.org/officeDocument/2006/relationships/hyperlink" Target="http://www.nidec-servo.com/en/digital/pdf/D1225C.pdf" TargetMode="External"/><Relationship Id="rId231" Type="http://schemas.openxmlformats.org/officeDocument/2006/relationships/hyperlink" Target="https://www.montechpc.com/en/products_detail.php?nid=301&amp;s_ok2=" TargetMode="External"/><Relationship Id="rId230" Type="http://schemas.openxmlformats.org/officeDocument/2006/relationships/hyperlink" Target="https://www.montechpc.com/en/index.php" TargetMode="External"/><Relationship Id="rId235" Type="http://schemas.openxmlformats.org/officeDocument/2006/relationships/hyperlink" Target="https://www.nidec.com/en/nidec-servo/" TargetMode="External"/><Relationship Id="rId234" Type="http://schemas.openxmlformats.org/officeDocument/2006/relationships/hyperlink" Target="http://www.nidec-servo.com/en/digital/pdf/D1225C.pdf" TargetMode="External"/><Relationship Id="rId233" Type="http://schemas.openxmlformats.org/officeDocument/2006/relationships/hyperlink" Target="https://www.nidec.com/en/nidec-servo/" TargetMode="External"/><Relationship Id="rId232" Type="http://schemas.openxmlformats.org/officeDocument/2006/relationships/hyperlink" Target="https://www.msi.com/PC-Component/MEG-SILENT-GALE-P12" TargetMode="External"/><Relationship Id="rId206" Type="http://schemas.openxmlformats.org/officeDocument/2006/relationships/hyperlink" Target="https://www.in-win.com/en/cooling/neptune_series_dn_pro" TargetMode="External"/><Relationship Id="rId205" Type="http://schemas.openxmlformats.org/officeDocument/2006/relationships/hyperlink" Target="https://www.in-win.com/en" TargetMode="External"/><Relationship Id="rId204" Type="http://schemas.openxmlformats.org/officeDocument/2006/relationships/hyperlink" Target="https://www.in-win.com/en/cooling/neptune_series_dn" TargetMode="External"/><Relationship Id="rId203" Type="http://schemas.openxmlformats.org/officeDocument/2006/relationships/hyperlink" Target="https://www.in-win.com/en" TargetMode="External"/><Relationship Id="rId209" Type="http://schemas.openxmlformats.org/officeDocument/2006/relationships/hyperlink" Target="http://www.jonsbo.com/en/" TargetMode="External"/><Relationship Id="rId208" Type="http://schemas.openxmlformats.org/officeDocument/2006/relationships/hyperlink" Target="https://www.jonsbo.com/en/products/HF120.html" TargetMode="External"/><Relationship Id="rId207" Type="http://schemas.openxmlformats.org/officeDocument/2006/relationships/hyperlink" Target="http://www.jonsbo.com/en/" TargetMode="External"/><Relationship Id="rId202" Type="http://schemas.openxmlformats.org/officeDocument/2006/relationships/hyperlink" Target="https://www.in-win.com/en/cooling/neptune_series_an" TargetMode="External"/><Relationship Id="rId201" Type="http://schemas.openxmlformats.org/officeDocument/2006/relationships/hyperlink" Target="https://www.in-win.com/en" TargetMode="External"/><Relationship Id="rId200" Type="http://schemas.openxmlformats.org/officeDocument/2006/relationships/hyperlink" Target="http://www.idcooling.com/Product/detail/id/161/name/DF-12025-ARGB" TargetMode="External"/><Relationship Id="rId190" Type="http://schemas.openxmlformats.org/officeDocument/2006/relationships/hyperlink" Target="https://www.idcooling.com/Product/detail/id/368/name/AF-125-K" TargetMode="External"/><Relationship Id="rId194" Type="http://schemas.openxmlformats.org/officeDocument/2006/relationships/hyperlink" Target="https://www.idcooling.com/Product/detail/id/378/name/AF-127-ARGB-K" TargetMode="External"/><Relationship Id="rId193" Type="http://schemas.openxmlformats.org/officeDocument/2006/relationships/hyperlink" Target="http://www.idcooling.com/index.php" TargetMode="External"/><Relationship Id="rId192" Type="http://schemas.openxmlformats.org/officeDocument/2006/relationships/hyperlink" Target="https://www.idcooling.com/Product/detail/id/369/name/AF-125-W" TargetMode="External"/><Relationship Id="rId191" Type="http://schemas.openxmlformats.org/officeDocument/2006/relationships/hyperlink" Target="http://www.idcooling.com/index.php" TargetMode="External"/><Relationship Id="rId187" Type="http://schemas.openxmlformats.org/officeDocument/2006/relationships/hyperlink" Target="https://www.cybenetics.com/fansPDFs/cybenetics_tOg.pdf" TargetMode="External"/><Relationship Id="rId186" Type="http://schemas.openxmlformats.org/officeDocument/2006/relationships/hyperlink" Target="https://hyte.com/store/thicc-fp12" TargetMode="External"/><Relationship Id="rId185" Type="http://schemas.openxmlformats.org/officeDocument/2006/relationships/hyperlink" Target="https://hyte.com/en-GB" TargetMode="External"/><Relationship Id="rId184" Type="http://schemas.openxmlformats.org/officeDocument/2006/relationships/hyperlink" Target="https://hyte.com/store/flow-fa12-triple-fan-pack/" TargetMode="External"/><Relationship Id="rId189" Type="http://schemas.openxmlformats.org/officeDocument/2006/relationships/hyperlink" Target="http://www.idcooling.com/index.php" TargetMode="External"/><Relationship Id="rId188" Type="http://schemas.openxmlformats.org/officeDocument/2006/relationships/hyperlink" Target="https://hwbusters.com/cooling/hyte-thicc-fp12-120mm-fan-review-the-new-performance-king/" TargetMode="External"/><Relationship Id="rId183" Type="http://schemas.openxmlformats.org/officeDocument/2006/relationships/hyperlink" Target="https://hyte.com/en-GB" TargetMode="External"/><Relationship Id="rId182" Type="http://schemas.openxmlformats.org/officeDocument/2006/relationships/hyperlink" Target="https://www.ekwb.com/shop/ek-vardar-s-120er-d-rgb-2200rpm-addressable" TargetMode="External"/><Relationship Id="rId181" Type="http://schemas.openxmlformats.org/officeDocument/2006/relationships/hyperlink" Target="https://www.ekwb.com/" TargetMode="External"/><Relationship Id="rId180" Type="http://schemas.openxmlformats.org/officeDocument/2006/relationships/hyperlink" Target="https://www.ekwb.com/shop/ek-vardar-evo-120er-rgb-500-2200-rpm" TargetMode="External"/><Relationship Id="rId176" Type="http://schemas.openxmlformats.org/officeDocument/2006/relationships/hyperlink" Target="https://www.ekwb.com/" TargetMode="External"/><Relationship Id="rId175" Type="http://schemas.openxmlformats.org/officeDocument/2006/relationships/hyperlink" Target="https://www.ekwb.com/shop/ek-vardar-evo-120er-black-bb-500-2200rpm" TargetMode="External"/><Relationship Id="rId174" Type="http://schemas.openxmlformats.org/officeDocument/2006/relationships/hyperlink" Target="https://www.ekwb.com/" TargetMode="External"/><Relationship Id="rId173" Type="http://schemas.openxmlformats.org/officeDocument/2006/relationships/hyperlink" Target="https://hwbusters.com/cooling/ek-loop-fan-fpt-120-d-rgb-white-fan-review/" TargetMode="External"/><Relationship Id="rId179" Type="http://schemas.openxmlformats.org/officeDocument/2006/relationships/hyperlink" Target="https://www.ekwb.com/" TargetMode="External"/><Relationship Id="rId178" Type="http://schemas.openxmlformats.org/officeDocument/2006/relationships/hyperlink" Target="https://www.cybenetics.com/fansPDFs/cybenetics_Mn3.pdf" TargetMode="External"/><Relationship Id="rId177" Type="http://schemas.openxmlformats.org/officeDocument/2006/relationships/hyperlink" Target="https://www.ekwb.com/shop/ek-vardar-evo-120er-d-rgb-500-2200-rpm" TargetMode="External"/><Relationship Id="rId198" Type="http://schemas.openxmlformats.org/officeDocument/2006/relationships/hyperlink" Target="https://www.idcooling.com/Product/detail/id/439/name/AS-120-K" TargetMode="External"/><Relationship Id="rId197" Type="http://schemas.openxmlformats.org/officeDocument/2006/relationships/hyperlink" Target="http://www.idcooling.com/index.php" TargetMode="External"/><Relationship Id="rId196" Type="http://schemas.openxmlformats.org/officeDocument/2006/relationships/hyperlink" Target="https://www.idcooling.com/Product/detail/id/377/name/AF-127-ARGB-W" TargetMode="External"/><Relationship Id="rId195" Type="http://schemas.openxmlformats.org/officeDocument/2006/relationships/hyperlink" Target="http://www.idcooling.com/index.php" TargetMode="External"/><Relationship Id="rId199" Type="http://schemas.openxmlformats.org/officeDocument/2006/relationships/hyperlink" Target="http://www.idcooling.com/index.php" TargetMode="External"/><Relationship Id="rId150" Type="http://schemas.openxmlformats.org/officeDocument/2006/relationships/hyperlink" Target="https://www.corsair.com/ww/en/p/case-fans/co-9051017-ww/icue-link-rx120-rgb-120mm-pwm-single-fan-expansion-co-9051017-ww" TargetMode="External"/><Relationship Id="rId149" Type="http://schemas.openxmlformats.org/officeDocument/2006/relationships/hyperlink" Target="https://www.corsair.com/ww/en/" TargetMode="External"/><Relationship Id="rId148" Type="http://schemas.openxmlformats.org/officeDocument/2006/relationships/hyperlink" Target="https://www.corsair.com/ww/en/p/case-fans/co-9051009-ww/icue-link-rx120-120mm-pwm-single-fan-expansion-co-9051009-ww" TargetMode="External"/><Relationship Id="rId143" Type="http://schemas.openxmlformats.org/officeDocument/2006/relationships/hyperlink" Target="https://www.cybenetics.com/fansPDFs/cybenetics_uEg.pdf" TargetMode="External"/><Relationship Id="rId142" Type="http://schemas.openxmlformats.org/officeDocument/2006/relationships/hyperlink" Target="https://www.corsair.com/ww/en/Categories/Products/Fans/RGB-%26-LED-Fans/iCUE-AF-RGB-ELITE-Series-Fans/p/CO-9050153-WW" TargetMode="External"/><Relationship Id="rId141" Type="http://schemas.openxmlformats.org/officeDocument/2006/relationships/hyperlink" Target="https://www.corsair.com/ww/en/" TargetMode="External"/><Relationship Id="rId140" Type="http://schemas.openxmlformats.org/officeDocument/2006/relationships/hyperlink" Target="https://www.corsair.com/ww/en/Categories/Products/Fans/Low-Noise-Fans/AF-ELITE-High-Performance-PWM-Fluid-Dynamic-Bearing-Fan/p/CO-9050142-WW" TargetMode="External"/><Relationship Id="rId147" Type="http://schemas.openxmlformats.org/officeDocument/2006/relationships/hyperlink" Target="https://www.corsair.com/ww/en/" TargetMode="External"/><Relationship Id="rId146" Type="http://schemas.openxmlformats.org/officeDocument/2006/relationships/hyperlink" Target="https://www.corsair.com/ww/en/Categories/Products/Fans/RGB-%26-LED-Fans/iCUE-AF-RGB-ELITE-Series-Fans/p/CO-9050157-WW" TargetMode="External"/><Relationship Id="rId145" Type="http://schemas.openxmlformats.org/officeDocument/2006/relationships/hyperlink" Target="https://www.corsair.com/ww/en/" TargetMode="External"/><Relationship Id="rId144" Type="http://schemas.openxmlformats.org/officeDocument/2006/relationships/hyperlink" Target="https://hwbusters.com/cooling/corsair-af120-rgb-elite-fan-review/" TargetMode="External"/><Relationship Id="rId139" Type="http://schemas.openxmlformats.org/officeDocument/2006/relationships/hyperlink" Target="https://www.corsair.com/ww/en/" TargetMode="External"/><Relationship Id="rId138" Type="http://schemas.openxmlformats.org/officeDocument/2006/relationships/hyperlink" Target="https://www.corsair.com/ww/en/Categories/Products/Fans/Low-Noise-Fans/AF-ELITE-High-Performance-PWM-Fluid-Dynamic-Bearing-Fan/p/CO-9050140-WW" TargetMode="External"/><Relationship Id="rId137" Type="http://schemas.openxmlformats.org/officeDocument/2006/relationships/hyperlink" Target="https://www.corsair.com/ww/en/" TargetMode="External"/><Relationship Id="rId132" Type="http://schemas.openxmlformats.org/officeDocument/2006/relationships/hyperlink" Target="https://www.coolermaster.com/catalog/coolers/case-fan/mobius-120p-argb-white/" TargetMode="External"/><Relationship Id="rId131" Type="http://schemas.openxmlformats.org/officeDocument/2006/relationships/hyperlink" Target="https://www.coolermaster.com/" TargetMode="External"/><Relationship Id="rId130" Type="http://schemas.openxmlformats.org/officeDocument/2006/relationships/hyperlink" Target="https://www.coolermaster.com/catalog/coolers/case-fan/mobius-120p-argb/" TargetMode="External"/><Relationship Id="rId136" Type="http://schemas.openxmlformats.org/officeDocument/2006/relationships/hyperlink" Target="https://www.coolermaster.com/catalog/coolers/case-fan/sickleflow-120-argb/" TargetMode="External"/><Relationship Id="rId135" Type="http://schemas.openxmlformats.org/officeDocument/2006/relationships/hyperlink" Target="https://www.coolermaster.com/" TargetMode="External"/><Relationship Id="rId134" Type="http://schemas.openxmlformats.org/officeDocument/2006/relationships/hyperlink" Target="https://www.coolermaster.com/catalog/coolers/case-fan/sickleflow-120/" TargetMode="External"/><Relationship Id="rId133" Type="http://schemas.openxmlformats.org/officeDocument/2006/relationships/hyperlink" Target="https://www.coolermaster.com/" TargetMode="External"/><Relationship Id="rId172" Type="http://schemas.openxmlformats.org/officeDocument/2006/relationships/hyperlink" Target="https://www.cybenetics.com/fansPDFs/cybenetics_Rpf.pdf" TargetMode="External"/><Relationship Id="rId171" Type="http://schemas.openxmlformats.org/officeDocument/2006/relationships/hyperlink" Target="https://www.ekwb.com/shop/ek-loop-fan-fpt-120-d-rgb-white-550-2300rpm" TargetMode="External"/><Relationship Id="rId170" Type="http://schemas.openxmlformats.org/officeDocument/2006/relationships/hyperlink" Target="https://www.ekwb.com/" TargetMode="External"/><Relationship Id="rId165" Type="http://schemas.openxmlformats.org/officeDocument/2006/relationships/hyperlink" Target="https://www.ekwb.com/shop/ek-furious-vardar-evo-120-bb-750-3000rpm" TargetMode="External"/><Relationship Id="rId164" Type="http://schemas.openxmlformats.org/officeDocument/2006/relationships/hyperlink" Target="https://www.ekwb.com/" TargetMode="External"/><Relationship Id="rId163" Type="http://schemas.openxmlformats.org/officeDocument/2006/relationships/hyperlink" Target="https://www.deepcool.com/index.shtml" TargetMode="External"/><Relationship Id="rId162" Type="http://schemas.openxmlformats.org/officeDocument/2006/relationships/hyperlink" Target="https://www.deepcool.com/products/Cooling/fans/FK120-Performance-Fan/2022/15422.shtml" TargetMode="External"/><Relationship Id="rId169" Type="http://schemas.openxmlformats.org/officeDocument/2006/relationships/hyperlink" Target="https://www.ekwb.com/shop/ek-loop-fan-fpt-120-d-rgb-black-550-2300rpm" TargetMode="External"/><Relationship Id="rId168" Type="http://schemas.openxmlformats.org/officeDocument/2006/relationships/hyperlink" Target="https://www.ekwb.com/" TargetMode="External"/><Relationship Id="rId167" Type="http://schemas.openxmlformats.org/officeDocument/2006/relationships/hyperlink" Target="https://www.ekwb.com/shop/ek-loop-fan-fpt-120-black-550-2300rpm" TargetMode="External"/><Relationship Id="rId166" Type="http://schemas.openxmlformats.org/officeDocument/2006/relationships/hyperlink" Target="https://www.ekwb.com/" TargetMode="External"/><Relationship Id="rId161" Type="http://schemas.openxmlformats.org/officeDocument/2006/relationships/hyperlink" Target="https://www.deepcool.com/index.shtml" TargetMode="External"/><Relationship Id="rId160" Type="http://schemas.openxmlformats.org/officeDocument/2006/relationships/hyperlink" Target="https://www.deepcool.com/products/Cooling/fans/FC120-Daisy-Chain-Performance-ARGB-Fan/2021/13581.shtml" TargetMode="External"/><Relationship Id="rId159" Type="http://schemas.openxmlformats.org/officeDocument/2006/relationships/hyperlink" Target="https://www.deepcool.com/index.shtml" TargetMode="External"/><Relationship Id="rId154" Type="http://schemas.openxmlformats.org/officeDocument/2006/relationships/hyperlink" Target="https://www.corsair.com/ww/en/p/case-fans/co-9051021-ww/icue-link-rx120-rgb-120mm-pwm-single-fan-expansion-white-co-9051021-ww" TargetMode="External"/><Relationship Id="rId153" Type="http://schemas.openxmlformats.org/officeDocument/2006/relationships/hyperlink" Target="https://www.corsair.com/ww/en/" TargetMode="External"/><Relationship Id="rId152" Type="http://schemas.openxmlformats.org/officeDocument/2006/relationships/hyperlink" Target="https://hwbusters.com/cooling/corsair-icue-link-rx120-rgb-120mm-fan-review/" TargetMode="External"/><Relationship Id="rId151" Type="http://schemas.openxmlformats.org/officeDocument/2006/relationships/hyperlink" Target="https://www.cybenetics.com/fansPDFs/cybenetics_Cql.pdf" TargetMode="External"/><Relationship Id="rId158" Type="http://schemas.openxmlformats.org/officeDocument/2006/relationships/hyperlink" Target="https://hwbusters.com/cooling/corsair-rs120-max-fan-review/" TargetMode="External"/><Relationship Id="rId157" Type="http://schemas.openxmlformats.org/officeDocument/2006/relationships/hyperlink" Target="https://www.cybenetics.com/fansPDFs/cybenetics_bhA.pdf" TargetMode="External"/><Relationship Id="rId156" Type="http://schemas.openxmlformats.org/officeDocument/2006/relationships/hyperlink" Target="https://www.corsair.com/us/en/p/140mm-fans/co-9050170-ww/rs120-max-120mm-pwm-thick-fan-single-co-9050170-ww" TargetMode="External"/><Relationship Id="rId155" Type="http://schemas.openxmlformats.org/officeDocument/2006/relationships/hyperlink" Target="https://www.corsair.com/ww/en/" TargetMode="External"/><Relationship Id="rId509" Type="http://schemas.openxmlformats.org/officeDocument/2006/relationships/hyperlink" Target="https://www.silverstonetek.com/en/" TargetMode="External"/><Relationship Id="rId508" Type="http://schemas.openxmlformats.org/officeDocument/2006/relationships/hyperlink" Target="https://www.silverstonetek.com/en/product/info/fans/SF140B/" TargetMode="External"/><Relationship Id="rId503" Type="http://schemas.openxmlformats.org/officeDocument/2006/relationships/hyperlink" Target="http://www.scythe.com/" TargetMode="External"/><Relationship Id="rId502" Type="http://schemas.openxmlformats.org/officeDocument/2006/relationships/hyperlink" Target="https://www.scytheus.com/kazeflex-140-square" TargetMode="External"/><Relationship Id="rId501" Type="http://schemas.openxmlformats.org/officeDocument/2006/relationships/hyperlink" Target="http://www.scythe.com/" TargetMode="External"/><Relationship Id="rId500" Type="http://schemas.openxmlformats.org/officeDocument/2006/relationships/hyperlink" Target="https://www.scytheus.com/kazeflex-140-square" TargetMode="External"/><Relationship Id="rId507" Type="http://schemas.openxmlformats.org/officeDocument/2006/relationships/hyperlink" Target="https://www.silverstonetek.com/en/" TargetMode="External"/><Relationship Id="rId506" Type="http://schemas.openxmlformats.org/officeDocument/2006/relationships/hyperlink" Target="https://www.scytheus.com/kazeflex-140-square-rgb" TargetMode="External"/><Relationship Id="rId505" Type="http://schemas.openxmlformats.org/officeDocument/2006/relationships/hyperlink" Target="http://www.scythe.com/" TargetMode="External"/><Relationship Id="rId504" Type="http://schemas.openxmlformats.org/officeDocument/2006/relationships/hyperlink" Target="https://www.scytheus.com/kazeflex-140-square-rgb" TargetMode="External"/><Relationship Id="rId525" Type="http://schemas.openxmlformats.org/officeDocument/2006/relationships/hyperlink" Target="http://thermalright.com/" TargetMode="External"/><Relationship Id="rId524" Type="http://schemas.openxmlformats.org/officeDocument/2006/relationships/hyperlink" Target="http://thermalright.com/product/tl-b14w/" TargetMode="External"/><Relationship Id="rId523" Type="http://schemas.openxmlformats.org/officeDocument/2006/relationships/hyperlink" Target="http://thermalright.com/" TargetMode="External"/><Relationship Id="rId522" Type="http://schemas.openxmlformats.org/officeDocument/2006/relationships/hyperlink" Target="http://thermalright.com/product/tl-b14b-extrem/" TargetMode="External"/><Relationship Id="rId529" Type="http://schemas.openxmlformats.org/officeDocument/2006/relationships/hyperlink" Target="http://thermalright.com/" TargetMode="External"/><Relationship Id="rId528" Type="http://schemas.openxmlformats.org/officeDocument/2006/relationships/hyperlink" Target="http://thermalright.com/product/tl-c14%e9%a3%8e%e6%89%87/" TargetMode="External"/><Relationship Id="rId527" Type="http://schemas.openxmlformats.org/officeDocument/2006/relationships/hyperlink" Target="http://thermalright.com/" TargetMode="External"/><Relationship Id="rId526" Type="http://schemas.openxmlformats.org/officeDocument/2006/relationships/hyperlink" Target="http://thermalright.com/product/tl-b14w-extrem/" TargetMode="External"/><Relationship Id="rId521" Type="http://schemas.openxmlformats.org/officeDocument/2006/relationships/hyperlink" Target="http://thermalright.com/" TargetMode="External"/><Relationship Id="rId520" Type="http://schemas.openxmlformats.org/officeDocument/2006/relationships/hyperlink" Target="http://thermalright.com/product/tl-b14/" TargetMode="External"/><Relationship Id="rId519" Type="http://schemas.openxmlformats.org/officeDocument/2006/relationships/hyperlink" Target="http://thermalright.com/" TargetMode="External"/><Relationship Id="rId514" Type="http://schemas.openxmlformats.org/officeDocument/2006/relationships/hyperlink" Target="https://www.silverstonetek.com/en/product/info/fans/VISTA_140/" TargetMode="External"/><Relationship Id="rId513" Type="http://schemas.openxmlformats.org/officeDocument/2006/relationships/hyperlink" Target="https://www.silverstonetek.com/en/" TargetMode="External"/><Relationship Id="rId512" Type="http://schemas.openxmlformats.org/officeDocument/2006/relationships/hyperlink" Target="https://hwbusters.com/cooling/silverstone-shark-force-140-argb-fan-review/" TargetMode="External"/><Relationship Id="rId511" Type="http://schemas.openxmlformats.org/officeDocument/2006/relationships/hyperlink" Target="https://www.cybenetics.com/fansPDFs/cybenetics_FIj.pdf" TargetMode="External"/><Relationship Id="rId518" Type="http://schemas.openxmlformats.org/officeDocument/2006/relationships/hyperlink" Target="https://hwbusters.com/cooling/silverstone-vista-140-argb-fan-review/" TargetMode="External"/><Relationship Id="rId517" Type="http://schemas.openxmlformats.org/officeDocument/2006/relationships/hyperlink" Target="https://www.cybenetics.com/fansPDFs/cybenetics_RhZ.pdf" TargetMode="External"/><Relationship Id="rId516" Type="http://schemas.openxmlformats.org/officeDocument/2006/relationships/hyperlink" Target="https://www.silverstonetek.com/en/product/info/fans/VISTA_140_ARGB/" TargetMode="External"/><Relationship Id="rId515" Type="http://schemas.openxmlformats.org/officeDocument/2006/relationships/hyperlink" Target="https://www.silverstonetek.com/en/" TargetMode="External"/><Relationship Id="rId510" Type="http://schemas.openxmlformats.org/officeDocument/2006/relationships/hyperlink" Target="https://www.silverstonetek.com/en/product/info/fans/SF140B-ARGB/" TargetMode="External"/><Relationship Id="rId107" Type="http://schemas.openxmlformats.org/officeDocument/2006/relationships/hyperlink" Target="https://hwbusters.com/cooling/cooler-master-mf120-halo2-fan-review/" TargetMode="External"/><Relationship Id="rId106" Type="http://schemas.openxmlformats.org/officeDocument/2006/relationships/hyperlink" Target="https://www.cybenetics.com/fansPDFs/cybenetics_lff.pdf" TargetMode="External"/><Relationship Id="rId105" Type="http://schemas.openxmlformats.org/officeDocument/2006/relationships/hyperlink" Target="https://www.coolermaster.com/catalog/coolers/case-fan/masterfan-mf120-halo2/" TargetMode="External"/><Relationship Id="rId104" Type="http://schemas.openxmlformats.org/officeDocument/2006/relationships/hyperlink" Target="https://www.coolermaster.com/" TargetMode="External"/><Relationship Id="rId109" Type="http://schemas.openxmlformats.org/officeDocument/2006/relationships/hyperlink" Target="https://www.coolermaster.com/catalog/coolers/case-fan/masterfan-sf120m/" TargetMode="External"/><Relationship Id="rId108" Type="http://schemas.openxmlformats.org/officeDocument/2006/relationships/hyperlink" Target="https://www.coolermaster.com/" TargetMode="External"/><Relationship Id="rId103" Type="http://schemas.openxmlformats.org/officeDocument/2006/relationships/hyperlink" Target="https://www.coolermaster.com/catalog/coolers/case-fan/masterfan-mf120-halo/" TargetMode="External"/><Relationship Id="rId102" Type="http://schemas.openxmlformats.org/officeDocument/2006/relationships/hyperlink" Target="https://www.coolermaster.com/" TargetMode="External"/><Relationship Id="rId101" Type="http://schemas.openxmlformats.org/officeDocument/2006/relationships/hyperlink" Target="https://www.cybenetics.com/fansPDFs/cybenetics_eJn.pdf" TargetMode="External"/><Relationship Id="rId100" Type="http://schemas.openxmlformats.org/officeDocument/2006/relationships/hyperlink" Target="https://www.bequiet.com/en/casefans/5003" TargetMode="External"/><Relationship Id="rId129" Type="http://schemas.openxmlformats.org/officeDocument/2006/relationships/hyperlink" Target="https://www.coolermaster.com/" TargetMode="External"/><Relationship Id="rId128" Type="http://schemas.openxmlformats.org/officeDocument/2006/relationships/hyperlink" Target="https://hwbusters.com/cooling/cooler-master-mobius-120-oc-cooling-fan-review/" TargetMode="External"/><Relationship Id="rId127" Type="http://schemas.openxmlformats.org/officeDocument/2006/relationships/hyperlink" Target="https://www.cybenetics.com/fansPDFs/cybenetics_Y2C.pdf" TargetMode="External"/><Relationship Id="rId126" Type="http://schemas.openxmlformats.org/officeDocument/2006/relationships/hyperlink" Target="https://www.coolermaster.com/catalog/coolers/case-fan/mobius-120-oc/" TargetMode="External"/><Relationship Id="rId121" Type="http://schemas.openxmlformats.org/officeDocument/2006/relationships/hyperlink" Target="https://www.coolermaster.com/" TargetMode="External"/><Relationship Id="rId120" Type="http://schemas.openxmlformats.org/officeDocument/2006/relationships/hyperlink" Target="https://hwbusters.com/cooling/cooler-master-mobius-120-oc-cooling-fan-review/" TargetMode="External"/><Relationship Id="rId125" Type="http://schemas.openxmlformats.org/officeDocument/2006/relationships/hyperlink" Target="https://www.coolermaster.com/" TargetMode="External"/><Relationship Id="rId124" Type="http://schemas.openxmlformats.org/officeDocument/2006/relationships/hyperlink" Target="https://hwbusters.com/cooling/cooler-master-mobius-120-oc-cooling-fan-review/" TargetMode="External"/><Relationship Id="rId123" Type="http://schemas.openxmlformats.org/officeDocument/2006/relationships/hyperlink" Target="https://www.cybenetics.com/fansPDFs/cybenetics_Y2C.pdf" TargetMode="External"/><Relationship Id="rId122" Type="http://schemas.openxmlformats.org/officeDocument/2006/relationships/hyperlink" Target="https://www.coolermaster.com/catalog/coolers/case-fan/mobius-120-oc/" TargetMode="External"/><Relationship Id="rId118" Type="http://schemas.openxmlformats.org/officeDocument/2006/relationships/hyperlink" Target="https://www.coolermaster.com/catalog/coolers/case-fan/mobius-120-oc/" TargetMode="External"/><Relationship Id="rId117" Type="http://schemas.openxmlformats.org/officeDocument/2006/relationships/hyperlink" Target="https://www.coolermaster.com/" TargetMode="External"/><Relationship Id="rId116" Type="http://schemas.openxmlformats.org/officeDocument/2006/relationships/hyperlink" Target="https://www.coolermaster.com/catalog/coolers/case-fan/mobius-120/" TargetMode="External"/><Relationship Id="rId115" Type="http://schemas.openxmlformats.org/officeDocument/2006/relationships/hyperlink" Target="https://www.coolermaster.com/" TargetMode="External"/><Relationship Id="rId119" Type="http://schemas.openxmlformats.org/officeDocument/2006/relationships/hyperlink" Target="https://www.cybenetics.com/fansPDFs/cybenetics_Y2C.pdf" TargetMode="External"/><Relationship Id="rId110" Type="http://schemas.openxmlformats.org/officeDocument/2006/relationships/hyperlink" Target="https://www.coolermaster.com/" TargetMode="External"/><Relationship Id="rId114" Type="http://schemas.openxmlformats.org/officeDocument/2006/relationships/hyperlink" Target="https://www.coolermaster.com/catalog/coolers/case-fan/masterfan-sf120r/" TargetMode="External"/><Relationship Id="rId113" Type="http://schemas.openxmlformats.org/officeDocument/2006/relationships/hyperlink" Target="https://www.coolermaster.com/" TargetMode="External"/><Relationship Id="rId112" Type="http://schemas.openxmlformats.org/officeDocument/2006/relationships/hyperlink" Target="https://www.cybenetics.com/fansPDFs/cybenetics_2ce.pdf" TargetMode="External"/><Relationship Id="rId111" Type="http://schemas.openxmlformats.org/officeDocument/2006/relationships/hyperlink" Target="https://www.coolermaster.com/catalog/coolers/case-fan/masterfan-sf120m-argb/" TargetMode="External"/><Relationship Id="rId536" Type="http://schemas.openxmlformats.org/officeDocument/2006/relationships/hyperlink" Target="https://www.thermaltake.com/toughfan-14-rgb-high-static-pressure-radiator-fan-3-fan-pack.html" TargetMode="External"/><Relationship Id="rId535" Type="http://schemas.openxmlformats.org/officeDocument/2006/relationships/hyperlink" Target="https://www.thermaltake.com/" TargetMode="External"/><Relationship Id="rId534" Type="http://schemas.openxmlformats.org/officeDocument/2006/relationships/hyperlink" Target="https://www.thermaltake.com/toughfan-14-pro-pc-cooling-fan-1-pack.html" TargetMode="External"/><Relationship Id="rId533" Type="http://schemas.openxmlformats.org/officeDocument/2006/relationships/hyperlink" Target="https://www.thermaltake.com/" TargetMode="External"/><Relationship Id="rId539" Type="http://schemas.openxmlformats.org/officeDocument/2006/relationships/drawing" Target="../drawings/drawing10.xml"/><Relationship Id="rId538" Type="http://schemas.openxmlformats.org/officeDocument/2006/relationships/hyperlink" Target="https://www.thermaltake.com/toughfan-14-white-high-static-pressure-radiator-fan-single-fan-pack.html" TargetMode="External"/><Relationship Id="rId537" Type="http://schemas.openxmlformats.org/officeDocument/2006/relationships/hyperlink" Target="https://www.thermaltake.com/" TargetMode="External"/><Relationship Id="rId532" Type="http://schemas.openxmlformats.org/officeDocument/2006/relationships/hyperlink" Target="https://www.thermaltake.com/toughfan-14-high-static-pressure-radiator-fan-single-fan-pack.html" TargetMode="External"/><Relationship Id="rId531" Type="http://schemas.openxmlformats.org/officeDocument/2006/relationships/hyperlink" Target="https://www.thermaltake.com/" TargetMode="External"/><Relationship Id="rId530" Type="http://schemas.openxmlformats.org/officeDocument/2006/relationships/hyperlink" Target="http://thermalright.com/product/tl-c14x/" TargetMode="External"/><Relationship Id="rId495" Type="http://schemas.openxmlformats.org/officeDocument/2006/relationships/hyperlink" Target="http://www.phanteks.com/" TargetMode="External"/><Relationship Id="rId494" Type="http://schemas.openxmlformats.org/officeDocument/2006/relationships/hyperlink" Target="https://www.phanteks.com/PH-F140D30.html" TargetMode="External"/><Relationship Id="rId493" Type="http://schemas.openxmlformats.org/officeDocument/2006/relationships/hyperlink" Target="http://www.phanteks.com/" TargetMode="External"/><Relationship Id="rId492" Type="http://schemas.openxmlformats.org/officeDocument/2006/relationships/hyperlink" Target="https://www.blacknoise.com/site/en/products/noiseblocker-led-modding/nb-eloop-x-series/140x140x25mm.php" TargetMode="External"/><Relationship Id="rId499" Type="http://schemas.openxmlformats.org/officeDocument/2006/relationships/hyperlink" Target="http://www.scythe.com/" TargetMode="External"/><Relationship Id="rId498" Type="http://schemas.openxmlformats.org/officeDocument/2006/relationships/hyperlink" Target="https://phanteks.com/PH-F140M25-DRGB.html" TargetMode="External"/><Relationship Id="rId497" Type="http://schemas.openxmlformats.org/officeDocument/2006/relationships/hyperlink" Target="http://www.phanteks.com/" TargetMode="External"/><Relationship Id="rId496" Type="http://schemas.openxmlformats.org/officeDocument/2006/relationships/hyperlink" Target="https://phanteks.com/PH-F140M25-BBK.html" TargetMode="External"/><Relationship Id="rId409" Type="http://schemas.openxmlformats.org/officeDocument/2006/relationships/hyperlink" Target="https://www.bequiet.com/en/casefans/4610" TargetMode="External"/><Relationship Id="rId404" Type="http://schemas.openxmlformats.org/officeDocument/2006/relationships/hyperlink" Target="https://bequiet.com/" TargetMode="External"/><Relationship Id="rId403" Type="http://schemas.openxmlformats.org/officeDocument/2006/relationships/hyperlink" Target="https://hwbusters.com/cooling/be-quiet-light-wings-140mm-pwm-fan-review/" TargetMode="External"/><Relationship Id="rId402" Type="http://schemas.openxmlformats.org/officeDocument/2006/relationships/hyperlink" Target="https://www.cybenetics.com/fansPDFs/cybenetics_qMN.pdf" TargetMode="External"/><Relationship Id="rId401" Type="http://schemas.openxmlformats.org/officeDocument/2006/relationships/hyperlink" Target="https://www.bequiet.com/en/casefans/3451" TargetMode="External"/><Relationship Id="rId408" Type="http://schemas.openxmlformats.org/officeDocument/2006/relationships/hyperlink" Target="https://bequiet.com/" TargetMode="External"/><Relationship Id="rId407" Type="http://schemas.openxmlformats.org/officeDocument/2006/relationships/hyperlink" Target="https://www.bequiet.com/en/casefans/4609" TargetMode="External"/><Relationship Id="rId406" Type="http://schemas.openxmlformats.org/officeDocument/2006/relationships/hyperlink" Target="https://bequiet.com/" TargetMode="External"/><Relationship Id="rId405" Type="http://schemas.openxmlformats.org/officeDocument/2006/relationships/hyperlink" Target="https://www.bequiet.com/en/casefans/3455" TargetMode="External"/><Relationship Id="rId400" Type="http://schemas.openxmlformats.org/officeDocument/2006/relationships/hyperlink" Target="https://bequiet.com/" TargetMode="External"/><Relationship Id="rId469" Type="http://schemas.openxmlformats.org/officeDocument/2006/relationships/hyperlink" Target="https://www.ekwb.com/shop/ek-vardar-evo-140er-d-rgb-400-1600-rpm" TargetMode="External"/><Relationship Id="rId468" Type="http://schemas.openxmlformats.org/officeDocument/2006/relationships/hyperlink" Target="https://www.ekwb.com/" TargetMode="External"/><Relationship Id="rId467" Type="http://schemas.openxmlformats.org/officeDocument/2006/relationships/hyperlink" Target="https://www.ekwb.com/shop/ek-vardar-evo-140er-black-bb-500-2000rpm" TargetMode="External"/><Relationship Id="rId462" Type="http://schemas.openxmlformats.org/officeDocument/2006/relationships/hyperlink" Target="https://www.cybenetics.com/fansPDFs/cybenetics_r9G.pdf" TargetMode="External"/><Relationship Id="rId461" Type="http://schemas.openxmlformats.org/officeDocument/2006/relationships/hyperlink" Target="https://www.ekwb.com/shop/ek-loop-fan-fpt-140-d-rgb-black-600-2200rpm" TargetMode="External"/><Relationship Id="rId460" Type="http://schemas.openxmlformats.org/officeDocument/2006/relationships/hyperlink" Target="https://www.ekwb.com/" TargetMode="External"/><Relationship Id="rId466" Type="http://schemas.openxmlformats.org/officeDocument/2006/relationships/hyperlink" Target="https://www.ekwb.com/" TargetMode="External"/><Relationship Id="rId465" Type="http://schemas.openxmlformats.org/officeDocument/2006/relationships/hyperlink" Target="https://www.ekwb.com/shop/ek-loop-fan-fpt-140-d-rgb-white-600-2200rpm" TargetMode="External"/><Relationship Id="rId464" Type="http://schemas.openxmlformats.org/officeDocument/2006/relationships/hyperlink" Target="https://www.ekwb.com/" TargetMode="External"/><Relationship Id="rId463" Type="http://schemas.openxmlformats.org/officeDocument/2006/relationships/hyperlink" Target="https://hwbusters.com/cooling/ekwb-ek-loop-fan-fpt-140-d-rgb-fan-review/" TargetMode="External"/><Relationship Id="rId459" Type="http://schemas.openxmlformats.org/officeDocument/2006/relationships/hyperlink" Target="https://www.ekwb.com/shop/ek-loop-fan-fpt-140-black-600-2200rpm" TargetMode="External"/><Relationship Id="rId458" Type="http://schemas.openxmlformats.org/officeDocument/2006/relationships/hyperlink" Target="https://www.ekwb.com/" TargetMode="External"/><Relationship Id="rId457" Type="http://schemas.openxmlformats.org/officeDocument/2006/relationships/hyperlink" Target="https://www.deepcool.com/index.shtml" TargetMode="External"/><Relationship Id="rId456" Type="http://schemas.openxmlformats.org/officeDocument/2006/relationships/hyperlink" Target="https://hwbusters.com/cooling/corsair-rs140-max-fan-review/" TargetMode="External"/><Relationship Id="rId451" Type="http://schemas.openxmlformats.org/officeDocument/2006/relationships/hyperlink" Target="https://www.corsair.com/ww/en/" TargetMode="External"/><Relationship Id="rId450" Type="http://schemas.openxmlformats.org/officeDocument/2006/relationships/hyperlink" Target="https://www.corsair.com/ww/en/p/case-fans/co-9051019-ww/icue-link-rx140-rgb-140mm-pwm-single-fan-expansion-co-9051019-ww" TargetMode="External"/><Relationship Id="rId455" Type="http://schemas.openxmlformats.org/officeDocument/2006/relationships/hyperlink" Target="https://www.cybenetics.com/fansPDFs/cybenetics_aBg.pdf" TargetMode="External"/><Relationship Id="rId454" Type="http://schemas.openxmlformats.org/officeDocument/2006/relationships/hyperlink" Target="https://www.corsair.com/us/en/p/case-fans/co-9050174-ww/rs140-max-140mm-pwm-thick-single-fan-single-co-9050174-ww" TargetMode="External"/><Relationship Id="rId453" Type="http://schemas.openxmlformats.org/officeDocument/2006/relationships/hyperlink" Target="https://www.corsair.com/ww/en/" TargetMode="External"/><Relationship Id="rId452" Type="http://schemas.openxmlformats.org/officeDocument/2006/relationships/hyperlink" Target="https://www.corsair.com/ww/en/p/case-fans/co-9051023-ww/icue-link-rx140-rgb-140mm-pwm-single-fan-expansion-white-co-9051023-ww" TargetMode="External"/><Relationship Id="rId491" Type="http://schemas.openxmlformats.org/officeDocument/2006/relationships/hyperlink" Target="https://www.blacknoise.com/site/en/home.php" TargetMode="External"/><Relationship Id="rId490" Type="http://schemas.openxmlformats.org/officeDocument/2006/relationships/hyperlink" Target="https://www.blacknoise.com/site/en/products/noiseblocker-it-fans/nb-eloop-series/140x140x29mm.php" TargetMode="External"/><Relationship Id="rId489" Type="http://schemas.openxmlformats.org/officeDocument/2006/relationships/hyperlink" Target="https://www.blacknoise.com/site/en/home.php" TargetMode="External"/><Relationship Id="rId484" Type="http://schemas.openxmlformats.org/officeDocument/2006/relationships/hyperlink" Target="https://noctua.at/en/products/fan/nf-a14-pwm" TargetMode="External"/><Relationship Id="rId483" Type="http://schemas.openxmlformats.org/officeDocument/2006/relationships/hyperlink" Target="https://noctua.at/" TargetMode="External"/><Relationship Id="rId482" Type="http://schemas.openxmlformats.org/officeDocument/2006/relationships/hyperlink" Target="https://hwbusters.com/cooling/lian-li-uni-fan-tl-140-review/" TargetMode="External"/><Relationship Id="rId481" Type="http://schemas.openxmlformats.org/officeDocument/2006/relationships/hyperlink" Target="https://www.cybenetics.com/fansPDFs/cybenetics_xnE.pdf" TargetMode="External"/><Relationship Id="rId488" Type="http://schemas.openxmlformats.org/officeDocument/2006/relationships/hyperlink" Target="https://noctua.at/en/nf-a14-industrialppc-3000-pwm" TargetMode="External"/><Relationship Id="rId487" Type="http://schemas.openxmlformats.org/officeDocument/2006/relationships/hyperlink" Target="https://noctua.at/" TargetMode="External"/><Relationship Id="rId486" Type="http://schemas.openxmlformats.org/officeDocument/2006/relationships/hyperlink" Target="https://noctua.at/en/nf-a14-industrialppc-2000-pwm" TargetMode="External"/><Relationship Id="rId485" Type="http://schemas.openxmlformats.org/officeDocument/2006/relationships/hyperlink" Target="https://noctua.at/" TargetMode="External"/><Relationship Id="rId480" Type="http://schemas.openxmlformats.org/officeDocument/2006/relationships/hyperlink" Target="https://lian-li.com/product/uni-fan-tl/" TargetMode="External"/><Relationship Id="rId479" Type="http://schemas.openxmlformats.org/officeDocument/2006/relationships/hyperlink" Target="https://lian-li.com/" TargetMode="External"/><Relationship Id="rId478" Type="http://schemas.openxmlformats.org/officeDocument/2006/relationships/hyperlink" Target="https://hwbusters.com/cooling/inwin-neptune-dn140-pro-fan-review/" TargetMode="External"/><Relationship Id="rId473" Type="http://schemas.openxmlformats.org/officeDocument/2006/relationships/hyperlink" Target="https://www.in-win.com/en" TargetMode="External"/><Relationship Id="rId472" Type="http://schemas.openxmlformats.org/officeDocument/2006/relationships/hyperlink" Target="https://www.cybenetics.com/fansPDFs/cybenetics_Nxc.pdf" TargetMode="External"/><Relationship Id="rId471" Type="http://schemas.openxmlformats.org/officeDocument/2006/relationships/hyperlink" Target="https://www.in-win.com/en/cooling/neptune_series_an" TargetMode="External"/><Relationship Id="rId470" Type="http://schemas.openxmlformats.org/officeDocument/2006/relationships/hyperlink" Target="https://www.in-win.com/en" TargetMode="External"/><Relationship Id="rId477" Type="http://schemas.openxmlformats.org/officeDocument/2006/relationships/hyperlink" Target="https://www.cybenetics.com/fansPDFs/cybenetics_kIZ.pdf" TargetMode="External"/><Relationship Id="rId476" Type="http://schemas.openxmlformats.org/officeDocument/2006/relationships/hyperlink" Target="https://www.in-win.com/en/cooling/neptune_series_dn_pro" TargetMode="External"/><Relationship Id="rId475" Type="http://schemas.openxmlformats.org/officeDocument/2006/relationships/hyperlink" Target="https://www.in-win.com/en" TargetMode="External"/><Relationship Id="rId474" Type="http://schemas.openxmlformats.org/officeDocument/2006/relationships/hyperlink" Target="https://www.in-win.com/en/cooling/neptune_series_dn" TargetMode="External"/><Relationship Id="rId426" Type="http://schemas.openxmlformats.org/officeDocument/2006/relationships/hyperlink" Target="https://bequiet.com/" TargetMode="External"/><Relationship Id="rId425" Type="http://schemas.openxmlformats.org/officeDocument/2006/relationships/hyperlink" Target="https://www.cybenetics.com/fansPDFs/cybenetics_ihZ.pdf" TargetMode="External"/><Relationship Id="rId424" Type="http://schemas.openxmlformats.org/officeDocument/2006/relationships/hyperlink" Target="https://www.bequiet.com/en/casefans/5005" TargetMode="External"/><Relationship Id="rId423" Type="http://schemas.openxmlformats.org/officeDocument/2006/relationships/hyperlink" Target="https://bequiet.com/" TargetMode="External"/><Relationship Id="rId429" Type="http://schemas.openxmlformats.org/officeDocument/2006/relationships/hyperlink" Target="https://hwbusters.com/cooling/be-quiet-silent-wings-pro-4-140mm-fan-review/" TargetMode="External"/><Relationship Id="rId428" Type="http://schemas.openxmlformats.org/officeDocument/2006/relationships/hyperlink" Target="https://www.cybenetics.com/fansPDFs/cybenetics_XpW.pdf" TargetMode="External"/><Relationship Id="rId427" Type="http://schemas.openxmlformats.org/officeDocument/2006/relationships/hyperlink" Target="https://www.bequiet.com/en/casefans/3706" TargetMode="External"/><Relationship Id="rId422" Type="http://schemas.openxmlformats.org/officeDocument/2006/relationships/hyperlink" Target="https://hwbusters.com/cooling/be-quiet-silent-wings-4-140mm-high-speed-white-fan-review/" TargetMode="External"/><Relationship Id="rId421" Type="http://schemas.openxmlformats.org/officeDocument/2006/relationships/hyperlink" Target="https://www.cybenetics.com/fansPDFs/cybenetics_H3l.pdf" TargetMode="External"/><Relationship Id="rId420" Type="http://schemas.openxmlformats.org/officeDocument/2006/relationships/hyperlink" Target="https://www.bequiet.com/en/casefans/5004" TargetMode="External"/><Relationship Id="rId415" Type="http://schemas.openxmlformats.org/officeDocument/2006/relationships/hyperlink" Target="https://www.bequiet.com/en/casefans/3703" TargetMode="External"/><Relationship Id="rId414" Type="http://schemas.openxmlformats.org/officeDocument/2006/relationships/hyperlink" Target="https://bequiet.com/" TargetMode="External"/><Relationship Id="rId413" Type="http://schemas.openxmlformats.org/officeDocument/2006/relationships/hyperlink" Target="https://bequiet.com/" TargetMode="External"/><Relationship Id="rId412" Type="http://schemas.openxmlformats.org/officeDocument/2006/relationships/hyperlink" Target="https://www.cybenetics.com/fansPDFs/cybenetics_bq1.pdf" TargetMode="External"/><Relationship Id="rId419" Type="http://schemas.openxmlformats.org/officeDocument/2006/relationships/hyperlink" Target="https://bequiet.com/" TargetMode="External"/><Relationship Id="rId418" Type="http://schemas.openxmlformats.org/officeDocument/2006/relationships/hyperlink" Target="https://www.bequiet.com/en/casefans/3704" TargetMode="External"/><Relationship Id="rId417" Type="http://schemas.openxmlformats.org/officeDocument/2006/relationships/hyperlink" Target="https://bequiet.com/" TargetMode="External"/><Relationship Id="rId416" Type="http://schemas.openxmlformats.org/officeDocument/2006/relationships/hyperlink" Target="https://www.cybenetics.com/fansPDFs/cybenetics_LtK.pdf" TargetMode="External"/><Relationship Id="rId411" Type="http://schemas.openxmlformats.org/officeDocument/2006/relationships/hyperlink" Target="https://bequiet.com/" TargetMode="External"/><Relationship Id="rId410" Type="http://schemas.openxmlformats.org/officeDocument/2006/relationships/hyperlink" Target="https://www.cybenetics.com/fansPDFs/cybenetics_a55.pdf" TargetMode="External"/><Relationship Id="rId448" Type="http://schemas.openxmlformats.org/officeDocument/2006/relationships/hyperlink" Target="https://www.corsair.com/ww/en/p/case-fans/co-9051011-ww/icue-link-rx140-140mm-pwm-single-fan-expansion-co-9051011-ww" TargetMode="External"/><Relationship Id="rId447" Type="http://schemas.openxmlformats.org/officeDocument/2006/relationships/hyperlink" Target="https://www.corsair.com/ww/en/" TargetMode="External"/><Relationship Id="rId446" Type="http://schemas.openxmlformats.org/officeDocument/2006/relationships/hyperlink" Target="https://www.corsair.com/ww/en/Categories/Products/Fans/RGB-%26-LED-Fans/iCUE-AF-RGB-ELITE-Series-Fans/p/CO-9050159-WW" TargetMode="External"/><Relationship Id="rId445" Type="http://schemas.openxmlformats.org/officeDocument/2006/relationships/hyperlink" Target="https://www.corsair.com/ww/en/" TargetMode="External"/><Relationship Id="rId449" Type="http://schemas.openxmlformats.org/officeDocument/2006/relationships/hyperlink" Target="https://www.corsair.com/ww/en/" TargetMode="External"/><Relationship Id="rId440" Type="http://schemas.openxmlformats.org/officeDocument/2006/relationships/hyperlink" Target="https://www.corsair.com/ww/en/Categories/Products/Fans/Low-Noise-Fans/AF-ELITE-High-Performance-PWM-Fluid-Dynamic-Bearing-Fan/p/CO-9050141-WW" TargetMode="External"/><Relationship Id="rId444" Type="http://schemas.openxmlformats.org/officeDocument/2006/relationships/hyperlink" Target="https://www.corsair.com/ww/en/Categories/Products/Fans/RGB-%26-LED-Fans/iCUE-AF-RGB-ELITE-Series-Fans/p/CO-9050155-WW" TargetMode="External"/><Relationship Id="rId443" Type="http://schemas.openxmlformats.org/officeDocument/2006/relationships/hyperlink" Target="https://www.corsair.com/ww/en/" TargetMode="External"/><Relationship Id="rId442" Type="http://schemas.openxmlformats.org/officeDocument/2006/relationships/hyperlink" Target="https://www.corsair.com/ww/en/Categories/Products/Fans/Low-Noise-Fans/AF-ELITE-High-Performance-PWM-Fluid-Dynamic-Bearing-Fan/p/CO-9050143-WW" TargetMode="External"/><Relationship Id="rId441" Type="http://schemas.openxmlformats.org/officeDocument/2006/relationships/hyperlink" Target="https://www.corsair.com/ww/en/" TargetMode="External"/><Relationship Id="rId437" Type="http://schemas.openxmlformats.org/officeDocument/2006/relationships/hyperlink" Target="https://www.coolermaster.com/" TargetMode="External"/><Relationship Id="rId436" Type="http://schemas.openxmlformats.org/officeDocument/2006/relationships/hyperlink" Target="https://www.coolermaster.com/catalog/coolers/case-fan/mobius-140p-argb/" TargetMode="External"/><Relationship Id="rId435" Type="http://schemas.openxmlformats.org/officeDocument/2006/relationships/hyperlink" Target="https://www.coolermaster.com/" TargetMode="External"/><Relationship Id="rId434" Type="http://schemas.openxmlformats.org/officeDocument/2006/relationships/hyperlink" Target="https://www.cybenetics.com/fansPDFs/cybenetics_Ndb.pdf" TargetMode="External"/><Relationship Id="rId439" Type="http://schemas.openxmlformats.org/officeDocument/2006/relationships/hyperlink" Target="https://www.corsair.com/ww/en/" TargetMode="External"/><Relationship Id="rId438" Type="http://schemas.openxmlformats.org/officeDocument/2006/relationships/hyperlink" Target="https://www.coolermaster.com/catalog/coolers/case-fan/sickleflow-140-argb/" TargetMode="External"/><Relationship Id="rId433" Type="http://schemas.openxmlformats.org/officeDocument/2006/relationships/hyperlink" Target="https://www.coolermaster.com/catalog/coolers/case-fan/masterfan-mf140-halo2/" TargetMode="External"/><Relationship Id="rId432" Type="http://schemas.openxmlformats.org/officeDocument/2006/relationships/hyperlink" Target="https://www.coolermaster.com/" TargetMode="External"/><Relationship Id="rId431" Type="http://schemas.openxmlformats.org/officeDocument/2006/relationships/hyperlink" Target="https://www.coolermaster.com/catalog/coolers/case-fan/masterfan-mf140-halo/" TargetMode="External"/><Relationship Id="rId430" Type="http://schemas.openxmlformats.org/officeDocument/2006/relationships/hyperlink" Target="https://www.coolermaster.com/"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www.adata.com/us" TargetMode="External"/><Relationship Id="rId3" Type="http://schemas.openxmlformats.org/officeDocument/2006/relationships/hyperlink" Target="https://www.adata.com/us" TargetMode="External"/><Relationship Id="rId4" Type="http://schemas.openxmlformats.org/officeDocument/2006/relationships/hyperlink" Target="https://www.adata.com/us/xpg/computer-memory-CASTER-DDR5" TargetMode="External"/><Relationship Id="rId9" Type="http://schemas.openxmlformats.org/officeDocument/2006/relationships/hyperlink" Target="https://www.xpg.com/en/xpg/687" TargetMode="External"/><Relationship Id="rId5" Type="http://schemas.openxmlformats.org/officeDocument/2006/relationships/hyperlink" Target="https://www.adata.com/us" TargetMode="External"/><Relationship Id="rId6" Type="http://schemas.openxmlformats.org/officeDocument/2006/relationships/hyperlink" Target="https://www.adata.com/us/xpg/computer-memory-CASTER-RGB-DDR5" TargetMode="External"/><Relationship Id="rId7" Type="http://schemas.openxmlformats.org/officeDocument/2006/relationships/hyperlink" Target="https://www.adata.com/us" TargetMode="External"/><Relationship Id="rId8" Type="http://schemas.openxmlformats.org/officeDocument/2006/relationships/hyperlink" Target="https://www.adata.com/us" TargetMode="External"/><Relationship Id="rId40" Type="http://schemas.openxmlformats.org/officeDocument/2006/relationships/hyperlink" Target="http://www.avexir.com/product/blitzspec-ddr4.html" TargetMode="External"/><Relationship Id="rId42" Type="http://schemas.openxmlformats.org/officeDocument/2006/relationships/hyperlink" Target="http://www.avexir.com/product/budgetspec-ddr4.html" TargetMode="External"/><Relationship Id="rId41" Type="http://schemas.openxmlformats.org/officeDocument/2006/relationships/hyperlink" Target="http://www.avexir.com/home.html" TargetMode="External"/><Relationship Id="rId44" Type="http://schemas.openxmlformats.org/officeDocument/2006/relationships/hyperlink" Target="http://www.avexir.com/product/corespec-ddr4.html" TargetMode="External"/><Relationship Id="rId43" Type="http://schemas.openxmlformats.org/officeDocument/2006/relationships/hyperlink" Target="http://www.avexir.com/home.html" TargetMode="External"/><Relationship Id="rId46" Type="http://schemas.openxmlformats.org/officeDocument/2006/relationships/hyperlink" Target="http://www.avexir.com/product/core2series-ddr4.html" TargetMode="External"/><Relationship Id="rId45" Type="http://schemas.openxmlformats.org/officeDocument/2006/relationships/hyperlink" Target="http://www.avexir.com/home.html" TargetMode="External"/><Relationship Id="rId48" Type="http://schemas.openxmlformats.org/officeDocument/2006/relationships/hyperlink" Target="http://www.avexir.com/product/raidenspec-ddr4.html" TargetMode="External"/><Relationship Id="rId47" Type="http://schemas.openxmlformats.org/officeDocument/2006/relationships/hyperlink" Target="http://www.avexir.com/home.html" TargetMode="External"/><Relationship Id="rId49" Type="http://schemas.openxmlformats.org/officeDocument/2006/relationships/hyperlink" Target="http://www.avexir.com/home.html" TargetMode="External"/><Relationship Id="rId31" Type="http://schemas.openxmlformats.org/officeDocument/2006/relationships/hyperlink" Target="https://www.xpg.com/en/xpg/686" TargetMode="External"/><Relationship Id="rId30" Type="http://schemas.openxmlformats.org/officeDocument/2006/relationships/hyperlink" Target="https://www.adata.com/us" TargetMode="External"/><Relationship Id="rId33" Type="http://schemas.openxmlformats.org/officeDocument/2006/relationships/hyperlink" Target="https://www.xpg.com/en/xpg/677" TargetMode="External"/><Relationship Id="rId32" Type="http://schemas.openxmlformats.org/officeDocument/2006/relationships/hyperlink" Target="https://www.adata.com/us" TargetMode="External"/><Relationship Id="rId35" Type="http://schemas.openxmlformats.org/officeDocument/2006/relationships/hyperlink" Target="https://www.adata.com/us" TargetMode="External"/><Relationship Id="rId34" Type="http://schemas.openxmlformats.org/officeDocument/2006/relationships/hyperlink" Target="https://www.adata.com/us" TargetMode="External"/><Relationship Id="rId37" Type="http://schemas.openxmlformats.org/officeDocument/2006/relationships/hyperlink" Target="https://consumer.apacer.com/eng/index.html" TargetMode="External"/><Relationship Id="rId36" Type="http://schemas.openxmlformats.org/officeDocument/2006/relationships/hyperlink" Target="https://www.adata.com/us" TargetMode="External"/><Relationship Id="rId39" Type="http://schemas.openxmlformats.org/officeDocument/2006/relationships/hyperlink" Target="http://www.avexir.com/home.html" TargetMode="External"/><Relationship Id="rId38" Type="http://schemas.openxmlformats.org/officeDocument/2006/relationships/hyperlink" Target="https://consumer.apacer.com/eng/content.php?sn=1726" TargetMode="External"/><Relationship Id="rId20" Type="http://schemas.openxmlformats.org/officeDocument/2006/relationships/hyperlink" Target="https://www.xpg.com/us/xpg/dram-modules-lancer-blade-ddr5" TargetMode="External"/><Relationship Id="rId22" Type="http://schemas.openxmlformats.org/officeDocument/2006/relationships/hyperlink" Target="https://www.xpg.com/us/xpg/dram-modules-lancer-blade-rgb-ddr5" TargetMode="External"/><Relationship Id="rId21" Type="http://schemas.openxmlformats.org/officeDocument/2006/relationships/hyperlink" Target="https://www.adata.com/us" TargetMode="External"/><Relationship Id="rId24" Type="http://schemas.openxmlformats.org/officeDocument/2006/relationships/hyperlink" Target="https://www.adata.com/us/xpg/DRAM-modules-LANCER-RGB-DDR5" TargetMode="External"/><Relationship Id="rId23" Type="http://schemas.openxmlformats.org/officeDocument/2006/relationships/hyperlink" Target="https://www.adata.com/us" TargetMode="External"/><Relationship Id="rId26" Type="http://schemas.openxmlformats.org/officeDocument/2006/relationships/hyperlink" Target="https://www.adata.com/us" TargetMode="External"/><Relationship Id="rId25" Type="http://schemas.openxmlformats.org/officeDocument/2006/relationships/hyperlink" Target="https://www.adata.com/us" TargetMode="External"/><Relationship Id="rId28" Type="http://schemas.openxmlformats.org/officeDocument/2006/relationships/hyperlink" Target="https://www.adata.com/us" TargetMode="External"/><Relationship Id="rId27" Type="http://schemas.openxmlformats.org/officeDocument/2006/relationships/hyperlink" Target="https://www.adata.com/us/xpg/837" TargetMode="External"/><Relationship Id="rId29" Type="http://schemas.openxmlformats.org/officeDocument/2006/relationships/hyperlink" Target="https://www.xpg.com/en/feature/653/" TargetMode="External"/><Relationship Id="rId11" Type="http://schemas.openxmlformats.org/officeDocument/2006/relationships/hyperlink" Target="https://www.adata.com/us" TargetMode="External"/><Relationship Id="rId10" Type="http://schemas.openxmlformats.org/officeDocument/2006/relationships/hyperlink" Target="https://www.adata.com/us" TargetMode="External"/><Relationship Id="rId13" Type="http://schemas.openxmlformats.org/officeDocument/2006/relationships/hyperlink" Target="https://www.adata.com/us" TargetMode="External"/><Relationship Id="rId12" Type="http://schemas.openxmlformats.org/officeDocument/2006/relationships/hyperlink" Target="https://www.adata.com/us/xpg/836" TargetMode="External"/><Relationship Id="rId15" Type="http://schemas.openxmlformats.org/officeDocument/2006/relationships/hyperlink" Target="https://www.adata.com/us" TargetMode="External"/><Relationship Id="rId14" Type="http://schemas.openxmlformats.org/officeDocument/2006/relationships/hyperlink" Target="https://www.xpg.com/en/xpg/646" TargetMode="External"/><Relationship Id="rId17" Type="http://schemas.openxmlformats.org/officeDocument/2006/relationships/hyperlink" Target="https://www.adata.com/us" TargetMode="External"/><Relationship Id="rId16" Type="http://schemas.openxmlformats.org/officeDocument/2006/relationships/hyperlink" Target="https://www.adata.com/us/xpg/computer-memory-HUNTER-DDR5" TargetMode="External"/><Relationship Id="rId19" Type="http://schemas.openxmlformats.org/officeDocument/2006/relationships/hyperlink" Target="https://www.adata.com/us" TargetMode="External"/><Relationship Id="rId18" Type="http://schemas.openxmlformats.org/officeDocument/2006/relationships/hyperlink" Target="https://www.adata.com/us/xpg/DRAM-modules-LANCER-DDR5" TargetMode="External"/><Relationship Id="rId84" Type="http://schemas.openxmlformats.org/officeDocument/2006/relationships/hyperlink" Target="https://www.galax.com/en/ram/galax-hof-ddr4-4000-16g-8gx2.html" TargetMode="External"/><Relationship Id="rId83" Type="http://schemas.openxmlformats.org/officeDocument/2006/relationships/hyperlink" Target="https://www.galax.com/en/" TargetMode="External"/><Relationship Id="rId86" Type="http://schemas.openxmlformats.org/officeDocument/2006/relationships/hyperlink" Target="https://www.galax.com/en/ram/hof-ram/galax-hof-extreme.html" TargetMode="External"/><Relationship Id="rId85" Type="http://schemas.openxmlformats.org/officeDocument/2006/relationships/hyperlink" Target="https://www.galax.com/en/" TargetMode="External"/><Relationship Id="rId88" Type="http://schemas.openxmlformats.org/officeDocument/2006/relationships/hyperlink" Target="https://www.galax.com/en/ram/oclab-arduino-ddr4-4000-16g.html" TargetMode="External"/><Relationship Id="rId87" Type="http://schemas.openxmlformats.org/officeDocument/2006/relationships/hyperlink" Target="https://www.galax.com/en/" TargetMode="External"/><Relationship Id="rId89" Type="http://schemas.openxmlformats.org/officeDocument/2006/relationships/hyperlink" Target="https://www.galax.com/en/" TargetMode="External"/><Relationship Id="rId80" Type="http://schemas.openxmlformats.org/officeDocument/2006/relationships/hyperlink" Target="https://www.gskill.com/product/165/374/1635821076/F5-5600U3636C16GX2-TZ5RS" TargetMode="External"/><Relationship Id="rId82" Type="http://schemas.openxmlformats.org/officeDocument/2006/relationships/hyperlink" Target="https://detail.tmall.com/item.htm?id=623448415860" TargetMode="External"/><Relationship Id="rId81" Type="http://schemas.openxmlformats.org/officeDocument/2006/relationships/hyperlink" Target="https://www.galax.com/en/" TargetMode="External"/><Relationship Id="rId73" Type="http://schemas.openxmlformats.org/officeDocument/2006/relationships/hyperlink" Target="https://www.gskill.com/products/1/165/166/Trident-Z-RGB" TargetMode="External"/><Relationship Id="rId72" Type="http://schemas.openxmlformats.org/officeDocument/2006/relationships/hyperlink" Target="https://www.gskill.com/products/1/165/326/Trident-Z-Neo" TargetMode="External"/><Relationship Id="rId75" Type="http://schemas.openxmlformats.org/officeDocument/2006/relationships/hyperlink" Target="https://www.gskill.com/products/1/165/320/Trident-Z-Royal-Collector-Edition" TargetMode="External"/><Relationship Id="rId74" Type="http://schemas.openxmlformats.org/officeDocument/2006/relationships/hyperlink" Target="https://www.gskill.com/products/1/165/299/Trident-Z-Royal" TargetMode="External"/><Relationship Id="rId77" Type="http://schemas.openxmlformats.org/officeDocument/2006/relationships/hyperlink" Target="https://www.gskill.com/product/165/371/1635819742/F5-5600U3636C16GX2-TZ5S" TargetMode="External"/><Relationship Id="rId76" Type="http://schemas.openxmlformats.org/officeDocument/2006/relationships/hyperlink" Target="https://www.gskill.com/products/1/165/362/Trident-Z-Royal-Elite" TargetMode="External"/><Relationship Id="rId79" Type="http://schemas.openxmlformats.org/officeDocument/2006/relationships/hyperlink" Target="https://www.gskill.com/product/165/390/1662621819/F5-6000J3636F16GX2-TZ5NR" TargetMode="External"/><Relationship Id="rId78" Type="http://schemas.openxmlformats.org/officeDocument/2006/relationships/hyperlink" Target="https://www.gskill.com/product/165/393/1662622235/F5-6000J3636F16GX2-TZ5N" TargetMode="External"/><Relationship Id="rId71" Type="http://schemas.openxmlformats.org/officeDocument/2006/relationships/hyperlink" Target="https://www.gskill.com/product/165/168/1536029776/F4-2800C14D-32GTZTrident-ZDDR4-2800MHz-CL14-14-14-35-1.35V32GB-(2x16GB)" TargetMode="External"/><Relationship Id="rId70" Type="http://schemas.openxmlformats.org/officeDocument/2006/relationships/hyperlink" Target="https://www.gskill.com/product/165/371/1635819504/F5-5200U4040A16GX2-RS5W-Overview" TargetMode="External"/><Relationship Id="rId62" Type="http://schemas.openxmlformats.org/officeDocument/2006/relationships/hyperlink" Target="https://www.crucial.com/products/gaming-memory" TargetMode="External"/><Relationship Id="rId61" Type="http://schemas.openxmlformats.org/officeDocument/2006/relationships/hyperlink" Target="https://www.corsair.com/ww/en/Categories/Products/Memory/VENGEANCE-RGB-RS/p/CMG64GX4M2D3600C18" TargetMode="External"/><Relationship Id="rId64" Type="http://schemas.openxmlformats.org/officeDocument/2006/relationships/hyperlink" Target="https://www.crucial.com/products/gaming-memory/ballistix-max" TargetMode="External"/><Relationship Id="rId63" Type="http://schemas.openxmlformats.org/officeDocument/2006/relationships/hyperlink" Target="https://www.crucial.com/products/gaming-memory" TargetMode="External"/><Relationship Id="rId66" Type="http://schemas.openxmlformats.org/officeDocument/2006/relationships/hyperlink" Target="https://www.crucial.com/memory/ddr4/cp2k16g4dfra32a" TargetMode="External"/><Relationship Id="rId65" Type="http://schemas.openxmlformats.org/officeDocument/2006/relationships/hyperlink" Target="https://www.crucial.com/products/gaming-memory/ballistix-max" TargetMode="External"/><Relationship Id="rId68" Type="http://schemas.openxmlformats.org/officeDocument/2006/relationships/hyperlink" Target="https://www.crucial.com/memory/ddr5/ct2k16g48c40u5" TargetMode="External"/><Relationship Id="rId67" Type="http://schemas.openxmlformats.org/officeDocument/2006/relationships/hyperlink" Target="https://www.crucial.com/memory/ddr5/cp2k16g56c46u5" TargetMode="External"/><Relationship Id="rId60" Type="http://schemas.openxmlformats.org/officeDocument/2006/relationships/hyperlink" Target="https://www.corsair.com/ww/en/Categories/Products/Memory/VENGEANCE-RGB-RT-Black/p/CMN16GX4M2Z4000C18" TargetMode="External"/><Relationship Id="rId69" Type="http://schemas.openxmlformats.org/officeDocument/2006/relationships/hyperlink" Target="https://www.gskill.com/product/165/396/1662622664/F5-6000J3636F16GX2-FX5" TargetMode="External"/><Relationship Id="rId51" Type="http://schemas.openxmlformats.org/officeDocument/2006/relationships/hyperlink" Target="https://www.corsair.com/ww/en/Categories/Products/Memory/DOMINATOR%C2%AE-PLATINUM-16GB-%282-x-8GB%29-DDR4-DRAM-3200MHz-C16-Memory-Kit/p/CMD16GX4M2B3200C16" TargetMode="External"/><Relationship Id="rId50" Type="http://schemas.openxmlformats.org/officeDocument/2006/relationships/hyperlink" Target="http://www.avexir.com/product/soild-ddr4.html" TargetMode="External"/><Relationship Id="rId53" Type="http://schemas.openxmlformats.org/officeDocument/2006/relationships/hyperlink" Target="https://www.corsair.com/ww/en/Categories/Products/Memory/DOMINATOR-PLATINUM-RGB-DDR5-Memory---White/p/CMT32GX5M2B5200C38W" TargetMode="External"/><Relationship Id="rId52" Type="http://schemas.openxmlformats.org/officeDocument/2006/relationships/hyperlink" Target="https://www.corsair.com/ww/en/Categories/Products/Memory/DOMINATOR-PLATINUM-RGB/p/CMT16GX4M2K3600C16" TargetMode="External"/><Relationship Id="rId55" Type="http://schemas.openxmlformats.org/officeDocument/2006/relationships/hyperlink" Target="https://www.corsair.com/ww/en/Categories/Products/Memory/VENGEANCE-DDR5-Memory---Black/p/CMK32GX5M2B5200C38" TargetMode="External"/><Relationship Id="rId54" Type="http://schemas.openxmlformats.org/officeDocument/2006/relationships/hyperlink" Target="https://www.corsair.com/ww/en/Categories/Products/Memory/DOMINATOR%C2%AE-PLATINUM-RGB-DDR5-Memory-for-AMD/p/CMT32GX5M2B6000Z30" TargetMode="External"/><Relationship Id="rId57" Type="http://schemas.openxmlformats.org/officeDocument/2006/relationships/hyperlink" Target="https://www.corsair.com/ww/en/Categories/Products/Memory/VENGEANCE-RGB-DDR5-%E2%80%94-Black/p/CMH32GX5M2X6400C38" TargetMode="External"/><Relationship Id="rId56" Type="http://schemas.openxmlformats.org/officeDocument/2006/relationships/hyperlink" Target="https://www.corsair.com/ww/en/Categories/Products/Memory/VENGEANCE-DDR5-Memory---Optimized-for-AMD/p/CMK64GX5M2B5600Z36" TargetMode="External"/><Relationship Id="rId59" Type="http://schemas.openxmlformats.org/officeDocument/2006/relationships/hyperlink" Target="https://www.corsair.com/ww/en/Categories/Products/Memory/Vengeance-RGB-PRO-SL-Black/p/CMH16GX4M2E3200C16" TargetMode="External"/><Relationship Id="rId58" Type="http://schemas.openxmlformats.org/officeDocument/2006/relationships/hyperlink" Target="https://www.corsair.com/ww/en/Categories/Products/Memory/VENGEANCE-RGB-DDR5-%E2%80%94-Optimized-for-AMD/p/CMH32GX5M2B5600Z36" TargetMode="External"/><Relationship Id="rId95" Type="http://schemas.openxmlformats.org/officeDocument/2006/relationships/hyperlink" Target="http://www.geilmemory.com/" TargetMode="External"/><Relationship Id="rId94" Type="http://schemas.openxmlformats.org/officeDocument/2006/relationships/hyperlink" Target="http://www.geilmemory.com/product/?id=28" TargetMode="External"/><Relationship Id="rId97" Type="http://schemas.openxmlformats.org/officeDocument/2006/relationships/hyperlink" Target="http://www.geilmemory.com/" TargetMode="External"/><Relationship Id="rId96" Type="http://schemas.openxmlformats.org/officeDocument/2006/relationships/hyperlink" Target="http://www.geilmemory.com/product/?id=47" TargetMode="External"/><Relationship Id="rId99" Type="http://schemas.openxmlformats.org/officeDocument/2006/relationships/hyperlink" Target="http://www.geilmemory.com/" TargetMode="External"/><Relationship Id="rId98" Type="http://schemas.openxmlformats.org/officeDocument/2006/relationships/hyperlink" Target="http://www.geilmemory.com/product/?id=52" TargetMode="External"/><Relationship Id="rId91" Type="http://schemas.openxmlformats.org/officeDocument/2006/relationships/hyperlink" Target="https://www.galax.com/en/" TargetMode="External"/><Relationship Id="rId90" Type="http://schemas.openxmlformats.org/officeDocument/2006/relationships/hyperlink" Target="https://www.galax.com/en/ram/oclab-aurora-ddr4-3600-16g.html" TargetMode="External"/><Relationship Id="rId93" Type="http://schemas.openxmlformats.org/officeDocument/2006/relationships/hyperlink" Target="http://www.geilmemory.com/" TargetMode="External"/><Relationship Id="rId92" Type="http://schemas.openxmlformats.org/officeDocument/2006/relationships/hyperlink" Target="https://www.galax.com/en/ram/oclab-master-ddr4-4000-16g-a2.html" TargetMode="External"/><Relationship Id="rId220" Type="http://schemas.openxmlformats.org/officeDocument/2006/relationships/hyperlink" Target="https://www.zadak.biz/products/content/19" TargetMode="External"/><Relationship Id="rId224" Type="http://schemas.openxmlformats.org/officeDocument/2006/relationships/vmlDrawing" Target="../drawings/vmlDrawing8.vml"/><Relationship Id="rId223" Type="http://schemas.openxmlformats.org/officeDocument/2006/relationships/drawing" Target="../drawings/drawing11.xml"/><Relationship Id="rId222" Type="http://schemas.openxmlformats.org/officeDocument/2006/relationships/hyperlink" Target="https://www.zadak.biz/products/content/49" TargetMode="External"/><Relationship Id="rId221" Type="http://schemas.openxmlformats.org/officeDocument/2006/relationships/hyperlink" Target="https://www.zadak.biz/" TargetMode="External"/><Relationship Id="rId217" Type="http://schemas.openxmlformats.org/officeDocument/2006/relationships/hyperlink" Target="https://www.thermaltake.com/" TargetMode="External"/><Relationship Id="rId216" Type="http://schemas.openxmlformats.org/officeDocument/2006/relationships/hyperlink" Target="https://www.teamgroupinc.com/en/product/vulcan-z-ddr4" TargetMode="External"/><Relationship Id="rId215" Type="http://schemas.openxmlformats.org/officeDocument/2006/relationships/hyperlink" Target="https://www.teamgroupinc.com/en/" TargetMode="External"/><Relationship Id="rId214" Type="http://schemas.openxmlformats.org/officeDocument/2006/relationships/hyperlink" Target="https://www.teamgroupinc.com/en/product/vulcan-alpha-ddr5" TargetMode="External"/><Relationship Id="rId219" Type="http://schemas.openxmlformats.org/officeDocument/2006/relationships/hyperlink" Target="https://www.zadak.biz/" TargetMode="External"/><Relationship Id="rId218" Type="http://schemas.openxmlformats.org/officeDocument/2006/relationships/hyperlink" Target="https://www.thermaltake.com/toughram-rc-memory-ddr5-4800mhz-32gb-16gb-x2.html" TargetMode="External"/><Relationship Id="rId213" Type="http://schemas.openxmlformats.org/officeDocument/2006/relationships/hyperlink" Target="https://www.teamgroupinc.com/en/" TargetMode="External"/><Relationship Id="rId212" Type="http://schemas.openxmlformats.org/officeDocument/2006/relationships/hyperlink" Target="https://www.teamgroupinc.com/en/product/vulcan-ddr5" TargetMode="External"/><Relationship Id="rId211" Type="http://schemas.openxmlformats.org/officeDocument/2006/relationships/hyperlink" Target="https://www.teamgroupinc.com/en/" TargetMode="External"/><Relationship Id="rId210" Type="http://schemas.openxmlformats.org/officeDocument/2006/relationships/hyperlink" Target="https://www.teamgroupinc.com/en/product/vulcan-ddr4" TargetMode="External"/><Relationship Id="rId206" Type="http://schemas.openxmlformats.org/officeDocument/2006/relationships/hyperlink" Target="https://www.teamgroupinc.com/en/" TargetMode="External"/><Relationship Id="rId205" Type="http://schemas.openxmlformats.org/officeDocument/2006/relationships/hyperlink" Target="https://www.teamgroupinc.com/en/" TargetMode="External"/><Relationship Id="rId204" Type="http://schemas.openxmlformats.org/officeDocument/2006/relationships/hyperlink" Target="https://www.teamgroupinc.com/en/" TargetMode="External"/><Relationship Id="rId203" Type="http://schemas.openxmlformats.org/officeDocument/2006/relationships/hyperlink" Target="https://www.teamgroupinc.com/en/product/delta-rgb-ddr5" TargetMode="External"/><Relationship Id="rId209" Type="http://schemas.openxmlformats.org/officeDocument/2006/relationships/hyperlink" Target="https://www.teamgroupinc.com/en/" TargetMode="External"/><Relationship Id="rId208" Type="http://schemas.openxmlformats.org/officeDocument/2006/relationships/hyperlink" Target="https://www.teamgroupinc.com/en/" TargetMode="External"/><Relationship Id="rId207" Type="http://schemas.openxmlformats.org/officeDocument/2006/relationships/hyperlink" Target="https://www.teamgroupinc.com/en/" TargetMode="External"/><Relationship Id="rId202" Type="http://schemas.openxmlformats.org/officeDocument/2006/relationships/hyperlink" Target="https://www.teamgroupinc.com/en/" TargetMode="External"/><Relationship Id="rId201" Type="http://schemas.openxmlformats.org/officeDocument/2006/relationships/hyperlink" Target="https://www.teamgroupinc.com/en/" TargetMode="External"/><Relationship Id="rId200" Type="http://schemas.openxmlformats.org/officeDocument/2006/relationships/hyperlink" Target="https://www.teamgroupinc.com/en/product/dark-z-alpha-ddr4" TargetMode="External"/><Relationship Id="rId190" Type="http://schemas.openxmlformats.org/officeDocument/2006/relationships/hyperlink" Target="https://www.silicon-power.com/web/us/product-Zenith_DDR5_RGB_Gaming_UDIMM" TargetMode="External"/><Relationship Id="rId194" Type="http://schemas.openxmlformats.org/officeDocument/2006/relationships/hyperlink" Target="https://www.teamgroupinc.com/en/product/elite-plus-u-dimm-ddr5" TargetMode="External"/><Relationship Id="rId193" Type="http://schemas.openxmlformats.org/officeDocument/2006/relationships/hyperlink" Target="https://www.teamgroupinc.com/en/" TargetMode="External"/><Relationship Id="rId192" Type="http://schemas.openxmlformats.org/officeDocument/2006/relationships/hyperlink" Target="https://www.teamgroupinc.com/en/product/elite-u-dimm-ddr5" TargetMode="External"/><Relationship Id="rId191" Type="http://schemas.openxmlformats.org/officeDocument/2006/relationships/hyperlink" Target="https://www.teamgroupinc.com/en/" TargetMode="External"/><Relationship Id="rId187" Type="http://schemas.openxmlformats.org/officeDocument/2006/relationships/hyperlink" Target="https://www.silicon-power.com/web/us/" TargetMode="External"/><Relationship Id="rId186" Type="http://schemas.openxmlformats.org/officeDocument/2006/relationships/hyperlink" Target="https://www.silicon-power.com/web/product-Zenith_RGB_DDR4_Gaming_UDIMM" TargetMode="External"/><Relationship Id="rId185" Type="http://schemas.openxmlformats.org/officeDocument/2006/relationships/hyperlink" Target="https://www.silicon-power.com/web/us/" TargetMode="External"/><Relationship Id="rId184" Type="http://schemas.openxmlformats.org/officeDocument/2006/relationships/hyperlink" Target="https://www.silicon-power.com/web/product-Zenith_DDR4_Gaming_UDIMM" TargetMode="External"/><Relationship Id="rId189" Type="http://schemas.openxmlformats.org/officeDocument/2006/relationships/hyperlink" Target="https://www.silicon-power.com/web/us/" TargetMode="External"/><Relationship Id="rId188" Type="http://schemas.openxmlformats.org/officeDocument/2006/relationships/hyperlink" Target="https://www.silicon-power.com/web/us/product-Zenith_DDR5_Gaming_UDIMM" TargetMode="External"/><Relationship Id="rId183" Type="http://schemas.openxmlformats.org/officeDocument/2006/relationships/hyperlink" Target="https://www.silicon-power.com/web/us/" TargetMode="External"/><Relationship Id="rId182" Type="http://schemas.openxmlformats.org/officeDocument/2006/relationships/hyperlink" Target="https://www.silicon-power.com/web/product-XPOWER_Turbine_RGB_DDR4_Gaming_UDIMM" TargetMode="External"/><Relationship Id="rId181" Type="http://schemas.openxmlformats.org/officeDocument/2006/relationships/hyperlink" Target="https://www.silicon-power.com/web/us/" TargetMode="External"/><Relationship Id="rId180" Type="http://schemas.openxmlformats.org/officeDocument/2006/relationships/hyperlink" Target="https://www.silicon-power.com/web/product-XPOWER_Turbine_DDR4_Gaming_UDIMM" TargetMode="External"/><Relationship Id="rId176" Type="http://schemas.openxmlformats.org/officeDocument/2006/relationships/hyperlink" Target="https://www.pny.com/xlr8-gaming-mako-6000mhz-desktop-memory" TargetMode="External"/><Relationship Id="rId175" Type="http://schemas.openxmlformats.org/officeDocument/2006/relationships/hyperlink" Target="https://www.pny.com/" TargetMode="External"/><Relationship Id="rId174" Type="http://schemas.openxmlformats.org/officeDocument/2006/relationships/hyperlink" Target="https://viper.patriotmemory.com/products/viper-venom-ddr5-performance-ram" TargetMode="External"/><Relationship Id="rId173" Type="http://schemas.openxmlformats.org/officeDocument/2006/relationships/hyperlink" Target="https://viper.patriotmemory.com/" TargetMode="External"/><Relationship Id="rId179" Type="http://schemas.openxmlformats.org/officeDocument/2006/relationships/hyperlink" Target="https://www.silicon-power.com/web/us/" TargetMode="External"/><Relationship Id="rId178" Type="http://schemas.openxmlformats.org/officeDocument/2006/relationships/hyperlink" Target="https://www.silicon-power.com/web/product-XPOWER_AirCool_DDR4_Gaming_UDIMM" TargetMode="External"/><Relationship Id="rId177" Type="http://schemas.openxmlformats.org/officeDocument/2006/relationships/hyperlink" Target="https://www.silicon-power.com/web/us/" TargetMode="External"/><Relationship Id="rId198" Type="http://schemas.openxmlformats.org/officeDocument/2006/relationships/hyperlink" Target="https://www.teamgroupinc.com/en/product/dark-z-ddr4" TargetMode="External"/><Relationship Id="rId197" Type="http://schemas.openxmlformats.org/officeDocument/2006/relationships/hyperlink" Target="https://www.teamgroupinc.com/en/" TargetMode="External"/><Relationship Id="rId196" Type="http://schemas.openxmlformats.org/officeDocument/2006/relationships/hyperlink" Target="https://www.teamgroupinc.com/en/" TargetMode="External"/><Relationship Id="rId195" Type="http://schemas.openxmlformats.org/officeDocument/2006/relationships/hyperlink" Target="https://www.teamgroupinc.com/en/" TargetMode="External"/><Relationship Id="rId199" Type="http://schemas.openxmlformats.org/officeDocument/2006/relationships/hyperlink" Target="https://www.teamgroupinc.com/en/" TargetMode="External"/><Relationship Id="rId150" Type="http://schemas.openxmlformats.org/officeDocument/2006/relationships/hyperlink" Target="https://www.lexar.com/product/lexar-ares-rgb-ddr5-desktop-memory/" TargetMode="External"/><Relationship Id="rId149" Type="http://schemas.openxmlformats.org/officeDocument/2006/relationships/hyperlink" Target="https://www.lexar.com/" TargetMode="External"/><Relationship Id="rId148" Type="http://schemas.openxmlformats.org/officeDocument/2006/relationships/hyperlink" Target="https://www.lexar.com/product/lexar-ares-oc-ddr5-4800-desktop-memory/" TargetMode="External"/><Relationship Id="rId143" Type="http://schemas.openxmlformats.org/officeDocument/2006/relationships/hyperlink" Target="https://www.klevv.com/ken/main" TargetMode="External"/><Relationship Id="rId142" Type="http://schemas.openxmlformats.org/officeDocument/2006/relationships/hyperlink" Target="https://www.klevv.com/ken/products_details/memory/Klevv_CrasXRRGB" TargetMode="External"/><Relationship Id="rId141" Type="http://schemas.openxmlformats.org/officeDocument/2006/relationships/hyperlink" Target="https://www.klevv.com/ken/main" TargetMode="External"/><Relationship Id="rId140" Type="http://schemas.openxmlformats.org/officeDocument/2006/relationships/hyperlink" Target="https://www.klevv.com/ken/products_details/memory/Klevv_CrasXRGB" TargetMode="External"/><Relationship Id="rId147" Type="http://schemas.openxmlformats.org/officeDocument/2006/relationships/hyperlink" Target="https://www.lexar.com/" TargetMode="External"/><Relationship Id="rId146" Type="http://schemas.openxmlformats.org/officeDocument/2006/relationships/hyperlink" Target="https://www.klevv.com/ken/products_details/memory/Klevv_FIT4" TargetMode="External"/><Relationship Id="rId145" Type="http://schemas.openxmlformats.org/officeDocument/2006/relationships/hyperlink" Target="https://www.klevv.com/ken/main" TargetMode="External"/><Relationship Id="rId144" Type="http://schemas.openxmlformats.org/officeDocument/2006/relationships/hyperlink" Target="https://www.klevv.com/ken/products_details/memory/Klevv_CrasXR5RGB" TargetMode="External"/><Relationship Id="rId139" Type="http://schemas.openxmlformats.org/officeDocument/2006/relationships/hyperlink" Target="https://www.klevv.com/ken/main" TargetMode="External"/><Relationship Id="rId138" Type="http://schemas.openxmlformats.org/officeDocument/2006/relationships/hyperlink" Target="https://www.klevv.com/ken/products_details/memory/Klevv_CrasVRGB" TargetMode="External"/><Relationship Id="rId137" Type="http://schemas.openxmlformats.org/officeDocument/2006/relationships/hyperlink" Target="https://www.klevv.com/ken/main" TargetMode="External"/><Relationship Id="rId132" Type="http://schemas.openxmlformats.org/officeDocument/2006/relationships/hyperlink" Target="https://www.klevv.com/ken/products_details/memory/Klevv_Cras" TargetMode="External"/><Relationship Id="rId131" Type="http://schemas.openxmlformats.org/officeDocument/2006/relationships/hyperlink" Target="https://www.klevv.com/ken/main" TargetMode="External"/><Relationship Id="rId130" Type="http://schemas.openxmlformats.org/officeDocument/2006/relationships/hyperlink" Target="https://www.klevv.com/ken/products_details/memory/Klevv_BoltXR" TargetMode="External"/><Relationship Id="rId136" Type="http://schemas.openxmlformats.org/officeDocument/2006/relationships/hyperlink" Target="https://www.klevv.com/ken/products_details/memory/Klevv_CrasIIRGB" TargetMode="External"/><Relationship Id="rId135" Type="http://schemas.openxmlformats.org/officeDocument/2006/relationships/hyperlink" Target="https://www.klevv.com/ken/main" TargetMode="External"/><Relationship Id="rId134" Type="http://schemas.openxmlformats.org/officeDocument/2006/relationships/hyperlink" Target="https://www.klevv.com/ken/products_details/memory/Klevv_CrasII" TargetMode="External"/><Relationship Id="rId133" Type="http://schemas.openxmlformats.org/officeDocument/2006/relationships/hyperlink" Target="https://www.klevv.com/ken/main" TargetMode="External"/><Relationship Id="rId172" Type="http://schemas.openxmlformats.org/officeDocument/2006/relationships/hyperlink" Target="https://viper.patriotmemory.com/products/viper-venom-ddr5-performance-ram" TargetMode="External"/><Relationship Id="rId171" Type="http://schemas.openxmlformats.org/officeDocument/2006/relationships/hyperlink" Target="https://viper.patriotmemory.com/" TargetMode="External"/><Relationship Id="rId170" Type="http://schemas.openxmlformats.org/officeDocument/2006/relationships/hyperlink" Target="https://viper.patriotmemory.com/products/viper-steel-ddr4-performance-memory-ram-viper-gaming-by-patriot-memory" TargetMode="External"/><Relationship Id="rId165" Type="http://schemas.openxmlformats.org/officeDocument/2006/relationships/hyperlink" Target="https://viper.patriotmemory.com/" TargetMode="External"/><Relationship Id="rId164" Type="http://schemas.openxmlformats.org/officeDocument/2006/relationships/hyperlink" Target="https://viper.patriotmemory.com/products/viper-4-blackout-ddr4-performance-memory-ram-viper-gaming-by-patriot-memory" TargetMode="External"/><Relationship Id="rId163" Type="http://schemas.openxmlformats.org/officeDocument/2006/relationships/hyperlink" Target="https://viper.patriotmemory.com/" TargetMode="External"/><Relationship Id="rId162" Type="http://schemas.openxmlformats.org/officeDocument/2006/relationships/hyperlink" Target="https://viper.patriotmemory.com/products/viper-4-ddr4-performance-memory-ram-viper-gaming-by-patriot-memory" TargetMode="External"/><Relationship Id="rId169" Type="http://schemas.openxmlformats.org/officeDocument/2006/relationships/hyperlink" Target="https://viper.patriotmemory.com/" TargetMode="External"/><Relationship Id="rId168" Type="http://schemas.openxmlformats.org/officeDocument/2006/relationships/hyperlink" Target="https://viper.patriotmemory.com/products/viper-rgb-ddr4-performance-memory-ram-viper-gaming-by-patriot-memory" TargetMode="External"/><Relationship Id="rId167" Type="http://schemas.openxmlformats.org/officeDocument/2006/relationships/hyperlink" Target="https://viper.patriotmemory.com/" TargetMode="External"/><Relationship Id="rId166" Type="http://schemas.openxmlformats.org/officeDocument/2006/relationships/hyperlink" Target="https://viper.patriotmemory.com/products/viper-elite-ddr4-performance-memory-ram-viper-gaming-by-patriot-memory" TargetMode="External"/><Relationship Id="rId161" Type="http://schemas.openxmlformats.org/officeDocument/2006/relationships/hyperlink" Target="https://viper.patriotmemory.com/" TargetMode="External"/><Relationship Id="rId160" Type="http://schemas.openxmlformats.org/officeDocument/2006/relationships/hyperlink" Target="https://info.patriotmemory.com/patriot-signature-line-premium-ddr4-computer-memory" TargetMode="External"/><Relationship Id="rId159" Type="http://schemas.openxmlformats.org/officeDocument/2006/relationships/hyperlink" Target="https://viper.patriotmemory.com/" TargetMode="External"/><Relationship Id="rId154" Type="http://schemas.openxmlformats.org/officeDocument/2006/relationships/hyperlink" Target="https://www.oloymemory.com/blade5/" TargetMode="External"/><Relationship Id="rId153" Type="http://schemas.openxmlformats.org/officeDocument/2006/relationships/hyperlink" Target="https://www.oloymemory.com/products.html" TargetMode="External"/><Relationship Id="rId152" Type="http://schemas.openxmlformats.org/officeDocument/2006/relationships/hyperlink" Target="https://www.amazon.com/dp/B08W56CYDW" TargetMode="External"/><Relationship Id="rId151" Type="http://schemas.openxmlformats.org/officeDocument/2006/relationships/hyperlink" Target="https://www.oloymemory.com/products.html" TargetMode="External"/><Relationship Id="rId158" Type="http://schemas.openxmlformats.org/officeDocument/2006/relationships/hyperlink" Target="https://info.patriotmemory.com/patriot-signature-line-ddr4-computer-memory" TargetMode="External"/><Relationship Id="rId157" Type="http://schemas.openxmlformats.org/officeDocument/2006/relationships/hyperlink" Target="https://viper.patriotmemory.com/" TargetMode="External"/><Relationship Id="rId156" Type="http://schemas.openxmlformats.org/officeDocument/2006/relationships/hyperlink" Target="https://www.oloymemory.com/warhawk/" TargetMode="External"/><Relationship Id="rId155" Type="http://schemas.openxmlformats.org/officeDocument/2006/relationships/hyperlink" Target="https://www.oloymemory.com/products.html" TargetMode="External"/><Relationship Id="rId107" Type="http://schemas.openxmlformats.org/officeDocument/2006/relationships/hyperlink" Target="https://www.gigabyte.com/Memory/AORUS-RGB-Memory-16GB--2x8GB-3600MHz" TargetMode="External"/><Relationship Id="rId106" Type="http://schemas.openxmlformats.org/officeDocument/2006/relationships/hyperlink" Target="https://www.gigabyte.com/Memory/AORUS-RGB-Memory-3200MHz-HCX2" TargetMode="External"/><Relationship Id="rId105" Type="http://schemas.openxmlformats.org/officeDocument/2006/relationships/hyperlink" Target="https://www.gigabyte.com/Memory/AORUS--Memory-DDR5-32GB--2x16GB-5200MHz" TargetMode="External"/><Relationship Id="rId104" Type="http://schemas.openxmlformats.org/officeDocument/2006/relationships/hyperlink" Target="http://www.geilmemory.com/product/?id=55" TargetMode="External"/><Relationship Id="rId109" Type="http://schemas.openxmlformats.org/officeDocument/2006/relationships/hyperlink" Target="https://www.gigabyte.com/Memory/AORUS-RGB-Memory-DDR5-32GB--2x16GB-6000MHz" TargetMode="External"/><Relationship Id="rId108" Type="http://schemas.openxmlformats.org/officeDocument/2006/relationships/hyperlink" Target="https://www.gigabyte.com/Memory/AORUS-RGB-Memory-DDR4-16GB--2x8GB-4400MHz" TargetMode="External"/><Relationship Id="rId103" Type="http://schemas.openxmlformats.org/officeDocument/2006/relationships/hyperlink" Target="http://www.geilmemory.com/" TargetMode="External"/><Relationship Id="rId102" Type="http://schemas.openxmlformats.org/officeDocument/2006/relationships/hyperlink" Target="http://www.geilmemory.com/product/?id=56" TargetMode="External"/><Relationship Id="rId101" Type="http://schemas.openxmlformats.org/officeDocument/2006/relationships/hyperlink" Target="http://www.geilmemory.com/" TargetMode="External"/><Relationship Id="rId100" Type="http://schemas.openxmlformats.org/officeDocument/2006/relationships/hyperlink" Target="http://www.geilmemory.com/product/?id=51" TargetMode="External"/><Relationship Id="rId129" Type="http://schemas.openxmlformats.org/officeDocument/2006/relationships/hyperlink" Target="https://www.klevv.com/ken/main" TargetMode="External"/><Relationship Id="rId128" Type="http://schemas.openxmlformats.org/officeDocument/2006/relationships/hyperlink" Target="https://www.klevv.com/ken/products_details/memory/Klevv_BoltX" TargetMode="External"/><Relationship Id="rId127" Type="http://schemas.openxmlformats.org/officeDocument/2006/relationships/hyperlink" Target="https://www.klevv.com/ken/main" TargetMode="External"/><Relationship Id="rId126" Type="http://schemas.openxmlformats.org/officeDocument/2006/relationships/hyperlink" Target="https://www.klevv.com/ken/products_details/memory/Klevv_BoltV" TargetMode="External"/><Relationship Id="rId121" Type="http://schemas.openxmlformats.org/officeDocument/2006/relationships/hyperlink" Target="https://www.hyperxgaming.com/en/memory/predator-ddr4" TargetMode="External"/><Relationship Id="rId120" Type="http://schemas.openxmlformats.org/officeDocument/2006/relationships/hyperlink" Target="https://www.kingston.com/en/memory/gaming/kingston-fury-renegade-ddr4-rgb-memory" TargetMode="External"/><Relationship Id="rId125" Type="http://schemas.openxmlformats.org/officeDocument/2006/relationships/hyperlink" Target="https://www.klevv.com/ken/main" TargetMode="External"/><Relationship Id="rId124" Type="http://schemas.openxmlformats.org/officeDocument/2006/relationships/hyperlink" Target="https://www.klevv.com/ken/products_details/memory/Klevv_Bolt" TargetMode="External"/><Relationship Id="rId123" Type="http://schemas.openxmlformats.org/officeDocument/2006/relationships/hyperlink" Target="https://www.klevv.com/ken/main" TargetMode="External"/><Relationship Id="rId122" Type="http://schemas.openxmlformats.org/officeDocument/2006/relationships/hyperlink" Target="https://www.hyperxgaming.com/en/memory/predator-ddr4" TargetMode="External"/><Relationship Id="rId118" Type="http://schemas.openxmlformats.org/officeDocument/2006/relationships/hyperlink" Target="https://www.kingston.com/en/memory/gaming/fury-renegade-ddr5" TargetMode="External"/><Relationship Id="rId117" Type="http://schemas.openxmlformats.org/officeDocument/2006/relationships/hyperlink" Target="https://www.kingston.com/en/memory/gaming/kingston-fury-renegade-ddr4-memory" TargetMode="External"/><Relationship Id="rId116" Type="http://schemas.openxmlformats.org/officeDocument/2006/relationships/hyperlink" Target="https://www.kingston.com/en/memory/gaming/kingston-fury-beast-ddr4-rgb-memory" TargetMode="External"/><Relationship Id="rId115" Type="http://schemas.openxmlformats.org/officeDocument/2006/relationships/hyperlink" Target="https://www.kingston.com/en/memory/gaming/kingston-fury-beast-ddr5-rgb-memory" TargetMode="External"/><Relationship Id="rId119" Type="http://schemas.openxmlformats.org/officeDocument/2006/relationships/hyperlink" Target="https://www.kingston.com/en/memory/gaming/fury-renegade-ddr5-rgb" TargetMode="External"/><Relationship Id="rId110" Type="http://schemas.openxmlformats.org/officeDocument/2006/relationships/hyperlink" Target="https://www.gigabyte.com/Memory/DESIGNARE-Memory-64GB--2x32GB-3200MHz" TargetMode="External"/><Relationship Id="rId114" Type="http://schemas.openxmlformats.org/officeDocument/2006/relationships/hyperlink" Target="https://www.kingston.com/en/memory/gaming/kingston-fury-beast-ddr5-memory" TargetMode="External"/><Relationship Id="rId113" Type="http://schemas.openxmlformats.org/officeDocument/2006/relationships/hyperlink" Target="https://www.kingston.com/en/memory/gaming/fury-beast-ddr4-rgb-special-edition" TargetMode="External"/><Relationship Id="rId112" Type="http://schemas.openxmlformats.org/officeDocument/2006/relationships/hyperlink" Target="https://www.kingston.com/en/memory/gaming/kingston-fury-beast-ddr4-memory" TargetMode="External"/><Relationship Id="rId111" Type="http://schemas.openxmlformats.org/officeDocument/2006/relationships/hyperlink" Target="https://www.gigabyte.com/Memory/GIGABYTE-Memory-2666MHz" TargetMode="Externa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3m.com/" TargetMode="External"/><Relationship Id="rId3" Type="http://schemas.openxmlformats.org/officeDocument/2006/relationships/hyperlink" Target="https://www.3m.com/3M/en_US/p/d/b5005334030/" TargetMode="External"/><Relationship Id="rId4" Type="http://schemas.openxmlformats.org/officeDocument/2006/relationships/hyperlink" Target="https://www.3m.com/" TargetMode="External"/><Relationship Id="rId9" Type="http://schemas.openxmlformats.org/officeDocument/2006/relationships/hyperlink" Target="http://www.adt.link/product/R3334W.html" TargetMode="External"/><Relationship Id="rId5" Type="http://schemas.openxmlformats.org/officeDocument/2006/relationships/hyperlink" Target="https://www.3m.com/3M/en_US/p/d/b00035486/" TargetMode="External"/><Relationship Id="rId6" Type="http://schemas.openxmlformats.org/officeDocument/2006/relationships/hyperlink" Target="http://www.adt.link/" TargetMode="External"/><Relationship Id="rId7" Type="http://schemas.openxmlformats.org/officeDocument/2006/relationships/hyperlink" Target="http://www.adt.link/product/K33.html" TargetMode="External"/><Relationship Id="rId8" Type="http://schemas.openxmlformats.org/officeDocument/2006/relationships/hyperlink" Target="http://www.adt.link/" TargetMode="External"/><Relationship Id="rId40" Type="http://schemas.openxmlformats.org/officeDocument/2006/relationships/hyperlink" Target="https://www.thermaltake.com/" TargetMode="External"/><Relationship Id="rId42" Type="http://schemas.openxmlformats.org/officeDocument/2006/relationships/drawing" Target="../drawings/drawing12.xml"/><Relationship Id="rId41" Type="http://schemas.openxmlformats.org/officeDocument/2006/relationships/hyperlink" Target="https://www.thermaltakeusa.com/gaming-pci-e-3-0-x16-riser-cable.html" TargetMode="External"/><Relationship Id="rId43" Type="http://schemas.openxmlformats.org/officeDocument/2006/relationships/vmlDrawing" Target="../drawings/vmlDrawing9.vml"/><Relationship Id="rId31" Type="http://schemas.openxmlformats.org/officeDocument/2006/relationships/hyperlink" Target="https://www.louqe.com/accessories/" TargetMode="External"/><Relationship Id="rId30" Type="http://schemas.openxmlformats.org/officeDocument/2006/relationships/hyperlink" Target="https://www.louqe.com/" TargetMode="External"/><Relationship Id="rId33" Type="http://schemas.openxmlformats.org/officeDocument/2006/relationships/hyperlink" Target="https://phanteks.com/Riser-Cables.html" TargetMode="External"/><Relationship Id="rId32" Type="http://schemas.openxmlformats.org/officeDocument/2006/relationships/hyperlink" Target="http://www.phanteks.com/" TargetMode="External"/><Relationship Id="rId35" Type="http://schemas.openxmlformats.org/officeDocument/2006/relationships/hyperlink" Target="https://phanteks.com/Riser-Cables.html" TargetMode="External"/><Relationship Id="rId34" Type="http://schemas.openxmlformats.org/officeDocument/2006/relationships/hyperlink" Target="http://www.phanteks.com/" TargetMode="External"/><Relationship Id="rId37" Type="http://schemas.openxmlformats.org/officeDocument/2006/relationships/hyperlink" Target="https://www.density.sk/product/pcie-bifurcated-riser-cable/" TargetMode="External"/><Relationship Id="rId36" Type="http://schemas.openxmlformats.org/officeDocument/2006/relationships/hyperlink" Target="http://sliger.com/" TargetMode="External"/><Relationship Id="rId39" Type="http://schemas.openxmlformats.org/officeDocument/2006/relationships/hyperlink" Target="https://www.thermaltakeusa.com/tt-premium-pci-e-3-0-extender-300mm.html" TargetMode="External"/><Relationship Id="rId38" Type="http://schemas.openxmlformats.org/officeDocument/2006/relationships/hyperlink" Target="https://www.thermaltake.com/" TargetMode="External"/><Relationship Id="rId20" Type="http://schemas.openxmlformats.org/officeDocument/2006/relationships/hyperlink" Target="http://www.adt.link/" TargetMode="External"/><Relationship Id="rId22" Type="http://schemas.openxmlformats.org/officeDocument/2006/relationships/hyperlink" Target="https://www.asus.com/" TargetMode="External"/><Relationship Id="rId21" Type="http://schemas.openxmlformats.org/officeDocument/2006/relationships/hyperlink" Target="http://www.adt.link/product/R33V4.html" TargetMode="External"/><Relationship Id="rId24" Type="http://schemas.openxmlformats.org/officeDocument/2006/relationships/hyperlink" Target="https://shop391896025.world.taobao.com/" TargetMode="External"/><Relationship Id="rId23" Type="http://schemas.openxmlformats.org/officeDocument/2006/relationships/hyperlink" Target="https://rog.asus.com/cases/rog-strix-riser-cable-model/" TargetMode="External"/><Relationship Id="rId26" Type="http://schemas.openxmlformats.org/officeDocument/2006/relationships/hyperlink" Target="https://www.liheat.com.tw/en/" TargetMode="External"/><Relationship Id="rId25" Type="http://schemas.openxmlformats.org/officeDocument/2006/relationships/hyperlink" Target="https://item.taobao.com/item.htm?id=651248220261" TargetMode="External"/><Relationship Id="rId28" Type="http://schemas.openxmlformats.org/officeDocument/2006/relationships/hyperlink" Target="https://linkup.one/" TargetMode="External"/><Relationship Id="rId27" Type="http://schemas.openxmlformats.org/officeDocument/2006/relationships/hyperlink" Target="https://www.liheat.com.tw/en/product.html" TargetMode="External"/><Relationship Id="rId29" Type="http://schemas.openxmlformats.org/officeDocument/2006/relationships/hyperlink" Target="https://linkup.one/pcie-riser-cables/pcie-ultra-4-0-riser-cables/pcie-4-0-ultra-itx-reverse-angle-connectors/" TargetMode="External"/><Relationship Id="rId11" Type="http://schemas.openxmlformats.org/officeDocument/2006/relationships/hyperlink" Target="http://www.adt.link/product/R3334W.html" TargetMode="External"/><Relationship Id="rId10" Type="http://schemas.openxmlformats.org/officeDocument/2006/relationships/hyperlink" Target="http://www.adt.link/" TargetMode="External"/><Relationship Id="rId13" Type="http://schemas.openxmlformats.org/officeDocument/2006/relationships/hyperlink" Target="http://www.adt.link/product/R33V42.html" TargetMode="External"/><Relationship Id="rId12" Type="http://schemas.openxmlformats.org/officeDocument/2006/relationships/hyperlink" Target="http://www.adt.link/" TargetMode="External"/><Relationship Id="rId15" Type="http://schemas.openxmlformats.org/officeDocument/2006/relationships/hyperlink" Target="http://www.adt.link/product/R33V42.html" TargetMode="External"/><Relationship Id="rId14" Type="http://schemas.openxmlformats.org/officeDocument/2006/relationships/hyperlink" Target="http://www.adt.link/" TargetMode="External"/><Relationship Id="rId17" Type="http://schemas.openxmlformats.org/officeDocument/2006/relationships/hyperlink" Target="http://www.adt.link/product/R33_ITX.html" TargetMode="External"/><Relationship Id="rId16" Type="http://schemas.openxmlformats.org/officeDocument/2006/relationships/hyperlink" Target="http://www.adt.link/" TargetMode="External"/><Relationship Id="rId19" Type="http://schemas.openxmlformats.org/officeDocument/2006/relationships/hyperlink" Target="http://www.adt.link/product/R33V4.html" TargetMode="External"/><Relationship Id="rId18" Type="http://schemas.openxmlformats.org/officeDocument/2006/relationships/hyperlink" Target="http://www.adt.link/" TargetMode="External"/></Relationships>
</file>

<file path=xl/worksheets/_rels/sheet13.xml.rels><?xml version="1.0" encoding="UTF-8" standalone="yes"?><Relationships xmlns="http://schemas.openxmlformats.org/package/2006/relationships"><Relationship Id="rId392" Type="http://schemas.openxmlformats.org/officeDocument/2006/relationships/hyperlink" Target="https://www.msi.com/Graphics-Card/GeForce-RTX-3050-VENTUS-2X-6G-OC" TargetMode="External"/><Relationship Id="rId391" Type="http://schemas.openxmlformats.org/officeDocument/2006/relationships/hyperlink" Target="https://www.msi.com/Graphics-Card/GeForce-RTX-3050-VENTUS-2X-6G" TargetMode="External"/><Relationship Id="rId390" Type="http://schemas.openxmlformats.org/officeDocument/2006/relationships/hyperlink" Target="https://www.msi.com/Graphics-Card/GeForce-RTX-3050-LP-6G-OC" TargetMode="External"/><Relationship Id="rId1" Type="http://schemas.openxmlformats.org/officeDocument/2006/relationships/comments" Target="../comments10.xml"/><Relationship Id="rId2" Type="http://schemas.openxmlformats.org/officeDocument/2006/relationships/hyperlink" Target="https://www.msi.com/Graphics-card/Radeon-RX-5500-XT-MECH-4G-OC" TargetMode="External"/><Relationship Id="rId3" Type="http://schemas.openxmlformats.org/officeDocument/2006/relationships/hyperlink" Target="https://www.sapphiretech.com/en/consumer/pulse-radeon-rx-5500-xt-sf-4g-gddr6" TargetMode="External"/><Relationship Id="rId4" Type="http://schemas.openxmlformats.org/officeDocument/2006/relationships/hyperlink" Target="https://www.msi.com/Graphics-card/Radeon-RX-5500-XT-MECH-8G-OC" TargetMode="External"/><Relationship Id="rId9" Type="http://schemas.openxmlformats.org/officeDocument/2006/relationships/hyperlink" Target="https://www.asus.com/Motherboards-Components/Graphics-Cards/Dual/DUAL-RX6400-4G/" TargetMode="External"/><Relationship Id="rId385" Type="http://schemas.openxmlformats.org/officeDocument/2006/relationships/hyperlink" Target="http://manli.com/en" TargetMode="External"/><Relationship Id="rId384" Type="http://schemas.openxmlformats.org/officeDocument/2006/relationships/hyperlink" Target="https://www.gigabyte.com/Graphics-Card/GV-N3050EAGLE-OC-6GD" TargetMode="External"/><Relationship Id="rId383" Type="http://schemas.openxmlformats.org/officeDocument/2006/relationships/hyperlink" Target="https://www.gigabyte.com/Graphics-Card/GV-N3050OC-6GL" TargetMode="External"/><Relationship Id="rId382" Type="http://schemas.openxmlformats.org/officeDocument/2006/relationships/hyperlink" Target="https://www.galax.com/en/graphics-card/30-series/3050-series/geforce-rtx-3050-6gb-ex.html" TargetMode="External"/><Relationship Id="rId5" Type="http://schemas.openxmlformats.org/officeDocument/2006/relationships/hyperlink" Target="https://www.sapphiretech.com/en/consumer/pulse-radeon-rx-5500-xt-sf-8g-gddr6" TargetMode="External"/><Relationship Id="rId389" Type="http://schemas.openxmlformats.org/officeDocument/2006/relationships/hyperlink" Target="https://www.msi.com/Graphics-Card/GeForce-RTX-3050-LP-6G" TargetMode="External"/><Relationship Id="rId6" Type="http://schemas.openxmlformats.org/officeDocument/2006/relationships/hyperlink" Target="https://www.powercolor.com/product?id=1582011980" TargetMode="External"/><Relationship Id="rId388" Type="http://schemas.openxmlformats.org/officeDocument/2006/relationships/hyperlink" Target="https://manli.com/en/product-detail-Manli_GeForce_RTX%E2%84%A2_3050_(M1586+N640)-362.html" TargetMode="External"/><Relationship Id="rId7" Type="http://schemas.openxmlformats.org/officeDocument/2006/relationships/hyperlink" Target="https://www.asrock.com/Graphics-Card/AMD/Radeon%20RX%206400%20Challenger%20ITX%204GB/" TargetMode="External"/><Relationship Id="rId387" Type="http://schemas.openxmlformats.org/officeDocument/2006/relationships/hyperlink" Target="http://manli.com/en" TargetMode="External"/><Relationship Id="rId8" Type="http://schemas.openxmlformats.org/officeDocument/2006/relationships/hyperlink" Target="https://www.asus.com/Motherboards-Components/Graphics-Cards/Phoenix/PH-RX6400-4G/" TargetMode="External"/><Relationship Id="rId386" Type="http://schemas.openxmlformats.org/officeDocument/2006/relationships/hyperlink" Target="https://manli.com/en/product-detail-Manli_GeForce_RTX%E2%84%A2_3050_(M2587+N640)-363.html" TargetMode="External"/><Relationship Id="rId381" Type="http://schemas.openxmlformats.org/officeDocument/2006/relationships/hyperlink" Target="https://www.galax.com/en/" TargetMode="External"/><Relationship Id="rId380" Type="http://schemas.openxmlformats.org/officeDocument/2006/relationships/hyperlink" Target="https://www.galax.com/en/graphics-card/30-series/3050-series/geforce-rtx-3050-6gb-lp-w.html" TargetMode="External"/><Relationship Id="rId379" Type="http://schemas.openxmlformats.org/officeDocument/2006/relationships/hyperlink" Target="https://www.galax.com/en/" TargetMode="External"/><Relationship Id="rId374" Type="http://schemas.openxmlformats.org/officeDocument/2006/relationships/hyperlink" Target="https://www.asus.com/motherboards-components/graphics-cards/asus/rtx3050-o6g-lp-brk/" TargetMode="External"/><Relationship Id="rId373" Type="http://schemas.openxmlformats.org/officeDocument/2006/relationships/hyperlink" Target="https://www.asus.com/motherboards-components/graphics-cards/asus/rtx3050-6g-lp-brk/" TargetMode="External"/><Relationship Id="rId372" Type="http://schemas.openxmlformats.org/officeDocument/2006/relationships/hyperlink" Target="https://www.zotac.com/product/graphics_card/zotac-gaming-geforce-rtx-2070-oc-mini" TargetMode="External"/><Relationship Id="rId371" Type="http://schemas.openxmlformats.org/officeDocument/2006/relationships/hyperlink" Target="https://www.msi.com/Graphics-card/GeForce-RTX-2070-AERO-ITX-8G" TargetMode="External"/><Relationship Id="rId378" Type="http://schemas.openxmlformats.org/officeDocument/2006/relationships/hyperlink" Target="https://www.gainward.com/main/vgapro.php?id=1214&amp;lang=en" TargetMode="External"/><Relationship Id="rId377" Type="http://schemas.openxmlformats.org/officeDocument/2006/relationships/hyperlink" Target="https://www.gainward.com/main/vgapro.php?id=1213&amp;lang=en" TargetMode="External"/><Relationship Id="rId376" Type="http://schemas.openxmlformats.org/officeDocument/2006/relationships/hyperlink" Target="https://www.asus.com/motherboards-components/graphics-cards/dual/dual-rtx3050-o6g/" TargetMode="External"/><Relationship Id="rId375" Type="http://schemas.openxmlformats.org/officeDocument/2006/relationships/hyperlink" Target="https://www.asus.com/motherboards-components/graphics-cards/dual/dual-rtx3050-6g/" TargetMode="External"/><Relationship Id="rId396" Type="http://schemas.openxmlformats.org/officeDocument/2006/relationships/hyperlink" Target="https://www.palit.com/palit/vgapro.php?id=5137&amp;lang=en" TargetMode="External"/><Relationship Id="rId395" Type="http://schemas.openxmlformats.org/officeDocument/2006/relationships/hyperlink" Target="https://www.palit.com/palit/vgapro.php?id=5147&amp;lang=en" TargetMode="External"/><Relationship Id="rId394" Type="http://schemas.openxmlformats.org/officeDocument/2006/relationships/hyperlink" Target="https://www.msi.com/Graphics-Card/GeForce-RTX-3050-GAMING-X-6G" TargetMode="External"/><Relationship Id="rId393" Type="http://schemas.openxmlformats.org/officeDocument/2006/relationships/hyperlink" Target="https://www.msi.com/Graphics-Card/GeForce-RTX-3050-GAMING-6G" TargetMode="External"/><Relationship Id="rId399" Type="http://schemas.openxmlformats.org/officeDocument/2006/relationships/hyperlink" Target="http://www.yeston.net/products-detail/id-110.html" TargetMode="External"/><Relationship Id="rId398" Type="http://schemas.openxmlformats.org/officeDocument/2006/relationships/hyperlink" Target="http://www.yeston.net/" TargetMode="External"/><Relationship Id="rId397" Type="http://schemas.openxmlformats.org/officeDocument/2006/relationships/hyperlink" Target="https://www.palit.com/palit/vgapro.php?id=5127&amp;lang=en" TargetMode="External"/><Relationship Id="rId40" Type="http://schemas.openxmlformats.org/officeDocument/2006/relationships/hyperlink" Target="https://www.powercolor.com/product?id=1623918140" TargetMode="External"/><Relationship Id="rId42" Type="http://schemas.openxmlformats.org/officeDocument/2006/relationships/hyperlink" Target="https://www.amd.com/en/products/graphics/amd-radeon-rx-7600" TargetMode="External"/><Relationship Id="rId41" Type="http://schemas.openxmlformats.org/officeDocument/2006/relationships/hyperlink" Target="https://www.powercolor.com/product?id=1650273595" TargetMode="External"/><Relationship Id="rId44" Type="http://schemas.openxmlformats.org/officeDocument/2006/relationships/hyperlink" Target="https://www.asus.com/motherboards-components/graphics-cards/dual/dual-rx7600-o8g-v2/" TargetMode="External"/><Relationship Id="rId43" Type="http://schemas.openxmlformats.org/officeDocument/2006/relationships/hyperlink" Target="https://www.asus.com/" TargetMode="External"/><Relationship Id="rId46" Type="http://schemas.openxmlformats.org/officeDocument/2006/relationships/hyperlink" Target="https://www.asrock.com/Graphics-Card/Intel/Intel%20Arc%20A380%20Low%20Profile%206GB/index.us.asp" TargetMode="External"/><Relationship Id="rId45" Type="http://schemas.openxmlformats.org/officeDocument/2006/relationships/hyperlink" Target="https://www.powercolor.com/product?id=1682402479" TargetMode="External"/><Relationship Id="rId48" Type="http://schemas.openxmlformats.org/officeDocument/2006/relationships/hyperlink" Target="https://detail.tmall.com/item.htm?id=656198759625" TargetMode="External"/><Relationship Id="rId47" Type="http://schemas.openxmlformats.org/officeDocument/2006/relationships/hyperlink" Target="https://www.asrock.com/Graphics-Card/Intel/Intel%20Arc%20A380%20Challenger%20ITX%206GB%20OC/" TargetMode="External"/><Relationship Id="rId49" Type="http://schemas.openxmlformats.org/officeDocument/2006/relationships/hyperlink" Target="https://www.sparkle.com.tw/en" TargetMode="External"/><Relationship Id="rId31" Type="http://schemas.openxmlformats.org/officeDocument/2006/relationships/hyperlink" Target="https://www.sapphiretech.com/" TargetMode="External"/><Relationship Id="rId30" Type="http://schemas.openxmlformats.org/officeDocument/2006/relationships/hyperlink" Target="http://www.yeston.net/products-detail/id-90.html" TargetMode="External"/><Relationship Id="rId33" Type="http://schemas.openxmlformats.org/officeDocument/2006/relationships/hyperlink" Target="https://www.asrock.com/Graphics-Card/AMD/Radeon%20RX%206600%20Challenger%20ITX%208GB/" TargetMode="External"/><Relationship Id="rId32" Type="http://schemas.openxmlformats.org/officeDocument/2006/relationships/hyperlink" Target="https://www.sapphiretech.com/en/consumer/pulse-radeon-rx-6500-xt-8g-gddr6" TargetMode="External"/><Relationship Id="rId35" Type="http://schemas.openxmlformats.org/officeDocument/2006/relationships/hyperlink" Target="https://www.sapphiretech.com/" TargetMode="External"/><Relationship Id="rId34" Type="http://schemas.openxmlformats.org/officeDocument/2006/relationships/hyperlink" Target="https://www.powercolor.com/product?id=1623918331" TargetMode="External"/><Relationship Id="rId37" Type="http://schemas.openxmlformats.org/officeDocument/2006/relationships/hyperlink" Target="https://www.asrock.com/Graphics-Card/AMD/Radeon%20RX%206600%20XT%20Challenger%20ITX%208GB/index.asp" TargetMode="External"/><Relationship Id="rId36" Type="http://schemas.openxmlformats.org/officeDocument/2006/relationships/hyperlink" Target="https://www.sapphiretech.com/en/consumer/pulse-radeon-rx-6600-8g-gddr6" TargetMode="External"/><Relationship Id="rId39" Type="http://schemas.openxmlformats.org/officeDocument/2006/relationships/hyperlink" Target="https://www.msi.com/Graphics-Card/Radeon-RX-6600-XT-MECH-2X-8G-OCV1" TargetMode="External"/><Relationship Id="rId38" Type="http://schemas.openxmlformats.org/officeDocument/2006/relationships/hyperlink" Target="https://www.msi.com/Graphics-Card/Radeon-RX-6600-XT-MECH-2X-8G-V1" TargetMode="External"/><Relationship Id="rId20" Type="http://schemas.openxmlformats.org/officeDocument/2006/relationships/hyperlink" Target="https://www.asrock.com/Graphics-Card/AMD/Radeon%20RX%206500%20XT%20Challenger%20ITX%204GB/" TargetMode="External"/><Relationship Id="rId22" Type="http://schemas.openxmlformats.org/officeDocument/2006/relationships/hyperlink" Target="https://www.gigabyte.com/Graphics-Card/GV-R65XTEAGLE-4GD" TargetMode="External"/><Relationship Id="rId21" Type="http://schemas.openxmlformats.org/officeDocument/2006/relationships/hyperlink" Target="https://www.asus.com/Motherboards-Components/Graphics-Cards/Dual/DUAL-RX6500XT-O4G/" TargetMode="External"/><Relationship Id="rId24" Type="http://schemas.openxmlformats.org/officeDocument/2006/relationships/hyperlink" Target="https://www.msi.com/Graphics-Card/Radeon-RX-6500-XT-MECH-2X-4G-OC" TargetMode="External"/><Relationship Id="rId23" Type="http://schemas.openxmlformats.org/officeDocument/2006/relationships/hyperlink" Target="https://www.msi.com/Graphics-Card/Radeon-RX-6500-XT-MECH-2X-4G" TargetMode="External"/><Relationship Id="rId26" Type="http://schemas.openxmlformats.org/officeDocument/2006/relationships/hyperlink" Target="https://www.powercolor.com/product?id=1638959037" TargetMode="External"/><Relationship Id="rId25" Type="http://schemas.openxmlformats.org/officeDocument/2006/relationships/hyperlink" Target="https://www.powercolor.com/product?id=1640244971" TargetMode="External"/><Relationship Id="rId28" Type="http://schemas.openxmlformats.org/officeDocument/2006/relationships/hyperlink" Target="https://www.sapphiretech.com/en/consumer/pulse-radeon-rx-6500-xt-4g-gddr6" TargetMode="External"/><Relationship Id="rId27" Type="http://schemas.openxmlformats.org/officeDocument/2006/relationships/hyperlink" Target="https://www.sapphiretech.com/" TargetMode="External"/><Relationship Id="rId29" Type="http://schemas.openxmlformats.org/officeDocument/2006/relationships/hyperlink" Target="http://www.yeston.net/" TargetMode="External"/><Relationship Id="rId11" Type="http://schemas.openxmlformats.org/officeDocument/2006/relationships/hyperlink" Target="https://www.gigabyte.com/Graphics-Card/GV-R64EAGLE-4GD" TargetMode="External"/><Relationship Id="rId10" Type="http://schemas.openxmlformats.org/officeDocument/2006/relationships/hyperlink" Target="https://www.gigabyte.com/Graphics-Card/GV-R64D6-4GL" TargetMode="External"/><Relationship Id="rId13" Type="http://schemas.openxmlformats.org/officeDocument/2006/relationships/hyperlink" Target="https://www.powercolor.com/product?id=1640245090" TargetMode="External"/><Relationship Id="rId12" Type="http://schemas.openxmlformats.org/officeDocument/2006/relationships/hyperlink" Target="https://www.msi.com/Graphics-Card/Radeon-RX-6400-AERO-ITX-4G" TargetMode="External"/><Relationship Id="rId15" Type="http://schemas.openxmlformats.org/officeDocument/2006/relationships/hyperlink" Target="https://www.sapphiretech.com/" TargetMode="External"/><Relationship Id="rId14" Type="http://schemas.openxmlformats.org/officeDocument/2006/relationships/hyperlink" Target="https://www.powercolor.com/product?id=1640245032" TargetMode="External"/><Relationship Id="rId17" Type="http://schemas.openxmlformats.org/officeDocument/2006/relationships/hyperlink" Target="https://www.xfxforce.com/shop/xfx-speedster-swft105-radeon-rx-6400" TargetMode="External"/><Relationship Id="rId16" Type="http://schemas.openxmlformats.org/officeDocument/2006/relationships/hyperlink" Target="https://www.sapphiretech.com/en/consumer/pulse-radeon-rx-6400-4g-gddr6" TargetMode="External"/><Relationship Id="rId19" Type="http://schemas.openxmlformats.org/officeDocument/2006/relationships/hyperlink" Target="http://www.yeston.net/products-detail/id-99.html" TargetMode="External"/><Relationship Id="rId18" Type="http://schemas.openxmlformats.org/officeDocument/2006/relationships/hyperlink" Target="http://www.yeston.net/" TargetMode="External"/><Relationship Id="rId84" Type="http://schemas.openxmlformats.org/officeDocument/2006/relationships/hyperlink" Target="http://manli.com/en" TargetMode="External"/><Relationship Id="rId83" Type="http://schemas.openxmlformats.org/officeDocument/2006/relationships/hyperlink" Target="http://manli.com/en" TargetMode="External"/><Relationship Id="rId86" Type="http://schemas.openxmlformats.org/officeDocument/2006/relationships/hyperlink" Target="https://www.msi.com/index.php" TargetMode="External"/><Relationship Id="rId85" Type="http://schemas.openxmlformats.org/officeDocument/2006/relationships/hyperlink" Target="http://manli.com/en" TargetMode="External"/><Relationship Id="rId88" Type="http://schemas.openxmlformats.org/officeDocument/2006/relationships/hyperlink" Target="https://www.msi.com/index.php" TargetMode="External"/><Relationship Id="rId87" Type="http://schemas.openxmlformats.org/officeDocument/2006/relationships/hyperlink" Target="https://www.msi.com/Graphics-card/GeForce-GTX-1050-Ti-4GT-LP" TargetMode="External"/><Relationship Id="rId89" Type="http://schemas.openxmlformats.org/officeDocument/2006/relationships/hyperlink" Target="https://www.msi.com/Graphics-card/GeForce-GTX-1050-Ti-4GT-LPV1" TargetMode="External"/><Relationship Id="rId80" Type="http://schemas.openxmlformats.org/officeDocument/2006/relationships/hyperlink" Target="http://www.inno3d.com/" TargetMode="External"/><Relationship Id="rId82" Type="http://schemas.openxmlformats.org/officeDocument/2006/relationships/hyperlink" Target="http://manli.com/en" TargetMode="External"/><Relationship Id="rId81" Type="http://schemas.openxmlformats.org/officeDocument/2006/relationships/hyperlink" Target="http://www.inno3d.com/" TargetMode="External"/><Relationship Id="rId73" Type="http://schemas.openxmlformats.org/officeDocument/2006/relationships/hyperlink" Target="https://www.gigabyte.com/" TargetMode="External"/><Relationship Id="rId72" Type="http://schemas.openxmlformats.org/officeDocument/2006/relationships/hyperlink" Target="https://www.gigabyte.com/Graphics-Card/GV-N105T-4GL" TargetMode="External"/><Relationship Id="rId75" Type="http://schemas.openxmlformats.org/officeDocument/2006/relationships/hyperlink" Target="https://www.gigabyte.com/" TargetMode="External"/><Relationship Id="rId74" Type="http://schemas.openxmlformats.org/officeDocument/2006/relationships/hyperlink" Target="https://www.gigabyte.com/Graphics-Card/GV-N105TOC-4GL" TargetMode="External"/><Relationship Id="rId77" Type="http://schemas.openxmlformats.org/officeDocument/2006/relationships/hyperlink" Target="https://www.gigabyte.com/" TargetMode="External"/><Relationship Id="rId76" Type="http://schemas.openxmlformats.org/officeDocument/2006/relationships/hyperlink" Target="https://www.gigabyte.com/Graphics-Card/GV-N105TD5-4GD" TargetMode="External"/><Relationship Id="rId79" Type="http://schemas.openxmlformats.org/officeDocument/2006/relationships/hyperlink" Target="http://www.inno3d.com/" TargetMode="External"/><Relationship Id="rId78" Type="http://schemas.openxmlformats.org/officeDocument/2006/relationships/hyperlink" Target="https://www.gigabyte.com/Graphics-Card/GV-N105TOC-4GD-rev-10-rev11-rev12" TargetMode="External"/><Relationship Id="rId71" Type="http://schemas.openxmlformats.org/officeDocument/2006/relationships/hyperlink" Target="https://www.gigabyte.com/" TargetMode="External"/><Relationship Id="rId70" Type="http://schemas.openxmlformats.org/officeDocument/2006/relationships/hyperlink" Target="https://www.gainward.com/main/vgapro.php?id=994&amp;lang=en" TargetMode="External"/><Relationship Id="rId62" Type="http://schemas.openxmlformats.org/officeDocument/2006/relationships/hyperlink" Target="https://www.emtekinc.co.kr/bbs/board.php?bo_table=product&amp;wr_id=1683" TargetMode="External"/><Relationship Id="rId61" Type="http://schemas.openxmlformats.org/officeDocument/2006/relationships/hyperlink" Target="https://www.emtekinc.co.kr/" TargetMode="External"/><Relationship Id="rId64" Type="http://schemas.openxmlformats.org/officeDocument/2006/relationships/hyperlink" Target="https://www.emtekinc.co.kr/bbs/board.php?bo_table=product&amp;wr_id=1680" TargetMode="External"/><Relationship Id="rId63" Type="http://schemas.openxmlformats.org/officeDocument/2006/relationships/hyperlink" Target="https://www.emtekinc.co.kr/" TargetMode="External"/><Relationship Id="rId66" Type="http://schemas.openxmlformats.org/officeDocument/2006/relationships/hyperlink" Target="https://www.evga.com/products/specs/gpu.aspx?pn=4CAA4209-125F-43F8-B78E-DB56B52FD66E" TargetMode="External"/><Relationship Id="rId65" Type="http://schemas.openxmlformats.org/officeDocument/2006/relationships/hyperlink" Target="https://www.evga.com/" TargetMode="External"/><Relationship Id="rId68" Type="http://schemas.openxmlformats.org/officeDocument/2006/relationships/hyperlink" Target="https://www.evga.com/products/specs/gpu.aspx?pn=7E5BFB9F-C13B-4800-A855-BEA3724A5F8E" TargetMode="External"/><Relationship Id="rId67" Type="http://schemas.openxmlformats.org/officeDocument/2006/relationships/hyperlink" Target="https://www.evga.com/" TargetMode="External"/><Relationship Id="rId60" Type="http://schemas.openxmlformats.org/officeDocument/2006/relationships/hyperlink" Target="https://www.emtekinc.co.kr/bbs/board.php?bo_table=product&amp;wr_id=1939" TargetMode="External"/><Relationship Id="rId69" Type="http://schemas.openxmlformats.org/officeDocument/2006/relationships/hyperlink" Target="http://www.gainward.com/main/index.php?lang=en" TargetMode="External"/><Relationship Id="rId51" Type="http://schemas.openxmlformats.org/officeDocument/2006/relationships/hyperlink" Target="https://www.asus.com/" TargetMode="External"/><Relationship Id="rId50" Type="http://schemas.openxmlformats.org/officeDocument/2006/relationships/hyperlink" Target="https://www.sparkle.com.tw/en/ARC/Elf" TargetMode="External"/><Relationship Id="rId53" Type="http://schemas.openxmlformats.org/officeDocument/2006/relationships/hyperlink" Target="https://www.asus.com/" TargetMode="External"/><Relationship Id="rId52" Type="http://schemas.openxmlformats.org/officeDocument/2006/relationships/hyperlink" Target="https://www.asus.com/motherboards-components/graphics-cards/all-series/PH-GTX1050TI-4G" TargetMode="External"/><Relationship Id="rId55" Type="http://schemas.openxmlformats.org/officeDocument/2006/relationships/hyperlink" Target="https://www.asus.com/" TargetMode="External"/><Relationship Id="rId54" Type="http://schemas.openxmlformats.org/officeDocument/2006/relationships/hyperlink" Target="https://www.asus.com/motherboards-components/graphics-cards/all-series/DUAL-GTX1050TI-O4G-V2" TargetMode="External"/><Relationship Id="rId57" Type="http://schemas.openxmlformats.org/officeDocument/2006/relationships/hyperlink" Target="https://www.asus.com/" TargetMode="External"/><Relationship Id="rId56" Type="http://schemas.openxmlformats.org/officeDocument/2006/relationships/hyperlink" Target="https://www.asus.com/motherboards-components/graphics-cards/all-series/CERBERUS-GTX1050TI-A4G" TargetMode="External"/><Relationship Id="rId59" Type="http://schemas.openxmlformats.org/officeDocument/2006/relationships/hyperlink" Target="https://www.emtekinc.co.kr/" TargetMode="External"/><Relationship Id="rId58" Type="http://schemas.openxmlformats.org/officeDocument/2006/relationships/hyperlink" Target="https://www.asus.com/motherboards-components/graphics-cards/all-series/CERBERUS-GTX1050TI-O4G" TargetMode="External"/><Relationship Id="rId349" Type="http://schemas.openxmlformats.org/officeDocument/2006/relationships/hyperlink" Target="https://www.msi.com/Graphics-card/GeForce-RTX-2060-AERO-ITX-6G-OC" TargetMode="External"/><Relationship Id="rId348" Type="http://schemas.openxmlformats.org/officeDocument/2006/relationships/hyperlink" Target="https://www.msi.com/Graphics-card/GeForce-RTX-2060-AERO-ITX-6G" TargetMode="External"/><Relationship Id="rId347" Type="http://schemas.openxmlformats.org/officeDocument/2006/relationships/hyperlink" Target="https://www.inno3d.com/en/product_detail/page/1762cd809bd82719c91271553616e8902ca6a36e465c311d2ef24ba37cd79000" TargetMode="External"/><Relationship Id="rId346" Type="http://schemas.openxmlformats.org/officeDocument/2006/relationships/hyperlink" Target="https://www.gigabyte.com/Graphics-Card/GV-N2060IXOC-6GD-rev-20" TargetMode="External"/><Relationship Id="rId341" Type="http://schemas.openxmlformats.org/officeDocument/2006/relationships/hyperlink" Target="https://www.galax.com/en/" TargetMode="External"/><Relationship Id="rId340" Type="http://schemas.openxmlformats.org/officeDocument/2006/relationships/hyperlink" Target="https://www.gainward.com/main/vgapro.php?id=1036&amp;lang=en" TargetMode="External"/><Relationship Id="rId345" Type="http://schemas.openxmlformats.org/officeDocument/2006/relationships/hyperlink" Target="https://www.kfa2.com/kfa2/graphics-card/20-series/2060-series/kfa2-geforce-rtx-2060-white-mini-1click.html" TargetMode="External"/><Relationship Id="rId344" Type="http://schemas.openxmlformats.org/officeDocument/2006/relationships/hyperlink" Target="https://www.galax.com/en/" TargetMode="External"/><Relationship Id="rId343" Type="http://schemas.openxmlformats.org/officeDocument/2006/relationships/hyperlink" Target="https://www.kfa2.com/kfa2/graphics-card/20-series/2060-series/kfa2-geforce-rtx-2060-mini-1click.html" TargetMode="External"/><Relationship Id="rId342" Type="http://schemas.openxmlformats.org/officeDocument/2006/relationships/hyperlink" Target="https://www.galax.com/en/" TargetMode="External"/><Relationship Id="rId338" Type="http://schemas.openxmlformats.org/officeDocument/2006/relationships/hyperlink" Target="https://www.evga.com/products/specs/gpu.aspx?pn=CD407D52-E3D3-43F1-A3F0-0D8CED26472B" TargetMode="External"/><Relationship Id="rId337" Type="http://schemas.openxmlformats.org/officeDocument/2006/relationships/hyperlink" Target="https://www.evga.com/products/specs/gpu.aspx?pn=938419ED-6E79-4259-B3C7-3DEB3E869493" TargetMode="External"/><Relationship Id="rId336" Type="http://schemas.openxmlformats.org/officeDocument/2006/relationships/hyperlink" Target="https://www.evga.com/products/specs/gpu.aspx?pn=FFFE7484-A611-4C02-853A-AA197F39A538" TargetMode="External"/><Relationship Id="rId335" Type="http://schemas.openxmlformats.org/officeDocument/2006/relationships/hyperlink" Target="https://www.evga.com/products/specs/gpu.aspx?pn=95E906E7-FF3C-4AA9-9969-71B8CEBE7ED3" TargetMode="External"/><Relationship Id="rId339" Type="http://schemas.openxmlformats.org/officeDocument/2006/relationships/hyperlink" Target="https://www.evga.com/products/specs/gpu.aspx?pn=1AEB0B77-6B76-4A27-B4ED-6289BED086DD" TargetMode="External"/><Relationship Id="rId330" Type="http://schemas.openxmlformats.org/officeDocument/2006/relationships/hyperlink" Target="https://www.asus.com/motherboards-components/graphics-cards/all-series/DUAL-RTX2060-6G-MINI" TargetMode="External"/><Relationship Id="rId334" Type="http://schemas.openxmlformats.org/officeDocument/2006/relationships/hyperlink" Target="https://www.evga.com/products/specs/gpu.aspx?pn=F9DE6123-60CC-4114-9297-5FC697EA2481" TargetMode="External"/><Relationship Id="rId333" Type="http://schemas.openxmlformats.org/officeDocument/2006/relationships/hyperlink" Target="https://www.emtekinc.co.kr/bbs/board.php?bo_table=product&amp;wr_id=2041" TargetMode="External"/><Relationship Id="rId332" Type="http://schemas.openxmlformats.org/officeDocument/2006/relationships/hyperlink" Target="https://www.emtekinc.co.kr/" TargetMode="External"/><Relationship Id="rId331" Type="http://schemas.openxmlformats.org/officeDocument/2006/relationships/hyperlink" Target="https://www.asus.com/motherboards-components/graphics-cards/all-series/DUAL-RTX2060-O6G-MINI" TargetMode="External"/><Relationship Id="rId370" Type="http://schemas.openxmlformats.org/officeDocument/2006/relationships/hyperlink" Target="https://www.inno3d.com/en/product_detail/page/07fbabc18d5b731c76de9629670cf99dc0072eafd1c944d4b6236cd6eb1d665a" TargetMode="External"/><Relationship Id="rId369" Type="http://schemas.openxmlformats.org/officeDocument/2006/relationships/hyperlink" Target="https://www.galax.com/en/graphics-card/20-series/galax-geforce-rtx-2070-white-mini-1click.html" TargetMode="External"/><Relationship Id="rId368" Type="http://schemas.openxmlformats.org/officeDocument/2006/relationships/hyperlink" Target="https://www.galax.com/en/" TargetMode="External"/><Relationship Id="rId363" Type="http://schemas.openxmlformats.org/officeDocument/2006/relationships/hyperlink" Target="https://www.msi.com/Graphics-card/GeForce-RTX-2060-SUPER-AERO-ITX" TargetMode="External"/><Relationship Id="rId362" Type="http://schemas.openxmlformats.org/officeDocument/2006/relationships/hyperlink" Target="https://www.inno3d.com/en/product_detail/page/6124de80152d2fb2eac42877a7c175235b8dc3150fe4bf8df058408b5951f623" TargetMode="External"/><Relationship Id="rId361" Type="http://schemas.openxmlformats.org/officeDocument/2006/relationships/hyperlink" Target="https://www.galax.com/en/" TargetMode="External"/><Relationship Id="rId360" Type="http://schemas.openxmlformats.org/officeDocument/2006/relationships/hyperlink" Target="https://www.zotac.com/product/graphics_card/zotac-gaming-geforce-rtx-2060-twin-fan-12gb" TargetMode="External"/><Relationship Id="rId367" Type="http://schemas.openxmlformats.org/officeDocument/2006/relationships/hyperlink" Target="https://www.galax.com/en/graphics-card/20-series/galax-geforce-rtx-2070-black-mini-1click.html" TargetMode="External"/><Relationship Id="rId366" Type="http://schemas.openxmlformats.org/officeDocument/2006/relationships/hyperlink" Target="https://www.galax.com/en/" TargetMode="External"/><Relationship Id="rId365" Type="http://schemas.openxmlformats.org/officeDocument/2006/relationships/hyperlink" Target="https://www.asus.com/motherboards-components/graphics-cards/all-series/DUAL-RTX2070-O8G-MINI" TargetMode="External"/><Relationship Id="rId364" Type="http://schemas.openxmlformats.org/officeDocument/2006/relationships/hyperlink" Target="https://www.asus.com/motherboards-components/graphics-cards/all-series/DUAL-RTX2070-8G-MINI" TargetMode="External"/><Relationship Id="rId95" Type="http://schemas.openxmlformats.org/officeDocument/2006/relationships/hyperlink" Target="https://www.msi.com/Graphics-card/GeForce-GTX-1050-Ti-4G-OC" TargetMode="External"/><Relationship Id="rId94" Type="http://schemas.openxmlformats.org/officeDocument/2006/relationships/hyperlink" Target="https://www.msi.com/index.php" TargetMode="External"/><Relationship Id="rId97" Type="http://schemas.openxmlformats.org/officeDocument/2006/relationships/hyperlink" Target="https://www.msi.com/Graphics-card/GeForce-GTX-1050-Ti-4G-V1" TargetMode="External"/><Relationship Id="rId96" Type="http://schemas.openxmlformats.org/officeDocument/2006/relationships/hyperlink" Target="https://www.msi.com/index.php" TargetMode="External"/><Relationship Id="rId99" Type="http://schemas.openxmlformats.org/officeDocument/2006/relationships/hyperlink" Target="https://www.msi.com/Graphics-card/GeForce-GTX-1050-Ti-4G-OCV1" TargetMode="External"/><Relationship Id="rId98" Type="http://schemas.openxmlformats.org/officeDocument/2006/relationships/hyperlink" Target="https://www.msi.com/index.php" TargetMode="External"/><Relationship Id="rId91" Type="http://schemas.openxmlformats.org/officeDocument/2006/relationships/hyperlink" Target="https://www.msi.com/Graphics-card/GeForce-GTX-1050-Ti-4GT-LPV2" TargetMode="External"/><Relationship Id="rId90" Type="http://schemas.openxmlformats.org/officeDocument/2006/relationships/hyperlink" Target="https://www.msi.com/index.php" TargetMode="External"/><Relationship Id="rId93" Type="http://schemas.openxmlformats.org/officeDocument/2006/relationships/hyperlink" Target="https://www.msi.com/Graphics-card/GeForce-GTX-1050-Ti-4G" TargetMode="External"/><Relationship Id="rId92" Type="http://schemas.openxmlformats.org/officeDocument/2006/relationships/hyperlink" Target="https://www.msi.com/index.php" TargetMode="External"/><Relationship Id="rId359" Type="http://schemas.openxmlformats.org/officeDocument/2006/relationships/hyperlink" Target="https://www.zotac.com/" TargetMode="External"/><Relationship Id="rId358" Type="http://schemas.openxmlformats.org/officeDocument/2006/relationships/hyperlink" Target="https://www.leadtek.com/eng/products/graphics_cards(1)/WinFast_RTX_2060_Hurricane_12G_Rev_B(40938)/detail" TargetMode="External"/><Relationship Id="rId357" Type="http://schemas.openxmlformats.org/officeDocument/2006/relationships/hyperlink" Target="https://www.leadtek.com/eng/" TargetMode="External"/><Relationship Id="rId352" Type="http://schemas.openxmlformats.org/officeDocument/2006/relationships/hyperlink" Target="https://www.palit.com/palit/vgapro.php?id=3139&amp;lang=en" TargetMode="External"/><Relationship Id="rId351" Type="http://schemas.openxmlformats.org/officeDocument/2006/relationships/hyperlink" Target="https://www.msi.com/Graphics-card/GeForce-RTX-2060-VENTUS-XS-6G-OC" TargetMode="External"/><Relationship Id="rId350" Type="http://schemas.openxmlformats.org/officeDocument/2006/relationships/hyperlink" Target="https://www.msi.com/Graphics-card/GeForce-RTX-2060-VENTUS-XS-6G" TargetMode="External"/><Relationship Id="rId356" Type="http://schemas.openxmlformats.org/officeDocument/2006/relationships/hyperlink" Target="https://www.zotac.com/hk/product/graphics_card/zotac-gaming-geforce-rtx-2060-amp" TargetMode="External"/><Relationship Id="rId355" Type="http://schemas.openxmlformats.org/officeDocument/2006/relationships/hyperlink" Target="https://www.zotac.com/hk/product/graphics_card/zotac-gaming-geforce-rtx-2060-1" TargetMode="External"/><Relationship Id="rId354" Type="http://schemas.openxmlformats.org/officeDocument/2006/relationships/hyperlink" Target="https://www.zotac.com/hk/product/graphics_card/zotac-gaming-geforce-rtx-2060" TargetMode="External"/><Relationship Id="rId353" Type="http://schemas.openxmlformats.org/officeDocument/2006/relationships/hyperlink" Target="https://www.zotac.com/hk/product/graphics_card/zotac-gaming-geforce-rtx-2060-twin-fan" TargetMode="External"/><Relationship Id="rId305" Type="http://schemas.openxmlformats.org/officeDocument/2006/relationships/hyperlink" Target="https://www.evga.com/products/specs/gpu.aspx?pn=65225E03-33A7-4E23-823C-E007AF9C1084" TargetMode="External"/><Relationship Id="rId304" Type="http://schemas.openxmlformats.org/officeDocument/2006/relationships/hyperlink" Target="https://www.asus.com/motherboards-components/graphics-cards/all-series/TUF-GTX1660TI-O6G-GAMING" TargetMode="External"/><Relationship Id="rId303" Type="http://schemas.openxmlformats.org/officeDocument/2006/relationships/hyperlink" Target="https://www.asus.com/motherboards-components/graphics-cards/all-series/TUF-GTX1660TI-6G-GAMING" TargetMode="External"/><Relationship Id="rId302" Type="http://schemas.openxmlformats.org/officeDocument/2006/relationships/hyperlink" Target="https://www.asus.com/motherboards-components/graphics-cards/all-series/DUAL-GTX1660TI-O6G" TargetMode="External"/><Relationship Id="rId309" Type="http://schemas.openxmlformats.org/officeDocument/2006/relationships/hyperlink" Target="https://www.gainward.com/main/vgapro.php?id=1040&amp;lang=en" TargetMode="External"/><Relationship Id="rId308" Type="http://schemas.openxmlformats.org/officeDocument/2006/relationships/hyperlink" Target="https://www.evga.com/products/specs/gpu.aspx?pn=97CB4B02-FE8D-48B2-BDDF-7241A213849A" TargetMode="External"/><Relationship Id="rId307" Type="http://schemas.openxmlformats.org/officeDocument/2006/relationships/hyperlink" Target="https://www.evga.com/products/specs/gpu.aspx?pn=05932577-E4C4-4B99-8936-AE0A1A0A25A7" TargetMode="External"/><Relationship Id="rId306" Type="http://schemas.openxmlformats.org/officeDocument/2006/relationships/hyperlink" Target="https://www.evga.com/products/specs/gpu.aspx?pn=98BCA458-21BE-4CD6-894D-F588360CFDB3" TargetMode="External"/><Relationship Id="rId301" Type="http://schemas.openxmlformats.org/officeDocument/2006/relationships/hyperlink" Target="https://www.asus.com/motherboards-components/graphics-cards/all-series/DUAL-GTX1660TI-6G" TargetMode="External"/><Relationship Id="rId300" Type="http://schemas.openxmlformats.org/officeDocument/2006/relationships/hyperlink" Target="https://www.asus.com/motherboards-components/graphics-cards/all-series/PH-GTX1660TI-O6G" TargetMode="External"/><Relationship Id="rId327" Type="http://schemas.openxmlformats.org/officeDocument/2006/relationships/hyperlink" Target="https://www.asus.com/motherboards-components/graphics-cards/all-series/PH-RTX2060-6G" TargetMode="External"/><Relationship Id="rId326" Type="http://schemas.openxmlformats.org/officeDocument/2006/relationships/hyperlink" Target="https://www.zotac.com/product/graphics_card/zotac-gaming-geforce-gtx-1660-ti-6gb-gddr6" TargetMode="External"/><Relationship Id="rId325" Type="http://schemas.openxmlformats.org/officeDocument/2006/relationships/hyperlink" Target="https://www.palit.com/palit/vgapro.php?id=3160&amp;lang=en" TargetMode="External"/><Relationship Id="rId324" Type="http://schemas.openxmlformats.org/officeDocument/2006/relationships/hyperlink" Target="https://www.msi.com/Graphics-card/GeForce-GTX-1660-Ti-VENTUS-XS-6G-OCV1" TargetMode="External"/><Relationship Id="rId329" Type="http://schemas.openxmlformats.org/officeDocument/2006/relationships/hyperlink" Target="https://www.asus.com/motherboards-components/graphics-cards/all-series/TUF-RTX2060-O6G-GAMING" TargetMode="External"/><Relationship Id="rId328" Type="http://schemas.openxmlformats.org/officeDocument/2006/relationships/hyperlink" Target="https://www.asus.com/motherboards-components/graphics-cards/all-series/TUF-RTX2060-6G-GAMING" TargetMode="External"/><Relationship Id="rId323" Type="http://schemas.openxmlformats.org/officeDocument/2006/relationships/hyperlink" Target="https://www.msi.com/Graphics-card/GeForce-GTX-1660-Ti-VENTUS-XS-6G-V1" TargetMode="External"/><Relationship Id="rId322" Type="http://schemas.openxmlformats.org/officeDocument/2006/relationships/hyperlink" Target="https://www.msi.com/Graphics-card/GeForce-GTX-1660-Ti-VENTUS-XS-6G-OC" TargetMode="External"/><Relationship Id="rId321" Type="http://schemas.openxmlformats.org/officeDocument/2006/relationships/hyperlink" Target="https://www.msi.com/Graphics-card/GeForce-GTX-1660-Ti-VENTUS-XS-6G" TargetMode="External"/><Relationship Id="rId320" Type="http://schemas.openxmlformats.org/officeDocument/2006/relationships/hyperlink" Target="https://www.msi.com/Graphics-card/GeForce-GTX-1660-Ti-AERO-ITX-6G-OC" TargetMode="External"/><Relationship Id="rId316" Type="http://schemas.openxmlformats.org/officeDocument/2006/relationships/hyperlink" Target="https://www.inno3d.com/en/product_detail/page/396b0591d4977c7b797d0678c525f93b27713fdc9b95b876356a004d94e38523" TargetMode="External"/><Relationship Id="rId315" Type="http://schemas.openxmlformats.org/officeDocument/2006/relationships/hyperlink" Target="https://www.inno3d.com/en/product_detail/page/de737cdfbc782fd2505be65a6fc90c80d32c82f4636297ea5b8abce90093d22d" TargetMode="External"/><Relationship Id="rId314" Type="http://schemas.openxmlformats.org/officeDocument/2006/relationships/hyperlink" Target="https://www.gigabyte.com/Graphics-Card/GV-N166TIXOC-6GD" TargetMode="External"/><Relationship Id="rId313" Type="http://schemas.openxmlformats.org/officeDocument/2006/relationships/hyperlink" Target="https://www.galax.com/en/" TargetMode="External"/><Relationship Id="rId319" Type="http://schemas.openxmlformats.org/officeDocument/2006/relationships/hyperlink" Target="https://www.msi.com/Graphics-card/GeForce-GTX-1660-Ti-AERO-ITX-6G" TargetMode="External"/><Relationship Id="rId318" Type="http://schemas.openxmlformats.org/officeDocument/2006/relationships/hyperlink" Target="https://manli.com/en/product-detail-MANLI_GeForce_GTX_1660Ti_(M1431+N524-02)-27.html" TargetMode="External"/><Relationship Id="rId317" Type="http://schemas.openxmlformats.org/officeDocument/2006/relationships/hyperlink" Target="http://manli.com/en" TargetMode="External"/><Relationship Id="rId312" Type="http://schemas.openxmlformats.org/officeDocument/2006/relationships/hyperlink" Target="https://www.galax.com/en/graphics-card/16-series/galax-geforce-gtx-1660-ti-prodigy.html" TargetMode="External"/><Relationship Id="rId311" Type="http://schemas.openxmlformats.org/officeDocument/2006/relationships/hyperlink" Target="https://www.galax.com/en/" TargetMode="External"/><Relationship Id="rId310" Type="http://schemas.openxmlformats.org/officeDocument/2006/relationships/hyperlink" Target="https://www.galax.com/en/" TargetMode="External"/><Relationship Id="rId297" Type="http://schemas.openxmlformats.org/officeDocument/2006/relationships/hyperlink" Target="http://www.pcasl.com/index.jsp" TargetMode="External"/><Relationship Id="rId296" Type="http://schemas.openxmlformats.org/officeDocument/2006/relationships/hyperlink" Target="https://www.palit.com/palit/vgapro.php?id=3409&amp;lang=en" TargetMode="External"/><Relationship Id="rId295" Type="http://schemas.openxmlformats.org/officeDocument/2006/relationships/hyperlink" Target="https://www.msi.com/Graphics-Card/GeForce-GTX-1660-SUPER-VENTUS-XS-OCV2" TargetMode="External"/><Relationship Id="rId294" Type="http://schemas.openxmlformats.org/officeDocument/2006/relationships/hyperlink" Target="https://www.msi.com/Graphics-Card/GeForce-GTX-1660-SUPER-VENTUS-XS-V2" TargetMode="External"/><Relationship Id="rId299" Type="http://schemas.openxmlformats.org/officeDocument/2006/relationships/hyperlink" Target="https://www.asus.com/motherboards-components/graphics-cards/all-series/PH-GTX1660TI-6G" TargetMode="External"/><Relationship Id="rId298" Type="http://schemas.openxmlformats.org/officeDocument/2006/relationships/hyperlink" Target="http://www.pcasl.com/pd.jsp?id=165" TargetMode="External"/><Relationship Id="rId271" Type="http://schemas.openxmlformats.org/officeDocument/2006/relationships/hyperlink" Target="https://www.asus.com/motherboards-components/graphics-cards/all-series/TUF-GTX1660S-O6G-GAMING" TargetMode="External"/><Relationship Id="rId270" Type="http://schemas.openxmlformats.org/officeDocument/2006/relationships/hyperlink" Target="https://www.asus.com/motherboards-components/graphics-cards/all-series/TUF-GTX1660S-6G-GAMING" TargetMode="External"/><Relationship Id="rId269" Type="http://schemas.openxmlformats.org/officeDocument/2006/relationships/hyperlink" Target="https://www.asus.com/motherboards-components/graphics-cards/all-series/PH-GTX1660S-O6G" TargetMode="External"/><Relationship Id="rId264" Type="http://schemas.openxmlformats.org/officeDocument/2006/relationships/hyperlink" Target="https://www.msi.com/Graphics-card/GeForce-GTX-1660-VENTUS-XS-6G-V1" TargetMode="External"/><Relationship Id="rId263" Type="http://schemas.openxmlformats.org/officeDocument/2006/relationships/hyperlink" Target="https://www.msi.com/Graphics-card/GeForce-GTX-1660-VENTUS-XS-6G-OC" TargetMode="External"/><Relationship Id="rId262" Type="http://schemas.openxmlformats.org/officeDocument/2006/relationships/hyperlink" Target="https://www.msi.com/Graphics-card/GeForce-GTX-1660-VENTUS-XS-6G" TargetMode="External"/><Relationship Id="rId261" Type="http://schemas.openxmlformats.org/officeDocument/2006/relationships/hyperlink" Target="https://www.msi.com/Graphics-card/GeForce-GTX-1660-AERO-ITX-6G-OC" TargetMode="External"/><Relationship Id="rId268" Type="http://schemas.openxmlformats.org/officeDocument/2006/relationships/hyperlink" Target="https://www.asus.com/motherboards-components/graphics-cards/all-series/PH-GTX1660S-6G" TargetMode="External"/><Relationship Id="rId267" Type="http://schemas.openxmlformats.org/officeDocument/2006/relationships/hyperlink" Target="https://www.zotac.com/product/graphics_card/zotac-gaming-geforce-gtx-1660-6gb-gddr5" TargetMode="External"/><Relationship Id="rId266" Type="http://schemas.openxmlformats.org/officeDocument/2006/relationships/hyperlink" Target="https://www.palit.com/palit/vgapro.php?id=3216&amp;lang=en" TargetMode="External"/><Relationship Id="rId265" Type="http://schemas.openxmlformats.org/officeDocument/2006/relationships/hyperlink" Target="https://www.msi.com/Graphics-card/GeForce-GTX-1660-VENTUS-XS-6G-OCV1" TargetMode="External"/><Relationship Id="rId260" Type="http://schemas.openxmlformats.org/officeDocument/2006/relationships/hyperlink" Target="https://www.msi.com/Graphics-card/GeForce-GTX-1660-AERO-ITX-6G" TargetMode="External"/><Relationship Id="rId259" Type="http://schemas.openxmlformats.org/officeDocument/2006/relationships/hyperlink" Target="https://manli.com/en/product-detail-MANLI_GeForce_GTX_1660_(M1431+N542)-19.html" TargetMode="External"/><Relationship Id="rId258" Type="http://schemas.openxmlformats.org/officeDocument/2006/relationships/hyperlink" Target="http://manli.com/en" TargetMode="External"/><Relationship Id="rId253" Type="http://schemas.openxmlformats.org/officeDocument/2006/relationships/hyperlink" Target="https://www.galax.com/en/" TargetMode="External"/><Relationship Id="rId252" Type="http://schemas.openxmlformats.org/officeDocument/2006/relationships/hyperlink" Target="http://www.galax.com/en/graphics-card/16-series/galax-geforce-gtx-1660mini1clickoc.html" TargetMode="External"/><Relationship Id="rId251" Type="http://schemas.openxmlformats.org/officeDocument/2006/relationships/hyperlink" Target="https://www.galax.com/en/" TargetMode="External"/><Relationship Id="rId250" Type="http://schemas.openxmlformats.org/officeDocument/2006/relationships/hyperlink" Target="https://www.galax.com/en/" TargetMode="External"/><Relationship Id="rId257" Type="http://schemas.openxmlformats.org/officeDocument/2006/relationships/hyperlink" Target="https://www.inno3d.com/en/product_detail/page/cd455495b2509f8012ecb6ad393206ffeeb436f82297fc323f1315e708a9eee7" TargetMode="External"/><Relationship Id="rId256" Type="http://schemas.openxmlformats.org/officeDocument/2006/relationships/hyperlink" Target="https://www.inno3d.com/en/product_detail/page/6b650737b36fe460e23bfa8685d2d68454523332945b760e7aa1d584971c059f" TargetMode="External"/><Relationship Id="rId255" Type="http://schemas.openxmlformats.org/officeDocument/2006/relationships/hyperlink" Target="https://www.galax.com/en/graphics-card/16-series/galax-geforce-gtx-1660-prodigy.html" TargetMode="External"/><Relationship Id="rId254" Type="http://schemas.openxmlformats.org/officeDocument/2006/relationships/hyperlink" Target="https://www.galax.com/en/" TargetMode="External"/><Relationship Id="rId293" Type="http://schemas.openxmlformats.org/officeDocument/2006/relationships/hyperlink" Target="https://www.msi.com/Graphics-card/GeForce-GTX-1660-SUPER-VENTUS-XS-OCV1" TargetMode="External"/><Relationship Id="rId292" Type="http://schemas.openxmlformats.org/officeDocument/2006/relationships/hyperlink" Target="https://www.msi.com/Graphics-card/GeForce-GTX-1660-SUPER-VENTUS-XS-V1" TargetMode="External"/><Relationship Id="rId291" Type="http://schemas.openxmlformats.org/officeDocument/2006/relationships/hyperlink" Target="https://www.msi.com/Graphics-card/GeForce-GTX-1660-SUPER-VENTUS-XS-OC" TargetMode="External"/><Relationship Id="rId290" Type="http://schemas.openxmlformats.org/officeDocument/2006/relationships/hyperlink" Target="https://www.msi.com/Graphics-card/GeForce-GTX-1660-SUPER-VENTUS-XS" TargetMode="External"/><Relationship Id="rId286" Type="http://schemas.openxmlformats.org/officeDocument/2006/relationships/hyperlink" Target="https://www.msi.com/Graphics-card/GeForce-GTX-1660-SUPER-AERO-ITX" TargetMode="External"/><Relationship Id="rId285" Type="http://schemas.openxmlformats.org/officeDocument/2006/relationships/hyperlink" Target="https://manli.com/en/product-detail-MANLI_GeForce_GTX_1660_Super_(M1431+N524-02)-23.html" TargetMode="External"/><Relationship Id="rId284" Type="http://schemas.openxmlformats.org/officeDocument/2006/relationships/hyperlink" Target="http://manli.com/en" TargetMode="External"/><Relationship Id="rId283" Type="http://schemas.openxmlformats.org/officeDocument/2006/relationships/hyperlink" Target="https://www.inno3d.com/en/product_detail/page/ec8360f58a90d556d45fad7b1386ffb4a485627828f3ada272a9cddb73788ad1" TargetMode="External"/><Relationship Id="rId289" Type="http://schemas.openxmlformats.org/officeDocument/2006/relationships/hyperlink" Target="https://www.msi.com/Graphics-Card/GeForce-GTX-1660-SUPER-AERO-ITX-OCV1" TargetMode="External"/><Relationship Id="rId288" Type="http://schemas.openxmlformats.org/officeDocument/2006/relationships/hyperlink" Target="https://www.msi.com/Graphics-Card/GeForce-GTX-1660-SUPER-AERO-ITX-V1" TargetMode="External"/><Relationship Id="rId287" Type="http://schemas.openxmlformats.org/officeDocument/2006/relationships/hyperlink" Target="https://www.msi.com/Graphics-card/GeForce-GTX-1660-SUPER-AERO-ITX-OC" TargetMode="External"/><Relationship Id="rId282" Type="http://schemas.openxmlformats.org/officeDocument/2006/relationships/hyperlink" Target="https://www.gigabyte.com/Graphics-Card/GV-N166SIXOC-6GD" TargetMode="External"/><Relationship Id="rId281" Type="http://schemas.openxmlformats.org/officeDocument/2006/relationships/hyperlink" Target="https://www.galax.com/en/graphics-card/16super-series/geforce-gtx-1660superx.html" TargetMode="External"/><Relationship Id="rId280" Type="http://schemas.openxmlformats.org/officeDocument/2006/relationships/hyperlink" Target="https://www.galax.com/en/" TargetMode="External"/><Relationship Id="rId275" Type="http://schemas.openxmlformats.org/officeDocument/2006/relationships/hyperlink" Target="https://www.evga.com/products/specs/gpu.aspx?pn=18C598E9-D769-47A4-8461-F25098789A56" TargetMode="External"/><Relationship Id="rId274" Type="http://schemas.openxmlformats.org/officeDocument/2006/relationships/hyperlink" Target="https://www.evga.com/products/specs/gpu.aspx?pn=C03412DA-022A-410C-8DF8-AD081F2BDA46" TargetMode="External"/><Relationship Id="rId273" Type="http://schemas.openxmlformats.org/officeDocument/2006/relationships/hyperlink" Target="https://www.asus.com/motherboards-components/graphics-cards/all-series/DUAL-GTX1660S-O6G-MINI" TargetMode="External"/><Relationship Id="rId272" Type="http://schemas.openxmlformats.org/officeDocument/2006/relationships/hyperlink" Target="https://www.asus.com/motherboards-components/graphics-cards/all-series/DUAL-GTX1660S-6G-MINI" TargetMode="External"/><Relationship Id="rId279" Type="http://schemas.openxmlformats.org/officeDocument/2006/relationships/hyperlink" Target="https://www.galax.com/en/" TargetMode="External"/><Relationship Id="rId278" Type="http://schemas.openxmlformats.org/officeDocument/2006/relationships/hyperlink" Target="https://www.galax.com/en/" TargetMode="External"/><Relationship Id="rId277" Type="http://schemas.openxmlformats.org/officeDocument/2006/relationships/hyperlink" Target="https://www.gainward.com/main/vgapro.php?id=1072&amp;lang=en" TargetMode="External"/><Relationship Id="rId276" Type="http://schemas.openxmlformats.org/officeDocument/2006/relationships/hyperlink" Target="https://www.evga.com/products/specs/gpu.aspx?pn=A78BF14D-FB8A-4F02-85A5-AE186A19F852" TargetMode="External"/><Relationship Id="rId228" Type="http://schemas.openxmlformats.org/officeDocument/2006/relationships/hyperlink" Target="http://manli.com/en" TargetMode="External"/><Relationship Id="rId227" Type="http://schemas.openxmlformats.org/officeDocument/2006/relationships/hyperlink" Target="https://www.inno3d.com/en/product_detail/page/0a358433ec36a88fc09ca425016883476daa482d7be9705b94508554005faa47" TargetMode="External"/><Relationship Id="rId226" Type="http://schemas.openxmlformats.org/officeDocument/2006/relationships/hyperlink" Target="https://www.gigabyte.com/Graphics-Card/GV-N165SOC-4GD" TargetMode="External"/><Relationship Id="rId225" Type="http://schemas.openxmlformats.org/officeDocument/2006/relationships/hyperlink" Target="https://www.galax.com/en/" TargetMode="External"/><Relationship Id="rId229" Type="http://schemas.openxmlformats.org/officeDocument/2006/relationships/hyperlink" Target="http://manli.com/en" TargetMode="External"/><Relationship Id="rId220" Type="http://schemas.openxmlformats.org/officeDocument/2006/relationships/hyperlink" Target="https://www.emtekinc.co.kr/bbs/board.php?bo_table=product&amp;wr_id=2065" TargetMode="External"/><Relationship Id="rId224" Type="http://schemas.openxmlformats.org/officeDocument/2006/relationships/hyperlink" Target="https://www.gainward.com/main/vgapro.php?id=1074&amp;lang=en" TargetMode="External"/><Relationship Id="rId223" Type="http://schemas.openxmlformats.org/officeDocument/2006/relationships/hyperlink" Target="https://www.evga.com/products/specs/gpu.aspx?pn=D8AD7B5D-96D5-4D6F-8F73-8686E1C2120B" TargetMode="External"/><Relationship Id="rId222" Type="http://schemas.openxmlformats.org/officeDocument/2006/relationships/hyperlink" Target="https://www.evga.com/products/specs/gpu.aspx?pn=7DB84F7B-DA28-4EB0-AA68-4E93472E672F" TargetMode="External"/><Relationship Id="rId221" Type="http://schemas.openxmlformats.org/officeDocument/2006/relationships/hyperlink" Target="https://www.evga.com/products/specs/gpu.aspx?pn=16B98B96-2243-4B64-919A-EC66E6AAF47D" TargetMode="External"/><Relationship Id="rId217" Type="http://schemas.openxmlformats.org/officeDocument/2006/relationships/hyperlink" Target="https://www.asus.com/motherboards-components/graphics-cards/all-series/TUF-GTX1650S-4G-GAMING" TargetMode="External"/><Relationship Id="rId216" Type="http://schemas.openxmlformats.org/officeDocument/2006/relationships/hyperlink" Target="https://www.asus.com/motherboards-components/graphics-cards/all-series/PH-GTX1650S-O4G" TargetMode="External"/><Relationship Id="rId215" Type="http://schemas.openxmlformats.org/officeDocument/2006/relationships/hyperlink" Target="https://www.asus.com/motherboards-components/graphics-cards/all-series/PH-GTX1650S-4G" TargetMode="External"/><Relationship Id="rId214" Type="http://schemas.openxmlformats.org/officeDocument/2006/relationships/hyperlink" Target="http://www.pcasl.com/pd.jsp?id=162" TargetMode="External"/><Relationship Id="rId219" Type="http://schemas.openxmlformats.org/officeDocument/2006/relationships/hyperlink" Target="https://www.emtekinc.co.kr/" TargetMode="External"/><Relationship Id="rId218" Type="http://schemas.openxmlformats.org/officeDocument/2006/relationships/hyperlink" Target="https://www.asus.com/motherboards-components/graphics-cards/all-series/TUF-GTX1650S-O4G-GAMING" TargetMode="External"/><Relationship Id="rId213" Type="http://schemas.openxmlformats.org/officeDocument/2006/relationships/hyperlink" Target="http://www.pcasl.com/index.jsp" TargetMode="External"/><Relationship Id="rId212" Type="http://schemas.openxmlformats.org/officeDocument/2006/relationships/hyperlink" Target="https://item.taobao.com/item.htm?id=630262146507" TargetMode="External"/><Relationship Id="rId211" Type="http://schemas.openxmlformats.org/officeDocument/2006/relationships/hyperlink" Target="http://www.yeston.net/" TargetMode="External"/><Relationship Id="rId210" Type="http://schemas.openxmlformats.org/officeDocument/2006/relationships/hyperlink" Target="https://www.palit.com/palit/vgapro.php?id=3667&amp;lang=en" TargetMode="External"/><Relationship Id="rId249" Type="http://schemas.openxmlformats.org/officeDocument/2006/relationships/hyperlink" Target="https://www.gainward.com/main/vgapro.php?id=1047&amp;lang=en" TargetMode="External"/><Relationship Id="rId248" Type="http://schemas.openxmlformats.org/officeDocument/2006/relationships/hyperlink" Target="https://www.evga.com/products/specs/gpu.aspx?pn=AEBBA7C6-1F14-4569-86FE-5F36D9FB7C81" TargetMode="External"/><Relationship Id="rId247" Type="http://schemas.openxmlformats.org/officeDocument/2006/relationships/hyperlink" Target="https://www.evga.com/products/specs/gpu.aspx?pn=06F5A52F-F254-4FB1-802B-E7D168D62D27" TargetMode="External"/><Relationship Id="rId242" Type="http://schemas.openxmlformats.org/officeDocument/2006/relationships/hyperlink" Target="https://www.emtekinc.co.kr/" TargetMode="External"/><Relationship Id="rId241" Type="http://schemas.openxmlformats.org/officeDocument/2006/relationships/hyperlink" Target="https://www.asus.com/motherboards-components/graphics-cards/all-series/TUF-GTX1660-O6G-GAMING" TargetMode="External"/><Relationship Id="rId240" Type="http://schemas.openxmlformats.org/officeDocument/2006/relationships/hyperlink" Target="https://www.asus.com/motherboards-components/graphics-cards/all-series/TUF-GTX1660-6G-GAMING" TargetMode="External"/><Relationship Id="rId246" Type="http://schemas.openxmlformats.org/officeDocument/2006/relationships/hyperlink" Target="https://www.evga.com/products/specs/gpu.aspx?pn=22EC222B-31EF-4F00-82EA-4DD69A8006CF" TargetMode="External"/><Relationship Id="rId245" Type="http://schemas.openxmlformats.org/officeDocument/2006/relationships/hyperlink" Target="https://www.evga.com/products/specs/gpu.aspx?pn=7F42B71C-2FEF-456A-B46B-89583214F2C6" TargetMode="External"/><Relationship Id="rId244" Type="http://schemas.openxmlformats.org/officeDocument/2006/relationships/hyperlink" Target="https://www.evga.com/products/specs/gpu.aspx?pn=A4A4EA67-2C49-4220-86B5-8F278D290880" TargetMode="External"/><Relationship Id="rId243" Type="http://schemas.openxmlformats.org/officeDocument/2006/relationships/hyperlink" Target="https://www.emtekinc.co.kr/bbs/board.php?bo_table=product&amp;wr_id=1980" TargetMode="External"/><Relationship Id="rId239" Type="http://schemas.openxmlformats.org/officeDocument/2006/relationships/hyperlink" Target="https://www.asus.com/motherboards-components/graphics-cards/all-series/PH-GTX1660-O6G" TargetMode="External"/><Relationship Id="rId238" Type="http://schemas.openxmlformats.org/officeDocument/2006/relationships/hyperlink" Target="https://www.asus.com/motherboards-components/graphics-cards/all-series/PH-GTX1660-6G" TargetMode="External"/><Relationship Id="rId237" Type="http://schemas.openxmlformats.org/officeDocument/2006/relationships/hyperlink" Target="http://www.pcasl.com/pd.jsp?id=121" TargetMode="External"/><Relationship Id="rId236" Type="http://schemas.openxmlformats.org/officeDocument/2006/relationships/hyperlink" Target="http://www.pcasl.com/index.jsp" TargetMode="External"/><Relationship Id="rId231" Type="http://schemas.openxmlformats.org/officeDocument/2006/relationships/hyperlink" Target="https://www.msi.com/Graphics-card/GeForce-GTX-1650-SUPER-AERO-ITX" TargetMode="External"/><Relationship Id="rId230" Type="http://schemas.openxmlformats.org/officeDocument/2006/relationships/hyperlink" Target="https://manli.com/en/product-detail-MANLI_GeForce_GTX_1650_Super_(M1469+N585-00)-18.html" TargetMode="External"/><Relationship Id="rId235" Type="http://schemas.openxmlformats.org/officeDocument/2006/relationships/hyperlink" Target="https://www.palit.com/palit/vgapro.php?id=3430&amp;lang=en" TargetMode="External"/><Relationship Id="rId234" Type="http://schemas.openxmlformats.org/officeDocument/2006/relationships/hyperlink" Target="https://www.msi.com/Graphics-card/GeForce-GTX-1650-SUPER-VENTUS-XS-OC" TargetMode="External"/><Relationship Id="rId233" Type="http://schemas.openxmlformats.org/officeDocument/2006/relationships/hyperlink" Target="https://www.msi.com/Graphics-card/GeForce-GTX-1650-SUPER-VENTUS-XS" TargetMode="External"/><Relationship Id="rId232" Type="http://schemas.openxmlformats.org/officeDocument/2006/relationships/hyperlink" Target="https://www.msi.com/Graphics-card/GeForce-GTX-1650-SUPER-AERO-ITX-OC" TargetMode="External"/><Relationship Id="rId206" Type="http://schemas.openxmlformats.org/officeDocument/2006/relationships/hyperlink" Target="https://www.msi.com/Graphics-Card/GeForce-GTX-1650-D6-VENTUS-XS-V1" TargetMode="External"/><Relationship Id="rId205" Type="http://schemas.openxmlformats.org/officeDocument/2006/relationships/hyperlink" Target="https://www.msi.com/Graphics-card/GeForce-GTX-1650-D6-VENTUS-XS-OC" TargetMode="External"/><Relationship Id="rId204" Type="http://schemas.openxmlformats.org/officeDocument/2006/relationships/hyperlink" Target="https://www.msi.com/Graphics-card/GeForce-GTX-1650-D6-VENTUS-XS" TargetMode="External"/><Relationship Id="rId203" Type="http://schemas.openxmlformats.org/officeDocument/2006/relationships/hyperlink" Target="https://www.msi.com/Graphics-Card/GeForce-GTX-1650-D6-AERO-ITX-OCV2" TargetMode="External"/><Relationship Id="rId209" Type="http://schemas.openxmlformats.org/officeDocument/2006/relationships/hyperlink" Target="https://www.msi.com/Graphics-Card/GeForce-GTX-1650-D6-VENTUS-XS-OCV2" TargetMode="External"/><Relationship Id="rId208" Type="http://schemas.openxmlformats.org/officeDocument/2006/relationships/hyperlink" Target="https://www.msi.com/Graphics-Card/GeForce-GTX-1650-D6-VENTUS-XS-V2" TargetMode="External"/><Relationship Id="rId207" Type="http://schemas.openxmlformats.org/officeDocument/2006/relationships/hyperlink" Target="https://www.msi.com/Graphics-Card/GeForce-GTX-1650-D6-VENTUS-XS-OCV1" TargetMode="External"/><Relationship Id="rId202" Type="http://schemas.openxmlformats.org/officeDocument/2006/relationships/hyperlink" Target="https://www.msi.com/Graphics-Card/GeForce-GTX-1650-D6-AERO-ITX-V2" TargetMode="External"/><Relationship Id="rId201" Type="http://schemas.openxmlformats.org/officeDocument/2006/relationships/hyperlink" Target="https://www.msi.com/Graphics-Card/GeForce-GTX-1650-D6-AERO-ITX-OCV1" TargetMode="External"/><Relationship Id="rId200" Type="http://schemas.openxmlformats.org/officeDocument/2006/relationships/hyperlink" Target="https://www.msi.com/Graphics-Card/GeForce-GTX-1650-D6-AERO-ITX-V1" TargetMode="External"/><Relationship Id="rId190" Type="http://schemas.openxmlformats.org/officeDocument/2006/relationships/hyperlink" Target="https://www.galax.com/en/" TargetMode="External"/><Relationship Id="rId194" Type="http://schemas.openxmlformats.org/officeDocument/2006/relationships/hyperlink" Target="https://www.inno3d.com/en/product_detail/page/c8522a4188ce0d0f08fd86d61557b6f889c39708990685493fa2290a9b69614d" TargetMode="External"/><Relationship Id="rId193" Type="http://schemas.openxmlformats.org/officeDocument/2006/relationships/hyperlink" Target="https://www.inno3d.com/en/product_detail/page/15cf75502f55c5178ba04e6de7bf7478ede504590fec6b73d591d6ce30587508" TargetMode="External"/><Relationship Id="rId192" Type="http://schemas.openxmlformats.org/officeDocument/2006/relationships/hyperlink" Target="https://www.inno3d.com/en/product_detail/page/4cd943b5dc385cf3522dfa2ec25e55abeacd5da8a734c0820c30effd6142af69" TargetMode="External"/><Relationship Id="rId191" Type="http://schemas.openxmlformats.org/officeDocument/2006/relationships/hyperlink" Target="https://www.galax.com/en/graphics-card/16-series/galax-geforce-gtx-1650ex1clickoc-gddr6.html" TargetMode="External"/><Relationship Id="rId187" Type="http://schemas.openxmlformats.org/officeDocument/2006/relationships/hyperlink" Target="https://www.galax.com/en/" TargetMode="External"/><Relationship Id="rId186" Type="http://schemas.openxmlformats.org/officeDocument/2006/relationships/hyperlink" Target="https://www.gainward.com/main/vgapro.php?id=1082&amp;lang=en" TargetMode="External"/><Relationship Id="rId185" Type="http://schemas.openxmlformats.org/officeDocument/2006/relationships/hyperlink" Target="https://www.evga.com/products/specs/gpu.aspx?pn=F865E30F-281C-4E34-B855-40B4D399AD11" TargetMode="External"/><Relationship Id="rId184" Type="http://schemas.openxmlformats.org/officeDocument/2006/relationships/hyperlink" Target="https://www.evga.com/products/specs/gpu.aspx?pn=0F553559-17A1-4140-933B-9BD32BD1389F" TargetMode="External"/><Relationship Id="rId189" Type="http://schemas.openxmlformats.org/officeDocument/2006/relationships/hyperlink" Target="https://www.galax.com/en/" TargetMode="External"/><Relationship Id="rId188" Type="http://schemas.openxmlformats.org/officeDocument/2006/relationships/hyperlink" Target="https://www.galax.com/en/" TargetMode="External"/><Relationship Id="rId183" Type="http://schemas.openxmlformats.org/officeDocument/2006/relationships/hyperlink" Target="https://www.evga.com/products/specs/gpu.aspx?pn=8DCAC7A9-2AA8-46B9-8ABB-E83C84B0444C" TargetMode="External"/><Relationship Id="rId182" Type="http://schemas.openxmlformats.org/officeDocument/2006/relationships/hyperlink" Target="https://www.evga.com/products/specs/gpu.aspx?pn=067515A5-49F8-4EF7-B851-8842B8231392" TargetMode="External"/><Relationship Id="rId181" Type="http://schemas.openxmlformats.org/officeDocument/2006/relationships/hyperlink" Target="https://www.emtekinc.co.kr/bbs/board.php?bo_table=product&amp;wr_id=2118" TargetMode="External"/><Relationship Id="rId180" Type="http://schemas.openxmlformats.org/officeDocument/2006/relationships/hyperlink" Target="https://www.emtekinc.co.kr/" TargetMode="External"/><Relationship Id="rId176" Type="http://schemas.openxmlformats.org/officeDocument/2006/relationships/hyperlink" Target="https://www.emtekinc.co.kr/" TargetMode="External"/><Relationship Id="rId175" Type="http://schemas.openxmlformats.org/officeDocument/2006/relationships/hyperlink" Target="https://www.asus.com/motherboards-components/graphics-cards/tuf-gaming/tuf-gtx1650-o4gd6-p-v2-gaming/" TargetMode="External"/><Relationship Id="rId174" Type="http://schemas.openxmlformats.org/officeDocument/2006/relationships/hyperlink" Target="https://www.asus.com/motherboards-components/graphics-cards/tuf-gaming/tuf-gtx1650-4gd6-p-v2-gaming/" TargetMode="External"/><Relationship Id="rId173" Type="http://schemas.openxmlformats.org/officeDocument/2006/relationships/hyperlink" Target="https://www.asus.com/motherboards-components/graphics-cards/tuf-gaming/TUF-GTX1650-O4GD6-GAMING" TargetMode="External"/><Relationship Id="rId179" Type="http://schemas.openxmlformats.org/officeDocument/2006/relationships/hyperlink" Target="https://www.emtekinc.co.kr/bbs/board.php?bo_table=product&amp;wr_id=2210" TargetMode="External"/><Relationship Id="rId178" Type="http://schemas.openxmlformats.org/officeDocument/2006/relationships/hyperlink" Target="https://www.emtekinc.co.kr/" TargetMode="External"/><Relationship Id="rId177" Type="http://schemas.openxmlformats.org/officeDocument/2006/relationships/hyperlink" Target="https://www.emtekinc.co.kr/bbs/board.php?bo_table=product&amp;wr_id=2166" TargetMode="External"/><Relationship Id="rId198" Type="http://schemas.openxmlformats.org/officeDocument/2006/relationships/hyperlink" Target="https://manli.com/en/product-detail-MANLI_GeForce_GTX_1650_GDDR6_(M1434-1+N600-01)-16.html" TargetMode="External"/><Relationship Id="rId197" Type="http://schemas.openxmlformats.org/officeDocument/2006/relationships/hyperlink" Target="http://manli.com/en" TargetMode="External"/><Relationship Id="rId196" Type="http://schemas.openxmlformats.org/officeDocument/2006/relationships/hyperlink" Target="https://manli.com/en/product-detail-MANLI_GeForce_RTX_1650_Low_Profile_(M2472+N596-02)-144.html" TargetMode="External"/><Relationship Id="rId195" Type="http://schemas.openxmlformats.org/officeDocument/2006/relationships/hyperlink" Target="http://manli.com/en" TargetMode="External"/><Relationship Id="rId199" Type="http://schemas.openxmlformats.org/officeDocument/2006/relationships/hyperlink" Target="https://www.msi.com/Graphics-card/GeForce-GTX-1650-D6-AERO-ITX-OC" TargetMode="External"/><Relationship Id="rId150" Type="http://schemas.openxmlformats.org/officeDocument/2006/relationships/hyperlink" Target="https://www.galax.com/en/" TargetMode="External"/><Relationship Id="rId149" Type="http://schemas.openxmlformats.org/officeDocument/2006/relationships/hyperlink" Target="https://www.emtekinc.co.kr/bbs/board.php?bo_table=product&amp;wr_id=1685" TargetMode="External"/><Relationship Id="rId148" Type="http://schemas.openxmlformats.org/officeDocument/2006/relationships/hyperlink" Target="https://www.emtekinc.co.kr/" TargetMode="External"/><Relationship Id="rId143" Type="http://schemas.openxmlformats.org/officeDocument/2006/relationships/hyperlink" Target="https://www.zotac.com/product/graphics_card/zotac-geforce-gtx-1060-mini" TargetMode="External"/><Relationship Id="rId142" Type="http://schemas.openxmlformats.org/officeDocument/2006/relationships/hyperlink" Target="https://www.msi.com/Graphics-card/GeForce-GTX-1060-6G-OCV1" TargetMode="External"/><Relationship Id="rId141" Type="http://schemas.openxmlformats.org/officeDocument/2006/relationships/hyperlink" Target="https://www.msi.com/Graphics-card/GeForce-GTX-1060-6G-OC" TargetMode="External"/><Relationship Id="rId140" Type="http://schemas.openxmlformats.org/officeDocument/2006/relationships/hyperlink" Target="https://www.msi.com/Graphics-card/GeForce-GTX-1060-AERO-ITX-6G-OC" TargetMode="External"/><Relationship Id="rId147" Type="http://schemas.openxmlformats.org/officeDocument/2006/relationships/hyperlink" Target="https://www.zotac.com/product/graphics_card/zotac-geforce-gtx-1060-amp-edition-6gb-gddr5x" TargetMode="External"/><Relationship Id="rId146" Type="http://schemas.openxmlformats.org/officeDocument/2006/relationships/hyperlink" Target="https://www.zotac.com/product/graphics_card/zotac-geforce-gtx-1060-6gb-gddr5x" TargetMode="External"/><Relationship Id="rId145" Type="http://schemas.openxmlformats.org/officeDocument/2006/relationships/hyperlink" Target="https://www.zotac.com/product/graphics_card/zotac-geforce%C2%AE-gtx-1060-amp-edition-9gbps-memory" TargetMode="External"/><Relationship Id="rId144" Type="http://schemas.openxmlformats.org/officeDocument/2006/relationships/hyperlink" Target="https://www.zotac.com/product/graphics_card/zotac-geforce-gtx-1060-amp-edition" TargetMode="External"/><Relationship Id="rId139" Type="http://schemas.openxmlformats.org/officeDocument/2006/relationships/hyperlink" Target="https://www.msi.com/Graphics-card/GeForce-GTX-1060-AERO-ITX-6G" TargetMode="External"/><Relationship Id="rId138" Type="http://schemas.openxmlformats.org/officeDocument/2006/relationships/hyperlink" Target="https://www.gigabyte.com/Graphics-Card/GV-N1060IXOC-6GD" TargetMode="External"/><Relationship Id="rId137" Type="http://schemas.openxmlformats.org/officeDocument/2006/relationships/hyperlink" Target="https://www.gigabyte.com/Graphics-Card/GV-N1060IX-6GD-rev-10" TargetMode="External"/><Relationship Id="rId132" Type="http://schemas.openxmlformats.org/officeDocument/2006/relationships/hyperlink" Target="https://www.asus.com/motherboards-components/graphics-cards/all-series/PH-GTX1060-6G" TargetMode="External"/><Relationship Id="rId131" Type="http://schemas.openxmlformats.org/officeDocument/2006/relationships/hyperlink" Target="https://www.zotac.com/product/graphics_card/zotac-geforce-gtx-1060-3GB-amp-core-edition" TargetMode="External"/><Relationship Id="rId130" Type="http://schemas.openxmlformats.org/officeDocument/2006/relationships/hyperlink" Target="http://zotac.com/" TargetMode="External"/><Relationship Id="rId136" Type="http://schemas.openxmlformats.org/officeDocument/2006/relationships/hyperlink" Target="https://www.evga.com/products/specs/gpu.aspx?pn=5FA28D37-0FB1-42BE-8B9B-04223CB59D85" TargetMode="External"/><Relationship Id="rId135" Type="http://schemas.openxmlformats.org/officeDocument/2006/relationships/hyperlink" Target="https://www.evga.com/products/specs/gpu.aspx?pn=F1AEFE7F-3B97-444D-9859-CEB772861F3F" TargetMode="External"/><Relationship Id="rId134" Type="http://schemas.openxmlformats.org/officeDocument/2006/relationships/hyperlink" Target="https://www.emtekinc.co.kr/bbs/board.php?bo_table=product&amp;wr_id=1654" TargetMode="External"/><Relationship Id="rId133" Type="http://schemas.openxmlformats.org/officeDocument/2006/relationships/hyperlink" Target="https://www.emtekinc.co.kr/" TargetMode="External"/><Relationship Id="rId172" Type="http://schemas.openxmlformats.org/officeDocument/2006/relationships/hyperlink" Target="https://www.asus.com/motherboards-components/graphics-cards/all-series/TUF-GTX1650-4GD6-GAMING" TargetMode="External"/><Relationship Id="rId171" Type="http://schemas.openxmlformats.org/officeDocument/2006/relationships/hyperlink" Target="https://www.asus.com/motherboards-components/graphics-cards/dual/dual-gtx1650-o4gd6-p-v2/" TargetMode="External"/><Relationship Id="rId170" Type="http://schemas.openxmlformats.org/officeDocument/2006/relationships/hyperlink" Target="https://www.asus.com/motherboards-components/graphics-cards/dual/dual-gtx1650-4gd6-p-v2/" TargetMode="External"/><Relationship Id="rId165" Type="http://schemas.openxmlformats.org/officeDocument/2006/relationships/hyperlink" Target="https://www.asus.com/motherboards-components/graphics-cards/phoenix/ph-gtx1650-o4gd6-p-evo/" TargetMode="External"/><Relationship Id="rId164" Type="http://schemas.openxmlformats.org/officeDocument/2006/relationships/hyperlink" Target="https://www.asus.com/motherboards-components/graphics-cards/phoenix/ph-gtx1650-4gd6-p-evo/" TargetMode="External"/><Relationship Id="rId163" Type="http://schemas.openxmlformats.org/officeDocument/2006/relationships/hyperlink" Target="https://www.asus.com/motherboards-components/graphics-cards/phoenix/ph-gtx1650-o4gd6-p-v2/" TargetMode="External"/><Relationship Id="rId162" Type="http://schemas.openxmlformats.org/officeDocument/2006/relationships/hyperlink" Target="https://www.asus.com/motherboards-components/graphics-cards/phoenix/ph-gtx1650-4gd6-p-v2/" TargetMode="External"/><Relationship Id="rId169" Type="http://schemas.openxmlformats.org/officeDocument/2006/relationships/hyperlink" Target="https://www.asus.com/Motherboards-Components/Graphics-Cards/Dual/DUAL-GTX1650-O4GD6-P/" TargetMode="External"/><Relationship Id="rId168" Type="http://schemas.openxmlformats.org/officeDocument/2006/relationships/hyperlink" Target="https://www.asus.com/Motherboards-Components/Graphics-Cards/Dual/DUAL-GTX1650-4GD6-P/" TargetMode="External"/><Relationship Id="rId167" Type="http://schemas.openxmlformats.org/officeDocument/2006/relationships/hyperlink" Target="https://www.asus.com/Motherboards-Components/Graphics-Cards/Dual-Mini/DUAL-GTX1650-O4GD6-MINI/" TargetMode="External"/><Relationship Id="rId166" Type="http://schemas.openxmlformats.org/officeDocument/2006/relationships/hyperlink" Target="https://www.asus.com/Motherboards-Components/Graphics-Cards/Dual-Mini/DUAL-GTX1650-4GD6-MINI/" TargetMode="External"/><Relationship Id="rId161" Type="http://schemas.openxmlformats.org/officeDocument/2006/relationships/hyperlink" Target="https://www.asus.com/Graphics-Cards/PH-GTX1650-O4GD6/" TargetMode="External"/><Relationship Id="rId160" Type="http://schemas.openxmlformats.org/officeDocument/2006/relationships/hyperlink" Target="http://www.pcasl.com/pd.jsp?id=167" TargetMode="External"/><Relationship Id="rId159" Type="http://schemas.openxmlformats.org/officeDocument/2006/relationships/hyperlink" Target="http://www.pcasl.com/index.jsp" TargetMode="External"/><Relationship Id="rId154" Type="http://schemas.openxmlformats.org/officeDocument/2006/relationships/hyperlink" Target="https://www.zotac.com/product/graphics_card/zotac-geforce-gtx-1080-ti-arcticstorm-mini" TargetMode="External"/><Relationship Id="rId153" Type="http://schemas.openxmlformats.org/officeDocument/2006/relationships/hyperlink" Target="https://www.msi.com/Graphics-card/GeForce-GTX-1070-AERO-ITX-8G-OC" TargetMode="External"/><Relationship Id="rId152" Type="http://schemas.openxmlformats.org/officeDocument/2006/relationships/hyperlink" Target="https://www.msi.com/Graphics-card/GeForce-GTX-1070-AERO-ITX-8G" TargetMode="External"/><Relationship Id="rId151" Type="http://schemas.openxmlformats.org/officeDocument/2006/relationships/hyperlink" Target="https://www.gigabyte.com/Graphics-Card/GV-N1070IXOC-8GD" TargetMode="External"/><Relationship Id="rId158" Type="http://schemas.openxmlformats.org/officeDocument/2006/relationships/hyperlink" Target="https://www.palit.com/palit/vgapro.php?id=3275&amp;lang=en" TargetMode="External"/><Relationship Id="rId157" Type="http://schemas.openxmlformats.org/officeDocument/2006/relationships/hyperlink" Target="https://www.palit.com/palit/vgapro.php?id=3261&amp;lang=en" TargetMode="External"/><Relationship Id="rId156" Type="http://schemas.openxmlformats.org/officeDocument/2006/relationships/hyperlink" Target="https://www.palit.com/palit/vgapro.php?id=3254&amp;lang=en" TargetMode="External"/><Relationship Id="rId155" Type="http://schemas.openxmlformats.org/officeDocument/2006/relationships/hyperlink" Target="https://www.palit.com/palit/vgapro.php?id=3247&amp;lang=en" TargetMode="External"/><Relationship Id="rId509" Type="http://schemas.openxmlformats.org/officeDocument/2006/relationships/hyperlink" Target="http://www.yeston.net/" TargetMode="External"/><Relationship Id="rId508" Type="http://schemas.openxmlformats.org/officeDocument/2006/relationships/hyperlink" Target="https://www.pny.com/pny-geforce-rtx-4060-8gb-verto-dual-fan" TargetMode="External"/><Relationship Id="rId503" Type="http://schemas.openxmlformats.org/officeDocument/2006/relationships/hyperlink" Target="https://www.msi.com/Graphics-Card/GeForce-RTX-4060-VENTUS-2X-BLACK-8G" TargetMode="External"/><Relationship Id="rId502" Type="http://schemas.openxmlformats.org/officeDocument/2006/relationships/hyperlink" Target="https://www.msi.com/Graphics-Card/GeForce-RTX-4060-AERO-ITX-8G-OC" TargetMode="External"/><Relationship Id="rId501" Type="http://schemas.openxmlformats.org/officeDocument/2006/relationships/hyperlink" Target="https://www.msi.com/Graphics-Card/GeForce-RTX-4060-AERO-ITX-8G" TargetMode="External"/><Relationship Id="rId500" Type="http://schemas.openxmlformats.org/officeDocument/2006/relationships/hyperlink" Target="https://www.manli.com/en/product-detail-Manli_GeForce_RTX%E2%84%A2_4060(M2560+N727)-332.html" TargetMode="External"/><Relationship Id="rId507" Type="http://schemas.openxmlformats.org/officeDocument/2006/relationships/hyperlink" Target="http://www.palit.com/palit/vgapro.php?id=4918&amp;lang=en" TargetMode="External"/><Relationship Id="rId506" Type="http://schemas.openxmlformats.org/officeDocument/2006/relationships/hyperlink" Target="https://www.msi.com/Graphics-Card/GeForce-RTX-4060-VENTUS-2X-WHITE-8G-OC" TargetMode="External"/><Relationship Id="rId505" Type="http://schemas.openxmlformats.org/officeDocument/2006/relationships/hyperlink" Target="https://www.msi.com/Graphics-Card/GeForce-RTX-4060-VENTUS-2X-WHITE-8G" TargetMode="External"/><Relationship Id="rId504" Type="http://schemas.openxmlformats.org/officeDocument/2006/relationships/hyperlink" Target="https://www.msi.com/Graphics-Card/GeForce-RTX-4060-VENTUS-2X-BLACK-8G-OC" TargetMode="External"/><Relationship Id="rId525" Type="http://schemas.openxmlformats.org/officeDocument/2006/relationships/hyperlink" Target="https://www.palit.com/palit/vgapro.php?id=4858&amp;lang=en" TargetMode="External"/><Relationship Id="rId524" Type="http://schemas.openxmlformats.org/officeDocument/2006/relationships/hyperlink" Target="https://www.msi.com/Graphics-Card/GeForce-RTX-4060-Ti-8G-VENTUS-2X-BLACK-E1-OC" TargetMode="External"/><Relationship Id="rId523" Type="http://schemas.openxmlformats.org/officeDocument/2006/relationships/hyperlink" Target="https://www.msi.com/Graphics-Card/GeForce-RTX-4060-Ti-8G-VENTUS-2X-BLACK-E1" TargetMode="External"/><Relationship Id="rId522" Type="http://schemas.openxmlformats.org/officeDocument/2006/relationships/hyperlink" Target="https://www.msi.com/Graphics-Card/GeForce-RTX-4060-Ti-VENTUS-2X-BLACK-8G-OC" TargetMode="External"/><Relationship Id="rId529" Type="http://schemas.openxmlformats.org/officeDocument/2006/relationships/hyperlink" Target="https://www.gigabyte.com/Graphics-Card/GV-N406TWF2OC-16GD" TargetMode="External"/><Relationship Id="rId528" Type="http://schemas.openxmlformats.org/officeDocument/2006/relationships/hyperlink" Target="https://en.colorful.cn/en/home/product?mid=102&amp;id=3e58f471-3784-4782-8ee6-05e7ceb0df66" TargetMode="External"/><Relationship Id="rId527" Type="http://schemas.openxmlformats.org/officeDocument/2006/relationships/hyperlink" Target="https://en.colorful.cn/index.aspx" TargetMode="External"/><Relationship Id="rId526" Type="http://schemas.openxmlformats.org/officeDocument/2006/relationships/hyperlink" Target="https://www.palit.com/palit/vgapro.php?id=4868&amp;lang=en" TargetMode="External"/><Relationship Id="rId521" Type="http://schemas.openxmlformats.org/officeDocument/2006/relationships/hyperlink" Target="https://www.msi.com/Graphics-Card/GeForce-RTX-4060-Ti-VENTUS-2X-BLACK-8G" TargetMode="External"/><Relationship Id="rId520" Type="http://schemas.openxmlformats.org/officeDocument/2006/relationships/hyperlink" Target="https://www.gigabyte.com/Graphics-Card/GV-N406TWF2OC-8GD" TargetMode="External"/><Relationship Id="rId519" Type="http://schemas.openxmlformats.org/officeDocument/2006/relationships/hyperlink" Target="https://www.gigabyte.com/Graphics-Card/GV-N406TWF2-8GD" TargetMode="External"/><Relationship Id="rId514" Type="http://schemas.openxmlformats.org/officeDocument/2006/relationships/hyperlink" Target="https://en.colorful.cn/index.aspx" TargetMode="External"/><Relationship Id="rId513" Type="http://schemas.openxmlformats.org/officeDocument/2006/relationships/hyperlink" Target="https://www.asus.com/motherboards-components/graphics-cards/dual/dual-rtx4060ti-o8g-v2/" TargetMode="External"/><Relationship Id="rId512" Type="http://schemas.openxmlformats.org/officeDocument/2006/relationships/hyperlink" Target="https://www.asus.com/motherboards-components/graphics-cards/dual/dual-rtx4060ti-8g-v2/" TargetMode="External"/><Relationship Id="rId511" Type="http://schemas.openxmlformats.org/officeDocument/2006/relationships/hyperlink" Target="https://www.zotac.com/product/graphics_card/zotac-gaming-geforce-rtx-4060-8gb-solo" TargetMode="External"/><Relationship Id="rId518" Type="http://schemas.openxmlformats.org/officeDocument/2006/relationships/hyperlink" Target="https://www.gainward.com/main/vgapro.php?id=1188&amp;lang=en" TargetMode="External"/><Relationship Id="rId517" Type="http://schemas.openxmlformats.org/officeDocument/2006/relationships/hyperlink" Target="https://www.gainward.com/main/vgapro.php?id=1189&amp;lang=en" TargetMode="External"/><Relationship Id="rId516" Type="http://schemas.openxmlformats.org/officeDocument/2006/relationships/hyperlink" Target="http://www.szgainward.cn/Home/ProductDetail?id=349&amp;isStop=0" TargetMode="External"/><Relationship Id="rId515" Type="http://schemas.openxmlformats.org/officeDocument/2006/relationships/hyperlink" Target="https://en.colorful.cn/en/home/product?mid=102&amp;id=1a5ecc0c-0554-483e-9a89-16c237adabff" TargetMode="External"/><Relationship Id="rId510" Type="http://schemas.openxmlformats.org/officeDocument/2006/relationships/hyperlink" Target="http://www.yeston.net/products-detail/id-39.html" TargetMode="External"/><Relationship Id="rId107" Type="http://schemas.openxmlformats.org/officeDocument/2006/relationships/hyperlink" Target="https://www.msi.com/Graphics-card/GeForce-GTX-1050-Ti-AERO-ITX-4G-OCV1" TargetMode="External"/><Relationship Id="rId106" Type="http://schemas.openxmlformats.org/officeDocument/2006/relationships/hyperlink" Target="https://www.msi.com/index.php" TargetMode="External"/><Relationship Id="rId105" Type="http://schemas.openxmlformats.org/officeDocument/2006/relationships/hyperlink" Target="https://www.msi.com/Graphics-card/GeForce-GTX-1050-Ti-AERO-ITX-4G-OC" TargetMode="External"/><Relationship Id="rId104" Type="http://schemas.openxmlformats.org/officeDocument/2006/relationships/hyperlink" Target="https://www.msi.com/index.php" TargetMode="External"/><Relationship Id="rId109" Type="http://schemas.openxmlformats.org/officeDocument/2006/relationships/hyperlink" Target="http://www.palit.com/palit/vgapro.php?id=2823&amp;lang=en" TargetMode="External"/><Relationship Id="rId108" Type="http://schemas.openxmlformats.org/officeDocument/2006/relationships/hyperlink" Target="http://www.palit.com/palit/index.php?lang=en" TargetMode="External"/><Relationship Id="rId103" Type="http://schemas.openxmlformats.org/officeDocument/2006/relationships/hyperlink" Target="https://www.msi.com/Graphics-card/GeForce-GTX-1050-Ti-4GT-OCV1" TargetMode="External"/><Relationship Id="rId102" Type="http://schemas.openxmlformats.org/officeDocument/2006/relationships/hyperlink" Target="https://www.msi.com/index.php" TargetMode="External"/><Relationship Id="rId101" Type="http://schemas.openxmlformats.org/officeDocument/2006/relationships/hyperlink" Target="https://www.msi.com/Graphics-card/GeForce-GTX-1050-Ti-4GT-OC" TargetMode="External"/><Relationship Id="rId100" Type="http://schemas.openxmlformats.org/officeDocument/2006/relationships/hyperlink" Target="https://www.msi.com/index.php" TargetMode="External"/><Relationship Id="rId129" Type="http://schemas.openxmlformats.org/officeDocument/2006/relationships/hyperlink" Target="https://www.zotac.com/product/graphics_card/zotac-geforce%C2%AE-gtx-1060-3gb-amp-edition" TargetMode="External"/><Relationship Id="rId128" Type="http://schemas.openxmlformats.org/officeDocument/2006/relationships/hyperlink" Target="http://zotac.com/" TargetMode="External"/><Relationship Id="rId127" Type="http://schemas.openxmlformats.org/officeDocument/2006/relationships/hyperlink" Target="https://www.zotac.com/product/graphics_card/zotac-geforce-gtx-1060-3gb" TargetMode="External"/><Relationship Id="rId126" Type="http://schemas.openxmlformats.org/officeDocument/2006/relationships/hyperlink" Target="https://www.msi.com/Graphics-card/GeForce-GTX-1060-3G-OCV1" TargetMode="External"/><Relationship Id="rId121" Type="http://schemas.openxmlformats.org/officeDocument/2006/relationships/hyperlink" Target="https://www.gigabyte.com/Graphics-Card/GV-N1060IX-3GD-rev-10" TargetMode="External"/><Relationship Id="rId120" Type="http://schemas.openxmlformats.org/officeDocument/2006/relationships/hyperlink" Target="https://www.evga.com/products/specs/gpu.aspx?pn=247FA81D-B495-405C-8CD8-4F07437DFE54" TargetMode="External"/><Relationship Id="rId125" Type="http://schemas.openxmlformats.org/officeDocument/2006/relationships/hyperlink" Target="https://www.msi.com/Graphics-card/GeForce-GTX-1060-3G-OCV1" TargetMode="External"/><Relationship Id="rId124" Type="http://schemas.openxmlformats.org/officeDocument/2006/relationships/hyperlink" Target="https://www.msi.com/Graphics-card/GeForce-GTX-1060-AERO-ITX-3G-OC" TargetMode="External"/><Relationship Id="rId123" Type="http://schemas.openxmlformats.org/officeDocument/2006/relationships/hyperlink" Target="https://www.msi.com/Graphics-card/GeForce-GTX-1060-AERO-ITX-3G" TargetMode="External"/><Relationship Id="rId122" Type="http://schemas.openxmlformats.org/officeDocument/2006/relationships/hyperlink" Target="https://www.gigabyte.com/Graphics-Card/GV-N1060IXOC-3GD" TargetMode="External"/><Relationship Id="rId118" Type="http://schemas.openxmlformats.org/officeDocument/2006/relationships/hyperlink" Target="https://www.asus.com/motherboards-components/graphics-cards/all-series/PH-GTX1060-3G" TargetMode="External"/><Relationship Id="rId117" Type="http://schemas.openxmlformats.org/officeDocument/2006/relationships/hyperlink" Target="https://www.zotac.com/product/graphics_card/zotac-geforce-gtx-1050-ti-oc-edition" TargetMode="External"/><Relationship Id="rId116" Type="http://schemas.openxmlformats.org/officeDocument/2006/relationships/hyperlink" Target="http://zotac.com/" TargetMode="External"/><Relationship Id="rId115" Type="http://schemas.openxmlformats.org/officeDocument/2006/relationships/hyperlink" Target="https://www.zotac.com/product/graphics_card/zotac-geforce-gtx-1050-ti-mini" TargetMode="External"/><Relationship Id="rId119" Type="http://schemas.openxmlformats.org/officeDocument/2006/relationships/hyperlink" Target="https://www.evga.com/products/specs/gpu.aspx?pn=3FC4282D-A2A2-4998-8EDD-0482D29A9A38" TargetMode="External"/><Relationship Id="rId110" Type="http://schemas.openxmlformats.org/officeDocument/2006/relationships/hyperlink" Target="http://www.palit.com/palit/index.php?lang=en" TargetMode="External"/><Relationship Id="rId114" Type="http://schemas.openxmlformats.org/officeDocument/2006/relationships/hyperlink" Target="http://zotac.com/" TargetMode="External"/><Relationship Id="rId113" Type="http://schemas.openxmlformats.org/officeDocument/2006/relationships/hyperlink" Target="https://www.zotac.com/product/graphics_card/zotac-geforce-gtx-1050-ti-low-profile" TargetMode="External"/><Relationship Id="rId112" Type="http://schemas.openxmlformats.org/officeDocument/2006/relationships/hyperlink" Target="http://zotac.com/" TargetMode="External"/><Relationship Id="rId111" Type="http://schemas.openxmlformats.org/officeDocument/2006/relationships/hyperlink" Target="http://www.palit.com/palit/vgapro.php?id=2719&amp;lang=en" TargetMode="External"/><Relationship Id="rId541" Type="http://schemas.openxmlformats.org/officeDocument/2006/relationships/vmlDrawing" Target="../drawings/vmlDrawing10.vml"/><Relationship Id="rId540" Type="http://schemas.openxmlformats.org/officeDocument/2006/relationships/drawing" Target="../drawings/drawing13.xml"/><Relationship Id="rId536" Type="http://schemas.openxmlformats.org/officeDocument/2006/relationships/hyperlink" Target="https://www.galax.com/en/" TargetMode="External"/><Relationship Id="rId535" Type="http://schemas.openxmlformats.org/officeDocument/2006/relationships/hyperlink" Target="https://www.galax.com/en/graphics-card/40-series/4090-series/geforce-rtx-4090-hydro.html" TargetMode="External"/><Relationship Id="rId534" Type="http://schemas.openxmlformats.org/officeDocument/2006/relationships/hyperlink" Target="https://www.galax.com/en/" TargetMode="External"/><Relationship Id="rId533" Type="http://schemas.openxmlformats.org/officeDocument/2006/relationships/hyperlink" Target="https://www.inno3d.com/en/PRODUCT_INNO3D_GEFORCE_RTX_4080_SUPER_16GB_ICHILL_FB" TargetMode="External"/><Relationship Id="rId539" Type="http://schemas.openxmlformats.org/officeDocument/2006/relationships/hyperlink" Target="https://www.inno3d.com/en/PRODUCT_INNO3D_GEFORCE_RTX_4090_ICHILL_FROSTBITE" TargetMode="External"/><Relationship Id="rId538" Type="http://schemas.openxmlformats.org/officeDocument/2006/relationships/hyperlink" Target="https://www.inno3d.com/en/PRODUCT_INNO3D_GEFORCE_RTX_4090_ICHILL_FROSTBITE_PRO" TargetMode="External"/><Relationship Id="rId537" Type="http://schemas.openxmlformats.org/officeDocument/2006/relationships/hyperlink" Target="https://www.galax.com/en/graphics-card/40-series/4090-series/geforce-rtx-4090-hydro-w.html" TargetMode="External"/><Relationship Id="rId532" Type="http://schemas.openxmlformats.org/officeDocument/2006/relationships/hyperlink" Target="https://www.inno3d.com/en/PRODUCT_INNO3D_GEFORCE_RTX_4080_16GB_ICHILL_FROSTBITE" TargetMode="External"/><Relationship Id="rId531" Type="http://schemas.openxmlformats.org/officeDocument/2006/relationships/hyperlink" Target="https://www.gigabyte.com/Graphics-Card/GV-N4070WF2OC-12GD" TargetMode="External"/><Relationship Id="rId530" Type="http://schemas.openxmlformats.org/officeDocument/2006/relationships/hyperlink" Target="https://www.msi.com/Graphics-Card/GeForce-RTX-4060-Ti-VENTUS-2X-BLACK-16G-OC" TargetMode="External"/><Relationship Id="rId495" Type="http://schemas.openxmlformats.org/officeDocument/2006/relationships/hyperlink" Target="https://www.leadtek.com/eng/" TargetMode="External"/><Relationship Id="rId494" Type="http://schemas.openxmlformats.org/officeDocument/2006/relationships/hyperlink" Target="https://www.inno3d.com/en/PRODUCT_INNO3D_GEFORCE_RTX_4060_COMPACT" TargetMode="External"/><Relationship Id="rId493" Type="http://schemas.openxmlformats.org/officeDocument/2006/relationships/hyperlink" Target="https://www.gigabyte.com/Graphics-Card/GV-N4060WF2OC-8GD" TargetMode="External"/><Relationship Id="rId492" Type="http://schemas.openxmlformats.org/officeDocument/2006/relationships/hyperlink" Target="https://www.gigabyte.com/Graphics-Card/GV-N4060WF2-8GD" TargetMode="External"/><Relationship Id="rId499" Type="http://schemas.openxmlformats.org/officeDocument/2006/relationships/hyperlink" Target="https://www.manli.com/en/product-detail-Manli_GeForce_RTX%E2%84%A2_4060(M1562+N727)-333.html" TargetMode="External"/><Relationship Id="rId498" Type="http://schemas.openxmlformats.org/officeDocument/2006/relationships/hyperlink" Target="https://www.leadtek.com/eng/products/graphics_cards(1)/WinFast_RTX_4060_HURRICANE_8G(40987)/detail" TargetMode="External"/><Relationship Id="rId497" Type="http://schemas.openxmlformats.org/officeDocument/2006/relationships/hyperlink" Target="https://www.leadtek.com/eng/" TargetMode="External"/><Relationship Id="rId496" Type="http://schemas.openxmlformats.org/officeDocument/2006/relationships/hyperlink" Target="https://www.leadtek.com/eng/products/graphics_cards(1)/WinFast_RTX_4060_8G(40992)/detail" TargetMode="External"/><Relationship Id="rId409" Type="http://schemas.openxmlformats.org/officeDocument/2006/relationships/hyperlink" Target="http://www.gainward.com/main/vgapro.php?id=1148&amp;lang=en" TargetMode="External"/><Relationship Id="rId404" Type="http://schemas.openxmlformats.org/officeDocument/2006/relationships/hyperlink" Target="https://www.asus.com/Motherboards-Components/Graphics-Cards/Phoenix/PH-RTX3050-8G/%5C" TargetMode="External"/><Relationship Id="rId403" Type="http://schemas.openxmlformats.org/officeDocument/2006/relationships/hyperlink" Target="https://www.zotac.com/product/graphics_card/zotac-gaming-geforce-rtx-3050-6gb-gddr6-solo" TargetMode="External"/><Relationship Id="rId402" Type="http://schemas.openxmlformats.org/officeDocument/2006/relationships/hyperlink" Target="https://www.zotac.com/product/graphics_card/zotac-gaming-geforce-rtx-3050-6gb-gddr6-lp" TargetMode="External"/><Relationship Id="rId401" Type="http://schemas.openxmlformats.org/officeDocument/2006/relationships/hyperlink" Target="http://www.yeston.net/products-detail/id-109.html" TargetMode="External"/><Relationship Id="rId408" Type="http://schemas.openxmlformats.org/officeDocument/2006/relationships/hyperlink" Target="https://www.asus.com/motherboards-components/graphics-cards/dual/dual-rtx3050-o8g-si/" TargetMode="External"/><Relationship Id="rId407" Type="http://schemas.openxmlformats.org/officeDocument/2006/relationships/hyperlink" Target="https://www.asus.com/Motherboards-Components/Graphics-Cards/Dual/DUAL-RTX3050-O8G/" TargetMode="External"/><Relationship Id="rId406" Type="http://schemas.openxmlformats.org/officeDocument/2006/relationships/hyperlink" Target="https://www.asus.com/Motherboards-Components/Graphics-Cards/Dual/DUAL-RTX3050-8G/" TargetMode="External"/><Relationship Id="rId405" Type="http://schemas.openxmlformats.org/officeDocument/2006/relationships/hyperlink" Target="https://www.asus.com/motherboards-components/graphics-cards/phoenix/ph-rtx3050-8g-evo/" TargetMode="External"/><Relationship Id="rId400" Type="http://schemas.openxmlformats.org/officeDocument/2006/relationships/hyperlink" Target="http://www.yeston.net/" TargetMode="External"/><Relationship Id="rId469" Type="http://schemas.openxmlformats.org/officeDocument/2006/relationships/hyperlink" Target="https://www.evga.com/products/specs/gpu.aspx?pn=30849714-536D-40F6-A22D-60F5AEF12405" TargetMode="External"/><Relationship Id="rId468" Type="http://schemas.openxmlformats.org/officeDocument/2006/relationships/hyperlink" Target="https://en.colorful.cn/product_show.aspx?mid=102&amp;id=1886" TargetMode="External"/><Relationship Id="rId467" Type="http://schemas.openxmlformats.org/officeDocument/2006/relationships/hyperlink" Target="https://en.colorful.cn/index.aspx" TargetMode="External"/><Relationship Id="rId462" Type="http://schemas.openxmlformats.org/officeDocument/2006/relationships/hyperlink" Target="http://www.yeston.net/products-detail/id-88.html" TargetMode="External"/><Relationship Id="rId461" Type="http://schemas.openxmlformats.org/officeDocument/2006/relationships/hyperlink" Target="http://www.yeston.net/" TargetMode="External"/><Relationship Id="rId460" Type="http://schemas.openxmlformats.org/officeDocument/2006/relationships/hyperlink" Target="https://www.pny.com/pny-geforce-rtx-3060-12gb-xlr8-gaming-revel-epic-x-rgb-sf" TargetMode="External"/><Relationship Id="rId466" Type="http://schemas.openxmlformats.org/officeDocument/2006/relationships/hyperlink" Target="https://www.asus.com/Motherboards-Components/Graphics-Cards/Dual-Mini/DUAL-RTX3060TI-O8G-MINI-V2/" TargetMode="External"/><Relationship Id="rId465" Type="http://schemas.openxmlformats.org/officeDocument/2006/relationships/hyperlink" Target="https://www.asus.com/motherboards-components/graphics-cards/dual-mini/DUAL-RTX3060TI-O8G-MINI/" TargetMode="External"/><Relationship Id="rId464" Type="http://schemas.openxmlformats.org/officeDocument/2006/relationships/hyperlink" Target="https://www.asus.com/Motherboards-Components/Graphics-Cards/Dual-Mini/DUAL-RTX3060TI-8G-MINI-V2/" TargetMode="External"/><Relationship Id="rId463" Type="http://schemas.openxmlformats.org/officeDocument/2006/relationships/hyperlink" Target="https://www.asus.com/motherboards-components/graphics-cards/dual-mini/DUAL-RTX3060TI-8G-MINI" TargetMode="External"/><Relationship Id="rId459" Type="http://schemas.openxmlformats.org/officeDocument/2006/relationships/hyperlink" Target="http://www.palit.com/palit/vgapro.php?id=4098&amp;lang=en" TargetMode="External"/><Relationship Id="rId458" Type="http://schemas.openxmlformats.org/officeDocument/2006/relationships/hyperlink" Target="http://www.palit.com/palit/vgapro.php?id=4107&amp;lang=en" TargetMode="External"/><Relationship Id="rId457" Type="http://schemas.openxmlformats.org/officeDocument/2006/relationships/hyperlink" Target="https://www.msi.com/Graphics-Card/GeForce-RTX-3060-VENTUS-2X-XS-12G-OC" TargetMode="External"/><Relationship Id="rId456" Type="http://schemas.openxmlformats.org/officeDocument/2006/relationships/hyperlink" Target="https://www.msi.com/Graphics-Card/GeForce-RTX-3060-VENTUS-2X-XS-12G" TargetMode="External"/><Relationship Id="rId451" Type="http://schemas.openxmlformats.org/officeDocument/2006/relationships/hyperlink" Target="https://www.gigabyte.com/Graphics-Card/GV-N3060WF2OC-12GD" TargetMode="External"/><Relationship Id="rId450" Type="http://schemas.openxmlformats.org/officeDocument/2006/relationships/hyperlink" Target="http://www.szgalaxy.com/__ZH_GB__/Product5/ProductDetail?proID=795" TargetMode="External"/><Relationship Id="rId455" Type="http://schemas.openxmlformats.org/officeDocument/2006/relationships/hyperlink" Target="https://www.msi.com/Graphics-Card/GeForce-RTX-3060-AERO-ITX-12G-OC" TargetMode="External"/><Relationship Id="rId454" Type="http://schemas.openxmlformats.org/officeDocument/2006/relationships/hyperlink" Target="https://www.msi.com/Graphics-Card/GeForce-RTX-3060-AERO-ITX-12G" TargetMode="External"/><Relationship Id="rId453" Type="http://schemas.openxmlformats.org/officeDocument/2006/relationships/hyperlink" Target="http://www.maxsun.com.cn/2021/0327/5571.html" TargetMode="External"/><Relationship Id="rId452" Type="http://schemas.openxmlformats.org/officeDocument/2006/relationships/hyperlink" Target="http://www.maxsun.com.cn/" TargetMode="External"/><Relationship Id="rId491" Type="http://schemas.openxmlformats.org/officeDocument/2006/relationships/hyperlink" Target="https://www.gigabyte.com/Graphics-Card/GV-N4060D6-8GD" TargetMode="External"/><Relationship Id="rId490" Type="http://schemas.openxmlformats.org/officeDocument/2006/relationships/hyperlink" Target="https://www.gigabyte.com/Graphics-Card/GV-N4060OC-8GL" TargetMode="External"/><Relationship Id="rId489" Type="http://schemas.openxmlformats.org/officeDocument/2006/relationships/hyperlink" Target="https://www.gigabyte.com/Graphics-Card/GV-N4060D6-8GL" TargetMode="External"/><Relationship Id="rId484" Type="http://schemas.openxmlformats.org/officeDocument/2006/relationships/hyperlink" Target="http://www.gainward.com/main/vgapro.php?id=1197&amp;lang=en" TargetMode="External"/><Relationship Id="rId483" Type="http://schemas.openxmlformats.org/officeDocument/2006/relationships/hyperlink" Target="http://www.gainward.com/main/vgapro.php?id=1192&amp;lang=en" TargetMode="External"/><Relationship Id="rId482" Type="http://schemas.openxmlformats.org/officeDocument/2006/relationships/hyperlink" Target="http://www.szgainward.cn/Home/ProductDetail?id=353&amp;isStop=0" TargetMode="External"/><Relationship Id="rId481" Type="http://schemas.openxmlformats.org/officeDocument/2006/relationships/hyperlink" Target="https://en.colorful.cn/en/home/product?mid=102&amp;id=ca4f976c-869f-4ae5-b20e-36c55afa3ea8" TargetMode="External"/><Relationship Id="rId488" Type="http://schemas.openxmlformats.org/officeDocument/2006/relationships/hyperlink" Target="https://www.galax.com/en/graphics-card/40-series/4060-series/geforce-rtx-4060-oc-672.html" TargetMode="External"/><Relationship Id="rId487" Type="http://schemas.openxmlformats.org/officeDocument/2006/relationships/hyperlink" Target="https://www.galax.com/en/" TargetMode="External"/><Relationship Id="rId486" Type="http://schemas.openxmlformats.org/officeDocument/2006/relationships/hyperlink" Target="http://www.szgalaxy.com/__ZH_GB__/Product5/ProductDetail?proID=1009" TargetMode="External"/><Relationship Id="rId485" Type="http://schemas.openxmlformats.org/officeDocument/2006/relationships/hyperlink" Target="https://www.galax.com/en/" TargetMode="External"/><Relationship Id="rId480" Type="http://schemas.openxmlformats.org/officeDocument/2006/relationships/hyperlink" Target="https://en.colorful.cn/index.aspx" TargetMode="External"/><Relationship Id="rId479" Type="http://schemas.openxmlformats.org/officeDocument/2006/relationships/hyperlink" Target="https://www.asus.com/motherboards-components/graphics-cards/dual/dual-rtx4060-o8g-v2/" TargetMode="External"/><Relationship Id="rId478" Type="http://schemas.openxmlformats.org/officeDocument/2006/relationships/hyperlink" Target="https://www.asus.com/motherboards-components/graphics-cards/dual/dual-rtx4060-8g-v2/" TargetMode="External"/><Relationship Id="rId473" Type="http://schemas.openxmlformats.org/officeDocument/2006/relationships/hyperlink" Target="https://www.msi.com/Graphics-Card/GeForce-RTX-3060-Ti-AERO-ITX-OC" TargetMode="External"/><Relationship Id="rId472" Type="http://schemas.openxmlformats.org/officeDocument/2006/relationships/hyperlink" Target="https://www.msi.com/Graphics-Card/GeForce-RTX-3060-Ti-AERO-ITX-8G-LHR" TargetMode="External"/><Relationship Id="rId471" Type="http://schemas.openxmlformats.org/officeDocument/2006/relationships/hyperlink" Target="https://www.msi.com/Graphics-Card/GeForce-RTX-3060-Ti-AERO-ITX" TargetMode="External"/><Relationship Id="rId470" Type="http://schemas.openxmlformats.org/officeDocument/2006/relationships/hyperlink" Target="https://www.gigabyte.com/Graphics-Card/GV-N306TWF2OC-8GD" TargetMode="External"/><Relationship Id="rId477" Type="http://schemas.openxmlformats.org/officeDocument/2006/relationships/hyperlink" Target="https://www.asus.com/motherboards-components/graphics-cards/asus/rtx4060-o8g-lp-brk/" TargetMode="External"/><Relationship Id="rId476" Type="http://schemas.openxmlformats.org/officeDocument/2006/relationships/hyperlink" Target="https://www.asus.com/motherboards-components/graphics-cards/asus/rtx4060-8g-lp-brk/" TargetMode="External"/><Relationship Id="rId475" Type="http://schemas.openxmlformats.org/officeDocument/2006/relationships/hyperlink" Target="https://www.asus.com/motherboards-components/graphics-cards/asus/RTX3070-8G-EK" TargetMode="External"/><Relationship Id="rId474" Type="http://schemas.openxmlformats.org/officeDocument/2006/relationships/hyperlink" Target="https://www.msi.com/Graphics-Card/GeForce-RTX-3060-Ti-AERO-ITX-8G-OC-LHR" TargetMode="External"/><Relationship Id="rId426" Type="http://schemas.openxmlformats.org/officeDocument/2006/relationships/hyperlink" Target="https://www.msi.com/Graphics-Card/GeForce-RTX-3050-VENTUS-2X-XS-8G-OC" TargetMode="External"/><Relationship Id="rId425" Type="http://schemas.openxmlformats.org/officeDocument/2006/relationships/hyperlink" Target="https://www.msi.com/Graphics-Card/GeForce-RTX-3050-VENTUS-2X-XS-8G" TargetMode="External"/><Relationship Id="rId424" Type="http://schemas.openxmlformats.org/officeDocument/2006/relationships/hyperlink" Target="https://www.msi.com/Graphics-Card/GeForce-RTX-3050-AERO-ITX-8G-OCV1" TargetMode="External"/><Relationship Id="rId423" Type="http://schemas.openxmlformats.org/officeDocument/2006/relationships/hyperlink" Target="https://www.msi.com/Graphics-Card/GeForce-RTX-3050-AERO-ITX-8G-V1" TargetMode="External"/><Relationship Id="rId429" Type="http://schemas.openxmlformats.org/officeDocument/2006/relationships/hyperlink" Target="https://www.pny.com/geforce-rtx-3050-8gb-revel-sf" TargetMode="External"/><Relationship Id="rId428" Type="http://schemas.openxmlformats.org/officeDocument/2006/relationships/hyperlink" Target="http://www.palit.com/palit/vgapro.php?id=4478&amp;lang=en" TargetMode="External"/><Relationship Id="rId427" Type="http://schemas.openxmlformats.org/officeDocument/2006/relationships/hyperlink" Target="http://www.palit.com/palit/vgapro.php?id=4488&amp;lang=en" TargetMode="External"/><Relationship Id="rId422" Type="http://schemas.openxmlformats.org/officeDocument/2006/relationships/hyperlink" Target="https://www.msi.com/Graphics-Card/GeForce-RTX-3050-AERO-ITX-8G-OC" TargetMode="External"/><Relationship Id="rId421" Type="http://schemas.openxmlformats.org/officeDocument/2006/relationships/hyperlink" Target="https://www.msi.com/Graphics-Card/GeForce-RTX-3050-AERO-ITX-8G" TargetMode="External"/><Relationship Id="rId420" Type="http://schemas.openxmlformats.org/officeDocument/2006/relationships/hyperlink" Target="http://www.maxsun.com.cn/2022/0121/5656.html" TargetMode="External"/><Relationship Id="rId415" Type="http://schemas.openxmlformats.org/officeDocument/2006/relationships/hyperlink" Target="https://www.galax.com/en/" TargetMode="External"/><Relationship Id="rId414" Type="http://schemas.openxmlformats.org/officeDocument/2006/relationships/hyperlink" Target="https://www.galax.com/en/graphics-card/30-series/3050-series/geforce-rtx-3050-oc.html" TargetMode="External"/><Relationship Id="rId413" Type="http://schemas.openxmlformats.org/officeDocument/2006/relationships/hyperlink" Target="https://www.galax.com/en/" TargetMode="External"/><Relationship Id="rId412" Type="http://schemas.openxmlformats.org/officeDocument/2006/relationships/hyperlink" Target="http://www.szgalaxy.com/__ZH_GB__/Product5/ProductDetail?proID=816" TargetMode="External"/><Relationship Id="rId419" Type="http://schemas.openxmlformats.org/officeDocument/2006/relationships/hyperlink" Target="http://www.maxsun.com.cn/" TargetMode="External"/><Relationship Id="rId418" Type="http://schemas.openxmlformats.org/officeDocument/2006/relationships/hyperlink" Target="https://www.gigabyte.com/Graphics-Card/GV-N3050EAGLE-OC-8GD" TargetMode="External"/><Relationship Id="rId417" Type="http://schemas.openxmlformats.org/officeDocument/2006/relationships/hyperlink" Target="https://www.gigabyte.com/Graphics-Card/GV-N3050EAGLE-8GD" TargetMode="External"/><Relationship Id="rId416" Type="http://schemas.openxmlformats.org/officeDocument/2006/relationships/hyperlink" Target="https://www.galax.com/en/graphics-card/30-series/3050-series/geforce-rtx-3050-ex.html" TargetMode="External"/><Relationship Id="rId411" Type="http://schemas.openxmlformats.org/officeDocument/2006/relationships/hyperlink" Target="https://www.galax.com/en/" TargetMode="External"/><Relationship Id="rId410" Type="http://schemas.openxmlformats.org/officeDocument/2006/relationships/hyperlink" Target="http://www.gainward.com/main/vgapro.php?id=1147&amp;lang=en" TargetMode="External"/><Relationship Id="rId448" Type="http://schemas.openxmlformats.org/officeDocument/2006/relationships/hyperlink" Target="http://www.gainward.com/main/vgapro.php?id=1107&amp;lang=en" TargetMode="External"/><Relationship Id="rId447" Type="http://schemas.openxmlformats.org/officeDocument/2006/relationships/hyperlink" Target="http://www.gainward.com/main/vgapro.php?id=1108&amp;lang=en" TargetMode="External"/><Relationship Id="rId446" Type="http://schemas.openxmlformats.org/officeDocument/2006/relationships/hyperlink" Target="https://en.colorful.cn/product_show.aspx?mid=102&amp;id=1873" TargetMode="External"/><Relationship Id="rId445" Type="http://schemas.openxmlformats.org/officeDocument/2006/relationships/hyperlink" Target="https://en.colorful.cn/index.aspx" TargetMode="External"/><Relationship Id="rId449" Type="http://schemas.openxmlformats.org/officeDocument/2006/relationships/hyperlink" Target="https://www.galax.com/en/" TargetMode="External"/><Relationship Id="rId440" Type="http://schemas.openxmlformats.org/officeDocument/2006/relationships/hyperlink" Target="https://www.asus.com/Motherboards-Components/Graphics-Cards/Dual/DUAL-RTX3060-12G-V2/" TargetMode="External"/><Relationship Id="rId444" Type="http://schemas.openxmlformats.org/officeDocument/2006/relationships/hyperlink" Target="https://www.asus.com/motherboards-components/graphics-cards/dual/dual-rtx3060-o12g-white/" TargetMode="External"/><Relationship Id="rId443" Type="http://schemas.openxmlformats.org/officeDocument/2006/relationships/hyperlink" Target="https://www.asus.com/motherboards-components/graphics-cards/dual/dual-rtx3060-12g-white/" TargetMode="External"/><Relationship Id="rId442" Type="http://schemas.openxmlformats.org/officeDocument/2006/relationships/hyperlink" Target="https://www.asus.com/Motherboards-Components/Graphics-Cards/Dual/DUAL-RTX3060-O12G-V2/" TargetMode="External"/><Relationship Id="rId441" Type="http://schemas.openxmlformats.org/officeDocument/2006/relationships/hyperlink" Target="https://www.asus.com/Motherboards-Components/Graphics-Cards/Dual/DUAL-RTX3060-O12G" TargetMode="External"/><Relationship Id="rId437" Type="http://schemas.openxmlformats.org/officeDocument/2006/relationships/hyperlink" Target="https://www.asus.com/Motherboards-Components/Graphics-Cards/Phoenix/PH-RTX3060-12G/" TargetMode="External"/><Relationship Id="rId436" Type="http://schemas.openxmlformats.org/officeDocument/2006/relationships/hyperlink" Target="http://www.palit.com/palit/vgapro.php?id=4668&amp;lang=en" TargetMode="External"/><Relationship Id="rId435" Type="http://schemas.openxmlformats.org/officeDocument/2006/relationships/hyperlink" Target="http://www.gainward.com/main/vgapro.php?id=1164&amp;lang=en" TargetMode="External"/><Relationship Id="rId434" Type="http://schemas.openxmlformats.org/officeDocument/2006/relationships/hyperlink" Target="https://www.asus.com/motherboards-components/graphics-cards/dual/dual-rtx3060-o8g-white/" TargetMode="External"/><Relationship Id="rId439" Type="http://schemas.openxmlformats.org/officeDocument/2006/relationships/hyperlink" Target="https://www.asus.com/Motherboards-Components/Graphics-Cards/Dual/DUAL-RTX3060-12G" TargetMode="External"/><Relationship Id="rId438" Type="http://schemas.openxmlformats.org/officeDocument/2006/relationships/hyperlink" Target="https://www.asus.com/Motherboards-Components/Graphics-Cards/Phoenix/PH-RTX3060-12G-V2/" TargetMode="External"/><Relationship Id="rId433" Type="http://schemas.openxmlformats.org/officeDocument/2006/relationships/hyperlink" Target="https://www.asus.com/motherboards-components/graphics-cards/dual/dual-rtx3060-8g-white/" TargetMode="External"/><Relationship Id="rId432" Type="http://schemas.openxmlformats.org/officeDocument/2006/relationships/hyperlink" Target="https://www.asus.com/motherboards-components/graphics-cards/dual/dual-rtx3060-o8g/" TargetMode="External"/><Relationship Id="rId431" Type="http://schemas.openxmlformats.org/officeDocument/2006/relationships/hyperlink" Target="https://www.asus.com/motherboards-components/graphics-cards/dual/dual-rtx3060-8g/" TargetMode="External"/><Relationship Id="rId430" Type="http://schemas.openxmlformats.org/officeDocument/2006/relationships/hyperlink" Target="https://www.zotac.com/product/graphics_card/zotac-gaming-geforce-rtx-3050-solo" TargetMode="External"/></Relationships>
</file>

<file path=xl/worksheets/_rels/sheet14.xml.rels><?xml version="1.0" encoding="UTF-8" standalone="yes"?><Relationships xmlns="http://schemas.openxmlformats.org/package/2006/relationships"><Relationship Id="rId392" Type="http://schemas.openxmlformats.org/officeDocument/2006/relationships/hyperlink" Target="https://rog.asus.com/graphics-cards/graphics-cards/rog-strix/rog-strix-lc-rx6950xt-o16g-gaming-model/" TargetMode="External"/><Relationship Id="rId391" Type="http://schemas.openxmlformats.org/officeDocument/2006/relationships/hyperlink" Target="https://www.asus.com/Motherboards-Components/Graphics-Cards/TUF-Gaming/TUF-RX6950XT-O16G-GAMING/" TargetMode="External"/><Relationship Id="rId390" Type="http://schemas.openxmlformats.org/officeDocument/2006/relationships/hyperlink" Target="https://www.asrock.com/Graphics-Card/AMD/Radeon%20RX%206950%20XT%20OC%20Formula%2016GB/" TargetMode="External"/><Relationship Id="rId2180" Type="http://schemas.openxmlformats.org/officeDocument/2006/relationships/hyperlink" Target="http://www.gainward.com/main/vgapro.php?id=1099&amp;lang=en" TargetMode="External"/><Relationship Id="rId2181" Type="http://schemas.openxmlformats.org/officeDocument/2006/relationships/hyperlink" Target="http://www.gainward.com/main/vgapro.php?id=1120&amp;lang=en" TargetMode="External"/><Relationship Id="rId2182" Type="http://schemas.openxmlformats.org/officeDocument/2006/relationships/hyperlink" Target="http://www.gainward.com/main/vgapro.php?id=1140&amp;lang=en" TargetMode="External"/><Relationship Id="rId2183" Type="http://schemas.openxmlformats.org/officeDocument/2006/relationships/hyperlink" Target="http://www.gainward.com/main/vgapro.php?id=1139&amp;lang=en" TargetMode="External"/><Relationship Id="rId385" Type="http://schemas.openxmlformats.org/officeDocument/2006/relationships/hyperlink" Target="https://www.xfxforce.com/shop/xfx-amd-radeon-tm-rx-6900xt-16gb-gddr6-merc-319" TargetMode="External"/><Relationship Id="rId2184" Type="http://schemas.openxmlformats.org/officeDocument/2006/relationships/hyperlink" Target="https://www.galax.com/en/" TargetMode="External"/><Relationship Id="rId384" Type="http://schemas.openxmlformats.org/officeDocument/2006/relationships/hyperlink" Target="https://www.xfxforce.com/shop/xfx-speedster-swft-319-amd-radeon-tm-rx-6900-xt-core" TargetMode="External"/><Relationship Id="rId2185" Type="http://schemas.openxmlformats.org/officeDocument/2006/relationships/hyperlink" Target="http://www.szgalaxy.com/__ZH_GB__/Product5/ProductDetail?proID=668" TargetMode="External"/><Relationship Id="rId383" Type="http://schemas.openxmlformats.org/officeDocument/2006/relationships/hyperlink" Target="https://www.xfxforce.com/shop/xfx-amd-radeon-tm-rx-6900-xt-gaming-graphics-card-with-16gb-gddr6-amd-rdna2" TargetMode="External"/><Relationship Id="rId2186" Type="http://schemas.openxmlformats.org/officeDocument/2006/relationships/hyperlink" Target="https://www.galax.com/en/" TargetMode="External"/><Relationship Id="rId382" Type="http://schemas.openxmlformats.org/officeDocument/2006/relationships/hyperlink" Target="https://www.sapphiretech.com/en/consumer/toxic-radeon-rx-6900-xt-ee-16g-gddr6" TargetMode="External"/><Relationship Id="rId2187" Type="http://schemas.openxmlformats.org/officeDocument/2006/relationships/hyperlink" Target="http://www.szgalaxy.com/__ZH_GB__/Product5/ProductDetail?proID=736" TargetMode="External"/><Relationship Id="rId389" Type="http://schemas.openxmlformats.org/officeDocument/2006/relationships/hyperlink" Target="https://www.amd.com/en/products/graphics/amd-radeon-rx-6950-xt" TargetMode="External"/><Relationship Id="rId2188" Type="http://schemas.openxmlformats.org/officeDocument/2006/relationships/hyperlink" Target="https://www.galax.com/en/" TargetMode="External"/><Relationship Id="rId388" Type="http://schemas.openxmlformats.org/officeDocument/2006/relationships/hyperlink" Target="https://www.xfxforce.com/shop/xfx-speedster-zero-amd-radeon-tm-rx-6900xt" TargetMode="External"/><Relationship Id="rId2189" Type="http://schemas.openxmlformats.org/officeDocument/2006/relationships/hyperlink" Target="http://www.szgalaxy.com/__ZH_GB__/Product5/ProductDetail?proID=653" TargetMode="External"/><Relationship Id="rId387" Type="http://schemas.openxmlformats.org/officeDocument/2006/relationships/hyperlink" Target="https://www.xfxforce.com/shop/xfx-speedster-merc-319-amd-radeon-tm-rx-6900-xt-limited-black" TargetMode="External"/><Relationship Id="rId386" Type="http://schemas.openxmlformats.org/officeDocument/2006/relationships/hyperlink" Target="https://www.xfxforce.com/shop/xfx-speedster-merc-319-amd-radeon-tm-rx-6900-xt-black-gaming-graphics-card-with-16gb-gddr6-amd-rdna-tm-2" TargetMode="External"/><Relationship Id="rId381" Type="http://schemas.openxmlformats.org/officeDocument/2006/relationships/hyperlink" Target="https://www.sapphiretech.com/en/consumer/toxic-radeon-rx-6900-xt-le-16g-gddr6" TargetMode="External"/><Relationship Id="rId380" Type="http://schemas.openxmlformats.org/officeDocument/2006/relationships/hyperlink" Target="https://www.sapphiretech.com/en/consumer/toxic-radeon-rx-6900-xt-ac-16g-gddr6" TargetMode="External"/><Relationship Id="rId379" Type="http://schemas.openxmlformats.org/officeDocument/2006/relationships/hyperlink" Target="https://www.sapphiretech.com/en/consumer/nitro-radeon-rx-6900-xt-se-16g-gddr6" TargetMode="External"/><Relationship Id="rId2170" Type="http://schemas.openxmlformats.org/officeDocument/2006/relationships/hyperlink" Target="http://www.gainward.cn/Home/ProductDetail?id=218&amp;isStop=0" TargetMode="External"/><Relationship Id="rId2171" Type="http://schemas.openxmlformats.org/officeDocument/2006/relationships/hyperlink" Target="http://www.gainward.cn/Home/ProductDetail?id=237&amp;isStop=0" TargetMode="External"/><Relationship Id="rId2172" Type="http://schemas.openxmlformats.org/officeDocument/2006/relationships/hyperlink" Target="http://www.gainward.cn/Home/ProductDetail?id=211&amp;isStop=0" TargetMode="External"/><Relationship Id="rId374" Type="http://schemas.openxmlformats.org/officeDocument/2006/relationships/hyperlink" Target="https://www.powercolor.com/product?id=1617682980" TargetMode="External"/><Relationship Id="rId2173" Type="http://schemas.openxmlformats.org/officeDocument/2006/relationships/hyperlink" Target="http://www.gainward.cn/Home/ProductDetail?id=236&amp;isStop=0" TargetMode="External"/><Relationship Id="rId373" Type="http://schemas.openxmlformats.org/officeDocument/2006/relationships/hyperlink" Target="https://www.powercolor.com/product?id=1607068527" TargetMode="External"/><Relationship Id="rId2174" Type="http://schemas.openxmlformats.org/officeDocument/2006/relationships/hyperlink" Target="http://www.gainward.com/main/vgapro.php?id=1095&amp;lang=en" TargetMode="External"/><Relationship Id="rId372" Type="http://schemas.openxmlformats.org/officeDocument/2006/relationships/hyperlink" Target="https://www.powercolor.com/product?id=1607314166" TargetMode="External"/><Relationship Id="rId2175" Type="http://schemas.openxmlformats.org/officeDocument/2006/relationships/hyperlink" Target="http://www.gainward.com/main/vgapro.php?id=1124&amp;lang=en" TargetMode="External"/><Relationship Id="rId371" Type="http://schemas.openxmlformats.org/officeDocument/2006/relationships/hyperlink" Target="https://www.powercolor.com/product?id=1605153505" TargetMode="External"/><Relationship Id="rId2176" Type="http://schemas.openxmlformats.org/officeDocument/2006/relationships/hyperlink" Target="http://www.gainward.com/main/vgapro.php?id=1096&amp;lang=en" TargetMode="External"/><Relationship Id="rId378" Type="http://schemas.openxmlformats.org/officeDocument/2006/relationships/hyperlink" Target="https://www.sapphiretech.com/en/consumer/nitro-radeon-rx-6900-xt-16g-gddr6" TargetMode="External"/><Relationship Id="rId2177" Type="http://schemas.openxmlformats.org/officeDocument/2006/relationships/hyperlink" Target="http://www.gainward.com/main/vgapro.php?id=1123&amp;lang=en" TargetMode="External"/><Relationship Id="rId377" Type="http://schemas.openxmlformats.org/officeDocument/2006/relationships/hyperlink" Target="https://www.sapphiretech.com/en/consumer/21308-01-20g-radeon-rx-6900-xt-16g-gddr6" TargetMode="External"/><Relationship Id="rId2178" Type="http://schemas.openxmlformats.org/officeDocument/2006/relationships/hyperlink" Target="http://www.gainward.com/main/vgapro.php?id=1100&amp;lang=en" TargetMode="External"/><Relationship Id="rId376" Type="http://schemas.openxmlformats.org/officeDocument/2006/relationships/hyperlink" Target="https://www.powercolor.com/product?id=1617681110" TargetMode="External"/><Relationship Id="rId2179" Type="http://schemas.openxmlformats.org/officeDocument/2006/relationships/hyperlink" Target="http://www.gainward.com/main/vgapro.php?id=1122&amp;lang=en" TargetMode="External"/><Relationship Id="rId375" Type="http://schemas.openxmlformats.org/officeDocument/2006/relationships/hyperlink" Target="https://www.powercolor.com/product?id=1612423909" TargetMode="External"/><Relationship Id="rId2190" Type="http://schemas.openxmlformats.org/officeDocument/2006/relationships/hyperlink" Target="https://www.galax.com/en/" TargetMode="External"/><Relationship Id="rId2191" Type="http://schemas.openxmlformats.org/officeDocument/2006/relationships/hyperlink" Target="http://www.szgalaxy.com/__ZH_GB__/Product5/ProductDetail?proID=716" TargetMode="External"/><Relationship Id="rId2192" Type="http://schemas.openxmlformats.org/officeDocument/2006/relationships/hyperlink" Target="https://www.galax.com/en/" TargetMode="External"/><Relationship Id="rId2193" Type="http://schemas.openxmlformats.org/officeDocument/2006/relationships/hyperlink" Target="http://www.szgalaxy.com/__ZH_GB__/Product5/ProductDetail?proID=652" TargetMode="External"/><Relationship Id="rId2194" Type="http://schemas.openxmlformats.org/officeDocument/2006/relationships/hyperlink" Target="https://www.galax.com/en/" TargetMode="External"/><Relationship Id="rId396" Type="http://schemas.openxmlformats.org/officeDocument/2006/relationships/hyperlink" Target="https://www.msi.com/Graphics-Card/Radeon-RX-6950-XT-GAMING-X-TRIO-16G" TargetMode="External"/><Relationship Id="rId2195" Type="http://schemas.openxmlformats.org/officeDocument/2006/relationships/hyperlink" Target="http://www.szgalaxy.com/__ZH_GB__/Product5/ProductDetail?proID=727" TargetMode="External"/><Relationship Id="rId395" Type="http://schemas.openxmlformats.org/officeDocument/2006/relationships/hyperlink" Target="https://www.msi.com/Graphics-Card/Radeon-RX-6950-XT-GAMING-TRIO-16G" TargetMode="External"/><Relationship Id="rId2196" Type="http://schemas.openxmlformats.org/officeDocument/2006/relationships/hyperlink" Target="https://www.galax.com/en/" TargetMode="External"/><Relationship Id="rId394" Type="http://schemas.openxmlformats.org/officeDocument/2006/relationships/hyperlink" Target="https://www.gigabyte.com/Graphics-Card/GV-R695XTAORUSX-WB-16GD" TargetMode="External"/><Relationship Id="rId2197" Type="http://schemas.openxmlformats.org/officeDocument/2006/relationships/hyperlink" Target="http://www.szgalaxy.com/__ZH_GB__/Product5/ProductDetail?proID=670" TargetMode="External"/><Relationship Id="rId393" Type="http://schemas.openxmlformats.org/officeDocument/2006/relationships/hyperlink" Target="https://www.gigabyte.com/Graphics-Card/GV-R695XTGAMING-OC-16GD" TargetMode="External"/><Relationship Id="rId2198" Type="http://schemas.openxmlformats.org/officeDocument/2006/relationships/hyperlink" Target="https://www.galax.com/en/" TargetMode="External"/><Relationship Id="rId2199" Type="http://schemas.openxmlformats.org/officeDocument/2006/relationships/hyperlink" Target="http://www.szgalaxy.com/__ZH_GB__/Product5/ProductDetail?proID=729" TargetMode="External"/><Relationship Id="rId399" Type="http://schemas.openxmlformats.org/officeDocument/2006/relationships/hyperlink" Target="https://www.sapphiretech.com/en/consumer/nitro-radeon-rx-6950-xt-16g-gddr6" TargetMode="External"/><Relationship Id="rId398" Type="http://schemas.openxmlformats.org/officeDocument/2006/relationships/hyperlink" Target="https://www.powercolor.com/product?id=1647997504" TargetMode="External"/><Relationship Id="rId397" Type="http://schemas.openxmlformats.org/officeDocument/2006/relationships/hyperlink" Target="https://www.powercolor.com/product?id=1647998252" TargetMode="External"/><Relationship Id="rId1730" Type="http://schemas.openxmlformats.org/officeDocument/2006/relationships/hyperlink" Target="https://www.galax.com/en/" TargetMode="External"/><Relationship Id="rId1731" Type="http://schemas.openxmlformats.org/officeDocument/2006/relationships/hyperlink" Target="http://www.szgalaxy.com/__ZH_GB__/Product5/ProductDetail?proID=749" TargetMode="External"/><Relationship Id="rId1732" Type="http://schemas.openxmlformats.org/officeDocument/2006/relationships/hyperlink" Target="https://www.galax.com/en/" TargetMode="External"/><Relationship Id="rId1733" Type="http://schemas.openxmlformats.org/officeDocument/2006/relationships/hyperlink" Target="https://www.galax.com/en/graphics-card/30-series/geforce-rtx-3060-oc.html" TargetMode="External"/><Relationship Id="rId1734" Type="http://schemas.openxmlformats.org/officeDocument/2006/relationships/hyperlink" Target="https://www.galax.com/en/" TargetMode="External"/><Relationship Id="rId1735" Type="http://schemas.openxmlformats.org/officeDocument/2006/relationships/hyperlink" Target="https://www.galax.com/en/graphics-card/30-series/geforce-rtx-3060-ex-b.html" TargetMode="External"/><Relationship Id="rId1736" Type="http://schemas.openxmlformats.org/officeDocument/2006/relationships/hyperlink" Target="https://www.galax.com/en/" TargetMode="External"/><Relationship Id="rId1737" Type="http://schemas.openxmlformats.org/officeDocument/2006/relationships/hyperlink" Target="https://www.galax.com/en/graphics-card/30-series/3060-series/geforce-rtx-3060-ex-w.html" TargetMode="External"/><Relationship Id="rId1738" Type="http://schemas.openxmlformats.org/officeDocument/2006/relationships/hyperlink" Target="https://www.gigabyte.com/Graphics-Card/GV-N3060EAGLE-12GD" TargetMode="External"/><Relationship Id="rId1739" Type="http://schemas.openxmlformats.org/officeDocument/2006/relationships/hyperlink" Target="https://www.gigabyte.com/Graphics-Card/GV-N3060EAGLE-12GD-rev-20" TargetMode="External"/><Relationship Id="rId1720" Type="http://schemas.openxmlformats.org/officeDocument/2006/relationships/hyperlink" Target="https://www.galax.com/en/" TargetMode="External"/><Relationship Id="rId1721" Type="http://schemas.openxmlformats.org/officeDocument/2006/relationships/hyperlink" Target="http://www.szgalaxy.com/__ZH_GB__/Product5/ProductDetail?proID=746" TargetMode="External"/><Relationship Id="rId1722" Type="http://schemas.openxmlformats.org/officeDocument/2006/relationships/hyperlink" Target="https://www.galax.com/en/" TargetMode="External"/><Relationship Id="rId1723" Type="http://schemas.openxmlformats.org/officeDocument/2006/relationships/hyperlink" Target="http://www.szgalaxy.com/__ZH_GB__/Product5/ProductDetail?proID=790" TargetMode="External"/><Relationship Id="rId1724" Type="http://schemas.openxmlformats.org/officeDocument/2006/relationships/hyperlink" Target="https://www.galax.com/en/" TargetMode="External"/><Relationship Id="rId1725" Type="http://schemas.openxmlformats.org/officeDocument/2006/relationships/hyperlink" Target="http://www.szgalaxy.com/__ZH_GB__/Product5/ProductDetail?proID=715" TargetMode="External"/><Relationship Id="rId1726" Type="http://schemas.openxmlformats.org/officeDocument/2006/relationships/hyperlink" Target="https://www.galax.com/en/" TargetMode="External"/><Relationship Id="rId1727" Type="http://schemas.openxmlformats.org/officeDocument/2006/relationships/hyperlink" Target="http://www.szgalaxy.com/__ZH_GB__/Product5/ProductDetail?proID=750" TargetMode="External"/><Relationship Id="rId1728" Type="http://schemas.openxmlformats.org/officeDocument/2006/relationships/hyperlink" Target="https://www.galax.com/en/" TargetMode="External"/><Relationship Id="rId1729" Type="http://schemas.openxmlformats.org/officeDocument/2006/relationships/hyperlink" Target="http://www.szgalaxy.com/__ZH_GB__/Product5/ProductDetail?proID=714" TargetMode="External"/><Relationship Id="rId1752" Type="http://schemas.openxmlformats.org/officeDocument/2006/relationships/hyperlink" Target="https://www.leadtek.com/eng/products/graphics_cards(1)/WinFast_RTX_3060_CLASSIC(40913)/detail" TargetMode="External"/><Relationship Id="rId1753" Type="http://schemas.openxmlformats.org/officeDocument/2006/relationships/hyperlink" Target="https://www.leadtek.com/eng/" TargetMode="External"/><Relationship Id="rId1754" Type="http://schemas.openxmlformats.org/officeDocument/2006/relationships/hyperlink" Target="https://www.leadtek.com/eng/products/graphics_cards(1)/WinFast_RTX_3060_CLASSIC_12G_REV_B(40933)/detail" TargetMode="External"/><Relationship Id="rId1755" Type="http://schemas.openxmlformats.org/officeDocument/2006/relationships/hyperlink" Target="https://www.leadtek.com/eng/" TargetMode="External"/><Relationship Id="rId1756" Type="http://schemas.openxmlformats.org/officeDocument/2006/relationships/hyperlink" Target="https://www.leadtek.com/eng/products/graphics_cards(1)/WinFast_RTX_3060_HURRICANE_WHITE_EDITION(30912)/detail" TargetMode="External"/><Relationship Id="rId1757" Type="http://schemas.openxmlformats.org/officeDocument/2006/relationships/hyperlink" Target="https://www.manli.com/en/product-detail-Manli_GeForce_RTX_3060_Blower_(M1499_+_N630-00)-266.html" TargetMode="External"/><Relationship Id="rId1758" Type="http://schemas.openxmlformats.org/officeDocument/2006/relationships/hyperlink" Target="https://www.manli.com/en/product-detail-Manli_GeForce_RTX%E2%84%A2_3060_(M2500+N630-00)_%5BDiscontinued%5D-252.html" TargetMode="External"/><Relationship Id="rId1759" Type="http://schemas.openxmlformats.org/officeDocument/2006/relationships/hyperlink" Target="https://www.manli.com/en/product-detail-Manli_GeForce_RTX%E2%84%A2_3060_LHR_(M2500+N630-00)-292.html" TargetMode="External"/><Relationship Id="rId1750" Type="http://schemas.openxmlformats.org/officeDocument/2006/relationships/hyperlink" Target="https://www.inno3d.com/en/product_detail/page/7e2a35a25f26c529ea5386a4450aab85c434c351640892f612b8dabdc8e7af4d" TargetMode="External"/><Relationship Id="rId1751" Type="http://schemas.openxmlformats.org/officeDocument/2006/relationships/hyperlink" Target="https://www.leadtek.com/eng/" TargetMode="External"/><Relationship Id="rId1741" Type="http://schemas.openxmlformats.org/officeDocument/2006/relationships/hyperlink" Target="https://www.gigabyte.com/Graphics-Card/GV-N3060EAGLE-OC-12GD-rev-20" TargetMode="External"/><Relationship Id="rId1742" Type="http://schemas.openxmlformats.org/officeDocument/2006/relationships/hyperlink" Target="https://www.gigabyte.com/Graphics-Card/GV-N3060GAMING-OC-12GD" TargetMode="External"/><Relationship Id="rId1743" Type="http://schemas.openxmlformats.org/officeDocument/2006/relationships/hyperlink" Target="https://www.gigabyte.com/Graphics-Card/GV-N3060GAMING-OC-12GD-rev-20" TargetMode="External"/><Relationship Id="rId1744" Type="http://schemas.openxmlformats.org/officeDocument/2006/relationships/hyperlink" Target="https://www.gigabyte.com/Graphics-Card/GV-N3060VISION-OC-12GD" TargetMode="External"/><Relationship Id="rId1745" Type="http://schemas.openxmlformats.org/officeDocument/2006/relationships/hyperlink" Target="https://www.gigabyte.com/Graphics-Card/GV-N3060VISION-OC-12GD-rev-20" TargetMode="External"/><Relationship Id="rId1746" Type="http://schemas.openxmlformats.org/officeDocument/2006/relationships/hyperlink" Target="https://www.gigabyte.com/Graphics-Card/GV-N3060AORUS-E-12GD" TargetMode="External"/><Relationship Id="rId1747" Type="http://schemas.openxmlformats.org/officeDocument/2006/relationships/hyperlink" Target="https://www.gigabyte.com/Graphics-Card/GV-N3060AORUS-E-12GD-rev-20" TargetMode="External"/><Relationship Id="rId1748" Type="http://schemas.openxmlformats.org/officeDocument/2006/relationships/hyperlink" Target="https://www.inno3d.com/en/product_detail/page/0ea3587f855cba4b6b7cd08de890e5ba33c527597c8d995566bf157aae21efad" TargetMode="External"/><Relationship Id="rId1749" Type="http://schemas.openxmlformats.org/officeDocument/2006/relationships/hyperlink" Target="https://www.inno3d.com/en/product_detail/page/a2d7c777736854aa34c7a8d040078513558e9c3a48f012f99dd61edc6f5bcc0f" TargetMode="External"/><Relationship Id="rId1740" Type="http://schemas.openxmlformats.org/officeDocument/2006/relationships/hyperlink" Target="https://www.gigabyte.com/Graphics-Card/GV-N3060EAGLE-OC-12GD" TargetMode="External"/><Relationship Id="rId1710" Type="http://schemas.openxmlformats.org/officeDocument/2006/relationships/hyperlink" Target="https://www.galax.com/en/" TargetMode="External"/><Relationship Id="rId1711" Type="http://schemas.openxmlformats.org/officeDocument/2006/relationships/hyperlink" Target="http://www.szgalaxy.com/__ZH_GB__/Product5/ProductDetail?proID=744" TargetMode="External"/><Relationship Id="rId1712" Type="http://schemas.openxmlformats.org/officeDocument/2006/relationships/hyperlink" Target="https://www.galax.com/en/" TargetMode="External"/><Relationship Id="rId1713" Type="http://schemas.openxmlformats.org/officeDocument/2006/relationships/hyperlink" Target="http://www.szgalaxy.com/__ZH_GB__/Product5/ProductDetail?proID=706" TargetMode="External"/><Relationship Id="rId1714" Type="http://schemas.openxmlformats.org/officeDocument/2006/relationships/hyperlink" Target="https://www.galax.com/en/" TargetMode="External"/><Relationship Id="rId1715" Type="http://schemas.openxmlformats.org/officeDocument/2006/relationships/hyperlink" Target="http://www.szgalaxy.com/__ZH_GB__/Product5/ProductDetail?proID=748" TargetMode="External"/><Relationship Id="rId1716" Type="http://schemas.openxmlformats.org/officeDocument/2006/relationships/hyperlink" Target="https://www.galax.com/en/" TargetMode="External"/><Relationship Id="rId1717" Type="http://schemas.openxmlformats.org/officeDocument/2006/relationships/hyperlink" Target="http://www.szgalaxy.com/__ZH_GB__/Product5/ProductDetail?proID=791" TargetMode="External"/><Relationship Id="rId1718" Type="http://schemas.openxmlformats.org/officeDocument/2006/relationships/hyperlink" Target="https://www.galax.com/en/" TargetMode="External"/><Relationship Id="rId1719" Type="http://schemas.openxmlformats.org/officeDocument/2006/relationships/hyperlink" Target="http://www.szgalaxy.com/__ZH_GB__/Product5/ProductDetail?proID=705" TargetMode="External"/><Relationship Id="rId1700" Type="http://schemas.openxmlformats.org/officeDocument/2006/relationships/hyperlink" Target="https://www.galax.com/en/" TargetMode="External"/><Relationship Id="rId1701" Type="http://schemas.openxmlformats.org/officeDocument/2006/relationships/hyperlink" Target="http://www.szgalaxy.com/__ZH_GB__/Product5/ProductDetail?proID=687" TargetMode="External"/><Relationship Id="rId1702" Type="http://schemas.openxmlformats.org/officeDocument/2006/relationships/hyperlink" Target="https://www.galax.com/en/" TargetMode="External"/><Relationship Id="rId1703" Type="http://schemas.openxmlformats.org/officeDocument/2006/relationships/hyperlink" Target="http://www.szgalaxy.com/__ZH_GB__/Product5/ProductDetail?proID=742" TargetMode="External"/><Relationship Id="rId1704" Type="http://schemas.openxmlformats.org/officeDocument/2006/relationships/hyperlink" Target="https://www.galax.com/en/" TargetMode="External"/><Relationship Id="rId1705" Type="http://schemas.openxmlformats.org/officeDocument/2006/relationships/hyperlink" Target="http://www.szgalaxy.com/__ZH_GB__/Product5/ProductDetail?proID=691" TargetMode="External"/><Relationship Id="rId1706" Type="http://schemas.openxmlformats.org/officeDocument/2006/relationships/hyperlink" Target="https://www.galax.com/en/" TargetMode="External"/><Relationship Id="rId1707" Type="http://schemas.openxmlformats.org/officeDocument/2006/relationships/hyperlink" Target="http://www.szgalaxy.com/__ZH_GB__/Product5/ProductDetail?proID=745" TargetMode="External"/><Relationship Id="rId1708" Type="http://schemas.openxmlformats.org/officeDocument/2006/relationships/hyperlink" Target="https://www.galax.com/en/" TargetMode="External"/><Relationship Id="rId1709" Type="http://schemas.openxmlformats.org/officeDocument/2006/relationships/hyperlink" Target="http://www.szgalaxy.com/__ZH_GB__/Product5/ProductDetail?proID=690" TargetMode="External"/><Relationship Id="rId40" Type="http://schemas.openxmlformats.org/officeDocument/2006/relationships/hyperlink" Target="http://www.dataland.com.cn/prod_view.aspx?nid=3&amp;typeid=128&amp;id=926" TargetMode="External"/><Relationship Id="rId3513" Type="http://schemas.openxmlformats.org/officeDocument/2006/relationships/hyperlink" Target="https://www.nvidia.com/en-us/geforce/graphics-cards/40-series/rtx-4070-family/" TargetMode="External"/><Relationship Id="rId3512" Type="http://schemas.openxmlformats.org/officeDocument/2006/relationships/hyperlink" Target="https://www.msi.com/Graphics-Card/GeForce-RTX-4070-SUPER-12G-GAMING-X-SLIM-WHITE" TargetMode="External"/><Relationship Id="rId42" Type="http://schemas.openxmlformats.org/officeDocument/2006/relationships/hyperlink" Target="http://www.dataland.com.cn/prod_view.aspx?nid=3&amp;typeid=128&amp;id=927" TargetMode="External"/><Relationship Id="rId3515" Type="http://schemas.openxmlformats.org/officeDocument/2006/relationships/hyperlink" Target="https://www.palit.com/palit/vgapro.php?id=5077&amp;lang=en" TargetMode="External"/><Relationship Id="rId41" Type="http://schemas.openxmlformats.org/officeDocument/2006/relationships/hyperlink" Target="http://www.dataland.com.cn/" TargetMode="External"/><Relationship Id="rId3514" Type="http://schemas.openxmlformats.org/officeDocument/2006/relationships/hyperlink" Target="https://www.palit.com/palit/vgapro.php?id=4997&amp;lang=en" TargetMode="External"/><Relationship Id="rId44" Type="http://schemas.openxmlformats.org/officeDocument/2006/relationships/hyperlink" Target="https://www.gigabyte.com/Graphics-Card/GV-R56XTWF2OC-6GD" TargetMode="External"/><Relationship Id="rId3517" Type="http://schemas.openxmlformats.org/officeDocument/2006/relationships/hyperlink" Target="https://www.pny.com/pny-geforce-rtx-4070-super-12-gb-verto-oc-edition-dual-fan" TargetMode="External"/><Relationship Id="rId43" Type="http://schemas.openxmlformats.org/officeDocument/2006/relationships/hyperlink" Target="https://www.gigabyte.com/Graphics-Card/GV-R56XTWF2-6GD-rev-20" TargetMode="External"/><Relationship Id="rId3516" Type="http://schemas.openxmlformats.org/officeDocument/2006/relationships/hyperlink" Target="https://www.palit.com/palit/vgapro.php?id=5087&amp;lang=en" TargetMode="External"/><Relationship Id="rId46" Type="http://schemas.openxmlformats.org/officeDocument/2006/relationships/hyperlink" Target="https://www.gigabyte.com/Graphics-Card/GV-R56XTGAMING-OC-6GD/" TargetMode="External"/><Relationship Id="rId3519" Type="http://schemas.openxmlformats.org/officeDocument/2006/relationships/hyperlink" Target="http://www.yeston.net/" TargetMode="External"/><Relationship Id="rId45" Type="http://schemas.openxmlformats.org/officeDocument/2006/relationships/hyperlink" Target="https://www.gigabyte.com/Graphics-Card/GV-R56XTGAMING-6GD/" TargetMode="External"/><Relationship Id="rId3518" Type="http://schemas.openxmlformats.org/officeDocument/2006/relationships/hyperlink" Target="https://www.pny.com/pny-geforce-rtx-4070-super-12-gb-xlr8-gaming-verto-epic-x-rgb-oc-triple-fan" TargetMode="External"/><Relationship Id="rId48" Type="http://schemas.openxmlformats.org/officeDocument/2006/relationships/hyperlink" Target="https://www.msi.com/Graphics-card/RADEON-RX-5600-XT-MECH" TargetMode="External"/><Relationship Id="rId47" Type="http://schemas.openxmlformats.org/officeDocument/2006/relationships/hyperlink" Target="https://www.gigabyte.com/Graphics-Card/GV-R56XTGAMING-OC-6GD-rev-20/" TargetMode="External"/><Relationship Id="rId49" Type="http://schemas.openxmlformats.org/officeDocument/2006/relationships/hyperlink" Target="https://www.msi.com/Graphics-card/RADEON-RX-5600-XT-MECH-OC" TargetMode="External"/><Relationship Id="rId3511" Type="http://schemas.openxmlformats.org/officeDocument/2006/relationships/hyperlink" Target="https://www.msi.com/Graphics-Card/GeForce-RTX-4070-SUPER-12G-GAMING-SLIM-WHITE" TargetMode="External"/><Relationship Id="rId3510" Type="http://schemas.openxmlformats.org/officeDocument/2006/relationships/hyperlink" Target="https://www.msi.com/Graphics-Card/GeForce-RTX-4070-SUPER-12G-GAMING-X-SLIM-MLG" TargetMode="External"/><Relationship Id="rId3502" Type="http://schemas.openxmlformats.org/officeDocument/2006/relationships/hyperlink" Target="https://www.msi.com/Graphics-Card/GeForce-RTX-4070-SUPER-12G-VENTUS-2X-OC" TargetMode="External"/><Relationship Id="rId3501" Type="http://schemas.openxmlformats.org/officeDocument/2006/relationships/hyperlink" Target="https://www.msi.com/Graphics-Card/GeForce-RTX-4070-SUPER-12G-VENTUS-2X" TargetMode="External"/><Relationship Id="rId31" Type="http://schemas.openxmlformats.org/officeDocument/2006/relationships/hyperlink" Target="https://www.asus.com/motherboards-components/graphics-cards/dual/DUAL-RX5600XT-T6G-EVO" TargetMode="External"/><Relationship Id="rId3504" Type="http://schemas.openxmlformats.org/officeDocument/2006/relationships/hyperlink" Target="https://www.msi.com/Graphics-Card/GeForce-RTX-4070-SUPER-12G-VENTUS-2X-WHITE-OC" TargetMode="External"/><Relationship Id="rId30" Type="http://schemas.openxmlformats.org/officeDocument/2006/relationships/hyperlink" Target="https://www.asus.com/Graphics-Cards/DUAL-RX5600XT-A6G-EVO/" TargetMode="External"/><Relationship Id="rId3503" Type="http://schemas.openxmlformats.org/officeDocument/2006/relationships/hyperlink" Target="https://www.msi.com/Graphics-Card/GeForce-RTX-4070-SUPER-12G-VENTUS-2X-WHITE" TargetMode="External"/><Relationship Id="rId33" Type="http://schemas.openxmlformats.org/officeDocument/2006/relationships/hyperlink" Target="https://rog.asus.com/Graphics-Cards/Graphics-Cards/ROG-Strix/ROG-STRIX-RX5600XT-O6G-GAMING-Model/" TargetMode="External"/><Relationship Id="rId3506" Type="http://schemas.openxmlformats.org/officeDocument/2006/relationships/hyperlink" Target="https://www.msi.com/Graphics-Card/GeForce-RTX-4070-SUPER-12G-VENTUS-3X-OC" TargetMode="External"/><Relationship Id="rId32" Type="http://schemas.openxmlformats.org/officeDocument/2006/relationships/hyperlink" Target="https://rog.asus.com/Graphics-Cards/Graphics-Cards/ROG-Strix/ROG-STRIX-RX5600XT-A6G-GAMING-Model/" TargetMode="External"/><Relationship Id="rId3505" Type="http://schemas.openxmlformats.org/officeDocument/2006/relationships/hyperlink" Target="https://www.msi.com/Graphics-Card/GeForce-RTX-4070-SUPER-12G-VENTUS-3X" TargetMode="External"/><Relationship Id="rId35" Type="http://schemas.openxmlformats.org/officeDocument/2006/relationships/hyperlink" Target="https://www.asus.com/motherboards-components/graphics-cards/all-series/TUF-3-RX5600XT-O6G-EVO-GAMING" TargetMode="External"/><Relationship Id="rId3508" Type="http://schemas.openxmlformats.org/officeDocument/2006/relationships/hyperlink" Target="https://www.msi.com/Graphics-Card/GeForce-RTX-4070-SUPER-12G-GAMING-X-SLIM" TargetMode="External"/><Relationship Id="rId34" Type="http://schemas.openxmlformats.org/officeDocument/2006/relationships/hyperlink" Target="https://rog.asus.com/Graphics-Cards/Graphics-Cards/ROG-Strix/ROG-STRIX-RX5600XT-T6G-GAMING-Model/" TargetMode="External"/><Relationship Id="rId3507" Type="http://schemas.openxmlformats.org/officeDocument/2006/relationships/hyperlink" Target="https://www.msi.com/Graphics-Card/GeForce-RTX-4070-SUPER-12G-GAMING-SLIM" TargetMode="External"/><Relationship Id="rId3509" Type="http://schemas.openxmlformats.org/officeDocument/2006/relationships/hyperlink" Target="https://www.msi.com/Graphics-Card/GeForce-RTX-4070-SUPER-12G-GAMING-SLIM-MLG" TargetMode="External"/><Relationship Id="rId37" Type="http://schemas.openxmlformats.org/officeDocument/2006/relationships/hyperlink" Target="http://www.dataland.com.cn/" TargetMode="External"/><Relationship Id="rId36" Type="http://schemas.openxmlformats.org/officeDocument/2006/relationships/hyperlink" Target="https://www.asus.com/Graphics-Cards/TUF-3-RX5600XT-T6G-EVO-GAMING/" TargetMode="External"/><Relationship Id="rId39" Type="http://schemas.openxmlformats.org/officeDocument/2006/relationships/hyperlink" Target="http://www.dataland.com.cn/" TargetMode="External"/><Relationship Id="rId38" Type="http://schemas.openxmlformats.org/officeDocument/2006/relationships/hyperlink" Target="http://www.dataland.com.cn/prod_view.aspx?nid=3&amp;typeid=128&amp;id=934" TargetMode="External"/><Relationship Id="rId3500" Type="http://schemas.openxmlformats.org/officeDocument/2006/relationships/hyperlink" Target="https://www.maxsun.com/products/geforce-rtx-4070-super-icraft-oc12g-limited" TargetMode="External"/><Relationship Id="rId2203" Type="http://schemas.openxmlformats.org/officeDocument/2006/relationships/hyperlink" Target="http://www.szgalaxy.com/__ZH_GB__/Product5/ProductDetail?proID=728" TargetMode="External"/><Relationship Id="rId3535" Type="http://schemas.openxmlformats.org/officeDocument/2006/relationships/hyperlink" Target="https://rog.asus.com/graphics-cards/graphics-cards/rog-strix/rog-strix-rtx4070ti-o12g-gaming-model/" TargetMode="External"/><Relationship Id="rId2204" Type="http://schemas.openxmlformats.org/officeDocument/2006/relationships/hyperlink" Target="https://www.galax.com/en/" TargetMode="External"/><Relationship Id="rId3534" Type="http://schemas.openxmlformats.org/officeDocument/2006/relationships/hyperlink" Target="https://rog.asus.com/graphics-cards/graphics-cards/rog-strix/rog-strix-rtx4070ti-12g-gaming-model/" TargetMode="External"/><Relationship Id="rId20" Type="http://schemas.openxmlformats.org/officeDocument/2006/relationships/hyperlink" Target="https://www.sapphiretech.com/en/consumer/pulse-radeon-rx-5500-xt-8g-gddr6" TargetMode="External"/><Relationship Id="rId2205" Type="http://schemas.openxmlformats.org/officeDocument/2006/relationships/hyperlink" Target="http://www.szgalaxy.com/__ZH_GB__/Product5/ProductDetail?proID=649" TargetMode="External"/><Relationship Id="rId3537" Type="http://schemas.openxmlformats.org/officeDocument/2006/relationships/hyperlink" Target="https://en.colorful.cn/en/home/product?mid=102&amp;id=0b4e0dd0-7652-4b81-a5c1-2593bb2bad12" TargetMode="External"/><Relationship Id="rId2206" Type="http://schemas.openxmlformats.org/officeDocument/2006/relationships/hyperlink" Target="https://www.galax.com/en/" TargetMode="External"/><Relationship Id="rId3536" Type="http://schemas.openxmlformats.org/officeDocument/2006/relationships/hyperlink" Target="https://en.colorful.cn/en/" TargetMode="External"/><Relationship Id="rId22" Type="http://schemas.openxmlformats.org/officeDocument/2006/relationships/hyperlink" Target="http://www.yeston.net/" TargetMode="External"/><Relationship Id="rId2207" Type="http://schemas.openxmlformats.org/officeDocument/2006/relationships/hyperlink" Target="http://www.szgalaxy.com/__ZH_GB__/Product5/ProductDetail?proID=731" TargetMode="External"/><Relationship Id="rId3539" Type="http://schemas.openxmlformats.org/officeDocument/2006/relationships/hyperlink" Target="https://en.colorful.cn/en/home/product?mid=102&amp;id=7542c2b6-6b72-44d9-9b57-829510a0ccd7" TargetMode="External"/><Relationship Id="rId21" Type="http://schemas.openxmlformats.org/officeDocument/2006/relationships/hyperlink" Target="https://www.sapphiretech.com/en/consumer/nitro-radeon-rx-5500-xt-se-8g-gddr6" TargetMode="External"/><Relationship Id="rId2208" Type="http://schemas.openxmlformats.org/officeDocument/2006/relationships/hyperlink" Target="https://www.galax.com/en/" TargetMode="External"/><Relationship Id="rId3538" Type="http://schemas.openxmlformats.org/officeDocument/2006/relationships/hyperlink" Target="https://en.colorful.cn/en/" TargetMode="External"/><Relationship Id="rId24" Type="http://schemas.openxmlformats.org/officeDocument/2006/relationships/hyperlink" Target="http://www.yeston.net/" TargetMode="External"/><Relationship Id="rId2209" Type="http://schemas.openxmlformats.org/officeDocument/2006/relationships/hyperlink" Target="http://www.szgalaxy.com/__ZH_GB__/Product5/ProductDetail?proID=648" TargetMode="External"/><Relationship Id="rId23" Type="http://schemas.openxmlformats.org/officeDocument/2006/relationships/hyperlink" Target="http://www.yeston.net/product/details/273/299" TargetMode="External"/><Relationship Id="rId26" Type="http://schemas.openxmlformats.org/officeDocument/2006/relationships/hyperlink" Target="https://www.asrock.com/Graphics-Card/AMD/Radeon%20RX%205600%20XT%20Challenger%20D%206G%20OC/" TargetMode="External"/><Relationship Id="rId25" Type="http://schemas.openxmlformats.org/officeDocument/2006/relationships/hyperlink" Target="http://www.yeston.net/product/details/273/292" TargetMode="External"/><Relationship Id="rId28" Type="http://schemas.openxmlformats.org/officeDocument/2006/relationships/hyperlink" Target="https://www.asrock.com/Graphics-Card/AMD/Radeon%20RX%205600%20XT%20Phantom%20Gaming%20D2%206G%20OC/" TargetMode="External"/><Relationship Id="rId27" Type="http://schemas.openxmlformats.org/officeDocument/2006/relationships/hyperlink" Target="https://www.asrock.com/Graphics-Card/AMD/Radeon%20RX%205600%20XT%20Challenger%20Pro%206G%20OC/" TargetMode="External"/><Relationship Id="rId3531" Type="http://schemas.openxmlformats.org/officeDocument/2006/relationships/hyperlink" Target="https://www.asus.com/motherboards-components/graphics-cards/tuf-gaming/tuf-rtx4070ti-12g-gaming/" TargetMode="External"/><Relationship Id="rId29" Type="http://schemas.openxmlformats.org/officeDocument/2006/relationships/hyperlink" Target="https://www.asrock.com/Graphics-Card/AMD/Radeon%20RX%205600%20XT%20Phantom%20Gaming%20D3%206G%20OC/" TargetMode="External"/><Relationship Id="rId2200" Type="http://schemas.openxmlformats.org/officeDocument/2006/relationships/hyperlink" Target="https://www.galax.com/en/" TargetMode="External"/><Relationship Id="rId3530" Type="http://schemas.openxmlformats.org/officeDocument/2006/relationships/hyperlink" Target="https://www.asus.com/motherboards-components/graphics-cards/proart/proart-rtx4070ti-o12g/" TargetMode="External"/><Relationship Id="rId2201" Type="http://schemas.openxmlformats.org/officeDocument/2006/relationships/hyperlink" Target="http://www.szgalaxy.com/__ZH_GB__/Product5/ProductDetail?proID=669" TargetMode="External"/><Relationship Id="rId3533" Type="http://schemas.openxmlformats.org/officeDocument/2006/relationships/hyperlink" Target="https://www.asus.com/motherboards-components/graphics-cards/tuf-gaming/tuf-rtx4070ti-o12g-white-gaming/" TargetMode="External"/><Relationship Id="rId2202" Type="http://schemas.openxmlformats.org/officeDocument/2006/relationships/hyperlink" Target="https://www.galax.com/en/" TargetMode="External"/><Relationship Id="rId3532" Type="http://schemas.openxmlformats.org/officeDocument/2006/relationships/hyperlink" Target="https://www.asus.com/motherboards-components/graphics-cards/tuf-gaming/tuf-rtx4070ti-o12g-gaming/" TargetMode="External"/><Relationship Id="rId3524" Type="http://schemas.openxmlformats.org/officeDocument/2006/relationships/hyperlink" Target="https://www.zotac.com/product/graphics_card/zotac-gaming-geforce-rtx-4070-super-twin-edge-12gb-gddr6x" TargetMode="External"/><Relationship Id="rId3523" Type="http://schemas.openxmlformats.org/officeDocument/2006/relationships/hyperlink" Target="https://www.zotac.com/" TargetMode="External"/><Relationship Id="rId3526" Type="http://schemas.openxmlformats.org/officeDocument/2006/relationships/hyperlink" Target="https://www.zotac.com/product/graphics_card/zotac-gaming-geforce-rtx-4070-super-twin-edge-oc-12gb-gddr6x" TargetMode="External"/><Relationship Id="rId3525" Type="http://schemas.openxmlformats.org/officeDocument/2006/relationships/hyperlink" Target="https://www.zotac.com/" TargetMode="External"/><Relationship Id="rId11" Type="http://schemas.openxmlformats.org/officeDocument/2006/relationships/hyperlink" Target="https://www.sapphiretech.com/en/consumer/pulse-radeon-rx-5500-xt-4g-gddr6" TargetMode="External"/><Relationship Id="rId3528" Type="http://schemas.openxmlformats.org/officeDocument/2006/relationships/hyperlink" Target="https://www.zotac.com/product/graphics_card/zotac-gaming-geforce-rtx-4070-super-trinity-black-edition-12gb-gddr6x" TargetMode="External"/><Relationship Id="rId10" Type="http://schemas.openxmlformats.org/officeDocument/2006/relationships/hyperlink" Target="https://www.msi.com/Graphics-card/Radeon-RX-5500-XT-GAMING-4G" TargetMode="External"/><Relationship Id="rId3527" Type="http://schemas.openxmlformats.org/officeDocument/2006/relationships/hyperlink" Target="https://www.zotac.com/" TargetMode="External"/><Relationship Id="rId13" Type="http://schemas.openxmlformats.org/officeDocument/2006/relationships/hyperlink" Target="https://rog.asus.com/Graphics-Cards/Graphics-Cards/ROG-Strix/ROG-STRIX-RX5500XT-O8G-GAMING-Model/" TargetMode="External"/><Relationship Id="rId12" Type="http://schemas.openxmlformats.org/officeDocument/2006/relationships/hyperlink" Target="https://www.asus.com/motherboards-components/graphics-cards/all-series/DUAL-RX5500XT-O8G-EVO" TargetMode="External"/><Relationship Id="rId3529" Type="http://schemas.openxmlformats.org/officeDocument/2006/relationships/hyperlink" Target="https://www.asus.com/motherboards-components/graphics-cards/proart/proart-rtx4070ti-12g/" TargetMode="External"/><Relationship Id="rId15" Type="http://schemas.openxmlformats.org/officeDocument/2006/relationships/hyperlink" Target="http://www.dataland.com.cn/prod_view.aspx?nid=3&amp;typeid=129&amp;id=928" TargetMode="External"/><Relationship Id="rId14" Type="http://schemas.openxmlformats.org/officeDocument/2006/relationships/hyperlink" Target="http://www.dataland.com.cn/" TargetMode="External"/><Relationship Id="rId17" Type="http://schemas.openxmlformats.org/officeDocument/2006/relationships/hyperlink" Target="https://www.gigabyte.com/Graphics-Card/GV-R55XTGAMING-OC-8GD" TargetMode="External"/><Relationship Id="rId16" Type="http://schemas.openxmlformats.org/officeDocument/2006/relationships/hyperlink" Target="https://www.gigabyte.com/Graphics-Card/GV-R55XTD6-8GD" TargetMode="External"/><Relationship Id="rId19" Type="http://schemas.openxmlformats.org/officeDocument/2006/relationships/hyperlink" Target="https://www.msi.com/Graphics-card/Radeon-RX-5500-XT-GAMING-X-8G" TargetMode="External"/><Relationship Id="rId3520" Type="http://schemas.openxmlformats.org/officeDocument/2006/relationships/hyperlink" Target="http://www.yeston.net/products-detail/id-106.html" TargetMode="External"/><Relationship Id="rId18" Type="http://schemas.openxmlformats.org/officeDocument/2006/relationships/hyperlink" Target="https://www.msi.com/Graphics-card/Radeon-RX-5500-XT-GAMING-8G" TargetMode="External"/><Relationship Id="rId3522" Type="http://schemas.openxmlformats.org/officeDocument/2006/relationships/hyperlink" Target="http://www.yeston.net/products-detail/id-105.html" TargetMode="External"/><Relationship Id="rId3521" Type="http://schemas.openxmlformats.org/officeDocument/2006/relationships/hyperlink" Target="http://www.yeston.net/" TargetMode="External"/><Relationship Id="rId84" Type="http://schemas.openxmlformats.org/officeDocument/2006/relationships/hyperlink" Target="https://www.msi.com/Graphics-card/Radeon-RX-5700-GAMING" TargetMode="External"/><Relationship Id="rId1774" Type="http://schemas.openxmlformats.org/officeDocument/2006/relationships/hyperlink" Target="https://www.msi.com/Graphics-Card/GeForce-RTX-3060-GAMING-X-TRIO-12G" TargetMode="External"/><Relationship Id="rId83" Type="http://schemas.openxmlformats.org/officeDocument/2006/relationships/hyperlink" Target="https://www.msi.com/Graphics-card/Radeon-RX-5700-EVOKE-GP-OC" TargetMode="External"/><Relationship Id="rId1775" Type="http://schemas.openxmlformats.org/officeDocument/2006/relationships/hyperlink" Target="https://www.msi.com/Graphics-Card/GeForce-RTX-3060-GAMING-Z-TRIO-12G" TargetMode="External"/><Relationship Id="rId86" Type="http://schemas.openxmlformats.org/officeDocument/2006/relationships/hyperlink" Target="https://www.powercolor.com/product?id=1565772473" TargetMode="External"/><Relationship Id="rId1776" Type="http://schemas.openxmlformats.org/officeDocument/2006/relationships/hyperlink" Target="http://www.palit.com/palit/vgapro.php?id=4089&amp;lang=en" TargetMode="External"/><Relationship Id="rId85" Type="http://schemas.openxmlformats.org/officeDocument/2006/relationships/hyperlink" Target="https://www.msi.com/Graphics-card/Radeon-RX-5700-GAMING-X" TargetMode="External"/><Relationship Id="rId1777" Type="http://schemas.openxmlformats.org/officeDocument/2006/relationships/hyperlink" Target="http://www.palit.com/palit/vgapro.php?id=4080&amp;lang=en" TargetMode="External"/><Relationship Id="rId88" Type="http://schemas.openxmlformats.org/officeDocument/2006/relationships/hyperlink" Target="https://www.sapphiretech.com/en/consumer/pulse-radeon-rx-5700-tri-x-8g-gddr6" TargetMode="External"/><Relationship Id="rId1778" Type="http://schemas.openxmlformats.org/officeDocument/2006/relationships/hyperlink" Target="https://www.pny.com/pny-geforce-rtx3060-12gb-verto-dual-fan" TargetMode="External"/><Relationship Id="rId87" Type="http://schemas.openxmlformats.org/officeDocument/2006/relationships/hyperlink" Target="https://www.sapphiretech.com/en/consumer/pulse-radeon-rx-5700-8g-gddr6" TargetMode="External"/><Relationship Id="rId1779" Type="http://schemas.openxmlformats.org/officeDocument/2006/relationships/hyperlink" Target="https://www.pny.com/geforce-rtx-3060-12gb-uprising-df" TargetMode="External"/><Relationship Id="rId89" Type="http://schemas.openxmlformats.org/officeDocument/2006/relationships/hyperlink" Target="https://www.xfxforce.com/gpus/xfx-amd-radeon-tm-rx-5700-dd-8gb-gddr6" TargetMode="External"/><Relationship Id="rId80" Type="http://schemas.openxmlformats.org/officeDocument/2006/relationships/hyperlink" Target="https://www.msi.com/Graphics-card/Radeon-RX-5700-EVOKE" TargetMode="External"/><Relationship Id="rId82" Type="http://schemas.openxmlformats.org/officeDocument/2006/relationships/hyperlink" Target="https://www.msi.com/Graphics-card/Radeon-RX-5700-EVOKE-GP" TargetMode="External"/><Relationship Id="rId81" Type="http://schemas.openxmlformats.org/officeDocument/2006/relationships/hyperlink" Target="https://www.msi.com/Graphics-card/Radeon-RX-5700-EVOKE-OC" TargetMode="External"/><Relationship Id="rId1770" Type="http://schemas.openxmlformats.org/officeDocument/2006/relationships/hyperlink" Target="https://www.msi.com/Graphics-Card/GeForce-RTX-3060-GAMING-12G" TargetMode="External"/><Relationship Id="rId1771" Type="http://schemas.openxmlformats.org/officeDocument/2006/relationships/hyperlink" Target="https://www.msi.com/Graphics-Card/GeForce-RTX-3060-GAMING-X-12G" TargetMode="External"/><Relationship Id="rId1772" Type="http://schemas.openxmlformats.org/officeDocument/2006/relationships/hyperlink" Target="https://www.msi.com/Graphics-Card/GeForce-RTX-3060-GAMING-TRIO-12G" TargetMode="External"/><Relationship Id="rId1773" Type="http://schemas.openxmlformats.org/officeDocument/2006/relationships/hyperlink" Target="https://www.msi.com/Graphics-Card/GeForce-RTX-3060-GAMING-TRIO-PLUS-12G" TargetMode="External"/><Relationship Id="rId73" Type="http://schemas.openxmlformats.org/officeDocument/2006/relationships/hyperlink" Target="http://www.dataland.com.cn/prod_view.aspx?nid=3&amp;typeid=127&amp;id=917" TargetMode="External"/><Relationship Id="rId1763" Type="http://schemas.openxmlformats.org/officeDocument/2006/relationships/hyperlink" Target="http://www.maxsun.com.cn/2021/0226/5568.html" TargetMode="External"/><Relationship Id="rId72" Type="http://schemas.openxmlformats.org/officeDocument/2006/relationships/hyperlink" Target="http://www.dataland.com.cn/" TargetMode="External"/><Relationship Id="rId1764" Type="http://schemas.openxmlformats.org/officeDocument/2006/relationships/hyperlink" Target="http://www.maxsun.com.cn/" TargetMode="External"/><Relationship Id="rId75" Type="http://schemas.openxmlformats.org/officeDocument/2006/relationships/hyperlink" Target="http://www.hisdigital.com/us/product2-970.shtml" TargetMode="External"/><Relationship Id="rId1765" Type="http://schemas.openxmlformats.org/officeDocument/2006/relationships/hyperlink" Target="http://www.maxsun.com.cn/2021/0602/5576.html" TargetMode="External"/><Relationship Id="rId74" Type="http://schemas.openxmlformats.org/officeDocument/2006/relationships/hyperlink" Target="https://www.gigabyte.com/Graphics-Card/GV-R57GAMING-OC-8GD-rev-10-11" TargetMode="External"/><Relationship Id="rId1766" Type="http://schemas.openxmlformats.org/officeDocument/2006/relationships/hyperlink" Target="https://www.msi.com/Graphics-Card/GeForce-RTX-3060-VENTUS-2X-12G" TargetMode="External"/><Relationship Id="rId77" Type="http://schemas.openxmlformats.org/officeDocument/2006/relationships/hyperlink" Target="https://www.msi.com/Graphics-card/Radeon-RX-5700-MECH-OC" TargetMode="External"/><Relationship Id="rId1767" Type="http://schemas.openxmlformats.org/officeDocument/2006/relationships/hyperlink" Target="https://www.msi.com/Graphics-Card/GeForce-RTX-3060-VENTUS-2X-12G-OC" TargetMode="External"/><Relationship Id="rId76" Type="http://schemas.openxmlformats.org/officeDocument/2006/relationships/hyperlink" Target="https://www.msi.com/Graphics-card/Radeon-RX-5700-MECH" TargetMode="External"/><Relationship Id="rId1768" Type="http://schemas.openxmlformats.org/officeDocument/2006/relationships/hyperlink" Target="https://www.msi.com/Graphics-Card/GeForce-RTX-3060-VENTUS-3X-12G" TargetMode="External"/><Relationship Id="rId79" Type="http://schemas.openxmlformats.org/officeDocument/2006/relationships/hyperlink" Target="https://www.msi.com/Graphics-card/Radeon-RX-5700-MECH-GP-OC" TargetMode="External"/><Relationship Id="rId1769" Type="http://schemas.openxmlformats.org/officeDocument/2006/relationships/hyperlink" Target="https://www.msi.com/Graphics-Card/GeForce-RTX-3060-VENTUS-3X-12G-OC" TargetMode="External"/><Relationship Id="rId78" Type="http://schemas.openxmlformats.org/officeDocument/2006/relationships/hyperlink" Target="https://www.msi.com/Graphics-card/Radeon-RX-5700-MECH-GP" TargetMode="External"/><Relationship Id="rId71" Type="http://schemas.openxmlformats.org/officeDocument/2006/relationships/hyperlink" Target="http://www.dataland.com.cn/prod_view.aspx?nid=3&amp;typeid=127&amp;id=920" TargetMode="External"/><Relationship Id="rId70" Type="http://schemas.openxmlformats.org/officeDocument/2006/relationships/hyperlink" Target="http://www.dataland.com.cn/" TargetMode="External"/><Relationship Id="rId1760" Type="http://schemas.openxmlformats.org/officeDocument/2006/relationships/hyperlink" Target="https://www.manli.com/en/product-detail-Manli_GeForce_RTX_3060_Gallardo_(M2510_+_N630-00)-254.html" TargetMode="External"/><Relationship Id="rId1761" Type="http://schemas.openxmlformats.org/officeDocument/2006/relationships/hyperlink" Target="https://www.manli.com/en/product-detail-Manli_GeForce_RTX%E2%84%A2_3060_Gallardo_LHR_(M2510+N630-00)-293.html" TargetMode="External"/><Relationship Id="rId1762" Type="http://schemas.openxmlformats.org/officeDocument/2006/relationships/hyperlink" Target="http://www.maxsun.com.cn/" TargetMode="External"/><Relationship Id="rId62" Type="http://schemas.openxmlformats.org/officeDocument/2006/relationships/hyperlink" Target="https://www.asrock.com/Graphics-Card/AMD/Radeon%20RX%205700%20Phantom%20Gaming%20D%208G%20OC/" TargetMode="External"/><Relationship Id="rId1796" Type="http://schemas.openxmlformats.org/officeDocument/2006/relationships/hyperlink" Target="https://www.zotac.com/cn/product/graphics_card/%E7%B4%A2%E6%B3%B0-geforce%C2%AE-rtx-3060-12g-x-gaming-goc-h-box" TargetMode="External"/><Relationship Id="rId61" Type="http://schemas.openxmlformats.org/officeDocument/2006/relationships/hyperlink" Target="http://www.yeston.net/product/details/275/295" TargetMode="External"/><Relationship Id="rId1797" Type="http://schemas.openxmlformats.org/officeDocument/2006/relationships/hyperlink" Target="https://www.zotac.com/cn/product/graphics_card/%E7%B4%A2%E6%B3%B0-geforce%C2%AE-rtx-3060-12gd6-x-gaming-goc-pro" TargetMode="External"/><Relationship Id="rId64" Type="http://schemas.openxmlformats.org/officeDocument/2006/relationships/hyperlink" Target="https://www.asus.com/motherboards-components/graphics-cards/all-series/DUAL-RX5700-O8G-EVO" TargetMode="External"/><Relationship Id="rId1798" Type="http://schemas.openxmlformats.org/officeDocument/2006/relationships/hyperlink" Target="https://www.zotac.com/cn/product/graphics_card/%E7%B4%A2%E6%B3%B0-geforce%C2%AE-rtx-3060-12gd6-%E5%A4%A9%E5%90%AF-oc" TargetMode="External"/><Relationship Id="rId63" Type="http://schemas.openxmlformats.org/officeDocument/2006/relationships/hyperlink" Target="https://www.asus.com/motherboards-components/graphics-cards/all-series/RX5700-8G" TargetMode="External"/><Relationship Id="rId1799" Type="http://schemas.openxmlformats.org/officeDocument/2006/relationships/hyperlink" Target="https://www.zotac.com/cn/product/graphics_card/%E7%B4%A2%E6%B3%B0-geforce%C2%AE-rtx-3060-12gd6-%E5%A4%A9%E5%90%AF-goc" TargetMode="External"/><Relationship Id="rId66" Type="http://schemas.openxmlformats.org/officeDocument/2006/relationships/hyperlink" Target="https://www.asus.com/motherboards-components/graphics-cards/all-series/TUF-3-RX5700-O8G-EVO-GAMING" TargetMode="External"/><Relationship Id="rId65" Type="http://schemas.openxmlformats.org/officeDocument/2006/relationships/hyperlink" Target="https://www.asus.com/motherboards-components/graphics-cards/all-series/TUF-3-RX5700-O8G-GAMING" TargetMode="External"/><Relationship Id="rId68" Type="http://schemas.openxmlformats.org/officeDocument/2006/relationships/hyperlink" Target="http://www.dataland.com.cn/" TargetMode="External"/><Relationship Id="rId67" Type="http://schemas.openxmlformats.org/officeDocument/2006/relationships/hyperlink" Target="https://rog.asus.com/Graphics-Cards/Graphics-Cards/ROG-Strix/ROG-STRIX-RX5700-O8G-GAMING-Model/" TargetMode="External"/><Relationship Id="rId60" Type="http://schemas.openxmlformats.org/officeDocument/2006/relationships/hyperlink" Target="http://www.yeston.net/" TargetMode="External"/><Relationship Id="rId69" Type="http://schemas.openxmlformats.org/officeDocument/2006/relationships/hyperlink" Target="http://www.dataland.com.cn/prod_view.aspx?nid=3&amp;typeid=127&amp;id=918" TargetMode="External"/><Relationship Id="rId1790" Type="http://schemas.openxmlformats.org/officeDocument/2006/relationships/hyperlink" Target="https://www.zotac.com/cn/product/graphics_card/%E7%B4%A2%E6%B3%B0-geforce%C2%AE-rtx-3060-12gd6-%E9%9C%B9%E9%9B%B3%E7%89%88-ha" TargetMode="External"/><Relationship Id="rId1791" Type="http://schemas.openxmlformats.org/officeDocument/2006/relationships/hyperlink" Target="https://www.zotac.com/cn/product/graphics_card/%E7%B4%A2%E6%B3%B0-geforce%C2%AE-rtx-3060-12gd6-%E9%9C%B9%E9%9B%B3%E7%89%88ge-ha" TargetMode="External"/><Relationship Id="rId1792" Type="http://schemas.openxmlformats.org/officeDocument/2006/relationships/hyperlink" Target="https://www.zotac.com/cn/product/graphics_card/%E7%B4%A2%E6%B3%B0-geforce%C2%AE-rtx-3060-12gd6-%E9%9C%B9%E9%9B%B3%E7%89%88ge-hb" TargetMode="External"/><Relationship Id="rId1793" Type="http://schemas.openxmlformats.org/officeDocument/2006/relationships/hyperlink" Target="https://www.zotac.com/cn/product/graphics_card/%E7%B4%A2%E6%B3%B0-geforce%C2%AE-rtx-3060-12gd6-%E9%9C%B9%E9%9B%B3%E7%89%88ge-pro" TargetMode="External"/><Relationship Id="rId1794" Type="http://schemas.openxmlformats.org/officeDocument/2006/relationships/hyperlink" Target="https://www.zotac.com/cn/product/graphics_card/%E7%B4%A2%E6%B3%B0-geforce%C2%AE-rtx-3060-12gd6-x-gaming" TargetMode="External"/><Relationship Id="rId1795" Type="http://schemas.openxmlformats.org/officeDocument/2006/relationships/hyperlink" Target="https://www.zotac.com/cn/product/graphics_card/%E7%B4%A2%E6%B3%B0-geforce%C2%AE-rtx-3060-12gd6-x-gaming-goc" TargetMode="External"/><Relationship Id="rId51" Type="http://schemas.openxmlformats.org/officeDocument/2006/relationships/hyperlink" Target="https://www.msi.com/Graphics-card/Radeon-RX-5600-XT-GAMING-MX" TargetMode="External"/><Relationship Id="rId1785" Type="http://schemas.openxmlformats.org/officeDocument/2006/relationships/hyperlink" Target="http://www.yeston.net/" TargetMode="External"/><Relationship Id="rId50" Type="http://schemas.openxmlformats.org/officeDocument/2006/relationships/hyperlink" Target="https://www.msi.com/Graphics-card/Radeon-RX-5600-XT-GAMING-M/" TargetMode="External"/><Relationship Id="rId1786" Type="http://schemas.openxmlformats.org/officeDocument/2006/relationships/hyperlink" Target="http://www.yeston.net/products-detail/id-86.html" TargetMode="External"/><Relationship Id="rId53" Type="http://schemas.openxmlformats.org/officeDocument/2006/relationships/hyperlink" Target="https://www.msi.com/Graphics-card/Radeon-RX-5600-XT-GAMING-X" TargetMode="External"/><Relationship Id="rId1787" Type="http://schemas.openxmlformats.org/officeDocument/2006/relationships/hyperlink" Target="https://www.zotac.com/cn/product/graphics_card/%E7%B4%A2%E6%B3%B0-geforce%C2%AE-rtx-3060-12gd6-%E6%AF%81%E7%81%AD%E8%80%85-ha" TargetMode="External"/><Relationship Id="rId52" Type="http://schemas.openxmlformats.org/officeDocument/2006/relationships/hyperlink" Target="https://www.msi.com/Graphics-card/Radeon-RX-5600-XT-GAMING" TargetMode="External"/><Relationship Id="rId1788" Type="http://schemas.openxmlformats.org/officeDocument/2006/relationships/hyperlink" Target="https://www.zotac.com/cn/product/graphics_card/%E7%B4%A2%E6%B3%B0-geforce%C2%AE-rtx-3060-12gd6-%E6%AF%81%E7%81%AD%E8%80%85ge-ha" TargetMode="External"/><Relationship Id="rId55" Type="http://schemas.openxmlformats.org/officeDocument/2006/relationships/hyperlink" Target="https://www.sapphiretech.com/en/consumer/pulse-radeon-rx-5600-xt-be-6g-gddr6" TargetMode="External"/><Relationship Id="rId1789" Type="http://schemas.openxmlformats.org/officeDocument/2006/relationships/hyperlink" Target="https://www.zotac.com/cn/product/graphics_card/%E7%B4%A2%E6%B3%B0-geforce%C2%AE-rtx-3060-12gd6-%E6%AF%81%E7%81%AD%E8%80%85ge-pro" TargetMode="External"/><Relationship Id="rId54" Type="http://schemas.openxmlformats.org/officeDocument/2006/relationships/hyperlink" Target="https://www.powercolor.com/product?id=1577415898" TargetMode="External"/><Relationship Id="rId57" Type="http://schemas.openxmlformats.org/officeDocument/2006/relationships/hyperlink" Target="https://www.xfxforce.com/gpus/xfx-amd-radeon-tm-rx-5600-xt-6gb-gddr6-raw-ii" TargetMode="External"/><Relationship Id="rId56" Type="http://schemas.openxmlformats.org/officeDocument/2006/relationships/hyperlink" Target="https://www.sapphiretech.com/en/consumer/pulse-radeon-rx-5600-xt-6g-gddr6" TargetMode="External"/><Relationship Id="rId59" Type="http://schemas.openxmlformats.org/officeDocument/2006/relationships/hyperlink" Target="http://www.yeston.net/product/details/275/316" TargetMode="External"/><Relationship Id="rId58" Type="http://schemas.openxmlformats.org/officeDocument/2006/relationships/hyperlink" Target="http://www.yeston.net/" TargetMode="External"/><Relationship Id="rId1780" Type="http://schemas.openxmlformats.org/officeDocument/2006/relationships/hyperlink" Target="https://www.pny.com/geforce-rtx-3060-12gb-xlr8-gaming-revel-epic-x-rgb-df" TargetMode="External"/><Relationship Id="rId1781" Type="http://schemas.openxmlformats.org/officeDocument/2006/relationships/hyperlink" Target="http://www.yeston.net/" TargetMode="External"/><Relationship Id="rId1782" Type="http://schemas.openxmlformats.org/officeDocument/2006/relationships/hyperlink" Target="http://www.yeston.net/products-detail/id-43.html" TargetMode="External"/><Relationship Id="rId1783" Type="http://schemas.openxmlformats.org/officeDocument/2006/relationships/hyperlink" Target="http://www.yeston.net/" TargetMode="External"/><Relationship Id="rId1784" Type="http://schemas.openxmlformats.org/officeDocument/2006/relationships/hyperlink" Target="http://www.yeston.net/products-detail/id-45.html" TargetMode="External"/><Relationship Id="rId2269" Type="http://schemas.openxmlformats.org/officeDocument/2006/relationships/hyperlink" Target="https://www.gigabyte.com/Graphics-Card/GV-N3070AORUS-M-8GD-rev-20" TargetMode="External"/><Relationship Id="rId349" Type="http://schemas.openxmlformats.org/officeDocument/2006/relationships/hyperlink" Target="http://www.yeston.net/products-detail/id-62.html" TargetMode="External"/><Relationship Id="rId348" Type="http://schemas.openxmlformats.org/officeDocument/2006/relationships/hyperlink" Target="http://www.yeston.net/" TargetMode="External"/><Relationship Id="rId347" Type="http://schemas.openxmlformats.org/officeDocument/2006/relationships/hyperlink" Target="https://xfxforce.com/shop/xfx-amd-radeon-tm-rx-6800xt-16gb-gddr6-merc-319" TargetMode="External"/><Relationship Id="rId346" Type="http://schemas.openxmlformats.org/officeDocument/2006/relationships/hyperlink" Target="https://www.xfxforce.com/shop/xfx-speedster-merc-319-amd-radeon-tm-rx-6800-xt-core-gaming-graphics-card-with-16gb-gddr6-amd-rdna-tm-2" TargetMode="External"/><Relationship Id="rId3591" Type="http://schemas.openxmlformats.org/officeDocument/2006/relationships/hyperlink" Target="https://www.gigabyte.com/Graphics-Card/GV-N407TEAGLE-12GD" TargetMode="External"/><Relationship Id="rId2260" Type="http://schemas.openxmlformats.org/officeDocument/2006/relationships/hyperlink" Target="https://www.gigabyte.com/Graphics-Card/GV-N3070EAGLE-8GD" TargetMode="External"/><Relationship Id="rId3590" Type="http://schemas.openxmlformats.org/officeDocument/2006/relationships/hyperlink" Target="https://www.gigabyte.com/Graphics-Card/GV-N407TWF3OC-12GD" TargetMode="External"/><Relationship Id="rId341" Type="http://schemas.openxmlformats.org/officeDocument/2006/relationships/hyperlink" Target="https://www.sapphiretech.com/en/consumer/pulse-radeon-rx-6800-xt-16g-gddr6" TargetMode="External"/><Relationship Id="rId2261" Type="http://schemas.openxmlformats.org/officeDocument/2006/relationships/hyperlink" Target="https://www.gigabyte.com/Graphics-Card/GV-N3070EAGLE-8GD-rev-20" TargetMode="External"/><Relationship Id="rId3593" Type="http://schemas.openxmlformats.org/officeDocument/2006/relationships/hyperlink" Target="https://www.gigabyte.com/Graphics-Card/GV-N407TEAGLE-OC-12GD" TargetMode="External"/><Relationship Id="rId340" Type="http://schemas.openxmlformats.org/officeDocument/2006/relationships/hyperlink" Target="https://www.sapphiretech.com/en/consumer/21304-01-20g-radeon-rx-6800-xt-16g-gddr6" TargetMode="External"/><Relationship Id="rId2262" Type="http://schemas.openxmlformats.org/officeDocument/2006/relationships/hyperlink" Target="https://www.gigabyte.com/Graphics-Card/GV-N3070EAGLE-OC-8GD/" TargetMode="External"/><Relationship Id="rId3592" Type="http://schemas.openxmlformats.org/officeDocument/2006/relationships/hyperlink" Target="https://www.gigabyte.com/Graphics-Card/GV-N407TEAGLE-12GD-rev-20" TargetMode="External"/><Relationship Id="rId2263" Type="http://schemas.openxmlformats.org/officeDocument/2006/relationships/hyperlink" Target="https://www.gigabyte.com/Graphics-Card/GV-N3070EAGLE-OC-8GD-rev-20" TargetMode="External"/><Relationship Id="rId3595" Type="http://schemas.openxmlformats.org/officeDocument/2006/relationships/hyperlink" Target="https://www.gigabyte.com/Graphics-Card/GV-N407TAERO-OC-12GD" TargetMode="External"/><Relationship Id="rId2264" Type="http://schemas.openxmlformats.org/officeDocument/2006/relationships/hyperlink" Target="https://www.gigabyte.com/Graphics-Card/GV-N3070GAMING-OC-8GD/" TargetMode="External"/><Relationship Id="rId3594" Type="http://schemas.openxmlformats.org/officeDocument/2006/relationships/hyperlink" Target="https://www.gigabyte.com/Graphics-Card/GV-N407TEAGLE-OC-12GD-rev-20" TargetMode="External"/><Relationship Id="rId345" Type="http://schemas.openxmlformats.org/officeDocument/2006/relationships/hyperlink" Target="https://www.xfxforce.com/shop/xfx-speedster-swft-319-amd-radeon-tm-rx-6800-xt-core-gaming-graphics-card-with-16gb-gddr6-amd-rdna-tm-2" TargetMode="External"/><Relationship Id="rId2265" Type="http://schemas.openxmlformats.org/officeDocument/2006/relationships/hyperlink" Target="https://www.gigabyte.com/Graphics-Card/GV-N3070GAMING-OC-8GD-rev-20" TargetMode="External"/><Relationship Id="rId3597" Type="http://schemas.openxmlformats.org/officeDocument/2006/relationships/hyperlink" Target="https://www.gigabyte.com/Graphics-Card/GV-N407TGAMING-12GD" TargetMode="External"/><Relationship Id="rId344" Type="http://schemas.openxmlformats.org/officeDocument/2006/relationships/hyperlink" Target="https://www.xfxforce.com/shop/xfx-amd-radeon-tm-rx-6800xt-16gb-gddr6" TargetMode="External"/><Relationship Id="rId2266" Type="http://schemas.openxmlformats.org/officeDocument/2006/relationships/hyperlink" Target="https://www.gigabyte.com/Graphics-Card/GV-N3070VISION-OC-8GD" TargetMode="External"/><Relationship Id="rId3596" Type="http://schemas.openxmlformats.org/officeDocument/2006/relationships/hyperlink" Target="https://www.gigabyte.com/Graphics-Card/GV-N407TAERO-OCV2-12GD" TargetMode="External"/><Relationship Id="rId343" Type="http://schemas.openxmlformats.org/officeDocument/2006/relationships/hyperlink" Target="https://www.sapphiretech.com/en/consumer/nitro-radeon-rx-6800-xt-se-16g-gddr6" TargetMode="External"/><Relationship Id="rId2267" Type="http://schemas.openxmlformats.org/officeDocument/2006/relationships/hyperlink" Target="https://www.gigabyte.com/Graphics-Card/GV-N3070VISION-OC-8GD-rev-20" TargetMode="External"/><Relationship Id="rId3599" Type="http://schemas.openxmlformats.org/officeDocument/2006/relationships/hyperlink" Target="https://www.gigabyte.com/Graphics-Card/GV-N407TGAMING-OCV2-12GD" TargetMode="External"/><Relationship Id="rId342" Type="http://schemas.openxmlformats.org/officeDocument/2006/relationships/hyperlink" Target="https://www.sapphiretech.com/en/consumer/nitro-radeon-rx-6800-xt-16g-gddr6" TargetMode="External"/><Relationship Id="rId2268" Type="http://schemas.openxmlformats.org/officeDocument/2006/relationships/hyperlink" Target="https://www.gigabyte.com/Graphics-Card/GV-N3070AORUS-M-8GD" TargetMode="External"/><Relationship Id="rId3598" Type="http://schemas.openxmlformats.org/officeDocument/2006/relationships/hyperlink" Target="https://www.gigabyte.com/Graphics-Card/GV-N407TGAMING-OC-12GD" TargetMode="External"/><Relationship Id="rId2258" Type="http://schemas.openxmlformats.org/officeDocument/2006/relationships/hyperlink" Target="https://www.galax.com/en/" TargetMode="External"/><Relationship Id="rId2259" Type="http://schemas.openxmlformats.org/officeDocument/2006/relationships/hyperlink" Target="https://www.galax.com/en/graphics-card/30-series/geforce-rtx-3070-exg-w-lhr.html" TargetMode="External"/><Relationship Id="rId3589" Type="http://schemas.openxmlformats.org/officeDocument/2006/relationships/hyperlink" Target="https://www.gigabyte.com/Graphics-Card/GV-N407TWF3-12GD" TargetMode="External"/><Relationship Id="rId338" Type="http://schemas.openxmlformats.org/officeDocument/2006/relationships/hyperlink" Target="https://www.powercolor.com/product?id=1606105457" TargetMode="External"/><Relationship Id="rId337" Type="http://schemas.openxmlformats.org/officeDocument/2006/relationships/hyperlink" Target="https://www.powercolor.com/product?id=1606210302" TargetMode="External"/><Relationship Id="rId336" Type="http://schemas.openxmlformats.org/officeDocument/2006/relationships/hyperlink" Target="https://www.powercolor.com/product?id=1606116634" TargetMode="External"/><Relationship Id="rId335" Type="http://schemas.openxmlformats.org/officeDocument/2006/relationships/hyperlink" Target="https://www.powercolor.com/product?id=1604398054" TargetMode="External"/><Relationship Id="rId3580" Type="http://schemas.openxmlformats.org/officeDocument/2006/relationships/hyperlink" Target="https://www.galax.com/en/graphics-card/40-series/4070ti-series/geforce-rtx-4070ti-sg-w.html" TargetMode="External"/><Relationship Id="rId339" Type="http://schemas.openxmlformats.org/officeDocument/2006/relationships/hyperlink" Target="https://www.powercolor.com/product?id=1612424845" TargetMode="External"/><Relationship Id="rId330" Type="http://schemas.openxmlformats.org/officeDocument/2006/relationships/hyperlink" Target="https://www.gigabyte.com/Graphics-Card/GV-R68XTAORUS-M-16GD" TargetMode="External"/><Relationship Id="rId2250" Type="http://schemas.openxmlformats.org/officeDocument/2006/relationships/hyperlink" Target="https://www.galax.com/en/" TargetMode="External"/><Relationship Id="rId3582" Type="http://schemas.openxmlformats.org/officeDocument/2006/relationships/hyperlink" Target="https://www.galax.com/en/graphics-card/40-series/4070ti-series/geforce-rtx-4070ti-exg.html" TargetMode="External"/><Relationship Id="rId2251" Type="http://schemas.openxmlformats.org/officeDocument/2006/relationships/hyperlink" Target="https://www.galax.com/en/graphics-card/30-series/geforce-rtx-3070-exg-b.html" TargetMode="External"/><Relationship Id="rId3581" Type="http://schemas.openxmlformats.org/officeDocument/2006/relationships/hyperlink" Target="https://www.galax.com/en/" TargetMode="External"/><Relationship Id="rId2252" Type="http://schemas.openxmlformats.org/officeDocument/2006/relationships/hyperlink" Target="https://www.galax.com/en/" TargetMode="External"/><Relationship Id="rId3584" Type="http://schemas.openxmlformats.org/officeDocument/2006/relationships/hyperlink" Target="https://www.galax.com/en/graphics-card/40-series/4070ti-series/geforce-rtx-4070ti-exg-bp.html" TargetMode="External"/><Relationship Id="rId2253" Type="http://schemas.openxmlformats.org/officeDocument/2006/relationships/hyperlink" Target="https://www.galax.com/en/graphics-card/30-series/geforce-rtx-3070-exg-b-lhr.html" TargetMode="External"/><Relationship Id="rId3583" Type="http://schemas.openxmlformats.org/officeDocument/2006/relationships/hyperlink" Target="https://www.galax.com/en/" TargetMode="External"/><Relationship Id="rId334" Type="http://schemas.openxmlformats.org/officeDocument/2006/relationships/hyperlink" Target="https://www.msi.com/Graphics-Card/Radeon-RX-6800-XT-GAMING-X-TRIO-16G" TargetMode="External"/><Relationship Id="rId2254" Type="http://schemas.openxmlformats.org/officeDocument/2006/relationships/hyperlink" Target="https://www.galax.com/en/" TargetMode="External"/><Relationship Id="rId3586" Type="http://schemas.openxmlformats.org/officeDocument/2006/relationships/hyperlink" Target="https://www.galax.com/en/graphics-card/40-series/4070ti-series/geforce-rtx-4070ti-exg-p.html" TargetMode="External"/><Relationship Id="rId333" Type="http://schemas.openxmlformats.org/officeDocument/2006/relationships/hyperlink" Target="https://www.msi.com/Graphics-Card/Radeon-RX-6800-XT-GAMING-TRIO-16G" TargetMode="External"/><Relationship Id="rId2255" Type="http://schemas.openxmlformats.org/officeDocument/2006/relationships/hyperlink" Target="https://www.galax.com/en/graphics-card/30-series/geforce-rtx-3070-exg-p.html" TargetMode="External"/><Relationship Id="rId3585" Type="http://schemas.openxmlformats.org/officeDocument/2006/relationships/hyperlink" Target="https://www.galax.com/en/" TargetMode="External"/><Relationship Id="rId332" Type="http://schemas.openxmlformats.org/officeDocument/2006/relationships/hyperlink" Target="https://www.msi.com/Graphics-Card/Radeon-RX-6800-XT-16G" TargetMode="External"/><Relationship Id="rId2256" Type="http://schemas.openxmlformats.org/officeDocument/2006/relationships/hyperlink" Target="https://www.galax.com/en/" TargetMode="External"/><Relationship Id="rId3588" Type="http://schemas.openxmlformats.org/officeDocument/2006/relationships/hyperlink" Target="https://www.galax.com/en/graphics-card/40-series/4070ti-series/geforce-rtx-4070ti-exg-w.html" TargetMode="External"/><Relationship Id="rId331" Type="http://schemas.openxmlformats.org/officeDocument/2006/relationships/hyperlink" Target="https://www.gigabyte.com/Graphics-Card/GV-R68XTAORUS-M-16GC" TargetMode="External"/><Relationship Id="rId2257" Type="http://schemas.openxmlformats.org/officeDocument/2006/relationships/hyperlink" Target="https://www.galax.com/en/graphics-card/30-series/geforce-rtx-3070-exg-w.html" TargetMode="External"/><Relationship Id="rId3587" Type="http://schemas.openxmlformats.org/officeDocument/2006/relationships/hyperlink" Target="https://www.galax.com/en/" TargetMode="External"/><Relationship Id="rId370" Type="http://schemas.openxmlformats.org/officeDocument/2006/relationships/hyperlink" Target="https://www.msi.com/Graphics-Card/Radeon-RX-6900-XT-GAMING-Z-TRIO-16G" TargetMode="External"/><Relationship Id="rId369" Type="http://schemas.openxmlformats.org/officeDocument/2006/relationships/hyperlink" Target="https://www.msi.com/Graphics-Card/Radeon-RX-6900-XT-GAMING-X-TRIO-16G" TargetMode="External"/><Relationship Id="rId368" Type="http://schemas.openxmlformats.org/officeDocument/2006/relationships/hyperlink" Target="https://www.msi.com/Graphics-Card/Radeon-RX-6900-XT-GAMING-TRIO-PLUS-16G" TargetMode="External"/><Relationship Id="rId2280" Type="http://schemas.openxmlformats.org/officeDocument/2006/relationships/hyperlink" Target="https://www.leadtek.com/eng/" TargetMode="External"/><Relationship Id="rId2281" Type="http://schemas.openxmlformats.org/officeDocument/2006/relationships/hyperlink" Target="https://www.leadtek.com/eng/products/graphics_cards(1)/WinFast_RTX_3070_HURRICANE(30898)/detail" TargetMode="External"/><Relationship Id="rId2282" Type="http://schemas.openxmlformats.org/officeDocument/2006/relationships/hyperlink" Target="https://www.manli.com/en/product-detail-Manli_GeForce_RTX_3070_(M2479+N617-00)-239.html" TargetMode="External"/><Relationship Id="rId363" Type="http://schemas.openxmlformats.org/officeDocument/2006/relationships/hyperlink" Target="https://www.gigabyte.com/Graphics-Card/GV-R69XTAORUS-M-16GD-rev-10" TargetMode="External"/><Relationship Id="rId2283" Type="http://schemas.openxmlformats.org/officeDocument/2006/relationships/hyperlink" Target="https://www.manli.com/en/product-detail-Manli_GeForce_RTX%E2%84%A2_3070_LHR_(M2479+N617-00)-289.html" TargetMode="External"/><Relationship Id="rId362" Type="http://schemas.openxmlformats.org/officeDocument/2006/relationships/hyperlink" Target="https://www.gigabyte.com/Graphics-Card/GV-R69XTGAMING-OC-16GD" TargetMode="External"/><Relationship Id="rId2284" Type="http://schemas.openxmlformats.org/officeDocument/2006/relationships/hyperlink" Target="https://www.manli.com/en/product-detail-Manli_GeForce_RTX_3070_Gallardo_(M2479+N617-00)-245.html" TargetMode="External"/><Relationship Id="rId361" Type="http://schemas.openxmlformats.org/officeDocument/2006/relationships/hyperlink" Target="https://www.gigabyte.com/Graphics-Card/GV-R69XT-16GC-B" TargetMode="External"/><Relationship Id="rId2285" Type="http://schemas.openxmlformats.org/officeDocument/2006/relationships/hyperlink" Target="https://www.manli.com/en/product-detail-Manli_GeForce_RTX%E2%84%A2_3070_Gallardo_LHR_(M2502+N617-00)-288.html" TargetMode="External"/><Relationship Id="rId360" Type="http://schemas.openxmlformats.org/officeDocument/2006/relationships/hyperlink" Target="http://www.dataland.com.cn/prod_view.aspx?nid=3&amp;typeid=141&amp;id=944" TargetMode="External"/><Relationship Id="rId2286" Type="http://schemas.openxmlformats.org/officeDocument/2006/relationships/hyperlink" Target="http://www.maxsun.com.cn/" TargetMode="External"/><Relationship Id="rId367" Type="http://schemas.openxmlformats.org/officeDocument/2006/relationships/hyperlink" Target="https://www.msi.com/Graphics-Card/Radeon-RX-6900-XT-GAMING-TRIO-16G" TargetMode="External"/><Relationship Id="rId2287" Type="http://schemas.openxmlformats.org/officeDocument/2006/relationships/hyperlink" Target="http://www.maxsun.com.cn/2021/0105/5560.html" TargetMode="External"/><Relationship Id="rId366" Type="http://schemas.openxmlformats.org/officeDocument/2006/relationships/hyperlink" Target="https://www.msi.com/Graphics-Card/Radeon-RX-6900-XT-16G" TargetMode="External"/><Relationship Id="rId2288" Type="http://schemas.openxmlformats.org/officeDocument/2006/relationships/hyperlink" Target="http://www.maxsun.com.cn/" TargetMode="External"/><Relationship Id="rId365" Type="http://schemas.openxmlformats.org/officeDocument/2006/relationships/hyperlink" Target="https://www.gigabyte.com/Graphics-Card/GV-R69XTAORUSX-WB-16GD" TargetMode="External"/><Relationship Id="rId2289" Type="http://schemas.openxmlformats.org/officeDocument/2006/relationships/hyperlink" Target="http://www.maxsun.com.cn/" TargetMode="External"/><Relationship Id="rId364" Type="http://schemas.openxmlformats.org/officeDocument/2006/relationships/hyperlink" Target="https://www.gigabyte.com/Graphics-Card/GV-R69XTAORUS-M-16GD-rev-20" TargetMode="External"/><Relationship Id="rId95" Type="http://schemas.openxmlformats.org/officeDocument/2006/relationships/hyperlink" Target="http://www.yeston.net/product/details/268/298" TargetMode="External"/><Relationship Id="rId94" Type="http://schemas.openxmlformats.org/officeDocument/2006/relationships/hyperlink" Target="http://www.yeston.net/" TargetMode="External"/><Relationship Id="rId97" Type="http://schemas.openxmlformats.org/officeDocument/2006/relationships/hyperlink" Target="https://www.asrock.com/Graphics-Card/AMD/Radeon%20RX%205700%20XT%20Phantom%20Gaming%20D%208G%20OC/" TargetMode="External"/><Relationship Id="rId96" Type="http://schemas.openxmlformats.org/officeDocument/2006/relationships/hyperlink" Target="https://www.asrock.com/Graphics-Card/AMD/Radeon%20RX%205700%20XT%20Challenger%20Pro%208G%20OC/" TargetMode="External"/><Relationship Id="rId99" Type="http://schemas.openxmlformats.org/officeDocument/2006/relationships/hyperlink" Target="https://www.asus.com/motherboards-components/graphics-cards/all-series/RX5700XT-8G" TargetMode="External"/><Relationship Id="rId98" Type="http://schemas.openxmlformats.org/officeDocument/2006/relationships/hyperlink" Target="https://www.asrock.com/Graphics-Card/AMD/Radeon%20RX%205700%20XT%20Taichi%20X%208G%20OC+/" TargetMode="External"/><Relationship Id="rId91" Type="http://schemas.openxmlformats.org/officeDocument/2006/relationships/hyperlink" Target="https://www.xfxforce.com/gpus/xfx-amd-radeon-tm-rx-5700-td-8gb-gddr6" TargetMode="External"/><Relationship Id="rId90" Type="http://schemas.openxmlformats.org/officeDocument/2006/relationships/hyperlink" Target="https://www.xfxforce.com/gpus/radeon-tm-rx-5700-dd-ultra-8gb-gddr6" TargetMode="External"/><Relationship Id="rId93" Type="http://schemas.openxmlformats.org/officeDocument/2006/relationships/hyperlink" Target="http://www.yeston.net/product/details/268/278" TargetMode="External"/><Relationship Id="rId92" Type="http://schemas.openxmlformats.org/officeDocument/2006/relationships/hyperlink" Target="http://www.yeston.net/" TargetMode="External"/><Relationship Id="rId359" Type="http://schemas.openxmlformats.org/officeDocument/2006/relationships/hyperlink" Target="http://www.dataland.com.cn/" TargetMode="External"/><Relationship Id="rId358" Type="http://schemas.openxmlformats.org/officeDocument/2006/relationships/hyperlink" Target="https://rog.asus.com/graphics-cards/graphics-cards/rog-strix/rog-strix-lc-rx6900xt-t16g-gaming-model/" TargetMode="External"/><Relationship Id="rId357" Type="http://schemas.openxmlformats.org/officeDocument/2006/relationships/hyperlink" Target="https://rog.asus.com/Graphics-Cards/Graphics-Cards/ROG-Strix/ROG-STRIX-LC-RX6900XT-O16G-GAMING-Model/" TargetMode="External"/><Relationship Id="rId2270" Type="http://schemas.openxmlformats.org/officeDocument/2006/relationships/hyperlink" Target="https://www.inno3d.com/en/product_detail/page/94d3bb366ea26d924c8a867fd31c95dcc8dd0566d7e62a74e3005e45f7a89a35" TargetMode="External"/><Relationship Id="rId2271" Type="http://schemas.openxmlformats.org/officeDocument/2006/relationships/hyperlink" Target="https://www.inno3d.com/en/product_detail/page/92cc640d0ef72f58aa259ab0ae9e0ff45b305b7bcb638afa5904433362b21084" TargetMode="External"/><Relationship Id="rId352" Type="http://schemas.openxmlformats.org/officeDocument/2006/relationships/hyperlink" Target="https://www.asrock.com/Graphics-Card/AMD/Radeon%20RX%206900%20XT%20Phantom%20Gaming%20D%2016G%20OC/" TargetMode="External"/><Relationship Id="rId2272" Type="http://schemas.openxmlformats.org/officeDocument/2006/relationships/hyperlink" Target="https://www.inno3d.com/en/product_detail/page/aeaadae5de27b2eb535c0875488aa412dc0c40766f7ff52c04e034cbf93c5fb6" TargetMode="External"/><Relationship Id="rId351" Type="http://schemas.openxmlformats.org/officeDocument/2006/relationships/hyperlink" Target="https://www.asrock.com/Graphics-Card/AMD/Radeon%20RX%206900%20XT%2016G/" TargetMode="External"/><Relationship Id="rId2273" Type="http://schemas.openxmlformats.org/officeDocument/2006/relationships/hyperlink" Target="https://www.inno3d.com/en/product_detail/page/e2de490d8a1fbe29956f1fba0f6bf0b6446c847e56d7f6807191b6d4768fa7c9" TargetMode="External"/><Relationship Id="rId350" Type="http://schemas.openxmlformats.org/officeDocument/2006/relationships/hyperlink" Target="https://www.amd.com/en/products/graphics/amd-radeon-rx-6900-xt" TargetMode="External"/><Relationship Id="rId2274" Type="http://schemas.openxmlformats.org/officeDocument/2006/relationships/hyperlink" Target="https://www.inno3d.com/en/product_detail/page/95046d6b2ed6f452768812dd2f9c4c4b640112526f4bc70da10d36a023784241" TargetMode="External"/><Relationship Id="rId2275" Type="http://schemas.openxmlformats.org/officeDocument/2006/relationships/hyperlink" Target="https://www.inno3d.com/en/product_detail/page/c2ec7d4abe3d009166feebe719891539d4148100f403fa414a0c116cf531dd9e" TargetMode="External"/><Relationship Id="rId356" Type="http://schemas.openxmlformats.org/officeDocument/2006/relationships/hyperlink" Target="https://www.asus.com/Motherboards-Components/Graphics-Cards/TUF-Gaming/TUF-RX6900XT-T16G-GAMING/" TargetMode="External"/><Relationship Id="rId2276" Type="http://schemas.openxmlformats.org/officeDocument/2006/relationships/hyperlink" Target="https://www.inno3d.com/en/product_detail/page/248f2245d9d29ec219955a5ac9ee7ad97e4b0083db716de05ec1b5ed9e47392a" TargetMode="External"/><Relationship Id="rId355" Type="http://schemas.openxmlformats.org/officeDocument/2006/relationships/hyperlink" Target="https://www.asus.com/motherboards-components/graphics-cards/tuf-gaming/TUF-RX6900XT-O16G-GAMING" TargetMode="External"/><Relationship Id="rId2277" Type="http://schemas.openxmlformats.org/officeDocument/2006/relationships/hyperlink" Target="https://www.inno3d.com/en/product_detail/page/34fd40fd57bcf6d5dc69747399f103ff12412edd4381d3e9412db7d17a23c375" TargetMode="External"/><Relationship Id="rId354" Type="http://schemas.openxmlformats.org/officeDocument/2006/relationships/hyperlink" Target="https://www.asus.com/motherboards-components/graphics-cards/asus/RX6900XT-16G" TargetMode="External"/><Relationship Id="rId2278" Type="http://schemas.openxmlformats.org/officeDocument/2006/relationships/hyperlink" Target="https://www.leadtek.com/eng/" TargetMode="External"/><Relationship Id="rId353" Type="http://schemas.openxmlformats.org/officeDocument/2006/relationships/hyperlink" Target="https://www.asrock.com/Graphics-Card/AMD/Radeon%20RX%206900%20XT%20OC%20Formula%2016GB/" TargetMode="External"/><Relationship Id="rId2279" Type="http://schemas.openxmlformats.org/officeDocument/2006/relationships/hyperlink" Target="https://www.leadtek.com/eng/products/graphics_cards(1)/WinFast_RTX_3070_AI_BLOWER(30908)/detail" TargetMode="External"/><Relationship Id="rId2225" Type="http://schemas.openxmlformats.org/officeDocument/2006/relationships/hyperlink" Target="http://www.szgalaxy.com/__ZH_GB__/Product5/ProductDetail?proID=651" TargetMode="External"/><Relationship Id="rId3557" Type="http://schemas.openxmlformats.org/officeDocument/2006/relationships/hyperlink" Target="http://www.gainward.com/main/vgapro.php?id=1171&amp;lang=en" TargetMode="External"/><Relationship Id="rId2226" Type="http://schemas.openxmlformats.org/officeDocument/2006/relationships/hyperlink" Target="https://www.galax.com/en/" TargetMode="External"/><Relationship Id="rId3556" Type="http://schemas.openxmlformats.org/officeDocument/2006/relationships/hyperlink" Target="http://www.gainward.com/main/vgapro.php?id=1174&amp;lang=en" TargetMode="External"/><Relationship Id="rId2227" Type="http://schemas.openxmlformats.org/officeDocument/2006/relationships/hyperlink" Target="http://www.szgalaxy.com/__ZH_GB__/Product5/ProductDetail?proID=735" TargetMode="External"/><Relationship Id="rId3559" Type="http://schemas.openxmlformats.org/officeDocument/2006/relationships/hyperlink" Target="https://www.galax.com/en/" TargetMode="External"/><Relationship Id="rId2228" Type="http://schemas.openxmlformats.org/officeDocument/2006/relationships/hyperlink" Target="https://www.galax.com/en/" TargetMode="External"/><Relationship Id="rId3558" Type="http://schemas.openxmlformats.org/officeDocument/2006/relationships/hyperlink" Target="http://www.gainward.com/main/vgapro.php?id=1172&amp;lang=en" TargetMode="External"/><Relationship Id="rId2229" Type="http://schemas.openxmlformats.org/officeDocument/2006/relationships/hyperlink" Target="http://www.szgalaxy.com/__ZH_GB__/Product5/ProductDetail?proID=650" TargetMode="External"/><Relationship Id="rId305" Type="http://schemas.openxmlformats.org/officeDocument/2006/relationships/hyperlink" Target="https://www.sapphiretech.com/en/consumer/pulse-radeon-rx-6800-16g-gddr6" TargetMode="External"/><Relationship Id="rId304" Type="http://schemas.openxmlformats.org/officeDocument/2006/relationships/hyperlink" Target="https://www.sapphiretech.com/en/consumer/21305-01-20g-radeon-rx-6800-16g-gddr6" TargetMode="External"/><Relationship Id="rId303" Type="http://schemas.openxmlformats.org/officeDocument/2006/relationships/hyperlink" Target="https://www.powercolor.com/product?id=1606210008" TargetMode="External"/><Relationship Id="rId302" Type="http://schemas.openxmlformats.org/officeDocument/2006/relationships/hyperlink" Target="https://www.powercolor.com/product?id=1606210567" TargetMode="External"/><Relationship Id="rId309" Type="http://schemas.openxmlformats.org/officeDocument/2006/relationships/hyperlink" Target="https://xfxforce.com/shop/xfx-speedster-merc319-amd-radeon-tm-rx-6800-black" TargetMode="External"/><Relationship Id="rId308" Type="http://schemas.openxmlformats.org/officeDocument/2006/relationships/hyperlink" Target="https://www.xfxforce.com/shop/xfx-speedster-swft-319-amd-radeon-tm-rx-6800-core" TargetMode="External"/><Relationship Id="rId307" Type="http://schemas.openxmlformats.org/officeDocument/2006/relationships/hyperlink" Target="https://www.xfxforce.com/shop/xfx-amd-radeon-tm-rx-6800-16gb-gddr6" TargetMode="External"/><Relationship Id="rId306" Type="http://schemas.openxmlformats.org/officeDocument/2006/relationships/hyperlink" Target="https://www.sapphiretech.com/en/consumer/nitro-radeon-rx-6800-16g-gddr6" TargetMode="External"/><Relationship Id="rId3551" Type="http://schemas.openxmlformats.org/officeDocument/2006/relationships/hyperlink" Target="http://www.szgainward.cn/Home/ProductDetail?id=329&amp;isStop=0" TargetMode="External"/><Relationship Id="rId2220" Type="http://schemas.openxmlformats.org/officeDocument/2006/relationships/hyperlink" Target="https://www.galax.com/en/" TargetMode="External"/><Relationship Id="rId3550" Type="http://schemas.openxmlformats.org/officeDocument/2006/relationships/hyperlink" Target="http://www.szgainward.cn/Home/ProductDetail?id=330&amp;isStop=0" TargetMode="External"/><Relationship Id="rId301" Type="http://schemas.openxmlformats.org/officeDocument/2006/relationships/hyperlink" Target="https://www.powercolor.com/product?id=1606212345" TargetMode="External"/><Relationship Id="rId2221" Type="http://schemas.openxmlformats.org/officeDocument/2006/relationships/hyperlink" Target="http://www.szgalaxy.com/__ZH_GB__/Product5/ProductDetail?proID=732" TargetMode="External"/><Relationship Id="rId3553" Type="http://schemas.openxmlformats.org/officeDocument/2006/relationships/hyperlink" Target="http://www.gainward.com/main/vgapro.php?id=1169&amp;lang=en" TargetMode="External"/><Relationship Id="rId300" Type="http://schemas.openxmlformats.org/officeDocument/2006/relationships/hyperlink" Target="https://www.powercolor.com/product?id=1606212415" TargetMode="External"/><Relationship Id="rId2222" Type="http://schemas.openxmlformats.org/officeDocument/2006/relationships/hyperlink" Target="https://www.galax.com/en/" TargetMode="External"/><Relationship Id="rId3552" Type="http://schemas.openxmlformats.org/officeDocument/2006/relationships/hyperlink" Target="http://www.gainward.com/main/vgapro.php?id=1184&amp;lang=en" TargetMode="External"/><Relationship Id="rId2223" Type="http://schemas.openxmlformats.org/officeDocument/2006/relationships/hyperlink" Target="http://www.szgalaxy.com/__ZH_GB__/Product5/ProductDetail?proID=786" TargetMode="External"/><Relationship Id="rId3555" Type="http://schemas.openxmlformats.org/officeDocument/2006/relationships/hyperlink" Target="http://www.gainward.com/main/vgapro.php?id=1173&amp;lang=en" TargetMode="External"/><Relationship Id="rId2224" Type="http://schemas.openxmlformats.org/officeDocument/2006/relationships/hyperlink" Target="https://www.galax.com/en/" TargetMode="External"/><Relationship Id="rId3554" Type="http://schemas.openxmlformats.org/officeDocument/2006/relationships/hyperlink" Target="http://www.gainward.com/main/vgapro.php?id=1170&amp;lang=en" TargetMode="External"/><Relationship Id="rId2214" Type="http://schemas.openxmlformats.org/officeDocument/2006/relationships/hyperlink" Target="https://www.galax.com/en/" TargetMode="External"/><Relationship Id="rId3546" Type="http://schemas.openxmlformats.org/officeDocument/2006/relationships/hyperlink" Target="http://www.szgainward.cn/Home/ProductDetail?id=334&amp;isStop=0" TargetMode="External"/><Relationship Id="rId2215" Type="http://schemas.openxmlformats.org/officeDocument/2006/relationships/hyperlink" Target="http://www.szgalaxy.com/__ZH_GB__/Product5/ProductDetail?proID=733" TargetMode="External"/><Relationship Id="rId3545" Type="http://schemas.openxmlformats.org/officeDocument/2006/relationships/hyperlink" Target="https://en.colorful.cn/en/home/product?mid=102&amp;id=c0decc43-9453-4ee2-8576-443e2e826273" TargetMode="External"/><Relationship Id="rId2216" Type="http://schemas.openxmlformats.org/officeDocument/2006/relationships/hyperlink" Target="https://www.galax.com/en/" TargetMode="External"/><Relationship Id="rId3548" Type="http://schemas.openxmlformats.org/officeDocument/2006/relationships/hyperlink" Target="http://www.szgainward.cn/Home/ProductDetail?id=332&amp;isStop=0" TargetMode="External"/><Relationship Id="rId2217" Type="http://schemas.openxmlformats.org/officeDocument/2006/relationships/hyperlink" Target="http://www.szgalaxy.com/__ZH_GB__/Product5/ProductDetail?proID=787" TargetMode="External"/><Relationship Id="rId3547" Type="http://schemas.openxmlformats.org/officeDocument/2006/relationships/hyperlink" Target="http://www.szgainward.cn/Home/ProductDetail?id=333&amp;isStop=0" TargetMode="External"/><Relationship Id="rId2218" Type="http://schemas.openxmlformats.org/officeDocument/2006/relationships/hyperlink" Target="https://www.galax.com/en/" TargetMode="External"/><Relationship Id="rId2219" Type="http://schemas.openxmlformats.org/officeDocument/2006/relationships/hyperlink" Target="http://www.szgalaxy.com/__ZH_GB__/Product5/ProductDetail?proID=646" TargetMode="External"/><Relationship Id="rId3549" Type="http://schemas.openxmlformats.org/officeDocument/2006/relationships/hyperlink" Target="http://www.szgainward.cn/Home/ProductDetail?id=331&amp;isStop=0" TargetMode="External"/><Relationship Id="rId3540" Type="http://schemas.openxmlformats.org/officeDocument/2006/relationships/hyperlink" Target="https://en.colorful.cn/en/" TargetMode="External"/><Relationship Id="rId2210" Type="http://schemas.openxmlformats.org/officeDocument/2006/relationships/hyperlink" Target="https://www.galax.com/en/" TargetMode="External"/><Relationship Id="rId3542" Type="http://schemas.openxmlformats.org/officeDocument/2006/relationships/hyperlink" Target="https://en.colorful.cn/en/" TargetMode="External"/><Relationship Id="rId2211" Type="http://schemas.openxmlformats.org/officeDocument/2006/relationships/hyperlink" Target="http://www.szgalaxy.com/__ZH_GB__/Product5/ProductDetail?proID=730" TargetMode="External"/><Relationship Id="rId3541" Type="http://schemas.openxmlformats.org/officeDocument/2006/relationships/hyperlink" Target="https://en.colorful.cn/en/home/product?mid=102&amp;id=455a7ef6-46de-4fb5-9400-c11884c02991" TargetMode="External"/><Relationship Id="rId2212" Type="http://schemas.openxmlformats.org/officeDocument/2006/relationships/hyperlink" Target="https://www.galax.com/en/" TargetMode="External"/><Relationship Id="rId3544" Type="http://schemas.openxmlformats.org/officeDocument/2006/relationships/hyperlink" Target="https://en.colorful.cn/en/" TargetMode="External"/><Relationship Id="rId2213" Type="http://schemas.openxmlformats.org/officeDocument/2006/relationships/hyperlink" Target="http://www.szgalaxy.com/__ZH_GB__/Product5/ProductDetail?proID=647" TargetMode="External"/><Relationship Id="rId3543" Type="http://schemas.openxmlformats.org/officeDocument/2006/relationships/hyperlink" Target="https://en.colorful.cn/en/home/product?mid=102&amp;id=89dc18fc-c42b-4bea-8e6b-11ad5e8400bc" TargetMode="External"/><Relationship Id="rId2247" Type="http://schemas.openxmlformats.org/officeDocument/2006/relationships/hyperlink" Target="https://www.galax.com/en/graphics-card/30-series/geforce-rtx-3070-ex-w.html" TargetMode="External"/><Relationship Id="rId3579" Type="http://schemas.openxmlformats.org/officeDocument/2006/relationships/hyperlink" Target="https://www.galax.com/en/" TargetMode="External"/><Relationship Id="rId2248" Type="http://schemas.openxmlformats.org/officeDocument/2006/relationships/hyperlink" Target="https://www.galax.com/en/" TargetMode="External"/><Relationship Id="rId3578" Type="http://schemas.openxmlformats.org/officeDocument/2006/relationships/hyperlink" Target="https://www.galax.com/en/graphics-card/40-series/4070ti-series/geforce-rtx-4070ti-sg.html" TargetMode="External"/><Relationship Id="rId2249" Type="http://schemas.openxmlformats.org/officeDocument/2006/relationships/hyperlink" Target="https://www.galax.com/en/graphics-card/30-series/geforce-rtx-3070-ex-w-lhr.html" TargetMode="External"/><Relationship Id="rId327" Type="http://schemas.openxmlformats.org/officeDocument/2006/relationships/hyperlink" Target="https://www.gigabyte.com/Graphics-Card/GV-R68XT-16GC-B" TargetMode="External"/><Relationship Id="rId326" Type="http://schemas.openxmlformats.org/officeDocument/2006/relationships/hyperlink" Target="http://www.dataland.com.cn/prod_view.aspx?nid=3&amp;typeid=140&amp;id=943" TargetMode="External"/><Relationship Id="rId325" Type="http://schemas.openxmlformats.org/officeDocument/2006/relationships/hyperlink" Target="http://www.dataland.com.cn/" TargetMode="External"/><Relationship Id="rId324" Type="http://schemas.openxmlformats.org/officeDocument/2006/relationships/hyperlink" Target="http://www.dataland.com.cn/prod_view.aspx?nid=3&amp;typeid=140&amp;id=938" TargetMode="External"/><Relationship Id="rId329" Type="http://schemas.openxmlformats.org/officeDocument/2006/relationships/hyperlink" Target="https://www.gigabyte.com/Graphics-Card/GV-R68XTGAMING-OC-16GD" TargetMode="External"/><Relationship Id="rId328" Type="http://schemas.openxmlformats.org/officeDocument/2006/relationships/hyperlink" Target="https://www.gigabyte.com/Graphics-Card/GV-R68XTGAMING-16GD" TargetMode="External"/><Relationship Id="rId3571" Type="http://schemas.openxmlformats.org/officeDocument/2006/relationships/hyperlink" Target="https://www.galax.com/en/" TargetMode="External"/><Relationship Id="rId2240" Type="http://schemas.openxmlformats.org/officeDocument/2006/relationships/hyperlink" Target="https://www.galax.com/en/" TargetMode="External"/><Relationship Id="rId3570" Type="http://schemas.openxmlformats.org/officeDocument/2006/relationships/hyperlink" Target="http://www.szgalaxy.com/__ZH_GB__/Product5/ProductDetail?proID=945" TargetMode="External"/><Relationship Id="rId2241" Type="http://schemas.openxmlformats.org/officeDocument/2006/relationships/hyperlink" Target="https://www.galax.com/en/graphics-card/30-series/geforce-rtx-3070-ex-b.html" TargetMode="External"/><Relationship Id="rId3573" Type="http://schemas.openxmlformats.org/officeDocument/2006/relationships/hyperlink" Target="https://www.galax.com/en/" TargetMode="External"/><Relationship Id="rId2242" Type="http://schemas.openxmlformats.org/officeDocument/2006/relationships/hyperlink" Target="https://www.galax.com/en/" TargetMode="External"/><Relationship Id="rId3572" Type="http://schemas.openxmlformats.org/officeDocument/2006/relationships/hyperlink" Target="http://www.szgalaxy.com/__ZH_GB__/Product5/ProductDetail?proID=955" TargetMode="External"/><Relationship Id="rId323" Type="http://schemas.openxmlformats.org/officeDocument/2006/relationships/hyperlink" Target="http://www.dataland.com.cn/" TargetMode="External"/><Relationship Id="rId2243" Type="http://schemas.openxmlformats.org/officeDocument/2006/relationships/hyperlink" Target="https://www.galax.com/en/graphics-card/30-series/geforce-rtx-3070-ex-b-lhr.html" TargetMode="External"/><Relationship Id="rId3575" Type="http://schemas.openxmlformats.org/officeDocument/2006/relationships/hyperlink" Target="https://www.galax.com/en/" TargetMode="External"/><Relationship Id="rId322" Type="http://schemas.openxmlformats.org/officeDocument/2006/relationships/hyperlink" Target="https://rog.asus.com/graphics-cards/graphics-cards/rog-strix/rog-strix-lc-rx6800xt-o16g-gaming-model/" TargetMode="External"/><Relationship Id="rId2244" Type="http://schemas.openxmlformats.org/officeDocument/2006/relationships/hyperlink" Target="https://www.galax.com/en/" TargetMode="External"/><Relationship Id="rId3574" Type="http://schemas.openxmlformats.org/officeDocument/2006/relationships/hyperlink" Target="http://www.szgalaxy.com/__ZH_GB__/Product5/ProductDetail?proID=954" TargetMode="External"/><Relationship Id="rId321" Type="http://schemas.openxmlformats.org/officeDocument/2006/relationships/hyperlink" Target="https://www.asus.com/motherboards-components/graphics-cards/tuf-gaming/TUF-RX6800XT-O16G-GAMING" TargetMode="External"/><Relationship Id="rId2245" Type="http://schemas.openxmlformats.org/officeDocument/2006/relationships/hyperlink" Target="https://www.galax.com/en/graphics-card/30-series/geforce-rtx-3070-ex-p.html" TargetMode="External"/><Relationship Id="rId3577" Type="http://schemas.openxmlformats.org/officeDocument/2006/relationships/hyperlink" Target="https://www.galax.com/en/" TargetMode="External"/><Relationship Id="rId320" Type="http://schemas.openxmlformats.org/officeDocument/2006/relationships/hyperlink" Target="https://www.asus.com/motherboards-components/graphics-cards/asus/RX6800XT-16G" TargetMode="External"/><Relationship Id="rId2246" Type="http://schemas.openxmlformats.org/officeDocument/2006/relationships/hyperlink" Target="https://www.galax.com/en/" TargetMode="External"/><Relationship Id="rId3576" Type="http://schemas.openxmlformats.org/officeDocument/2006/relationships/hyperlink" Target="https://www.galax.com/en/graphics-card/40-series/4070ti-series/geforce-rtx-4070ti-st.html" TargetMode="External"/><Relationship Id="rId2236" Type="http://schemas.openxmlformats.org/officeDocument/2006/relationships/hyperlink" Target="https://www.galax.com/en/" TargetMode="External"/><Relationship Id="rId3568" Type="http://schemas.openxmlformats.org/officeDocument/2006/relationships/hyperlink" Target="http://www.szgalaxy.com/__ZH_GB__/Product5/ProductDetail?proID=946" TargetMode="External"/><Relationship Id="rId2237" Type="http://schemas.openxmlformats.org/officeDocument/2006/relationships/hyperlink" Target="https://www.galax.com/en/graphics-card/30-series/geforce-rtx-3070-sg.html" TargetMode="External"/><Relationship Id="rId3567" Type="http://schemas.openxmlformats.org/officeDocument/2006/relationships/hyperlink" Target="https://www.galax.com/en/" TargetMode="External"/><Relationship Id="rId2238" Type="http://schemas.openxmlformats.org/officeDocument/2006/relationships/hyperlink" Target="https://www.galax.com/en/" TargetMode="External"/><Relationship Id="rId2239" Type="http://schemas.openxmlformats.org/officeDocument/2006/relationships/hyperlink" Target="https://www.galax.com/en/graphics-card/30-series/geforce-rtx-3070-sg-lhr.html" TargetMode="External"/><Relationship Id="rId3569" Type="http://schemas.openxmlformats.org/officeDocument/2006/relationships/hyperlink" Target="https://www.galax.com/en/" TargetMode="External"/><Relationship Id="rId316" Type="http://schemas.openxmlformats.org/officeDocument/2006/relationships/hyperlink" Target="https://www.amd.com/en/products/graphics/amd-radeon-rx-6800-xt" TargetMode="External"/><Relationship Id="rId315" Type="http://schemas.openxmlformats.org/officeDocument/2006/relationships/hyperlink" Target="https://www.amd.com/en/products/graphics/amd-radeon-rx-6800-xt" TargetMode="External"/><Relationship Id="rId314" Type="http://schemas.openxmlformats.org/officeDocument/2006/relationships/hyperlink" Target="http://www.yeston.net/products-detail/id-60.html" TargetMode="External"/><Relationship Id="rId313" Type="http://schemas.openxmlformats.org/officeDocument/2006/relationships/hyperlink" Target="http://www.yeston.net/" TargetMode="External"/><Relationship Id="rId319" Type="http://schemas.openxmlformats.org/officeDocument/2006/relationships/hyperlink" Target="https://www.asrock.com/Graphics-Card/AMD/Radeon%20RX%206800%20XT%20Taichi%20X%2016G%20OC/index.asp" TargetMode="External"/><Relationship Id="rId318" Type="http://schemas.openxmlformats.org/officeDocument/2006/relationships/hyperlink" Target="https://www.asrock.com/Graphics-Card/AMD/Radeon%20RX%206800%20XT%20Phantom%20Gaming%20D%2016G%20OC/index.asp" TargetMode="External"/><Relationship Id="rId317" Type="http://schemas.openxmlformats.org/officeDocument/2006/relationships/hyperlink" Target="https://www.asrock.com/Graphics-Card/AMD/Radeon%20RX%206800%20XT%2016G/" TargetMode="External"/><Relationship Id="rId3560" Type="http://schemas.openxmlformats.org/officeDocument/2006/relationships/hyperlink" Target="http://www.szgalaxy.com/__ZH_GB__/Product5/ProductDetail?proID=948" TargetMode="External"/><Relationship Id="rId2230" Type="http://schemas.openxmlformats.org/officeDocument/2006/relationships/hyperlink" Target="https://www.galax.com/en/" TargetMode="External"/><Relationship Id="rId3562" Type="http://schemas.openxmlformats.org/officeDocument/2006/relationships/hyperlink" Target="http://www.szgalaxy.com/__ZH_GB__/Product5/ProductDetail?proID=947" TargetMode="External"/><Relationship Id="rId2231" Type="http://schemas.openxmlformats.org/officeDocument/2006/relationships/hyperlink" Target="http://www.szgalaxy.com/__ZH_GB__/Product5/ProductDetail?proID=734" TargetMode="External"/><Relationship Id="rId3561" Type="http://schemas.openxmlformats.org/officeDocument/2006/relationships/hyperlink" Target="https://www.galax.com/en/" TargetMode="External"/><Relationship Id="rId312" Type="http://schemas.openxmlformats.org/officeDocument/2006/relationships/hyperlink" Target="http://www.yeston.net/products-detail/id-58.html" TargetMode="External"/><Relationship Id="rId2232" Type="http://schemas.openxmlformats.org/officeDocument/2006/relationships/hyperlink" Target="https://www.galax.com/en/" TargetMode="External"/><Relationship Id="rId3564" Type="http://schemas.openxmlformats.org/officeDocument/2006/relationships/hyperlink" Target="http://www.szgalaxy.com/__ZH_GB__/Product5/ProductDetail?proID=949" TargetMode="External"/><Relationship Id="rId311" Type="http://schemas.openxmlformats.org/officeDocument/2006/relationships/hyperlink" Target="http://www.yeston.net/" TargetMode="External"/><Relationship Id="rId2233" Type="http://schemas.openxmlformats.org/officeDocument/2006/relationships/hyperlink" Target="https://www.galax.com/en/graphics-card/30-series/geforce-rtx-3070-oc.html" TargetMode="External"/><Relationship Id="rId3563" Type="http://schemas.openxmlformats.org/officeDocument/2006/relationships/hyperlink" Target="https://www.galax.com/en/" TargetMode="External"/><Relationship Id="rId310" Type="http://schemas.openxmlformats.org/officeDocument/2006/relationships/hyperlink" Target="https://www.xfxforce.com/shop/xfx-speedster-qick-319-amd-radeon-tm-rx-6800-black-gaming-graphics-card-with-16gb-gddr6-amd-rdna-tm-2" TargetMode="External"/><Relationship Id="rId2234" Type="http://schemas.openxmlformats.org/officeDocument/2006/relationships/hyperlink" Target="https://www.galax.com/en/" TargetMode="External"/><Relationship Id="rId3566" Type="http://schemas.openxmlformats.org/officeDocument/2006/relationships/hyperlink" Target="http://www.szgalaxy.com/__ZH_GB__/Product5/ProductDetail?proID=944" TargetMode="External"/><Relationship Id="rId2235" Type="http://schemas.openxmlformats.org/officeDocument/2006/relationships/hyperlink" Target="https://www.galax.com/en/graphics-card/30-series/geforce-rtx-3070-oc-lhr.html" TargetMode="External"/><Relationship Id="rId3565" Type="http://schemas.openxmlformats.org/officeDocument/2006/relationships/hyperlink" Target="https://www.galax.com/en/" TargetMode="External"/><Relationship Id="rId4040" Type="http://schemas.openxmlformats.org/officeDocument/2006/relationships/hyperlink" Target="https://www.zotac.com/product/graphics_card/zotac-gaming-geforce-rtx-4090-trinity-oc" TargetMode="External"/><Relationship Id="rId4042" Type="http://schemas.openxmlformats.org/officeDocument/2006/relationships/hyperlink" Target="https://www.zotac.com/product/graphics_card/zotac-gaming-geforce-rtx-4090-trinity-oc-white-edition" TargetMode="External"/><Relationship Id="rId4041" Type="http://schemas.openxmlformats.org/officeDocument/2006/relationships/hyperlink" Target="https://www.zotac.com/" TargetMode="External"/><Relationship Id="rId4044" Type="http://schemas.openxmlformats.org/officeDocument/2006/relationships/hyperlink" Target="https://www.zotac.com/product/graphics_card/zotac-gaming-geforce-rtx-4090-amp-extreme-airo" TargetMode="External"/><Relationship Id="rId4043" Type="http://schemas.openxmlformats.org/officeDocument/2006/relationships/hyperlink" Target="https://www.zotac.com/" TargetMode="External"/><Relationship Id="rId4046" Type="http://schemas.openxmlformats.org/officeDocument/2006/relationships/hyperlink" Target="https://www.zotac.com/product/graphics_card/zotac-gaming-geforce-rtx-4090-amp-extreme-airo-white-edition" TargetMode="External"/><Relationship Id="rId4045" Type="http://schemas.openxmlformats.org/officeDocument/2006/relationships/hyperlink" Target="https://www.zotac.com/" TargetMode="External"/><Relationship Id="rId4048" Type="http://schemas.openxmlformats.org/officeDocument/2006/relationships/vmlDrawing" Target="../drawings/vmlDrawing11.vml"/><Relationship Id="rId4047" Type="http://schemas.openxmlformats.org/officeDocument/2006/relationships/drawing" Target="../drawings/drawing14.xml"/><Relationship Id="rId4031" Type="http://schemas.openxmlformats.org/officeDocument/2006/relationships/hyperlink" Target="http://www.yeston.net/" TargetMode="External"/><Relationship Id="rId4030" Type="http://schemas.openxmlformats.org/officeDocument/2006/relationships/hyperlink" Target="https://www.pny.com/pny-geforce-rtx-4090-24gb-xlr8-rgb-triple-fan-oc" TargetMode="External"/><Relationship Id="rId297" Type="http://schemas.openxmlformats.org/officeDocument/2006/relationships/hyperlink" Target="https://www.msi.com/Graphics-Card/Radeon-RX-6800-GAMING-X-TRIO-16G" TargetMode="External"/><Relationship Id="rId4033" Type="http://schemas.openxmlformats.org/officeDocument/2006/relationships/hyperlink" Target="https://www.zotac.com/" TargetMode="External"/><Relationship Id="rId296" Type="http://schemas.openxmlformats.org/officeDocument/2006/relationships/hyperlink" Target="https://www.msi.com/Graphics-Card/Radeon-RX-6800-GAMING-TRIO-PLUS-16G" TargetMode="External"/><Relationship Id="rId4032" Type="http://schemas.openxmlformats.org/officeDocument/2006/relationships/hyperlink" Target="http://www.yeston.net/products-detail/id-79.html" TargetMode="External"/><Relationship Id="rId295" Type="http://schemas.openxmlformats.org/officeDocument/2006/relationships/hyperlink" Target="https://www.msi.com/Graphics-Card/Radeon-RX-6800-GAMING-TRIO-16G" TargetMode="External"/><Relationship Id="rId4035" Type="http://schemas.openxmlformats.org/officeDocument/2006/relationships/hyperlink" Target="https://www.zotac.com/" TargetMode="External"/><Relationship Id="rId294" Type="http://schemas.openxmlformats.org/officeDocument/2006/relationships/hyperlink" Target="https://www.msi.com/Graphics-Card/Radeon-RX-6800-16G" TargetMode="External"/><Relationship Id="rId4034" Type="http://schemas.openxmlformats.org/officeDocument/2006/relationships/hyperlink" Target="https://www.zotac.com/cn/product/graphics_card/%E7%B4%A2%E6%B3%B0-geforce%C2%AE-rtx-4090-%E5%A4%A9%E5%90%AF-oc" TargetMode="External"/><Relationship Id="rId4037" Type="http://schemas.openxmlformats.org/officeDocument/2006/relationships/hyperlink" Target="https://www.zotac.com/" TargetMode="External"/><Relationship Id="rId4036" Type="http://schemas.openxmlformats.org/officeDocument/2006/relationships/hyperlink" Target="https://www.zotac.com/cn/product/graphics_card/%E7%B4%A2%E6%B3%B0-geforce-rtx-4090-pgf-oc" TargetMode="External"/><Relationship Id="rId299" Type="http://schemas.openxmlformats.org/officeDocument/2006/relationships/hyperlink" Target="https://www.powercolor.com/product?id=1604485847" TargetMode="External"/><Relationship Id="rId4039" Type="http://schemas.openxmlformats.org/officeDocument/2006/relationships/hyperlink" Target="https://www.zotac.com/" TargetMode="External"/><Relationship Id="rId298" Type="http://schemas.openxmlformats.org/officeDocument/2006/relationships/hyperlink" Target="https://www.msi.com/Graphics-Card/Radeon-RX-6800-GAMING-Z-TRIO-16G" TargetMode="External"/><Relationship Id="rId4038" Type="http://schemas.openxmlformats.org/officeDocument/2006/relationships/hyperlink" Target="https://www.zotac.com/product/graphics_card/zotac-gaming-geforce-rtx-4090-trinity" TargetMode="External"/><Relationship Id="rId4008" Type="http://schemas.openxmlformats.org/officeDocument/2006/relationships/hyperlink" Target="https://www.maxsun.com/" TargetMode="External"/><Relationship Id="rId4007" Type="http://schemas.openxmlformats.org/officeDocument/2006/relationships/hyperlink" Target="https://www.maxsun.com/products/rtx4090-turbo-24g?_pos=1&amp;_fid=e10f2c545&amp;_ss=c" TargetMode="External"/><Relationship Id="rId4009" Type="http://schemas.openxmlformats.org/officeDocument/2006/relationships/hyperlink" Target="https://www.maxsun.com/products/geforce-rtx-4090-mgg-oc-24g?_pos=2&amp;_fid=90d339a5f&amp;_ss=c" TargetMode="External"/><Relationship Id="rId271" Type="http://schemas.openxmlformats.org/officeDocument/2006/relationships/hyperlink" Target="https://www.msi.com/Graphics-Card/Radeon-RX-6750-XT-GAMING-X-TRIO-12G" TargetMode="External"/><Relationship Id="rId270" Type="http://schemas.openxmlformats.org/officeDocument/2006/relationships/hyperlink" Target="https://www.msi.com/Graphics-Card/Radeon-RX-6750-XT-GAMING-TRIO-12G" TargetMode="External"/><Relationship Id="rId269" Type="http://schemas.openxmlformats.org/officeDocument/2006/relationships/hyperlink" Target="https://www.msi.com/Graphics-Card/Radeon-RX-6750-XT-MECH-2X-12G-V1" TargetMode="External"/><Relationship Id="rId264" Type="http://schemas.openxmlformats.org/officeDocument/2006/relationships/hyperlink" Target="https://rog.asus.com/graphics-cards/graphics-cards/rog-strix/rog-strix-rx6750xt-o12g-gaming-model/" TargetMode="External"/><Relationship Id="rId4000" Type="http://schemas.openxmlformats.org/officeDocument/2006/relationships/hyperlink" Target="https://www.inno3d.com/en/PRODUCT_INNO3D_GEFORCE_RTX_4090_ICHILL_X3" TargetMode="External"/><Relationship Id="rId263" Type="http://schemas.openxmlformats.org/officeDocument/2006/relationships/hyperlink" Target="https://www.asus.com/Motherboards-Components/Graphics-Cards/Dual/DUAL-RX6750XT-O12G/" TargetMode="External"/><Relationship Id="rId262" Type="http://schemas.openxmlformats.org/officeDocument/2006/relationships/hyperlink" Target="https://www.asrock.com/Graphics-Card/AMD/Radeon%20RX%206750%20XT%20Phantom%20Gaming%20D%2012GB%20OC/" TargetMode="External"/><Relationship Id="rId4002" Type="http://schemas.openxmlformats.org/officeDocument/2006/relationships/hyperlink" Target="https://www.inno3d.com/en/PRODUCT_INNO3D_GEFORCE_RTX_4090_ICHILL_FROSTBITE_ULTRA" TargetMode="External"/><Relationship Id="rId261" Type="http://schemas.openxmlformats.org/officeDocument/2006/relationships/hyperlink" Target="https://www.asrock.com/Graphics-Card/AMD/Radeon%20RX%206750%20XT%20Challenger%20Pro%2012GB%20OC/" TargetMode="External"/><Relationship Id="rId4001" Type="http://schemas.openxmlformats.org/officeDocument/2006/relationships/hyperlink" Target="https://www.inno3d.com/en/PRODUCT_INNO3D_GEFORCE_RTX_4090_ICHILL_BLACK" TargetMode="External"/><Relationship Id="rId268" Type="http://schemas.openxmlformats.org/officeDocument/2006/relationships/hyperlink" Target="https://www.msi.com/Graphics-Card/Radeon-RX-6750-XT-MECH-2X-12G-OC" TargetMode="External"/><Relationship Id="rId4004" Type="http://schemas.openxmlformats.org/officeDocument/2006/relationships/hyperlink" Target="https://www.leadtek.com/eng/products/graphics_cards(1)/WinFast_RTX_4090_HURRICANE_24G(40950)/detail" TargetMode="External"/><Relationship Id="rId267" Type="http://schemas.openxmlformats.org/officeDocument/2006/relationships/hyperlink" Target="https://www.msi.com/Graphics-Card/Radeon-RX-6750-XT-MECH-2X-12G" TargetMode="External"/><Relationship Id="rId4003" Type="http://schemas.openxmlformats.org/officeDocument/2006/relationships/hyperlink" Target="https://www.leadtek.com/eng/" TargetMode="External"/><Relationship Id="rId266" Type="http://schemas.openxmlformats.org/officeDocument/2006/relationships/hyperlink" Target="https://www.gigabyte.com/Graphics-Card/GV-R675XTAORUS-E-12GD" TargetMode="External"/><Relationship Id="rId4006" Type="http://schemas.openxmlformats.org/officeDocument/2006/relationships/hyperlink" Target="https://www.maxsun.com/" TargetMode="External"/><Relationship Id="rId265" Type="http://schemas.openxmlformats.org/officeDocument/2006/relationships/hyperlink" Target="https://www.gigabyte.com/Graphics-Card/GV-R675XTGAMING-OC-12GD" TargetMode="External"/><Relationship Id="rId4005" Type="http://schemas.openxmlformats.org/officeDocument/2006/relationships/hyperlink" Target="https://www.manli.com/en/product-detail-Manli_GeForce_RTX%C2%AE_4090_Gallardo_(M3530+N675)-312.html" TargetMode="External"/><Relationship Id="rId260" Type="http://schemas.openxmlformats.org/officeDocument/2006/relationships/hyperlink" Target="https://www.amd.com/en/products/graphics/amd-radeon-rx-6750-xt" TargetMode="External"/><Relationship Id="rId259" Type="http://schemas.openxmlformats.org/officeDocument/2006/relationships/hyperlink" Target="http://www.yeston.net/" TargetMode="External"/><Relationship Id="rId258" Type="http://schemas.openxmlformats.org/officeDocument/2006/relationships/hyperlink" Target="http://www.yeston.net/products-detail/id-89.html" TargetMode="External"/><Relationship Id="rId2290" Type="http://schemas.openxmlformats.org/officeDocument/2006/relationships/hyperlink" Target="http://www.maxsun.com.cn/2020/1030/5547.html" TargetMode="External"/><Relationship Id="rId2291" Type="http://schemas.openxmlformats.org/officeDocument/2006/relationships/hyperlink" Target="http://www.maxsun.com.cn/" TargetMode="External"/><Relationship Id="rId2292" Type="http://schemas.openxmlformats.org/officeDocument/2006/relationships/hyperlink" Target="http://www.maxsun.com.cn/2020/1222/5559.html" TargetMode="External"/><Relationship Id="rId2293" Type="http://schemas.openxmlformats.org/officeDocument/2006/relationships/hyperlink" Target="https://www.msi.com/Graphics-Card/GeForce-RTX-3070-TWIN-FAN" TargetMode="External"/><Relationship Id="rId253" Type="http://schemas.openxmlformats.org/officeDocument/2006/relationships/hyperlink" Target="https://www.xfxforce.com/shop/xfx-speedster-qick319-amd-radeon-tm-rx-6700xt-core-gaming-graphics-card-with-12gb-gddr6-hdmi-3xdp-amd-rdna-tm-2" TargetMode="External"/><Relationship Id="rId2294" Type="http://schemas.openxmlformats.org/officeDocument/2006/relationships/hyperlink" Target="https://www.msi.com/Graphics-Card/GeForce-RTX-3070-TWIN-FAN-8G-LHR" TargetMode="External"/><Relationship Id="rId252" Type="http://schemas.openxmlformats.org/officeDocument/2006/relationships/hyperlink" Target="https://www.xfxforce.com/shop/xfx-speedster-swft309-amd-radeon-tm-rx-6700xt-core-gaming-graphics-card-with-12gb-gddr6-hdmi-3xdp-amd-rdna-tm-2" TargetMode="External"/><Relationship Id="rId2295" Type="http://schemas.openxmlformats.org/officeDocument/2006/relationships/hyperlink" Target="https://www.msi.com/Graphics-Card/GeForce-RTX-3070-TWIN-FAN-OC" TargetMode="External"/><Relationship Id="rId251" Type="http://schemas.openxmlformats.org/officeDocument/2006/relationships/hyperlink" Target="https://www.xfxforce.com/shop/amd-radeon-tm-rx-6700-xt-gaming-graphics-card-with-12gb-gddr6-memory-powered-by-amd-rdna-tm-2-hdmi-2-1" TargetMode="External"/><Relationship Id="rId2296" Type="http://schemas.openxmlformats.org/officeDocument/2006/relationships/hyperlink" Target="https://www.msi.com/Graphics-Card/GeForce-RTX-3070-TWIN-FAN-8G-OC-LHR" TargetMode="External"/><Relationship Id="rId250" Type="http://schemas.openxmlformats.org/officeDocument/2006/relationships/hyperlink" Target="https://www.sapphiretech.com/en/consumer/nitro-radeon-rx-6700-xt-12g-gddr6" TargetMode="External"/><Relationship Id="rId2297" Type="http://schemas.openxmlformats.org/officeDocument/2006/relationships/hyperlink" Target="https://www.msi.com/Graphics-Card/GeForce-RTX-3070-VENTUS-2X" TargetMode="External"/><Relationship Id="rId257" Type="http://schemas.openxmlformats.org/officeDocument/2006/relationships/hyperlink" Target="http://www.yeston.net/" TargetMode="External"/><Relationship Id="rId2298" Type="http://schemas.openxmlformats.org/officeDocument/2006/relationships/hyperlink" Target="https://www.msi.com/Graphics-Card/GeForce-RTX-3070-VENTUS-2X-8G-LHR" TargetMode="External"/><Relationship Id="rId256" Type="http://schemas.openxmlformats.org/officeDocument/2006/relationships/hyperlink" Target="https://www.xfxforce.com/shop/xfx-speedster-merc-319-amd-radeon-tm-rx-6700-xt-black-gaming-graphics-card-with-12gb-gddr6-hdmi-3xdp-amd-rdna-tm-2" TargetMode="External"/><Relationship Id="rId2299" Type="http://schemas.openxmlformats.org/officeDocument/2006/relationships/hyperlink" Target="https://www.msi.com/Graphics-Card/GeForce-RTX-3070-VENTUS-2X-OC" TargetMode="External"/><Relationship Id="rId255" Type="http://schemas.openxmlformats.org/officeDocument/2006/relationships/hyperlink" Target="https://www.xfxforce.com/shop/xfx-speedster-qick-319-amd-radeon-tm-rx-6700-xt-black-gaming-graphics-card-with-12gb-gddr6-hdmi-3xdp-amd-rdna-tm-2" TargetMode="External"/><Relationship Id="rId254" Type="http://schemas.openxmlformats.org/officeDocument/2006/relationships/hyperlink" Target="https://www.xfxforce.com/shop/xfx-speedster-qick319-amd-radeon-tm-rx-6700xt-ultra-gaming-graphics-card-with-12gb-gddr6-hdmi-3xdp-amd-rdna-tm-2" TargetMode="External"/><Relationship Id="rId4029" Type="http://schemas.openxmlformats.org/officeDocument/2006/relationships/hyperlink" Target="https://www.pny.com/pny-geforce-rtx-4090-24gb-xlr8-rgb-triple-fan" TargetMode="External"/><Relationship Id="rId293" Type="http://schemas.openxmlformats.org/officeDocument/2006/relationships/hyperlink" Target="https://www.gigabyte.com/Graphics-Card/GV-R68AORUS-M-16GD" TargetMode="External"/><Relationship Id="rId292" Type="http://schemas.openxmlformats.org/officeDocument/2006/relationships/hyperlink" Target="https://www.gigabyte.com/Graphics-Card/GV-R68GAMING-OC-16GD" TargetMode="External"/><Relationship Id="rId291" Type="http://schemas.openxmlformats.org/officeDocument/2006/relationships/hyperlink" Target="https://www.gigabyte.com/Graphics-Card/GV-R68GAMING-16GD" TargetMode="External"/><Relationship Id="rId290" Type="http://schemas.openxmlformats.org/officeDocument/2006/relationships/hyperlink" Target="https://www.gigabyte.com/Graphics-Card/GV-R68-16GC-B" TargetMode="External"/><Relationship Id="rId4020" Type="http://schemas.openxmlformats.org/officeDocument/2006/relationships/hyperlink" Target="https://www.msi.com/Graphics-Card/GeForce-RTX-4090-SUPRIM-LIQUID-24G" TargetMode="External"/><Relationship Id="rId286" Type="http://schemas.openxmlformats.org/officeDocument/2006/relationships/hyperlink" Target="http://www.dataland.com.cn/" TargetMode="External"/><Relationship Id="rId4022" Type="http://schemas.openxmlformats.org/officeDocument/2006/relationships/hyperlink" Target="https://www.nvidia.com/en-us/geforce/graphics-cards/40-series/rtx-4090/" TargetMode="External"/><Relationship Id="rId285" Type="http://schemas.openxmlformats.org/officeDocument/2006/relationships/hyperlink" Target="https://rog.asus.com/graphics-cards/graphics-cards/rog-strix/rog-strix-rx6800-o16g-gaming-model/" TargetMode="External"/><Relationship Id="rId4021" Type="http://schemas.openxmlformats.org/officeDocument/2006/relationships/hyperlink" Target="https://www.msi.com/Graphics-Card/GeForce-RTX-4090-SUPRIM-LIQUID-X-24G" TargetMode="External"/><Relationship Id="rId284" Type="http://schemas.openxmlformats.org/officeDocument/2006/relationships/hyperlink" Target="https://www.asus.com/motherboards-components/graphics-cards/tuf-gaming/TUF-RX6800-O16G-GAMING" TargetMode="External"/><Relationship Id="rId4024" Type="http://schemas.openxmlformats.org/officeDocument/2006/relationships/hyperlink" Target="http://www.palit.com/palit/vgapro.php?id=4608&amp;lang=en" TargetMode="External"/><Relationship Id="rId283" Type="http://schemas.openxmlformats.org/officeDocument/2006/relationships/hyperlink" Target="https://www.asus.com/motherboards-components/graphics-cards/asus/RX6800-16G" TargetMode="External"/><Relationship Id="rId4023" Type="http://schemas.openxmlformats.org/officeDocument/2006/relationships/hyperlink" Target="http://www.palit.com/palit/vgapro.php?id=4598&amp;lang=en" TargetMode="External"/><Relationship Id="rId4026" Type="http://schemas.openxmlformats.org/officeDocument/2006/relationships/hyperlink" Target="https://www.pny.com/pny-geforce-rtx-4090-24gb-verto-triple-fan-led" TargetMode="External"/><Relationship Id="rId289" Type="http://schemas.openxmlformats.org/officeDocument/2006/relationships/hyperlink" Target="http://www.dataland.com.cn/prod_view.aspx?nid=3&amp;typeid=139&amp;id=939" TargetMode="External"/><Relationship Id="rId4025" Type="http://schemas.openxmlformats.org/officeDocument/2006/relationships/hyperlink" Target="http://www.palit.com/palit/vgapro.php?id=4578&amp;lang=en" TargetMode="External"/><Relationship Id="rId288" Type="http://schemas.openxmlformats.org/officeDocument/2006/relationships/hyperlink" Target="http://www.dataland.com.cn/" TargetMode="External"/><Relationship Id="rId4028" Type="http://schemas.openxmlformats.org/officeDocument/2006/relationships/hyperlink" Target="https://www.pny.com/pny-geforce-rtx-4090-24gb-xlr8-gaming-uprising-epic-x-rgb-triple-fan" TargetMode="External"/><Relationship Id="rId287" Type="http://schemas.openxmlformats.org/officeDocument/2006/relationships/hyperlink" Target="http://www.dataland.com.cn/prod_view.aspx?nid=3&amp;typeid=139&amp;id=936" TargetMode="External"/><Relationship Id="rId4027" Type="http://schemas.openxmlformats.org/officeDocument/2006/relationships/hyperlink" Target="https://www.pny.com/pny-geforce-rtx-4090-24gb-xlr8-gaming-revel-epic-x-triple-fan" TargetMode="External"/><Relationship Id="rId4019" Type="http://schemas.openxmlformats.org/officeDocument/2006/relationships/hyperlink" Target="https://www.msi.com/Graphics-Card/GeForce-RTX-4090-SUPRIM-X-24G" TargetMode="External"/><Relationship Id="rId4018" Type="http://schemas.openxmlformats.org/officeDocument/2006/relationships/hyperlink" Target="https://www.msi.com/Graphics-Card/GeForce-RTX-4090-SUPRIM-24G" TargetMode="External"/><Relationship Id="rId282" Type="http://schemas.openxmlformats.org/officeDocument/2006/relationships/hyperlink" Target="https://www.asrock.com/Graphics-Card/AMD/Radeon%20RX%206800%20Phantom%20Gaming%20D%2016G%20OC/index.asp" TargetMode="External"/><Relationship Id="rId281" Type="http://schemas.openxmlformats.org/officeDocument/2006/relationships/hyperlink" Target="https://www.asrock.com/Graphics-Card/AMD/Radeon%20RX%206800%20Challenger%20Pro%2016G%20OC/index.asp" TargetMode="External"/><Relationship Id="rId280" Type="http://schemas.openxmlformats.org/officeDocument/2006/relationships/hyperlink" Target="https://www.asrock.com/Graphics-Card/AMD/Radeon%20RX%206800%2016G/" TargetMode="External"/><Relationship Id="rId275" Type="http://schemas.openxmlformats.org/officeDocument/2006/relationships/hyperlink" Target="https://www.xfxforce.com/shop/xfx-speedster-qick-319-amd-radeon-tm-rx-6750-xt-ultra" TargetMode="External"/><Relationship Id="rId4011" Type="http://schemas.openxmlformats.org/officeDocument/2006/relationships/hyperlink" Target="https://www.msi.com/Graphics-Card/GeForce-RTX-4090-VENTUS-3X-24G-OC" TargetMode="External"/><Relationship Id="rId274" Type="http://schemas.openxmlformats.org/officeDocument/2006/relationships/hyperlink" Target="https://www.sapphiretech.com/en/consumer/nitro-radeon-rx-6750-xt-12g-gddr6" TargetMode="External"/><Relationship Id="rId4010" Type="http://schemas.openxmlformats.org/officeDocument/2006/relationships/hyperlink" Target="https://www.msi.com/Graphics-Card/GeForce-RTX-4090-VENTUS-3X-24G" TargetMode="External"/><Relationship Id="rId273" Type="http://schemas.openxmlformats.org/officeDocument/2006/relationships/hyperlink" Target="https://www.sapphiretech.com/en/consumer/pulse-radeon-rx-6750-xt-12g-gddr6" TargetMode="External"/><Relationship Id="rId4013" Type="http://schemas.openxmlformats.org/officeDocument/2006/relationships/hyperlink" Target="https://www.msi.com/Graphics-Card/GeForce-RTX-4090-VENTUS-3X-E-24G-OC" TargetMode="External"/><Relationship Id="rId272" Type="http://schemas.openxmlformats.org/officeDocument/2006/relationships/hyperlink" Target="https://www.powercolor.com/product?id=1646884535" TargetMode="External"/><Relationship Id="rId4012" Type="http://schemas.openxmlformats.org/officeDocument/2006/relationships/hyperlink" Target="https://www.msi.com/Graphics-Card/GeForce-RTX-4090-VENTUS-3X-E-24G" TargetMode="External"/><Relationship Id="rId279" Type="http://schemas.openxmlformats.org/officeDocument/2006/relationships/hyperlink" Target="https://www.amd.com/en/products/graphics/amd-radeon-rx-6800" TargetMode="External"/><Relationship Id="rId4015" Type="http://schemas.openxmlformats.org/officeDocument/2006/relationships/hyperlink" Target="https://www.msi.com/Graphics-Card/GeForce-RTX-4090-GAMING-X-SLIM-24G" TargetMode="External"/><Relationship Id="rId278" Type="http://schemas.openxmlformats.org/officeDocument/2006/relationships/hyperlink" Target="http://www.yeston.net/products-detail/id-51.html" TargetMode="External"/><Relationship Id="rId4014" Type="http://schemas.openxmlformats.org/officeDocument/2006/relationships/hyperlink" Target="https://www.msi.com/Graphics-Card/GeForce-RTX-4090-GAMING-SLIM-24G" TargetMode="External"/><Relationship Id="rId277" Type="http://schemas.openxmlformats.org/officeDocument/2006/relationships/hyperlink" Target="http://www.yeston.net/" TargetMode="External"/><Relationship Id="rId4017" Type="http://schemas.openxmlformats.org/officeDocument/2006/relationships/hyperlink" Target="https://www.msi.com/Graphics-Card/GeForce-RTX-4090-GAMING-X-TRIO-24G" TargetMode="External"/><Relationship Id="rId276" Type="http://schemas.openxmlformats.org/officeDocument/2006/relationships/hyperlink" Target="https://www.xfxforce.com/shop/xfx-speedster-merc-319-amd-radeon-tm-rx-6750-xt-black" TargetMode="External"/><Relationship Id="rId4016" Type="http://schemas.openxmlformats.org/officeDocument/2006/relationships/hyperlink" Target="https://www.msi.com/Graphics-Card/GeForce-RTX-4090-GAMING-TRIO-24G" TargetMode="External"/><Relationship Id="rId1851" Type="http://schemas.openxmlformats.org/officeDocument/2006/relationships/hyperlink" Target="https://en.colorful.cn/en/" TargetMode="External"/><Relationship Id="rId1852" Type="http://schemas.openxmlformats.org/officeDocument/2006/relationships/hyperlink" Target="https://en.colorful.cn/en/home/product?mid=102&amp;id=1860" TargetMode="External"/><Relationship Id="rId1853" Type="http://schemas.openxmlformats.org/officeDocument/2006/relationships/hyperlink" Target="https://en.colorful.cn/en/" TargetMode="External"/><Relationship Id="rId1854" Type="http://schemas.openxmlformats.org/officeDocument/2006/relationships/hyperlink" Target="https://www.colorful.cn/product_show.aspx?mid=102&amp;id=1800" TargetMode="External"/><Relationship Id="rId1855" Type="http://schemas.openxmlformats.org/officeDocument/2006/relationships/hyperlink" Target="https://en.colorful.cn/en/" TargetMode="External"/><Relationship Id="rId1856" Type="http://schemas.openxmlformats.org/officeDocument/2006/relationships/hyperlink" Target="https://www.colorful.cn/product_show.aspx?mid=102&amp;id=1849" TargetMode="External"/><Relationship Id="rId1857" Type="http://schemas.openxmlformats.org/officeDocument/2006/relationships/hyperlink" Target="https://en.colorful.cn/en/" TargetMode="External"/><Relationship Id="rId1858" Type="http://schemas.openxmlformats.org/officeDocument/2006/relationships/hyperlink" Target="https://en.colorful.cn/en/home/product?mid=102&amp;id=1830" TargetMode="External"/><Relationship Id="rId1859" Type="http://schemas.openxmlformats.org/officeDocument/2006/relationships/hyperlink" Target="https://en.colorful.cn/en/" TargetMode="External"/><Relationship Id="rId1850" Type="http://schemas.openxmlformats.org/officeDocument/2006/relationships/hyperlink" Target="https://en.colorful.cn/en/home/product?mid=102&amp;id=1833" TargetMode="External"/><Relationship Id="rId1840" Type="http://schemas.openxmlformats.org/officeDocument/2006/relationships/hyperlink" Target="https://en.colorful.cn/en/home/product?mid=102&amp;id=1858" TargetMode="External"/><Relationship Id="rId1841" Type="http://schemas.openxmlformats.org/officeDocument/2006/relationships/hyperlink" Target="https://en.colorful.cn/en/" TargetMode="External"/><Relationship Id="rId1842" Type="http://schemas.openxmlformats.org/officeDocument/2006/relationships/hyperlink" Target="https://www.colorful.cn/product_show.aspx?mid=102&amp;id=1799" TargetMode="External"/><Relationship Id="rId1843" Type="http://schemas.openxmlformats.org/officeDocument/2006/relationships/hyperlink" Target="https://en.colorful.cn/en/" TargetMode="External"/><Relationship Id="rId1844" Type="http://schemas.openxmlformats.org/officeDocument/2006/relationships/hyperlink" Target="https://en.colorful.cn/en/home/product?mid=102&amp;id=1831" TargetMode="External"/><Relationship Id="rId1845" Type="http://schemas.openxmlformats.org/officeDocument/2006/relationships/hyperlink" Target="https://en.colorful.cn/en/" TargetMode="External"/><Relationship Id="rId1846" Type="http://schemas.openxmlformats.org/officeDocument/2006/relationships/hyperlink" Target="https://en.colorful.cn/en/home/product?mid=102&amp;id=1859" TargetMode="External"/><Relationship Id="rId1847" Type="http://schemas.openxmlformats.org/officeDocument/2006/relationships/hyperlink" Target="https://en.colorful.cn/en/" TargetMode="External"/><Relationship Id="rId1848" Type="http://schemas.openxmlformats.org/officeDocument/2006/relationships/hyperlink" Target="https://www.colorful.cn/product_show.aspx?mid=102&amp;id=1798" TargetMode="External"/><Relationship Id="rId1849" Type="http://schemas.openxmlformats.org/officeDocument/2006/relationships/hyperlink" Target="https://en.colorful.cn/en/" TargetMode="External"/><Relationship Id="rId1873" Type="http://schemas.openxmlformats.org/officeDocument/2006/relationships/hyperlink" Target="http://www.gainward.cn/Home/ProductDetail?id=227&amp;isStop=0" TargetMode="External"/><Relationship Id="rId1874" Type="http://schemas.openxmlformats.org/officeDocument/2006/relationships/hyperlink" Target="http://www.gainward.cn/Home/ProductDetail?id=248&amp;isStop=0" TargetMode="External"/><Relationship Id="rId1875" Type="http://schemas.openxmlformats.org/officeDocument/2006/relationships/hyperlink" Target="http://www.gainward.cn/Home/ProductDetail?id=222&amp;isStop=0" TargetMode="External"/><Relationship Id="rId1876" Type="http://schemas.openxmlformats.org/officeDocument/2006/relationships/hyperlink" Target="http://www.gainward.cn/Home/ProductDetail?id=247&amp;isStop=0" TargetMode="External"/><Relationship Id="rId1877" Type="http://schemas.openxmlformats.org/officeDocument/2006/relationships/hyperlink" Target="http://www.gainward.cn/Home/ProductDetail?id=220&amp;isStop=0" TargetMode="External"/><Relationship Id="rId1878" Type="http://schemas.openxmlformats.org/officeDocument/2006/relationships/hyperlink" Target="http://www.gainward.cn/Home/ProductDetail?id=246&amp;isStop=0" TargetMode="External"/><Relationship Id="rId1879" Type="http://schemas.openxmlformats.org/officeDocument/2006/relationships/hyperlink" Target="http://www.gainward.cn/Home/ProductDetail?id=219&amp;isStop=0" TargetMode="External"/><Relationship Id="rId1870" Type="http://schemas.openxmlformats.org/officeDocument/2006/relationships/hyperlink" Target="http://www.gainward.cn/Home/ProductDetail?id=223&amp;isStop=0" TargetMode="External"/><Relationship Id="rId1871" Type="http://schemas.openxmlformats.org/officeDocument/2006/relationships/hyperlink" Target="http://www.gainward.cn/Home/ProductDetail?id=249&amp;isStop=0" TargetMode="External"/><Relationship Id="rId1872" Type="http://schemas.openxmlformats.org/officeDocument/2006/relationships/hyperlink" Target="http://www.gainward.cn/Home/ProductDetail?id=283&amp;isStop=0" TargetMode="External"/><Relationship Id="rId1862" Type="http://schemas.openxmlformats.org/officeDocument/2006/relationships/hyperlink" Target="https://www.emtekinc.co.kr/bbs/board.php?bo_table=product&amp;wr_id=2201" TargetMode="External"/><Relationship Id="rId1863" Type="http://schemas.openxmlformats.org/officeDocument/2006/relationships/hyperlink" Target="https://www.emtekinc.co.kr/" TargetMode="External"/><Relationship Id="rId1864" Type="http://schemas.openxmlformats.org/officeDocument/2006/relationships/hyperlink" Target="https://www.emtekinc.co.kr/bbs/board.php?bo_table=product&amp;wr_id=2200" TargetMode="External"/><Relationship Id="rId1865" Type="http://schemas.openxmlformats.org/officeDocument/2006/relationships/hyperlink" Target="https://www.evga.com/products/specs/gpu.aspx?pn=D65DD87A-A766-4D48-A4D3-F064515C9072" TargetMode="External"/><Relationship Id="rId1866" Type="http://schemas.openxmlformats.org/officeDocument/2006/relationships/hyperlink" Target="https://www.evga.com/products/specs/gpu.aspx?pn=C479D40B-AAA6-453A-9795-69D1D1A6E0E0" TargetMode="External"/><Relationship Id="rId1867" Type="http://schemas.openxmlformats.org/officeDocument/2006/relationships/hyperlink" Target="https://www.evga.com/products/specs/gpu.aspx?pn=73B694DE-6074-4CA5-9B7E-299C098465ED" TargetMode="External"/><Relationship Id="rId1868" Type="http://schemas.openxmlformats.org/officeDocument/2006/relationships/hyperlink" Target="http://www.gainward.cn/Home/ProductDetail?id=226&amp;isStop=0" TargetMode="External"/><Relationship Id="rId1869" Type="http://schemas.openxmlformats.org/officeDocument/2006/relationships/hyperlink" Target="http://www.gainward.cn/Home/ProductDetail?id=250&amp;isStop=0" TargetMode="External"/><Relationship Id="rId1860" Type="http://schemas.openxmlformats.org/officeDocument/2006/relationships/hyperlink" Target="https://en.colorful.cn/en/home/product?mid=102&amp;id=1865" TargetMode="External"/><Relationship Id="rId1861" Type="http://schemas.openxmlformats.org/officeDocument/2006/relationships/hyperlink" Target="https://www.emtekinc.co.kr/" TargetMode="External"/><Relationship Id="rId1810" Type="http://schemas.openxmlformats.org/officeDocument/2006/relationships/hyperlink" Target="https://www.asus.com/Motherboards-Components/Graphics-Cards/Dual/DUAL-RTX3060TI-O8G-V2/" TargetMode="External"/><Relationship Id="rId1811" Type="http://schemas.openxmlformats.org/officeDocument/2006/relationships/hyperlink" Target="https://www.asus.com/motherboards-components/graphics-cards/ko/KO-RTX3060TI-8G-GAMING" TargetMode="External"/><Relationship Id="rId1812" Type="http://schemas.openxmlformats.org/officeDocument/2006/relationships/hyperlink" Target="https://www.asus.com/Motherboards-Components/Graphics-Cards/KO/KO-RTX3060TI-8G-V2-GAMING/" TargetMode="External"/><Relationship Id="rId1813" Type="http://schemas.openxmlformats.org/officeDocument/2006/relationships/hyperlink" Target="https://www.asus.com/motherboards-components/graphics-cards/ko/KO-RTX3060TI-O8G-GAMING" TargetMode="External"/><Relationship Id="rId1814" Type="http://schemas.openxmlformats.org/officeDocument/2006/relationships/hyperlink" Target="https://www.asus.com/Motherboards-Components/Graphics-Cards/KO/KO-RTX3060TI-O8G-V2-GAMING/" TargetMode="External"/><Relationship Id="rId1815" Type="http://schemas.openxmlformats.org/officeDocument/2006/relationships/hyperlink" Target="https://www.asus.com/motherboards-components/graphics-cards/tuf-gaming/TUF-RTX3060TI-8G-GAMING" TargetMode="External"/><Relationship Id="rId1816" Type="http://schemas.openxmlformats.org/officeDocument/2006/relationships/hyperlink" Target="https://www.asus.com/Motherboards-Components/Graphics-Cards/TUF-Gaming/TUF-RTX3060TI-8G-V2-GAMING/" TargetMode="External"/><Relationship Id="rId1817" Type="http://schemas.openxmlformats.org/officeDocument/2006/relationships/hyperlink" Target="https://www.asus.com/motherboards-components/graphics-cards/tuf-gaming/TUF-RTX3060TI-O8G-GAMING" TargetMode="External"/><Relationship Id="rId1818" Type="http://schemas.openxmlformats.org/officeDocument/2006/relationships/hyperlink" Target="https://www.asus.com/Motherboards-Components/Graphics-Cards/TUF-Gaming/TUF-RTX3060TI-O8G-V2-GAMING/" TargetMode="External"/><Relationship Id="rId1819" Type="http://schemas.openxmlformats.org/officeDocument/2006/relationships/hyperlink" Target="https://rog.asus.com/graphics-cards/graphics-cards/rog-strix/rog-strix-rtx3060ti-8g-gaming-model/" TargetMode="External"/><Relationship Id="rId1800" Type="http://schemas.openxmlformats.org/officeDocument/2006/relationships/hyperlink" Target="https://www.zotac.com/cn/product/graphics_card/%E7%B4%A2%E6%B3%B0-geforce%C2%AE-rtx-3060-12gd6-pgf-goc" TargetMode="External"/><Relationship Id="rId1801" Type="http://schemas.openxmlformats.org/officeDocument/2006/relationships/hyperlink" Target="https://www.zotac.com/cn/product/graphics_card/%E7%B4%A2%E6%B3%B0-geforce%C2%AE-rtx-3060-12gd6-pgf-xgoc" TargetMode="External"/><Relationship Id="rId1802" Type="http://schemas.openxmlformats.org/officeDocument/2006/relationships/hyperlink" Target="https://www.zotac.com/product/graphics_card/zotac-gaming-geforce-rtx-3060-twin-edge" TargetMode="External"/><Relationship Id="rId1803" Type="http://schemas.openxmlformats.org/officeDocument/2006/relationships/hyperlink" Target="https://www.zotac.com/product/graphics_card/zotac-gaming-geforce-rtx-3060-twin-edge-oc" TargetMode="External"/><Relationship Id="rId1804" Type="http://schemas.openxmlformats.org/officeDocument/2006/relationships/hyperlink" Target="https://www.zotac.com/product/graphics_card/zotac-gaming-geforce-rtx-3060-amp-white-edition" TargetMode="External"/><Relationship Id="rId1805" Type="http://schemas.openxmlformats.org/officeDocument/2006/relationships/hyperlink" Target="http://www.pcasl.com/index.jsp" TargetMode="External"/><Relationship Id="rId1806" Type="http://schemas.openxmlformats.org/officeDocument/2006/relationships/hyperlink" Target="http://www.pcasl.com/pd.jsp?id=181" TargetMode="External"/><Relationship Id="rId1807" Type="http://schemas.openxmlformats.org/officeDocument/2006/relationships/hyperlink" Target="https://www.asus.com/motherboards-components/graphics-cards/dual/DUAL-RTX3060TI-8G" TargetMode="External"/><Relationship Id="rId1808" Type="http://schemas.openxmlformats.org/officeDocument/2006/relationships/hyperlink" Target="https://www.asus.com/motherboards-components/graphics-cards/dual/DUAL-RTX3060TI-O8G" TargetMode="External"/><Relationship Id="rId1809" Type="http://schemas.openxmlformats.org/officeDocument/2006/relationships/hyperlink" Target="https://www.asus.com/Motherboards-Components/Graphics-Cards/Dual/DUAL-RTX3060TI-8G-V2/" TargetMode="External"/><Relationship Id="rId1830" Type="http://schemas.openxmlformats.org/officeDocument/2006/relationships/hyperlink" Target="https://en.colorful.cn/en/home/product?mid=102&amp;id=1834" TargetMode="External"/><Relationship Id="rId1831" Type="http://schemas.openxmlformats.org/officeDocument/2006/relationships/hyperlink" Target="https://en.colorful.cn/en/" TargetMode="External"/><Relationship Id="rId1832" Type="http://schemas.openxmlformats.org/officeDocument/2006/relationships/hyperlink" Target="https://en.colorful.cn/en/home/product?mid=102&amp;id=1857" TargetMode="External"/><Relationship Id="rId1833" Type="http://schemas.openxmlformats.org/officeDocument/2006/relationships/hyperlink" Target="https://en.colorful.cn/en/" TargetMode="External"/><Relationship Id="rId1834" Type="http://schemas.openxmlformats.org/officeDocument/2006/relationships/hyperlink" Target="https://en.colorful.cn/en/home/product?mid=102&amp;id=1864" TargetMode="External"/><Relationship Id="rId1835" Type="http://schemas.openxmlformats.org/officeDocument/2006/relationships/hyperlink" Target="https://en.colorful.cn/en/" TargetMode="External"/><Relationship Id="rId1836" Type="http://schemas.openxmlformats.org/officeDocument/2006/relationships/hyperlink" Target="https://www.colorful.cn/product_show.aspx?mid=102&amp;id=1797" TargetMode="External"/><Relationship Id="rId1837" Type="http://schemas.openxmlformats.org/officeDocument/2006/relationships/hyperlink" Target="https://en.colorful.cn/en/" TargetMode="External"/><Relationship Id="rId1838" Type="http://schemas.openxmlformats.org/officeDocument/2006/relationships/hyperlink" Target="https://en.colorful.cn/en/home/product?mid=102&amp;id=1832" TargetMode="External"/><Relationship Id="rId1839" Type="http://schemas.openxmlformats.org/officeDocument/2006/relationships/hyperlink" Target="https://en.colorful.cn/en/" TargetMode="External"/><Relationship Id="rId1820" Type="http://schemas.openxmlformats.org/officeDocument/2006/relationships/hyperlink" Target="https://rog.asus.com/graphics-cards/graphics-cards/rog-strix/rog-strix-rtx3060ti-8g-v2-gaming-model/" TargetMode="External"/><Relationship Id="rId1821" Type="http://schemas.openxmlformats.org/officeDocument/2006/relationships/hyperlink" Target="https://rog.asus.com/graphics-cards/graphics-cards/rog-strix/rog-strix-rtx3060ti-o8g-gaming-model/" TargetMode="External"/><Relationship Id="rId1822" Type="http://schemas.openxmlformats.org/officeDocument/2006/relationships/hyperlink" Target="https://rog.asus.com/graphics-cards/graphics-cards/rog-strix/rog-strix-rtx3060ti-o8g-v2-gaming-model/" TargetMode="External"/><Relationship Id="rId1823" Type="http://schemas.openxmlformats.org/officeDocument/2006/relationships/hyperlink" Target="https://en.colorful.cn/en/" TargetMode="External"/><Relationship Id="rId1824" Type="http://schemas.openxmlformats.org/officeDocument/2006/relationships/hyperlink" Target="https://en.colorful.cn/en/home/product?mid=102&amp;id=1861" TargetMode="External"/><Relationship Id="rId1825" Type="http://schemas.openxmlformats.org/officeDocument/2006/relationships/hyperlink" Target="https://en.colorful.cn/en/" TargetMode="External"/><Relationship Id="rId1826" Type="http://schemas.openxmlformats.org/officeDocument/2006/relationships/hyperlink" Target="https://www.colorful.cn/product_show.aspx?mid=102&amp;id=1801" TargetMode="External"/><Relationship Id="rId1827" Type="http://schemas.openxmlformats.org/officeDocument/2006/relationships/hyperlink" Target="https://en.colorful.cn/en/" TargetMode="External"/><Relationship Id="rId1828" Type="http://schemas.openxmlformats.org/officeDocument/2006/relationships/hyperlink" Target="https://www.colorful.cn/product_show.aspx?mid=102&amp;id=1843" TargetMode="External"/><Relationship Id="rId1829" Type="http://schemas.openxmlformats.org/officeDocument/2006/relationships/hyperlink" Target="https://en.colorful.cn/en/" TargetMode="External"/><Relationship Id="rId2302" Type="http://schemas.openxmlformats.org/officeDocument/2006/relationships/hyperlink" Target="https://www.msi.com/Graphics-Card/GeForce-RTX-3070-VENTUS-3X-8G-LHR" TargetMode="External"/><Relationship Id="rId3634" Type="http://schemas.openxmlformats.org/officeDocument/2006/relationships/hyperlink" Target="https://www.msi.com/Graphics-Card/GeForce-RTX-4070-Ti-GAMING-TRIO-12G" TargetMode="External"/><Relationship Id="rId2303" Type="http://schemas.openxmlformats.org/officeDocument/2006/relationships/hyperlink" Target="https://www.msi.com/Graphics-Card/GeForce-RTX-3070-VENTUS-3X-OC" TargetMode="External"/><Relationship Id="rId3633" Type="http://schemas.openxmlformats.org/officeDocument/2006/relationships/hyperlink" Target="https://www.msi.com/Graphics-Card/GeForce-RTX-4070-Ti-GAMING-X-SLIM-WHITE-12G" TargetMode="External"/><Relationship Id="rId2304" Type="http://schemas.openxmlformats.org/officeDocument/2006/relationships/hyperlink" Target="https://www.msi.com/Graphics-Card/GeForce-RTX-3070-VENTUS-3X-8G-OC-LHR" TargetMode="External"/><Relationship Id="rId3636" Type="http://schemas.openxmlformats.org/officeDocument/2006/relationships/hyperlink" Target="https://www.msi.com/Graphics-Card/GeForce-RTX-4070-Ti-GAMING-X-TRIO-12G" TargetMode="External"/><Relationship Id="rId2305" Type="http://schemas.openxmlformats.org/officeDocument/2006/relationships/hyperlink" Target="https://www.msi.com/Graphics-Card/GeForce-RTX-3070-GAMING-TRIO" TargetMode="External"/><Relationship Id="rId3635" Type="http://schemas.openxmlformats.org/officeDocument/2006/relationships/hyperlink" Target="https://www.msi.com/Graphics-Card/GeForce-RTX-4070-Ti-GAMING-TRIO-WHITE-12G" TargetMode="External"/><Relationship Id="rId2306" Type="http://schemas.openxmlformats.org/officeDocument/2006/relationships/hyperlink" Target="https://www.msi.com/Graphics-Card/GeForce-RTX-3070-GAMING-TRIO-PLUS" TargetMode="External"/><Relationship Id="rId3638" Type="http://schemas.openxmlformats.org/officeDocument/2006/relationships/hyperlink" Target="https://www.msi.com/Graphics-Card/GeForce-RTX-4070-Ti-SUPRIM-12G" TargetMode="External"/><Relationship Id="rId2307" Type="http://schemas.openxmlformats.org/officeDocument/2006/relationships/hyperlink" Target="https://www.msi.com/Graphics-Card/GeForce-RTX-3070-GAMING-TRIO-PLUS-8G-LHR" TargetMode="External"/><Relationship Id="rId3637" Type="http://schemas.openxmlformats.org/officeDocument/2006/relationships/hyperlink" Target="https://www.msi.com/Graphics-Card/GeForce-RTX-4070-Ti-GAMING-X-TRIO-WHITE-12G" TargetMode="External"/><Relationship Id="rId2308" Type="http://schemas.openxmlformats.org/officeDocument/2006/relationships/hyperlink" Target="https://www.msi.com/Graphics-Card/GeForce-RTX-3070-GAMING-X-TRIO" TargetMode="External"/><Relationship Id="rId2309" Type="http://schemas.openxmlformats.org/officeDocument/2006/relationships/hyperlink" Target="https://www.msi.com/Graphics-Card/GeForce-RTX-3070-GAMING-Z-TRIO" TargetMode="External"/><Relationship Id="rId3639" Type="http://schemas.openxmlformats.org/officeDocument/2006/relationships/hyperlink" Target="https://www.msi.com/Graphics-Card/GeForce-RTX-4070-Ti-SUPRIM-X-12G" TargetMode="External"/><Relationship Id="rId3630" Type="http://schemas.openxmlformats.org/officeDocument/2006/relationships/hyperlink" Target="https://www.msi.com/Graphics-Card/GeForce-RTX-4070-Ti-GAMING-SLIM-12G" TargetMode="External"/><Relationship Id="rId2300" Type="http://schemas.openxmlformats.org/officeDocument/2006/relationships/hyperlink" Target="https://www.msi.com/Graphics-Card/GeForce-RTX-3070-VENTUS-2X-8G-OC-LHR" TargetMode="External"/><Relationship Id="rId3632" Type="http://schemas.openxmlformats.org/officeDocument/2006/relationships/hyperlink" Target="https://www.msi.com/Graphics-Card/GeForce-RTX-4070-Ti-GAMING-X-SLIM-12G" TargetMode="External"/><Relationship Id="rId2301" Type="http://schemas.openxmlformats.org/officeDocument/2006/relationships/hyperlink" Target="https://www.msi.com/Graphics-Card/GeForce-RTX-3070-VENTUS-3X" TargetMode="External"/><Relationship Id="rId3631" Type="http://schemas.openxmlformats.org/officeDocument/2006/relationships/hyperlink" Target="https://www.msi.com/Graphics-Card/GeForce-RTX-4070-Ti-GAMING-SLIM-WHITE-12G" TargetMode="External"/><Relationship Id="rId3623" Type="http://schemas.openxmlformats.org/officeDocument/2006/relationships/hyperlink" Target="https://www.msi.com/Graphics-Card/GeForce-RTX-4070-Ti-VENTUS-2X-WHITE-12G-OC" TargetMode="External"/><Relationship Id="rId3622" Type="http://schemas.openxmlformats.org/officeDocument/2006/relationships/hyperlink" Target="https://www.msi.com/Graphics-Card/GeForce-RTX-4070-Ti-VENTUS-2X-WHITE-12G" TargetMode="External"/><Relationship Id="rId3625" Type="http://schemas.openxmlformats.org/officeDocument/2006/relationships/hyperlink" Target="https://www.msi.com/Graphics-Card/GeForce-RTX-4070-Ti-VENTUS-3X-12G-OC" TargetMode="External"/><Relationship Id="rId3624" Type="http://schemas.openxmlformats.org/officeDocument/2006/relationships/hyperlink" Target="https://www.msi.com/Graphics-Card/GeForce-RTX-4070-Ti-VENTUS-3X-12G" TargetMode="External"/><Relationship Id="rId3627" Type="http://schemas.openxmlformats.org/officeDocument/2006/relationships/hyperlink" Target="https://www.msi.com/Graphics-Card/GeForce-RTX-4070-Ti-VENTUS-3X-E-12G-OC" TargetMode="External"/><Relationship Id="rId3626" Type="http://schemas.openxmlformats.org/officeDocument/2006/relationships/hyperlink" Target="https://www.msi.com/Graphics-Card/GeForce-RTX-4070-Ti-VENTUS-3X-E-12G" TargetMode="External"/><Relationship Id="rId3629" Type="http://schemas.openxmlformats.org/officeDocument/2006/relationships/hyperlink" Target="https://www.msi.com/Graphics-Card/GeForce-RTX-4070-Ti-VENTUS-3X-E1-12G-OC" TargetMode="External"/><Relationship Id="rId3628" Type="http://schemas.openxmlformats.org/officeDocument/2006/relationships/hyperlink" Target="https://www.msi.com/Graphics-Card/GeForce-RTX-4070-Ti-VENTUS-3X-E1-12G" TargetMode="External"/><Relationship Id="rId3621" Type="http://schemas.openxmlformats.org/officeDocument/2006/relationships/hyperlink" Target="https://www.msi.com/Graphics-Card/GeForce-RTX-4070-Ti-VENTUS-2X-12G-OC" TargetMode="External"/><Relationship Id="rId3620" Type="http://schemas.openxmlformats.org/officeDocument/2006/relationships/hyperlink" Target="https://www.msi.com/Graphics-Card/GeForce-RTX-4070-Ti-VENTUS-2X-12G" TargetMode="External"/><Relationship Id="rId2324" Type="http://schemas.openxmlformats.org/officeDocument/2006/relationships/hyperlink" Target="http://www.palit.com/palit/vgapro.php?id=3851&amp;lang=en" TargetMode="External"/><Relationship Id="rId3656" Type="http://schemas.openxmlformats.org/officeDocument/2006/relationships/hyperlink" Target="http://www.yeston.net/" TargetMode="External"/><Relationship Id="rId2325" Type="http://schemas.openxmlformats.org/officeDocument/2006/relationships/hyperlink" Target="http://www.palit.com/palit/vgapro.php?id=4215&amp;lang=en" TargetMode="External"/><Relationship Id="rId3655" Type="http://schemas.openxmlformats.org/officeDocument/2006/relationships/hyperlink" Target="http://www.yeston.net/products-detail/id-26.html" TargetMode="External"/><Relationship Id="rId2326" Type="http://schemas.openxmlformats.org/officeDocument/2006/relationships/hyperlink" Target="http://www.palit.com/palit/vgapro.php?id=3819&amp;lang=en" TargetMode="External"/><Relationship Id="rId3658" Type="http://schemas.openxmlformats.org/officeDocument/2006/relationships/hyperlink" Target="https://www.zotac.com/" TargetMode="External"/><Relationship Id="rId2327" Type="http://schemas.openxmlformats.org/officeDocument/2006/relationships/hyperlink" Target="http://www.palit.com/palit/vgapro.php?id=4206&amp;lang=en" TargetMode="External"/><Relationship Id="rId3657" Type="http://schemas.openxmlformats.org/officeDocument/2006/relationships/hyperlink" Target="http://www.yeston.net/products-detail/id-70.html" TargetMode="External"/><Relationship Id="rId2328" Type="http://schemas.openxmlformats.org/officeDocument/2006/relationships/hyperlink" Target="http://www.palit.com/palit/vgapro.php?id=3811&amp;lang=en" TargetMode="External"/><Relationship Id="rId2329" Type="http://schemas.openxmlformats.org/officeDocument/2006/relationships/hyperlink" Target="http://www.palit.com/palit/vgapro.php?id=4197&amp;lang=en" TargetMode="External"/><Relationship Id="rId3659" Type="http://schemas.openxmlformats.org/officeDocument/2006/relationships/hyperlink" Target="https://www.zotac.com/cn/product/graphics_card/%E7%B4%A2%E6%B3%B0-geforce-rtx-4070ti-12gb-x-gaming-oc" TargetMode="External"/><Relationship Id="rId3650" Type="http://schemas.openxmlformats.org/officeDocument/2006/relationships/hyperlink" Target="https://www.pny.com/pny-geforce-rtx-4070-ti-12gb-xlr8-gaming-verto-epic-x-triple-fan" TargetMode="External"/><Relationship Id="rId2320" Type="http://schemas.openxmlformats.org/officeDocument/2006/relationships/hyperlink" Target="http://www.palit.com/palit/vgapro.php?id=3771&amp;lang=en" TargetMode="External"/><Relationship Id="rId3652" Type="http://schemas.openxmlformats.org/officeDocument/2006/relationships/hyperlink" Target="http://www.yeston.net/" TargetMode="External"/><Relationship Id="rId2321" Type="http://schemas.openxmlformats.org/officeDocument/2006/relationships/hyperlink" Target="http://www.palit.com/palit/vgapro.php?id=4233&amp;lang=en" TargetMode="External"/><Relationship Id="rId3651" Type="http://schemas.openxmlformats.org/officeDocument/2006/relationships/hyperlink" Target="https://www.pny.com/pny-geforce-rtx-4070-ti-12gb-verto-epic-x-oc-triple-fan" TargetMode="External"/><Relationship Id="rId2322" Type="http://schemas.openxmlformats.org/officeDocument/2006/relationships/hyperlink" Target="http://www.palit.com/palit/vgapro.php?id=3843&amp;lang=en" TargetMode="External"/><Relationship Id="rId3654" Type="http://schemas.openxmlformats.org/officeDocument/2006/relationships/hyperlink" Target="http://www.yeston.net/" TargetMode="External"/><Relationship Id="rId2323" Type="http://schemas.openxmlformats.org/officeDocument/2006/relationships/hyperlink" Target="http://www.palit.com/palit/vgapro.php?id=4224&amp;lang=en" TargetMode="External"/><Relationship Id="rId3653" Type="http://schemas.openxmlformats.org/officeDocument/2006/relationships/hyperlink" Target="http://www.yeston.net/products-detail/id-81.html" TargetMode="External"/><Relationship Id="rId2313" Type="http://schemas.openxmlformats.org/officeDocument/2006/relationships/hyperlink" Target="https://www.msi.com/Graphics-Card/GeForce-RTX-3070-SUPRIM-8G" TargetMode="External"/><Relationship Id="rId3645" Type="http://schemas.openxmlformats.org/officeDocument/2006/relationships/hyperlink" Target="http://www.palit.com/palit/vgapro.php?id=4743&amp;lang=en" TargetMode="External"/><Relationship Id="rId2314" Type="http://schemas.openxmlformats.org/officeDocument/2006/relationships/hyperlink" Target="https://www.msi.com/Graphics-Card/GeForce-RTX-3070-SUPRIM-8G-LHR" TargetMode="External"/><Relationship Id="rId3644" Type="http://schemas.openxmlformats.org/officeDocument/2006/relationships/hyperlink" Target="http://www.palit.com/palit/vgapro.php?id=4738&amp;lang=en" TargetMode="External"/><Relationship Id="rId2315" Type="http://schemas.openxmlformats.org/officeDocument/2006/relationships/hyperlink" Target="https://www.msi.com/Graphics-Card/GeForce-RTX-3070-SUPRIM-X-8G" TargetMode="External"/><Relationship Id="rId3647" Type="http://schemas.openxmlformats.org/officeDocument/2006/relationships/hyperlink" Target="http://www.palit.com/palit/vgapro.php?id=4718&amp;lang=en" TargetMode="External"/><Relationship Id="rId2316" Type="http://schemas.openxmlformats.org/officeDocument/2006/relationships/hyperlink" Target="https://www.msi.com/Graphics-Card/GeForce-RTX-3070-SUPRIM-X-8G-LHR" TargetMode="External"/><Relationship Id="rId3646" Type="http://schemas.openxmlformats.org/officeDocument/2006/relationships/hyperlink" Target="http://www.palit.com/palit/vgapro.php?id=4708&amp;lang=en" TargetMode="External"/><Relationship Id="rId2317" Type="http://schemas.openxmlformats.org/officeDocument/2006/relationships/hyperlink" Target="https://www.nvidia.com/en-us/geforce/graphics-cards/30-series/rtx-3070/" TargetMode="External"/><Relationship Id="rId3649" Type="http://schemas.openxmlformats.org/officeDocument/2006/relationships/hyperlink" Target="https://www.pny.com/pny-geforce-rtx-4070-ti-12gb-verto-triple-fan" TargetMode="External"/><Relationship Id="rId2318" Type="http://schemas.openxmlformats.org/officeDocument/2006/relationships/hyperlink" Target="http://www.palit.com/palit/vgapro.php?id=3747&amp;lang=en" TargetMode="External"/><Relationship Id="rId3648" Type="http://schemas.openxmlformats.org/officeDocument/2006/relationships/hyperlink" Target="http://www.palit.com/palit/vgapro.php?id=4748&amp;lang=en" TargetMode="External"/><Relationship Id="rId2319" Type="http://schemas.openxmlformats.org/officeDocument/2006/relationships/hyperlink" Target="http://www.palit.com/palit/vgapro.php?id=4242&amp;lang=en" TargetMode="External"/><Relationship Id="rId3641" Type="http://schemas.openxmlformats.org/officeDocument/2006/relationships/hyperlink" Target="http://www.palit.com/palit/vgapro.php?id=4728&amp;lang=en" TargetMode="External"/><Relationship Id="rId2310" Type="http://schemas.openxmlformats.org/officeDocument/2006/relationships/hyperlink" Target="https://www.msi.com/Graphics-Card/GeForce-RTX-3070-GAMING-Z-TRIO-8G-LHR" TargetMode="External"/><Relationship Id="rId3640" Type="http://schemas.openxmlformats.org/officeDocument/2006/relationships/hyperlink" Target="https://www.palit.com/palit/vgapro.php?id=4818&amp;lang=en" TargetMode="External"/><Relationship Id="rId2311" Type="http://schemas.openxmlformats.org/officeDocument/2006/relationships/hyperlink" Target="https://www.msi.com/Graphics-Card/GeForce-RTX-3070-SUPRIM-SE-8G" TargetMode="External"/><Relationship Id="rId3643" Type="http://schemas.openxmlformats.org/officeDocument/2006/relationships/hyperlink" Target="http://www.palit.com/palit/vgapro.php?id=4958&amp;lang=en" TargetMode="External"/><Relationship Id="rId2312" Type="http://schemas.openxmlformats.org/officeDocument/2006/relationships/hyperlink" Target="https://www.msi.com/Graphics-Card/GeForce-RTX-3070-SUPRIM-SE-8G-LHR" TargetMode="External"/><Relationship Id="rId3642" Type="http://schemas.openxmlformats.org/officeDocument/2006/relationships/hyperlink" Target="http://www.palit.com/palit/vgapro.php?id=4698&amp;lang=en" TargetMode="External"/><Relationship Id="rId1895" Type="http://schemas.openxmlformats.org/officeDocument/2006/relationships/hyperlink" Target="https://www.galax.com/en/" TargetMode="External"/><Relationship Id="rId1896" Type="http://schemas.openxmlformats.org/officeDocument/2006/relationships/hyperlink" Target="http://www.szgalaxy.com/__ZH_GB__/Product5/ProductDetail?proID=741" TargetMode="External"/><Relationship Id="rId1897" Type="http://schemas.openxmlformats.org/officeDocument/2006/relationships/hyperlink" Target="https://www.galax.com/en/" TargetMode="External"/><Relationship Id="rId1898" Type="http://schemas.openxmlformats.org/officeDocument/2006/relationships/hyperlink" Target="http://www.szgalaxy.com/__ZH_GB__/Product5/ProductDetail?proID=665" TargetMode="External"/><Relationship Id="rId1899" Type="http://schemas.openxmlformats.org/officeDocument/2006/relationships/hyperlink" Target="https://www.galax.com/en/" TargetMode="External"/><Relationship Id="rId1890" Type="http://schemas.openxmlformats.org/officeDocument/2006/relationships/hyperlink" Target="http://www.gainward.com/main/vgapro.php?id=1126&amp;lang=en" TargetMode="External"/><Relationship Id="rId1891" Type="http://schemas.openxmlformats.org/officeDocument/2006/relationships/hyperlink" Target="http://www.gainward.com/main/vgapro.php?id=1101&amp;lang=en" TargetMode="External"/><Relationship Id="rId1892" Type="http://schemas.openxmlformats.org/officeDocument/2006/relationships/hyperlink" Target="http://www.gainward.com/main/vgapro.php?id=1125&amp;lang=en" TargetMode="External"/><Relationship Id="rId1893" Type="http://schemas.openxmlformats.org/officeDocument/2006/relationships/hyperlink" Target="https://www.galax.com/en/" TargetMode="External"/><Relationship Id="rId1894" Type="http://schemas.openxmlformats.org/officeDocument/2006/relationships/hyperlink" Target="http://www.szgalaxy.com/__ZH_GB__/Product5/ProductDetail?proID=666" TargetMode="External"/><Relationship Id="rId1884" Type="http://schemas.openxmlformats.org/officeDocument/2006/relationships/hyperlink" Target="http://www.gainward.cn/Home/ProductDetail?id=243&amp;isStop=0" TargetMode="External"/><Relationship Id="rId1885" Type="http://schemas.openxmlformats.org/officeDocument/2006/relationships/hyperlink" Target="http://www.gainward.com/main/vgapro.php?id=1104&amp;lang=en" TargetMode="External"/><Relationship Id="rId1886" Type="http://schemas.openxmlformats.org/officeDocument/2006/relationships/hyperlink" Target="http://www.gainward.com/main/vgapro.php?id=1128&amp;lang=en" TargetMode="External"/><Relationship Id="rId1887" Type="http://schemas.openxmlformats.org/officeDocument/2006/relationships/hyperlink" Target="http://www.gainward.com/main/vgapro.php?id=1103&amp;lang=en" TargetMode="External"/><Relationship Id="rId1888" Type="http://schemas.openxmlformats.org/officeDocument/2006/relationships/hyperlink" Target="http://www.gainward.com/main/vgapro.php?id=1127&amp;lang=en" TargetMode="External"/><Relationship Id="rId1889" Type="http://schemas.openxmlformats.org/officeDocument/2006/relationships/hyperlink" Target="http://www.gainward.com/main/vgapro.php?id=1102&amp;lang=en" TargetMode="External"/><Relationship Id="rId1880" Type="http://schemas.openxmlformats.org/officeDocument/2006/relationships/hyperlink" Target="http://www.gainward.cn/Home/ProductDetail?id=245&amp;isStop=0" TargetMode="External"/><Relationship Id="rId1881" Type="http://schemas.openxmlformats.org/officeDocument/2006/relationships/hyperlink" Target="http://www.gainward.cn/Home/ProductDetail?id=225&amp;isStop=0" TargetMode="External"/><Relationship Id="rId1882" Type="http://schemas.openxmlformats.org/officeDocument/2006/relationships/hyperlink" Target="http://www.gainward.cn/Home/ProductDetail?id=244&amp;isStop=0" TargetMode="External"/><Relationship Id="rId1883" Type="http://schemas.openxmlformats.org/officeDocument/2006/relationships/hyperlink" Target="http://www.gainward.cn/Home/ProductDetail?id=224&amp;isStop=0" TargetMode="External"/><Relationship Id="rId3612" Type="http://schemas.openxmlformats.org/officeDocument/2006/relationships/hyperlink" Target="https://www.maxsun.com/" TargetMode="External"/><Relationship Id="rId3611" Type="http://schemas.openxmlformats.org/officeDocument/2006/relationships/hyperlink" Target="https://www.manli.com/en/product-detail-Manli_GeForce_RTX%E2%84%A2_4070_Ti_Gallardo_(M3542+N693)-319.html" TargetMode="External"/><Relationship Id="rId3614" Type="http://schemas.openxmlformats.org/officeDocument/2006/relationships/hyperlink" Target="https://www.maxsun.com/" TargetMode="External"/><Relationship Id="rId3613" Type="http://schemas.openxmlformats.org/officeDocument/2006/relationships/hyperlink" Target="https://www.maxsun.com.cn/2023/0417/5969.html" TargetMode="External"/><Relationship Id="rId3616" Type="http://schemas.openxmlformats.org/officeDocument/2006/relationships/hyperlink" Target="https://www.maxsun.com/" TargetMode="External"/><Relationship Id="rId3615" Type="http://schemas.openxmlformats.org/officeDocument/2006/relationships/hyperlink" Target="https://www.maxsun.com/products/geforce-rtx-4070ti-icraft-oc-12g?_pos=4&amp;_fid=76d3d33e4&amp;_ss=c" TargetMode="External"/><Relationship Id="rId3618" Type="http://schemas.openxmlformats.org/officeDocument/2006/relationships/hyperlink" Target="https://www.maxsun.com/" TargetMode="External"/><Relationship Id="rId3617" Type="http://schemas.openxmlformats.org/officeDocument/2006/relationships/hyperlink" Target="https://www.maxsun.com/products/geforce-rtx-4070ti-icraft-oc-limited-12g?_pos=2&amp;_fid=76d3d33e4&amp;_ss=c" TargetMode="External"/><Relationship Id="rId3619" Type="http://schemas.openxmlformats.org/officeDocument/2006/relationships/hyperlink" Target="https://www.maxsun.com/products/geforce-rtx-4070ti-mgg-oc-12g?_pos=1&amp;_fid=76d3d33e4&amp;_ss=c" TargetMode="External"/><Relationship Id="rId3610" Type="http://schemas.openxmlformats.org/officeDocument/2006/relationships/hyperlink" Target="https://www.manli.com/en/product-detail-Manli_GeForce_RTX%E2%84%A2_4070_Ti(M3528+N693)-321.html" TargetMode="External"/><Relationship Id="rId3601" Type="http://schemas.openxmlformats.org/officeDocument/2006/relationships/hyperlink" Target="https://www.gigabyte.com/Graphics-Card/GV-N407TAORUS-M-12GD" TargetMode="External"/><Relationship Id="rId3600" Type="http://schemas.openxmlformats.org/officeDocument/2006/relationships/hyperlink" Target="https://www.gigabyte.com/Graphics-Card/GV-N407TAORUS-E-12GD" TargetMode="External"/><Relationship Id="rId3603" Type="http://schemas.openxmlformats.org/officeDocument/2006/relationships/hyperlink" Target="https://www.gigabyte.com/Graphics-Card/GV-N407TAORUSX-WB-12GD" TargetMode="External"/><Relationship Id="rId3602" Type="http://schemas.openxmlformats.org/officeDocument/2006/relationships/hyperlink" Target="https://www.gigabyte.com/Graphics-Card/GV-N407TAORUSX-W-12GD" TargetMode="External"/><Relationship Id="rId3605" Type="http://schemas.openxmlformats.org/officeDocument/2006/relationships/hyperlink" Target="https://www.inno3d.com/en/PRODUCT_INNO3D_GEFORCE_RTX_4070_Ti_X3_OC" TargetMode="External"/><Relationship Id="rId3604" Type="http://schemas.openxmlformats.org/officeDocument/2006/relationships/hyperlink" Target="https://www.inno3d.com/en/PRODUCT_INNO3D_GEFORCE_RTX_4070_Ti_X3" TargetMode="External"/><Relationship Id="rId3607" Type="http://schemas.openxmlformats.org/officeDocument/2006/relationships/hyperlink" Target="https://www.leadtek.com/eng/" TargetMode="External"/><Relationship Id="rId3606" Type="http://schemas.openxmlformats.org/officeDocument/2006/relationships/hyperlink" Target="https://www.inno3d.com/en/PRODUCT_INNO3D_GEFORCE_RTX_4070_Ti_ICHILL_X3" TargetMode="External"/><Relationship Id="rId3609" Type="http://schemas.openxmlformats.org/officeDocument/2006/relationships/hyperlink" Target="https://www.manli.com/en/product-detail-Manli_GeForce_RTX%E2%84%A2_4070_Ti(M2561+N693)-336.html" TargetMode="External"/><Relationship Id="rId3608" Type="http://schemas.openxmlformats.org/officeDocument/2006/relationships/hyperlink" Target="https://www.leadtek.com/eng/products/graphics_cards(1)/WinFast_RTX_4070_Ti_HURRICANE_12G(40952)/detail" TargetMode="External"/><Relationship Id="rId1059" Type="http://schemas.openxmlformats.org/officeDocument/2006/relationships/hyperlink" Target="https://en.colorful.cn/en/" TargetMode="External"/><Relationship Id="rId228" Type="http://schemas.openxmlformats.org/officeDocument/2006/relationships/hyperlink" Target="http://www.dataland.com.cn/prod_view.aspx?nid=3&amp;typeid=142&amp;id=950" TargetMode="External"/><Relationship Id="rId227" Type="http://schemas.openxmlformats.org/officeDocument/2006/relationships/hyperlink" Target="http://www.dataland.com.cn/" TargetMode="External"/><Relationship Id="rId226" Type="http://schemas.openxmlformats.org/officeDocument/2006/relationships/hyperlink" Target="https://rog.asus.com/graphics-cards/graphics-cards/rog-strix/rog-strix-rx6700xt-o12g-gaming-model/" TargetMode="External"/><Relationship Id="rId225" Type="http://schemas.openxmlformats.org/officeDocument/2006/relationships/hyperlink" Target="https://www.asus.com/Motherboards-Components/Graphics-Cards/TUF-Gaming/TUF-RX6700XT-O12G-GAMING/" TargetMode="External"/><Relationship Id="rId2380" Type="http://schemas.openxmlformats.org/officeDocument/2006/relationships/hyperlink" Target="https://www.emtekinc.co.kr/html/dh_product/prd_detail/1592?&amp;cate_no=1-20-107" TargetMode="External"/><Relationship Id="rId229" Type="http://schemas.openxmlformats.org/officeDocument/2006/relationships/hyperlink" Target="http://www.dataland.com.cn/" TargetMode="External"/><Relationship Id="rId1050" Type="http://schemas.openxmlformats.org/officeDocument/2006/relationships/hyperlink" Target="https://rog.asus.com/Graphics-Cards/Graphics-Cards/ROG-Strix/ROG-STRIX-RTX2070-8G-GAMING-Model/" TargetMode="External"/><Relationship Id="rId2381" Type="http://schemas.openxmlformats.org/officeDocument/2006/relationships/hyperlink" Target="http://www.gainward.cn/Home/ProductDetail?id=260&amp;isStop=0" TargetMode="External"/><Relationship Id="rId220" Type="http://schemas.openxmlformats.org/officeDocument/2006/relationships/hyperlink" Target="https://www.asrock.com/Graphics-Card/AMD/Radeon%20RX%206700%20XT%20Challenger%20Pro%2012GB%20OC/" TargetMode="External"/><Relationship Id="rId1051" Type="http://schemas.openxmlformats.org/officeDocument/2006/relationships/hyperlink" Target="https://rog.asus.com/Graphics-Cards/Graphics-Cards/ROG-Strix/ROG-STRIX-RTX2070-A8G-GAMING-Model/" TargetMode="External"/><Relationship Id="rId2382" Type="http://schemas.openxmlformats.org/officeDocument/2006/relationships/hyperlink" Target="http://www.gainward.cn/Home/ProductDetail?id=280&amp;isStop=0" TargetMode="External"/><Relationship Id="rId1052" Type="http://schemas.openxmlformats.org/officeDocument/2006/relationships/hyperlink" Target="https://rog.asus.com/Graphics-Cards/Graphics-Cards/ROG-Strix/ROG-STRIX-RTX2070-O8G-GAMING-Model/" TargetMode="External"/><Relationship Id="rId2383" Type="http://schemas.openxmlformats.org/officeDocument/2006/relationships/hyperlink" Target="http://www.gainward.cn/Home/ProductDetail?id=259&amp;isStop=0" TargetMode="External"/><Relationship Id="rId1053" Type="http://schemas.openxmlformats.org/officeDocument/2006/relationships/hyperlink" Target="https://en.colorful.cn/en/" TargetMode="External"/><Relationship Id="rId2384" Type="http://schemas.openxmlformats.org/officeDocument/2006/relationships/hyperlink" Target="http://www.gainward.cn/Home/ProductDetail?id=258&amp;isStop=0" TargetMode="External"/><Relationship Id="rId1054" Type="http://schemas.openxmlformats.org/officeDocument/2006/relationships/hyperlink" Target="https://en.colorful.cn/product_show.aspx?mid=102&amp;id=1731" TargetMode="External"/><Relationship Id="rId2385" Type="http://schemas.openxmlformats.org/officeDocument/2006/relationships/hyperlink" Target="http://www.gainward.cn/Home/ProductDetail?id=257&amp;isStop=0" TargetMode="External"/><Relationship Id="rId224" Type="http://schemas.openxmlformats.org/officeDocument/2006/relationships/hyperlink" Target="https://www.asus.com/Motherboards-Components/Graphics-Cards/Dual/DUAL-RX6700XT-O12G/" TargetMode="External"/><Relationship Id="rId1055" Type="http://schemas.openxmlformats.org/officeDocument/2006/relationships/hyperlink" Target="https://en.colorful.cn/en/" TargetMode="External"/><Relationship Id="rId2386" Type="http://schemas.openxmlformats.org/officeDocument/2006/relationships/hyperlink" Target="http://www.gainward.com/main/vgapro.php?id=1130&amp;lang=en" TargetMode="External"/><Relationship Id="rId223" Type="http://schemas.openxmlformats.org/officeDocument/2006/relationships/hyperlink" Target="https://www.asus.com/Motherboards-Components/Graphics-Cards/Dual/DUAL-RX6700XT-12G/" TargetMode="External"/><Relationship Id="rId1056" Type="http://schemas.openxmlformats.org/officeDocument/2006/relationships/hyperlink" Target="https://en.colorful.cn/product_show.aspx?mid=102&amp;id=1793" TargetMode="External"/><Relationship Id="rId2387" Type="http://schemas.openxmlformats.org/officeDocument/2006/relationships/hyperlink" Target="https://www.galax.com/en/" TargetMode="External"/><Relationship Id="rId222" Type="http://schemas.openxmlformats.org/officeDocument/2006/relationships/hyperlink" Target="https://www.asus.com/Motherboards-Components/Graphics-Cards/ASUS/RX6700XT-12G/" TargetMode="External"/><Relationship Id="rId1057" Type="http://schemas.openxmlformats.org/officeDocument/2006/relationships/hyperlink" Target="https://en.colorful.cn/en/" TargetMode="External"/><Relationship Id="rId2388" Type="http://schemas.openxmlformats.org/officeDocument/2006/relationships/hyperlink" Target="http://www.szgalaxy.com/__ZH_GB__/Product5/ProductDetail?proID=772" TargetMode="External"/><Relationship Id="rId221" Type="http://schemas.openxmlformats.org/officeDocument/2006/relationships/hyperlink" Target="https://www.asrock.com/Graphics-Card/AMD/Radeon%20RX%206700%20XT%20Phantom%20Gaming%20D%2012GB%20OC/" TargetMode="External"/><Relationship Id="rId1058" Type="http://schemas.openxmlformats.org/officeDocument/2006/relationships/hyperlink" Target="https://en.colorful.cn/product_show.aspx?mid=102&amp;id=1727" TargetMode="External"/><Relationship Id="rId2389" Type="http://schemas.openxmlformats.org/officeDocument/2006/relationships/hyperlink" Target="https://www.galax.com/en/" TargetMode="External"/><Relationship Id="rId1048" Type="http://schemas.openxmlformats.org/officeDocument/2006/relationships/hyperlink" Target="https://www.asus.com/motherboards-components/graphics-cards/all-series/DUAL-RTX2070-8G-EVO-V2" TargetMode="External"/><Relationship Id="rId2379" Type="http://schemas.openxmlformats.org/officeDocument/2006/relationships/hyperlink" Target="https://www.emtekinc.co.kr/" TargetMode="External"/><Relationship Id="rId1049" Type="http://schemas.openxmlformats.org/officeDocument/2006/relationships/hyperlink" Target="https://www.asus.com/motherboards-components/graphics-cards/all-series/DUAL-RTX2070-O8G-EVO-V2" TargetMode="External"/><Relationship Id="rId217" Type="http://schemas.openxmlformats.org/officeDocument/2006/relationships/hyperlink" Target="https://www.asrock.com/Graphics-Card/AMD/Radeon%20RX%206700%20XT%2012GB/" TargetMode="External"/><Relationship Id="rId216" Type="http://schemas.openxmlformats.org/officeDocument/2006/relationships/hyperlink" Target="https://www.amd.com/en/products/graphics/amd-radeon-rx-6700-xt" TargetMode="External"/><Relationship Id="rId215" Type="http://schemas.openxmlformats.org/officeDocument/2006/relationships/hyperlink" Target="https://www.sapphiretech.com/en/consumer/pulse-radeon-rx-6700-10g-gddr6" TargetMode="External"/><Relationship Id="rId214" Type="http://schemas.openxmlformats.org/officeDocument/2006/relationships/hyperlink" Target="https://www.sapphiretech.com/en/consumer/radeon-rx-6700-10g-gddr6" TargetMode="External"/><Relationship Id="rId219" Type="http://schemas.openxmlformats.org/officeDocument/2006/relationships/hyperlink" Target="https://www.asrock.com/Graphics-Card/AMD/Radeon%20RX%206700%20XT%20Challenger%20D%2012GB%20OC/" TargetMode="External"/><Relationship Id="rId218" Type="http://schemas.openxmlformats.org/officeDocument/2006/relationships/hyperlink" Target="https://www.asrock.com/Graphics-Card/AMD/Radeon%20RX%206700%20XT%20Challenger%20D%2012GB/" TargetMode="External"/><Relationship Id="rId2370" Type="http://schemas.openxmlformats.org/officeDocument/2006/relationships/hyperlink" Target="https://www.colorful.cn/product_show.aspx?mid=102&amp;id=1863" TargetMode="External"/><Relationship Id="rId1040" Type="http://schemas.openxmlformats.org/officeDocument/2006/relationships/hyperlink" Target="https://www.asus.com/motherboards-components/graphics-cards/all-series/TURBO-RTX2070-8G" TargetMode="External"/><Relationship Id="rId2371" Type="http://schemas.openxmlformats.org/officeDocument/2006/relationships/hyperlink" Target="https://en.colorful.cn/en/" TargetMode="External"/><Relationship Id="rId1041" Type="http://schemas.openxmlformats.org/officeDocument/2006/relationships/hyperlink" Target="https://www.asus.com/motherboards-components/graphics-cards/all-series/TURBO-RTX2070-8G-EVO" TargetMode="External"/><Relationship Id="rId2372" Type="http://schemas.openxmlformats.org/officeDocument/2006/relationships/hyperlink" Target="https://en.colorful.cn/en/home/product?mid=102&amp;id=1854" TargetMode="External"/><Relationship Id="rId1042" Type="http://schemas.openxmlformats.org/officeDocument/2006/relationships/hyperlink" Target="https://www.asus.com/motherboards-components/graphics-cards/all-series/DUAL-RTX2070-8G" TargetMode="External"/><Relationship Id="rId2373" Type="http://schemas.openxmlformats.org/officeDocument/2006/relationships/hyperlink" Target="https://en.colorful.cn/en/" TargetMode="External"/><Relationship Id="rId1043" Type="http://schemas.openxmlformats.org/officeDocument/2006/relationships/hyperlink" Target="https://www.asus.com/motherboards-components/graphics-cards/all-series/DUAL-RTX2070-A8G" TargetMode="External"/><Relationship Id="rId2374" Type="http://schemas.openxmlformats.org/officeDocument/2006/relationships/hyperlink" Target="https://www.colorful.cn/product_show.aspx?mid=102&amp;id=1860" TargetMode="External"/><Relationship Id="rId213" Type="http://schemas.openxmlformats.org/officeDocument/2006/relationships/hyperlink" Target="https://www.powercolor.com/product?id=1654592690" TargetMode="External"/><Relationship Id="rId1044" Type="http://schemas.openxmlformats.org/officeDocument/2006/relationships/hyperlink" Target="https://www.asus.com/motherboards-components/graphics-cards/all-series/DUAL-RTX2070-O8G" TargetMode="External"/><Relationship Id="rId2375" Type="http://schemas.openxmlformats.org/officeDocument/2006/relationships/hyperlink" Target="https://en.colorful.cn/en/" TargetMode="External"/><Relationship Id="rId212" Type="http://schemas.openxmlformats.org/officeDocument/2006/relationships/hyperlink" Target="http://www.yeston.net/products-detail/id-61.html" TargetMode="External"/><Relationship Id="rId1045" Type="http://schemas.openxmlformats.org/officeDocument/2006/relationships/hyperlink" Target="https://www.asus.com/motherboards-components/graphics-cards/all-series/DUAL-RTX2070-8G-EVO" TargetMode="External"/><Relationship Id="rId2376" Type="http://schemas.openxmlformats.org/officeDocument/2006/relationships/hyperlink" Target="https://en.colorful.cn/en/home/product?mid=102&amp;id=1853" TargetMode="External"/><Relationship Id="rId211" Type="http://schemas.openxmlformats.org/officeDocument/2006/relationships/hyperlink" Target="http://www.yeston.net/" TargetMode="External"/><Relationship Id="rId1046" Type="http://schemas.openxmlformats.org/officeDocument/2006/relationships/hyperlink" Target="https://www.asus.com/motherboards-components/graphics-cards/all-series/DUAL-RTX2070-A8G-EVO" TargetMode="External"/><Relationship Id="rId2377" Type="http://schemas.openxmlformats.org/officeDocument/2006/relationships/hyperlink" Target="https://www.emtekinc.co.kr/" TargetMode="External"/><Relationship Id="rId210" Type="http://schemas.openxmlformats.org/officeDocument/2006/relationships/hyperlink" Target="https://www.xfxforce.com/shop/xfx-speedster-merc-308-amd-radeon-tm-rx-6650-xt-black" TargetMode="External"/><Relationship Id="rId1047" Type="http://schemas.openxmlformats.org/officeDocument/2006/relationships/hyperlink" Target="https://www.asus.com/motherboards-components/graphics-cards/all-series/DUAL-RTX2070-O8G-EVO" TargetMode="External"/><Relationship Id="rId2378" Type="http://schemas.openxmlformats.org/officeDocument/2006/relationships/hyperlink" Target="https://www.emtekinc.co.kr/bbs/board.php?bo_table=product&amp;wr_id=2260" TargetMode="External"/><Relationship Id="rId249" Type="http://schemas.openxmlformats.org/officeDocument/2006/relationships/hyperlink" Target="https://www.sapphiretech.com/en/consumer/pulse-radeon-rx-6700-xt-12g-gddr6" TargetMode="External"/><Relationship Id="rId248" Type="http://schemas.openxmlformats.org/officeDocument/2006/relationships/hyperlink" Target="https://www.sapphiretech.com/en/consumer/21306-01-20g-radeon-rx-6700-xt-12g-gddr6" TargetMode="External"/><Relationship Id="rId247" Type="http://schemas.openxmlformats.org/officeDocument/2006/relationships/hyperlink" Target="https://www.powercolor.com/product?id=1612497663" TargetMode="External"/><Relationship Id="rId1070" Type="http://schemas.openxmlformats.org/officeDocument/2006/relationships/hyperlink" Target="https://www.emtekinc.co.kr/bbs/board.php?bo_table=product&amp;wr_id=2056" TargetMode="External"/><Relationship Id="rId1071" Type="http://schemas.openxmlformats.org/officeDocument/2006/relationships/hyperlink" Target="https://www.emtekinc.co.kr/" TargetMode="External"/><Relationship Id="rId1072" Type="http://schemas.openxmlformats.org/officeDocument/2006/relationships/hyperlink" Target="https://www.emtekinc.co.kr/bbs/board.php?bo_table=product&amp;wr_id=1989" TargetMode="External"/><Relationship Id="rId242" Type="http://schemas.openxmlformats.org/officeDocument/2006/relationships/hyperlink" Target="https://www.msi.com/Graphics-Card/Radeon-RX-6700-XT-GAMING-X-12G" TargetMode="External"/><Relationship Id="rId1073" Type="http://schemas.openxmlformats.org/officeDocument/2006/relationships/hyperlink" Target="https://www.emtekinc.co.kr/" TargetMode="External"/><Relationship Id="rId241" Type="http://schemas.openxmlformats.org/officeDocument/2006/relationships/hyperlink" Target="https://www.msi.com/Graphics-Card/Radeon-RX-6700-XT-GAMING-12G" TargetMode="External"/><Relationship Id="rId1074" Type="http://schemas.openxmlformats.org/officeDocument/2006/relationships/hyperlink" Target="https://www.emtekinc.co.kr/bbs/board.php?bo_table=product&amp;wr_id=1954" TargetMode="External"/><Relationship Id="rId240" Type="http://schemas.openxmlformats.org/officeDocument/2006/relationships/hyperlink" Target="https://www.msi.com/Graphics-Card/Radeon-RX-6700-XT-MECH-2X-12G-OC" TargetMode="External"/><Relationship Id="rId1075" Type="http://schemas.openxmlformats.org/officeDocument/2006/relationships/hyperlink" Target="https://www.emtekinc.co.kr/" TargetMode="External"/><Relationship Id="rId1076" Type="http://schemas.openxmlformats.org/officeDocument/2006/relationships/hyperlink" Target="https://www.emtekinc.co.kr/bbs/board.php?bo_table=product&amp;wr_id=1959" TargetMode="External"/><Relationship Id="rId246" Type="http://schemas.openxmlformats.org/officeDocument/2006/relationships/hyperlink" Target="https://www.powercolor.com/product?id=1618541374" TargetMode="External"/><Relationship Id="rId1077" Type="http://schemas.openxmlformats.org/officeDocument/2006/relationships/hyperlink" Target="https://www.emtekinc.co.kr/" TargetMode="External"/><Relationship Id="rId245" Type="http://schemas.openxmlformats.org/officeDocument/2006/relationships/hyperlink" Target="https://www.powercolor.com/product?id=1612512855" TargetMode="External"/><Relationship Id="rId1078" Type="http://schemas.openxmlformats.org/officeDocument/2006/relationships/hyperlink" Target="https://www.emtekinc.co.kr/bbs/board.php?bo_table=product&amp;wr_id=1958" TargetMode="External"/><Relationship Id="rId244" Type="http://schemas.openxmlformats.org/officeDocument/2006/relationships/hyperlink" Target="https://www.powercolor.com/product?id=1612512944" TargetMode="External"/><Relationship Id="rId1079" Type="http://schemas.openxmlformats.org/officeDocument/2006/relationships/hyperlink" Target="https://www.emtekinc.co.kr/" TargetMode="External"/><Relationship Id="rId243" Type="http://schemas.openxmlformats.org/officeDocument/2006/relationships/hyperlink" Target="https://www.powercolor.com/product?id=1612507759" TargetMode="External"/><Relationship Id="rId239" Type="http://schemas.openxmlformats.org/officeDocument/2006/relationships/hyperlink" Target="https://www.msi.com/Graphics-Card/Radeon-RX-6700-XT-MECH-2X-12G" TargetMode="External"/><Relationship Id="rId238" Type="http://schemas.openxmlformats.org/officeDocument/2006/relationships/hyperlink" Target="https://www.msi.com/Graphics-Card/Radeon-RX-6700-XT-12G" TargetMode="External"/><Relationship Id="rId237" Type="http://schemas.openxmlformats.org/officeDocument/2006/relationships/hyperlink" Target="https://www.gigabyte.com/Graphics-Card/GV-R67XTAORUS-E-12GD" TargetMode="External"/><Relationship Id="rId236" Type="http://schemas.openxmlformats.org/officeDocument/2006/relationships/hyperlink" Target="https://www.gigabyte.com/Graphics-Card/GV-R67XTGAMING-OC-12GD" TargetMode="External"/><Relationship Id="rId2390" Type="http://schemas.openxmlformats.org/officeDocument/2006/relationships/hyperlink" Target="http://www.szgalaxy.com/__ZH_GB__/Product5/ProductDetail?proID=771" TargetMode="External"/><Relationship Id="rId1060" Type="http://schemas.openxmlformats.org/officeDocument/2006/relationships/hyperlink" Target="https://en.colorful.cn/product_show.aspx?mid=102&amp;id=1726" TargetMode="External"/><Relationship Id="rId2391" Type="http://schemas.openxmlformats.org/officeDocument/2006/relationships/hyperlink" Target="https://www.galax.com/en/" TargetMode="External"/><Relationship Id="rId1061" Type="http://schemas.openxmlformats.org/officeDocument/2006/relationships/hyperlink" Target="https://en.colorful.cn/en/" TargetMode="External"/><Relationship Id="rId2392" Type="http://schemas.openxmlformats.org/officeDocument/2006/relationships/hyperlink" Target="http://www.szgalaxy.com/__ZH_GB__/Product5/ProductDetail?proID=764" TargetMode="External"/><Relationship Id="rId231" Type="http://schemas.openxmlformats.org/officeDocument/2006/relationships/hyperlink" Target="http://www.dataland.com.cn/" TargetMode="External"/><Relationship Id="rId1062" Type="http://schemas.openxmlformats.org/officeDocument/2006/relationships/hyperlink" Target="https://en.colorful.cn/product_show.aspx?mid=102&amp;id=1728" TargetMode="External"/><Relationship Id="rId2393" Type="http://schemas.openxmlformats.org/officeDocument/2006/relationships/hyperlink" Target="https://www.galax.com/en/" TargetMode="External"/><Relationship Id="rId230" Type="http://schemas.openxmlformats.org/officeDocument/2006/relationships/hyperlink" Target="http://www.dataland.com.cn/prod_view.aspx?nid=3&amp;typeid=142&amp;id=952" TargetMode="External"/><Relationship Id="rId1063" Type="http://schemas.openxmlformats.org/officeDocument/2006/relationships/hyperlink" Target="https://en.colorful.cn/en/" TargetMode="External"/><Relationship Id="rId2394" Type="http://schemas.openxmlformats.org/officeDocument/2006/relationships/hyperlink" Target="http://www.szgalaxy.com/__ZH_GB__/Product5/ProductDetail?proID=763" TargetMode="External"/><Relationship Id="rId1064" Type="http://schemas.openxmlformats.org/officeDocument/2006/relationships/hyperlink" Target="https://en.colorful.cn/product_show.aspx?mid=102&amp;id=1729" TargetMode="External"/><Relationship Id="rId2395" Type="http://schemas.openxmlformats.org/officeDocument/2006/relationships/hyperlink" Target="https://www.galax.com/en/" TargetMode="External"/><Relationship Id="rId1065" Type="http://schemas.openxmlformats.org/officeDocument/2006/relationships/hyperlink" Target="https://en.colorful.cn/en/" TargetMode="External"/><Relationship Id="rId2396" Type="http://schemas.openxmlformats.org/officeDocument/2006/relationships/hyperlink" Target="http://www.szgalaxy.com/__ZH_GB__/Product5/ProductDetail?proID=762" TargetMode="External"/><Relationship Id="rId235" Type="http://schemas.openxmlformats.org/officeDocument/2006/relationships/hyperlink" Target="https://www.gigabyte.com/Graphics-Card/GV-R67XTEAGLE-OC-12GD" TargetMode="External"/><Relationship Id="rId1066" Type="http://schemas.openxmlformats.org/officeDocument/2006/relationships/hyperlink" Target="https://en.colorful.cn/product_show.aspx?mid=102&amp;id=1730" TargetMode="External"/><Relationship Id="rId2397" Type="http://schemas.openxmlformats.org/officeDocument/2006/relationships/hyperlink" Target="https://www.galax.com/en/" TargetMode="External"/><Relationship Id="rId234" Type="http://schemas.openxmlformats.org/officeDocument/2006/relationships/hyperlink" Target="https://www.gigabyte.com/Graphics-Card/GV-R67XTEAGLE-12GD" TargetMode="External"/><Relationship Id="rId1067" Type="http://schemas.openxmlformats.org/officeDocument/2006/relationships/hyperlink" Target="https://www.emtekinc.co.kr/" TargetMode="External"/><Relationship Id="rId2398" Type="http://schemas.openxmlformats.org/officeDocument/2006/relationships/hyperlink" Target="http://www.szgalaxy.com/__ZH_GB__/Product5/ProductDetail?proID=785" TargetMode="External"/><Relationship Id="rId233" Type="http://schemas.openxmlformats.org/officeDocument/2006/relationships/hyperlink" Target="https://www.gigabyte.com/Graphics-Card/GV-R67XT-12GD-B" TargetMode="External"/><Relationship Id="rId1068" Type="http://schemas.openxmlformats.org/officeDocument/2006/relationships/hyperlink" Target="https://www.emtekinc.co.kr/bbs/board.php?bo_table=product&amp;wr_id=1956" TargetMode="External"/><Relationship Id="rId2399" Type="http://schemas.openxmlformats.org/officeDocument/2006/relationships/hyperlink" Target="https://www.galax.com/en/" TargetMode="External"/><Relationship Id="rId232" Type="http://schemas.openxmlformats.org/officeDocument/2006/relationships/hyperlink" Target="http://www.dataland.com.cn/prod_view.aspx?nid=3&amp;typeid=142&amp;id=951" TargetMode="External"/><Relationship Id="rId1069" Type="http://schemas.openxmlformats.org/officeDocument/2006/relationships/hyperlink" Target="https://www.emtekinc.co.kr/" TargetMode="External"/><Relationship Id="rId1015" Type="http://schemas.openxmlformats.org/officeDocument/2006/relationships/hyperlink" Target="https://www.gigabyte.com/Graphics-Card/GV-N206SGAMINGOC-WHITE-8GD-rev-20" TargetMode="External"/><Relationship Id="rId2346" Type="http://schemas.openxmlformats.org/officeDocument/2006/relationships/hyperlink" Target="https://www.zotac.com/product/graphics_card/zotac-gaming-geforce-rtx-3070-twin-edge" TargetMode="External"/><Relationship Id="rId3678" Type="http://schemas.openxmlformats.org/officeDocument/2006/relationships/hyperlink" Target="https://www.asus.com/motherboards-components/graphics-cards/dual/dual-rtx4070tis-16g/" TargetMode="External"/><Relationship Id="rId1016" Type="http://schemas.openxmlformats.org/officeDocument/2006/relationships/hyperlink" Target="https://www.gigabyte.com/Graphics-Card/GV-N206SAORUS-8GC-rev-10" TargetMode="External"/><Relationship Id="rId2347" Type="http://schemas.openxmlformats.org/officeDocument/2006/relationships/hyperlink" Target="https://www.zotac.com/product/graphics_card/zotac-gaming-geforce-rtx-3070-twin-edge-lhr" TargetMode="External"/><Relationship Id="rId3677" Type="http://schemas.openxmlformats.org/officeDocument/2006/relationships/hyperlink" Target="https://www.zotac.com/product/graphics_card/zotac-gaming-geforce-rtx-4070-ti-amp-extreme-airo" TargetMode="External"/><Relationship Id="rId1017" Type="http://schemas.openxmlformats.org/officeDocument/2006/relationships/hyperlink" Target="https://www.inno3d.com/en/product_detail/page/15727b1e6cc6259f109a22b25a81a4d2237a1a8d8d8312b4ddf92edbc8cd4d61" TargetMode="External"/><Relationship Id="rId2348" Type="http://schemas.openxmlformats.org/officeDocument/2006/relationships/hyperlink" Target="https://www.zotac.com/product/graphics_card/zotac-gaming-geforce-rtx-3070-twin-edge-oc" TargetMode="External"/><Relationship Id="rId1018" Type="http://schemas.openxmlformats.org/officeDocument/2006/relationships/hyperlink" Target="https://www.inno3d.com/en/product_detail/page/29be93bf41ab01bd290ee68bab6d780401ca4c3958bbdff60842393eedb28a93" TargetMode="External"/><Relationship Id="rId2349" Type="http://schemas.openxmlformats.org/officeDocument/2006/relationships/hyperlink" Target="https://www.zotac.com/product/graphics_card/zotac-gaming-geforce-rtx-3070-twin-edge-oc-lhr" TargetMode="External"/><Relationship Id="rId3679" Type="http://schemas.openxmlformats.org/officeDocument/2006/relationships/hyperlink" Target="https://www.asus.com/motherboards-components/graphics-cards/dual/dual-rtx4070tis-o16g/" TargetMode="External"/><Relationship Id="rId1019" Type="http://schemas.openxmlformats.org/officeDocument/2006/relationships/hyperlink" Target="https://www.inno3d.com/en/product_detail/page/fccba11a8479e97994610ab8c72811e1c8ec956185dab7a99cd1f07e19f17aba" TargetMode="External"/><Relationship Id="rId3670" Type="http://schemas.openxmlformats.org/officeDocument/2006/relationships/hyperlink" Target="https://www.zotac.com/" TargetMode="External"/><Relationship Id="rId2340" Type="http://schemas.openxmlformats.org/officeDocument/2006/relationships/hyperlink" Target="https://www.zotac.com/cn/product/graphics_card/%E7%B4%A2%E6%B3%B0-geforce%C2%AErtx-3070-8gd6-%E5%A4%A9%E5%90%AF-oc" TargetMode="External"/><Relationship Id="rId3672" Type="http://schemas.openxmlformats.org/officeDocument/2006/relationships/hyperlink" Target="https://www.zotac.com/" TargetMode="External"/><Relationship Id="rId1010" Type="http://schemas.openxmlformats.org/officeDocument/2006/relationships/hyperlink" Target="https://www.gigabyte.com/Graphics-Card/GV-N206SGAMING-8GC" TargetMode="External"/><Relationship Id="rId2341" Type="http://schemas.openxmlformats.org/officeDocument/2006/relationships/hyperlink" Target="https://www.zotac.com/cn/product/graphics_card/%E7%B4%A2%E6%B3%B0-geforce%C2%AErtx-3070-8gd6-%E5%A4%A9%E5%90%AF-goc" TargetMode="External"/><Relationship Id="rId3671" Type="http://schemas.openxmlformats.org/officeDocument/2006/relationships/hyperlink" Target="https://www.zotac.com/product/graphics_card/zotac-gaming-geforce-rtx-4070-ti-trinity-oc-white-edition" TargetMode="External"/><Relationship Id="rId1011" Type="http://schemas.openxmlformats.org/officeDocument/2006/relationships/hyperlink" Target="https://www.gigabyte.com/Graphics-Card/GV-N206SGAMING-OC-8GC" TargetMode="External"/><Relationship Id="rId2342" Type="http://schemas.openxmlformats.org/officeDocument/2006/relationships/hyperlink" Target="https://www.zotac.com/cn/product/graphics_card/%E7%B4%A2%E6%B3%B0-geforce%C2%AErtx-3070-8gd6-pgf" TargetMode="External"/><Relationship Id="rId3674" Type="http://schemas.openxmlformats.org/officeDocument/2006/relationships/hyperlink" Target="https://www.zotac.com/" TargetMode="External"/><Relationship Id="rId1012" Type="http://schemas.openxmlformats.org/officeDocument/2006/relationships/hyperlink" Target="https://www.gigabyte.com/Graphics-Card/GV-N206SGAMINGOC-WHITE-8GC" TargetMode="External"/><Relationship Id="rId2343" Type="http://schemas.openxmlformats.org/officeDocument/2006/relationships/hyperlink" Target="https://www.zotac.com/cn/product/graphics_card/%E7%B4%A2%E6%B3%B0-geforce%C2%AE-rtx-3070-8gd6-pgf-ge" TargetMode="External"/><Relationship Id="rId3673" Type="http://schemas.openxmlformats.org/officeDocument/2006/relationships/hyperlink" Target="https://www.zotac.com/product/graphics_card/zotac-gaming-geforce-rtx-4070-ti-amp-airo" TargetMode="External"/><Relationship Id="rId1013" Type="http://schemas.openxmlformats.org/officeDocument/2006/relationships/hyperlink" Target="https://www.gigabyte.com/Graphics-Card/GV-N206SGAMING-WHITE-8GD" TargetMode="External"/><Relationship Id="rId2344" Type="http://schemas.openxmlformats.org/officeDocument/2006/relationships/hyperlink" Target="https://www.zotac.com/cn/product/graphics_card/%E7%B4%A2%E6%B3%B0-geforce%C2%AErtx-3070-8gd6-pgf-oc" TargetMode="External"/><Relationship Id="rId3676" Type="http://schemas.openxmlformats.org/officeDocument/2006/relationships/hyperlink" Target="https://www.zotac.com/" TargetMode="External"/><Relationship Id="rId1014" Type="http://schemas.openxmlformats.org/officeDocument/2006/relationships/hyperlink" Target="https://www.gigabyte.com/Graphics-Card/GV-N206SGAMING-OC-8GD-rev-20" TargetMode="External"/><Relationship Id="rId2345" Type="http://schemas.openxmlformats.org/officeDocument/2006/relationships/hyperlink" Target="https://www.zotac.com/cn/product/graphics_card/%E7%B4%A2%E6%B3%B0-geforce%C2%AErtx-3070-8gd6-pgf-goc" TargetMode="External"/><Relationship Id="rId3675" Type="http://schemas.openxmlformats.org/officeDocument/2006/relationships/hyperlink" Target="https://www.zotac.com/product/graphics_card/zotac-gaming-geforce-rtx-4070-ti-amp-airo-spider-man%E2%84%A2-across-spider-verse" TargetMode="External"/><Relationship Id="rId1004" Type="http://schemas.openxmlformats.org/officeDocument/2006/relationships/hyperlink" Target="https://www.galax.com/en/" TargetMode="External"/><Relationship Id="rId2335" Type="http://schemas.openxmlformats.org/officeDocument/2006/relationships/hyperlink" Target="http://www.yeston.net/products-detail/id-78.html" TargetMode="External"/><Relationship Id="rId3667" Type="http://schemas.openxmlformats.org/officeDocument/2006/relationships/hyperlink" Target="https://www.zotac.com/product/graphics_card/zotac-gaming-geforce-rtx-4070-ti-trinity" TargetMode="External"/><Relationship Id="rId1005" Type="http://schemas.openxmlformats.org/officeDocument/2006/relationships/hyperlink" Target="https://www.galax.com/en/graphics-card/20-series/geforce-rtx-2060-super-ex-1click-v2.html" TargetMode="External"/><Relationship Id="rId2336" Type="http://schemas.openxmlformats.org/officeDocument/2006/relationships/hyperlink" Target="https://www.zotac.com/cn/product/graphics_card/%E7%B4%A2%E6%B3%B0-geforce%C2%AE-rtx-3070-8gd6-%E9%9C%B9%E9%9B%B3%E7%89%88-ha" TargetMode="External"/><Relationship Id="rId3666" Type="http://schemas.openxmlformats.org/officeDocument/2006/relationships/hyperlink" Target="https://www.zotac.com/" TargetMode="External"/><Relationship Id="rId1006" Type="http://schemas.openxmlformats.org/officeDocument/2006/relationships/hyperlink" Target="https://www.galax.com/en/" TargetMode="External"/><Relationship Id="rId2337" Type="http://schemas.openxmlformats.org/officeDocument/2006/relationships/hyperlink" Target="https://www.zotac.com/cn/product/graphics_card/%E7%B4%A2%E6%B3%B0-geforce%C2%AE-rtx-3070-8gd6-%E9%9C%B9%E9%9B%B3ge-ha" TargetMode="External"/><Relationship Id="rId3669" Type="http://schemas.openxmlformats.org/officeDocument/2006/relationships/hyperlink" Target="https://www.zotac.com/product/graphics_card/zotac-gaming-geforce-rtx-4070-ti-trinity-oc" TargetMode="External"/><Relationship Id="rId1007" Type="http://schemas.openxmlformats.org/officeDocument/2006/relationships/hyperlink" Target="https://www.galax.com/en/graphics-card/20-series/galax-geforce-rtx-2060-super-ex-white-1click.html" TargetMode="External"/><Relationship Id="rId2338" Type="http://schemas.openxmlformats.org/officeDocument/2006/relationships/hyperlink" Target="https://www.zotac.com/cn/product/graphics_card/%E7%B4%A2%E6%B3%B0-geforce%C2%AE-rtx-3070-8gd6-x-gaming-oc" TargetMode="External"/><Relationship Id="rId3668" Type="http://schemas.openxmlformats.org/officeDocument/2006/relationships/hyperlink" Target="https://www.zotac.com/" TargetMode="External"/><Relationship Id="rId1008" Type="http://schemas.openxmlformats.org/officeDocument/2006/relationships/hyperlink" Target="https://www.gigabyte.com/Graphics-Card/GV-N206SWF2-8GD-rev-10" TargetMode="External"/><Relationship Id="rId2339" Type="http://schemas.openxmlformats.org/officeDocument/2006/relationships/hyperlink" Target="https://www.zotac.com/cn/product/graphics_card/%E7%B4%A2%E6%B3%B0-geforce%C2%AE-rtx-3070-8gd6-x-gaming-goc" TargetMode="External"/><Relationship Id="rId1009" Type="http://schemas.openxmlformats.org/officeDocument/2006/relationships/hyperlink" Target="https://www.gigabyte.com/Graphics-Card/GV-N206SWF2OC-8GD-rev-10" TargetMode="External"/><Relationship Id="rId3661" Type="http://schemas.openxmlformats.org/officeDocument/2006/relationships/hyperlink" Target="https://www.zotac.com/cn/product/graphics_card/%E7%B4%A2%E6%B3%B0-geforce-rtx-rtx-4070ti-12gb-x-gaming-oc-%E6%AC%A7%E6%B3%8A%E7%99%BD" TargetMode="External"/><Relationship Id="rId2330" Type="http://schemas.openxmlformats.org/officeDocument/2006/relationships/hyperlink" Target="https://www.pny.com/pny-geforce-rtx-3070-8gb-df" TargetMode="External"/><Relationship Id="rId3660" Type="http://schemas.openxmlformats.org/officeDocument/2006/relationships/hyperlink" Target="https://www.zotac.com/" TargetMode="External"/><Relationship Id="rId1000" Type="http://schemas.openxmlformats.org/officeDocument/2006/relationships/hyperlink" Target="https://www.galax.com/en/" TargetMode="External"/><Relationship Id="rId2331" Type="http://schemas.openxmlformats.org/officeDocument/2006/relationships/hyperlink" Target="https://www.pny.com/geforc-rtx-3070-uprising-lhr" TargetMode="External"/><Relationship Id="rId3663" Type="http://schemas.openxmlformats.org/officeDocument/2006/relationships/hyperlink" Target="https://www.zotac.com/cn/product/graphics_card/%E7%B4%A2%E6%B3%B0-geforce-rtx-4070ti-12gb-%E5%A4%A9%E5%90%AF" TargetMode="External"/><Relationship Id="rId1001" Type="http://schemas.openxmlformats.org/officeDocument/2006/relationships/hyperlink" Target="https://www.galax.com/en/" TargetMode="External"/><Relationship Id="rId2332" Type="http://schemas.openxmlformats.org/officeDocument/2006/relationships/hyperlink" Target="https://www.pny.com/geforce-rtx-3070-xlr8-gaming-epic-x-rgb-triple-fan" TargetMode="External"/><Relationship Id="rId3662" Type="http://schemas.openxmlformats.org/officeDocument/2006/relationships/hyperlink" Target="https://www.zotac.com/" TargetMode="External"/><Relationship Id="rId1002" Type="http://schemas.openxmlformats.org/officeDocument/2006/relationships/hyperlink" Target="https://www.galax.com/en/" TargetMode="External"/><Relationship Id="rId2333" Type="http://schemas.openxmlformats.org/officeDocument/2006/relationships/hyperlink" Target="https://www.pny.com/geforce-rtx-3070-revel-lhr" TargetMode="External"/><Relationship Id="rId3665" Type="http://schemas.openxmlformats.org/officeDocument/2006/relationships/hyperlink" Target="https://www.zotac.com/cn/product/graphics_card/%E7%B4%A2%E6%B3%B0-geforce-rtx-4070ti-12gb-%E5%A4%A9%E5%90%AF-oc" TargetMode="External"/><Relationship Id="rId1003" Type="http://schemas.openxmlformats.org/officeDocument/2006/relationships/hyperlink" Target="https://www.galax.com/en/graphics-card/20-series/galax-geforce-rtx-2060-super-ex-1click.html" TargetMode="External"/><Relationship Id="rId2334" Type="http://schemas.openxmlformats.org/officeDocument/2006/relationships/hyperlink" Target="http://www.yeston.net/" TargetMode="External"/><Relationship Id="rId3664" Type="http://schemas.openxmlformats.org/officeDocument/2006/relationships/hyperlink" Target="https://www.zotac.com/" TargetMode="External"/><Relationship Id="rId1037" Type="http://schemas.openxmlformats.org/officeDocument/2006/relationships/hyperlink" Target="http://www.pcasl.com/pd.jsp?id=100" TargetMode="External"/><Relationship Id="rId2368" Type="http://schemas.openxmlformats.org/officeDocument/2006/relationships/hyperlink" Target="https://en.colorful.cn/en/home/product?mid=102&amp;id=1863" TargetMode="External"/><Relationship Id="rId1038" Type="http://schemas.openxmlformats.org/officeDocument/2006/relationships/hyperlink" Target="http://www.pcasl.com/index.jsp" TargetMode="External"/><Relationship Id="rId2369" Type="http://schemas.openxmlformats.org/officeDocument/2006/relationships/hyperlink" Target="https://en.colorful.cn/en/" TargetMode="External"/><Relationship Id="rId3699" Type="http://schemas.openxmlformats.org/officeDocument/2006/relationships/hyperlink" Target="https://www.gainward.com/main/vgapro.php?id=1207&amp;lang=en" TargetMode="External"/><Relationship Id="rId1039" Type="http://schemas.openxmlformats.org/officeDocument/2006/relationships/hyperlink" Target="http://www.pcasl.com/pd.jsp?id=110" TargetMode="External"/><Relationship Id="rId206" Type="http://schemas.openxmlformats.org/officeDocument/2006/relationships/hyperlink" Target="https://www.sapphiretech.com/en/consumer/pulse-radeon-rx-6650-xt-8g-gddr6" TargetMode="External"/><Relationship Id="rId205" Type="http://schemas.openxmlformats.org/officeDocument/2006/relationships/hyperlink" Target="https://www.powercolor.com/product?id=1646624351" TargetMode="External"/><Relationship Id="rId204" Type="http://schemas.openxmlformats.org/officeDocument/2006/relationships/hyperlink" Target="https://www.powercolor.com/product?id=1646624986" TargetMode="External"/><Relationship Id="rId203" Type="http://schemas.openxmlformats.org/officeDocument/2006/relationships/hyperlink" Target="https://www.powercolor.com/product?id=1646624580" TargetMode="External"/><Relationship Id="rId209" Type="http://schemas.openxmlformats.org/officeDocument/2006/relationships/hyperlink" Target="https://www.xfxforce.com/shop/xfx-speedster-qick-308-amd-radeon-tm-rx-6650-xt-ultra" TargetMode="External"/><Relationship Id="rId208" Type="http://schemas.openxmlformats.org/officeDocument/2006/relationships/hyperlink" Target="https://www.xfxforce.com/shop/xfx-speedster-swft210-amd-radeon-tm-rx-6650-xt-core" TargetMode="External"/><Relationship Id="rId3690" Type="http://schemas.openxmlformats.org/officeDocument/2006/relationships/hyperlink" Target="https://en.colorful.cn/en/home/product?mid=102&amp;id=a74383ff-d36b-462d-b1de-37f348d34594" TargetMode="External"/><Relationship Id="rId207" Type="http://schemas.openxmlformats.org/officeDocument/2006/relationships/hyperlink" Target="https://www.sapphiretech.com/en/consumer/nitro-radeon-rx-6650-xt-8g-gddr6" TargetMode="External"/><Relationship Id="rId2360" Type="http://schemas.openxmlformats.org/officeDocument/2006/relationships/hyperlink" Target="https://rog.asus.com/graphics-cards/graphics-cards/rog-strix/rog-strix-rtx3070ti-o8g-gaming-model/" TargetMode="External"/><Relationship Id="rId3692" Type="http://schemas.openxmlformats.org/officeDocument/2006/relationships/hyperlink" Target="https://en.colorful.cn/en/home/product?mid=102&amp;id=6b8f1b89-32d7-40d7-afc7-24e592cda83e" TargetMode="External"/><Relationship Id="rId1030" Type="http://schemas.openxmlformats.org/officeDocument/2006/relationships/hyperlink" Target="https://www.msi.com/Graphics-card/GeForce-RTX-2060-SUPER-ARMOR" TargetMode="External"/><Relationship Id="rId2361" Type="http://schemas.openxmlformats.org/officeDocument/2006/relationships/hyperlink" Target="https://en.colorful.cn/en/" TargetMode="External"/><Relationship Id="rId3691" Type="http://schemas.openxmlformats.org/officeDocument/2006/relationships/hyperlink" Target="https://en.colorful.cn/en/" TargetMode="External"/><Relationship Id="rId1031" Type="http://schemas.openxmlformats.org/officeDocument/2006/relationships/hyperlink" Target="https://www.msi.com/Graphics-card/GeForce-RTX-2060-SUPER-ARMOR-OC" TargetMode="External"/><Relationship Id="rId2362" Type="http://schemas.openxmlformats.org/officeDocument/2006/relationships/hyperlink" Target="https://en.colorful.cn/en/home/product?mid=102&amp;id=1855" TargetMode="External"/><Relationship Id="rId3694" Type="http://schemas.openxmlformats.org/officeDocument/2006/relationships/hyperlink" Target="https://en.colorful.cn/en/home/product?mid=102&amp;id=d9acad6e-6ad2-4f6b-a12f-e8f0a843ada9" TargetMode="External"/><Relationship Id="rId1032" Type="http://schemas.openxmlformats.org/officeDocument/2006/relationships/hyperlink" Target="https://www.msi.com/Graphics-card/GeForce-RTX-2060-SUPER-GAMING" TargetMode="External"/><Relationship Id="rId2363" Type="http://schemas.openxmlformats.org/officeDocument/2006/relationships/hyperlink" Target="https://en.colorful.cn/en/" TargetMode="External"/><Relationship Id="rId3693" Type="http://schemas.openxmlformats.org/officeDocument/2006/relationships/hyperlink" Target="https://en.colorful.cn/en/" TargetMode="External"/><Relationship Id="rId202" Type="http://schemas.openxmlformats.org/officeDocument/2006/relationships/hyperlink" Target="https://www.powercolor.com/product?id=1646625826" TargetMode="External"/><Relationship Id="rId1033" Type="http://schemas.openxmlformats.org/officeDocument/2006/relationships/hyperlink" Target="https://www.msi.com/Graphics-card/GeForce-RTX-2060-SUPER-GAMING-X" TargetMode="External"/><Relationship Id="rId2364" Type="http://schemas.openxmlformats.org/officeDocument/2006/relationships/hyperlink" Target="https://en.colorful.cn/en/home/product?mid=102&amp;id=1875" TargetMode="External"/><Relationship Id="rId3696" Type="http://schemas.openxmlformats.org/officeDocument/2006/relationships/hyperlink" Target="https://en.colorful.cn/en/home/product?mid=102&amp;id=47ab8fa6-377c-4d95-be20-0aa226f43e01" TargetMode="External"/><Relationship Id="rId201" Type="http://schemas.openxmlformats.org/officeDocument/2006/relationships/hyperlink" Target="https://www.msi.com/Graphics-Card/Radeon-RX-6650-XT-GAMING-X-8G" TargetMode="External"/><Relationship Id="rId1034" Type="http://schemas.openxmlformats.org/officeDocument/2006/relationships/hyperlink" Target="http://www.palit.com/palit/vgapro.php?id=3317&amp;lang=en" TargetMode="External"/><Relationship Id="rId2365" Type="http://schemas.openxmlformats.org/officeDocument/2006/relationships/hyperlink" Target="https://en.colorful.cn/en/" TargetMode="External"/><Relationship Id="rId3695" Type="http://schemas.openxmlformats.org/officeDocument/2006/relationships/hyperlink" Target="https://en.colorful.cn/en/" TargetMode="External"/><Relationship Id="rId200" Type="http://schemas.openxmlformats.org/officeDocument/2006/relationships/hyperlink" Target="https://www.msi.com/Graphics-Card/Radeon-RX-6650-XT-GAMING-8G" TargetMode="External"/><Relationship Id="rId1035" Type="http://schemas.openxmlformats.org/officeDocument/2006/relationships/hyperlink" Target="https://www.zotac.com/product/graphics_card/zotac-gaming-geforce-rtx-2060-super-amp-extreme" TargetMode="External"/><Relationship Id="rId2366" Type="http://schemas.openxmlformats.org/officeDocument/2006/relationships/hyperlink" Target="https://www.colorful.cn/product_show.aspx?mid=102&amp;id=1864" TargetMode="External"/><Relationship Id="rId3698" Type="http://schemas.openxmlformats.org/officeDocument/2006/relationships/hyperlink" Target="https://www.gainward.com/main/vgapro.php?id=1208&amp;lang=en" TargetMode="External"/><Relationship Id="rId1036" Type="http://schemas.openxmlformats.org/officeDocument/2006/relationships/hyperlink" Target="http://www.pcasl.com/index.jsp" TargetMode="External"/><Relationship Id="rId2367" Type="http://schemas.openxmlformats.org/officeDocument/2006/relationships/hyperlink" Target="https://en.colorful.cn/en/" TargetMode="External"/><Relationship Id="rId3697" Type="http://schemas.openxmlformats.org/officeDocument/2006/relationships/hyperlink" Target="https://www.gainward.com/main/vgapro.php?id=1204&amp;lang=en" TargetMode="External"/><Relationship Id="rId1026" Type="http://schemas.openxmlformats.org/officeDocument/2006/relationships/hyperlink" Target="https://www.msi.com/Graphics-card/GeForce-RTX-2060-SUPER-VENTUS-GP" TargetMode="External"/><Relationship Id="rId2357" Type="http://schemas.openxmlformats.org/officeDocument/2006/relationships/hyperlink" Target="https://www.asus.com/motherboards-components/graphics-cards/tuf-gaming/tuf-rtx3070ti-8g-v2-gaming/" TargetMode="External"/><Relationship Id="rId3689" Type="http://schemas.openxmlformats.org/officeDocument/2006/relationships/hyperlink" Target="https://en.colorful.cn/en/" TargetMode="External"/><Relationship Id="rId1027" Type="http://schemas.openxmlformats.org/officeDocument/2006/relationships/hyperlink" Target="https://www.msi.com/Graphics-card/GeForce-RTX-2060-SUPER-VENTUS-GP-OC" TargetMode="External"/><Relationship Id="rId2358" Type="http://schemas.openxmlformats.org/officeDocument/2006/relationships/hyperlink" Target="https://www.asus.com/motherboards-components/graphics-cards/tuf-gaming/tuf-rtx3070ti-o8g-v2-gaming/" TargetMode="External"/><Relationship Id="rId3688" Type="http://schemas.openxmlformats.org/officeDocument/2006/relationships/hyperlink" Target="https://en.colorful.cn/en/home/product?mid=102&amp;id=c619c9ae-b48e-4618-b9b4-225e23c83140" TargetMode="External"/><Relationship Id="rId1028" Type="http://schemas.openxmlformats.org/officeDocument/2006/relationships/hyperlink" Target="https://www.msi.com/Graphics-Card/GeForce-RTX-2060-SUPER-VENTUS-V1" TargetMode="External"/><Relationship Id="rId2359" Type="http://schemas.openxmlformats.org/officeDocument/2006/relationships/hyperlink" Target="https://rog.asus.com/graphics-cards/graphics-cards/rog-strix/rog-strix-rtx3070ti-8g-gaming-model/" TargetMode="External"/><Relationship Id="rId1029" Type="http://schemas.openxmlformats.org/officeDocument/2006/relationships/hyperlink" Target="https://www.msi.com/Graphics-Card/GeForce-RTX-2060-SUPER-VENTUS-OCV1" TargetMode="External"/><Relationship Id="rId3681" Type="http://schemas.openxmlformats.org/officeDocument/2006/relationships/hyperlink" Target="https://www.asus.com/motherboards-components/graphics-cards/proart/proart-rtx4070tis-o16g/" TargetMode="External"/><Relationship Id="rId2350" Type="http://schemas.openxmlformats.org/officeDocument/2006/relationships/hyperlink" Target="https://www.zotac.com/product/graphics_card/zotac-gaming-geforce-rtx-3070-twin-edge-oc-white-edition" TargetMode="External"/><Relationship Id="rId3680" Type="http://schemas.openxmlformats.org/officeDocument/2006/relationships/hyperlink" Target="https://www.asus.com/motherboards-components/graphics-cards/proart/proart-rtx4070tis-16g/" TargetMode="External"/><Relationship Id="rId1020" Type="http://schemas.openxmlformats.org/officeDocument/2006/relationships/hyperlink" Target="https://www.inno3d.com/en/product_detail/page/f572eadbe1f816899ea86afa772272d041db915c75f27d6d5fb4b3bc97991a6e" TargetMode="External"/><Relationship Id="rId2351" Type="http://schemas.openxmlformats.org/officeDocument/2006/relationships/hyperlink" Target="https://www.zotac.com/product/graphics_card/zotac-gaming-geforce-rtx-3070-twin-edge-oc-white-edition-lhr" TargetMode="External"/><Relationship Id="rId3683" Type="http://schemas.openxmlformats.org/officeDocument/2006/relationships/hyperlink" Target="https://www.asus.com/motherboards-components/graphics-cards/tuf-gaming/tuf-rtx4070tis-o16g-gaming/" TargetMode="External"/><Relationship Id="rId1021" Type="http://schemas.openxmlformats.org/officeDocument/2006/relationships/hyperlink" Target="https://www.inno3d.com/en/product_detail/page/caf0699eba5c60d89aaf62f408816cc28854e284302b43764ea8aa1e6248d2c1" TargetMode="External"/><Relationship Id="rId2352" Type="http://schemas.openxmlformats.org/officeDocument/2006/relationships/hyperlink" Target="https://www.zotac.com/product/graphics_card/zotac-gaming-geforce-rtx-3070-amp-holo" TargetMode="External"/><Relationship Id="rId3682" Type="http://schemas.openxmlformats.org/officeDocument/2006/relationships/hyperlink" Target="https://www.asus.com/motherboards-components/graphics-cards/tuf-gaming/tuf-rtx4070tis-16g-gaming/" TargetMode="External"/><Relationship Id="rId1022" Type="http://schemas.openxmlformats.org/officeDocument/2006/relationships/hyperlink" Target="https://www.manli.com/en/product-detail-MANLI_GeForce_RTX_2060_Super_(M1432+N537-10)-146.html" TargetMode="External"/><Relationship Id="rId2353" Type="http://schemas.openxmlformats.org/officeDocument/2006/relationships/hyperlink" Target="https://www.zotac.com/product/graphics_card/zotac-gaming-geforce-rtx-3070-amp-holo-lhr" TargetMode="External"/><Relationship Id="rId3685" Type="http://schemas.openxmlformats.org/officeDocument/2006/relationships/hyperlink" Target="https://rog.asus.com/graphics-cards/graphics-cards/rog-strix/rog-strix-rtx4070tis-16g-gaming/" TargetMode="External"/><Relationship Id="rId1023" Type="http://schemas.openxmlformats.org/officeDocument/2006/relationships/hyperlink" Target="https://www.manli.com/en/product-detail-MANLI_GeForce_RTX_2060_Super_(M1424+N522-01)-145.html" TargetMode="External"/><Relationship Id="rId2354" Type="http://schemas.openxmlformats.org/officeDocument/2006/relationships/hyperlink" Target="https://www.asus.com/Motherboards-Components/Graphics-Cards/Turbo/TURBO-RTX3070TI-8G/" TargetMode="External"/><Relationship Id="rId3684" Type="http://schemas.openxmlformats.org/officeDocument/2006/relationships/hyperlink" Target="https://www.asus.com/motherboards-components/graphics-cards/tuf-gaming/tuf-rtx4070tis-o16g-white-gaming/" TargetMode="External"/><Relationship Id="rId1024" Type="http://schemas.openxmlformats.org/officeDocument/2006/relationships/hyperlink" Target="https://www.msi.com/Graphics-card/GeForce-RTX-2060-SUPER-VENTUS" TargetMode="External"/><Relationship Id="rId2355" Type="http://schemas.openxmlformats.org/officeDocument/2006/relationships/hyperlink" Target="https://www.asus.com/Motherboards-Components/Graphics-Cards/TUF-Gaming/TUF-RTX3070TI-8G-GAMING/" TargetMode="External"/><Relationship Id="rId3687" Type="http://schemas.openxmlformats.org/officeDocument/2006/relationships/hyperlink" Target="https://en.colorful.cn/en/" TargetMode="External"/><Relationship Id="rId1025" Type="http://schemas.openxmlformats.org/officeDocument/2006/relationships/hyperlink" Target="https://www.msi.com/Graphics-card/GeForce-RTX-2060-SUPER-VENTUS-OC" TargetMode="External"/><Relationship Id="rId2356" Type="http://schemas.openxmlformats.org/officeDocument/2006/relationships/hyperlink" Target="https://www.asus.com/Motherboards-Components/Graphics-Cards/TUF-Gaming/TUF-RTX3070TI-O8G-GAMING/" TargetMode="External"/><Relationship Id="rId3686" Type="http://schemas.openxmlformats.org/officeDocument/2006/relationships/hyperlink" Target="https://rog.asus.com/graphics-cards/graphics-cards/rog-strix/rog-strix-rtx4070tis-o16g-gaming/" TargetMode="External"/><Relationship Id="rId1910" Type="http://schemas.openxmlformats.org/officeDocument/2006/relationships/hyperlink" Target="http://www.szgalaxy.com/__ZH_GB__/Product5/ProductDetail?proID=663" TargetMode="External"/><Relationship Id="rId1911" Type="http://schemas.openxmlformats.org/officeDocument/2006/relationships/hyperlink" Target="https://www.galax.com/en/" TargetMode="External"/><Relationship Id="rId1912" Type="http://schemas.openxmlformats.org/officeDocument/2006/relationships/hyperlink" Target="http://www.szgalaxy.com/__ZH_GB__/Product5/ProductDetail?proID=740" TargetMode="External"/><Relationship Id="rId1913" Type="http://schemas.openxmlformats.org/officeDocument/2006/relationships/hyperlink" Target="https://www.galax.com/en/" TargetMode="External"/><Relationship Id="rId1914" Type="http://schemas.openxmlformats.org/officeDocument/2006/relationships/hyperlink" Target="http://www.szgalaxy.com/__ZH_GB__/Product5/ProductDetail?proID=768" TargetMode="External"/><Relationship Id="rId1915" Type="http://schemas.openxmlformats.org/officeDocument/2006/relationships/hyperlink" Target="https://www.galax.com/en/" TargetMode="External"/><Relationship Id="rId1916" Type="http://schemas.openxmlformats.org/officeDocument/2006/relationships/hyperlink" Target="http://www.szgalaxy.com/__ZH_GB__/Product5/ProductDetail?proID=789" TargetMode="External"/><Relationship Id="rId1917" Type="http://schemas.openxmlformats.org/officeDocument/2006/relationships/hyperlink" Target="https://www.galax.com/en/" TargetMode="External"/><Relationship Id="rId1918" Type="http://schemas.openxmlformats.org/officeDocument/2006/relationships/hyperlink" Target="http://www.szgalaxy.com/__ZH_GB__/Product5/ProductDetail?proID=788" TargetMode="External"/><Relationship Id="rId1919" Type="http://schemas.openxmlformats.org/officeDocument/2006/relationships/hyperlink" Target="https://www.galax.com/en/" TargetMode="External"/><Relationship Id="rId1900" Type="http://schemas.openxmlformats.org/officeDocument/2006/relationships/hyperlink" Target="http://www.szgalaxy.com/__ZH_GB__/Product5/ProductDetail?proID=737" TargetMode="External"/><Relationship Id="rId1901" Type="http://schemas.openxmlformats.org/officeDocument/2006/relationships/hyperlink" Target="https://www.galax.com/en/" TargetMode="External"/><Relationship Id="rId1902" Type="http://schemas.openxmlformats.org/officeDocument/2006/relationships/hyperlink" Target="http://www.szgalaxy.com/__ZH_GB__/Product5/ProductDetail?proID=664" TargetMode="External"/><Relationship Id="rId1903" Type="http://schemas.openxmlformats.org/officeDocument/2006/relationships/hyperlink" Target="https://www.galax.com/en/" TargetMode="External"/><Relationship Id="rId1904" Type="http://schemas.openxmlformats.org/officeDocument/2006/relationships/hyperlink" Target="http://www.szgalaxy.com/__ZH_GB__/Product5/ProductDetail?proID=738" TargetMode="External"/><Relationship Id="rId1905" Type="http://schemas.openxmlformats.org/officeDocument/2006/relationships/hyperlink" Target="https://www.galax.com/en/" TargetMode="External"/><Relationship Id="rId1906" Type="http://schemas.openxmlformats.org/officeDocument/2006/relationships/hyperlink" Target="http://www.szgalaxy.com/__ZH_GB__/Product5/ProductDetail?proID=662" TargetMode="External"/><Relationship Id="rId1907" Type="http://schemas.openxmlformats.org/officeDocument/2006/relationships/hyperlink" Target="https://www.galax.com/en/" TargetMode="External"/><Relationship Id="rId1908" Type="http://schemas.openxmlformats.org/officeDocument/2006/relationships/hyperlink" Target="http://www.szgalaxy.com/__ZH_GB__/Product5/ProductDetail?proID=739" TargetMode="External"/><Relationship Id="rId1909" Type="http://schemas.openxmlformats.org/officeDocument/2006/relationships/hyperlink" Target="https://www.galax.com/en/" TargetMode="External"/><Relationship Id="rId1090" Type="http://schemas.openxmlformats.org/officeDocument/2006/relationships/hyperlink" Target="https://www.evga.com/products/specs/gpu.aspx?pn=E2946364-6966-4B7A-811F-3A30B2E951EF" TargetMode="External"/><Relationship Id="rId1091" Type="http://schemas.openxmlformats.org/officeDocument/2006/relationships/hyperlink" Target="https://www.evga.com/products/specs/gpu.aspx?pn=684CFC85-567F-433C-AB9D-13F197E12D79" TargetMode="External"/><Relationship Id="rId1092" Type="http://schemas.openxmlformats.org/officeDocument/2006/relationships/hyperlink" Target="http://www.gainward.com/main/vgapro.php?id=1030&amp;lang=en" TargetMode="External"/><Relationship Id="rId1093" Type="http://schemas.openxmlformats.org/officeDocument/2006/relationships/hyperlink" Target="http://www.gainward.com/main/vgapro.php?id=1023&amp;lang=en" TargetMode="External"/><Relationship Id="rId1094" Type="http://schemas.openxmlformats.org/officeDocument/2006/relationships/hyperlink" Target="http://www.gainward.com/main/vgapro.php?id=1028&amp;lang=en" TargetMode="External"/><Relationship Id="rId1095" Type="http://schemas.openxmlformats.org/officeDocument/2006/relationships/hyperlink" Target="http://www.gainward.com/main/vgapro.php?id=1026&amp;lang=en" TargetMode="External"/><Relationship Id="rId1096" Type="http://schemas.openxmlformats.org/officeDocument/2006/relationships/hyperlink" Target="http://www.gainward.com/main/vgapro.php?id=1027&amp;lang=en" TargetMode="External"/><Relationship Id="rId1097" Type="http://schemas.openxmlformats.org/officeDocument/2006/relationships/hyperlink" Target="https://www.galax.com/en/" TargetMode="External"/><Relationship Id="rId1098" Type="http://schemas.openxmlformats.org/officeDocument/2006/relationships/hyperlink" Target="https://www.galax.com/en/" TargetMode="External"/><Relationship Id="rId1099" Type="http://schemas.openxmlformats.org/officeDocument/2006/relationships/hyperlink" Target="https://www.galax.com/en/" TargetMode="External"/><Relationship Id="rId1080" Type="http://schemas.openxmlformats.org/officeDocument/2006/relationships/hyperlink" Target="https://www.emtekinc.co.kr/bbs/board.php?bo_table=product&amp;wr_id=1963" TargetMode="External"/><Relationship Id="rId1081" Type="http://schemas.openxmlformats.org/officeDocument/2006/relationships/hyperlink" Target="https://www.emtekinc.co.kr/" TargetMode="External"/><Relationship Id="rId1082" Type="http://schemas.openxmlformats.org/officeDocument/2006/relationships/hyperlink" Target="https://www.emtekinc.co.kr/bbs/board.php?bo_table=product&amp;wr_id=1955" TargetMode="External"/><Relationship Id="rId1083" Type="http://schemas.openxmlformats.org/officeDocument/2006/relationships/hyperlink" Target="https://www.evga.com/products/specs/gpu.aspx?pn=42E7BCE2-D6F1-4385-9D6E-07F90356F6DB" TargetMode="External"/><Relationship Id="rId1084" Type="http://schemas.openxmlformats.org/officeDocument/2006/relationships/hyperlink" Target="https://www.evga.com/products/specs/gpu.aspx?pn=1207A8EC-269D-4E11-91A9-E01226652C9F" TargetMode="External"/><Relationship Id="rId1085" Type="http://schemas.openxmlformats.org/officeDocument/2006/relationships/hyperlink" Target="https://www.evga.com/products/specs/gpu.aspx?pn=E700C436-AB27-4590-9BA5-FC222FEEBBB8" TargetMode="External"/><Relationship Id="rId1086" Type="http://schemas.openxmlformats.org/officeDocument/2006/relationships/hyperlink" Target="https://www.evga.com/products/specs/gpu.aspx?pn=234A44E7-01C8-4AA4-BD70-0B3075CEC9EF" TargetMode="External"/><Relationship Id="rId1087" Type="http://schemas.openxmlformats.org/officeDocument/2006/relationships/hyperlink" Target="https://www.evga.com/products/specs/gpu.aspx?pn=C0F8E839-C209-4169-A7B4-F0240BE8B4EC" TargetMode="External"/><Relationship Id="rId1088" Type="http://schemas.openxmlformats.org/officeDocument/2006/relationships/hyperlink" Target="https://www.evga.com/products/specs/gpu.aspx?pn=0D4753B6-8384-4271-AA84-1B3958DA755B" TargetMode="External"/><Relationship Id="rId1089" Type="http://schemas.openxmlformats.org/officeDocument/2006/relationships/hyperlink" Target="https://www.evga.com/products/specs/gpu.aspx?pn=FF111D19-9942-44FA-B8DB-9CF9F43DB313" TargetMode="External"/><Relationship Id="rId1972" Type="http://schemas.openxmlformats.org/officeDocument/2006/relationships/hyperlink" Target="https://www.msi.com/Graphics-Card/GeForce-RTX-3060-Ti-TWIN-FAN" TargetMode="External"/><Relationship Id="rId1973" Type="http://schemas.openxmlformats.org/officeDocument/2006/relationships/hyperlink" Target="https://www.msi.com/Graphics-Card/GeForce-RTX-3060-Ti-TWIN-FAN-8G-LHR" TargetMode="External"/><Relationship Id="rId1974" Type="http://schemas.openxmlformats.org/officeDocument/2006/relationships/hyperlink" Target="https://www.msi.com/Graphics-Card/GeForce-RTX-3060-Ti-TWIN-FAN-OC" TargetMode="External"/><Relationship Id="rId1975" Type="http://schemas.openxmlformats.org/officeDocument/2006/relationships/hyperlink" Target="https://www.msi.com/Graphics-Card/GeForce%20RTX-3060-Ti-TWIN-FAN-8G-OC-LHR" TargetMode="External"/><Relationship Id="rId1976" Type="http://schemas.openxmlformats.org/officeDocument/2006/relationships/hyperlink" Target="https://www.msi.com/Graphics-Card/GeForce-RTX-3060-Ti-VENTUS-2X" TargetMode="External"/><Relationship Id="rId1977" Type="http://schemas.openxmlformats.org/officeDocument/2006/relationships/hyperlink" Target="https://www.msi.com/Graphics-Card/GeForce-RTX-3060-Ti-VENTUS-2X-OC" TargetMode="External"/><Relationship Id="rId1978" Type="http://schemas.openxmlformats.org/officeDocument/2006/relationships/hyperlink" Target="https://www.msi.com/Graphics-Card/GeForce-RTX-3060-Ti-VENTUS-2X-V1" TargetMode="External"/><Relationship Id="rId1979" Type="http://schemas.openxmlformats.org/officeDocument/2006/relationships/hyperlink" Target="https://www.msi.com/Graphics-Card/GeForce-RTX-3060-Ti-VENTUS-2X-8G-V1-LHR" TargetMode="External"/><Relationship Id="rId1970" Type="http://schemas.openxmlformats.org/officeDocument/2006/relationships/hyperlink" Target="http://www.maxsun.com.cn/" TargetMode="External"/><Relationship Id="rId1971" Type="http://schemas.openxmlformats.org/officeDocument/2006/relationships/hyperlink" Target="http://www.maxsun.com.cn/2021/0726/5596.html" TargetMode="External"/><Relationship Id="rId1961" Type="http://schemas.openxmlformats.org/officeDocument/2006/relationships/hyperlink" Target="https://www.leadtek.com/eng/products/graphics_cards(1)/WinFast_RTX_3060_Ti_HURRICANE(30904)/detail" TargetMode="External"/><Relationship Id="rId1962" Type="http://schemas.openxmlformats.org/officeDocument/2006/relationships/hyperlink" Target="https://www.manli.com/en/product-detail-Manli_GeForce_RTX_3060_Ti_(M2480_+_N630)-246.html" TargetMode="External"/><Relationship Id="rId1963" Type="http://schemas.openxmlformats.org/officeDocument/2006/relationships/hyperlink" Target="https://www.manli.com/en/product-detail-Manli_GeForce_RTX%E2%84%A2_3060_Ti_LHR_(M2480+N630)-291.html" TargetMode="External"/><Relationship Id="rId1964" Type="http://schemas.openxmlformats.org/officeDocument/2006/relationships/hyperlink" Target="https://www.manli.com/en/product-detail-Manli_GeForce_RTX_3060_Ti_Gallardo_(M2510_+_N630)-279.html" TargetMode="External"/><Relationship Id="rId1965" Type="http://schemas.openxmlformats.org/officeDocument/2006/relationships/hyperlink" Target="https://www.manli.com/en/product-detail-Manli_GeForce_RTX%E2%84%A2_3060_Ti_Gallardo_LHR_(M2510+N630)-290.html" TargetMode="External"/><Relationship Id="rId1966" Type="http://schemas.openxmlformats.org/officeDocument/2006/relationships/hyperlink" Target="http://www.maxsun.com.cn/" TargetMode="External"/><Relationship Id="rId1967" Type="http://schemas.openxmlformats.org/officeDocument/2006/relationships/hyperlink" Target="http://www.maxsun.com.cn/2020/1202/5557.html" TargetMode="External"/><Relationship Id="rId1968" Type="http://schemas.openxmlformats.org/officeDocument/2006/relationships/hyperlink" Target="http://www.maxsun.com.cn/" TargetMode="External"/><Relationship Id="rId1969" Type="http://schemas.openxmlformats.org/officeDocument/2006/relationships/hyperlink" Target="http://www.maxsun.com.cn/2021/0723/5595.html" TargetMode="External"/><Relationship Id="rId1960" Type="http://schemas.openxmlformats.org/officeDocument/2006/relationships/hyperlink" Target="https://www.leadtek.com/eng/" TargetMode="External"/><Relationship Id="rId1994" Type="http://schemas.openxmlformats.org/officeDocument/2006/relationships/hyperlink" Target="https://www.nvidia.com/en-us/geforce/graphics-cards/30-series/rtx-3060-ti/" TargetMode="External"/><Relationship Id="rId1995" Type="http://schemas.openxmlformats.org/officeDocument/2006/relationships/hyperlink" Target="http://www.palit.com/palit/vgapro.php?id=3875&amp;lang=en" TargetMode="External"/><Relationship Id="rId1996" Type="http://schemas.openxmlformats.org/officeDocument/2006/relationships/hyperlink" Target="http://www.palit.com/palit/vgapro.php?id=4278&amp;lang=en" TargetMode="External"/><Relationship Id="rId1997" Type="http://schemas.openxmlformats.org/officeDocument/2006/relationships/hyperlink" Target="http://www.palit.com/palit/vgapro.php?id=3883&amp;lang=en" TargetMode="External"/><Relationship Id="rId1998" Type="http://schemas.openxmlformats.org/officeDocument/2006/relationships/hyperlink" Target="http://www.palit.com/palit/vgapro.php?id=4269&amp;lang=en" TargetMode="External"/><Relationship Id="rId1999" Type="http://schemas.openxmlformats.org/officeDocument/2006/relationships/hyperlink" Target="http://www.palit.com/palit/vgapro.php?id=4448&amp;lang=en" TargetMode="External"/><Relationship Id="rId1990" Type="http://schemas.openxmlformats.org/officeDocument/2006/relationships/hyperlink" Target="https://www.msi.com/Graphics-Card/GeForce-RTX-3060-Ti-GAMING-TRIO" TargetMode="External"/><Relationship Id="rId1991" Type="http://schemas.openxmlformats.org/officeDocument/2006/relationships/hyperlink" Target="https://www.msi.com/Graphics-Card/GeForce-RTX-3060-Ti-GAMING-TRIO-PLUS-8G-LHR" TargetMode="External"/><Relationship Id="rId1992" Type="http://schemas.openxmlformats.org/officeDocument/2006/relationships/hyperlink" Target="https://www.msi.com/Graphics-Card/GeForce-RTX-3060-Ti-GAMING-X-TRIO" TargetMode="External"/><Relationship Id="rId1993" Type="http://schemas.openxmlformats.org/officeDocument/2006/relationships/hyperlink" Target="https://www.msi.com/Graphics-Card/GeForce-RTX-3060-Ti-GAMING-Z-TRIO-8G-LHR" TargetMode="External"/><Relationship Id="rId1983" Type="http://schemas.openxmlformats.org/officeDocument/2006/relationships/hyperlink" Target="https://www.msi.com/Graphics-Card/GeForce-RTX-3060-Ti-VENTUS-3X-8G-LHR" TargetMode="External"/><Relationship Id="rId1984" Type="http://schemas.openxmlformats.org/officeDocument/2006/relationships/hyperlink" Target="https://www.msi.com/Graphics-Card/GeForce-RTX-3060-Ti-VENTUS-3X-OC" TargetMode="External"/><Relationship Id="rId1985" Type="http://schemas.openxmlformats.org/officeDocument/2006/relationships/hyperlink" Target="https://www.msi.com/Graphics-Card/GeForce-RTX-3060-Ti-VENTUS-3X-8G-OC-LHR" TargetMode="External"/><Relationship Id="rId1986" Type="http://schemas.openxmlformats.org/officeDocument/2006/relationships/hyperlink" Target="https://www.msi.com/Graphics-Card/GeForce-RTX-3060-Ti-GAMING" TargetMode="External"/><Relationship Id="rId1987" Type="http://schemas.openxmlformats.org/officeDocument/2006/relationships/hyperlink" Target="https://www.msi.com/Graphics-Card/GeForce-RTX-3060-Ti-GAMING-8G-LHR" TargetMode="External"/><Relationship Id="rId1988" Type="http://schemas.openxmlformats.org/officeDocument/2006/relationships/hyperlink" Target="https://www.msi.com/Graphics-Card/GeForce-RTX-3060-Ti-GAMING-X" TargetMode="External"/><Relationship Id="rId1989" Type="http://schemas.openxmlformats.org/officeDocument/2006/relationships/hyperlink" Target="https://www.msi.com/Graphics-Card/GeForce-RTX-3060-Ti-GAMING-X-8G-LHR" TargetMode="External"/><Relationship Id="rId1980" Type="http://schemas.openxmlformats.org/officeDocument/2006/relationships/hyperlink" Target="https://www.msi.com/Graphics-Card/GeForce-RTX-3060-Ti-VENTUS-2X-OCV1" TargetMode="External"/><Relationship Id="rId1981" Type="http://schemas.openxmlformats.org/officeDocument/2006/relationships/hyperlink" Target="https://www.msi.com/Graphics-Card/GeForce-RTX-3060-Ti-VENTUS-2X-8G-OCV1-LHR" TargetMode="External"/><Relationship Id="rId1982" Type="http://schemas.openxmlformats.org/officeDocument/2006/relationships/hyperlink" Target="https://www.msi.com/Graphics-Card/GeForce-RTX-3060-Ti-VENTUS-3X" TargetMode="External"/><Relationship Id="rId1930" Type="http://schemas.openxmlformats.org/officeDocument/2006/relationships/hyperlink" Target="https://www.galax.com/en/graphics-card/30-series/geforce-rtx-3060ti-ex-b-lhr.html" TargetMode="External"/><Relationship Id="rId1931" Type="http://schemas.openxmlformats.org/officeDocument/2006/relationships/hyperlink" Target="https://www.galax.com/en/" TargetMode="External"/><Relationship Id="rId1932" Type="http://schemas.openxmlformats.org/officeDocument/2006/relationships/hyperlink" Target="https://www.galax.com/en/graphics-card/30-series/geforce-rtx-3060ti-ex-w.html" TargetMode="External"/><Relationship Id="rId1933" Type="http://schemas.openxmlformats.org/officeDocument/2006/relationships/hyperlink" Target="https://www.galax.com/en/" TargetMode="External"/><Relationship Id="rId1934" Type="http://schemas.openxmlformats.org/officeDocument/2006/relationships/hyperlink" Target="https://www.galax.com/en/graphics-card/30-series/geforce-rtx-3060ti-ex-w-lhr.html" TargetMode="External"/><Relationship Id="rId1935" Type="http://schemas.openxmlformats.org/officeDocument/2006/relationships/hyperlink" Target="https://www.gigabyte.com/Graphics-Card/GV-N306TEAGLE-8GD" TargetMode="External"/><Relationship Id="rId1936" Type="http://schemas.openxmlformats.org/officeDocument/2006/relationships/hyperlink" Target="https://www.gigabyte.com/Graphics-Card/GV-N306TEAGLE-8GD-rev-20" TargetMode="External"/><Relationship Id="rId1937" Type="http://schemas.openxmlformats.org/officeDocument/2006/relationships/hyperlink" Target="https://www.gigabyte.com/Graphics-Card/GV-N306TEAGLE-OC-8GD" TargetMode="External"/><Relationship Id="rId1938" Type="http://schemas.openxmlformats.org/officeDocument/2006/relationships/hyperlink" Target="https://www.gigabyte.com/Graphics-Card/GV-N306TEAGLE-OC-8GD-rev-20" TargetMode="External"/><Relationship Id="rId1939" Type="http://schemas.openxmlformats.org/officeDocument/2006/relationships/hyperlink" Target="https://www.gigabyte.com/Graphics-Card/GV-N306TGAMING-8GD" TargetMode="External"/><Relationship Id="rId1920" Type="http://schemas.openxmlformats.org/officeDocument/2006/relationships/hyperlink" Target="http://www.szgalaxy.com/__ZH_GB__/Product5/ProductDetail?proID=770" TargetMode="External"/><Relationship Id="rId1921" Type="http://schemas.openxmlformats.org/officeDocument/2006/relationships/hyperlink" Target="https://www.galax.com/en/" TargetMode="External"/><Relationship Id="rId1922" Type="http://schemas.openxmlformats.org/officeDocument/2006/relationships/hyperlink" Target="http://www.szgalaxy.com/__ZH_GB__/Product5/ProductDetail?proID=769" TargetMode="External"/><Relationship Id="rId1923" Type="http://schemas.openxmlformats.org/officeDocument/2006/relationships/hyperlink" Target="https://www.galax.com/en/" TargetMode="External"/><Relationship Id="rId1924" Type="http://schemas.openxmlformats.org/officeDocument/2006/relationships/hyperlink" Target="https://www.galax.com/en/graphics-card/30-series/geforce-rtx-3060ti-oc.html" TargetMode="External"/><Relationship Id="rId1925" Type="http://schemas.openxmlformats.org/officeDocument/2006/relationships/hyperlink" Target="https://www.galax.com/en/" TargetMode="External"/><Relationship Id="rId1926" Type="http://schemas.openxmlformats.org/officeDocument/2006/relationships/hyperlink" Target="https://www.galax.com/en/graphics-card/30-series/geforce-rtx-3060ti-oc-lhr.html" TargetMode="External"/><Relationship Id="rId1927" Type="http://schemas.openxmlformats.org/officeDocument/2006/relationships/hyperlink" Target="https://www.galax.com/en/" TargetMode="External"/><Relationship Id="rId1928" Type="http://schemas.openxmlformats.org/officeDocument/2006/relationships/hyperlink" Target="https://www.galax.com/en/graphics-card/30-series/geforce-rtx-3060ti-ex-b.html" TargetMode="External"/><Relationship Id="rId1929" Type="http://schemas.openxmlformats.org/officeDocument/2006/relationships/hyperlink" Target="https://www.galax.com/en/" TargetMode="External"/><Relationship Id="rId1950" Type="http://schemas.openxmlformats.org/officeDocument/2006/relationships/hyperlink" Target="https://www.gigabyte.com/Graphics-Card/GV-N306TAORUS-E-8GD" TargetMode="External"/><Relationship Id="rId1951" Type="http://schemas.openxmlformats.org/officeDocument/2006/relationships/hyperlink" Target="https://www.gigabyte.com/Graphics-Card/GV-N306TAORUS-E-8GD-rev-20" TargetMode="External"/><Relationship Id="rId1952" Type="http://schemas.openxmlformats.org/officeDocument/2006/relationships/hyperlink" Target="https://www.gigabyte.com/Graphics-Card/GV-N306TAORUS-M-8GD" TargetMode="External"/><Relationship Id="rId1953" Type="http://schemas.openxmlformats.org/officeDocument/2006/relationships/hyperlink" Target="https://www.inno3d.com/en/product_detail/page/159d4a0f23f30d8e66373ab28d540305e2ed8b64c5060a0f1a3b7531e282e9ea" TargetMode="External"/><Relationship Id="rId1954" Type="http://schemas.openxmlformats.org/officeDocument/2006/relationships/hyperlink" Target="https://www.inno3d.com/en/product_detail/page/84b45727c3ed9d0a12ae40e05b59ebec8d42c7d58e96bded850f7e22a70bb783" TargetMode="External"/><Relationship Id="rId1955" Type="http://schemas.openxmlformats.org/officeDocument/2006/relationships/hyperlink" Target="https://www.inno3d.com/en/product_detail/page/e9d00267e01d345ca485752a595074d82062f7890a1ce200a50629f03d9f90b7" TargetMode="External"/><Relationship Id="rId1956" Type="http://schemas.openxmlformats.org/officeDocument/2006/relationships/hyperlink" Target="https://www.inno3d.com/en/product_detail/page/d622170abc3dbdd3b244eb1ae0e2995d052a32858a665e02680ae8dbb334a57e" TargetMode="External"/><Relationship Id="rId1957" Type="http://schemas.openxmlformats.org/officeDocument/2006/relationships/hyperlink" Target="https://www.inno3d.com/en/product_detail/page/a83b97cdc344863896fcb9d486908f677ebf5dbb737b0cbf5e5fc0eb7034fbb7" TargetMode="External"/><Relationship Id="rId1958" Type="http://schemas.openxmlformats.org/officeDocument/2006/relationships/hyperlink" Target="https://www.leadtek.com/eng/" TargetMode="External"/><Relationship Id="rId1959" Type="http://schemas.openxmlformats.org/officeDocument/2006/relationships/hyperlink" Target="https://www.leadtek.com/eng/products/graphics_cards(1)/WinFast_RTX_3060_Ti_CLASSIC(30903)/detail" TargetMode="External"/><Relationship Id="rId1940" Type="http://schemas.openxmlformats.org/officeDocument/2006/relationships/hyperlink" Target="https://www.gigabyte.com/Graphics-Card/GV-N306TGAMING-8GD-rev-20" TargetMode="External"/><Relationship Id="rId1941" Type="http://schemas.openxmlformats.org/officeDocument/2006/relationships/hyperlink" Target="https://www.gigabyte.com/Graphics-Card/GV-N306TGAMING-OC-8GD" TargetMode="External"/><Relationship Id="rId1942" Type="http://schemas.openxmlformats.org/officeDocument/2006/relationships/hyperlink" Target="https://www.gigabyte.com/Graphics-Card/GV-N306TGAMING-OC-8GD-rev-20" TargetMode="External"/><Relationship Id="rId1943" Type="http://schemas.openxmlformats.org/officeDocument/2006/relationships/hyperlink" Target="https://www.gigabyte.com/Graphics-Card/GV-N306TVISION-OC-8GD" TargetMode="External"/><Relationship Id="rId1944" Type="http://schemas.openxmlformats.org/officeDocument/2006/relationships/hyperlink" Target="https://www.gigabyte.com/Graphics-Card/GV-N306TVISION-OC-8GD-rev-20" TargetMode="External"/><Relationship Id="rId1945" Type="http://schemas.openxmlformats.org/officeDocument/2006/relationships/hyperlink" Target="https://www.gigabyte.com/Graphics-Card/GV-N306TGAMING-PRO-8GD" TargetMode="External"/><Relationship Id="rId1946" Type="http://schemas.openxmlformats.org/officeDocument/2006/relationships/hyperlink" Target="https://www.gigabyte.com/Graphics-Card/GV-N306TGAMING-PRO-8GD-rev-20" TargetMode="External"/><Relationship Id="rId1947" Type="http://schemas.openxmlformats.org/officeDocument/2006/relationships/hyperlink" Target="https://www.gigabyte.com/Graphics-Card/GV-N306TGAMINGOC-PRO-8GD" TargetMode="External"/><Relationship Id="rId1948" Type="http://schemas.openxmlformats.org/officeDocument/2006/relationships/hyperlink" Target="https://www.gigabyte.com/Graphics-Card/GV-N306TGAMINGOC-PRO-8GD-rev-20" TargetMode="External"/><Relationship Id="rId1949" Type="http://schemas.openxmlformats.org/officeDocument/2006/relationships/hyperlink" Target="https://www.gigabyte.com/Graphics-Card/GV-N306TGAMINGOC-PRO-8GD-rev-30" TargetMode="External"/><Relationship Id="rId2423" Type="http://schemas.openxmlformats.org/officeDocument/2006/relationships/hyperlink" Target="https://www.gigabyte.com/Graphics-Card/GV-N307TGAMING-OC-8GD" TargetMode="External"/><Relationship Id="rId3755" Type="http://schemas.openxmlformats.org/officeDocument/2006/relationships/hyperlink" Target="https://www.asus.com/motherboards-components/graphics-cards/proart/proart-rtx4080-o16g/" TargetMode="External"/><Relationship Id="rId2424" Type="http://schemas.openxmlformats.org/officeDocument/2006/relationships/hyperlink" Target="https://www.gigabyte.com/Graphics-Card/GV-N307TVISION-OC-8GD" TargetMode="External"/><Relationship Id="rId3754" Type="http://schemas.openxmlformats.org/officeDocument/2006/relationships/hyperlink" Target="https://www.asus.com/motherboards-components/graphics-cards/proart/proart-rtx4080-16g/" TargetMode="External"/><Relationship Id="rId2425" Type="http://schemas.openxmlformats.org/officeDocument/2006/relationships/hyperlink" Target="https://www.gigabyte.com/Graphics-Card/GV-N307TAORUS-M-8GD" TargetMode="External"/><Relationship Id="rId3757" Type="http://schemas.openxmlformats.org/officeDocument/2006/relationships/hyperlink" Target="https://www.asus.com/Motherboards-Components/Graphics-Cards/TUF-Gaming/TUF-RTX4080-O16G-GAMING/" TargetMode="External"/><Relationship Id="rId2426" Type="http://schemas.openxmlformats.org/officeDocument/2006/relationships/hyperlink" Target="https://www.inno3d.com/en/product_detail/page/fd0844b0b160c4ee1647f5dd66ca4ae0b12c57ab95ef415af2e0f2fa4ce1718c" TargetMode="External"/><Relationship Id="rId3756" Type="http://schemas.openxmlformats.org/officeDocument/2006/relationships/hyperlink" Target="https://www.asus.com/Motherboards-Components/Graphics-Cards/TUF-Gaming/TUF-RTX4080-16G-GAMING/" TargetMode="External"/><Relationship Id="rId2427" Type="http://schemas.openxmlformats.org/officeDocument/2006/relationships/hyperlink" Target="https://www.inno3d.com/en/product_detail/page/f51671a931f02eddcf7dc8f15e9b2b7837462ecf53480c8450d08940f1e836fb" TargetMode="External"/><Relationship Id="rId3759" Type="http://schemas.openxmlformats.org/officeDocument/2006/relationships/hyperlink" Target="https://rog.asus.com/graphics-cards/graphics-cards/rog-strix/rog-strix-rtx4080-16g-gaming-model/" TargetMode="External"/><Relationship Id="rId2428" Type="http://schemas.openxmlformats.org/officeDocument/2006/relationships/hyperlink" Target="https://www.inno3d.com/en/product_detail/page/465df26bea1af11b1e9df43654ac9b6166aa7667f9c9ed995b18182ab15f3746" TargetMode="External"/><Relationship Id="rId3758" Type="http://schemas.openxmlformats.org/officeDocument/2006/relationships/hyperlink" Target="https://www.asus.com/motherboards-components/graphics-cards/asus/rtx4080-o16g-noctua/" TargetMode="External"/><Relationship Id="rId2429" Type="http://schemas.openxmlformats.org/officeDocument/2006/relationships/hyperlink" Target="https://www.inno3d.com/en/product_detail/page/1e8758a5763987d042439c1139669d816ffed662ffdf2ba0d8558b3f8ccdb156" TargetMode="External"/><Relationship Id="rId509" Type="http://schemas.openxmlformats.org/officeDocument/2006/relationships/hyperlink" Target="https://www.asus.com/motherboards-components/graphics-cards/asus/rx7900xtx-24g/" TargetMode="External"/><Relationship Id="rId508" Type="http://schemas.openxmlformats.org/officeDocument/2006/relationships/hyperlink" Target="https://www.asrock.com/Graphics-Card/AMD/Radeon%20RX%207900%20XTX%20AQUA%2024GB%20OC/" TargetMode="External"/><Relationship Id="rId503" Type="http://schemas.openxmlformats.org/officeDocument/2006/relationships/hyperlink" Target="https://www.amd.com/en/products/graphics/amd-radeon-rx-7900xtx" TargetMode="External"/><Relationship Id="rId502" Type="http://schemas.openxmlformats.org/officeDocument/2006/relationships/hyperlink" Target="http://www.yeston.net/products-detail/id-49.html" TargetMode="External"/><Relationship Id="rId501" Type="http://schemas.openxmlformats.org/officeDocument/2006/relationships/hyperlink" Target="http://www.yeston.net/" TargetMode="External"/><Relationship Id="rId500" Type="http://schemas.openxmlformats.org/officeDocument/2006/relationships/hyperlink" Target="https://www.xfxforce.com/shop/xfx-speedster-merc310-7900xt-black-edition" TargetMode="External"/><Relationship Id="rId507" Type="http://schemas.openxmlformats.org/officeDocument/2006/relationships/hyperlink" Target="https://www.asrock.com/Graphics-Card/AMD/Radeon%20RX%207900%20XTX%20Taichi%20White%2024GB%20OC/" TargetMode="External"/><Relationship Id="rId506" Type="http://schemas.openxmlformats.org/officeDocument/2006/relationships/hyperlink" Target="https://www.asrock.com/Graphics-Card/AMD/Radeon%20RX%207900%20XTX%20Taichi%2024GB%20OC/" TargetMode="External"/><Relationship Id="rId505" Type="http://schemas.openxmlformats.org/officeDocument/2006/relationships/hyperlink" Target="https://www.asrock.com/Graphics-Card/AMD/Radeon%20RX%207900%20XTX%20Phantom%20Gaming%2024GB%20OC/" TargetMode="External"/><Relationship Id="rId504" Type="http://schemas.openxmlformats.org/officeDocument/2006/relationships/hyperlink" Target="https://www.asrock.com/Graphics-Card/AMD/Radeon%20RX%207900%20XTX%2024GB/" TargetMode="External"/><Relationship Id="rId3751" Type="http://schemas.openxmlformats.org/officeDocument/2006/relationships/hyperlink" Target="https://www.zotac.com/product/graphics_card/zotac-gaming-geforce-rtx-4070-ti-super-trinity-oc-white-edition-16gb-gddr6x" TargetMode="External"/><Relationship Id="rId2420" Type="http://schemas.openxmlformats.org/officeDocument/2006/relationships/hyperlink" Target="https://www.galax.com/en/graphics-card/30-series/geforce-rtx-3070ti-exg-w.html" TargetMode="External"/><Relationship Id="rId3750" Type="http://schemas.openxmlformats.org/officeDocument/2006/relationships/hyperlink" Target="https://www.zotac.com/" TargetMode="External"/><Relationship Id="rId2421" Type="http://schemas.openxmlformats.org/officeDocument/2006/relationships/hyperlink" Target="https://www.gigabyte.com/Graphics-Card/GV-N307TEAGLE-8GD" TargetMode="External"/><Relationship Id="rId3753" Type="http://schemas.openxmlformats.org/officeDocument/2006/relationships/hyperlink" Target="https://www.zotac.com/product/graphics_card/zotac-gaming-geforce-rtx-4070-ti-super-amp-holo-16gb-gddr6x" TargetMode="External"/><Relationship Id="rId2422" Type="http://schemas.openxmlformats.org/officeDocument/2006/relationships/hyperlink" Target="https://www.gigabyte.com/Graphics-Card/GV-N307TEAGLE-OC-8GD" TargetMode="External"/><Relationship Id="rId3752" Type="http://schemas.openxmlformats.org/officeDocument/2006/relationships/hyperlink" Target="https://www.zotac.com/" TargetMode="External"/><Relationship Id="rId2412" Type="http://schemas.openxmlformats.org/officeDocument/2006/relationships/hyperlink" Target="https://www.galax.com/en/graphics-card/30-series/geforce-rtx-3070ti-ex-b.html" TargetMode="External"/><Relationship Id="rId3744" Type="http://schemas.openxmlformats.org/officeDocument/2006/relationships/hyperlink" Target="http://www.yeston.net/" TargetMode="External"/><Relationship Id="rId2413" Type="http://schemas.openxmlformats.org/officeDocument/2006/relationships/hyperlink" Target="https://www.galax.com/en/" TargetMode="External"/><Relationship Id="rId3743" Type="http://schemas.openxmlformats.org/officeDocument/2006/relationships/hyperlink" Target="https://www.pny.com/pny-geforce-rtx-4070-ti-super-16-gb-xlr8-gaming-verto-triple-fan-epic-x-rgb-oc-edition" TargetMode="External"/><Relationship Id="rId2414" Type="http://schemas.openxmlformats.org/officeDocument/2006/relationships/hyperlink" Target="https://www.galax.com/en/graphics-card/30-series/geforce-rtx-3070ti-ex-w.html" TargetMode="External"/><Relationship Id="rId3746" Type="http://schemas.openxmlformats.org/officeDocument/2006/relationships/hyperlink" Target="http://www.yeston.net/" TargetMode="External"/><Relationship Id="rId2415" Type="http://schemas.openxmlformats.org/officeDocument/2006/relationships/hyperlink" Target="https://www.galax.com/en/" TargetMode="External"/><Relationship Id="rId3745" Type="http://schemas.openxmlformats.org/officeDocument/2006/relationships/hyperlink" Target="http://www.yeston.net/products-detail/id-107.html" TargetMode="External"/><Relationship Id="rId2416" Type="http://schemas.openxmlformats.org/officeDocument/2006/relationships/hyperlink" Target="https://www.galax.com/en/graphics-card/30-series/geforce-rtx-3070ti-sg.html" TargetMode="External"/><Relationship Id="rId3748" Type="http://schemas.openxmlformats.org/officeDocument/2006/relationships/hyperlink" Target="https://www.zotac.com/" TargetMode="External"/><Relationship Id="rId2417" Type="http://schemas.openxmlformats.org/officeDocument/2006/relationships/hyperlink" Target="https://www.galax.com/en/" TargetMode="External"/><Relationship Id="rId3747" Type="http://schemas.openxmlformats.org/officeDocument/2006/relationships/hyperlink" Target="http://www.yeston.net/products-detail/id-108.html" TargetMode="External"/><Relationship Id="rId2418" Type="http://schemas.openxmlformats.org/officeDocument/2006/relationships/hyperlink" Target="https://www.galax.com/en/graphics-card/30-series/geforce-rtx-3070ti-exg.html" TargetMode="External"/><Relationship Id="rId2419" Type="http://schemas.openxmlformats.org/officeDocument/2006/relationships/hyperlink" Target="https://www.galax.com/en/" TargetMode="External"/><Relationship Id="rId3749" Type="http://schemas.openxmlformats.org/officeDocument/2006/relationships/hyperlink" Target="https://www.zotac.com/product/graphics_card/zotac-gaming-geforce-rtx-4070-ti-super-trinity-black-edition-16gb-gddr6x" TargetMode="External"/><Relationship Id="rId3740" Type="http://schemas.openxmlformats.org/officeDocument/2006/relationships/hyperlink" Target="https://www.palit.com/palit/vgapro.php?id=5047&amp;lang=en" TargetMode="External"/><Relationship Id="rId2410" Type="http://schemas.openxmlformats.org/officeDocument/2006/relationships/hyperlink" Target="https://www.galax.com/en/graphics-card/30-series/geforce-rtx-3070ti-oc.html" TargetMode="External"/><Relationship Id="rId3742" Type="http://schemas.openxmlformats.org/officeDocument/2006/relationships/hyperlink" Target="https://www.pny.com/pny-geforce-rtx-4070-ti-super-16gb-verto-triple-fan-oc-edition" TargetMode="External"/><Relationship Id="rId2411" Type="http://schemas.openxmlformats.org/officeDocument/2006/relationships/hyperlink" Target="https://www.galax.com/en/" TargetMode="External"/><Relationship Id="rId3741" Type="http://schemas.openxmlformats.org/officeDocument/2006/relationships/hyperlink" Target="https://www.palit.com/palit/vgapro.php?id=5037&amp;lang=en" TargetMode="External"/><Relationship Id="rId1114" Type="http://schemas.openxmlformats.org/officeDocument/2006/relationships/hyperlink" Target="https://www.galax.com/en/graphics-card/20-series/galax-geforce-rtx-2070-sg.html" TargetMode="External"/><Relationship Id="rId2445" Type="http://schemas.openxmlformats.org/officeDocument/2006/relationships/hyperlink" Target="http://www.palit.com/palit/vgapro.php?id=4288&amp;lang=en" TargetMode="External"/><Relationship Id="rId3777" Type="http://schemas.openxmlformats.org/officeDocument/2006/relationships/hyperlink" Target="http://www.gainward.com/main/vgapro.php?id=1168&amp;lang=en" TargetMode="External"/><Relationship Id="rId1115" Type="http://schemas.openxmlformats.org/officeDocument/2006/relationships/hyperlink" Target="https://www.gigabyte.com/Graphics-Card/GV-N2070WF3-8GC" TargetMode="External"/><Relationship Id="rId2446" Type="http://schemas.openxmlformats.org/officeDocument/2006/relationships/hyperlink" Target="https://www.pny.com/pny-geforce-rtx-3070-ti-8gb-verto-triple-fan" TargetMode="External"/><Relationship Id="rId3776" Type="http://schemas.openxmlformats.org/officeDocument/2006/relationships/hyperlink" Target="http://www.gainward.com/main/vgapro.php?id=1183&amp;lang=en" TargetMode="External"/><Relationship Id="rId1116" Type="http://schemas.openxmlformats.org/officeDocument/2006/relationships/hyperlink" Target="https://www.gigabyte.com/Graphics-Card/GV-N2070WF2-8GD-rev-10-20" TargetMode="External"/><Relationship Id="rId2447" Type="http://schemas.openxmlformats.org/officeDocument/2006/relationships/hyperlink" Target="https://www.pny.com/geforce-rtx-3070-ti-revel" TargetMode="External"/><Relationship Id="rId3779" Type="http://schemas.openxmlformats.org/officeDocument/2006/relationships/hyperlink" Target="http://www.gainward.com/main/vgapro.php?id=1166&amp;lang=en" TargetMode="External"/><Relationship Id="rId1117" Type="http://schemas.openxmlformats.org/officeDocument/2006/relationships/hyperlink" Target="https://www.gigabyte.com/Graphics-Card/GV-N2070WF2OC-8GD" TargetMode="External"/><Relationship Id="rId2448" Type="http://schemas.openxmlformats.org/officeDocument/2006/relationships/hyperlink" Target="https://www.pny.com/geforce-rtx-3070-ti-uprising" TargetMode="External"/><Relationship Id="rId3778" Type="http://schemas.openxmlformats.org/officeDocument/2006/relationships/hyperlink" Target="http://www.gainward.com/main/vgapro.php?id=1167&amp;lang=en" TargetMode="External"/><Relationship Id="rId1118" Type="http://schemas.openxmlformats.org/officeDocument/2006/relationships/hyperlink" Target="https://www.gigabyte.com/Graphics-Card/GV-N2070GAMING-8GC" TargetMode="External"/><Relationship Id="rId2449" Type="http://schemas.openxmlformats.org/officeDocument/2006/relationships/hyperlink" Target="https://www.zotac.com/cn/product/graphics_card/%E7%B4%A2%E6%B3%B0-geforce%C2%AE-rtx-3070ti-8g6x-x-gaming-oc" TargetMode="External"/><Relationship Id="rId1119" Type="http://schemas.openxmlformats.org/officeDocument/2006/relationships/hyperlink" Target="https://www.gigabyte.com/Graphics-Card/GV-N2070GAMING-OC-8GC" TargetMode="External"/><Relationship Id="rId525" Type="http://schemas.openxmlformats.org/officeDocument/2006/relationships/hyperlink" Target="https://www.sapphiretech.com/en/consumer/nitro-radeon-rx-7900-xtx-vaporx-24g-gddr6" TargetMode="External"/><Relationship Id="rId524" Type="http://schemas.openxmlformats.org/officeDocument/2006/relationships/hyperlink" Target="https://www.sapphiretech.com/en/consumer/pulse-radeon-rx-7900-xtx-24g-gddr6" TargetMode="External"/><Relationship Id="rId523" Type="http://schemas.openxmlformats.org/officeDocument/2006/relationships/hyperlink" Target="https://www.sapphiretech.com/en/consumer/21322-01-20g-radeon-rx-7900-xtx-24g-gddr6" TargetMode="External"/><Relationship Id="rId522" Type="http://schemas.openxmlformats.org/officeDocument/2006/relationships/hyperlink" Target="https://www.powercolor.com/product?id=1672997267" TargetMode="External"/><Relationship Id="rId529" Type="http://schemas.openxmlformats.org/officeDocument/2006/relationships/hyperlink" Target="http://www.yeston.net/products-detail/id-67.html" TargetMode="External"/><Relationship Id="rId528" Type="http://schemas.openxmlformats.org/officeDocument/2006/relationships/hyperlink" Target="http://www.yeston.net/" TargetMode="External"/><Relationship Id="rId527" Type="http://schemas.openxmlformats.org/officeDocument/2006/relationships/hyperlink" Target="https://www.xfxforce.com/shop/xfx-speedster-merc-310-7900xtx-black-edition" TargetMode="External"/><Relationship Id="rId526" Type="http://schemas.openxmlformats.org/officeDocument/2006/relationships/hyperlink" Target="https://www.xfxforce.com/shop/amd-radeon-rx-7900xtx" TargetMode="External"/><Relationship Id="rId3771" Type="http://schemas.openxmlformats.org/officeDocument/2006/relationships/hyperlink" Target="https://en.colorful.cn/en/" TargetMode="External"/><Relationship Id="rId2440" Type="http://schemas.openxmlformats.org/officeDocument/2006/relationships/hyperlink" Target="https://www.msi.com/Graphics-Card/GeForce-RTX-3070-Ti-SUPRIM-8G" TargetMode="External"/><Relationship Id="rId3770" Type="http://schemas.openxmlformats.org/officeDocument/2006/relationships/hyperlink" Target="https://en.colorful.cn/en/home/product?mid=102&amp;id=93f3682a-5f9e-4271-9fb0-5c3777d3c987" TargetMode="External"/><Relationship Id="rId521" Type="http://schemas.openxmlformats.org/officeDocument/2006/relationships/hyperlink" Target="https://www.powercolor.com/product?id=1669257338" TargetMode="External"/><Relationship Id="rId1110" Type="http://schemas.openxmlformats.org/officeDocument/2006/relationships/hyperlink" Target="https://www.galax.com/en/graphics-card/20-series/galax-geforce-rtx-2070-ex-oc-white-gamer.html" TargetMode="External"/><Relationship Id="rId2441" Type="http://schemas.openxmlformats.org/officeDocument/2006/relationships/hyperlink" Target="https://www.msi.com/Graphics-Card/GeForce-RTX-3070-Ti-SUPRIM-X-8G" TargetMode="External"/><Relationship Id="rId3773" Type="http://schemas.openxmlformats.org/officeDocument/2006/relationships/hyperlink" Target="http://www.szgainward.cn/Home/ProductDetail?id=321&amp;isStop=0" TargetMode="External"/><Relationship Id="rId520" Type="http://schemas.openxmlformats.org/officeDocument/2006/relationships/hyperlink" Target="https://www.powercolor.com/product?id=1669258891" TargetMode="External"/><Relationship Id="rId1111" Type="http://schemas.openxmlformats.org/officeDocument/2006/relationships/hyperlink" Target="https://www.galax.com/en/" TargetMode="External"/><Relationship Id="rId2442" Type="http://schemas.openxmlformats.org/officeDocument/2006/relationships/hyperlink" Target="https://www.nvidia.com/en-us/geforce/graphics-cards/30-series/rtx-3070-3070ti/" TargetMode="External"/><Relationship Id="rId3772" Type="http://schemas.openxmlformats.org/officeDocument/2006/relationships/hyperlink" Target="https://en.colorful.cn/en/home/product?mid=102&amp;id=b5f8884d-22ed-4626-97a2-2f4c0cf12b38" TargetMode="External"/><Relationship Id="rId1112" Type="http://schemas.openxmlformats.org/officeDocument/2006/relationships/hyperlink" Target="https://www.galax.com/en/graphics-card/20-series/galax-geforce-rtx-2070-ex-oc-white.html" TargetMode="External"/><Relationship Id="rId2443" Type="http://schemas.openxmlformats.org/officeDocument/2006/relationships/hyperlink" Target="http://www.palit.com/palit/vgapro.php?id=4306&amp;lang=en" TargetMode="External"/><Relationship Id="rId3775" Type="http://schemas.openxmlformats.org/officeDocument/2006/relationships/hyperlink" Target="http://www.szgainward.cn/Home/ProductDetail?id=320&amp;isStop=0" TargetMode="External"/><Relationship Id="rId1113" Type="http://schemas.openxmlformats.org/officeDocument/2006/relationships/hyperlink" Target="https://www.galax.com/en/" TargetMode="External"/><Relationship Id="rId2444" Type="http://schemas.openxmlformats.org/officeDocument/2006/relationships/hyperlink" Target="http://www.palit.com/palit/vgapro.php?id=4297&amp;lang=en" TargetMode="External"/><Relationship Id="rId3774" Type="http://schemas.openxmlformats.org/officeDocument/2006/relationships/hyperlink" Target="http://www.szgainward.cn/Home/ProductDetail?id=319&amp;isStop=0" TargetMode="External"/><Relationship Id="rId1103" Type="http://schemas.openxmlformats.org/officeDocument/2006/relationships/hyperlink" Target="https://www.galax.com/en/" TargetMode="External"/><Relationship Id="rId2434" Type="http://schemas.openxmlformats.org/officeDocument/2006/relationships/hyperlink" Target="https://www.manli.com/en/product-detail-Manli_GeForce_RTX_3070_Ti_Gallardo_(M3515+N651-02)-275.html" TargetMode="External"/><Relationship Id="rId3766" Type="http://schemas.openxmlformats.org/officeDocument/2006/relationships/hyperlink" Target="https://en.colorful.cn/en/home/product?mid=102&amp;id=6dcb0687-c6e7-4672-805b-05fb89fca988" TargetMode="External"/><Relationship Id="rId1104" Type="http://schemas.openxmlformats.org/officeDocument/2006/relationships/hyperlink" Target="https://www.galax.com/en/graphics-card/20-series/galax-geforce-rtx-2070-ex-gamer-1clickoc.html" TargetMode="External"/><Relationship Id="rId2435" Type="http://schemas.openxmlformats.org/officeDocument/2006/relationships/hyperlink" Target="https://www.manli.com/en/product-detail-Manli_GeForce_RTX%E2%84%A2_3070_Ti_Gallardo_LHR_(M3515+N651-03)-287.html" TargetMode="External"/><Relationship Id="rId3765" Type="http://schemas.openxmlformats.org/officeDocument/2006/relationships/hyperlink" Target="https://en.colorful.cn/en/" TargetMode="External"/><Relationship Id="rId1105" Type="http://schemas.openxmlformats.org/officeDocument/2006/relationships/hyperlink" Target="https://www.galax.com/en/" TargetMode="External"/><Relationship Id="rId2436" Type="http://schemas.openxmlformats.org/officeDocument/2006/relationships/hyperlink" Target="https://www.msi.com/Graphics-Card/GeForce-RTX-3070-Ti-VENTUS-3X-8G" TargetMode="External"/><Relationship Id="rId3768" Type="http://schemas.openxmlformats.org/officeDocument/2006/relationships/hyperlink" Target="https://en.colorful.cn/en/home/product?mid=102&amp;id=b07c63c4-5f0c-455a-87b9-cb6104b2a070" TargetMode="External"/><Relationship Id="rId1106" Type="http://schemas.openxmlformats.org/officeDocument/2006/relationships/hyperlink" Target="https://www.galax.com/en/graphics-card/20-series/galax-geforce-rtx-2070-ex-white.html" TargetMode="External"/><Relationship Id="rId2437" Type="http://schemas.openxmlformats.org/officeDocument/2006/relationships/hyperlink" Target="https://www.msi.com/Graphics-Card/GeForce-RTX-3070-Ti-VENTUS-3X-8G-OC" TargetMode="External"/><Relationship Id="rId3767" Type="http://schemas.openxmlformats.org/officeDocument/2006/relationships/hyperlink" Target="https://en.colorful.cn/en/" TargetMode="External"/><Relationship Id="rId1107" Type="http://schemas.openxmlformats.org/officeDocument/2006/relationships/hyperlink" Target="https://www.galax.com/en/" TargetMode="External"/><Relationship Id="rId2438" Type="http://schemas.openxmlformats.org/officeDocument/2006/relationships/hyperlink" Target="https://www.msi.com/Graphics-Card/GeForce-RTX-3070-Ti-GAMING-TRIO-8G" TargetMode="External"/><Relationship Id="rId1108" Type="http://schemas.openxmlformats.org/officeDocument/2006/relationships/hyperlink" Target="https://www.galax.com/en/graphics-card/20-series/galax-geforce-rtx-2070-ex-oc.html" TargetMode="External"/><Relationship Id="rId2439" Type="http://schemas.openxmlformats.org/officeDocument/2006/relationships/hyperlink" Target="https://www.msi.com/Graphics-Card/GeForce-RTX-3070-Ti-GAMING-X-TRIO-8G" TargetMode="External"/><Relationship Id="rId3769" Type="http://schemas.openxmlformats.org/officeDocument/2006/relationships/hyperlink" Target="https://en.colorful.cn/en/" TargetMode="External"/><Relationship Id="rId1109" Type="http://schemas.openxmlformats.org/officeDocument/2006/relationships/hyperlink" Target="https://www.galax.com/en/" TargetMode="External"/><Relationship Id="rId519" Type="http://schemas.openxmlformats.org/officeDocument/2006/relationships/hyperlink" Target="https://www.powercolor.com/product?id=1678786220" TargetMode="External"/><Relationship Id="rId514" Type="http://schemas.openxmlformats.org/officeDocument/2006/relationships/hyperlink" Target="https://www.gigabyte.com/Graphics-Card/GV-R79XTXGAMING-OC-24GD" TargetMode="External"/><Relationship Id="rId513" Type="http://schemas.openxmlformats.org/officeDocument/2006/relationships/hyperlink" Target="https://www.gigabyte.com/Graphics-Card/GV-R79XTX-24GC-B" TargetMode="External"/><Relationship Id="rId512" Type="http://schemas.openxmlformats.org/officeDocument/2006/relationships/hyperlink" Target="https://www.asus.com/motherboards-components/graphics-cards/tuf-gaming/tuf-rx7900xtx-o24g-gaming/" TargetMode="External"/><Relationship Id="rId511" Type="http://schemas.openxmlformats.org/officeDocument/2006/relationships/hyperlink" Target="https://www.asus.com/motherboards-components/graphics-cards/tuf-gaming/tuf-rx7900xtx-24g-gaming/" TargetMode="External"/><Relationship Id="rId518" Type="http://schemas.openxmlformats.org/officeDocument/2006/relationships/hyperlink" Target="https://www.powercolor.com/product?id=1668745231" TargetMode="External"/><Relationship Id="rId517" Type="http://schemas.openxmlformats.org/officeDocument/2006/relationships/hyperlink" Target="https://www.powercolor.com/product?id=1668156895" TargetMode="External"/><Relationship Id="rId516" Type="http://schemas.openxmlformats.org/officeDocument/2006/relationships/hyperlink" Target="https://www.msi.com/Graphics-Card/Radeon-RX-7900-XTX-GAMING-TRIO-CLASSIC-24G" TargetMode="External"/><Relationship Id="rId515" Type="http://schemas.openxmlformats.org/officeDocument/2006/relationships/hyperlink" Target="https://www.gigabyte.com/Graphics-Card/GV-R79XTXAORUS-E-24GD" TargetMode="External"/><Relationship Id="rId3760" Type="http://schemas.openxmlformats.org/officeDocument/2006/relationships/hyperlink" Target="https://rog.asus.com/graphics-cards/graphics-cards/rog-matrix/rog-strix-rtx4080-o16g-gaming-model/" TargetMode="External"/><Relationship Id="rId510" Type="http://schemas.openxmlformats.org/officeDocument/2006/relationships/hyperlink" Target="https://www.asus.com/motherboards-components/graphics-cards/dual/dual-rx7900xtx-o24g/" TargetMode="External"/><Relationship Id="rId2430" Type="http://schemas.openxmlformats.org/officeDocument/2006/relationships/hyperlink" Target="https://www.leadtek.com/eng/" TargetMode="External"/><Relationship Id="rId3762" Type="http://schemas.openxmlformats.org/officeDocument/2006/relationships/hyperlink" Target="https://rog.asus.com/graphics-cards/graphics-cards/rog-strix/rog-strix-rtx4080-o16g-white-model/" TargetMode="External"/><Relationship Id="rId1100" Type="http://schemas.openxmlformats.org/officeDocument/2006/relationships/hyperlink" Target="https://www.galax.com/en/" TargetMode="External"/><Relationship Id="rId2431" Type="http://schemas.openxmlformats.org/officeDocument/2006/relationships/hyperlink" Target="https://www.leadtek.com/eng/products/graphics_cards(1)/WinFast_RTX_3070_Ti_HURRICANE_8G(40927)/detail" TargetMode="External"/><Relationship Id="rId3761" Type="http://schemas.openxmlformats.org/officeDocument/2006/relationships/hyperlink" Target="https://rog.asus.com/graphics-cards/graphics-cards/rog-strix/rog-strix-rtx4080-16g-white-model/" TargetMode="External"/><Relationship Id="rId1101" Type="http://schemas.openxmlformats.org/officeDocument/2006/relationships/hyperlink" Target="https://www.galax.com/en/" TargetMode="External"/><Relationship Id="rId2432" Type="http://schemas.openxmlformats.org/officeDocument/2006/relationships/hyperlink" Target="https://www.manli.com/en/product-detail-Manli_GeForce_RTX_3070_Ti_(M3514+N651-02)-272.html" TargetMode="External"/><Relationship Id="rId3764" Type="http://schemas.openxmlformats.org/officeDocument/2006/relationships/hyperlink" Target="https://en.colorful.cn/en/home/product?mid=102&amp;id=a61fef35-8772-470c-a938-e76e05e03609" TargetMode="External"/><Relationship Id="rId1102" Type="http://schemas.openxmlformats.org/officeDocument/2006/relationships/hyperlink" Target="https://www.galax.com/en/graphics-card/20-series/galax-geforce-rtx-2070-ex.html" TargetMode="External"/><Relationship Id="rId2433" Type="http://schemas.openxmlformats.org/officeDocument/2006/relationships/hyperlink" Target="https://www.manli.com/en/product-detail-Manli_GeForce_RTX%E2%84%A2_3070_Ti_LHR_(M3514+N651-03)-286.html" TargetMode="External"/><Relationship Id="rId3763" Type="http://schemas.openxmlformats.org/officeDocument/2006/relationships/hyperlink" Target="https://en.colorful.cn/en/" TargetMode="External"/><Relationship Id="rId3711" Type="http://schemas.openxmlformats.org/officeDocument/2006/relationships/hyperlink" Target="https://www.gigabyte.com/Graphics-Card/GV-N407TSEAGLE-OC-16GD" TargetMode="External"/><Relationship Id="rId3710" Type="http://schemas.openxmlformats.org/officeDocument/2006/relationships/hyperlink" Target="https://www.gigabyte.com/Graphics-Card/GV-N407TSWF3OC-16GD" TargetMode="External"/><Relationship Id="rId3713" Type="http://schemas.openxmlformats.org/officeDocument/2006/relationships/hyperlink" Target="https://www.gigabyte.com/Graphics-Card/GV-N407TSAERO-OC-16GD" TargetMode="External"/><Relationship Id="rId3712" Type="http://schemas.openxmlformats.org/officeDocument/2006/relationships/hyperlink" Target="https://www.gigabyte.com/Graphics-Card/GV-N407TSEAGLEOC-ICE-16GD" TargetMode="External"/><Relationship Id="rId3715" Type="http://schemas.openxmlformats.org/officeDocument/2006/relationships/hyperlink" Target="https://www.gigabyte.com/Graphics-Card/GV-N407TSAORUS-M-16GD" TargetMode="External"/><Relationship Id="rId3714" Type="http://schemas.openxmlformats.org/officeDocument/2006/relationships/hyperlink" Target="https://www.gigabyte.com/Graphics-Card/GV-N407TSGAMING-OC-16GD" TargetMode="External"/><Relationship Id="rId3717" Type="http://schemas.openxmlformats.org/officeDocument/2006/relationships/hyperlink" Target="https://www.inno3d.com/en/PRODUCT_INNO3D_GEFORCE_RTX_4070_Ti_SUPER_TWINX2_OC" TargetMode="External"/><Relationship Id="rId3716" Type="http://schemas.openxmlformats.org/officeDocument/2006/relationships/hyperlink" Target="https://www.inno3d.com/en/PRODUCT_INNO3D_GEFORCE_RTX_4070_Ti_SUPER_TWINX2" TargetMode="External"/><Relationship Id="rId3719" Type="http://schemas.openxmlformats.org/officeDocument/2006/relationships/hyperlink" Target="https://www.inno3d.com/en/PRODUCT_INNO3D_GEFORCE_RTX_4070_Ti_SUPER_X3_OC" TargetMode="External"/><Relationship Id="rId3718" Type="http://schemas.openxmlformats.org/officeDocument/2006/relationships/hyperlink" Target="https://www.inno3d.com/en/PRODUCT_INNO3D_GEFORCE_RTX_4070_Ti_SUPER_TWINX2_OC_WHITE" TargetMode="External"/><Relationship Id="rId3700" Type="http://schemas.openxmlformats.org/officeDocument/2006/relationships/hyperlink" Target="https://www.gainward.com/main/vgapro.php?id=1206&amp;lang=en" TargetMode="External"/><Relationship Id="rId3702" Type="http://schemas.openxmlformats.org/officeDocument/2006/relationships/hyperlink" Target="https://www.galax.com/en/" TargetMode="External"/><Relationship Id="rId3701" Type="http://schemas.openxmlformats.org/officeDocument/2006/relationships/hyperlink" Target="https://www.gainward.com/main/vgapro.php?id=1205&amp;lang=en" TargetMode="External"/><Relationship Id="rId3704" Type="http://schemas.openxmlformats.org/officeDocument/2006/relationships/hyperlink" Target="https://www.galax.com/en/" TargetMode="External"/><Relationship Id="rId3703" Type="http://schemas.openxmlformats.org/officeDocument/2006/relationships/hyperlink" Target="https://www.galax.com/en/graphics-card/40-series/40series-super/4070ti-super/geforce-rtx-4070-ti-super-exg.html" TargetMode="External"/><Relationship Id="rId3706" Type="http://schemas.openxmlformats.org/officeDocument/2006/relationships/hyperlink" Target="https://www.galax.com/en/" TargetMode="External"/><Relationship Id="rId3705" Type="http://schemas.openxmlformats.org/officeDocument/2006/relationships/hyperlink" Target="https://www.galax.com/en/graphics-card/40-series/40series-super/4070ti-super/geforce-rtx-4070-ti-super-exg-p.html" TargetMode="External"/><Relationship Id="rId3708" Type="http://schemas.openxmlformats.org/officeDocument/2006/relationships/hyperlink" Target="https://www.galax.com/en/" TargetMode="External"/><Relationship Id="rId3707" Type="http://schemas.openxmlformats.org/officeDocument/2006/relationships/hyperlink" Target="https://www.galax.com/en/graphics-card/40-series/40series-super/4070ti-super/geforce-rtx-4070-ti-super-exg-w.html" TargetMode="External"/><Relationship Id="rId3709" Type="http://schemas.openxmlformats.org/officeDocument/2006/relationships/hyperlink" Target="https://www.galax.com/en/graphics-card/40-series/40series-super/4070ti-super/geforce-rtx-4070-ti-super-sg.html" TargetMode="External"/><Relationship Id="rId2401" Type="http://schemas.openxmlformats.org/officeDocument/2006/relationships/hyperlink" Target="https://www.galax.com/en/" TargetMode="External"/><Relationship Id="rId3733" Type="http://schemas.openxmlformats.org/officeDocument/2006/relationships/hyperlink" Target="https://www.msi.com/Graphics-Card/GeForce-RTX-4070-Ti-SUPER-16G-GAMING-SLIM-WHITE" TargetMode="External"/><Relationship Id="rId2402" Type="http://schemas.openxmlformats.org/officeDocument/2006/relationships/hyperlink" Target="http://www.szgalaxy.com/__ZH_GB__/Product5/ProductDetail?proID=784" TargetMode="External"/><Relationship Id="rId3732" Type="http://schemas.openxmlformats.org/officeDocument/2006/relationships/hyperlink" Target="https://www.msi.com/Graphics-Card/GeForce-RTX-4070-Ti-SUPER-16G-GAMING-X-SLIM" TargetMode="External"/><Relationship Id="rId2403" Type="http://schemas.openxmlformats.org/officeDocument/2006/relationships/hyperlink" Target="https://www.galax.com/en/" TargetMode="External"/><Relationship Id="rId3735" Type="http://schemas.openxmlformats.org/officeDocument/2006/relationships/hyperlink" Target="https://www.msi.com/Graphics-Card/GeForce-RTX-4070-Ti-SUPER-16G-EXPERT" TargetMode="External"/><Relationship Id="rId2404" Type="http://schemas.openxmlformats.org/officeDocument/2006/relationships/hyperlink" Target="http://www.szgalaxy.com/__ZH_GB__/Product5/ProductDetail?proID=766" TargetMode="External"/><Relationship Id="rId3734" Type="http://schemas.openxmlformats.org/officeDocument/2006/relationships/hyperlink" Target="https://www.msi.com/Graphics-Card/GeForce-RTX-4070-Ti-SUPER-16G-GAMING-X-SLIM-WHITE" TargetMode="External"/><Relationship Id="rId2405" Type="http://schemas.openxmlformats.org/officeDocument/2006/relationships/hyperlink" Target="https://www.galax.com/en/" TargetMode="External"/><Relationship Id="rId3737" Type="http://schemas.openxmlformats.org/officeDocument/2006/relationships/hyperlink" Target="https://www.msi.com/Graphics-Card/GeForce-RTX-4070-Ti-SUPER-16G-GAMING-X-TRIO-WHITE" TargetMode="External"/><Relationship Id="rId2406" Type="http://schemas.openxmlformats.org/officeDocument/2006/relationships/hyperlink" Target="http://www.szgalaxy.com/__ZH_GB__/Product5/ProductDetail?proID=765" TargetMode="External"/><Relationship Id="rId3736" Type="http://schemas.openxmlformats.org/officeDocument/2006/relationships/hyperlink" Target="https://www.msi.com/Graphics-Card/GeForce-RTX-4070-Ti-SUPER-16G-GAMING-TRIO-WHITE" TargetMode="External"/><Relationship Id="rId2407" Type="http://schemas.openxmlformats.org/officeDocument/2006/relationships/hyperlink" Target="https://www.galax.com/en/" TargetMode="External"/><Relationship Id="rId3739" Type="http://schemas.openxmlformats.org/officeDocument/2006/relationships/hyperlink" Target="https://www.palit.com/palit/vgapro.php?id=5057&amp;lang=en" TargetMode="External"/><Relationship Id="rId2408" Type="http://schemas.openxmlformats.org/officeDocument/2006/relationships/hyperlink" Target="http://www.szgalaxy.com/__ZH_GB__/Product5/ProductDetail?proID=782" TargetMode="External"/><Relationship Id="rId3738" Type="http://schemas.openxmlformats.org/officeDocument/2006/relationships/hyperlink" Target="https://www.palit.com/palit/vgapro.php?id=5067&amp;lang=en" TargetMode="External"/><Relationship Id="rId2409" Type="http://schemas.openxmlformats.org/officeDocument/2006/relationships/hyperlink" Target="https://www.galax.com/en/" TargetMode="External"/><Relationship Id="rId3731" Type="http://schemas.openxmlformats.org/officeDocument/2006/relationships/hyperlink" Target="https://www.msi.com/Graphics-Card/GeForce-RTX-4070-Ti-SUPER-16G-GAMING-SLIM" TargetMode="External"/><Relationship Id="rId2400" Type="http://schemas.openxmlformats.org/officeDocument/2006/relationships/hyperlink" Target="http://www.szgalaxy.com/__ZH_GB__/Product5/ProductDetail?proID=761" TargetMode="External"/><Relationship Id="rId3730" Type="http://schemas.openxmlformats.org/officeDocument/2006/relationships/hyperlink" Target="https://www.msi.com/Graphics-Card/GeForce-RTX-4070-Ti-SUPER-16G-SHADOW-3X-OC" TargetMode="External"/><Relationship Id="rId3722" Type="http://schemas.openxmlformats.org/officeDocument/2006/relationships/hyperlink" Target="https://www.manli.com/en/product-detail-Manli_GeForce_RTX%E2%84%A2_4070_Ti_Super_Gallardo(M3551+N693)-357.html" TargetMode="External"/><Relationship Id="rId3721" Type="http://schemas.openxmlformats.org/officeDocument/2006/relationships/hyperlink" Target="https://www.manli.com/en/product-detail-Manli_GeForce_RTX%E2%84%A2_4070_Ti_Super(M2592+N693)-356.html" TargetMode="External"/><Relationship Id="rId3724" Type="http://schemas.openxmlformats.org/officeDocument/2006/relationships/hyperlink" Target="https://www.msi.com/Graphics-Card/GeForce-RTX-4070-Ti-SUPER-16G-VENTUS-2X-OC" TargetMode="External"/><Relationship Id="rId3723" Type="http://schemas.openxmlformats.org/officeDocument/2006/relationships/hyperlink" Target="https://www.msi.com/Graphics-Card/GeForce-RTX-4070-Ti-SUPER-16G-VENTUS-2X" TargetMode="External"/><Relationship Id="rId3726" Type="http://schemas.openxmlformats.org/officeDocument/2006/relationships/hyperlink" Target="https://www.msi.com/Graphics-Card/GeForce-RTX-4070-Ti-SUPER-16G-VENTUS-2X-WHITE-OC" TargetMode="External"/><Relationship Id="rId3725" Type="http://schemas.openxmlformats.org/officeDocument/2006/relationships/hyperlink" Target="https://www.msi.com/Graphics-Card/GeForce-RTX-4070-Ti-SUPER-16G-VENTUS-2X-WHITE" TargetMode="External"/><Relationship Id="rId3728" Type="http://schemas.openxmlformats.org/officeDocument/2006/relationships/hyperlink" Target="https://www.msi.com/Graphics-Card/GeForce-RTX-4070-Ti-SUPER-16G-VENTUS-3X-OC" TargetMode="External"/><Relationship Id="rId3727" Type="http://schemas.openxmlformats.org/officeDocument/2006/relationships/hyperlink" Target="https://www.msi.com/Graphics-Card/GeForce-RTX-4070-Ti-SUPER-16G-VENTUS-3X" TargetMode="External"/><Relationship Id="rId3729" Type="http://schemas.openxmlformats.org/officeDocument/2006/relationships/hyperlink" Target="https://www.msi.com/Graphics-Card/GeForce-RTX-4070-Ti-SUPER-16G-SHADOW-3X" TargetMode="External"/><Relationship Id="rId3720" Type="http://schemas.openxmlformats.org/officeDocument/2006/relationships/hyperlink" Target="https://www.inno3d.com/en/PRODUCT_INNO3D_GEFORCE_RTX_4070_Ti_SUPER_ICHILL_X3" TargetMode="External"/><Relationship Id="rId590" Type="http://schemas.openxmlformats.org/officeDocument/2006/relationships/hyperlink" Target="https://www.gainward.com/main/vgapro.php?id=1006&amp;tab=ov&amp;lang=en" TargetMode="External"/><Relationship Id="rId589" Type="http://schemas.openxmlformats.org/officeDocument/2006/relationships/hyperlink" Target="https://www.gainward.com/main/vgapro.php?id=1002&amp;lang=en" TargetMode="External"/><Relationship Id="rId588" Type="http://schemas.openxmlformats.org/officeDocument/2006/relationships/hyperlink" Target="https://www.gainward.com/main/vgapro.php?id=1001&amp;lang=en" TargetMode="External"/><Relationship Id="rId1170" Type="http://schemas.openxmlformats.org/officeDocument/2006/relationships/hyperlink" Target="https://www.emtekinc.co.kr/" TargetMode="External"/><Relationship Id="rId1171" Type="http://schemas.openxmlformats.org/officeDocument/2006/relationships/hyperlink" Target="https://www.emtekinc.co.kr/" TargetMode="External"/><Relationship Id="rId583" Type="http://schemas.openxmlformats.org/officeDocument/2006/relationships/hyperlink" Target="https://www.evga.com/products/specs/gpu.aspx?pn=CE4FF9CB-C90A-4D09-861E-171729C7BC75" TargetMode="External"/><Relationship Id="rId1172" Type="http://schemas.openxmlformats.org/officeDocument/2006/relationships/hyperlink" Target="https://www.emtekinc.co.kr/" TargetMode="External"/><Relationship Id="rId582" Type="http://schemas.openxmlformats.org/officeDocument/2006/relationships/hyperlink" Target="https://www.evga.com/products/specs/gpu.aspx?pn=1586CB9D-68F5-4962-B273-288606A64A02" TargetMode="External"/><Relationship Id="rId1173" Type="http://schemas.openxmlformats.org/officeDocument/2006/relationships/hyperlink" Target="https://www.emtekinc.co.kr/" TargetMode="External"/><Relationship Id="rId581" Type="http://schemas.openxmlformats.org/officeDocument/2006/relationships/hyperlink" Target="https://www.evga.com/products/specs/gpu.aspx?pn=7311B3C2-1C0C-490C-A8DB-2E9025A95011" TargetMode="External"/><Relationship Id="rId1174" Type="http://schemas.openxmlformats.org/officeDocument/2006/relationships/hyperlink" Target="https://www.emtekinc.co.kr/bbs/board.php?bo_table=product&amp;wr_id=2026" TargetMode="External"/><Relationship Id="rId580" Type="http://schemas.openxmlformats.org/officeDocument/2006/relationships/hyperlink" Target="https://www.evga.com/products/specs/gpu.aspx?pn=F10B1BCD-F020-461E-8BEA-9C8D93EBE053" TargetMode="External"/><Relationship Id="rId1175" Type="http://schemas.openxmlformats.org/officeDocument/2006/relationships/hyperlink" Target="https://www.emtekinc.co.kr/" TargetMode="External"/><Relationship Id="rId587" Type="http://schemas.openxmlformats.org/officeDocument/2006/relationships/hyperlink" Target="https://www.evga.com/products/specs/gpu.aspx?pn=E3CDC962-265E-4A40-BD44-ADEAB6AFFADA" TargetMode="External"/><Relationship Id="rId1176" Type="http://schemas.openxmlformats.org/officeDocument/2006/relationships/hyperlink" Target="https://www.emtekinc.co.kr/bbs/board.php?bo_table=product&amp;wr_id=2007" TargetMode="External"/><Relationship Id="rId586" Type="http://schemas.openxmlformats.org/officeDocument/2006/relationships/hyperlink" Target="https://www.evga.com/products/specs/gpu.aspx?pn=618C3B68-6270-4406-81F7-00C58F1A3982" TargetMode="External"/><Relationship Id="rId1177" Type="http://schemas.openxmlformats.org/officeDocument/2006/relationships/hyperlink" Target="https://www.emtekinc.co.kr/" TargetMode="External"/><Relationship Id="rId585" Type="http://schemas.openxmlformats.org/officeDocument/2006/relationships/hyperlink" Target="https://www.evga.com/products/specs/gpu.aspx?pn=C1960763-6864-496F-BEEC-A940D2D0320D" TargetMode="External"/><Relationship Id="rId1178" Type="http://schemas.openxmlformats.org/officeDocument/2006/relationships/hyperlink" Target="https://www.emtekinc.co.kr/bbs/board.php?bo_table=product&amp;wr_id=2067" TargetMode="External"/><Relationship Id="rId584" Type="http://schemas.openxmlformats.org/officeDocument/2006/relationships/hyperlink" Target="https://www.evga.com/products/specs/gpu.aspx?pn=9FAD9B05-E730-458B-A504-AE42B36F74D3" TargetMode="External"/><Relationship Id="rId1179" Type="http://schemas.openxmlformats.org/officeDocument/2006/relationships/hyperlink" Target="https://www.emtekinc.co.kr/" TargetMode="External"/><Relationship Id="rId1169" Type="http://schemas.openxmlformats.org/officeDocument/2006/relationships/hyperlink" Target="https://www.emtekinc.co.kr/" TargetMode="External"/><Relationship Id="rId579" Type="http://schemas.openxmlformats.org/officeDocument/2006/relationships/hyperlink" Target="https://www.evga.com/products/specs/gpu.aspx?pn=1190FBF7-7F11-465D-B303-CAB0E50FBDC6" TargetMode="External"/><Relationship Id="rId578" Type="http://schemas.openxmlformats.org/officeDocument/2006/relationships/hyperlink" Target="https://www.evga.com/products/specs/gpu.aspx?pn=7C2DD3B9-4B02-4CC0-8FAA-F60588DB002C" TargetMode="External"/><Relationship Id="rId577" Type="http://schemas.openxmlformats.org/officeDocument/2006/relationships/hyperlink" Target="https://www.evga.com/products/specs/gpu.aspx?pn=248F5E55-2BE4-4033-91AA-11CD07C06F32" TargetMode="External"/><Relationship Id="rId2490" Type="http://schemas.openxmlformats.org/officeDocument/2006/relationships/hyperlink" Target="https://en.colorful.cn/product_show.aspx?mid=102&amp;id=1814" TargetMode="External"/><Relationship Id="rId1160" Type="http://schemas.openxmlformats.org/officeDocument/2006/relationships/hyperlink" Target="https://en.colorful.cn/product_show.aspx?mid=102&amp;id=1723" TargetMode="External"/><Relationship Id="rId2491" Type="http://schemas.openxmlformats.org/officeDocument/2006/relationships/hyperlink" Target="https://en.colorful.cn/en/" TargetMode="External"/><Relationship Id="rId572" Type="http://schemas.openxmlformats.org/officeDocument/2006/relationships/hyperlink" Target="https://www.evga.com/products/specs/gpu.aspx?pn=FC899122-6F48-4300-A2D0-3C2A5EBC87B2" TargetMode="External"/><Relationship Id="rId1161" Type="http://schemas.openxmlformats.org/officeDocument/2006/relationships/hyperlink" Target="https://www.emtekinc.co.kr/" TargetMode="External"/><Relationship Id="rId2492" Type="http://schemas.openxmlformats.org/officeDocument/2006/relationships/hyperlink" Target="https://en.colorful.cn/product_show.aspx?mid=102&amp;id=1813" TargetMode="External"/><Relationship Id="rId571" Type="http://schemas.openxmlformats.org/officeDocument/2006/relationships/hyperlink" Target="https://www.evga.com/products/specs/gpu.aspx?pn=DB4DC143-6A38-40EB-B79B-617A43BA51EE" TargetMode="External"/><Relationship Id="rId1162" Type="http://schemas.openxmlformats.org/officeDocument/2006/relationships/hyperlink" Target="https://www.emtekinc.co.kr/bbs/board.php?bo_table=product&amp;wr_id=2055" TargetMode="External"/><Relationship Id="rId2493" Type="http://schemas.openxmlformats.org/officeDocument/2006/relationships/hyperlink" Target="https://en.colorful.cn/en/" TargetMode="External"/><Relationship Id="rId570" Type="http://schemas.openxmlformats.org/officeDocument/2006/relationships/hyperlink" Target="https://www.colorful.cn/product_show.aspx?mid=102&amp;id=1468" TargetMode="External"/><Relationship Id="rId1163" Type="http://schemas.openxmlformats.org/officeDocument/2006/relationships/hyperlink" Target="https://www.emtekinc.co.kr/" TargetMode="External"/><Relationship Id="rId2494" Type="http://schemas.openxmlformats.org/officeDocument/2006/relationships/hyperlink" Target="https://en.colorful.cn/product_show.aspx?mid=102&amp;id=1868" TargetMode="External"/><Relationship Id="rId1164" Type="http://schemas.openxmlformats.org/officeDocument/2006/relationships/hyperlink" Target="https://www.emtekinc.co.kr/bbs/board.php?bo_table=product&amp;wr_id=2168" TargetMode="External"/><Relationship Id="rId2495" Type="http://schemas.openxmlformats.org/officeDocument/2006/relationships/hyperlink" Target="https://en.colorful.cn/en/" TargetMode="External"/><Relationship Id="rId576" Type="http://schemas.openxmlformats.org/officeDocument/2006/relationships/hyperlink" Target="https://www.evga.com/products/specs/gpu.aspx?pn=61E6D689-506E-45DF-8202-B49614E9D54D" TargetMode="External"/><Relationship Id="rId1165" Type="http://schemas.openxmlformats.org/officeDocument/2006/relationships/hyperlink" Target="https://www.emtekinc.co.kr/" TargetMode="External"/><Relationship Id="rId2496" Type="http://schemas.openxmlformats.org/officeDocument/2006/relationships/hyperlink" Target="https://www.colorful.cn/product_show.aspx?mid=102&amp;id=1758" TargetMode="External"/><Relationship Id="rId575" Type="http://schemas.openxmlformats.org/officeDocument/2006/relationships/hyperlink" Target="https://www.evga.com/products/specs/gpu.aspx?pn=B4035E3E-BC23-4C2F-BE64-5F5E92173505" TargetMode="External"/><Relationship Id="rId1166" Type="http://schemas.openxmlformats.org/officeDocument/2006/relationships/hyperlink" Target="https://www.emtekinc.co.kr/bbs/board.php?bo_table=product&amp;wr_id=2154" TargetMode="External"/><Relationship Id="rId2497" Type="http://schemas.openxmlformats.org/officeDocument/2006/relationships/hyperlink" Target="https://en.colorful.cn/en/" TargetMode="External"/><Relationship Id="rId574" Type="http://schemas.openxmlformats.org/officeDocument/2006/relationships/hyperlink" Target="https://www.evga.com/products/specs/gpu.aspx?pn=9FE1DFC9-F386-453B-B647-FF95DEDF3DB6" TargetMode="External"/><Relationship Id="rId1167" Type="http://schemas.openxmlformats.org/officeDocument/2006/relationships/hyperlink" Target="https://www.emtekinc.co.kr/" TargetMode="External"/><Relationship Id="rId2498" Type="http://schemas.openxmlformats.org/officeDocument/2006/relationships/hyperlink" Target="https://www.colorful.cn/product_show.aspx?mid=102&amp;id=1857" TargetMode="External"/><Relationship Id="rId573" Type="http://schemas.openxmlformats.org/officeDocument/2006/relationships/hyperlink" Target="https://www.evga.com/products/specs/gpu.aspx?pn=43FCD4D4-AEE6-4B4C-A9F7-413F8F42D0FD" TargetMode="External"/><Relationship Id="rId1168" Type="http://schemas.openxmlformats.org/officeDocument/2006/relationships/hyperlink" Target="https://www.emtekinc.co.kr/bbs/board.php?bo_table=product&amp;wr_id=2141" TargetMode="External"/><Relationship Id="rId2499" Type="http://schemas.openxmlformats.org/officeDocument/2006/relationships/hyperlink" Target="https://en.colorful.cn/en/" TargetMode="External"/><Relationship Id="rId1190" Type="http://schemas.openxmlformats.org/officeDocument/2006/relationships/hyperlink" Target="https://www.evga.com/products/specs/gpu.aspx?pn=58751ABF-07A7-41DD-90D6-B19E79FA1236" TargetMode="External"/><Relationship Id="rId1191" Type="http://schemas.openxmlformats.org/officeDocument/2006/relationships/hyperlink" Target="http://www.gainward.com/main/vgapro.php?id=1081&amp;lang=en" TargetMode="External"/><Relationship Id="rId1192" Type="http://schemas.openxmlformats.org/officeDocument/2006/relationships/hyperlink" Target="http://www.gainward.com/main/vgapro.php?id=1084&amp;lang=en" TargetMode="External"/><Relationship Id="rId1193" Type="http://schemas.openxmlformats.org/officeDocument/2006/relationships/hyperlink" Target="http://www.gainward.com/main/vgapro.php?id=1080&amp;lang=en" TargetMode="External"/><Relationship Id="rId1194" Type="http://schemas.openxmlformats.org/officeDocument/2006/relationships/hyperlink" Target="http://www.gainward.com/main/vgapro.php?id=1057&amp;lang=en" TargetMode="External"/><Relationship Id="rId1195" Type="http://schemas.openxmlformats.org/officeDocument/2006/relationships/hyperlink" Target="http://www.gainward.com/main/vgapro.php?id=1056&amp;lang=en" TargetMode="External"/><Relationship Id="rId1196" Type="http://schemas.openxmlformats.org/officeDocument/2006/relationships/hyperlink" Target="https://www.galax.com/en/" TargetMode="External"/><Relationship Id="rId1197" Type="http://schemas.openxmlformats.org/officeDocument/2006/relationships/hyperlink" Target="https://www.galax.com/en/" TargetMode="External"/><Relationship Id="rId1198" Type="http://schemas.openxmlformats.org/officeDocument/2006/relationships/hyperlink" Target="https://www.galax.com/en/graphics-card/20-series/galax-geforce-rtx-2070-super-ex-1click.html" TargetMode="External"/><Relationship Id="rId1199" Type="http://schemas.openxmlformats.org/officeDocument/2006/relationships/hyperlink" Target="https://www.galax.com/en/" TargetMode="External"/><Relationship Id="rId599" Type="http://schemas.openxmlformats.org/officeDocument/2006/relationships/hyperlink" Target="https://www.galax.com/en/graphics-card/10-series/galax-geforcer-gtx-1080-ti-exoc-w.html" TargetMode="External"/><Relationship Id="rId1180" Type="http://schemas.openxmlformats.org/officeDocument/2006/relationships/hyperlink" Target="https://www.emtekinc.co.kr/bbs/board.php?bo_table=product&amp;wr_id=2063" TargetMode="External"/><Relationship Id="rId1181" Type="http://schemas.openxmlformats.org/officeDocument/2006/relationships/hyperlink" Target="https://www.evga.com/products/specs/gpu.aspx?pn=3DB39C9A-B812-4C54-BE08-D6332A87917E" TargetMode="External"/><Relationship Id="rId1182" Type="http://schemas.openxmlformats.org/officeDocument/2006/relationships/hyperlink" Target="https://www.evga.com/products/specs/gpu.aspx?pn=A32B4E38-1F52-4CC0-B318-17825D80FDDC" TargetMode="External"/><Relationship Id="rId594" Type="http://schemas.openxmlformats.org/officeDocument/2006/relationships/hyperlink" Target="https://www.galax.com/en/" TargetMode="External"/><Relationship Id="rId1183" Type="http://schemas.openxmlformats.org/officeDocument/2006/relationships/hyperlink" Target="https://www.evga.com/products/specs/gpu.aspx?pn=1A1601A6-0AF0-4E1C-97B1-9D0B640119AC" TargetMode="External"/><Relationship Id="rId593" Type="http://schemas.openxmlformats.org/officeDocument/2006/relationships/hyperlink" Target="https://www.galax.com/en/graphics-card/10-series/galax-geforcer-gtx-1080-ti-founders-edition.html" TargetMode="External"/><Relationship Id="rId1184" Type="http://schemas.openxmlformats.org/officeDocument/2006/relationships/hyperlink" Target="https://www.evga.com/products/specs/gpu.aspx?pn=49FDE276-A7C3-43DB-8FDF-7982283064A4" TargetMode="External"/><Relationship Id="rId592" Type="http://schemas.openxmlformats.org/officeDocument/2006/relationships/hyperlink" Target="https://www.galax.com/en/" TargetMode="External"/><Relationship Id="rId1185" Type="http://schemas.openxmlformats.org/officeDocument/2006/relationships/hyperlink" Target="https://www.evga.com/products/specs/gpu.aspx?pn=36510359-016F-401F-A537-4D6DC5977C5B" TargetMode="External"/><Relationship Id="rId591" Type="http://schemas.openxmlformats.org/officeDocument/2006/relationships/hyperlink" Target="https://www.gainward.com/main/vgapro.php?id=1005&amp;lang=en" TargetMode="External"/><Relationship Id="rId1186" Type="http://schemas.openxmlformats.org/officeDocument/2006/relationships/hyperlink" Target="https://www.evga.com/products/specs/gpu.aspx?pn=E11295DD-D88E-41C1-9419-1DADB53AC74D" TargetMode="External"/><Relationship Id="rId598" Type="http://schemas.openxmlformats.org/officeDocument/2006/relationships/hyperlink" Target="https://www.galax.com/en/" TargetMode="External"/><Relationship Id="rId1187" Type="http://schemas.openxmlformats.org/officeDocument/2006/relationships/hyperlink" Target="https://www.evga.com/products/specs/gpu.aspx?pn=5D3470A8-A0A5-4A94-9AE5-AA6895FF241B" TargetMode="External"/><Relationship Id="rId597" Type="http://schemas.openxmlformats.org/officeDocument/2006/relationships/hyperlink" Target="https://www.galax.com/en/graphics-card/10-series/galax-geforcer-gtx-1080-ti-exoc.html" TargetMode="External"/><Relationship Id="rId1188" Type="http://schemas.openxmlformats.org/officeDocument/2006/relationships/hyperlink" Target="https://www.evga.com/products/specs/gpu.aspx?pn=7ACAECE6-5070-4379-A4D0-EDFE7AF33067" TargetMode="External"/><Relationship Id="rId596" Type="http://schemas.openxmlformats.org/officeDocument/2006/relationships/hyperlink" Target="https://www.galax.com/en/" TargetMode="External"/><Relationship Id="rId1189" Type="http://schemas.openxmlformats.org/officeDocument/2006/relationships/hyperlink" Target="https://www.evga.com/products/specs/gpu.aspx?pn=7E7E3085-1FE0-4DC1-98EC-74BE1221441E" TargetMode="External"/><Relationship Id="rId595" Type="http://schemas.openxmlformats.org/officeDocument/2006/relationships/hyperlink" Target="https://www.galax.com/en/graphics-card/10-series/galax-geforcer-gtx-1080-ti.html" TargetMode="External"/><Relationship Id="rId1136" Type="http://schemas.openxmlformats.org/officeDocument/2006/relationships/hyperlink" Target="https://www.msi.com/Graphics-card/GeForce-RTX-2070-GAMING-GP" TargetMode="External"/><Relationship Id="rId2467" Type="http://schemas.openxmlformats.org/officeDocument/2006/relationships/hyperlink" Target="https://rog.asus.com/Graphics-Cards/Graphics-Cards/ROG-Strix/ROG-STRIX-RTX3080-O10G-GAMING-Model/" TargetMode="External"/><Relationship Id="rId3799" Type="http://schemas.openxmlformats.org/officeDocument/2006/relationships/hyperlink" Target="https://www.galax.com/en/" TargetMode="External"/><Relationship Id="rId1137" Type="http://schemas.openxmlformats.org/officeDocument/2006/relationships/hyperlink" Target="https://www.msi.com/Graphics-card/GeForce-RTX-2070-GAMING-X-8G" TargetMode="External"/><Relationship Id="rId2468" Type="http://schemas.openxmlformats.org/officeDocument/2006/relationships/hyperlink" Target="https://rog.asus.com/graphics-cards/graphics-cards/rog-strix/rog-strix-rtx3080-o10g-v2-gaming-model/" TargetMode="External"/><Relationship Id="rId3798" Type="http://schemas.openxmlformats.org/officeDocument/2006/relationships/hyperlink" Target="https://www.galax.com/en/graphics-card/40-series/4080-series/geforce-rtx-4080-16gb-sg.html" TargetMode="External"/><Relationship Id="rId1138" Type="http://schemas.openxmlformats.org/officeDocument/2006/relationships/hyperlink" Target="https://www.msi.com/Graphics-card/GeForce-RTX-2070-GAMING-Z-8G" TargetMode="External"/><Relationship Id="rId2469" Type="http://schemas.openxmlformats.org/officeDocument/2006/relationships/hyperlink" Target="https://rog.asus.com/graphics-cards/graphics-cards/rog-strix/rog-strix-geforce-rtx-3080-gundam-edition-model/" TargetMode="External"/><Relationship Id="rId1139" Type="http://schemas.openxmlformats.org/officeDocument/2006/relationships/hyperlink" Target="http://www.palit.com/palit/vgapro.php?id=3104&amp;lang=en" TargetMode="External"/><Relationship Id="rId547" Type="http://schemas.openxmlformats.org/officeDocument/2006/relationships/hyperlink" Target="https://www.gunnir.cn/home/product?id=93b498e0-e5b0-4f78-8f2c-f1055ea50cd7&amp;modelid=d5512409-d36e-475e-8343-37a5301eb47f" TargetMode="External"/><Relationship Id="rId546" Type="http://schemas.openxmlformats.org/officeDocument/2006/relationships/hyperlink" Target="https://www.gunnir.cn/" TargetMode="External"/><Relationship Id="rId545" Type="http://schemas.openxmlformats.org/officeDocument/2006/relationships/hyperlink" Target="https://www.asrock.com/Graphics-Card/Intel/Intel%20Arc%20A770%20Phantom%20Gaming%20D%208GB%20OC/" TargetMode="External"/><Relationship Id="rId544" Type="http://schemas.openxmlformats.org/officeDocument/2006/relationships/hyperlink" Target="https://www.sparkle.com.tw/en/ARC/Titan" TargetMode="External"/><Relationship Id="rId549" Type="http://schemas.openxmlformats.org/officeDocument/2006/relationships/hyperlink" Target="https://www.gunnir.cn/home/product?id=93b498e0-e5b0-4f78-8f2c-f1055ea50cd7&amp;modelid=d5512409-d36e-475e-8343-37a5301eb47f" TargetMode="External"/><Relationship Id="rId548" Type="http://schemas.openxmlformats.org/officeDocument/2006/relationships/hyperlink" Target="https://www.gunnir.cn/" TargetMode="External"/><Relationship Id="rId3791" Type="http://schemas.openxmlformats.org/officeDocument/2006/relationships/hyperlink" Target="https://www.galax.com/en/" TargetMode="External"/><Relationship Id="rId2460" Type="http://schemas.openxmlformats.org/officeDocument/2006/relationships/hyperlink" Target="https://www.asus.com/motherboards-components/graphics-cards/tuf-gaming/TUF-RTX3080-10G-GAMING" TargetMode="External"/><Relationship Id="rId3790" Type="http://schemas.openxmlformats.org/officeDocument/2006/relationships/hyperlink" Target="http://www.szgalaxy.com/__ZH_GB__/Product5/ProductDetail?proID=968" TargetMode="External"/><Relationship Id="rId1130" Type="http://schemas.openxmlformats.org/officeDocument/2006/relationships/hyperlink" Target="https://www.msi.com/Graphics-card/GeForce-RTX-2070-VENTUS-8G-OC" TargetMode="External"/><Relationship Id="rId2461" Type="http://schemas.openxmlformats.org/officeDocument/2006/relationships/hyperlink" Target="https://www.asus.com/Motherboards-Components/Graphics-Cards/TUF-Gaming/TUF-RTX3080-10G-V2-GAMING/" TargetMode="External"/><Relationship Id="rId3793" Type="http://schemas.openxmlformats.org/officeDocument/2006/relationships/hyperlink" Target="https://www.galax.com/en/" TargetMode="External"/><Relationship Id="rId1131" Type="http://schemas.openxmlformats.org/officeDocument/2006/relationships/hyperlink" Target="https://www.msi.com/Graphics-card/GeForce-RTX-2070-TRI-FROZR" TargetMode="External"/><Relationship Id="rId2462" Type="http://schemas.openxmlformats.org/officeDocument/2006/relationships/hyperlink" Target="https://www.asus.com/motherboards-components/graphics-cards/tuf-gaming/TUF-RTX3080-O10G-GAMING" TargetMode="External"/><Relationship Id="rId3792" Type="http://schemas.openxmlformats.org/officeDocument/2006/relationships/hyperlink" Target="http://www.szgalaxy.com/__ZH_GB__/Product5/ProductDetail?proID=967" TargetMode="External"/><Relationship Id="rId543" Type="http://schemas.openxmlformats.org/officeDocument/2006/relationships/hyperlink" Target="https://www.sparkle.com.tw/en" TargetMode="External"/><Relationship Id="rId1132" Type="http://schemas.openxmlformats.org/officeDocument/2006/relationships/hyperlink" Target="https://www.msi.com/Graphics-card/GeForce-RTX-2070-DUKE-8G" TargetMode="External"/><Relationship Id="rId2463" Type="http://schemas.openxmlformats.org/officeDocument/2006/relationships/hyperlink" Target="https://www.asus.com/Motherboards-Components/Graphics-Cards/TUF-Gaming/TUF-RTX3080-O10G-V2-GAMING/" TargetMode="External"/><Relationship Id="rId3795" Type="http://schemas.openxmlformats.org/officeDocument/2006/relationships/hyperlink" Target="https://www.galax.com/en/" TargetMode="External"/><Relationship Id="rId542" Type="http://schemas.openxmlformats.org/officeDocument/2006/relationships/hyperlink" Target="https://www.sparkle.com.tw/en/ARC/Orc" TargetMode="External"/><Relationship Id="rId1133" Type="http://schemas.openxmlformats.org/officeDocument/2006/relationships/hyperlink" Target="https://www.msi.com/Graphics-card/GeForce-RTX-2070-DUKE-8G-OC" TargetMode="External"/><Relationship Id="rId2464" Type="http://schemas.openxmlformats.org/officeDocument/2006/relationships/hyperlink" Target="https://www.asus.com/Motherboards-Components/Graphics-Cards/ASUS/RTX3080-O10G-NOCTUA/" TargetMode="External"/><Relationship Id="rId3794" Type="http://schemas.openxmlformats.org/officeDocument/2006/relationships/hyperlink" Target="http://www.szgalaxy.com/__ZH_GB__/Product5/ProductDetail?proID=966" TargetMode="External"/><Relationship Id="rId541" Type="http://schemas.openxmlformats.org/officeDocument/2006/relationships/hyperlink" Target="https://www.sparkle.com.tw/en" TargetMode="External"/><Relationship Id="rId1134" Type="http://schemas.openxmlformats.org/officeDocument/2006/relationships/hyperlink" Target="https://www.msi.com/Graphics-card/GeForce-RTX-2070-DUKE-8G-OCV1" TargetMode="External"/><Relationship Id="rId2465" Type="http://schemas.openxmlformats.org/officeDocument/2006/relationships/hyperlink" Target="https://rog.asus.com/Graphics-Cards/Graphics-Cards/ROG-Strix/ROG-STRIX-RTX3080-10G-GAMING-Model/" TargetMode="External"/><Relationship Id="rId3797" Type="http://schemas.openxmlformats.org/officeDocument/2006/relationships/hyperlink" Target="https://www.galax.com/en/" TargetMode="External"/><Relationship Id="rId540" Type="http://schemas.openxmlformats.org/officeDocument/2006/relationships/hyperlink" Target="https://www.intel.com/content/www/us/en/products/docs/arc-discrete-graphics/7.html" TargetMode="External"/><Relationship Id="rId1135" Type="http://schemas.openxmlformats.org/officeDocument/2006/relationships/hyperlink" Target="https://www.msi.com/Graphics-card/GeForce-RTX-2070-GAMING-8G" TargetMode="External"/><Relationship Id="rId2466" Type="http://schemas.openxmlformats.org/officeDocument/2006/relationships/hyperlink" Target="https://rog.asus.com/graphics-cards/graphics-cards/rog-strix/rog-strix-rtx3080-10g-v2-gaming-model/" TargetMode="External"/><Relationship Id="rId3796" Type="http://schemas.openxmlformats.org/officeDocument/2006/relationships/hyperlink" Target="https://www.galax.com/en/graphics-card/40-series/4080-series/geforce-rtx-4080-16gb-st.html" TargetMode="External"/><Relationship Id="rId1125" Type="http://schemas.openxmlformats.org/officeDocument/2006/relationships/hyperlink" Target="https://www.inno3d.com/en/product_detail/page/d08b4089e0489ba0d41f452cc0f926025a748942f6100c908886490cf49a81ad" TargetMode="External"/><Relationship Id="rId2456" Type="http://schemas.openxmlformats.org/officeDocument/2006/relationships/hyperlink" Target="http://www.pcasl.com/index.jsp" TargetMode="External"/><Relationship Id="rId3788" Type="http://schemas.openxmlformats.org/officeDocument/2006/relationships/hyperlink" Target="http://www.szgalaxy.com/__ZH_GB__/Product5/ProductDetail?proID=911" TargetMode="External"/><Relationship Id="rId1126" Type="http://schemas.openxmlformats.org/officeDocument/2006/relationships/hyperlink" Target="https://www.inno3d.com/en/product_detail/page/a89eec5d9fcb013a6efaa38052928092988c495b1a9e7fa5cd0eca4785ef77ed" TargetMode="External"/><Relationship Id="rId2457" Type="http://schemas.openxmlformats.org/officeDocument/2006/relationships/hyperlink" Target="http://www.pcasl.com/pd.jsp?id=178" TargetMode="External"/><Relationship Id="rId3787" Type="http://schemas.openxmlformats.org/officeDocument/2006/relationships/hyperlink" Target="https://www.galax.com/en/" TargetMode="External"/><Relationship Id="rId1127" Type="http://schemas.openxmlformats.org/officeDocument/2006/relationships/hyperlink" Target="https://www.msi.com/Graphics-card/GeForce-RTX-2070-AERO-8G" TargetMode="External"/><Relationship Id="rId2458" Type="http://schemas.openxmlformats.org/officeDocument/2006/relationships/hyperlink" Target="https://www.asus.com/Motherboards-Components/Graphics-Cards/Turbo/TURBO-RTX3080-10G/" TargetMode="External"/><Relationship Id="rId1128" Type="http://schemas.openxmlformats.org/officeDocument/2006/relationships/hyperlink" Target="https://www.msi.com/Graphics-card/GeForce-RTX-2070-VENTUS-8G" TargetMode="External"/><Relationship Id="rId2459" Type="http://schemas.openxmlformats.org/officeDocument/2006/relationships/hyperlink" Target="https://www.asus.com/Motherboards-Components/Graphics-Cards/Turbo/TURBO-RTX3080-10G-V2/" TargetMode="External"/><Relationship Id="rId3789" Type="http://schemas.openxmlformats.org/officeDocument/2006/relationships/hyperlink" Target="https://www.galax.com/en/" TargetMode="External"/><Relationship Id="rId1129" Type="http://schemas.openxmlformats.org/officeDocument/2006/relationships/hyperlink" Target="https://www.msi.com/Graphics-card/GeForce-RTX-2070-VENTUS-GP" TargetMode="External"/><Relationship Id="rId536" Type="http://schemas.openxmlformats.org/officeDocument/2006/relationships/hyperlink" Target="https://www.asrock.com/Graphics-Card/Intel/Intel%20Arc%20A750%20Challenger%20D%208GB%20OC/" TargetMode="External"/><Relationship Id="rId535" Type="http://schemas.openxmlformats.org/officeDocument/2006/relationships/hyperlink" Target="https://store.acer.com/en-us/predator-bifrost-intelr-arctm-a750-oc-graphics-card" TargetMode="External"/><Relationship Id="rId534" Type="http://schemas.openxmlformats.org/officeDocument/2006/relationships/hyperlink" Target="https://www.acer.com/us-en/" TargetMode="External"/><Relationship Id="rId533" Type="http://schemas.openxmlformats.org/officeDocument/2006/relationships/hyperlink" Target="https://www.gunnir.cn/home/product?id=13e93556-61bf-4837-9dc6-4ff187219be7&amp;modelid=d5512409-d36e-475e-8343-37a5301eb47f" TargetMode="External"/><Relationship Id="rId539" Type="http://schemas.openxmlformats.org/officeDocument/2006/relationships/hyperlink" Target="https://www.intel.com/content/www/us/en/homepage.html" TargetMode="External"/><Relationship Id="rId538" Type="http://schemas.openxmlformats.org/officeDocument/2006/relationships/hyperlink" Target="https://www.gunnir.cn/home/product?id=68105a6b-6fc2-4a97-a830-e67f917fe78d&amp;modelid=d5512409-d36e-475e-8343-37a5301eb47f" TargetMode="External"/><Relationship Id="rId537" Type="http://schemas.openxmlformats.org/officeDocument/2006/relationships/hyperlink" Target="https://www.gunnir.cn/" TargetMode="External"/><Relationship Id="rId3780" Type="http://schemas.openxmlformats.org/officeDocument/2006/relationships/hyperlink" Target="http://www.gainward.com/main/vgapro.php?id=1165&amp;lang=en" TargetMode="External"/><Relationship Id="rId2450" Type="http://schemas.openxmlformats.org/officeDocument/2006/relationships/hyperlink" Target="https://www.zotac.com/cn/product/graphics_card/%E7%B4%A2%E6%B3%B0-geforce%C2%AErtx-3070ti-8g6x-%E5%A4%A9%E5%90%AF-goc" TargetMode="External"/><Relationship Id="rId3782" Type="http://schemas.openxmlformats.org/officeDocument/2006/relationships/hyperlink" Target="http://www.szgalaxy.com/__ZH_GB__/Product5/ProductDetail?proID=908" TargetMode="External"/><Relationship Id="rId1120" Type="http://schemas.openxmlformats.org/officeDocument/2006/relationships/hyperlink" Target="https://www.gigabyte.com/Graphics-Card/GV-N2070GAMINGOC-WHITE-8GC" TargetMode="External"/><Relationship Id="rId2451" Type="http://schemas.openxmlformats.org/officeDocument/2006/relationships/hyperlink" Target="https://www.zotac.com/cn/product/graphics_card/%E7%B4%A2%E6%B3%B0-geforce%C2%AE-rtx-3070ti-8g6x-pgf-oc" TargetMode="External"/><Relationship Id="rId3781" Type="http://schemas.openxmlformats.org/officeDocument/2006/relationships/hyperlink" Target="https://www.galax.com/en/" TargetMode="External"/><Relationship Id="rId532" Type="http://schemas.openxmlformats.org/officeDocument/2006/relationships/hyperlink" Target="https://www.gunnir.cn/" TargetMode="External"/><Relationship Id="rId1121" Type="http://schemas.openxmlformats.org/officeDocument/2006/relationships/hyperlink" Target="https://www.gigabyte.com/Graphics-Card/GV-N2070GAMING-8GD" TargetMode="External"/><Relationship Id="rId2452" Type="http://schemas.openxmlformats.org/officeDocument/2006/relationships/hyperlink" Target="https://www.zotac.com/product/graphics_card/zotac-gaming-geforce-rtx-3070-ti-trinity" TargetMode="External"/><Relationship Id="rId3784" Type="http://schemas.openxmlformats.org/officeDocument/2006/relationships/hyperlink" Target="http://www.szgalaxy.com/__ZH_GB__/Product5/ProductDetail?proID=909" TargetMode="External"/><Relationship Id="rId531" Type="http://schemas.openxmlformats.org/officeDocument/2006/relationships/hyperlink" Target="https://www.gunnir.com/home/product?id=fc80932b-2bba-47e4-a143-e870e196894f&amp;modelid=d5512409-d36e-475e-8343-37a5301eb47f" TargetMode="External"/><Relationship Id="rId1122" Type="http://schemas.openxmlformats.org/officeDocument/2006/relationships/hyperlink" Target="https://www.gigabyte.com/Graphics-Card/GV-N2070GAMING-OC-8GD" TargetMode="External"/><Relationship Id="rId2453" Type="http://schemas.openxmlformats.org/officeDocument/2006/relationships/hyperlink" Target="https://www.zotac.com/product/graphics_card/zotac-gaming-geforce-rtx-3070-ti-trinity-oc" TargetMode="External"/><Relationship Id="rId3783" Type="http://schemas.openxmlformats.org/officeDocument/2006/relationships/hyperlink" Target="https://www.galax.com/en/" TargetMode="External"/><Relationship Id="rId530" Type="http://schemas.openxmlformats.org/officeDocument/2006/relationships/hyperlink" Target="https://www.gunnir.cn/" TargetMode="External"/><Relationship Id="rId1123" Type="http://schemas.openxmlformats.org/officeDocument/2006/relationships/hyperlink" Target="https://www.gigabyte.com/Graphics-Card/GV-N2070AORUS-8GC" TargetMode="External"/><Relationship Id="rId2454" Type="http://schemas.openxmlformats.org/officeDocument/2006/relationships/hyperlink" Target="https://www.zotac.com/product/graphics_card/zotac-gaming-geforce-rtx-3070-ti-amp-holo" TargetMode="External"/><Relationship Id="rId3786" Type="http://schemas.openxmlformats.org/officeDocument/2006/relationships/hyperlink" Target="http://www.szgalaxy.com/__ZH_GB__/Product5/ProductDetail?proID=910" TargetMode="External"/><Relationship Id="rId1124" Type="http://schemas.openxmlformats.org/officeDocument/2006/relationships/hyperlink" Target="https://www.gigabyte.com/Graphics-Card/GV-N2070AORUS-X-8GC" TargetMode="External"/><Relationship Id="rId2455" Type="http://schemas.openxmlformats.org/officeDocument/2006/relationships/hyperlink" Target="https://www.zotac.com/product/graphics_card/zotac-gaming-geforce-rtx-3070-ti-amp-extreme-holo" TargetMode="External"/><Relationship Id="rId3785" Type="http://schemas.openxmlformats.org/officeDocument/2006/relationships/hyperlink" Target="https://www.galax.com/en/" TargetMode="External"/><Relationship Id="rId1158" Type="http://schemas.openxmlformats.org/officeDocument/2006/relationships/hyperlink" Target="https://en.colorful.cn/product_show.aspx?mid=102&amp;id=1724" TargetMode="External"/><Relationship Id="rId2489" Type="http://schemas.openxmlformats.org/officeDocument/2006/relationships/hyperlink" Target="https://en.colorful.cn/en/" TargetMode="External"/><Relationship Id="rId1159" Type="http://schemas.openxmlformats.org/officeDocument/2006/relationships/hyperlink" Target="https://en.colorful.cn/en/" TargetMode="External"/><Relationship Id="rId569" Type="http://schemas.openxmlformats.org/officeDocument/2006/relationships/hyperlink" Target="https://en.colorful.cn/en/" TargetMode="External"/><Relationship Id="rId568" Type="http://schemas.openxmlformats.org/officeDocument/2006/relationships/hyperlink" Target="https://en.colorful.cn/product_show.aspx?mid=102&amp;id=1763" TargetMode="External"/><Relationship Id="rId567" Type="http://schemas.openxmlformats.org/officeDocument/2006/relationships/hyperlink" Target="https://en.colorful.cn/en/" TargetMode="External"/><Relationship Id="rId566" Type="http://schemas.openxmlformats.org/officeDocument/2006/relationships/hyperlink" Target="https://en.colorful.cn/product_show.aspx?mid=102&amp;id=1765" TargetMode="External"/><Relationship Id="rId2480" Type="http://schemas.openxmlformats.org/officeDocument/2006/relationships/hyperlink" Target="https://en.colorful.cn/product_show.aspx?mid=102&amp;id=1815" TargetMode="External"/><Relationship Id="rId561" Type="http://schemas.openxmlformats.org/officeDocument/2006/relationships/hyperlink" Target="https://en.colorful.cn/en/" TargetMode="External"/><Relationship Id="rId1150" Type="http://schemas.openxmlformats.org/officeDocument/2006/relationships/hyperlink" Target="https://rog.asus.com/Graphics-Cards/Graphics-Cards/ROG-Strix/ROG-STRIX-RTX2070S-8G-GAMING-Model/" TargetMode="External"/><Relationship Id="rId2481" Type="http://schemas.openxmlformats.org/officeDocument/2006/relationships/hyperlink" Target="https://en.colorful.cn/en/" TargetMode="External"/><Relationship Id="rId560" Type="http://schemas.openxmlformats.org/officeDocument/2006/relationships/hyperlink" Target="https://rog.asus.com/graphics-cards/graphics-cards/rog-poseidon/rog-poseidon-gtx1080ti-p11g-gaming-model/" TargetMode="External"/><Relationship Id="rId1151" Type="http://schemas.openxmlformats.org/officeDocument/2006/relationships/hyperlink" Target="https://rog.asus.com/Graphics-Cards/Graphics-Cards/ROG-Strix/ROG-STRIX-RTX2070S-A8G-GAMING-Model/" TargetMode="External"/><Relationship Id="rId2482" Type="http://schemas.openxmlformats.org/officeDocument/2006/relationships/hyperlink" Target="https://en.colorful.cn/product_show.aspx?mid=102&amp;id=1869" TargetMode="External"/><Relationship Id="rId1152" Type="http://schemas.openxmlformats.org/officeDocument/2006/relationships/hyperlink" Target="https://rog.asus.com/Graphics-Cards/Graphics-Cards/ROG-Strix/ROG-STRIX-RTX2070S-O8G-GAMING-Model/" TargetMode="External"/><Relationship Id="rId2483" Type="http://schemas.openxmlformats.org/officeDocument/2006/relationships/hyperlink" Target="https://en.colorful.cn/en/" TargetMode="External"/><Relationship Id="rId1153" Type="http://schemas.openxmlformats.org/officeDocument/2006/relationships/hyperlink" Target="https://en.colorful.cn/en/" TargetMode="External"/><Relationship Id="rId2484" Type="http://schemas.openxmlformats.org/officeDocument/2006/relationships/hyperlink" Target="https://www.colorful.cn/product_show.aspx?mid=102&amp;id=1794" TargetMode="External"/><Relationship Id="rId565" Type="http://schemas.openxmlformats.org/officeDocument/2006/relationships/hyperlink" Target="https://en.colorful.cn/en/" TargetMode="External"/><Relationship Id="rId1154" Type="http://schemas.openxmlformats.org/officeDocument/2006/relationships/hyperlink" Target="https://en.colorful.cn/product_show.aspx?mid=102&amp;id=1725" TargetMode="External"/><Relationship Id="rId2485" Type="http://schemas.openxmlformats.org/officeDocument/2006/relationships/hyperlink" Target="https://en.colorful.cn/en/" TargetMode="External"/><Relationship Id="rId564" Type="http://schemas.openxmlformats.org/officeDocument/2006/relationships/hyperlink" Target="https://en.colorful.cn/product_show.aspx?mid=102&amp;id=1764" TargetMode="External"/><Relationship Id="rId1155" Type="http://schemas.openxmlformats.org/officeDocument/2006/relationships/hyperlink" Target="https://en.colorful.cn/en/" TargetMode="External"/><Relationship Id="rId2486" Type="http://schemas.openxmlformats.org/officeDocument/2006/relationships/hyperlink" Target="https://en.colorful.cn/product_show.aspx?mid=102&amp;id=1825" TargetMode="External"/><Relationship Id="rId563" Type="http://schemas.openxmlformats.org/officeDocument/2006/relationships/hyperlink" Target="https://en.colorful.cn/en/" TargetMode="External"/><Relationship Id="rId1156" Type="http://schemas.openxmlformats.org/officeDocument/2006/relationships/hyperlink" Target="https://en.colorful.cn/product_show.aspx?mid=102&amp;id=1722" TargetMode="External"/><Relationship Id="rId2487" Type="http://schemas.openxmlformats.org/officeDocument/2006/relationships/hyperlink" Target="https://en.colorful.cn/en/" TargetMode="External"/><Relationship Id="rId562" Type="http://schemas.openxmlformats.org/officeDocument/2006/relationships/hyperlink" Target="https://en.colorful.cn/product_show.aspx?mid=102&amp;id=1762" TargetMode="External"/><Relationship Id="rId1157" Type="http://schemas.openxmlformats.org/officeDocument/2006/relationships/hyperlink" Target="https://en.colorful.cn/en/" TargetMode="External"/><Relationship Id="rId2488" Type="http://schemas.openxmlformats.org/officeDocument/2006/relationships/hyperlink" Target="https://en.colorful.cn/product_show.aspx?mid=102&amp;id=1870" TargetMode="External"/><Relationship Id="rId1147" Type="http://schemas.openxmlformats.org/officeDocument/2006/relationships/hyperlink" Target="https://www.asus.com/motherboards-components/graphics-cards/all-series/DUAL-RTX2070S-8G-EVO" TargetMode="External"/><Relationship Id="rId2478" Type="http://schemas.openxmlformats.org/officeDocument/2006/relationships/hyperlink" Target="https://www.colorful.cn/product_show.aspx?mid=102&amp;id=1757" TargetMode="External"/><Relationship Id="rId1148" Type="http://schemas.openxmlformats.org/officeDocument/2006/relationships/hyperlink" Target="https://www.asus.com/motherboards-components/graphics-cards/all-series/DUAL-RTX2070S-A8G-EVO" TargetMode="External"/><Relationship Id="rId2479" Type="http://schemas.openxmlformats.org/officeDocument/2006/relationships/hyperlink" Target="https://en.colorful.cn/en/" TargetMode="External"/><Relationship Id="rId1149" Type="http://schemas.openxmlformats.org/officeDocument/2006/relationships/hyperlink" Target="https://www.asus.com/motherboards-components/graphics-cards/all-series/DUAL-RTX2070S-O8G-EVO" TargetMode="External"/><Relationship Id="rId558" Type="http://schemas.openxmlformats.org/officeDocument/2006/relationships/hyperlink" Target="https://rog.asus.com/graphics-cards/graphics-cards/rog-strix/rog-strix-gtx1080ti-11g-gaming-model/" TargetMode="External"/><Relationship Id="rId557" Type="http://schemas.openxmlformats.org/officeDocument/2006/relationships/hyperlink" Target="https://www.asus.com/motherboards-components/graphics-cards/turbo/turbo-gtx1080ti-11g/" TargetMode="External"/><Relationship Id="rId556" Type="http://schemas.openxmlformats.org/officeDocument/2006/relationships/hyperlink" Target="https://www.sparkle.com.tw/en/ARC/A770_TITAN" TargetMode="External"/><Relationship Id="rId555" Type="http://schemas.openxmlformats.org/officeDocument/2006/relationships/hyperlink" Target="https://www.sparkle.com.tw/en" TargetMode="External"/><Relationship Id="rId559" Type="http://schemas.openxmlformats.org/officeDocument/2006/relationships/hyperlink" Target="https://rog.asus.com/graphics-cards/graphics-cards/rog-strix/rog-strix-gtx1080ti-o11g-gaming-model/" TargetMode="External"/><Relationship Id="rId550" Type="http://schemas.openxmlformats.org/officeDocument/2006/relationships/hyperlink" Target="https://www.acer.com/us-en/" TargetMode="External"/><Relationship Id="rId2470" Type="http://schemas.openxmlformats.org/officeDocument/2006/relationships/hyperlink" Target="https://rog.asus.com/graphics-cards/graphics-cards/rog-strix/rog-strix-rtx3080-10g-white-model/" TargetMode="External"/><Relationship Id="rId1140" Type="http://schemas.openxmlformats.org/officeDocument/2006/relationships/hyperlink" Target="http://www.palit.com/palit/vgapro.php?id=3097&amp;lang=en" TargetMode="External"/><Relationship Id="rId2471" Type="http://schemas.openxmlformats.org/officeDocument/2006/relationships/hyperlink" Target="https://rog.asus.com/graphics-cards/graphics-cards/rog-strix/rog-strix-rtx3080-10g-white-v2-model/" TargetMode="External"/><Relationship Id="rId1141" Type="http://schemas.openxmlformats.org/officeDocument/2006/relationships/hyperlink" Target="http://www.palit.com/palit/vgapro.php?id=3090&amp;lang=en" TargetMode="External"/><Relationship Id="rId2472" Type="http://schemas.openxmlformats.org/officeDocument/2006/relationships/hyperlink" Target="https://rog.asus.com/graphics-cards/graphics-cards/rog-strix/rog-strix-rtx3080-o10g-white-model/" TargetMode="External"/><Relationship Id="rId1142" Type="http://schemas.openxmlformats.org/officeDocument/2006/relationships/hyperlink" Target="http://www.palit.com/palit/vgapro.php?id=3083&amp;lang=en" TargetMode="External"/><Relationship Id="rId2473" Type="http://schemas.openxmlformats.org/officeDocument/2006/relationships/hyperlink" Target="https://rog.asus.com/graphics-cards/graphics-cards/rog-strix/rog-strix-rtx3080-o10g-white-v2-model/" TargetMode="External"/><Relationship Id="rId554" Type="http://schemas.openxmlformats.org/officeDocument/2006/relationships/hyperlink" Target="https://www.intel.com/content/www/us/en/products/docs/arc-discrete-graphics/7.html" TargetMode="External"/><Relationship Id="rId1143" Type="http://schemas.openxmlformats.org/officeDocument/2006/relationships/hyperlink" Target="https://www.zotac.com/us/product/graphics_card/zotac-gaming-geforce-rtx-2070-amp-extreme" TargetMode="External"/><Relationship Id="rId2474" Type="http://schemas.openxmlformats.org/officeDocument/2006/relationships/hyperlink" Target="https://www.asus.com/motherboards-components/graphics-cards/asus/RTX3080-10G-EK" TargetMode="External"/><Relationship Id="rId553" Type="http://schemas.openxmlformats.org/officeDocument/2006/relationships/hyperlink" Target="https://www.intel.com/content/www/us/en/homepage.html" TargetMode="External"/><Relationship Id="rId1144" Type="http://schemas.openxmlformats.org/officeDocument/2006/relationships/hyperlink" Target="http://www.pcasl.com/index.jsp" TargetMode="External"/><Relationship Id="rId2475" Type="http://schemas.openxmlformats.org/officeDocument/2006/relationships/hyperlink" Target="https://en.colorful.cn/en/" TargetMode="External"/><Relationship Id="rId552" Type="http://schemas.openxmlformats.org/officeDocument/2006/relationships/hyperlink" Target="https://pg.asrock.com/Graphics-Card/Intel/Intel%20Arc%20A770%20Phantom%20Gaming%2016GB%20OC/index.asp" TargetMode="External"/><Relationship Id="rId1145" Type="http://schemas.openxmlformats.org/officeDocument/2006/relationships/hyperlink" Target="http://www.pcasl.com/pd.jsp?id=135" TargetMode="External"/><Relationship Id="rId2476" Type="http://schemas.openxmlformats.org/officeDocument/2006/relationships/hyperlink" Target="https://en.colorful.cn/product_show.aspx?mid=102&amp;id=1804" TargetMode="External"/><Relationship Id="rId551" Type="http://schemas.openxmlformats.org/officeDocument/2006/relationships/hyperlink" Target="https://store.acer.com/en-us/predator-bifrost-intel-arc-a770-oc-graphics-card" TargetMode="External"/><Relationship Id="rId1146" Type="http://schemas.openxmlformats.org/officeDocument/2006/relationships/hyperlink" Target="https://www.asus.com/motherboards-components/graphics-cards/all-series/TURBO-RTX2070S-8G-EVO" TargetMode="External"/><Relationship Id="rId2477" Type="http://schemas.openxmlformats.org/officeDocument/2006/relationships/hyperlink" Target="https://en.colorful.cn/en/" TargetMode="External"/><Relationship Id="rId495" Type="http://schemas.openxmlformats.org/officeDocument/2006/relationships/hyperlink" Target="https://www.sapphiretech.com/en/consumer/21323-01-20g-radeon-rx-7900-xt-20g-gddr6" TargetMode="External"/><Relationship Id="rId494" Type="http://schemas.openxmlformats.org/officeDocument/2006/relationships/hyperlink" Target="https://www.powercolor.com/product?id=1668741687" TargetMode="External"/><Relationship Id="rId493" Type="http://schemas.openxmlformats.org/officeDocument/2006/relationships/hyperlink" Target="https://www.powercolor.com/product?id=1668744003" TargetMode="External"/><Relationship Id="rId492" Type="http://schemas.openxmlformats.org/officeDocument/2006/relationships/hyperlink" Target="https://www.powercolor.com/product?id=1668150518" TargetMode="External"/><Relationship Id="rId499" Type="http://schemas.openxmlformats.org/officeDocument/2006/relationships/hyperlink" Target="https://www.xfxforce.com/shop/xfx-speedster-merc310-7900xt" TargetMode="External"/><Relationship Id="rId498" Type="http://schemas.openxmlformats.org/officeDocument/2006/relationships/hyperlink" Target="https://www.xfxforce.com/shop/amd-radeon-rx-7900xt" TargetMode="External"/><Relationship Id="rId497" Type="http://schemas.openxmlformats.org/officeDocument/2006/relationships/hyperlink" Target="https://www.sapphiretech.com/en/consumer/nitro-radeon-rx-7900-xt-vaporx-20g-gddr6" TargetMode="External"/><Relationship Id="rId496" Type="http://schemas.openxmlformats.org/officeDocument/2006/relationships/hyperlink" Target="https://www.sapphiretech.com/en/consumer/pulse-radeon-rx-7900-xt-20g-gddr6" TargetMode="External"/><Relationship Id="rId3810" Type="http://schemas.openxmlformats.org/officeDocument/2006/relationships/hyperlink" Target="https://www.gigabyte.com/Graphics-Card/GV-N4080AORUSX-WB-16GD" TargetMode="External"/><Relationship Id="rId3812" Type="http://schemas.openxmlformats.org/officeDocument/2006/relationships/hyperlink" Target="https://www.inno3d.com/en/PRODUCT_INNO3D_GEFORCE_RTX_4080_16GB_X3_OC" TargetMode="External"/><Relationship Id="rId3811" Type="http://schemas.openxmlformats.org/officeDocument/2006/relationships/hyperlink" Target="https://www.inno3d.com/en/PRODUCT_INNO3D_GEFORCE_RTX_4080_16GB_X3" TargetMode="External"/><Relationship Id="rId3814" Type="http://schemas.openxmlformats.org/officeDocument/2006/relationships/hyperlink" Target="https://www.inno3d.com/en/PRODUCT_INNO3D_GEFORCE_RTX_4080_16GB_ICHILL_BLACK" TargetMode="External"/><Relationship Id="rId3813" Type="http://schemas.openxmlformats.org/officeDocument/2006/relationships/hyperlink" Target="https://www.inno3d.com/en/PRODUCT_INNO3D_GEFORCE_RTX_4080_16GB_ICHILL_X3" TargetMode="External"/><Relationship Id="rId3816" Type="http://schemas.openxmlformats.org/officeDocument/2006/relationships/hyperlink" Target="https://www.leadtek.com/eng/products/graphics_cards(1)/WinFast_RTX_4080_HURRICANE_16G(40951)/detail" TargetMode="External"/><Relationship Id="rId3815" Type="http://schemas.openxmlformats.org/officeDocument/2006/relationships/hyperlink" Target="https://www.leadtek.com/eng/" TargetMode="External"/><Relationship Id="rId3818" Type="http://schemas.openxmlformats.org/officeDocument/2006/relationships/hyperlink" Target="https://www.manli.com/en/product-detail-Manli_GeForce_RTX%C2%AE_4080_Gallardo_(M3535+N688)-315.html" TargetMode="External"/><Relationship Id="rId3817" Type="http://schemas.openxmlformats.org/officeDocument/2006/relationships/hyperlink" Target="https://www.manli.com/en/product-detail-Manli_GeForce_RTX%E2%84%A2_4080_(M3520+N701)-317.html" TargetMode="External"/><Relationship Id="rId3819" Type="http://schemas.openxmlformats.org/officeDocument/2006/relationships/hyperlink" Target="https://www.maxsun.com/" TargetMode="External"/><Relationship Id="rId3801" Type="http://schemas.openxmlformats.org/officeDocument/2006/relationships/hyperlink" Target="https://www.gigabyte.com/Graphics-Card/GV-N4080WF3-16GD" TargetMode="External"/><Relationship Id="rId3800" Type="http://schemas.openxmlformats.org/officeDocument/2006/relationships/hyperlink" Target="https://www.galax.com/en/graphics-card/40-series/4080-series/geforce-rtx-4080-16gb-sg-w.html" TargetMode="External"/><Relationship Id="rId3803" Type="http://schemas.openxmlformats.org/officeDocument/2006/relationships/hyperlink" Target="https://www.gigabyte.com/Graphics-Card/GV-N4080EAGLE-OC-16GD" TargetMode="External"/><Relationship Id="rId3802" Type="http://schemas.openxmlformats.org/officeDocument/2006/relationships/hyperlink" Target="https://www.gigabyte.com/Graphics-Card/GV-N4080EAGLE-16GD" TargetMode="External"/><Relationship Id="rId3805" Type="http://schemas.openxmlformats.org/officeDocument/2006/relationships/hyperlink" Target="https://www.gigabyte.com/Graphics-Card/GV-N4080AERO-OC-16GD" TargetMode="External"/><Relationship Id="rId3804" Type="http://schemas.openxmlformats.org/officeDocument/2006/relationships/hyperlink" Target="https://www.gigabyte.com/Graphics-Card/GV-N4080AERO-16GD" TargetMode="External"/><Relationship Id="rId3807" Type="http://schemas.openxmlformats.org/officeDocument/2006/relationships/hyperlink" Target="https://www.gigabyte.com/Graphics-Card/GV-N4080GAMING-OC-16GD" TargetMode="External"/><Relationship Id="rId3806" Type="http://schemas.openxmlformats.org/officeDocument/2006/relationships/hyperlink" Target="https://www.gigabyte.com/Graphics-Card/GV-N4080GAMING-16GD" TargetMode="External"/><Relationship Id="rId3809" Type="http://schemas.openxmlformats.org/officeDocument/2006/relationships/hyperlink" Target="https://www.gigabyte.com/Graphics-Card/GV-N4080AORUSX-W-16GD" TargetMode="External"/><Relationship Id="rId3808" Type="http://schemas.openxmlformats.org/officeDocument/2006/relationships/hyperlink" Target="https://www.gigabyte.com/Graphics-Card/GV-N4080AORUS-M-16GD" TargetMode="External"/><Relationship Id="rId1213" Type="http://schemas.openxmlformats.org/officeDocument/2006/relationships/hyperlink" Target="https://www.galax.com/en/" TargetMode="External"/><Relationship Id="rId2544" Type="http://schemas.openxmlformats.org/officeDocument/2006/relationships/hyperlink" Target="http://www.gainward.cn/Home/ProductDetail?id=234&amp;isStop=0" TargetMode="External"/><Relationship Id="rId3876" Type="http://schemas.openxmlformats.org/officeDocument/2006/relationships/hyperlink" Target="https://www.asus.com/motherboards-components/graphics-cards/tuf-gaming/tuf-rtx4080s-16g-gaming/" TargetMode="External"/><Relationship Id="rId1214" Type="http://schemas.openxmlformats.org/officeDocument/2006/relationships/hyperlink" Target="http://www.szgalaxy.com/__ZH_GB__/Product5/ProductDetail?proID=658" TargetMode="External"/><Relationship Id="rId2545" Type="http://schemas.openxmlformats.org/officeDocument/2006/relationships/hyperlink" Target="http://www.gainward.cn/Home/ProductDetail?id=206&amp;isStop=0" TargetMode="External"/><Relationship Id="rId3875" Type="http://schemas.openxmlformats.org/officeDocument/2006/relationships/hyperlink" Target="https://www.asus.com/motherboards-components/graphics-cards/asus/rtx4080s-o16g-noctua/" TargetMode="External"/><Relationship Id="rId1215" Type="http://schemas.openxmlformats.org/officeDocument/2006/relationships/hyperlink" Target="https://www.gigabyte.com/Graphics-Card/GV-N207SWF3-8GC" TargetMode="External"/><Relationship Id="rId2546" Type="http://schemas.openxmlformats.org/officeDocument/2006/relationships/hyperlink" Target="http://www.gainward.cn/Home/ProductDetail?id=232&amp;isStop=0" TargetMode="External"/><Relationship Id="rId3878" Type="http://schemas.openxmlformats.org/officeDocument/2006/relationships/hyperlink" Target="https://rog.asus.com/graphics-cards/graphics-cards/rog-strix/rog-strix-rtx4080s-16g-gaming/" TargetMode="External"/><Relationship Id="rId1216" Type="http://schemas.openxmlformats.org/officeDocument/2006/relationships/hyperlink" Target="https://www.gigabyte.com/Graphics-Card/GV-N207SWF3OC-8GC" TargetMode="External"/><Relationship Id="rId2547" Type="http://schemas.openxmlformats.org/officeDocument/2006/relationships/hyperlink" Target="http://www.gainward.cn/Home/ProductDetail?id=205&amp;isStop=0" TargetMode="External"/><Relationship Id="rId3877" Type="http://schemas.openxmlformats.org/officeDocument/2006/relationships/hyperlink" Target="https://www.asus.com/motherboards-components/graphics-cards/tuf-gaming/tuf-rtx4080s-o16g-gaming/" TargetMode="External"/><Relationship Id="rId1217" Type="http://schemas.openxmlformats.org/officeDocument/2006/relationships/hyperlink" Target="https://www.gigabyte.com/Graphics-Card/GV-N207SGAMING-OC-8GC" TargetMode="External"/><Relationship Id="rId2548" Type="http://schemas.openxmlformats.org/officeDocument/2006/relationships/hyperlink" Target="http://www.gainward.cn/Home/ProductDetail?id=231&amp;isStop=0" TargetMode="External"/><Relationship Id="rId1218" Type="http://schemas.openxmlformats.org/officeDocument/2006/relationships/hyperlink" Target="https://www.gigabyte.com/Graphics-Card/GV-N207SGAMINGOC-WHITE-8GC" TargetMode="External"/><Relationship Id="rId2549" Type="http://schemas.openxmlformats.org/officeDocument/2006/relationships/hyperlink" Target="http://www.gainward.com/main/vgapro.php?id=1088&amp;lang=en" TargetMode="External"/><Relationship Id="rId3879" Type="http://schemas.openxmlformats.org/officeDocument/2006/relationships/hyperlink" Target="https://rog.asus.com/graphics-cards/graphics-cards/rog-strix/rog-strix-rtx4080s-o16g-gaming/" TargetMode="External"/><Relationship Id="rId1219" Type="http://schemas.openxmlformats.org/officeDocument/2006/relationships/hyperlink" Target="https://www.gigabyte.com/Graphics-Card/GV-N207SGAMING-OC-8GD-rev-10-11" TargetMode="External"/><Relationship Id="rId3870" Type="http://schemas.openxmlformats.org/officeDocument/2006/relationships/hyperlink" Target="https://www.zotac.com/hk/product/graphics_card/zotac-gaming-geforce-rtx-4080-16gb-amp-extreme-airo" TargetMode="External"/><Relationship Id="rId2540" Type="http://schemas.openxmlformats.org/officeDocument/2006/relationships/hyperlink" Target="http://www.gainward.cn/Home/ProductDetail?id=278&amp;isStop=0" TargetMode="External"/><Relationship Id="rId3872" Type="http://schemas.openxmlformats.org/officeDocument/2006/relationships/hyperlink" Target="https://www.zotac.com/product/graphics_card/zotac-gaming-geforce-rtx-4080-16gb-amp-extreme-airo-white-edition" TargetMode="External"/><Relationship Id="rId1210" Type="http://schemas.openxmlformats.org/officeDocument/2006/relationships/hyperlink" Target="https://www.galax.com/en/graphics-card/20-series/geforce-rtx-2070-super-hof-10th-black.html" TargetMode="External"/><Relationship Id="rId2541" Type="http://schemas.openxmlformats.org/officeDocument/2006/relationships/hyperlink" Target="http://www.gainward.cn/Home/ProductDetail?id=213&amp;isStop=0" TargetMode="External"/><Relationship Id="rId3871" Type="http://schemas.openxmlformats.org/officeDocument/2006/relationships/hyperlink" Target="https://www.zotac.com/" TargetMode="External"/><Relationship Id="rId1211" Type="http://schemas.openxmlformats.org/officeDocument/2006/relationships/hyperlink" Target="https://www.galax.com/en/" TargetMode="External"/><Relationship Id="rId2542" Type="http://schemas.openxmlformats.org/officeDocument/2006/relationships/hyperlink" Target="http://www.gainward.cn/Home/ProductDetail?id=235&amp;isStop=0" TargetMode="External"/><Relationship Id="rId3874" Type="http://schemas.openxmlformats.org/officeDocument/2006/relationships/hyperlink" Target="https://www.asus.com/motherboards-components/graphics-cards/proart/proart-rtx4080s-o16g/" TargetMode="External"/><Relationship Id="rId1212" Type="http://schemas.openxmlformats.org/officeDocument/2006/relationships/hyperlink" Target="https://www.galax.com/en/graphics-card/20-series/geforce-rtx-2070-super-hof-10th-white.html" TargetMode="External"/><Relationship Id="rId2543" Type="http://schemas.openxmlformats.org/officeDocument/2006/relationships/hyperlink" Target="http://www.gainward.cn/Home/ProductDetail?id=212&amp;isStop=0" TargetMode="External"/><Relationship Id="rId3873" Type="http://schemas.openxmlformats.org/officeDocument/2006/relationships/hyperlink" Target="https://www.asus.com/motherboards-components/graphics-cards/proart/proart-rtx4080s-16g/" TargetMode="External"/><Relationship Id="rId1202" Type="http://schemas.openxmlformats.org/officeDocument/2006/relationships/hyperlink" Target="https://www.galax.com/en/graphics-card/20-series/galax-geforce-rtx-2070-super-ex-whitre-1click.html" TargetMode="External"/><Relationship Id="rId2533" Type="http://schemas.openxmlformats.org/officeDocument/2006/relationships/hyperlink" Target="https://www.evga.com/products/specs/gpu.aspx?pn=4F6A726E-36FF-4A21-A182-639AFD63013C" TargetMode="External"/><Relationship Id="rId3865" Type="http://schemas.openxmlformats.org/officeDocument/2006/relationships/hyperlink" Target="https://www.zotac.com/" TargetMode="External"/><Relationship Id="rId1203" Type="http://schemas.openxmlformats.org/officeDocument/2006/relationships/hyperlink" Target="https://www.galax.com/en/" TargetMode="External"/><Relationship Id="rId2534" Type="http://schemas.openxmlformats.org/officeDocument/2006/relationships/hyperlink" Target="https://www.evga.com/products/specs/gpu.aspx?pn=333AE60F-DDC5-4B9E-A98B-2F5AEA4EA206" TargetMode="External"/><Relationship Id="rId3864" Type="http://schemas.openxmlformats.org/officeDocument/2006/relationships/hyperlink" Target="https://www.zotac.com/product/graphics_card/zotac-gaming-geforce-rtx-4080-16gb-trinity-black-edition" TargetMode="External"/><Relationship Id="rId1204" Type="http://schemas.openxmlformats.org/officeDocument/2006/relationships/hyperlink" Target="https://www.galax.com/en/graphics-card/20-series/galax-geforce-rtx-2070-super-ex-gamer-1clickoc.html" TargetMode="External"/><Relationship Id="rId2535" Type="http://schemas.openxmlformats.org/officeDocument/2006/relationships/hyperlink" Target="https://www.evga.com/products/specs/gpu.aspx?pn=B6C14754-226B-4393-A5C4-3C5414A45B89" TargetMode="External"/><Relationship Id="rId3867" Type="http://schemas.openxmlformats.org/officeDocument/2006/relationships/hyperlink" Target="https://www.zotac.com/" TargetMode="External"/><Relationship Id="rId1205" Type="http://schemas.openxmlformats.org/officeDocument/2006/relationships/hyperlink" Target="https://www.galax.com/en/" TargetMode="External"/><Relationship Id="rId2536" Type="http://schemas.openxmlformats.org/officeDocument/2006/relationships/hyperlink" Target="https://www.evga.com/products/specs/gpu.aspx?pn=48D22B1A-EEE8-417B-9D5A-3575D9DB28CE" TargetMode="External"/><Relationship Id="rId3866" Type="http://schemas.openxmlformats.org/officeDocument/2006/relationships/hyperlink" Target="https://www.zotac.com/hk/product/graphics_card/zotac-gaming-geforce-rtx-4080-16gb-trinity-oc" TargetMode="External"/><Relationship Id="rId1206" Type="http://schemas.openxmlformats.org/officeDocument/2006/relationships/hyperlink" Target="https://www.galax.com/en/graphics-card/20-series/galax-geforce-rtx-2070-super-ex-gamer-black.html" TargetMode="External"/><Relationship Id="rId2537" Type="http://schemas.openxmlformats.org/officeDocument/2006/relationships/hyperlink" Target="http://www.gainward.cn/Home/ProductDetail?id=207&amp;isStop=0" TargetMode="External"/><Relationship Id="rId3869" Type="http://schemas.openxmlformats.org/officeDocument/2006/relationships/hyperlink" Target="https://www.zotac.com/" TargetMode="External"/><Relationship Id="rId1207" Type="http://schemas.openxmlformats.org/officeDocument/2006/relationships/hyperlink" Target="https://www.galax.com/en/" TargetMode="External"/><Relationship Id="rId2538" Type="http://schemas.openxmlformats.org/officeDocument/2006/relationships/hyperlink" Target="http://www.gainward.cn/Home/ProductDetail?id=233&amp;isStop=0" TargetMode="External"/><Relationship Id="rId3868" Type="http://schemas.openxmlformats.org/officeDocument/2006/relationships/hyperlink" Target="https://www.zotac.com/product/graphics_card/zotac-gaming-geforce-rtx-4080-16gb-trinity-oc-white-edition" TargetMode="External"/><Relationship Id="rId1208" Type="http://schemas.openxmlformats.org/officeDocument/2006/relationships/hyperlink" Target="https://www.galax.com/en/graphics-card/20-series/geforce-rtx-2070-super-work-the-frames.html" TargetMode="External"/><Relationship Id="rId2539" Type="http://schemas.openxmlformats.org/officeDocument/2006/relationships/hyperlink" Target="http://www.gainward.cn/Home/ProductDetail?id=279&amp;isStop=0" TargetMode="External"/><Relationship Id="rId1209" Type="http://schemas.openxmlformats.org/officeDocument/2006/relationships/hyperlink" Target="https://www.galax.com/en/" TargetMode="External"/><Relationship Id="rId3861" Type="http://schemas.openxmlformats.org/officeDocument/2006/relationships/hyperlink" Target="https://www.zotac.com/" TargetMode="External"/><Relationship Id="rId2530" Type="http://schemas.openxmlformats.org/officeDocument/2006/relationships/hyperlink" Target="https://www.evga.com/products/specs/gpu.aspx?pn=941A6BC0-D5CC-4B7B-A2A1-4ADEF52B51B8" TargetMode="External"/><Relationship Id="rId3860" Type="http://schemas.openxmlformats.org/officeDocument/2006/relationships/hyperlink" Target="https://www.zotac.com/cn/product/graphics_card/%E7%B4%A2%E6%B3%B0-geforce%C2%AE-rtx-4080-16gb-%E5%A4%A9%E5%90%AF-oc" TargetMode="External"/><Relationship Id="rId1200" Type="http://schemas.openxmlformats.org/officeDocument/2006/relationships/hyperlink" Target="https://www.galax.com/en/graphics-card/20-series/galax-geforce-rtx-2070-super-ex-1click-pink.html" TargetMode="External"/><Relationship Id="rId2531" Type="http://schemas.openxmlformats.org/officeDocument/2006/relationships/hyperlink" Target="https://www.evga.com/products/specs/gpu.aspx?pn=5E84B2FD-1B4B-4221-AAB8-82F0D6FDD81C" TargetMode="External"/><Relationship Id="rId3863" Type="http://schemas.openxmlformats.org/officeDocument/2006/relationships/hyperlink" Target="https://www.zotac.com/" TargetMode="External"/><Relationship Id="rId1201" Type="http://schemas.openxmlformats.org/officeDocument/2006/relationships/hyperlink" Target="https://www.galax.com/en/" TargetMode="External"/><Relationship Id="rId2532" Type="http://schemas.openxmlformats.org/officeDocument/2006/relationships/hyperlink" Target="https://www.evga.com/products/product.aspx?pn=10G-P5-3897-KL" TargetMode="External"/><Relationship Id="rId3862" Type="http://schemas.openxmlformats.org/officeDocument/2006/relationships/hyperlink" Target="https://www.zotac.com/hk/product/graphics_card/zotac-gaming-geforce-rtx-4080-16gb-trinity" TargetMode="External"/><Relationship Id="rId1235" Type="http://schemas.openxmlformats.org/officeDocument/2006/relationships/hyperlink" Target="https://www.msi.com/Graphics-card/GeForce-RTX-2070-SUPER-ARMOR-OC" TargetMode="External"/><Relationship Id="rId2566" Type="http://schemas.openxmlformats.org/officeDocument/2006/relationships/hyperlink" Target="https://www.galax.com/en/" TargetMode="External"/><Relationship Id="rId3898" Type="http://schemas.openxmlformats.org/officeDocument/2006/relationships/hyperlink" Target="https://www.galax.com/en/graphics-card/40-series/40series-super/4080-super/geforce-rtx-4080-super-sg.html" TargetMode="External"/><Relationship Id="rId1236" Type="http://schemas.openxmlformats.org/officeDocument/2006/relationships/hyperlink" Target="https://www.msi.com/Graphics-card/GeForce-RTX-2070-SUPER-GAMING" TargetMode="External"/><Relationship Id="rId2567" Type="http://schemas.openxmlformats.org/officeDocument/2006/relationships/hyperlink" Target="http://www.szgalaxy.com/__ZH_GB__/Product5/ProductDetail?proID=718" TargetMode="External"/><Relationship Id="rId3897" Type="http://schemas.openxmlformats.org/officeDocument/2006/relationships/hyperlink" Target="https://www.galax.com/en/" TargetMode="External"/><Relationship Id="rId1237" Type="http://schemas.openxmlformats.org/officeDocument/2006/relationships/hyperlink" Target="https://www.msi.com/Graphics-card/GeForce-RTX-2070-SUPER-GAMING-X" TargetMode="External"/><Relationship Id="rId2568" Type="http://schemas.openxmlformats.org/officeDocument/2006/relationships/hyperlink" Target="https://www.galax.com/en/" TargetMode="External"/><Relationship Id="rId1238" Type="http://schemas.openxmlformats.org/officeDocument/2006/relationships/hyperlink" Target="https://www.msi.com/Graphics-card/GeForce-RTX-2070-SUPER-GAMING-TRIO" TargetMode="External"/><Relationship Id="rId2569" Type="http://schemas.openxmlformats.org/officeDocument/2006/relationships/hyperlink" Target="http://www.szgalaxy.com/__ZH_GB__/Product5/ProductDetail?proID=618" TargetMode="External"/><Relationship Id="rId3899" Type="http://schemas.openxmlformats.org/officeDocument/2006/relationships/hyperlink" Target="https://www.gigabyte.com/Graphics-Card/GV-N408SWF3-16GD" TargetMode="External"/><Relationship Id="rId1239" Type="http://schemas.openxmlformats.org/officeDocument/2006/relationships/hyperlink" Target="https://www.msi.com/Graphics-card/GeForce-RTX-2070-SUPER-GAMING-X-TRIO" TargetMode="External"/><Relationship Id="rId409" Type="http://schemas.openxmlformats.org/officeDocument/2006/relationships/hyperlink" Target="https://www.msi.com/Graphics-Card/Radeon-RX-7600-MECH-2X-CLASSIC-8G" TargetMode="External"/><Relationship Id="rId404" Type="http://schemas.openxmlformats.org/officeDocument/2006/relationships/hyperlink" Target="https://www.asrock.com/Graphics-Card/AMD/Radeon%20RX%207600%20Steel%20Legend%208GB%20OC/" TargetMode="External"/><Relationship Id="rId403" Type="http://schemas.openxmlformats.org/officeDocument/2006/relationships/hyperlink" Target="https://www.asrock.com/Graphics-Card/AMD/Radeon%20RX%207600%20Challenger%208GB%20OC/" TargetMode="External"/><Relationship Id="rId402" Type="http://schemas.openxmlformats.org/officeDocument/2006/relationships/hyperlink" Target="https://www.xfxforce.com/shop/xfx-speedster-merc-319-amd-radeon-tm-rx-6950-xt-black" TargetMode="External"/><Relationship Id="rId401" Type="http://schemas.openxmlformats.org/officeDocument/2006/relationships/hyperlink" Target="https://www.sapphiretech.com/en/consumer/toxic-radeon-rx-6950-xt-le-16g-gddr6" TargetMode="External"/><Relationship Id="rId408" Type="http://schemas.openxmlformats.org/officeDocument/2006/relationships/hyperlink" Target="https://www.gigabyte.com/Graphics-Card/GV-R76GAMING-OC-8GD" TargetMode="External"/><Relationship Id="rId407" Type="http://schemas.openxmlformats.org/officeDocument/2006/relationships/hyperlink" Target="https://rog.asus.com/graphics-cards/graphics-cards/rog-strix/rog-strix-rx7600-o8g-gaming/" TargetMode="External"/><Relationship Id="rId406" Type="http://schemas.openxmlformats.org/officeDocument/2006/relationships/hyperlink" Target="https://www.asus.com/motherboards-components/graphics-cards/dual/dual-rx7600-o8g/" TargetMode="External"/><Relationship Id="rId405" Type="http://schemas.openxmlformats.org/officeDocument/2006/relationships/hyperlink" Target="https://www.asrock.com/Graphics-Card/AMD/Radeon%20RX%207600%20Phantom%20Gaming%208GB%20OC/" TargetMode="External"/><Relationship Id="rId3890" Type="http://schemas.openxmlformats.org/officeDocument/2006/relationships/hyperlink" Target="https://en.colorful.cn/en/" TargetMode="External"/><Relationship Id="rId2560" Type="http://schemas.openxmlformats.org/officeDocument/2006/relationships/hyperlink" Target="https://www.galax.com/en/" TargetMode="External"/><Relationship Id="rId3892" Type="http://schemas.openxmlformats.org/officeDocument/2006/relationships/hyperlink" Target="https://www.gainward.com/main/vgapro.php?id=1211&amp;lang=en" TargetMode="External"/><Relationship Id="rId1230" Type="http://schemas.openxmlformats.org/officeDocument/2006/relationships/hyperlink" Target="https://www.msi.com/Graphics-card/GeForce-RTX-2070-SUPER-VENTUS" TargetMode="External"/><Relationship Id="rId2561" Type="http://schemas.openxmlformats.org/officeDocument/2006/relationships/hyperlink" Target="http://www.szgalaxy.com/__ZH_GB__/Product5/ProductDetail?proID=619" TargetMode="External"/><Relationship Id="rId3891" Type="http://schemas.openxmlformats.org/officeDocument/2006/relationships/hyperlink" Target="https://en.colorful.cn/en/home/product?mid=102&amp;id=3ee7a069-9d3a-4128-a313-f9b4841d8a2a" TargetMode="External"/><Relationship Id="rId400" Type="http://schemas.openxmlformats.org/officeDocument/2006/relationships/hyperlink" Target="https://www.sapphiretech.com/en/consumer/nitro-radeon-rx-6950-xt-pure-16g-gddr6" TargetMode="External"/><Relationship Id="rId1231" Type="http://schemas.openxmlformats.org/officeDocument/2006/relationships/hyperlink" Target="https://www.msi.com/Graphics-card/GeForce-RTX-2070-SUPER-VENTUS-OC" TargetMode="External"/><Relationship Id="rId2562" Type="http://schemas.openxmlformats.org/officeDocument/2006/relationships/hyperlink" Target="https://www.galax.com/en/" TargetMode="External"/><Relationship Id="rId3894" Type="http://schemas.openxmlformats.org/officeDocument/2006/relationships/hyperlink" Target="https://www.gainward.com/main/vgapro.php?id=1209&amp;lang=en" TargetMode="External"/><Relationship Id="rId1232" Type="http://schemas.openxmlformats.org/officeDocument/2006/relationships/hyperlink" Target="https://www.msi.com/Graphics-card/GeForce-RTX-2070-SUPER-VENTUS-GP/" TargetMode="External"/><Relationship Id="rId2563" Type="http://schemas.openxmlformats.org/officeDocument/2006/relationships/hyperlink" Target="http://www.szgalaxy.com/__ZH_GB__/Product5/ProductDetail?proID=716" TargetMode="External"/><Relationship Id="rId3893" Type="http://schemas.openxmlformats.org/officeDocument/2006/relationships/hyperlink" Target="https://www.gainward.com/main/vgapro.php?id=1210&amp;lang=en" TargetMode="External"/><Relationship Id="rId1233" Type="http://schemas.openxmlformats.org/officeDocument/2006/relationships/hyperlink" Target="https://www.msi.com/Graphics-card/GeForce-RTX-2070-SUPER-VENTUS-GP-OC" TargetMode="External"/><Relationship Id="rId2564" Type="http://schemas.openxmlformats.org/officeDocument/2006/relationships/hyperlink" Target="https://www.galax.com/en/" TargetMode="External"/><Relationship Id="rId3896" Type="http://schemas.openxmlformats.org/officeDocument/2006/relationships/hyperlink" Target="https://www.galax.com/en/graphics-card/40-series/40series-super/4080-super/geforce-rtx-4080-super-st.html" TargetMode="External"/><Relationship Id="rId1234" Type="http://schemas.openxmlformats.org/officeDocument/2006/relationships/hyperlink" Target="https://www.msi.com/Graphics-card/GeForce-RTX-2070-SUPER-ARMOR" TargetMode="External"/><Relationship Id="rId2565" Type="http://schemas.openxmlformats.org/officeDocument/2006/relationships/hyperlink" Target="http://www.szgalaxy.com/__ZH_GB__/Product5/ProductDetail?proID=626" TargetMode="External"/><Relationship Id="rId3895" Type="http://schemas.openxmlformats.org/officeDocument/2006/relationships/hyperlink" Target="https://www.galax.com/en/" TargetMode="External"/><Relationship Id="rId1224" Type="http://schemas.openxmlformats.org/officeDocument/2006/relationships/hyperlink" Target="https://www.inno3d.com/en/product_detail/page/45f4323c8768c79562ddabecbfdc0219f05f066bb018b2e4d2f446aae77ff539" TargetMode="External"/><Relationship Id="rId2555" Type="http://schemas.openxmlformats.org/officeDocument/2006/relationships/hyperlink" Target="http://www.gainward.com/main/vgapro.php?id=1093&amp;lang=en" TargetMode="External"/><Relationship Id="rId3887" Type="http://schemas.openxmlformats.org/officeDocument/2006/relationships/hyperlink" Target="https://en.colorful.cn/en/home/product?mid=102&amp;id=3e47e98e-f667-47d8-a61f-a6f0bd381766" TargetMode="External"/><Relationship Id="rId1225" Type="http://schemas.openxmlformats.org/officeDocument/2006/relationships/hyperlink" Target="https://www.inno3d.com/en/product_detail/page/6f91f713d97956e23a7fcda10a11aa92e6022b3f5f32d74cbaa8eea22d52b808" TargetMode="External"/><Relationship Id="rId2556" Type="http://schemas.openxmlformats.org/officeDocument/2006/relationships/hyperlink" Target="http://www.gainward.com/main/vgapro.php?id=1116&amp;lang=en" TargetMode="External"/><Relationship Id="rId3886" Type="http://schemas.openxmlformats.org/officeDocument/2006/relationships/hyperlink" Target="https://en.colorful.cn/en/" TargetMode="External"/><Relationship Id="rId1226" Type="http://schemas.openxmlformats.org/officeDocument/2006/relationships/hyperlink" Target="https://www.inno3d.com/en/product_detail/page/eca503a459347b510729dd6f6fe2ef73804b7542e45fc6945a038a91d8253c71" TargetMode="External"/><Relationship Id="rId2557" Type="http://schemas.openxmlformats.org/officeDocument/2006/relationships/hyperlink" Target="http://www.gainward.com/main/vgapro.php?id=1136&amp;lang=en" TargetMode="External"/><Relationship Id="rId3889" Type="http://schemas.openxmlformats.org/officeDocument/2006/relationships/hyperlink" Target="https://en.colorful.cn/en/home/product?mid=102&amp;id=7195474f-796a-404f-b4ea-287930dddea0" TargetMode="External"/><Relationship Id="rId1227" Type="http://schemas.openxmlformats.org/officeDocument/2006/relationships/hyperlink" Target="https://www.inno3d.com/en/product_detail/page/9d9210e7574a17fb579acef2cedd164fb35c3816ee324cb034de72d9f06b6060" TargetMode="External"/><Relationship Id="rId2558" Type="http://schemas.openxmlformats.org/officeDocument/2006/relationships/hyperlink" Target="http://www.gainward.com/main/vgapro.php?id=1135&amp;lang=en" TargetMode="External"/><Relationship Id="rId3888" Type="http://schemas.openxmlformats.org/officeDocument/2006/relationships/hyperlink" Target="https://en.colorful.cn/en/" TargetMode="External"/><Relationship Id="rId1228" Type="http://schemas.openxmlformats.org/officeDocument/2006/relationships/hyperlink" Target="https://www.inno3d.com/en/product_detail/page/3134c06725f37d97deaf57ce59d408e1aa879aaa1507226719b5fbe4ebbd1e8d" TargetMode="External"/><Relationship Id="rId2559" Type="http://schemas.openxmlformats.org/officeDocument/2006/relationships/hyperlink" Target="https://www.galax.com/en/" TargetMode="External"/><Relationship Id="rId1229" Type="http://schemas.openxmlformats.org/officeDocument/2006/relationships/hyperlink" Target="https://www.inno3d.com/en/product_detail/page/f538b28f2344acb710af282cf98c1d50c704b010bd1493056117798c44342e4c" TargetMode="External"/><Relationship Id="rId3881" Type="http://schemas.openxmlformats.org/officeDocument/2006/relationships/hyperlink" Target="https://rog.asus.com/graphics-cards/graphics-cards/rog-strix/rog-strix-rtx4080s-o16g-white/" TargetMode="External"/><Relationship Id="rId2550" Type="http://schemas.openxmlformats.org/officeDocument/2006/relationships/hyperlink" Target="http://www.gainward.com/main/vgapro.php?id=1119&amp;lang=en" TargetMode="External"/><Relationship Id="rId3880" Type="http://schemas.openxmlformats.org/officeDocument/2006/relationships/hyperlink" Target="https://rog.asus.com/graphics-cards/graphics-cards/rog-strix/rog-strix-rtx4080s-16g-white/" TargetMode="External"/><Relationship Id="rId1220" Type="http://schemas.openxmlformats.org/officeDocument/2006/relationships/hyperlink" Target="https://www.gigabyte.com/Graphics-Card/GV-N207SGAMINGOC-WHITE-8GD-rev-10-11" TargetMode="External"/><Relationship Id="rId2551" Type="http://schemas.openxmlformats.org/officeDocument/2006/relationships/hyperlink" Target="http://www.gainward.com/main/vgapro.php?id=1087&amp;lang=en" TargetMode="External"/><Relationship Id="rId3883" Type="http://schemas.openxmlformats.org/officeDocument/2006/relationships/hyperlink" Target="https://en.colorful.cn/en/home/product?mid=102&amp;id=426d941f-3db2-4076-b1f8-edfb0c876e47" TargetMode="External"/><Relationship Id="rId1221" Type="http://schemas.openxmlformats.org/officeDocument/2006/relationships/hyperlink" Target="https://www.gigabyte.com/Graphics-Card/GV-N207SAORUS-8GC-rev-20" TargetMode="External"/><Relationship Id="rId2552" Type="http://schemas.openxmlformats.org/officeDocument/2006/relationships/hyperlink" Target="http://www.gainward.com/main/vgapro.php?id=1118&amp;lang=en" TargetMode="External"/><Relationship Id="rId3882" Type="http://schemas.openxmlformats.org/officeDocument/2006/relationships/hyperlink" Target="https://en.colorful.cn/en/" TargetMode="External"/><Relationship Id="rId1222" Type="http://schemas.openxmlformats.org/officeDocument/2006/relationships/hyperlink" Target="https://www.inno3d.com/en/product_detail/page/05fe0cc0049959e6b90680e168d55b018b8b795e9d36a20a52bd5fe81c196270" TargetMode="External"/><Relationship Id="rId2553" Type="http://schemas.openxmlformats.org/officeDocument/2006/relationships/hyperlink" Target="http://www.gainward.com/main/vgapro.php?id=1094&amp;lang=en" TargetMode="External"/><Relationship Id="rId3885" Type="http://schemas.openxmlformats.org/officeDocument/2006/relationships/hyperlink" Target="https://en.colorful.cn/en/home/product?mid=102&amp;id=1d4e523f-bb36-4c4a-8f03-f4ffca7df3d2" TargetMode="External"/><Relationship Id="rId1223" Type="http://schemas.openxmlformats.org/officeDocument/2006/relationships/hyperlink" Target="https://www.inno3d.com/en/product_detail/page/aa0ef47abc3ed6a099b27a64af8abcf583c268e414b53ba29ab11b565b3da03b" TargetMode="External"/><Relationship Id="rId2554" Type="http://schemas.openxmlformats.org/officeDocument/2006/relationships/hyperlink" Target="http://www.gainward.com/main/vgapro.php?id=1117&amp;lang=en" TargetMode="External"/><Relationship Id="rId3884" Type="http://schemas.openxmlformats.org/officeDocument/2006/relationships/hyperlink" Target="https://en.colorful.cn/en/" TargetMode="External"/><Relationship Id="rId2500" Type="http://schemas.openxmlformats.org/officeDocument/2006/relationships/hyperlink" Target="https://en.colorful.cn/product_show.aspx?mid=102&amp;id=1817" TargetMode="External"/><Relationship Id="rId3832" Type="http://schemas.openxmlformats.org/officeDocument/2006/relationships/hyperlink" Target="https://www.msi.com/Graphics-Card/GeForce-RTX-4080-16GB-GAMING-SLIM-WHITE" TargetMode="External"/><Relationship Id="rId2501" Type="http://schemas.openxmlformats.org/officeDocument/2006/relationships/hyperlink" Target="https://en.colorful.cn/en/" TargetMode="External"/><Relationship Id="rId3831" Type="http://schemas.openxmlformats.org/officeDocument/2006/relationships/hyperlink" Target="https://www.msi.com/Graphics-Card/GeForce-RTX-4080-16GB-GAMING-SLIM" TargetMode="External"/><Relationship Id="rId2502" Type="http://schemas.openxmlformats.org/officeDocument/2006/relationships/hyperlink" Target="https://en.colorful.cn/product_show.aspx?mid=102&amp;id=1872" TargetMode="External"/><Relationship Id="rId3834" Type="http://schemas.openxmlformats.org/officeDocument/2006/relationships/hyperlink" Target="https://www.msi.com/Graphics-Card/GeForce-RTX-4080-16GB-GAMING-X-SLIM-WHITE" TargetMode="External"/><Relationship Id="rId2503" Type="http://schemas.openxmlformats.org/officeDocument/2006/relationships/hyperlink" Target="https://en.colorful.cn/en/" TargetMode="External"/><Relationship Id="rId3833" Type="http://schemas.openxmlformats.org/officeDocument/2006/relationships/hyperlink" Target="https://www.msi.com/Graphics-Card/GeForce-RTX-4080-16GB-GAMING-X-SLIM" TargetMode="External"/><Relationship Id="rId2504" Type="http://schemas.openxmlformats.org/officeDocument/2006/relationships/hyperlink" Target="https://en.colorful.cn/product_show.aspx?mid=102&amp;id=1829" TargetMode="External"/><Relationship Id="rId3836" Type="http://schemas.openxmlformats.org/officeDocument/2006/relationships/hyperlink" Target="https://www.msi.com/Graphics-Card/GeForce-RTX-4080-16GB-GAMING-TRIO-WHITE" TargetMode="External"/><Relationship Id="rId2505" Type="http://schemas.openxmlformats.org/officeDocument/2006/relationships/hyperlink" Target="https://en.colorful.cn/en/" TargetMode="External"/><Relationship Id="rId3835" Type="http://schemas.openxmlformats.org/officeDocument/2006/relationships/hyperlink" Target="https://www.msi.com/Graphics-Card/GeForce-RTX-4080-16GB-GAMING-TRIO" TargetMode="External"/><Relationship Id="rId2506" Type="http://schemas.openxmlformats.org/officeDocument/2006/relationships/hyperlink" Target="https://www.colorful.cn/product_show.aspx?mid=102&amp;id=1811" TargetMode="External"/><Relationship Id="rId3838" Type="http://schemas.openxmlformats.org/officeDocument/2006/relationships/hyperlink" Target="https://www.msi.com/Graphics-Card/GeForce-RTX-4080-16GB-GAMING-X-TRIO-WHITE" TargetMode="External"/><Relationship Id="rId2507" Type="http://schemas.openxmlformats.org/officeDocument/2006/relationships/hyperlink" Target="https://en.colorful.cn/en/" TargetMode="External"/><Relationship Id="rId3837" Type="http://schemas.openxmlformats.org/officeDocument/2006/relationships/hyperlink" Target="https://www.msi.com/Graphics-Card/GeForce-RTX-4080-16GB-GAMING-X-TRIO" TargetMode="External"/><Relationship Id="rId2508" Type="http://schemas.openxmlformats.org/officeDocument/2006/relationships/hyperlink" Target="https://en.colorful.cn/product_show.aspx?mid=102&amp;id=1835" TargetMode="External"/><Relationship Id="rId2509" Type="http://schemas.openxmlformats.org/officeDocument/2006/relationships/hyperlink" Target="https://en.colorful.cn/en/" TargetMode="External"/><Relationship Id="rId3839" Type="http://schemas.openxmlformats.org/officeDocument/2006/relationships/hyperlink" Target="https://www.msi.com/Graphics-Card/GeForce-RTX-4080-16GB-SUPRIM" TargetMode="External"/><Relationship Id="rId3830" Type="http://schemas.openxmlformats.org/officeDocument/2006/relationships/hyperlink" Target="https://www.msi.com/Graphics-Card/GeForce-RTX-4080-16GB-VENTUS-3X-OC" TargetMode="External"/><Relationship Id="rId3821" Type="http://schemas.openxmlformats.org/officeDocument/2006/relationships/hyperlink" Target="https://www.maxsun.com/" TargetMode="External"/><Relationship Id="rId3820" Type="http://schemas.openxmlformats.org/officeDocument/2006/relationships/hyperlink" Target="https://www.maxsun.com.cn/2023/0417/5970.html" TargetMode="External"/><Relationship Id="rId3823" Type="http://schemas.openxmlformats.org/officeDocument/2006/relationships/hyperlink" Target="https://www.maxsun.com/" TargetMode="External"/><Relationship Id="rId3822" Type="http://schemas.openxmlformats.org/officeDocument/2006/relationships/hyperlink" Target="http://www.maxsun.com.cn/2022/1116/5812.html" TargetMode="External"/><Relationship Id="rId3825" Type="http://schemas.openxmlformats.org/officeDocument/2006/relationships/hyperlink" Target="https://www.maxsun.com/" TargetMode="External"/><Relationship Id="rId3824" Type="http://schemas.openxmlformats.org/officeDocument/2006/relationships/hyperlink" Target="https://www.maxsun.com.cn/2023/0602/5999.html" TargetMode="External"/><Relationship Id="rId3827" Type="http://schemas.openxmlformats.org/officeDocument/2006/relationships/hyperlink" Target="https://www.maxsun.com/" TargetMode="External"/><Relationship Id="rId3826" Type="http://schemas.openxmlformats.org/officeDocument/2006/relationships/hyperlink" Target="https://www.maxsun.com/products/geforce-rtx-4080-icraft-oc-limited-16g?_pos=2&amp;_fid=29d6f233d&amp;_ss=c" TargetMode="External"/><Relationship Id="rId3829" Type="http://schemas.openxmlformats.org/officeDocument/2006/relationships/hyperlink" Target="https://www.msi.com/Graphics-Card/GeForce-RTX-4080-16GB-VENTUS-3X" TargetMode="External"/><Relationship Id="rId3828" Type="http://schemas.openxmlformats.org/officeDocument/2006/relationships/hyperlink" Target="https://www.maxsun.com/products/geforce-rtx-4080-mgg-oc-16g-s0?_pos=1&amp;_fid=29d6f233d&amp;_ss=c" TargetMode="External"/><Relationship Id="rId2522" Type="http://schemas.openxmlformats.org/officeDocument/2006/relationships/hyperlink" Target="https://www.emtekinc.co.kr/bbs/board.php?bo_table=product&amp;wr_id=2268" TargetMode="External"/><Relationship Id="rId3854" Type="http://schemas.openxmlformats.org/officeDocument/2006/relationships/hyperlink" Target="http://www.yeston.net/products-detail/id-80.html" TargetMode="External"/><Relationship Id="rId2523" Type="http://schemas.openxmlformats.org/officeDocument/2006/relationships/hyperlink" Target="https://www.emtekinc.co.kr/" TargetMode="External"/><Relationship Id="rId3853" Type="http://schemas.openxmlformats.org/officeDocument/2006/relationships/hyperlink" Target="http://www.yeston.net/" TargetMode="External"/><Relationship Id="rId2524" Type="http://schemas.openxmlformats.org/officeDocument/2006/relationships/hyperlink" Target="https://www.emtekinc.co.kr/bbs/board.php?bo_table=product&amp;wr_id=2214" TargetMode="External"/><Relationship Id="rId3856" Type="http://schemas.openxmlformats.org/officeDocument/2006/relationships/hyperlink" Target="http://www.yeston.net/products-detail/id-25.html" TargetMode="External"/><Relationship Id="rId2525" Type="http://schemas.openxmlformats.org/officeDocument/2006/relationships/hyperlink" Target="https://www.emtekinc.co.kr/" TargetMode="External"/><Relationship Id="rId3855" Type="http://schemas.openxmlformats.org/officeDocument/2006/relationships/hyperlink" Target="http://www.yeston.net/" TargetMode="External"/><Relationship Id="rId2526" Type="http://schemas.openxmlformats.org/officeDocument/2006/relationships/hyperlink" Target="https://www.emtekinc.co.kr/bbs/board.php?bo_table=product&amp;wr_id=2178" TargetMode="External"/><Relationship Id="rId3858" Type="http://schemas.openxmlformats.org/officeDocument/2006/relationships/hyperlink" Target="https://www.zotac.com/cn/product/graphics_card/%E7%B4%A2%E6%B3%B0-geforce%C2%AE-rtx-4080-16gb-%E5%A4%A9%E5%90%AF" TargetMode="External"/><Relationship Id="rId2527" Type="http://schemas.openxmlformats.org/officeDocument/2006/relationships/hyperlink" Target="https://www.evga.com/products/specs/gpu.aspx?pn=4DFA53CC-D38F-4604-8C59-592054F337D7" TargetMode="External"/><Relationship Id="rId3857" Type="http://schemas.openxmlformats.org/officeDocument/2006/relationships/hyperlink" Target="https://www.zotac.com/" TargetMode="External"/><Relationship Id="rId2528" Type="http://schemas.openxmlformats.org/officeDocument/2006/relationships/hyperlink" Target="https://www.evga.com/products/specs/gpu.aspx?pn=1A8B49BF-B10B-4EE9-BB61-68D806DB5A65" TargetMode="External"/><Relationship Id="rId2529" Type="http://schemas.openxmlformats.org/officeDocument/2006/relationships/hyperlink" Target="https://www.evga.com/products/specs/gpu.aspx?pn=E5875021-B582-4C3A-831A-E12BDAAFE98F" TargetMode="External"/><Relationship Id="rId3859" Type="http://schemas.openxmlformats.org/officeDocument/2006/relationships/hyperlink" Target="https://www.zotac.com/" TargetMode="External"/><Relationship Id="rId3850" Type="http://schemas.openxmlformats.org/officeDocument/2006/relationships/hyperlink" Target="https://www.pny.com/pny-geforce-rtx-4080-16-gb-xlr8-gaming-uprising-epic-x-rgb-triple-fan" TargetMode="External"/><Relationship Id="rId2520" Type="http://schemas.openxmlformats.org/officeDocument/2006/relationships/hyperlink" Target="https://www.emtekinc.co.kr/bbs/board.php?bo_table=product&amp;wr_id=2174" TargetMode="External"/><Relationship Id="rId3852" Type="http://schemas.openxmlformats.org/officeDocument/2006/relationships/hyperlink" Target="https://www.pny.com/pny-geforce-rtx-4080-16gb-epic-x-argb-triple-fan-oc" TargetMode="External"/><Relationship Id="rId2521" Type="http://schemas.openxmlformats.org/officeDocument/2006/relationships/hyperlink" Target="https://www.emtekinc.co.kr/" TargetMode="External"/><Relationship Id="rId3851" Type="http://schemas.openxmlformats.org/officeDocument/2006/relationships/hyperlink" Target="https://www.pny.com/pny-geforce-rtx-4080-16gb-xlr8-gaming-verto-epic-x-rgb-triple-fan" TargetMode="External"/><Relationship Id="rId2511" Type="http://schemas.openxmlformats.org/officeDocument/2006/relationships/hyperlink" Target="https://www.emtekinc.co.kr/" TargetMode="External"/><Relationship Id="rId3843" Type="http://schemas.openxmlformats.org/officeDocument/2006/relationships/hyperlink" Target="http://www.palit.com/palit/vgapro.php?id=4688&amp;lang=en" TargetMode="External"/><Relationship Id="rId2512" Type="http://schemas.openxmlformats.org/officeDocument/2006/relationships/hyperlink" Target="https://www.emtekinc.co.kr/bbs/board.php?bo_table=product&amp;wr_id=2217" TargetMode="External"/><Relationship Id="rId3842" Type="http://schemas.openxmlformats.org/officeDocument/2006/relationships/hyperlink" Target="https://www.palit.com/palit/vgapro.php?id=4808&amp;lang=en" TargetMode="External"/><Relationship Id="rId2513" Type="http://schemas.openxmlformats.org/officeDocument/2006/relationships/hyperlink" Target="https://www.emtekinc.co.kr/" TargetMode="External"/><Relationship Id="rId3845" Type="http://schemas.openxmlformats.org/officeDocument/2006/relationships/hyperlink" Target="http://www.palit.com/palit/vgapro.php?id=4658&amp;lang=en" TargetMode="External"/><Relationship Id="rId2514" Type="http://schemas.openxmlformats.org/officeDocument/2006/relationships/hyperlink" Target="https://www.emtekinc.co.kr/bbs/board.php?bo_table=product&amp;wr_id=2170" TargetMode="External"/><Relationship Id="rId3844" Type="http://schemas.openxmlformats.org/officeDocument/2006/relationships/hyperlink" Target="http://www.palit.com/palit/vgapro.php?id=4678&amp;lang=en" TargetMode="External"/><Relationship Id="rId2515" Type="http://schemas.openxmlformats.org/officeDocument/2006/relationships/hyperlink" Target="https://www.emtekinc.co.kr/" TargetMode="External"/><Relationship Id="rId3847" Type="http://schemas.openxmlformats.org/officeDocument/2006/relationships/hyperlink" Target="http://www.palit.com/palit/vgapro.php?id=4638&amp;lang=en" TargetMode="External"/><Relationship Id="rId2516" Type="http://schemas.openxmlformats.org/officeDocument/2006/relationships/hyperlink" Target="https://www.emtekinc.co.kr/bbs/board.php?bo_table=product&amp;wr_id=2270" TargetMode="External"/><Relationship Id="rId3846" Type="http://schemas.openxmlformats.org/officeDocument/2006/relationships/hyperlink" Target="http://www.palit.com/palit/vgapro.php?id=4648&amp;lang=en" TargetMode="External"/><Relationship Id="rId2517" Type="http://schemas.openxmlformats.org/officeDocument/2006/relationships/hyperlink" Target="https://www.emtekinc.co.kr/" TargetMode="External"/><Relationship Id="rId3849" Type="http://schemas.openxmlformats.org/officeDocument/2006/relationships/hyperlink" Target="https://www.pny.com/pny-geforce-rtx-4080-16gb-xlr8-gaming-revel-epic-x-rgb-triple-fan" TargetMode="External"/><Relationship Id="rId2518" Type="http://schemas.openxmlformats.org/officeDocument/2006/relationships/hyperlink" Target="https://www.emtekinc.co.kr/bbs/board.php?bo_table=product&amp;wr_id=2209" TargetMode="External"/><Relationship Id="rId3848" Type="http://schemas.openxmlformats.org/officeDocument/2006/relationships/hyperlink" Target="https://www.pny.com/pny-geforce-rtx-4080-16gb-verto-triple-fan-led" TargetMode="External"/><Relationship Id="rId2519" Type="http://schemas.openxmlformats.org/officeDocument/2006/relationships/hyperlink" Target="https://www.emtekinc.co.kr/" TargetMode="External"/><Relationship Id="rId3841" Type="http://schemas.openxmlformats.org/officeDocument/2006/relationships/hyperlink" Target="https://www.nvidia.com/en-us/geforce/graphics-cards/40-series/rtx-4080/" TargetMode="External"/><Relationship Id="rId2510" Type="http://schemas.openxmlformats.org/officeDocument/2006/relationships/hyperlink" Target="https://en.colorful.cn/product_show.aspx?mid=102&amp;id=1871" TargetMode="External"/><Relationship Id="rId3840" Type="http://schemas.openxmlformats.org/officeDocument/2006/relationships/hyperlink" Target="https://www.msi.com/Graphics-Card/GeForce-RTX-4080-16GB-SUPRIM-X" TargetMode="External"/><Relationship Id="rId469" Type="http://schemas.openxmlformats.org/officeDocument/2006/relationships/hyperlink" Target="https://www.asrock.com/Graphics-Card/AMD/Radeon%20RX%207900%20GRE%20Steel%20Legend%2016GB%20OC/" TargetMode="External"/><Relationship Id="rId468" Type="http://schemas.openxmlformats.org/officeDocument/2006/relationships/hyperlink" Target="https://www.asrock.com/Graphics-Card/AMD/Radeon%20RX%207900%20GRE%20Challenger%2016GB%20OC/" TargetMode="External"/><Relationship Id="rId467" Type="http://schemas.openxmlformats.org/officeDocument/2006/relationships/hyperlink" Target="http://www.yeston.net/products-detail/id-76.html" TargetMode="External"/><Relationship Id="rId1290" Type="http://schemas.openxmlformats.org/officeDocument/2006/relationships/hyperlink" Target="https://www.evga.com/products/specs/gpu.aspx?pn=39C2C733-9857-4D81-936B-CE795CD096CE" TargetMode="External"/><Relationship Id="rId1291" Type="http://schemas.openxmlformats.org/officeDocument/2006/relationships/hyperlink" Target="https://www.evga.com/products/specs/gpu.aspx?pn=6A428F4A-12F5-48C6-AF48-34BBBE0E3903" TargetMode="External"/><Relationship Id="rId1292" Type="http://schemas.openxmlformats.org/officeDocument/2006/relationships/hyperlink" Target="https://www.evga.com/products/specs/gpu.aspx?pn=E4516B01-269B-45F9-BEF2-16585B382D3D" TargetMode="External"/><Relationship Id="rId462" Type="http://schemas.openxmlformats.org/officeDocument/2006/relationships/hyperlink" Target="https://www.sapphiretech.com/en/consumer/pure-radeon-rx-7800-xt-16g-gddr6" TargetMode="External"/><Relationship Id="rId1293" Type="http://schemas.openxmlformats.org/officeDocument/2006/relationships/hyperlink" Target="https://www.evga.com/products/specs/gpu.aspx?pn=B4205ADD-A8BD-4A05-A685-3502C19CB8E9" TargetMode="External"/><Relationship Id="rId461" Type="http://schemas.openxmlformats.org/officeDocument/2006/relationships/hyperlink" Target="https://www.sapphiretech.com/en/consumer/pulse-radeon-rx-7800-xt-16g-gddr6" TargetMode="External"/><Relationship Id="rId1294" Type="http://schemas.openxmlformats.org/officeDocument/2006/relationships/hyperlink" Target="https://www.evga.com/products/specs/gpu.aspx?pn=725CFBAA-D06C-40A7-97AA-A48295034C71" TargetMode="External"/><Relationship Id="rId460" Type="http://schemas.openxmlformats.org/officeDocument/2006/relationships/hyperlink" Target="https://www.sapphiretech.com/en/consumer/21330-01-20g-radeon-rx-7800-xt-16g-gddr6" TargetMode="External"/><Relationship Id="rId1295" Type="http://schemas.openxmlformats.org/officeDocument/2006/relationships/hyperlink" Target="https://www.evga.com/products/specs/gpu.aspx?pn=9EDEAF14-DA30-4958-9403-4765B7873DBD" TargetMode="External"/><Relationship Id="rId1296" Type="http://schemas.openxmlformats.org/officeDocument/2006/relationships/hyperlink" Target="http://www.gainward.com/main/vgapro.php?id=1018&amp;lang=en" TargetMode="External"/><Relationship Id="rId466" Type="http://schemas.openxmlformats.org/officeDocument/2006/relationships/hyperlink" Target="http://www.yeston.net/" TargetMode="External"/><Relationship Id="rId1297" Type="http://schemas.openxmlformats.org/officeDocument/2006/relationships/hyperlink" Target="http://www.gainward.com/main/vgapro.php?id=1038&amp;lang=en" TargetMode="External"/><Relationship Id="rId465" Type="http://schemas.openxmlformats.org/officeDocument/2006/relationships/hyperlink" Target="https://www.xfxforce.com/shop/xfx-speedster-merc319-radeon-tm-rx-7800-xt-black-edition" TargetMode="External"/><Relationship Id="rId1298" Type="http://schemas.openxmlformats.org/officeDocument/2006/relationships/hyperlink" Target="http://www.gainward.com/main/vgapro.php?id=1022&amp;lang=en" TargetMode="External"/><Relationship Id="rId464" Type="http://schemas.openxmlformats.org/officeDocument/2006/relationships/hyperlink" Target="https://www.xfxforce.com/shop/xfx-speedster-qick-319-radeon-tm-rx-7800-xt-core-edition" TargetMode="External"/><Relationship Id="rId1299" Type="http://schemas.openxmlformats.org/officeDocument/2006/relationships/hyperlink" Target="http://www.gainward.com/main/vgapro.php?id=1020&amp;lang=en" TargetMode="External"/><Relationship Id="rId463" Type="http://schemas.openxmlformats.org/officeDocument/2006/relationships/hyperlink" Target="https://www.sapphiretech.com/en/consumer/nitro-radeon-rx-7800-xt-16g-gddr6" TargetMode="External"/><Relationship Id="rId459" Type="http://schemas.openxmlformats.org/officeDocument/2006/relationships/hyperlink" Target="https://www.powercolor.com/product?id=1689237993" TargetMode="External"/><Relationship Id="rId458" Type="http://schemas.openxmlformats.org/officeDocument/2006/relationships/hyperlink" Target="https://www.powercolor.com/product?id=1692094158" TargetMode="External"/><Relationship Id="rId457" Type="http://schemas.openxmlformats.org/officeDocument/2006/relationships/hyperlink" Target="https://www.powercolor.com/product?id=1693809900" TargetMode="External"/><Relationship Id="rId456" Type="http://schemas.openxmlformats.org/officeDocument/2006/relationships/hyperlink" Target="https://www.powercolor.com/product?id=1709280816" TargetMode="External"/><Relationship Id="rId1280" Type="http://schemas.openxmlformats.org/officeDocument/2006/relationships/hyperlink" Target="https://www.emtekinc.co.kr/" TargetMode="External"/><Relationship Id="rId1281" Type="http://schemas.openxmlformats.org/officeDocument/2006/relationships/hyperlink" Target="https://www.emtekinc.co.kr/bbs/board.php?bo_table=product&amp;wr_id=1957" TargetMode="External"/><Relationship Id="rId451" Type="http://schemas.openxmlformats.org/officeDocument/2006/relationships/hyperlink" Target="https://www.asus.com/motherboards-components/graphics-cards/tuf-gaming/tuf-rx7800xt-o16g-gaming/" TargetMode="External"/><Relationship Id="rId1282" Type="http://schemas.openxmlformats.org/officeDocument/2006/relationships/hyperlink" Target="https://www.emtekinc.co.kr/" TargetMode="External"/><Relationship Id="rId450" Type="http://schemas.openxmlformats.org/officeDocument/2006/relationships/hyperlink" Target="https://www.asus.com/motherboards-components/graphics-cards/dual/dual-rx7800xt-o16g/" TargetMode="External"/><Relationship Id="rId1283" Type="http://schemas.openxmlformats.org/officeDocument/2006/relationships/hyperlink" Target="https://www.emtekinc.co.kr/bbs/board.php?bo_table=product&amp;wr_id=1953" TargetMode="External"/><Relationship Id="rId1284" Type="http://schemas.openxmlformats.org/officeDocument/2006/relationships/hyperlink" Target="https://www.evga.com/products/specs/gpu.aspx?pn=6E13755B-9E8D-4D70-8CF1-1BAB53FF1E2A" TargetMode="External"/><Relationship Id="rId1285" Type="http://schemas.openxmlformats.org/officeDocument/2006/relationships/hyperlink" Target="https://www.evga.com/products/specs/gpu.aspx?pn=10A3582D-8461-4B9F-825E-CCD4B0E7B151" TargetMode="External"/><Relationship Id="rId455" Type="http://schemas.openxmlformats.org/officeDocument/2006/relationships/hyperlink" Target="https://www.powercolor.com/product?id=1706165531" TargetMode="External"/><Relationship Id="rId1286" Type="http://schemas.openxmlformats.org/officeDocument/2006/relationships/hyperlink" Target="https://www.evga.com/products/specs/gpu.aspx?pn=643254C0-CDEB-42CF-B4B6-1A966CA0536F" TargetMode="External"/><Relationship Id="rId454" Type="http://schemas.openxmlformats.org/officeDocument/2006/relationships/hyperlink" Target="https://www.powercolor.com/product?id=1689752075" TargetMode="External"/><Relationship Id="rId1287" Type="http://schemas.openxmlformats.org/officeDocument/2006/relationships/hyperlink" Target="https://www.evga.com/products/specs/gpu.aspx?pn=13C9B580-74BF-4E91-8EEB-334E49D74304" TargetMode="External"/><Relationship Id="rId453" Type="http://schemas.openxmlformats.org/officeDocument/2006/relationships/hyperlink" Target="https://www.gigabyte.com/Graphics-Card/GV-R78XTGAMING-OC-16GD" TargetMode="External"/><Relationship Id="rId1288" Type="http://schemas.openxmlformats.org/officeDocument/2006/relationships/hyperlink" Target="https://www.evga.com/products/specs/gpu.aspx?pn=0CE21214-AA18-4BCE-8951-2A6676FA4AE1" TargetMode="External"/><Relationship Id="rId452" Type="http://schemas.openxmlformats.org/officeDocument/2006/relationships/hyperlink" Target="https://www.asus.com/motherboards-components/graphics-cards/tuf-gaming/tuf-rx7800xt-o16g-white-gaming/" TargetMode="External"/><Relationship Id="rId1289" Type="http://schemas.openxmlformats.org/officeDocument/2006/relationships/hyperlink" Target="https://www.evga.com/products/specs/gpu.aspx?pn=65256F96-BEEC-4607-8BBC-D52768AF7505" TargetMode="External"/><Relationship Id="rId3018" Type="http://schemas.openxmlformats.org/officeDocument/2006/relationships/hyperlink" Target="https://www.galax.com/en/" TargetMode="External"/><Relationship Id="rId3017" Type="http://schemas.openxmlformats.org/officeDocument/2006/relationships/hyperlink" Target="http://www.szgalaxy.com/__ZH_GB__/Product5/ProductDetail?proID=834" TargetMode="External"/><Relationship Id="rId3019" Type="http://schemas.openxmlformats.org/officeDocument/2006/relationships/hyperlink" Target="http://www.szgalaxy.com/__ZH_GB__/Product5/ProductDetail?proID=833" TargetMode="External"/><Relationship Id="rId491" Type="http://schemas.openxmlformats.org/officeDocument/2006/relationships/hyperlink" Target="https://www.msi.com/Graphics-Card/Radeon-RX-7900-XT-GAMING-TRIO-CLASSIC-20G" TargetMode="External"/><Relationship Id="rId490" Type="http://schemas.openxmlformats.org/officeDocument/2006/relationships/hyperlink" Target="https://www.gigabyte.com/Graphics-Card/GV-R79XTGAMING-OC-20GD" TargetMode="External"/><Relationship Id="rId489" Type="http://schemas.openxmlformats.org/officeDocument/2006/relationships/hyperlink" Target="https://www.gigabyte.com/Graphics-Card/GV-R79XTGAMING-20GD" TargetMode="External"/><Relationship Id="rId484" Type="http://schemas.openxmlformats.org/officeDocument/2006/relationships/hyperlink" Target="https://www.asus.com/motherboards-components/graphics-cards/asus/rx7900xt-20g/" TargetMode="External"/><Relationship Id="rId3010" Type="http://schemas.openxmlformats.org/officeDocument/2006/relationships/hyperlink" Target="https://www.evga.com/products/specs/gpu.aspx?pn=6AFAF1A5-32D8-44DD-825B-BFC3C060A91B" TargetMode="External"/><Relationship Id="rId483" Type="http://schemas.openxmlformats.org/officeDocument/2006/relationships/hyperlink" Target="https://www.asrock.com/Graphics-Card/AMD/Radeon%20RX%207900%20XT%20Taichi%2020GB%20OC/" TargetMode="External"/><Relationship Id="rId482" Type="http://schemas.openxmlformats.org/officeDocument/2006/relationships/hyperlink" Target="https://www.asrock.com/Graphics-Card/AMD/Radeon%20RX%207900%20XT%20Phantom%20Gaming%2020GB%20OC/" TargetMode="External"/><Relationship Id="rId3012" Type="http://schemas.openxmlformats.org/officeDocument/2006/relationships/hyperlink" Target="https://www.evga.com/products/specs/gpu.aspx?pn=06C13F03-49EE-4E68-B86C-12D22DD71BAE" TargetMode="External"/><Relationship Id="rId481" Type="http://schemas.openxmlformats.org/officeDocument/2006/relationships/hyperlink" Target="https://www.asrock.com/Graphics-Card/AMD/Radeon%20RX%207900%20XT%2020GB/" TargetMode="External"/><Relationship Id="rId3011" Type="http://schemas.openxmlformats.org/officeDocument/2006/relationships/hyperlink" Target="https://www.evga.com/products/specs/gpu.aspx?pn=8C56DB37-8817-4886-A232-2B7476EB92E1" TargetMode="External"/><Relationship Id="rId488" Type="http://schemas.openxmlformats.org/officeDocument/2006/relationships/hyperlink" Target="https://www.gigabyte.com/Graphics-Card/GV-R79XT-20GC-B" TargetMode="External"/><Relationship Id="rId3014" Type="http://schemas.openxmlformats.org/officeDocument/2006/relationships/hyperlink" Target="http://www.gainward.com/main/vgapro.php?id=1156&amp;lang=en" TargetMode="External"/><Relationship Id="rId487" Type="http://schemas.openxmlformats.org/officeDocument/2006/relationships/hyperlink" Target="https://www.asus.com/motherboards-components/graphics-cards/tuf-gaming/tuf-rx7900xt-o20g-gaming/" TargetMode="External"/><Relationship Id="rId3013" Type="http://schemas.openxmlformats.org/officeDocument/2006/relationships/hyperlink" Target="https://www.evga.com/products/specs/gpu.aspx?pn=30C9A2B8-0BB2-4986-B5E3-3A5624C55978" TargetMode="External"/><Relationship Id="rId486" Type="http://schemas.openxmlformats.org/officeDocument/2006/relationships/hyperlink" Target="https://www.asus.com/motherboards-components/graphics-cards/tuf-gaming/tuf-rx7900xt-20g-gaming/" TargetMode="External"/><Relationship Id="rId3016" Type="http://schemas.openxmlformats.org/officeDocument/2006/relationships/hyperlink" Target="https://www.galax.com/en/" TargetMode="External"/><Relationship Id="rId485" Type="http://schemas.openxmlformats.org/officeDocument/2006/relationships/hyperlink" Target="https://www.asus.com/motherboards-components/graphics-cards/dual/dual-rx7900xt-o20g/" TargetMode="External"/><Relationship Id="rId3015" Type="http://schemas.openxmlformats.org/officeDocument/2006/relationships/hyperlink" Target="http://www.gainward.com/main/vgapro.php?id=1155&amp;lang=en" TargetMode="External"/><Relationship Id="rId3007" Type="http://schemas.openxmlformats.org/officeDocument/2006/relationships/hyperlink" Target="https://en.colorful.cn/en/" TargetMode="External"/><Relationship Id="rId3006" Type="http://schemas.openxmlformats.org/officeDocument/2006/relationships/hyperlink" Target="https://en.colorful.cn/product_show.aspx?mid=102&amp;id=1914" TargetMode="External"/><Relationship Id="rId3009" Type="http://schemas.openxmlformats.org/officeDocument/2006/relationships/hyperlink" Target="https://www.evga.com/products/specs/gpu.aspx?pn=1B7DAB7B-0E80-4632-BA2E-86C158DC8276" TargetMode="External"/><Relationship Id="rId3008" Type="http://schemas.openxmlformats.org/officeDocument/2006/relationships/hyperlink" Target="https://en.colorful.cn/product_show.aspx?mid=102&amp;id=1915" TargetMode="External"/><Relationship Id="rId480" Type="http://schemas.openxmlformats.org/officeDocument/2006/relationships/hyperlink" Target="https://www.amd.com/en/products/graphics/amd-radeon-rx-7900xt" TargetMode="External"/><Relationship Id="rId479" Type="http://schemas.openxmlformats.org/officeDocument/2006/relationships/hyperlink" Target="https://www.xfxforce.com/shop/xfx-radeon-tm-rx-7900-gre" TargetMode="External"/><Relationship Id="rId478" Type="http://schemas.openxmlformats.org/officeDocument/2006/relationships/hyperlink" Target="https://www.sapphiretech.com/en/consumer/nitro-radeon-rx-7900-gre-16g-gddr6" TargetMode="External"/><Relationship Id="rId473" Type="http://schemas.openxmlformats.org/officeDocument/2006/relationships/hyperlink" Target="https://www.powercolor.com/product?id=1702628840" TargetMode="External"/><Relationship Id="rId472" Type="http://schemas.openxmlformats.org/officeDocument/2006/relationships/hyperlink" Target="https://www.gigabyte.com/Graphics-Card/GV-R79GREGAMING-OC-16GD" TargetMode="External"/><Relationship Id="rId471" Type="http://schemas.openxmlformats.org/officeDocument/2006/relationships/hyperlink" Target="https://www.asus.com/motherboards-components/graphics-cards/tuf-gaming/tuf-rx7900gre-o16g-gaming/" TargetMode="External"/><Relationship Id="rId3001" Type="http://schemas.openxmlformats.org/officeDocument/2006/relationships/hyperlink" Target="https://rog.asus.com/graphics-cards/graphics-cards/rog-strix/rog-strix-lc-rtx3090ti-24g-gaming-model/" TargetMode="External"/><Relationship Id="rId470" Type="http://schemas.openxmlformats.org/officeDocument/2006/relationships/hyperlink" Target="https://www.asus.com/motherboards-components/graphics-cards/dual/dual-rx7900gre-o16g/" TargetMode="External"/><Relationship Id="rId3000" Type="http://schemas.openxmlformats.org/officeDocument/2006/relationships/hyperlink" Target="https://www.asus.com/Motherboards-Components/Graphics-Cards/TUF-Gaming/TUF-RTX3090TI-O24G-GAMING/" TargetMode="External"/><Relationship Id="rId477" Type="http://schemas.openxmlformats.org/officeDocument/2006/relationships/hyperlink" Target="https://www.sapphiretech.com/en/consumer/pure-radeon-rx-7900-gre-16g-gddr6" TargetMode="External"/><Relationship Id="rId3003" Type="http://schemas.openxmlformats.org/officeDocument/2006/relationships/hyperlink" Target="https://en.colorful.cn/en/" TargetMode="External"/><Relationship Id="rId476" Type="http://schemas.openxmlformats.org/officeDocument/2006/relationships/hyperlink" Target="https://www.sapphiretech.com/en/consumer/pulse-radeon-rx-7900-gre-16g-gddr6" TargetMode="External"/><Relationship Id="rId3002" Type="http://schemas.openxmlformats.org/officeDocument/2006/relationships/hyperlink" Target="https://rog.asus.com/graphics-cards/graphics-cards/rog-strix/rog-strix-lc-rtx3090ti-o24g-gaming-model/" TargetMode="External"/><Relationship Id="rId475" Type="http://schemas.openxmlformats.org/officeDocument/2006/relationships/hyperlink" Target="https://www.powercolor.com/product?id=1706512452" TargetMode="External"/><Relationship Id="rId3005" Type="http://schemas.openxmlformats.org/officeDocument/2006/relationships/hyperlink" Target="https://en.colorful.cn/en/" TargetMode="External"/><Relationship Id="rId474" Type="http://schemas.openxmlformats.org/officeDocument/2006/relationships/hyperlink" Target="https://www.powercolor.com/product?id=1704700346" TargetMode="External"/><Relationship Id="rId3004" Type="http://schemas.openxmlformats.org/officeDocument/2006/relationships/hyperlink" Target="https://en.colorful.cn/product_show.aspx?mid=102&amp;id=1916" TargetMode="External"/><Relationship Id="rId1257" Type="http://schemas.openxmlformats.org/officeDocument/2006/relationships/hyperlink" Target="https://www.asus.com/motherboards-components/graphics-cards/all-series/DUAL-RTX2080-O8G" TargetMode="External"/><Relationship Id="rId2588" Type="http://schemas.openxmlformats.org/officeDocument/2006/relationships/hyperlink" Target="https://www.galax.com/en/" TargetMode="External"/><Relationship Id="rId1258" Type="http://schemas.openxmlformats.org/officeDocument/2006/relationships/hyperlink" Target="https://www.asus.com/motherboards-components/graphics-cards/all-series/DUAL-RTX2080-8G-EVO" TargetMode="External"/><Relationship Id="rId2589" Type="http://schemas.openxmlformats.org/officeDocument/2006/relationships/hyperlink" Target="http://www.szgalaxy.com/__ZH_GB__/Product5/ProductDetail?proID=638" TargetMode="External"/><Relationship Id="rId1259" Type="http://schemas.openxmlformats.org/officeDocument/2006/relationships/hyperlink" Target="https://www.asus.com/motherboards-components/graphics-cards/all-series/DUAL-RTX2080-A8G-EVO" TargetMode="External"/><Relationship Id="rId426" Type="http://schemas.openxmlformats.org/officeDocument/2006/relationships/hyperlink" Target="https://www.xfxforce.com/shop/xfx-speedster-swft-210-amd-radeon-tm-rx-7600-xt" TargetMode="External"/><Relationship Id="rId425" Type="http://schemas.openxmlformats.org/officeDocument/2006/relationships/hyperlink" Target="https://www.sapphiretech.com/en/consumer/pulse-radeon-rx-7600-xt-16g-gddr6" TargetMode="External"/><Relationship Id="rId424" Type="http://schemas.openxmlformats.org/officeDocument/2006/relationships/hyperlink" Target="https://www.powercolor.com/product?id=1702454948" TargetMode="External"/><Relationship Id="rId423" Type="http://schemas.openxmlformats.org/officeDocument/2006/relationships/hyperlink" Target="https://www.powercolor.com/product?id=1702455071" TargetMode="External"/><Relationship Id="rId429" Type="http://schemas.openxmlformats.org/officeDocument/2006/relationships/hyperlink" Target="https://www.asrock.com/Graphics-Card/AMD/Radeon%20RX%207700%20XT%20Challenger%2012GB%20OC/" TargetMode="External"/><Relationship Id="rId428" Type="http://schemas.openxmlformats.org/officeDocument/2006/relationships/hyperlink" Target="https://www.acer.com/us-en/" TargetMode="External"/><Relationship Id="rId427" Type="http://schemas.openxmlformats.org/officeDocument/2006/relationships/hyperlink" Target="https://www.xfxforce.com/shop/xfx-speedster-qick-309-amd-radeon-tm-rx-7600-xt" TargetMode="External"/><Relationship Id="rId2580" Type="http://schemas.openxmlformats.org/officeDocument/2006/relationships/hyperlink" Target="https://www.galax.com/en/" TargetMode="External"/><Relationship Id="rId1250" Type="http://schemas.openxmlformats.org/officeDocument/2006/relationships/hyperlink" Target="http://www.pcasl.com/pd.jsp?id=98" TargetMode="External"/><Relationship Id="rId2581" Type="http://schemas.openxmlformats.org/officeDocument/2006/relationships/hyperlink" Target="http://www.szgalaxy.com/__ZH_GB__/Product5/ProductDetail?proID=639" TargetMode="External"/><Relationship Id="rId1251" Type="http://schemas.openxmlformats.org/officeDocument/2006/relationships/hyperlink" Target="http://www.pcasl.com/index.jsp" TargetMode="External"/><Relationship Id="rId2582" Type="http://schemas.openxmlformats.org/officeDocument/2006/relationships/hyperlink" Target="https://www.galax.com/en/" TargetMode="External"/><Relationship Id="rId1252" Type="http://schemas.openxmlformats.org/officeDocument/2006/relationships/hyperlink" Target="http://www.pcasl.com/pd.jsp?id=97" TargetMode="External"/><Relationship Id="rId2583" Type="http://schemas.openxmlformats.org/officeDocument/2006/relationships/hyperlink" Target="http://www.szgalaxy.com/__ZH_GB__/Product5/ProductDetail?proID=722" TargetMode="External"/><Relationship Id="rId422" Type="http://schemas.openxmlformats.org/officeDocument/2006/relationships/hyperlink" Target="https://www.gigabyte.com/Graphics-Card/GV-R76XTGAMING-OC-16GD" TargetMode="External"/><Relationship Id="rId1253" Type="http://schemas.openxmlformats.org/officeDocument/2006/relationships/hyperlink" Target="https://www.asus.com/motherboards-components/graphics-cards/all-series/TURBO-RTX2080-8G" TargetMode="External"/><Relationship Id="rId2584" Type="http://schemas.openxmlformats.org/officeDocument/2006/relationships/hyperlink" Target="https://www.galax.com/en/" TargetMode="External"/><Relationship Id="rId421" Type="http://schemas.openxmlformats.org/officeDocument/2006/relationships/hyperlink" Target="https://www.asus.com/motherboards-components/graphics-cards/tuf-gaming/tuf-rx7600xt-o16g-gaming/" TargetMode="External"/><Relationship Id="rId1254" Type="http://schemas.openxmlformats.org/officeDocument/2006/relationships/hyperlink" Target="https://www.asus.com/motherboards-components/graphics-cards/all-series/TURBO-RTX2080-8G-EVO" TargetMode="External"/><Relationship Id="rId2585" Type="http://schemas.openxmlformats.org/officeDocument/2006/relationships/hyperlink" Target="http://www.szgalaxy.com/__ZH_GB__/Product5/ProductDetail?proID=629" TargetMode="External"/><Relationship Id="rId420" Type="http://schemas.openxmlformats.org/officeDocument/2006/relationships/hyperlink" Target="https://www.asus.com/motherboards-components/graphics-cards/dual/dual-rx7600xt-o16g/" TargetMode="External"/><Relationship Id="rId1255" Type="http://schemas.openxmlformats.org/officeDocument/2006/relationships/hyperlink" Target="https://www.asus.com/motherboards-components/graphics-cards/all-series/DUAL-RTX2080-8G" TargetMode="External"/><Relationship Id="rId2586" Type="http://schemas.openxmlformats.org/officeDocument/2006/relationships/hyperlink" Target="https://www.galax.com/en/" TargetMode="External"/><Relationship Id="rId1256" Type="http://schemas.openxmlformats.org/officeDocument/2006/relationships/hyperlink" Target="https://www.asus.com/motherboards-components/graphics-cards/all-series/DUAL-RTX2080-A8G" TargetMode="External"/><Relationship Id="rId2587" Type="http://schemas.openxmlformats.org/officeDocument/2006/relationships/hyperlink" Target="http://www.szgalaxy.com/__ZH_GB__/Product5/ProductDetail?proID=723" TargetMode="External"/><Relationship Id="rId1246" Type="http://schemas.openxmlformats.org/officeDocument/2006/relationships/hyperlink" Target="http://www.palit.com/palit/vgapro.php?id=3296&amp;lang=en" TargetMode="External"/><Relationship Id="rId2577" Type="http://schemas.openxmlformats.org/officeDocument/2006/relationships/hyperlink" Target="http://www.szgalaxy.com/__ZH_GB__/Product5/ProductDetail?proID=630" TargetMode="External"/><Relationship Id="rId1247" Type="http://schemas.openxmlformats.org/officeDocument/2006/relationships/hyperlink" Target="http://www.palit.com/palit/vgapro.php?id=3289&amp;lang=en" TargetMode="External"/><Relationship Id="rId2578" Type="http://schemas.openxmlformats.org/officeDocument/2006/relationships/hyperlink" Target="https://www.galax.com/en/" TargetMode="External"/><Relationship Id="rId1248" Type="http://schemas.openxmlformats.org/officeDocument/2006/relationships/hyperlink" Target="https://www.zotac.com/product/graphics_card/zotac-gaming-geforce-rtx-2070-super-amp-extreme" TargetMode="External"/><Relationship Id="rId2579" Type="http://schemas.openxmlformats.org/officeDocument/2006/relationships/hyperlink" Target="http://www.szgalaxy.com/__ZH_GB__/Product5/ProductDetail?proID=721" TargetMode="External"/><Relationship Id="rId1249" Type="http://schemas.openxmlformats.org/officeDocument/2006/relationships/hyperlink" Target="http://www.pcasl.com/index.jsp" TargetMode="External"/><Relationship Id="rId415" Type="http://schemas.openxmlformats.org/officeDocument/2006/relationships/hyperlink" Target="http://www.yeston.net/" TargetMode="External"/><Relationship Id="rId414" Type="http://schemas.openxmlformats.org/officeDocument/2006/relationships/hyperlink" Target="https://www.xfxforce.com/shop/xfx-speedster-qick-308-amd-radeon-tm-rx-7600-black-edition" TargetMode="External"/><Relationship Id="rId413" Type="http://schemas.openxmlformats.org/officeDocument/2006/relationships/hyperlink" Target="https://www.xfxforce.com/shop/xfx-speedster-swft-210-amd-radeon-tm-rx-7600-core-edition" TargetMode="External"/><Relationship Id="rId412" Type="http://schemas.openxmlformats.org/officeDocument/2006/relationships/hyperlink" Target="https://www.sapphiretech.com/en/consumer/pulse-radeon-rx-7600-8g-gddr6" TargetMode="External"/><Relationship Id="rId419" Type="http://schemas.openxmlformats.org/officeDocument/2006/relationships/hyperlink" Target="https://www.asrock.com/Graphics-Card/AMD/Radeon%20RX%207600%20XT%20Steel%20Legend%2016GB%20OC/" TargetMode="External"/><Relationship Id="rId418" Type="http://schemas.openxmlformats.org/officeDocument/2006/relationships/hyperlink" Target="https://www.asrock.com/Graphics-Card/AMD/Radeon%20RX%207600%20XT%20Challenger%2016GB%20OC/" TargetMode="External"/><Relationship Id="rId417" Type="http://schemas.openxmlformats.org/officeDocument/2006/relationships/hyperlink" Target="https://www.acer.com/us-en/" TargetMode="External"/><Relationship Id="rId416" Type="http://schemas.openxmlformats.org/officeDocument/2006/relationships/hyperlink" Target="http://www.yeston.net/products-detail/id-85.html" TargetMode="External"/><Relationship Id="rId2570" Type="http://schemas.openxmlformats.org/officeDocument/2006/relationships/hyperlink" Target="https://www.galax.com/en/" TargetMode="External"/><Relationship Id="rId1240" Type="http://schemas.openxmlformats.org/officeDocument/2006/relationships/hyperlink" Target="https://www.msi.com/Graphics-card/GeForce-RTX-2070-SUPER-GAMING-Z-TRIO" TargetMode="External"/><Relationship Id="rId2571" Type="http://schemas.openxmlformats.org/officeDocument/2006/relationships/hyperlink" Target="http://www.szgalaxy.com/__ZH_GB__/Product5/ProductDetail?proID=719" TargetMode="External"/><Relationship Id="rId1241" Type="http://schemas.openxmlformats.org/officeDocument/2006/relationships/hyperlink" Target="http://www.palit.com/palit/vgapro.php?id=3651&amp;lang=en" TargetMode="External"/><Relationship Id="rId2572" Type="http://schemas.openxmlformats.org/officeDocument/2006/relationships/hyperlink" Target="https://www.galax.com/en/" TargetMode="External"/><Relationship Id="rId411" Type="http://schemas.openxmlformats.org/officeDocument/2006/relationships/hyperlink" Target="https://www.powercolor.com/product?id=1682402371" TargetMode="External"/><Relationship Id="rId1242" Type="http://schemas.openxmlformats.org/officeDocument/2006/relationships/hyperlink" Target="http://www.palit.com/palit/vgapro.php?id=3486&amp;lang=en" TargetMode="External"/><Relationship Id="rId2573" Type="http://schemas.openxmlformats.org/officeDocument/2006/relationships/hyperlink" Target="http://www.szgalaxy.com/__ZH_GB__/Product5/ProductDetail?proID=625" TargetMode="External"/><Relationship Id="rId410" Type="http://schemas.openxmlformats.org/officeDocument/2006/relationships/hyperlink" Target="https://www.msi.com/Graphics-Card/Radeon-RX-7600-MECH-2X-CLASSIC-8G-OC" TargetMode="External"/><Relationship Id="rId1243" Type="http://schemas.openxmlformats.org/officeDocument/2006/relationships/hyperlink" Target="http://www.palit.com/palit/vgapro.php?id=3478&amp;lang=en" TargetMode="External"/><Relationship Id="rId2574" Type="http://schemas.openxmlformats.org/officeDocument/2006/relationships/hyperlink" Target="https://www.galax.com/en/" TargetMode="External"/><Relationship Id="rId1244" Type="http://schemas.openxmlformats.org/officeDocument/2006/relationships/hyperlink" Target="http://www.palit.com/palit/vgapro.php?id=3380&amp;lang=en" TargetMode="External"/><Relationship Id="rId2575" Type="http://schemas.openxmlformats.org/officeDocument/2006/relationships/hyperlink" Target="http://www.szgalaxy.com/__ZH_GB__/Product5/ProductDetail?proID=720" TargetMode="External"/><Relationship Id="rId1245" Type="http://schemas.openxmlformats.org/officeDocument/2006/relationships/hyperlink" Target="http://www.palit.com/palit/vgapro.php?id=3303&amp;lang=en" TargetMode="External"/><Relationship Id="rId2576" Type="http://schemas.openxmlformats.org/officeDocument/2006/relationships/hyperlink" Target="https://www.galax.com/en/" TargetMode="External"/><Relationship Id="rId1279" Type="http://schemas.openxmlformats.org/officeDocument/2006/relationships/hyperlink" Target="https://www.emtekinc.co.kr/bbs/board.php?bo_table=product&amp;wr_id=1978" TargetMode="External"/><Relationship Id="rId448" Type="http://schemas.openxmlformats.org/officeDocument/2006/relationships/hyperlink" Target="https://www.asrock.com/Graphics-Card/AMD/Radeon%20RX%207800%20XT%20Steel%20Legend%2016GB%20OC/" TargetMode="External"/><Relationship Id="rId447" Type="http://schemas.openxmlformats.org/officeDocument/2006/relationships/hyperlink" Target="https://www.asrock.com/Graphics-Card/AMD/Radeon%20RX%207800%20XT%20Challenger%2016GB%20OC/" TargetMode="External"/><Relationship Id="rId446" Type="http://schemas.openxmlformats.org/officeDocument/2006/relationships/hyperlink" Target="https://www.amd.com/en/products/graphics/amd-radeon-rx-7800-xt" TargetMode="External"/><Relationship Id="rId445" Type="http://schemas.openxmlformats.org/officeDocument/2006/relationships/hyperlink" Target="https://www.acer.com/us-en/" TargetMode="External"/><Relationship Id="rId449" Type="http://schemas.openxmlformats.org/officeDocument/2006/relationships/hyperlink" Target="https://pg.asrock.com/Graphics-Card/AMD/Radeon%20RX%207800%20XT%20Phantom%20Gaming%2016GB%20OC/index.asp" TargetMode="External"/><Relationship Id="rId1270" Type="http://schemas.openxmlformats.org/officeDocument/2006/relationships/hyperlink" Target="https://en.colorful.cn/en/" TargetMode="External"/><Relationship Id="rId440" Type="http://schemas.openxmlformats.org/officeDocument/2006/relationships/hyperlink" Target="https://www.sapphiretech.com/en/consumer/nitro-radeon-rx-7700-xt-12g-gddr6" TargetMode="External"/><Relationship Id="rId1271" Type="http://schemas.openxmlformats.org/officeDocument/2006/relationships/hyperlink" Target="https://en.colorful.cn/product_show.aspx?mid=102&amp;id=1718" TargetMode="External"/><Relationship Id="rId1272" Type="http://schemas.openxmlformats.org/officeDocument/2006/relationships/hyperlink" Target="https://en.colorful.cn/en/" TargetMode="External"/><Relationship Id="rId1273" Type="http://schemas.openxmlformats.org/officeDocument/2006/relationships/hyperlink" Target="https://en.colorful.cn/product_show.aspx?mid=102&amp;id=1719" TargetMode="External"/><Relationship Id="rId1274" Type="http://schemas.openxmlformats.org/officeDocument/2006/relationships/hyperlink" Target="https://en.colorful.cn/en/" TargetMode="External"/><Relationship Id="rId444" Type="http://schemas.openxmlformats.org/officeDocument/2006/relationships/hyperlink" Target="https://www.acer.com/us-en/" TargetMode="External"/><Relationship Id="rId1275" Type="http://schemas.openxmlformats.org/officeDocument/2006/relationships/hyperlink" Target="https://en.colorful.cn/product_show.aspx?mid=102&amp;id=1720" TargetMode="External"/><Relationship Id="rId443" Type="http://schemas.openxmlformats.org/officeDocument/2006/relationships/hyperlink" Target="http://www.yeston.net/products-detail/id-50.html" TargetMode="External"/><Relationship Id="rId1276" Type="http://schemas.openxmlformats.org/officeDocument/2006/relationships/hyperlink" Target="https://www.emtekinc.co.kr/" TargetMode="External"/><Relationship Id="rId442" Type="http://schemas.openxmlformats.org/officeDocument/2006/relationships/hyperlink" Target="http://www.yeston.net/" TargetMode="External"/><Relationship Id="rId1277" Type="http://schemas.openxmlformats.org/officeDocument/2006/relationships/hyperlink" Target="https://www.emtekinc.co.kr/bbs/board.php?bo_table=product&amp;wr_id=1949" TargetMode="External"/><Relationship Id="rId441" Type="http://schemas.openxmlformats.org/officeDocument/2006/relationships/hyperlink" Target="https://www.xfxforce.com/shop/xfx-speedster-qick-319-radeon-tm-rx-7700-xt-black-edition" TargetMode="External"/><Relationship Id="rId1278" Type="http://schemas.openxmlformats.org/officeDocument/2006/relationships/hyperlink" Target="https://www.emtekinc.co.kr/" TargetMode="External"/><Relationship Id="rId1268" Type="http://schemas.openxmlformats.org/officeDocument/2006/relationships/hyperlink" Target="https://en.colorful.cn/en/" TargetMode="External"/><Relationship Id="rId2599" Type="http://schemas.openxmlformats.org/officeDocument/2006/relationships/hyperlink" Target="https://www.galax.com/en/graphics-card/30-series/geforce-rtx-3080-exg-b-lhr.html" TargetMode="External"/><Relationship Id="rId1269" Type="http://schemas.openxmlformats.org/officeDocument/2006/relationships/hyperlink" Target="https://en.colorful.cn/product_show.aspx?mid=102&amp;id=1716" TargetMode="External"/><Relationship Id="rId437" Type="http://schemas.openxmlformats.org/officeDocument/2006/relationships/hyperlink" Target="https://www.powercolor.com/product?id=1689646991" TargetMode="External"/><Relationship Id="rId436" Type="http://schemas.openxmlformats.org/officeDocument/2006/relationships/hyperlink" Target="https://www.powercolor.com/product?id=1689752124" TargetMode="External"/><Relationship Id="rId435" Type="http://schemas.openxmlformats.org/officeDocument/2006/relationships/hyperlink" Target="https://www.powercolor.com/product?id=1689752160" TargetMode="External"/><Relationship Id="rId434" Type="http://schemas.openxmlformats.org/officeDocument/2006/relationships/hyperlink" Target="https://www.gigabyte.com/Graphics-Card/GV-R77XTGAMING-OC-12GD" TargetMode="External"/><Relationship Id="rId439" Type="http://schemas.openxmlformats.org/officeDocument/2006/relationships/hyperlink" Target="https://www.sapphiretech.com/en/consumer/pure-radeon-rx-7700-xt-12g-gddr6" TargetMode="External"/><Relationship Id="rId438" Type="http://schemas.openxmlformats.org/officeDocument/2006/relationships/hyperlink" Target="https://www.sapphiretech.com/en/consumer/pulse-radeon-rx-7700-xt-12g-gddr6" TargetMode="External"/><Relationship Id="rId2590" Type="http://schemas.openxmlformats.org/officeDocument/2006/relationships/hyperlink" Target="https://www.galax.com/en/" TargetMode="External"/><Relationship Id="rId1260" Type="http://schemas.openxmlformats.org/officeDocument/2006/relationships/hyperlink" Target="https://www.asus.com/motherboards-components/graphics-cards/all-series/DUAL-RTX2080-O8G-EVO" TargetMode="External"/><Relationship Id="rId2591" Type="http://schemas.openxmlformats.org/officeDocument/2006/relationships/hyperlink" Target="http://www.szgalaxy.com/__ZH_GB__/Product5/ProductDetail?proID=726" TargetMode="External"/><Relationship Id="rId1261" Type="http://schemas.openxmlformats.org/officeDocument/2006/relationships/hyperlink" Target="https://rog.asus.com/Graphics-Cards/Graphics-Cards/ROG-Strix/ROG-STRIX-RTX2080-8G-GAMING-Model/" TargetMode="External"/><Relationship Id="rId2592" Type="http://schemas.openxmlformats.org/officeDocument/2006/relationships/hyperlink" Target="https://www.galax.com/en/" TargetMode="External"/><Relationship Id="rId1262" Type="http://schemas.openxmlformats.org/officeDocument/2006/relationships/hyperlink" Target="https://rog.asus.com/Graphics-Cards/Graphics-Cards/ROG-Strix/ROG-STRIX-RTX2080-A8G-GAMING-Model/" TargetMode="External"/><Relationship Id="rId2593" Type="http://schemas.openxmlformats.org/officeDocument/2006/relationships/hyperlink" Target="https://www.galax.com/en/graphics-card/30-series/geforce-rtx-3080-sg.html" TargetMode="External"/><Relationship Id="rId1263" Type="http://schemas.openxmlformats.org/officeDocument/2006/relationships/hyperlink" Target="https://rog.asus.com/Graphics-Cards/Graphics-Cards/ROG-Strix/ROG-STRIX-RTX2080-O8G-GAMING-Model/" TargetMode="External"/><Relationship Id="rId2594" Type="http://schemas.openxmlformats.org/officeDocument/2006/relationships/hyperlink" Target="https://www.galax.com/en/" TargetMode="External"/><Relationship Id="rId433" Type="http://schemas.openxmlformats.org/officeDocument/2006/relationships/hyperlink" Target="https://www.asus.com/motherboards-components/graphics-cards/tuf-gaming/tuf-rx7700xt-o12g-gaming/" TargetMode="External"/><Relationship Id="rId1264" Type="http://schemas.openxmlformats.org/officeDocument/2006/relationships/hyperlink" Target="https://en.colorful.cn/en/" TargetMode="External"/><Relationship Id="rId2595" Type="http://schemas.openxmlformats.org/officeDocument/2006/relationships/hyperlink" Target="https://www.galax.com/en/graphics-card/30-series/geforce-rtx-3080-sg-lhr.html" TargetMode="External"/><Relationship Id="rId432" Type="http://schemas.openxmlformats.org/officeDocument/2006/relationships/hyperlink" Target="https://www.asus.com/motherboards-components/graphics-cards/dual/dual-rx7700xt-o12g/" TargetMode="External"/><Relationship Id="rId1265" Type="http://schemas.openxmlformats.org/officeDocument/2006/relationships/hyperlink" Target="https://en.colorful.cn/product_show.aspx?mid=102&amp;id=1721" TargetMode="External"/><Relationship Id="rId2596" Type="http://schemas.openxmlformats.org/officeDocument/2006/relationships/hyperlink" Target="https://www.galax.com/en/" TargetMode="External"/><Relationship Id="rId431" Type="http://schemas.openxmlformats.org/officeDocument/2006/relationships/hyperlink" Target="https://pg.asrock.com/Graphics-Card/AMD/Radeon%20RX%207700%20XT%20Phantom%20Gaming%2012GB%20OC/index.asp" TargetMode="External"/><Relationship Id="rId1266" Type="http://schemas.openxmlformats.org/officeDocument/2006/relationships/hyperlink" Target="https://en.colorful.cn/en/" TargetMode="External"/><Relationship Id="rId2597" Type="http://schemas.openxmlformats.org/officeDocument/2006/relationships/hyperlink" Target="https://www.galax.com/en/graphics-card/30-series/geforce-rtx-3080-exg-b.html" TargetMode="External"/><Relationship Id="rId430" Type="http://schemas.openxmlformats.org/officeDocument/2006/relationships/hyperlink" Target="https://www.asrock.com/Graphics-Card/AMD/Radeon%20RX%207700%20XT%20Steel%20Legend%2012GB%20OC/" TargetMode="External"/><Relationship Id="rId1267" Type="http://schemas.openxmlformats.org/officeDocument/2006/relationships/hyperlink" Target="https://en.colorful.cn/product_show.aspx?mid=102&amp;id=1717" TargetMode="External"/><Relationship Id="rId2598" Type="http://schemas.openxmlformats.org/officeDocument/2006/relationships/hyperlink" Target="https://www.galax.com/en/" TargetMode="External"/><Relationship Id="rId3070" Type="http://schemas.openxmlformats.org/officeDocument/2006/relationships/hyperlink" Target="http://www.szgainward.cn/Home/ProductDetail?id=352&amp;isStop=0" TargetMode="External"/><Relationship Id="rId3072" Type="http://schemas.openxmlformats.org/officeDocument/2006/relationships/hyperlink" Target="http://www.szgainward.cn/Home/ProductDetail?id=350&amp;isStop=0" TargetMode="External"/><Relationship Id="rId3071" Type="http://schemas.openxmlformats.org/officeDocument/2006/relationships/hyperlink" Target="http://www.szgainward.cn/Home/ProductDetail?id=351&amp;isStop=0" TargetMode="External"/><Relationship Id="rId3074" Type="http://schemas.openxmlformats.org/officeDocument/2006/relationships/hyperlink" Target="http://www.gainward.com/main/vgapro.php?id=1196&amp;lang=en" TargetMode="External"/><Relationship Id="rId3073" Type="http://schemas.openxmlformats.org/officeDocument/2006/relationships/hyperlink" Target="http://www.gainward.com/main/vgapro.php?id=1191&amp;lang=en" TargetMode="External"/><Relationship Id="rId3076" Type="http://schemas.openxmlformats.org/officeDocument/2006/relationships/hyperlink" Target="http://www.gainward.com/main/vgapro.php?id=1195&amp;lang=en" TargetMode="External"/><Relationship Id="rId3075" Type="http://schemas.openxmlformats.org/officeDocument/2006/relationships/hyperlink" Target="http://www.gainward.com/main/vgapro.php?id=1190&amp;lang=en" TargetMode="External"/><Relationship Id="rId3078" Type="http://schemas.openxmlformats.org/officeDocument/2006/relationships/hyperlink" Target="http://www.szgalaxy.com/__ZH_GB__/Product5/ProductDetail?proID=1012" TargetMode="External"/><Relationship Id="rId3077" Type="http://schemas.openxmlformats.org/officeDocument/2006/relationships/hyperlink" Target="https://www.galax.com/en/" TargetMode="External"/><Relationship Id="rId3079" Type="http://schemas.openxmlformats.org/officeDocument/2006/relationships/hyperlink" Target="https://www.galax.com/en/" TargetMode="External"/><Relationship Id="rId3061" Type="http://schemas.openxmlformats.org/officeDocument/2006/relationships/hyperlink" Target="https://en.colorful.cn/en/home/product?mid=102&amp;id=faaa2e26-2439-4d14-8446-bfa3c8333c1f" TargetMode="External"/><Relationship Id="rId3060" Type="http://schemas.openxmlformats.org/officeDocument/2006/relationships/hyperlink" Target="https://en.colorful.cn/en/" TargetMode="External"/><Relationship Id="rId3063" Type="http://schemas.openxmlformats.org/officeDocument/2006/relationships/hyperlink" Target="https://en.colorful.cn/en/home/product?mid=102&amp;id=cb6ffa95-b62a-41bb-9b12-044f992c1787" TargetMode="External"/><Relationship Id="rId3062" Type="http://schemas.openxmlformats.org/officeDocument/2006/relationships/hyperlink" Target="https://en.colorful.cn/en/" TargetMode="External"/><Relationship Id="rId3065" Type="http://schemas.openxmlformats.org/officeDocument/2006/relationships/hyperlink" Target="https://en.colorful.cn/en/home/product?mid=102&amp;id=beb4ef67-34eb-4b32-aac9-cd6178ce03cd" TargetMode="External"/><Relationship Id="rId3064" Type="http://schemas.openxmlformats.org/officeDocument/2006/relationships/hyperlink" Target="https://en.colorful.cn/en/" TargetMode="External"/><Relationship Id="rId3067" Type="http://schemas.openxmlformats.org/officeDocument/2006/relationships/hyperlink" Target="https://en.colorful.cn/en/home/product?mid=102&amp;id=685b82ec-8e17-4e84-a3df-3d56a625b2b0" TargetMode="External"/><Relationship Id="rId3066" Type="http://schemas.openxmlformats.org/officeDocument/2006/relationships/hyperlink" Target="https://en.colorful.cn/en/" TargetMode="External"/><Relationship Id="rId3069" Type="http://schemas.openxmlformats.org/officeDocument/2006/relationships/hyperlink" Target="https://en.colorful.cn/en/home/product?mid=102&amp;id=75bd3f02-c6c8-4957-a61e-e064222b24ef" TargetMode="External"/><Relationship Id="rId3068" Type="http://schemas.openxmlformats.org/officeDocument/2006/relationships/hyperlink" Target="https://en.colorful.cn/en/" TargetMode="External"/><Relationship Id="rId3090" Type="http://schemas.openxmlformats.org/officeDocument/2006/relationships/hyperlink" Target="https://www.galax.com/en/graphics-card/40-series/4060-series/geforce-rtx-4060-ex-p.html" TargetMode="External"/><Relationship Id="rId3092" Type="http://schemas.openxmlformats.org/officeDocument/2006/relationships/hyperlink" Target="https://www.galax.com/en/graphics-card/40-series/4060-series/geforce-rtx-4060-ex-w.html" TargetMode="External"/><Relationship Id="rId3091" Type="http://schemas.openxmlformats.org/officeDocument/2006/relationships/hyperlink" Target="https://www.galax.com/en/" TargetMode="External"/><Relationship Id="rId3094" Type="http://schemas.openxmlformats.org/officeDocument/2006/relationships/hyperlink" Target="https://www.gigabyte.com/Graphics-Card/GV-N4060EAGLEOC-ICE-8GD" TargetMode="External"/><Relationship Id="rId3093" Type="http://schemas.openxmlformats.org/officeDocument/2006/relationships/hyperlink" Target="https://www.gigabyte.com/Graphics-Card/GV-N4060EAGLE-OC-8GD" TargetMode="External"/><Relationship Id="rId3096" Type="http://schemas.openxmlformats.org/officeDocument/2006/relationships/hyperlink" Target="https://www.gigabyte.com/Graphics-Card/GV-N4060GAMING-8GD" TargetMode="External"/><Relationship Id="rId3095" Type="http://schemas.openxmlformats.org/officeDocument/2006/relationships/hyperlink" Target="https://www.gigabyte.com/Graphics-Card/GV-N4060AERO-OC-8GD" TargetMode="External"/><Relationship Id="rId3098" Type="http://schemas.openxmlformats.org/officeDocument/2006/relationships/hyperlink" Target="https://www.gigabyte.com/Graphics-Card/GV-N4060AORUS-E-8GD" TargetMode="External"/><Relationship Id="rId3097" Type="http://schemas.openxmlformats.org/officeDocument/2006/relationships/hyperlink" Target="https://www.gigabyte.com/Graphics-Card/GV-N4060GAMING-OC-8GD" TargetMode="External"/><Relationship Id="rId3099" Type="http://schemas.openxmlformats.org/officeDocument/2006/relationships/hyperlink" Target="https://www.inno3d.com/en/PRODUCT_INNO3D_GEFORCE_RTX_4060_TWINX2" TargetMode="External"/><Relationship Id="rId3081" Type="http://schemas.openxmlformats.org/officeDocument/2006/relationships/hyperlink" Target="https://www.galax.com/en/" TargetMode="External"/><Relationship Id="rId3080" Type="http://schemas.openxmlformats.org/officeDocument/2006/relationships/hyperlink" Target="http://www.szgalaxy.com/__ZH_GB__/Product5/ProductDetail?proID=1013" TargetMode="External"/><Relationship Id="rId3083" Type="http://schemas.openxmlformats.org/officeDocument/2006/relationships/hyperlink" Target="https://www.galax.com/en/" TargetMode="External"/><Relationship Id="rId3082" Type="http://schemas.openxmlformats.org/officeDocument/2006/relationships/hyperlink" Target="http://www.szgalaxy.com/__ZH_GB__/Product5/ProductDetail?proID=1010" TargetMode="External"/><Relationship Id="rId3085" Type="http://schemas.openxmlformats.org/officeDocument/2006/relationships/hyperlink" Target="https://www.galax.com/en/" TargetMode="External"/><Relationship Id="rId3084" Type="http://schemas.openxmlformats.org/officeDocument/2006/relationships/hyperlink" Target="http://www.szgalaxy.com/__ZH_GB__/Product5/ProductDetail?proID=1011" TargetMode="External"/><Relationship Id="rId3087" Type="http://schemas.openxmlformats.org/officeDocument/2006/relationships/hyperlink" Target="https://www.galax.com/en/" TargetMode="External"/><Relationship Id="rId3086" Type="http://schemas.openxmlformats.org/officeDocument/2006/relationships/hyperlink" Target="https://www.galax.com/en/graphics-card/40-series/4060-series/geforce-rtx-4060-oc-2x.html" TargetMode="External"/><Relationship Id="rId3089" Type="http://schemas.openxmlformats.org/officeDocument/2006/relationships/hyperlink" Target="https://www.galax.com/en/" TargetMode="External"/><Relationship Id="rId3088" Type="http://schemas.openxmlformats.org/officeDocument/2006/relationships/hyperlink" Target="https://www.galax.com/en/graphics-card/40-series/4060-series/geforce-rtx-4060-ex.html" TargetMode="External"/><Relationship Id="rId3039" Type="http://schemas.openxmlformats.org/officeDocument/2006/relationships/hyperlink" Target="https://www.msi.com/Graphics-Card/GeForce-RTX-3090-Ti-SUPRIM-24G" TargetMode="External"/><Relationship Id="rId1" Type="http://schemas.openxmlformats.org/officeDocument/2006/relationships/comments" Target="../comments11.xml"/><Relationship Id="rId2" Type="http://schemas.openxmlformats.org/officeDocument/2006/relationships/hyperlink" Target="https://www.asus.com/us/Graphics-Cards/RADEONVII-16G/" TargetMode="External"/><Relationship Id="rId3" Type="http://schemas.openxmlformats.org/officeDocument/2006/relationships/hyperlink" Target="http://www.dataland.com.cn/" TargetMode="External"/><Relationship Id="rId4" Type="http://schemas.openxmlformats.org/officeDocument/2006/relationships/hyperlink" Target="http://www.dataland.com.cn/prod_view.aspx?nid=3&amp;typeid=118&amp;id=931" TargetMode="External"/><Relationship Id="rId3030" Type="http://schemas.openxmlformats.org/officeDocument/2006/relationships/hyperlink" Target="https://www.gigabyte.com/Graphics-Card/GV-N309TAORUSX-W-24GD" TargetMode="External"/><Relationship Id="rId9" Type="http://schemas.openxmlformats.org/officeDocument/2006/relationships/hyperlink" Target="https://www.msi.com/Graphics-card/Radeon-RX-5500-XT-GAMING-4G" TargetMode="External"/><Relationship Id="rId3032" Type="http://schemas.openxmlformats.org/officeDocument/2006/relationships/hyperlink" Target="https://www.inno3d.com/en/PRODUCT_INNO3D_GEFORCE_RTX_3090TI_24GB_X3_OC" TargetMode="External"/><Relationship Id="rId3031" Type="http://schemas.openxmlformats.org/officeDocument/2006/relationships/hyperlink" Target="https://www.inno3d.com/en/PRODUCT_INNO3D_GEFORCE_RTX_3090TI_24GB_X3" TargetMode="External"/><Relationship Id="rId3034" Type="http://schemas.openxmlformats.org/officeDocument/2006/relationships/hyperlink" Target="https://www.manli.com/en/product-detail-Manli_GeForce_RTX%E2%84%A2_3090_Ti_Gallardo_(M3520+N667)-306.html" TargetMode="External"/><Relationship Id="rId3033" Type="http://schemas.openxmlformats.org/officeDocument/2006/relationships/hyperlink" Target="https://www.inno3d.com/en/PRODUCT_INNO3D_GEFORCE_RTX_3090TI_24GB_ICHILL_FROSTBITE" TargetMode="External"/><Relationship Id="rId5" Type="http://schemas.openxmlformats.org/officeDocument/2006/relationships/hyperlink" Target="https://www.msi.com/Graphics-card/Radeon-VII-16G" TargetMode="External"/><Relationship Id="rId3036" Type="http://schemas.openxmlformats.org/officeDocument/2006/relationships/hyperlink" Target="https://www.msi.com/Graphics-Card/GeForce-RTX-3090-Ti-GAMING-TRIO-24G" TargetMode="External"/><Relationship Id="rId6" Type="http://schemas.openxmlformats.org/officeDocument/2006/relationships/hyperlink" Target="https://www.asus.com/motherboards-components/graphics-cards/all-series/DUAL-RX5500XT-O4G-EVO" TargetMode="External"/><Relationship Id="rId3035" Type="http://schemas.openxmlformats.org/officeDocument/2006/relationships/hyperlink" Target="https://www.msi.com/Graphics-Card/GeForce-RTX-3090-Ti-BLACK-TRIO-24G" TargetMode="External"/><Relationship Id="rId7" Type="http://schemas.openxmlformats.org/officeDocument/2006/relationships/hyperlink" Target="https://www.gigabyte.com/Graphics-Card/GV-R55XTD6-4GD/" TargetMode="External"/><Relationship Id="rId3038" Type="http://schemas.openxmlformats.org/officeDocument/2006/relationships/hyperlink" Target="https://www.msi.com/Graphics-Card/GeForce-RTX-3090-Ti-SUPRIM-SE-24G" TargetMode="External"/><Relationship Id="rId8" Type="http://schemas.openxmlformats.org/officeDocument/2006/relationships/hyperlink" Target="https://www.gigabyte.com/Graphics-Card/GV-R55XTGAMING-OC-4GD" TargetMode="External"/><Relationship Id="rId3037" Type="http://schemas.openxmlformats.org/officeDocument/2006/relationships/hyperlink" Target="https://www.msi.com/Graphics-Card/GeForce-RTX-3090-Ti-GAMING-X-TRIO-24G" TargetMode="External"/><Relationship Id="rId3029" Type="http://schemas.openxmlformats.org/officeDocument/2006/relationships/hyperlink" Target="https://www.gigabyte.com/Graphics-Card/GV-N309TGAMING-OC-24GD" TargetMode="External"/><Relationship Id="rId3028" Type="http://schemas.openxmlformats.org/officeDocument/2006/relationships/hyperlink" Target="https://www.gigabyte.com/Graphics-Card/GV-N309TGAMING-24GD" TargetMode="External"/><Relationship Id="rId3021" Type="http://schemas.openxmlformats.org/officeDocument/2006/relationships/hyperlink" Target="http://www.szgalaxy.com/__ZH_GB__/Product5/ProductDetail?proID=832" TargetMode="External"/><Relationship Id="rId3020" Type="http://schemas.openxmlformats.org/officeDocument/2006/relationships/hyperlink" Target="https://www.galax.com/en/" TargetMode="External"/><Relationship Id="rId3023" Type="http://schemas.openxmlformats.org/officeDocument/2006/relationships/hyperlink" Target="http://www.szgalaxy.com/__ZH_GB__/Product5/ProductDetail?proID=831" TargetMode="External"/><Relationship Id="rId3022" Type="http://schemas.openxmlformats.org/officeDocument/2006/relationships/hyperlink" Target="https://www.galax.com/en/" TargetMode="External"/><Relationship Id="rId3025" Type="http://schemas.openxmlformats.org/officeDocument/2006/relationships/hyperlink" Target="https://www.galax.com/en/graphics-card/30-series/3090ti-series/geforce-rtx-3090ti-exg-st.html" TargetMode="External"/><Relationship Id="rId3024" Type="http://schemas.openxmlformats.org/officeDocument/2006/relationships/hyperlink" Target="https://www.galax.com/en/" TargetMode="External"/><Relationship Id="rId3027" Type="http://schemas.openxmlformats.org/officeDocument/2006/relationships/hyperlink" Target="https://www.galax.com/en/graphics-card/30-series/3090ti-series/geforce-rtx-3090ti-exg-b.html" TargetMode="External"/><Relationship Id="rId3026" Type="http://schemas.openxmlformats.org/officeDocument/2006/relationships/hyperlink" Target="https://www.galax.com/en/" TargetMode="External"/><Relationship Id="rId3050" Type="http://schemas.openxmlformats.org/officeDocument/2006/relationships/hyperlink" Target="https://www.asus.com/motherboards-components/graphics-cards/dual/dual-rtx4060-8g/" TargetMode="External"/><Relationship Id="rId3052" Type="http://schemas.openxmlformats.org/officeDocument/2006/relationships/hyperlink" Target="https://www.asus.com/motherboards-components/graphics-cards/dual/dual-rtx4060-8g-white/" TargetMode="External"/><Relationship Id="rId3051" Type="http://schemas.openxmlformats.org/officeDocument/2006/relationships/hyperlink" Target="https://www.asus.com/motherboards-components/graphics-cards/dual/dual-rtx4060-o8g/" TargetMode="External"/><Relationship Id="rId3054" Type="http://schemas.openxmlformats.org/officeDocument/2006/relationships/hyperlink" Target="https://www.asus.com/motherboards-components/graphics-cards/proart/proart-rtx4060-8g/" TargetMode="External"/><Relationship Id="rId3053" Type="http://schemas.openxmlformats.org/officeDocument/2006/relationships/hyperlink" Target="https://www.asus.com/motherboards-components/graphics-cards/dual/dual-rtx4060-o8g-white/" TargetMode="External"/><Relationship Id="rId3056" Type="http://schemas.openxmlformats.org/officeDocument/2006/relationships/hyperlink" Target="https://rog.asus.com/graphics-cards/graphics-cards/rog-strix/rog-strix-rtx4060-8g-gaming/" TargetMode="External"/><Relationship Id="rId3055" Type="http://schemas.openxmlformats.org/officeDocument/2006/relationships/hyperlink" Target="https://www.asus.com/motherboards-components/graphics-cards/proart/proart-rtx4060-o8g/" TargetMode="External"/><Relationship Id="rId3058" Type="http://schemas.openxmlformats.org/officeDocument/2006/relationships/hyperlink" Target="https://en.colorful.cn/en/" TargetMode="External"/><Relationship Id="rId3057" Type="http://schemas.openxmlformats.org/officeDocument/2006/relationships/hyperlink" Target="https://rog.asus.com/graphics-cards/graphics-cards/rog-strix/rog-strix-rtx4060-o8g-gaming/" TargetMode="External"/><Relationship Id="rId3059" Type="http://schemas.openxmlformats.org/officeDocument/2006/relationships/hyperlink" Target="https://en.colorful.cn/en/home/product?mid=102&amp;id=254f10d1-0540-45f6-a6ac-f4e6cf36cb55" TargetMode="External"/><Relationship Id="rId3041" Type="http://schemas.openxmlformats.org/officeDocument/2006/relationships/hyperlink" Target="https://www.nvidia.com/en-us/geforce/graphics-cards/30-series/rtx-3090-3090ti/" TargetMode="External"/><Relationship Id="rId3040" Type="http://schemas.openxmlformats.org/officeDocument/2006/relationships/hyperlink" Target="https://www.msi.com/Graphics-Card/GeForce-RTX-3090-Ti-SUPRIM-X-24G" TargetMode="External"/><Relationship Id="rId3043" Type="http://schemas.openxmlformats.org/officeDocument/2006/relationships/hyperlink" Target="http://www.palit.com/palit/vgapro.php?id=4538&amp;lang=en" TargetMode="External"/><Relationship Id="rId3042" Type="http://schemas.openxmlformats.org/officeDocument/2006/relationships/hyperlink" Target="http://www.palit.com/palit/vgapro.php?id=4548&amp;lang=en" TargetMode="External"/><Relationship Id="rId3045" Type="http://schemas.openxmlformats.org/officeDocument/2006/relationships/hyperlink" Target="https://www.pny.com/pny-geforce-rtx-3090-ti-24gb-xlr8-gaming-uprising-epic-x-rgb-overclocked-triple-fan" TargetMode="External"/><Relationship Id="rId3044" Type="http://schemas.openxmlformats.org/officeDocument/2006/relationships/hyperlink" Target="https://www.pny.com/geforce-rtx-3090ti-xlr8-gaming-uprising-epic-x-rgb-triple-fan" TargetMode="External"/><Relationship Id="rId3047" Type="http://schemas.openxmlformats.org/officeDocument/2006/relationships/hyperlink" Target="https://www.zotac.com/cn/product/graphics_card/%E7%B4%A2%E6%B3%B0-geforce%C2%AE-rtx-3090ti-24g6x-pgf-oc" TargetMode="External"/><Relationship Id="rId3046" Type="http://schemas.openxmlformats.org/officeDocument/2006/relationships/hyperlink" Target="https://www.zotac.com/" TargetMode="External"/><Relationship Id="rId3049" Type="http://schemas.openxmlformats.org/officeDocument/2006/relationships/hyperlink" Target="https://www.zotac.com/product/graphics_card/zotac-gaming-geforce-rtx-3090-ti-amp-extreme-holo" TargetMode="External"/><Relationship Id="rId3048" Type="http://schemas.openxmlformats.org/officeDocument/2006/relationships/hyperlink" Target="https://www.zotac.com/" TargetMode="External"/><Relationship Id="rId3911" Type="http://schemas.openxmlformats.org/officeDocument/2006/relationships/hyperlink" Target="https://manli.com/en/product-detail-Manli_GeForce_RTX%E2%84%A2_4080_Super(M3520+N701)-361.html" TargetMode="External"/><Relationship Id="rId3910" Type="http://schemas.openxmlformats.org/officeDocument/2006/relationships/hyperlink" Target="https://www.leadtek.com/eng/products/graphics_cards(1)/WinFast_RTX_4080_SUPER_HURRICANE_16G(51002)/detail" TargetMode="External"/><Relationship Id="rId3913" Type="http://schemas.openxmlformats.org/officeDocument/2006/relationships/hyperlink" Target="https://www.msi.com/Graphics-Card/GeForce-RTX-4080-SUPER-16G-VENTUS-3X" TargetMode="External"/><Relationship Id="rId3912" Type="http://schemas.openxmlformats.org/officeDocument/2006/relationships/hyperlink" Target="https://manli.com/en/product-detail-Manli_GeForce_RTX%E2%84%A2_4080_Super_Gallardo(M3535+N688)-360.html" TargetMode="External"/><Relationship Id="rId3915" Type="http://schemas.openxmlformats.org/officeDocument/2006/relationships/hyperlink" Target="https://www.msi.com/Graphics-Card/GeForce-RTX-4080-SUPER-16G-EXPERT" TargetMode="External"/><Relationship Id="rId3914" Type="http://schemas.openxmlformats.org/officeDocument/2006/relationships/hyperlink" Target="https://www.msi.com/Graphics-Card/GeForce-RTX-4080-SUPER-16G-VENTUS-3X-OC" TargetMode="External"/><Relationship Id="rId3917" Type="http://schemas.openxmlformats.org/officeDocument/2006/relationships/hyperlink" Target="https://www.msi.com/Graphics-Card/GeForce-RTX-4080-SUPER-16G-GAMING-X-SLIM" TargetMode="External"/><Relationship Id="rId3916" Type="http://schemas.openxmlformats.org/officeDocument/2006/relationships/hyperlink" Target="https://www.msi.com/Graphics-Card/GeForce-RTX-4080-SUPER-16G-GAMING-SLIM" TargetMode="External"/><Relationship Id="rId3919" Type="http://schemas.openxmlformats.org/officeDocument/2006/relationships/hyperlink" Target="https://www.msi.com/Graphics-Card/GeForce-RTX-4080-SUPER-16G-GAMING-X-SLIM-WHITE" TargetMode="External"/><Relationship Id="rId3918" Type="http://schemas.openxmlformats.org/officeDocument/2006/relationships/hyperlink" Target="https://www.msi.com/Graphics-Card/GeForce-RTX-4080-SUPER-16G-GAMING-SLIM-WHITE" TargetMode="External"/><Relationship Id="rId3900" Type="http://schemas.openxmlformats.org/officeDocument/2006/relationships/hyperlink" Target="https://www.gigabyte.com/Graphics-Card/GV-N408SWF3V2-16GD" TargetMode="External"/><Relationship Id="rId3902" Type="http://schemas.openxmlformats.org/officeDocument/2006/relationships/hyperlink" Target="https://www.gigabyte.com/Graphics-Card/GV-N408SGAMING-OC-16GD" TargetMode="External"/><Relationship Id="rId3901" Type="http://schemas.openxmlformats.org/officeDocument/2006/relationships/hyperlink" Target="https://www.gigabyte.com/Graphics-Card/GV-N408SAERO-OC-16GD" TargetMode="External"/><Relationship Id="rId3904" Type="http://schemas.openxmlformats.org/officeDocument/2006/relationships/hyperlink" Target="https://www.inno3d.com/en/PRODUCT_INNO3D_GEFORCE_RTX_4080_SUPER_16GB_X3" TargetMode="External"/><Relationship Id="rId3903" Type="http://schemas.openxmlformats.org/officeDocument/2006/relationships/hyperlink" Target="https://www.gigabyte.com/Graphics-Card/GV-N408SAORUS-M-16GD" TargetMode="External"/><Relationship Id="rId3906" Type="http://schemas.openxmlformats.org/officeDocument/2006/relationships/hyperlink" Target="https://www.inno3d.com/en/PRODUCT_INNO3D_GEFORCE_RTX_4080_SUPER_16GB_X3_OC_WHITE" TargetMode="External"/><Relationship Id="rId3905" Type="http://schemas.openxmlformats.org/officeDocument/2006/relationships/hyperlink" Target="https://www.inno3d.com/en/PRODUCT_INNO3D_GEFORCE_RTX_4080_SUPER_16GB_X3_OC" TargetMode="External"/><Relationship Id="rId3908" Type="http://schemas.openxmlformats.org/officeDocument/2006/relationships/hyperlink" Target="https://www.inno3d.com/en/PRODUCT_INNO3D_GEFORCE_RTX_4080_SUPER_16GB_ICHILL_BLACK" TargetMode="External"/><Relationship Id="rId3907" Type="http://schemas.openxmlformats.org/officeDocument/2006/relationships/hyperlink" Target="https://www.inno3d.com/en/PRODUCT_INNO3D_GEFORCE_RTX_4080_SUPER_16GB_ICHILL_X3" TargetMode="External"/><Relationship Id="rId3909" Type="http://schemas.openxmlformats.org/officeDocument/2006/relationships/hyperlink" Target="https://www.leadtek.com/eng/" TargetMode="External"/><Relationship Id="rId3931" Type="http://schemas.openxmlformats.org/officeDocument/2006/relationships/hyperlink" Target="http://www.yeston.net/products-detail/id-111.html" TargetMode="External"/><Relationship Id="rId2600" Type="http://schemas.openxmlformats.org/officeDocument/2006/relationships/hyperlink" Target="https://www.galax.com/en/" TargetMode="External"/><Relationship Id="rId3930" Type="http://schemas.openxmlformats.org/officeDocument/2006/relationships/hyperlink" Target="http://www.yeston.net/" TargetMode="External"/><Relationship Id="rId2601" Type="http://schemas.openxmlformats.org/officeDocument/2006/relationships/hyperlink" Target="https://www.galax.com/en/graphics-card/30-series/geforce-rtx-3080-exg-p.html" TargetMode="External"/><Relationship Id="rId3933" Type="http://schemas.openxmlformats.org/officeDocument/2006/relationships/hyperlink" Target="http://www.yeston.net/products-detail/id-112.html" TargetMode="External"/><Relationship Id="rId2602" Type="http://schemas.openxmlformats.org/officeDocument/2006/relationships/hyperlink" Target="https://www.galax.com/en/" TargetMode="External"/><Relationship Id="rId3932" Type="http://schemas.openxmlformats.org/officeDocument/2006/relationships/hyperlink" Target="http://www.yeston.net/" TargetMode="External"/><Relationship Id="rId2603" Type="http://schemas.openxmlformats.org/officeDocument/2006/relationships/hyperlink" Target="https://www.galax.com/en/graphics-card/30-series/geforce-rtx-3080-exg-w.html" TargetMode="External"/><Relationship Id="rId3935" Type="http://schemas.openxmlformats.org/officeDocument/2006/relationships/hyperlink" Target="https://www.zotac.com/product/graphics_card/zotac-gaming-geforce-rtx-4080-super-trinity-black-edition-16gb-gddr6x" TargetMode="External"/><Relationship Id="rId2604" Type="http://schemas.openxmlformats.org/officeDocument/2006/relationships/hyperlink" Target="https://www.galax.com/en/" TargetMode="External"/><Relationship Id="rId3934" Type="http://schemas.openxmlformats.org/officeDocument/2006/relationships/hyperlink" Target="https://www.zotac.com/" TargetMode="External"/><Relationship Id="rId2605" Type="http://schemas.openxmlformats.org/officeDocument/2006/relationships/hyperlink" Target="https://www.galax.com/en/graphics-card/30-series/geforce-rtx-3080-exg-w-lhr.html" TargetMode="External"/><Relationship Id="rId3937" Type="http://schemas.openxmlformats.org/officeDocument/2006/relationships/hyperlink" Target="https://www.zotac.com/product/graphics_card/zotac-gaming-geforce-rtx-4080-super-trinity-oc-white-edition-16gb-gddr6x" TargetMode="External"/><Relationship Id="rId2606" Type="http://schemas.openxmlformats.org/officeDocument/2006/relationships/hyperlink" Target="https://www.gigabyte.com/Graphics-Card/GV-N3080TURBO-10GD" TargetMode="External"/><Relationship Id="rId3936" Type="http://schemas.openxmlformats.org/officeDocument/2006/relationships/hyperlink" Target="https://www.zotac.com/" TargetMode="External"/><Relationship Id="rId808" Type="http://schemas.openxmlformats.org/officeDocument/2006/relationships/hyperlink" Target="https://en.colorful.cn/product_show.aspx?mid=102&amp;id=1749" TargetMode="External"/><Relationship Id="rId2607" Type="http://schemas.openxmlformats.org/officeDocument/2006/relationships/hyperlink" Target="https://www.gigabyte.com/Graphics-Card/GV-N3080TURBO-10GD-rev-20" TargetMode="External"/><Relationship Id="rId3939" Type="http://schemas.openxmlformats.org/officeDocument/2006/relationships/hyperlink" Target="https://www.zotac.com/product/graphics_card/zotac-gaming-geforce-rtx-4080-super-amp-extreme-airo-16gb-gddr6x" TargetMode="External"/><Relationship Id="rId807" Type="http://schemas.openxmlformats.org/officeDocument/2006/relationships/hyperlink" Target="https://en.colorful.cn/en/" TargetMode="External"/><Relationship Id="rId2608" Type="http://schemas.openxmlformats.org/officeDocument/2006/relationships/hyperlink" Target="https://www.gigabyte.com/Graphics-Card/GV-N3080EAGLE-10GD" TargetMode="External"/><Relationship Id="rId3938" Type="http://schemas.openxmlformats.org/officeDocument/2006/relationships/hyperlink" Target="https://www.zotac.com/" TargetMode="External"/><Relationship Id="rId806" Type="http://schemas.openxmlformats.org/officeDocument/2006/relationships/hyperlink" Target="https://en.colorful.cn/product_show.aspx?mid=102&amp;id=1752" TargetMode="External"/><Relationship Id="rId2609" Type="http://schemas.openxmlformats.org/officeDocument/2006/relationships/hyperlink" Target="https://www.gigabyte.com/Graphics-Card/GV-N3080EAGLE-10GD-rev-20" TargetMode="External"/><Relationship Id="rId805" Type="http://schemas.openxmlformats.org/officeDocument/2006/relationships/hyperlink" Target="https://en.colorful.cn/en/" TargetMode="External"/><Relationship Id="rId809" Type="http://schemas.openxmlformats.org/officeDocument/2006/relationships/hyperlink" Target="https://en.colorful.cn/en/" TargetMode="External"/><Relationship Id="rId800" Type="http://schemas.openxmlformats.org/officeDocument/2006/relationships/hyperlink" Target="https://rog.asus.com/Graphics-Cards/Graphics-Cards/ROG-Strix/ROG-STRIX-GTX1660TI-O6G-GAMING-Model/" TargetMode="External"/><Relationship Id="rId804" Type="http://schemas.openxmlformats.org/officeDocument/2006/relationships/hyperlink" Target="https://en.colorful.cn/product_show.aspx?mid=102&amp;id=1751" TargetMode="External"/><Relationship Id="rId803" Type="http://schemas.openxmlformats.org/officeDocument/2006/relationships/hyperlink" Target="https://en.colorful.cn/en/" TargetMode="External"/><Relationship Id="rId802" Type="http://schemas.openxmlformats.org/officeDocument/2006/relationships/hyperlink" Target="https://en.colorful.cn/product_show.aspx?mid=102&amp;id=1750" TargetMode="External"/><Relationship Id="rId801" Type="http://schemas.openxmlformats.org/officeDocument/2006/relationships/hyperlink" Target="https://en.colorful.cn/en/" TargetMode="External"/><Relationship Id="rId3920" Type="http://schemas.openxmlformats.org/officeDocument/2006/relationships/hyperlink" Target="https://www.msi.com/Graphics-Card/GeForce-RTX-4080-SUPER-16G-GAMING-TRIO" TargetMode="External"/><Relationship Id="rId3922" Type="http://schemas.openxmlformats.org/officeDocument/2006/relationships/hyperlink" Target="https://www.msi.com/Graphics-Card/GeForce-RTX-4080-SUPER-16G-SUPRIM" TargetMode="External"/><Relationship Id="rId3921" Type="http://schemas.openxmlformats.org/officeDocument/2006/relationships/hyperlink" Target="https://www.msi.com/Graphics-Card/GeForce-RTX-4080-SUPER-16G-GAMING-X-TRIO" TargetMode="External"/><Relationship Id="rId3924" Type="http://schemas.openxmlformats.org/officeDocument/2006/relationships/hyperlink" Target="https://www.nvidia.com/en-us/geforce/graphics-cards/40-series/rtx-4080-family/" TargetMode="External"/><Relationship Id="rId3923" Type="http://schemas.openxmlformats.org/officeDocument/2006/relationships/hyperlink" Target="https://www.msi.com/Graphics-Card/GeForce-RTX-4080-SUPER-16G-SUPRIM-X" TargetMode="External"/><Relationship Id="rId3926" Type="http://schemas.openxmlformats.org/officeDocument/2006/relationships/hyperlink" Target="https://www.palit.com/palit/vgapro.php?id=5017&amp;lang=en" TargetMode="External"/><Relationship Id="rId3925" Type="http://schemas.openxmlformats.org/officeDocument/2006/relationships/hyperlink" Target="https://www.palit.com/palit/vgapro.php?id=5027&amp;lang=en" TargetMode="External"/><Relationship Id="rId3928" Type="http://schemas.openxmlformats.org/officeDocument/2006/relationships/hyperlink" Target="https://www.pny.com/pny-geforce-rtx-4080-super-16-gb-verto-triple-fan-oc-edition" TargetMode="External"/><Relationship Id="rId3927" Type="http://schemas.openxmlformats.org/officeDocument/2006/relationships/hyperlink" Target="https://www.palit.com/palit/vgapro.php?id=5007&amp;lang=en" TargetMode="External"/><Relationship Id="rId3929" Type="http://schemas.openxmlformats.org/officeDocument/2006/relationships/hyperlink" Target="https://www.pny.com/pny-geforce-rtx-4080-super-16-gb-xlr8-gaming-verto-epic-x-rgb-triple-fan-oc" TargetMode="External"/><Relationship Id="rId1334" Type="http://schemas.openxmlformats.org/officeDocument/2006/relationships/hyperlink" Target="https://www.gigabyte.com/Graphics-Card/GV-N2080GAMING-8GC" TargetMode="External"/><Relationship Id="rId2665" Type="http://schemas.openxmlformats.org/officeDocument/2006/relationships/hyperlink" Target="https://www.msi.com/Graphics-Card/GeForce-RTX-3080-SUPRIM-10G-LHR" TargetMode="External"/><Relationship Id="rId3997" Type="http://schemas.openxmlformats.org/officeDocument/2006/relationships/hyperlink" Target="https://www.inno3d.com/en/PRODUCT_INNO3D_GEFORCE_RTX_4090_X3" TargetMode="External"/><Relationship Id="rId1335" Type="http://schemas.openxmlformats.org/officeDocument/2006/relationships/hyperlink" Target="https://www.gigabyte.com/Graphics-Card/GV-N2080GAMING-OC-8GC" TargetMode="External"/><Relationship Id="rId2666" Type="http://schemas.openxmlformats.org/officeDocument/2006/relationships/hyperlink" Target="https://www.msi.com/Graphics-Card/GeForce-RTX-3080-SUPRIM-X-10G" TargetMode="External"/><Relationship Id="rId3996" Type="http://schemas.openxmlformats.org/officeDocument/2006/relationships/hyperlink" Target="https://www.gigabyte.com/Graphics-Card/GV-N4090AORUSX-W-24GD-rev-11" TargetMode="External"/><Relationship Id="rId1336" Type="http://schemas.openxmlformats.org/officeDocument/2006/relationships/hyperlink" Target="https://www.gigabyte.com/Graphics-Card/GV-N2080GAMINGOC-WHITE-8GC" TargetMode="External"/><Relationship Id="rId2667" Type="http://schemas.openxmlformats.org/officeDocument/2006/relationships/hyperlink" Target="https://www.msi.com/Graphics-Card/GeForce-RTX-3080-SUPRIM-X-10G-LHR" TargetMode="External"/><Relationship Id="rId3999" Type="http://schemas.openxmlformats.org/officeDocument/2006/relationships/hyperlink" Target="https://www.inno3d.com/en/PRODUCT_INNO3D_GEFORCE_RTX_4090_X3_OC_WHITE" TargetMode="External"/><Relationship Id="rId1337" Type="http://schemas.openxmlformats.org/officeDocument/2006/relationships/hyperlink" Target="https://www.gigabyte.com/Graphics-Card/GV-N2080AORUS-8GC" TargetMode="External"/><Relationship Id="rId2668" Type="http://schemas.openxmlformats.org/officeDocument/2006/relationships/hyperlink" Target="https://www.msi.com/Graphics-Card/GeForce-RTX-3080-SEA-HAWK-10G-LHR" TargetMode="External"/><Relationship Id="rId3998" Type="http://schemas.openxmlformats.org/officeDocument/2006/relationships/hyperlink" Target="https://www.inno3d.com/en/PRODUCT_INNO3D_GEFORCE_RTX_4090_X3_OC" TargetMode="External"/><Relationship Id="rId1338" Type="http://schemas.openxmlformats.org/officeDocument/2006/relationships/hyperlink" Target="https://www.gigabyte.com/Graphics-Card/GV-N2080AORUS-X-8GC" TargetMode="External"/><Relationship Id="rId2669" Type="http://schemas.openxmlformats.org/officeDocument/2006/relationships/hyperlink" Target="https://ca.msi.com/Graphics-Card/GeForce-RTX-3080-SEA-HAWK-X-10G" TargetMode="External"/><Relationship Id="rId1339" Type="http://schemas.openxmlformats.org/officeDocument/2006/relationships/hyperlink" Target="https://www.gigabyte.com/Graphics-Card/GV-N2080AORUSX-W-8GC" TargetMode="External"/><Relationship Id="rId745" Type="http://schemas.openxmlformats.org/officeDocument/2006/relationships/hyperlink" Target="http://www.pcasl.com/index.jsp" TargetMode="External"/><Relationship Id="rId744" Type="http://schemas.openxmlformats.org/officeDocument/2006/relationships/hyperlink" Target="http://www.pcasl.com/pd.jsp?id=170" TargetMode="External"/><Relationship Id="rId743" Type="http://schemas.openxmlformats.org/officeDocument/2006/relationships/hyperlink" Target="http://www.pcasl.com/index.jsp" TargetMode="External"/><Relationship Id="rId742" Type="http://schemas.openxmlformats.org/officeDocument/2006/relationships/hyperlink" Target="https://www.msi.com/Graphics-card/GeForce-GTX-1660-GAMING-X-6G" TargetMode="External"/><Relationship Id="rId749" Type="http://schemas.openxmlformats.org/officeDocument/2006/relationships/hyperlink" Target="https://www.asus.com/motherboards-components/graphics-cards/all-series/DUAL-GTX1660S-O6G-EVO" TargetMode="External"/><Relationship Id="rId748" Type="http://schemas.openxmlformats.org/officeDocument/2006/relationships/hyperlink" Target="https://www.asus.com/motherboards-components/graphics-cards/all-series/DUAL-GTX1660S-A6G-EVO" TargetMode="External"/><Relationship Id="rId747" Type="http://schemas.openxmlformats.org/officeDocument/2006/relationships/hyperlink" Target="https://www.asus.com/motherboards-components/graphics-cards/all-series/DUAL-GTX1660S-6G-EVO" TargetMode="External"/><Relationship Id="rId746" Type="http://schemas.openxmlformats.org/officeDocument/2006/relationships/hyperlink" Target="http://www.pcasl.com/pd.jsp?id=159" TargetMode="External"/><Relationship Id="rId3991" Type="http://schemas.openxmlformats.org/officeDocument/2006/relationships/hyperlink" Target="https://www.gigabyte.com/Graphics-Card/GV-N4090AERO-OC-24GD" TargetMode="External"/><Relationship Id="rId2660" Type="http://schemas.openxmlformats.org/officeDocument/2006/relationships/hyperlink" Target="https://www.msi.com/Graphics-Card/GeForce-RTX-3080-GAMING-Z-TRIO-10G" TargetMode="External"/><Relationship Id="rId3990" Type="http://schemas.openxmlformats.org/officeDocument/2006/relationships/hyperlink" Target="https://www.gigabyte.com/Graphics-Card/GV-N4090AERO-24GD" TargetMode="External"/><Relationship Id="rId741" Type="http://schemas.openxmlformats.org/officeDocument/2006/relationships/hyperlink" Target="https://www.msi.com/Graphics-card/GeForce-GTX-1660-GAMING-6G" TargetMode="External"/><Relationship Id="rId1330" Type="http://schemas.openxmlformats.org/officeDocument/2006/relationships/hyperlink" Target="https://www.gigabyte.com/Graphics-Card/GV-N2080TURBO-8GC" TargetMode="External"/><Relationship Id="rId2661" Type="http://schemas.openxmlformats.org/officeDocument/2006/relationships/hyperlink" Target="https://www.msi.com/Graphics-Card/GeForce-RTX-3080-GAMING-Z-TRIO-10G-LHR" TargetMode="External"/><Relationship Id="rId3993" Type="http://schemas.openxmlformats.org/officeDocument/2006/relationships/hyperlink" Target="https://www.gigabyte.com/Graphics-Card/GV-N4090GAMING-OC-24GD" TargetMode="External"/><Relationship Id="rId740" Type="http://schemas.openxmlformats.org/officeDocument/2006/relationships/hyperlink" Target="https://www.msi.com/Graphics-card/GeForce-GTX-1660-ARMOR-6G-OC" TargetMode="External"/><Relationship Id="rId1331" Type="http://schemas.openxmlformats.org/officeDocument/2006/relationships/hyperlink" Target="https://www.gigabyte.com/Graphics-Card/GV-N2080TURBO-OC-8GC" TargetMode="External"/><Relationship Id="rId2662" Type="http://schemas.openxmlformats.org/officeDocument/2006/relationships/hyperlink" Target="https://www.msi.com/Graphics-Card/GeForce-RTX-3080-SUPRIM-SE-10G" TargetMode="External"/><Relationship Id="rId3992" Type="http://schemas.openxmlformats.org/officeDocument/2006/relationships/hyperlink" Target="https://www.gigabyte.com/Graphics-Card/GV-N4090GAMING-24GD" TargetMode="External"/><Relationship Id="rId1332" Type="http://schemas.openxmlformats.org/officeDocument/2006/relationships/hyperlink" Target="https://www.gigabyte.com/Graphics-Card/GV-N2080WF3-8GC" TargetMode="External"/><Relationship Id="rId2663" Type="http://schemas.openxmlformats.org/officeDocument/2006/relationships/hyperlink" Target="https://www.msi.com/Graphics-Card/GeForce-RTX-3080-SUPRIM-SE-10G-LHR" TargetMode="External"/><Relationship Id="rId3995" Type="http://schemas.openxmlformats.org/officeDocument/2006/relationships/hyperlink" Target="https://www.gigabyte.com/Graphics-Card/GV-N4090AORUSX-W-24GD" TargetMode="External"/><Relationship Id="rId1333" Type="http://schemas.openxmlformats.org/officeDocument/2006/relationships/hyperlink" Target="https://www.gigabyte.com/Graphics-Card/GV-N2080WF3OC-8GC" TargetMode="External"/><Relationship Id="rId2664" Type="http://schemas.openxmlformats.org/officeDocument/2006/relationships/hyperlink" Target="https://www.msi.com/Graphics-Card/GeForce-RTX-3080-SUPRIM-10G" TargetMode="External"/><Relationship Id="rId3994" Type="http://schemas.openxmlformats.org/officeDocument/2006/relationships/hyperlink" Target="https://www.gigabyte.com/Graphics-Card/GV-N4090AORUS-M-24GD" TargetMode="External"/><Relationship Id="rId1323" Type="http://schemas.openxmlformats.org/officeDocument/2006/relationships/hyperlink" Target="https://www.galax.com/en/" TargetMode="External"/><Relationship Id="rId2654" Type="http://schemas.openxmlformats.org/officeDocument/2006/relationships/hyperlink" Target="https://www.msi.com/Graphics-Card/GeForce-RTX-3080-VENTUS-3X-PLUS-10G-V1-LHR" TargetMode="External"/><Relationship Id="rId3986" Type="http://schemas.openxmlformats.org/officeDocument/2006/relationships/hyperlink" Target="https://www.galax.com/en/" TargetMode="External"/><Relationship Id="rId1324" Type="http://schemas.openxmlformats.org/officeDocument/2006/relationships/hyperlink" Target="https://www.galax.com/en/graphics-card/20-series/geforce-rtx-2080-gamer-5.html" TargetMode="External"/><Relationship Id="rId2655" Type="http://schemas.openxmlformats.org/officeDocument/2006/relationships/hyperlink" Target="https://www.msi.com/Graphics-Card/GeForce-RTX-3080-VENTUS-3X-PLUS-10G-OCV1-LHR" TargetMode="External"/><Relationship Id="rId3985" Type="http://schemas.openxmlformats.org/officeDocument/2006/relationships/hyperlink" Target="https://www.galax.com/en/graphics-card/40-series/4090-series/geforce-rtx-4090-sg-w.html" TargetMode="External"/><Relationship Id="rId1325" Type="http://schemas.openxmlformats.org/officeDocument/2006/relationships/hyperlink" Target="https://www.galax.com/en/" TargetMode="External"/><Relationship Id="rId2656" Type="http://schemas.openxmlformats.org/officeDocument/2006/relationships/hyperlink" Target="https://www.msi.com/Graphics-Card/GeForce-RTX-3080-GAMING-TRIO-10G" TargetMode="External"/><Relationship Id="rId3988" Type="http://schemas.openxmlformats.org/officeDocument/2006/relationships/hyperlink" Target="https://www.gigabyte.com/Graphics-Card/GV-N4090WF3-24GD" TargetMode="External"/><Relationship Id="rId1326" Type="http://schemas.openxmlformats.org/officeDocument/2006/relationships/hyperlink" Target="https://www.galax.com/en/graphics-card/20-series/galax-geforce-rtx-2080-sg-edition-1clickoc.html" TargetMode="External"/><Relationship Id="rId2657" Type="http://schemas.openxmlformats.org/officeDocument/2006/relationships/hyperlink" Target="https://www.msi.com/Graphics-Card/GeForce-RTX-3080-GAMING-TRIO-PLUS-10G" TargetMode="External"/><Relationship Id="rId3987" Type="http://schemas.openxmlformats.org/officeDocument/2006/relationships/hyperlink" Target="https://www.galax.com/en/graphics-card/40-series/4090-series/geforce-rtx-4090-hof.html" TargetMode="External"/><Relationship Id="rId1327" Type="http://schemas.openxmlformats.org/officeDocument/2006/relationships/hyperlink" Target="https://www.galax.com/en/" TargetMode="External"/><Relationship Id="rId2658" Type="http://schemas.openxmlformats.org/officeDocument/2006/relationships/hyperlink" Target="https://www.msi.com/Graphics-Card/GeForce-RTX-3080-GAMING-TRIO-PLUS-10G-LHR" TargetMode="External"/><Relationship Id="rId1328" Type="http://schemas.openxmlformats.org/officeDocument/2006/relationships/hyperlink" Target="https://www.galax.com/en/graphics-card/20-series/galax-geforce-rtx-2080-sg-edition.html" TargetMode="External"/><Relationship Id="rId2659" Type="http://schemas.openxmlformats.org/officeDocument/2006/relationships/hyperlink" Target="https://www.msi.com/Graphics-Card/GeForce-RTX-3080-GAMING-X-TRIO-10G" TargetMode="External"/><Relationship Id="rId3989" Type="http://schemas.openxmlformats.org/officeDocument/2006/relationships/hyperlink" Target="https://www.gigabyte.com/Graphics-Card/GV-N4090WF3V2-24GD" TargetMode="External"/><Relationship Id="rId1329" Type="http://schemas.openxmlformats.org/officeDocument/2006/relationships/hyperlink" Target="https://www.galax.com/en/" TargetMode="External"/><Relationship Id="rId739" Type="http://schemas.openxmlformats.org/officeDocument/2006/relationships/hyperlink" Target="https://www.msi.com/Graphics-card/GeForce-GTX-1660-ARMOR-6G" TargetMode="External"/><Relationship Id="rId734" Type="http://schemas.openxmlformats.org/officeDocument/2006/relationships/hyperlink" Target="https://www.gigabyte.com/Graphics-Card/GV-N1660GAMING-OC-6GD" TargetMode="External"/><Relationship Id="rId733" Type="http://schemas.openxmlformats.org/officeDocument/2006/relationships/hyperlink" Target="https://www.gigabyte.com/Graphics-Card/GV-N1660GAMING-6GD" TargetMode="External"/><Relationship Id="rId732" Type="http://schemas.openxmlformats.org/officeDocument/2006/relationships/hyperlink" Target="https://www.galax.com/en/" TargetMode="External"/><Relationship Id="rId731" Type="http://schemas.openxmlformats.org/officeDocument/2006/relationships/hyperlink" Target="https://www.galax.com/en/" TargetMode="External"/><Relationship Id="rId738" Type="http://schemas.openxmlformats.org/officeDocument/2006/relationships/hyperlink" Target="https://www.leadtek.com/eng/products/graphics_cards(1)/WinFast_GTX_1660_CLASSIC_6G(20834)/detail" TargetMode="External"/><Relationship Id="rId737" Type="http://schemas.openxmlformats.org/officeDocument/2006/relationships/hyperlink" Target="https://www.leadtek.com/eng/" TargetMode="External"/><Relationship Id="rId736" Type="http://schemas.openxmlformats.org/officeDocument/2006/relationships/hyperlink" Target="https://www.inno3d.com/en/product_detail/page/c01fbee589f06421543a830ee9bd3a00d232c7ed3692527dfd715ec92dec3175" TargetMode="External"/><Relationship Id="rId735" Type="http://schemas.openxmlformats.org/officeDocument/2006/relationships/hyperlink" Target="https://www.inno3d.com/en/product_detail/page/226be5e6894ccdab3518b04554c1c0797a4bd999f064a57f80ad8b5d408ec00d" TargetMode="External"/><Relationship Id="rId3980" Type="http://schemas.openxmlformats.org/officeDocument/2006/relationships/hyperlink" Target="https://www.galax.com/en/" TargetMode="External"/><Relationship Id="rId730" Type="http://schemas.openxmlformats.org/officeDocument/2006/relationships/hyperlink" Target="https://www.galax.com/en/" TargetMode="External"/><Relationship Id="rId2650" Type="http://schemas.openxmlformats.org/officeDocument/2006/relationships/hyperlink" Target="https://www.msi.com/Graphics-Card/GeForce-RTX-3080-VENTUS-3X-10G-LHR" TargetMode="External"/><Relationship Id="rId3982" Type="http://schemas.openxmlformats.org/officeDocument/2006/relationships/hyperlink" Target="https://www.galax.com/en/" TargetMode="External"/><Relationship Id="rId1320" Type="http://schemas.openxmlformats.org/officeDocument/2006/relationships/hyperlink" Target="https://www.galax.com/en/graphics-card/20-series/galax-geforce-rtx-2080-ex-gamer-1clickoc-v2.html" TargetMode="External"/><Relationship Id="rId2651" Type="http://schemas.openxmlformats.org/officeDocument/2006/relationships/hyperlink" Target="https://www.msi.com/Graphics-Card/GeForce-RTX-3080-VENTUS-3X-10G-OC-LHR" TargetMode="External"/><Relationship Id="rId3981" Type="http://schemas.openxmlformats.org/officeDocument/2006/relationships/hyperlink" Target="https://www.galax.com/en/graphics-card/40-series/4090-series/geforce-rtx-4090-st-v2.html" TargetMode="External"/><Relationship Id="rId1321" Type="http://schemas.openxmlformats.org/officeDocument/2006/relationships/hyperlink" Target="https://www.galax.com/en/" TargetMode="External"/><Relationship Id="rId2652" Type="http://schemas.openxmlformats.org/officeDocument/2006/relationships/hyperlink" Target="https://www.msi.com/Graphics-Card/GeForce-RTX-3080-VENTUS-3X-PLUS-10G-LHR" TargetMode="External"/><Relationship Id="rId3984" Type="http://schemas.openxmlformats.org/officeDocument/2006/relationships/hyperlink" Target="https://www.galax.com/en/" TargetMode="External"/><Relationship Id="rId1322" Type="http://schemas.openxmlformats.org/officeDocument/2006/relationships/hyperlink" Target="https://www.galax.com/en/graphics-card/20-series/galax-geforce-rtx-2080-ex-oc-gamer.html" TargetMode="External"/><Relationship Id="rId2653" Type="http://schemas.openxmlformats.org/officeDocument/2006/relationships/hyperlink" Target="https://www.msi.com/Graphics-Card/GeForce-RTX-3080-VENTUS-3X-PLUS-10G-OC-LHR" TargetMode="External"/><Relationship Id="rId3983" Type="http://schemas.openxmlformats.org/officeDocument/2006/relationships/hyperlink" Target="https://www.galax.com/en/graphics-card/40-series/4090-series/geforce-rtx-4090-sg.html" TargetMode="External"/><Relationship Id="rId1356" Type="http://schemas.openxmlformats.org/officeDocument/2006/relationships/hyperlink" Target="https://www.msi.com/Graphics-card/GeForce-RTX-2080-GAMING-X-TRIO" TargetMode="External"/><Relationship Id="rId2687" Type="http://schemas.openxmlformats.org/officeDocument/2006/relationships/hyperlink" Target="https://www.zotac.com/cn/product/graphics_card/%E7%B4%A2%E6%B3%B0-geforce%C2%AE-rtx-3080-10g6x-x-gaming-goc" TargetMode="External"/><Relationship Id="rId1357" Type="http://schemas.openxmlformats.org/officeDocument/2006/relationships/hyperlink" Target="https://www.msi.com/Graphics-card/GeForce-RTX-2080-SEA-HAWK-X" TargetMode="External"/><Relationship Id="rId2688" Type="http://schemas.openxmlformats.org/officeDocument/2006/relationships/hyperlink" Target="https://www.zotac.com/cn/product/graphics_card/%E7%B4%A2%E6%B3%B0-geforce%C2%AE-rtx-3080-10g6x-%E5%A4%A9%E5%90%AF-oc" TargetMode="External"/><Relationship Id="rId1358" Type="http://schemas.openxmlformats.org/officeDocument/2006/relationships/hyperlink" Target="https://www.msi.com/Graphics-card/GeForce-RTX-2080-SEA-HAWK-EK-X" TargetMode="External"/><Relationship Id="rId2689" Type="http://schemas.openxmlformats.org/officeDocument/2006/relationships/hyperlink" Target="https://www.zotac.com/cn/product/graphics_card/%E7%B4%A2%E6%B3%B0-geforce%C2%AE-rtx-3080-10g6x-%E5%A4%A9%E5%90%AF-goc" TargetMode="External"/><Relationship Id="rId1359" Type="http://schemas.openxmlformats.org/officeDocument/2006/relationships/hyperlink" Target="http://www.palit.com/palit/vgapro.php?id=3041&amp;lang=en" TargetMode="External"/><Relationship Id="rId767" Type="http://schemas.openxmlformats.org/officeDocument/2006/relationships/hyperlink" Target="https://www.emtekinc.co.kr/bbs/board.php?bo_table=product&amp;wr_id=2169" TargetMode="External"/><Relationship Id="rId766" Type="http://schemas.openxmlformats.org/officeDocument/2006/relationships/hyperlink" Target="https://www.emtekinc.co.kr/" TargetMode="External"/><Relationship Id="rId765" Type="http://schemas.openxmlformats.org/officeDocument/2006/relationships/hyperlink" Target="https://www.emtekinc.co.kr/bbs/board.php?bo_table=product&amp;wr_id=2072" TargetMode="External"/><Relationship Id="rId764" Type="http://schemas.openxmlformats.org/officeDocument/2006/relationships/hyperlink" Target="https://www.emtekinc.co.kr/" TargetMode="External"/><Relationship Id="rId769" Type="http://schemas.openxmlformats.org/officeDocument/2006/relationships/hyperlink" Target="https://www.emtekinc.co.kr/bbs/board.php?bo_table=product&amp;wr_id=2071" TargetMode="External"/><Relationship Id="rId768" Type="http://schemas.openxmlformats.org/officeDocument/2006/relationships/hyperlink" Target="https://www.emtekinc.co.kr/" TargetMode="External"/><Relationship Id="rId2680" Type="http://schemas.openxmlformats.org/officeDocument/2006/relationships/hyperlink" Target="https://www.pny.com/geforce-rtx-3080-xlr8-gaming-epic-x-rgb-triple-fan-p" TargetMode="External"/><Relationship Id="rId1350" Type="http://schemas.openxmlformats.org/officeDocument/2006/relationships/hyperlink" Target="https://www.msi.com/Graphics-card/GeForce-RTX-2080-VENTUS-8G-OCV1" TargetMode="External"/><Relationship Id="rId2681" Type="http://schemas.openxmlformats.org/officeDocument/2006/relationships/hyperlink" Target="https://www.pny.com/geforce-rtx-3080-revel-lhr" TargetMode="External"/><Relationship Id="rId1351" Type="http://schemas.openxmlformats.org/officeDocument/2006/relationships/hyperlink" Target="https://www.msi.com/Graphics-card/GeForce-RTX-2080-VENTUS-8G-V2" TargetMode="External"/><Relationship Id="rId2682" Type="http://schemas.openxmlformats.org/officeDocument/2006/relationships/hyperlink" Target="https://www.pny.com/geforce-rtx-3080-xlr8-gaming-epic-x-rgb-triple-fan-m" TargetMode="External"/><Relationship Id="rId763" Type="http://schemas.openxmlformats.org/officeDocument/2006/relationships/hyperlink" Target="https://en.colorful.cn/product_show.aspx?mid=102&amp;id=1787" TargetMode="External"/><Relationship Id="rId1352" Type="http://schemas.openxmlformats.org/officeDocument/2006/relationships/hyperlink" Target="https://www.msi.com/Graphics-card/GeForce-RTX-2080-DUKE-8G" TargetMode="External"/><Relationship Id="rId2683" Type="http://schemas.openxmlformats.org/officeDocument/2006/relationships/hyperlink" Target="https://www.pny.com/geforce-rtx-3080-uprising-lhr" TargetMode="External"/><Relationship Id="rId762" Type="http://schemas.openxmlformats.org/officeDocument/2006/relationships/hyperlink" Target="https://en.colorful.cn/en/" TargetMode="External"/><Relationship Id="rId1353" Type="http://schemas.openxmlformats.org/officeDocument/2006/relationships/hyperlink" Target="https://www.msi.com/Graphics-card/GeForce-RTX-2080-DUKE-8G-OC" TargetMode="External"/><Relationship Id="rId2684" Type="http://schemas.openxmlformats.org/officeDocument/2006/relationships/hyperlink" Target="http://www.yeston.net/" TargetMode="External"/><Relationship Id="rId761" Type="http://schemas.openxmlformats.org/officeDocument/2006/relationships/hyperlink" Target="https://en.colorful.cn/product_show.aspx?mid=102&amp;id=1789" TargetMode="External"/><Relationship Id="rId1354" Type="http://schemas.openxmlformats.org/officeDocument/2006/relationships/hyperlink" Target="https://www.msi.com/Graphics-card/GeForce-RTX-2080-DUKE-8G-OCV1" TargetMode="External"/><Relationship Id="rId2685" Type="http://schemas.openxmlformats.org/officeDocument/2006/relationships/hyperlink" Target="http://www.yeston.net/products-detail/id-77.html" TargetMode="External"/><Relationship Id="rId760" Type="http://schemas.openxmlformats.org/officeDocument/2006/relationships/hyperlink" Target="https://en.colorful.cn/en/" TargetMode="External"/><Relationship Id="rId1355" Type="http://schemas.openxmlformats.org/officeDocument/2006/relationships/hyperlink" Target="https://www.msi.com/Graphics-card/GeForce-RTX-2080-GAMING-TRIO" TargetMode="External"/><Relationship Id="rId2686" Type="http://schemas.openxmlformats.org/officeDocument/2006/relationships/hyperlink" Target="https://www.zotac.com/cn/product/graphics_card/%E7%B4%A2%E6%B3%B0-geforce%C2%AE-rtx-3080-10g6x-x-gaming-oc" TargetMode="External"/><Relationship Id="rId1345" Type="http://schemas.openxmlformats.org/officeDocument/2006/relationships/hyperlink" Target="https://www.inno3d.com/en/product_detail/page/4210be56a79affca79578d839135bdc36a72a85e7f59d6203adce20f5e449add" TargetMode="External"/><Relationship Id="rId2676" Type="http://schemas.openxmlformats.org/officeDocument/2006/relationships/hyperlink" Target="http://www.palit.com/palit/vgapro.php?id=3779&amp;lang=en" TargetMode="External"/><Relationship Id="rId1346" Type="http://schemas.openxmlformats.org/officeDocument/2006/relationships/hyperlink" Target="https://www.inno3d.com/en/product_detail/page/81e97982db282554a7afe221166fb7110172409151da783be9dfed4b50a141d8" TargetMode="External"/><Relationship Id="rId2677" Type="http://schemas.openxmlformats.org/officeDocument/2006/relationships/hyperlink" Target="http://www.palit.com/palit/vgapro.php?id=4170&amp;lang=en" TargetMode="External"/><Relationship Id="rId1347" Type="http://schemas.openxmlformats.org/officeDocument/2006/relationships/hyperlink" Target="https://www.msi.com/Graphics-card/GeForce-RTX-2080-AERO-8G" TargetMode="External"/><Relationship Id="rId2678" Type="http://schemas.openxmlformats.org/officeDocument/2006/relationships/hyperlink" Target="http://www.palit.com/palit/vgapro.php?id=3787&amp;lang=en" TargetMode="External"/><Relationship Id="rId1348" Type="http://schemas.openxmlformats.org/officeDocument/2006/relationships/hyperlink" Target="https://www.msi.com/Graphics-card/GeForce-RTX-2080-VENTUS-8G" TargetMode="External"/><Relationship Id="rId2679" Type="http://schemas.openxmlformats.org/officeDocument/2006/relationships/hyperlink" Target="http://www.palit.com/palit/vgapro.php?id=4161&amp;lang=en" TargetMode="External"/><Relationship Id="rId1349" Type="http://schemas.openxmlformats.org/officeDocument/2006/relationships/hyperlink" Target="https://www.msi.com/Graphics-card/GeForce-RTX-2080-VENTUS-8G-OC" TargetMode="External"/><Relationship Id="rId756" Type="http://schemas.openxmlformats.org/officeDocument/2006/relationships/hyperlink" Target="https://rog.asus.com/Graphics-Cards/Graphics-Cards/ROG-Strix/ROG-STRIX-GTX1660S-A6G-GAMING-Model/" TargetMode="External"/><Relationship Id="rId755" Type="http://schemas.openxmlformats.org/officeDocument/2006/relationships/hyperlink" Target="https://rog.asus.com/Graphics-Cards/Graphics-Cards/ROG-Strix/ROG-STRIX-GTX1660S-6G-GAMING-Model/" TargetMode="External"/><Relationship Id="rId754" Type="http://schemas.openxmlformats.org/officeDocument/2006/relationships/hyperlink" Target="https://www.asus.com.cn/Graphics-Cards/TUF-3-GTX1660S-O6G-GUNDAM" TargetMode="External"/><Relationship Id="rId753" Type="http://schemas.openxmlformats.org/officeDocument/2006/relationships/hyperlink" Target="https://www.asus.com/motherboards-components/graphics-cards/all-series/TUF-3-GTX1660S-O6G-GAMING" TargetMode="External"/><Relationship Id="rId759" Type="http://schemas.openxmlformats.org/officeDocument/2006/relationships/hyperlink" Target="https://en.colorful.cn/product_show.aspx?mid=102&amp;id=1788" TargetMode="External"/><Relationship Id="rId758" Type="http://schemas.openxmlformats.org/officeDocument/2006/relationships/hyperlink" Target="https://en.colorful.cn/en/" TargetMode="External"/><Relationship Id="rId757" Type="http://schemas.openxmlformats.org/officeDocument/2006/relationships/hyperlink" Target="https://rog.asus.com/Graphics-Cards/Graphics-Cards/ROG-Strix/ROG-STRIX-GTX1660S-O6G-GAMING-Model/" TargetMode="External"/><Relationship Id="rId2670" Type="http://schemas.openxmlformats.org/officeDocument/2006/relationships/hyperlink" Target="https://www.msi.com/Graphics-Card/GeForce-RTX-3080-SEA-HAWK-X-10G-LHR" TargetMode="External"/><Relationship Id="rId1340" Type="http://schemas.openxmlformats.org/officeDocument/2006/relationships/hyperlink" Target="https://www.gigabyte.com/Graphics-Card/GV-N2080AORUSX-WB-8GC" TargetMode="External"/><Relationship Id="rId2671" Type="http://schemas.openxmlformats.org/officeDocument/2006/relationships/hyperlink" Target="https://www.nvidia.com/en-us/geforce/graphics-cards/30-series/rtx-3080/" TargetMode="External"/><Relationship Id="rId752" Type="http://schemas.openxmlformats.org/officeDocument/2006/relationships/hyperlink" Target="https://www.asus.com/Motherboards-Components/Graphics-Cards/TUF-Gaming/TUF-GAMING-X3-GeForce-GTX-1660-SUPER-ZAKU-II-EDITION/" TargetMode="External"/><Relationship Id="rId1341" Type="http://schemas.openxmlformats.org/officeDocument/2006/relationships/hyperlink" Target="https://www.inno3d.com/en/product_detail/page/20b50f4d4bf570e7ef7fa0b74fb8c8115195bb073980bc4887757662a26247d3" TargetMode="External"/><Relationship Id="rId2672" Type="http://schemas.openxmlformats.org/officeDocument/2006/relationships/hyperlink" Target="http://www.palit.com/palit/vgapro.php?id=3739&amp;lang=en" TargetMode="External"/><Relationship Id="rId751" Type="http://schemas.openxmlformats.org/officeDocument/2006/relationships/hyperlink" Target="https://www.asus.com/motherboards-components/graphics-cards/all-series/TUF-3-GTX1660S-A6G-GAMING" TargetMode="External"/><Relationship Id="rId1342" Type="http://schemas.openxmlformats.org/officeDocument/2006/relationships/hyperlink" Target="https://www.inno3d.com/en/product_detail/page/969846e92bec68354312de430bfbe5238e37de99a974149a2e42f4bf7fee0915" TargetMode="External"/><Relationship Id="rId2673" Type="http://schemas.openxmlformats.org/officeDocument/2006/relationships/hyperlink" Target="http://www.palit.com/palit/vgapro.php?id=4188&amp;lang=en" TargetMode="External"/><Relationship Id="rId750" Type="http://schemas.openxmlformats.org/officeDocument/2006/relationships/hyperlink" Target="https://www.asus.com/motherboards-components/graphics-cards/all-series/TUF-3-GTX1660S-6G-GAMING" TargetMode="External"/><Relationship Id="rId1343" Type="http://schemas.openxmlformats.org/officeDocument/2006/relationships/hyperlink" Target="https://www.inno3d.com/en/product_detail/page/ae5bc4f30e5d3b35c41c506359253969c4464dca39e5a2c1b88c12ee6bdfd8d2" TargetMode="External"/><Relationship Id="rId2674" Type="http://schemas.openxmlformats.org/officeDocument/2006/relationships/hyperlink" Target="http://www.palit.com/palit/vgapro.php?id=3763&amp;lang=en" TargetMode="External"/><Relationship Id="rId1344" Type="http://schemas.openxmlformats.org/officeDocument/2006/relationships/hyperlink" Target="https://www.inno3d.com/en/product_detail/page/1865fc9ede097bbd3440f2aae1ea4b15d7a2161bd4429e31c0858f8156bc7b82" TargetMode="External"/><Relationship Id="rId2675" Type="http://schemas.openxmlformats.org/officeDocument/2006/relationships/hyperlink" Target="http://www.palit.com/palit/vgapro.php?id=4179&amp;lang=en" TargetMode="External"/><Relationship Id="rId2621" Type="http://schemas.openxmlformats.org/officeDocument/2006/relationships/hyperlink" Target="https://www.gigabyte.com/Graphics-Card/GV-N3080GAMINGOC-WB-10GD" TargetMode="External"/><Relationship Id="rId3953" Type="http://schemas.openxmlformats.org/officeDocument/2006/relationships/hyperlink" Target="https://en.colorful.cn/en/home/product?mid=102&amp;id=1924" TargetMode="External"/><Relationship Id="rId2622" Type="http://schemas.openxmlformats.org/officeDocument/2006/relationships/hyperlink" Target="https://www.gigabyte.com/Graphics-Card/GV-N3080GAMINGOC-WB-10GD-rev-20" TargetMode="External"/><Relationship Id="rId3952" Type="http://schemas.openxmlformats.org/officeDocument/2006/relationships/hyperlink" Target="https://en.colorful.cn/en/" TargetMode="External"/><Relationship Id="rId2623" Type="http://schemas.openxmlformats.org/officeDocument/2006/relationships/hyperlink" Target="https://www.gigabyte.com/Graphics-Card/GV-N3080AORUSX-W-10GD" TargetMode="External"/><Relationship Id="rId3955" Type="http://schemas.openxmlformats.org/officeDocument/2006/relationships/hyperlink" Target="https://en.colorful.cn/en/home/product?mid=102&amp;id=f0cc03f8-2573-4a9a-a87f-f98ce308eeb7" TargetMode="External"/><Relationship Id="rId2624" Type="http://schemas.openxmlformats.org/officeDocument/2006/relationships/hyperlink" Target="https://www.gigabyte.com/Graphics-Card/GV-N3080AORUSX-W-10GD-rev-20" TargetMode="External"/><Relationship Id="rId3954" Type="http://schemas.openxmlformats.org/officeDocument/2006/relationships/hyperlink" Target="https://en.colorful.cn/en/" TargetMode="External"/><Relationship Id="rId2625" Type="http://schemas.openxmlformats.org/officeDocument/2006/relationships/hyperlink" Target="https://www.gigabyte.com/Graphics-Card/GV-N3080AORUSX-WB-10GD" TargetMode="External"/><Relationship Id="rId3957" Type="http://schemas.openxmlformats.org/officeDocument/2006/relationships/hyperlink" Target="https://en.colorful.cn/en/home/product?mid=102&amp;id=1925" TargetMode="External"/><Relationship Id="rId2626" Type="http://schemas.openxmlformats.org/officeDocument/2006/relationships/hyperlink" Target="https://www.gigabyte.com/Graphics-Card/GV-N3080AORUSX-WB-10GD-rev-20" TargetMode="External"/><Relationship Id="rId3956" Type="http://schemas.openxmlformats.org/officeDocument/2006/relationships/hyperlink" Target="https://en.colorful.cn/en/" TargetMode="External"/><Relationship Id="rId2627" Type="http://schemas.openxmlformats.org/officeDocument/2006/relationships/hyperlink" Target="https://www.inno3d.com/en/product_detail/page/f143b30fddc8903d97f65f2fb6e2446aa978d9325a27135d3aa89e2d63147919" TargetMode="External"/><Relationship Id="rId3959" Type="http://schemas.openxmlformats.org/officeDocument/2006/relationships/hyperlink" Target="https://www.colorful.cn/product_show.aspx?mid=102&amp;id=2037" TargetMode="External"/><Relationship Id="rId2628" Type="http://schemas.openxmlformats.org/officeDocument/2006/relationships/hyperlink" Target="https://www.inno3d.com/en/product_detail/page/0052cfa1539541a1b4d531a1c6f25b23fc43b7e03e9c0cb6655244b5b2106a28" TargetMode="External"/><Relationship Id="rId3958" Type="http://schemas.openxmlformats.org/officeDocument/2006/relationships/hyperlink" Target="https://en.colorful.cn/en/" TargetMode="External"/><Relationship Id="rId709" Type="http://schemas.openxmlformats.org/officeDocument/2006/relationships/hyperlink" Target="https://www.asus.com/motherboards-components/graphics-cards/all-series/TUF3-GTX1660-6G-GAMING" TargetMode="External"/><Relationship Id="rId2629" Type="http://schemas.openxmlformats.org/officeDocument/2006/relationships/hyperlink" Target="https://www.inno3d.com/en/product_detail/page/819b1dc8a156d9399c8f3485e2a6e8b23ba9e65594f0d690dc1ae68d6aad6657" TargetMode="External"/><Relationship Id="rId708" Type="http://schemas.openxmlformats.org/officeDocument/2006/relationships/hyperlink" Target="https://www.asus.com/motherboards-components/graphics-cards/all-series/DUAL-GTX1660-O6G-EVO" TargetMode="External"/><Relationship Id="rId707" Type="http://schemas.openxmlformats.org/officeDocument/2006/relationships/hyperlink" Target="https://www.asus.com/motherboards-components/graphics-cards/all-series/DUAL-GTX1660-A6G-EVO" TargetMode="External"/><Relationship Id="rId706" Type="http://schemas.openxmlformats.org/officeDocument/2006/relationships/hyperlink" Target="http://www.pcasl.com/pd.jsp?id=120" TargetMode="External"/><Relationship Id="rId701" Type="http://schemas.openxmlformats.org/officeDocument/2006/relationships/hyperlink" Target="http://www.pcasl.com/index.jsp" TargetMode="External"/><Relationship Id="rId700" Type="http://schemas.openxmlformats.org/officeDocument/2006/relationships/hyperlink" Target="https://www.msi.com/Graphics-card/GeForce-GTX-1650-SUPER-GAMING-X" TargetMode="External"/><Relationship Id="rId705" Type="http://schemas.openxmlformats.org/officeDocument/2006/relationships/hyperlink" Target="http://www.pcasl.com/index.jsp" TargetMode="External"/><Relationship Id="rId704" Type="http://schemas.openxmlformats.org/officeDocument/2006/relationships/hyperlink" Target="http://www.pcasl.com/pd.jsp?id=166" TargetMode="External"/><Relationship Id="rId703" Type="http://schemas.openxmlformats.org/officeDocument/2006/relationships/hyperlink" Target="http://www.pcasl.com/index.jsp" TargetMode="External"/><Relationship Id="rId702" Type="http://schemas.openxmlformats.org/officeDocument/2006/relationships/hyperlink" Target="http://www.pcasl.com/pd.jsp?id=104" TargetMode="External"/><Relationship Id="rId3951" Type="http://schemas.openxmlformats.org/officeDocument/2006/relationships/hyperlink" Target="https://rog.asus.com/graphics-cards/graphics-cards/rog-matrix/rog-matrix-rtx4090-p24g-gaming/" TargetMode="External"/><Relationship Id="rId2620" Type="http://schemas.openxmlformats.org/officeDocument/2006/relationships/hyperlink" Target="https://www.gigabyte.com/Graphics-Card/GV-N3080AORUS-X-10GD-rev-20" TargetMode="External"/><Relationship Id="rId3950" Type="http://schemas.openxmlformats.org/officeDocument/2006/relationships/hyperlink" Target="https://rog.asus.com/graphics-cards/graphics-cards/rog-strix/rog-strix-lc-rtx4090-o24g-gaming/" TargetMode="External"/><Relationship Id="rId2610" Type="http://schemas.openxmlformats.org/officeDocument/2006/relationships/hyperlink" Target="https://www.gigabyte.com/Graphics-Card/GV-N3080EAGLE-OC-10GD" TargetMode="External"/><Relationship Id="rId3942" Type="http://schemas.openxmlformats.org/officeDocument/2006/relationships/hyperlink" Target="https://www.asus.com/Motherboards-Components/Graphics-Cards/TUF-Gaming/TUF-RTX4090-24G-GAMING/" TargetMode="External"/><Relationship Id="rId2611" Type="http://schemas.openxmlformats.org/officeDocument/2006/relationships/hyperlink" Target="https://www.gigabyte.com/Graphics-Card/GV-N3080EAGLE-OC-10GD-rev-20" TargetMode="External"/><Relationship Id="rId3941" Type="http://schemas.openxmlformats.org/officeDocument/2006/relationships/hyperlink" Target="https://www.asus.com/motherboards-components/graphics-cards/tuf-gaming/tuf-rtx4090-o24g-og-gaming/" TargetMode="External"/><Relationship Id="rId2612" Type="http://schemas.openxmlformats.org/officeDocument/2006/relationships/hyperlink" Target="https://www.gigabyte.com/Graphics-Card/GV-N3080GAMING-OC-10GD" TargetMode="External"/><Relationship Id="rId3944" Type="http://schemas.openxmlformats.org/officeDocument/2006/relationships/hyperlink" Target="https://rog.asus.com/graphics-cards/graphics-cards/rog-strix/rog-strix-rtx4090-24g-gaming-model/" TargetMode="External"/><Relationship Id="rId2613" Type="http://schemas.openxmlformats.org/officeDocument/2006/relationships/hyperlink" Target="https://www.gigabyte.com/Graphics-Card/GV-N3080GAMING-OC-10GD-rev-20" TargetMode="External"/><Relationship Id="rId3943" Type="http://schemas.openxmlformats.org/officeDocument/2006/relationships/hyperlink" Target="https://www.asus.com/Motherboards-Components/Graphics-Cards/TUF-Gaming/TUF-RTX4090-O24G-GAMING/" TargetMode="External"/><Relationship Id="rId2614" Type="http://schemas.openxmlformats.org/officeDocument/2006/relationships/hyperlink" Target="https://www.gigabyte.com/Graphics-Card/GV-N3080VISION-OC-10GD" TargetMode="External"/><Relationship Id="rId3946" Type="http://schemas.openxmlformats.org/officeDocument/2006/relationships/hyperlink" Target="https://rog.asus.com/graphics-cards/graphics-cards/rog-strix/rog-strix-rtx4090-o24g-eva-02-edition/" TargetMode="External"/><Relationship Id="rId2615" Type="http://schemas.openxmlformats.org/officeDocument/2006/relationships/hyperlink" Target="https://www.gigabyte.com/Graphics-Card/GV-N3080VISION-OC-10GD-rev-20" TargetMode="External"/><Relationship Id="rId3945" Type="http://schemas.openxmlformats.org/officeDocument/2006/relationships/hyperlink" Target="https://rog.asus.com/graphics-cards/graphics-cards/rog-strix/rog-strix-rtx4090-o24g-gaming-model/" TargetMode="External"/><Relationship Id="rId2616" Type="http://schemas.openxmlformats.org/officeDocument/2006/relationships/hyperlink" Target="https://www.gigabyte.com/Graphics-Card/GV-N3080AORUS-M-10GD" TargetMode="External"/><Relationship Id="rId3948" Type="http://schemas.openxmlformats.org/officeDocument/2006/relationships/hyperlink" Target="https://rog.asus.com/graphics-cards/graphics-cards/rog-strix/rog-strix-rtx4090-o24g-white-model/" TargetMode="External"/><Relationship Id="rId2617" Type="http://schemas.openxmlformats.org/officeDocument/2006/relationships/hyperlink" Target="https://www.gigabyte.com/Graphics-Card/GV-N3080AORUS-M-10GD-rev-20" TargetMode="External"/><Relationship Id="rId3947" Type="http://schemas.openxmlformats.org/officeDocument/2006/relationships/hyperlink" Target="https://rog.asus.com/graphics-cards/graphics-cards/rog-strix/rog-strix-rtx4090-24g-white-model/" TargetMode="External"/><Relationship Id="rId2618" Type="http://schemas.openxmlformats.org/officeDocument/2006/relationships/hyperlink" Target="https://www.gigabyte.com/Graphics-Card/GV-N3080AORUS-M-10GD-rev-30" TargetMode="External"/><Relationship Id="rId2619" Type="http://schemas.openxmlformats.org/officeDocument/2006/relationships/hyperlink" Target="https://www.gigabyte.com/Graphics-Card/GV-N3080AORUS-X-10GD" TargetMode="External"/><Relationship Id="rId3949" Type="http://schemas.openxmlformats.org/officeDocument/2006/relationships/hyperlink" Target="https://rog.asus.com/graphics-cards/graphics-cards/rog-strix/rog-strix-lc-rtx4090-24g-gaming/" TargetMode="External"/><Relationship Id="rId3940" Type="http://schemas.openxmlformats.org/officeDocument/2006/relationships/hyperlink" Target="https://www.asus.com/motherboards-components/graphics-cards/tuf-gaming/tuf-rtx4090-24g-og-gaming/" TargetMode="External"/><Relationship Id="rId1312" Type="http://schemas.openxmlformats.org/officeDocument/2006/relationships/hyperlink" Target="https://www.galax.com/en/graphics-card/20-series/galax-geforce-rtx-2080-ex-oc-white.html" TargetMode="External"/><Relationship Id="rId2643" Type="http://schemas.openxmlformats.org/officeDocument/2006/relationships/hyperlink" Target="https://www.manli.com/en/product-detail-Manli_GeForce_RTX%E2%84%A2_3080_10GB_Gallardo_LHR_(M3515+N612-01)-281.html" TargetMode="External"/><Relationship Id="rId3975" Type="http://schemas.openxmlformats.org/officeDocument/2006/relationships/hyperlink" Target="http://www.szgalaxy.com/__ZH_GB__/Product5/ProductDetail?proID=939" TargetMode="External"/><Relationship Id="rId1313" Type="http://schemas.openxmlformats.org/officeDocument/2006/relationships/hyperlink" Target="https://www.galax.com/en/" TargetMode="External"/><Relationship Id="rId2644" Type="http://schemas.openxmlformats.org/officeDocument/2006/relationships/hyperlink" Target="http://www.maxsun.com.cn/" TargetMode="External"/><Relationship Id="rId3974" Type="http://schemas.openxmlformats.org/officeDocument/2006/relationships/hyperlink" Target="https://www.galax.com/en/" TargetMode="External"/><Relationship Id="rId1314" Type="http://schemas.openxmlformats.org/officeDocument/2006/relationships/hyperlink" Target="https://www.galax.com/en/graphics-card/20-series/galax-geforce-rtx-2080-ex-white-1clickoc.html" TargetMode="External"/><Relationship Id="rId2645" Type="http://schemas.openxmlformats.org/officeDocument/2006/relationships/hyperlink" Target="http://www.maxsun.com.cn/2020/1102/5550.html" TargetMode="External"/><Relationship Id="rId3977" Type="http://schemas.openxmlformats.org/officeDocument/2006/relationships/hyperlink" Target="http://www.szgalaxy.com/__ZH_GB__/Product5/ProductDetail?proID=939" TargetMode="External"/><Relationship Id="rId1315" Type="http://schemas.openxmlformats.org/officeDocument/2006/relationships/hyperlink" Target="https://www.galax.com/en/" TargetMode="External"/><Relationship Id="rId2646" Type="http://schemas.openxmlformats.org/officeDocument/2006/relationships/hyperlink" Target="http://www.maxsun.com.cn/" TargetMode="External"/><Relationship Id="rId3976" Type="http://schemas.openxmlformats.org/officeDocument/2006/relationships/hyperlink" Target="https://www.galax.com/en/" TargetMode="External"/><Relationship Id="rId1316" Type="http://schemas.openxmlformats.org/officeDocument/2006/relationships/hyperlink" Target="https://www.galax.com/en/graphics-card/20-series/galax-geforce-rtx-2080-ex-white-1clickoc-v2.html" TargetMode="External"/><Relationship Id="rId2647" Type="http://schemas.openxmlformats.org/officeDocument/2006/relationships/hyperlink" Target="http://www.maxsun.com.cn/2020/1026/5546.html" TargetMode="External"/><Relationship Id="rId3979" Type="http://schemas.openxmlformats.org/officeDocument/2006/relationships/hyperlink" Target="https://www.galax.com/en/graphics-card/40-series/4090-series/geforce-rtx-4090-st.html" TargetMode="External"/><Relationship Id="rId1317" Type="http://schemas.openxmlformats.org/officeDocument/2006/relationships/hyperlink" Target="https://www.galax.com/en/" TargetMode="External"/><Relationship Id="rId2648" Type="http://schemas.openxmlformats.org/officeDocument/2006/relationships/hyperlink" Target="https://www.msi.com/Graphics-Card/GeForce-RTX-3080-VENTUS-3X-10G" TargetMode="External"/><Relationship Id="rId3978" Type="http://schemas.openxmlformats.org/officeDocument/2006/relationships/hyperlink" Target="https://www.galax.com/en/" TargetMode="External"/><Relationship Id="rId1318" Type="http://schemas.openxmlformats.org/officeDocument/2006/relationships/hyperlink" Target="https://www.galax.com/en/graphics-card/20-series/galax-geforce-rtx-2080-ex-gamer-1clickoc.html" TargetMode="External"/><Relationship Id="rId2649" Type="http://schemas.openxmlformats.org/officeDocument/2006/relationships/hyperlink" Target="https://www.msi.com/Graphics-Card/GeForce-RTX-3080-VENTUS-3X-10G-OC" TargetMode="External"/><Relationship Id="rId1319" Type="http://schemas.openxmlformats.org/officeDocument/2006/relationships/hyperlink" Target="https://www.galax.com/en/" TargetMode="External"/><Relationship Id="rId729" Type="http://schemas.openxmlformats.org/officeDocument/2006/relationships/hyperlink" Target="https://www.evga.com/products/specs/gpu.aspx?pn=BC93AEA5-A731-4B7B-8904-F1ACBEF3148E" TargetMode="External"/><Relationship Id="rId728" Type="http://schemas.openxmlformats.org/officeDocument/2006/relationships/hyperlink" Target="https://www.evga.com/products/specs/gpu.aspx?pn=D6610602-ED01-4E4F-8318-4DB4C3FF49C6" TargetMode="External"/><Relationship Id="rId723" Type="http://schemas.openxmlformats.org/officeDocument/2006/relationships/hyperlink" Target="https://www.emtekinc.co.kr/bbs/board.php?bo_table=product&amp;wr_id=1985" TargetMode="External"/><Relationship Id="rId722" Type="http://schemas.openxmlformats.org/officeDocument/2006/relationships/hyperlink" Target="https://www.emtekinc.co.kr/" TargetMode="External"/><Relationship Id="rId721" Type="http://schemas.openxmlformats.org/officeDocument/2006/relationships/hyperlink" Target="https://www.emtekinc.co.kr/bbs/board.php?bo_table=product&amp;wr_id=1986" TargetMode="External"/><Relationship Id="rId720" Type="http://schemas.openxmlformats.org/officeDocument/2006/relationships/hyperlink" Target="https://www.emtekinc.co.kr/" TargetMode="External"/><Relationship Id="rId727" Type="http://schemas.openxmlformats.org/officeDocument/2006/relationships/hyperlink" Target="https://www.emtekinc.co.kr/bbs/board.php?bo_table=product&amp;wr_id=1990" TargetMode="External"/><Relationship Id="rId726" Type="http://schemas.openxmlformats.org/officeDocument/2006/relationships/hyperlink" Target="https://www.emtekinc.co.kr/" TargetMode="External"/><Relationship Id="rId725" Type="http://schemas.openxmlformats.org/officeDocument/2006/relationships/hyperlink" Target="https://www.emtekinc.co.kr/bbs/board.php?bo_table=product&amp;wr_id=1999" TargetMode="External"/><Relationship Id="rId724" Type="http://schemas.openxmlformats.org/officeDocument/2006/relationships/hyperlink" Target="https://www.emtekinc.co.kr/" TargetMode="External"/><Relationship Id="rId3971" Type="http://schemas.openxmlformats.org/officeDocument/2006/relationships/hyperlink" Target="http://www.szgalaxy.com/__ZH_GB__/Product5/ProductDetail?proID=906" TargetMode="External"/><Relationship Id="rId2640" Type="http://schemas.openxmlformats.org/officeDocument/2006/relationships/hyperlink" Target="https://www.manli.com/en/product-detail-Manli_GeForce_RTX%E2%84%A2_3080_10GB_LHR_(M3514+N612-01)-282.html" TargetMode="External"/><Relationship Id="rId3970" Type="http://schemas.openxmlformats.org/officeDocument/2006/relationships/hyperlink" Target="https://www.galax.com/en/" TargetMode="External"/><Relationship Id="rId1310" Type="http://schemas.openxmlformats.org/officeDocument/2006/relationships/hyperlink" Target="https://www.galax.com/en/graphics-card/20-series/galax-geforce-rtx-2080-ex-oc.html" TargetMode="External"/><Relationship Id="rId2641" Type="http://schemas.openxmlformats.org/officeDocument/2006/relationships/hyperlink" Target="https://www.manli.com/en/product-detail-Manli_GeForce_RTX_3080_Gallardo_(M3478_N613-)-244.html" TargetMode="External"/><Relationship Id="rId3973" Type="http://schemas.openxmlformats.org/officeDocument/2006/relationships/hyperlink" Target="http://www.szgalaxy.com/__ZH_GB__/Product5/ProductDetail?proID=905" TargetMode="External"/><Relationship Id="rId1311" Type="http://schemas.openxmlformats.org/officeDocument/2006/relationships/hyperlink" Target="https://www.galax.com/en/" TargetMode="External"/><Relationship Id="rId2642" Type="http://schemas.openxmlformats.org/officeDocument/2006/relationships/hyperlink" Target="https://www.manli.com/en/product-detail-Manli_GeForce_RTX_3080_Gallardo_(M3486+N613-00)-260.html" TargetMode="External"/><Relationship Id="rId3972" Type="http://schemas.openxmlformats.org/officeDocument/2006/relationships/hyperlink" Target="https://www.galax.com/en/" TargetMode="External"/><Relationship Id="rId1301" Type="http://schemas.openxmlformats.org/officeDocument/2006/relationships/hyperlink" Target="https://www.galax.com/en/" TargetMode="External"/><Relationship Id="rId2632" Type="http://schemas.openxmlformats.org/officeDocument/2006/relationships/hyperlink" Target="https://www.inno3d.com/en/product_detail/page/282d8cbadd82fc03d56258ba6f31dde10b316d18b8fd9d5a48a818f3987bc490" TargetMode="External"/><Relationship Id="rId3964" Type="http://schemas.openxmlformats.org/officeDocument/2006/relationships/hyperlink" Target="http://www.gainward.com/main/vgapro.php?id=1163&amp;lang=en" TargetMode="External"/><Relationship Id="rId1302" Type="http://schemas.openxmlformats.org/officeDocument/2006/relationships/hyperlink" Target="https://www.galax.com/en/" TargetMode="External"/><Relationship Id="rId2633" Type="http://schemas.openxmlformats.org/officeDocument/2006/relationships/hyperlink" Target="https://www.inno3d.com/en/product_detail/page/47931769a96c59e47acb48453131d08bf94e89298a826d3e819fbb74a3aca72d" TargetMode="External"/><Relationship Id="rId3963" Type="http://schemas.openxmlformats.org/officeDocument/2006/relationships/hyperlink" Target="http://www.szgainward.cn/Home/ProductDetail?id=314&amp;isStop=1" TargetMode="External"/><Relationship Id="rId1303" Type="http://schemas.openxmlformats.org/officeDocument/2006/relationships/hyperlink" Target="https://www.galax.com/en/" TargetMode="External"/><Relationship Id="rId2634" Type="http://schemas.openxmlformats.org/officeDocument/2006/relationships/hyperlink" Target="https://www.inno3d.com/en/product_detail/page/1f5e803e16925f8997b4fb9cba6f5213965505bd101be54fa28259d6a4de6089" TargetMode="External"/><Relationship Id="rId3966" Type="http://schemas.openxmlformats.org/officeDocument/2006/relationships/hyperlink" Target="https://www.galax.com/en/" TargetMode="External"/><Relationship Id="rId1304" Type="http://schemas.openxmlformats.org/officeDocument/2006/relationships/hyperlink" Target="https://www.galax.com/en/" TargetMode="External"/><Relationship Id="rId2635" Type="http://schemas.openxmlformats.org/officeDocument/2006/relationships/hyperlink" Target="https://www.inno3d.com/en/product_detail/page/584a235dab677ccbede9e200a258f69815745d88dabf1fb3b341bf481a3d29b0" TargetMode="External"/><Relationship Id="rId3965" Type="http://schemas.openxmlformats.org/officeDocument/2006/relationships/hyperlink" Target="http://www.gainward.com/main/vgapro.php?id=1162&amp;lang=en" TargetMode="External"/><Relationship Id="rId1305" Type="http://schemas.openxmlformats.org/officeDocument/2006/relationships/hyperlink" Target="https://www.galax.com/en/" TargetMode="External"/><Relationship Id="rId2636" Type="http://schemas.openxmlformats.org/officeDocument/2006/relationships/hyperlink" Target="https://www.inno3d.com/en/product_detail/page/611a700ea7428214f2f4282c1849aed34353c12ec45f8e561bc641e3f85035ea" TargetMode="External"/><Relationship Id="rId3968" Type="http://schemas.openxmlformats.org/officeDocument/2006/relationships/hyperlink" Target="https://www.galax.com/en/" TargetMode="External"/><Relationship Id="rId1306" Type="http://schemas.openxmlformats.org/officeDocument/2006/relationships/hyperlink" Target="https://www.galax.com/en/graphics-card/20-series/galax-geforce-rtx-2080-ex.html" TargetMode="External"/><Relationship Id="rId2637" Type="http://schemas.openxmlformats.org/officeDocument/2006/relationships/hyperlink" Target="https://www.leadtek.com/eng/" TargetMode="External"/><Relationship Id="rId3967" Type="http://schemas.openxmlformats.org/officeDocument/2006/relationships/hyperlink" Target="http://www.szgalaxy.com/__ZH_GB__/Product5/ProductDetail?proID=872" TargetMode="External"/><Relationship Id="rId1307" Type="http://schemas.openxmlformats.org/officeDocument/2006/relationships/hyperlink" Target="https://www.galax.com/en/" TargetMode="External"/><Relationship Id="rId2638" Type="http://schemas.openxmlformats.org/officeDocument/2006/relationships/hyperlink" Target="https://www.leadtek.com/eng/products/graphics_cards(1)/WinFast_RTX_3080_HURRICANE(30895)/detail" TargetMode="External"/><Relationship Id="rId1308" Type="http://schemas.openxmlformats.org/officeDocument/2006/relationships/hyperlink" Target="https://www.galax.com/en/graphics-card/20-series/galax-geforce-rtx-2080-ex-nc.html" TargetMode="External"/><Relationship Id="rId2639" Type="http://schemas.openxmlformats.org/officeDocument/2006/relationships/hyperlink" Target="https://www.manli.com/en/product-detail-Manli_GeForce_RTX_3080_-_10GB_(M3478+N613-00)-234.html" TargetMode="External"/><Relationship Id="rId3969" Type="http://schemas.openxmlformats.org/officeDocument/2006/relationships/hyperlink" Target="http://www.szgalaxy.com/__ZH_GB__/Product5/ProductDetail?proID=871" TargetMode="External"/><Relationship Id="rId1309" Type="http://schemas.openxmlformats.org/officeDocument/2006/relationships/hyperlink" Target="https://www.galax.com/en/" TargetMode="External"/><Relationship Id="rId719" Type="http://schemas.openxmlformats.org/officeDocument/2006/relationships/hyperlink" Target="https://en.colorful.cn/product_show.aspx?mid=102&amp;id=1754" TargetMode="External"/><Relationship Id="rId718" Type="http://schemas.openxmlformats.org/officeDocument/2006/relationships/hyperlink" Target="https://en.colorful.cn/en/" TargetMode="External"/><Relationship Id="rId717" Type="http://schemas.openxmlformats.org/officeDocument/2006/relationships/hyperlink" Target="https://en.colorful.cn/product_show.aspx?mid=102&amp;id=1755" TargetMode="External"/><Relationship Id="rId712" Type="http://schemas.openxmlformats.org/officeDocument/2006/relationships/hyperlink" Target="https://en.colorful.cn/en/" TargetMode="External"/><Relationship Id="rId711" Type="http://schemas.openxmlformats.org/officeDocument/2006/relationships/hyperlink" Target="https://www.asus.com/motherboards-components/graphics-cards/all-series/TUF3-GTX1660-O6G-GAMING" TargetMode="External"/><Relationship Id="rId710" Type="http://schemas.openxmlformats.org/officeDocument/2006/relationships/hyperlink" Target="https://www.asus.com/motherboards-components/graphics-cards/all-series/TUF3-GTX1660-A6G-GAMING" TargetMode="External"/><Relationship Id="rId716" Type="http://schemas.openxmlformats.org/officeDocument/2006/relationships/hyperlink" Target="https://en.colorful.cn/en/" TargetMode="External"/><Relationship Id="rId715" Type="http://schemas.openxmlformats.org/officeDocument/2006/relationships/hyperlink" Target="https://en.colorful.cn/product_show.aspx?mid=102&amp;id=1756" TargetMode="External"/><Relationship Id="rId714" Type="http://schemas.openxmlformats.org/officeDocument/2006/relationships/hyperlink" Target="https://en.colorful.cn/en/" TargetMode="External"/><Relationship Id="rId713" Type="http://schemas.openxmlformats.org/officeDocument/2006/relationships/hyperlink" Target="https://en.colorful.cn/product_show.aspx?mid=102&amp;id=1761" TargetMode="External"/><Relationship Id="rId3960" Type="http://schemas.openxmlformats.org/officeDocument/2006/relationships/hyperlink" Target="https://en.colorful.cn/en/" TargetMode="External"/><Relationship Id="rId2630" Type="http://schemas.openxmlformats.org/officeDocument/2006/relationships/hyperlink" Target="https://www.inno3d.com/en/product_detail/page/b428f021e6ba7db3eaf0422382fc2231151f585068b959999992cc73bfd6ff1d" TargetMode="External"/><Relationship Id="rId3962" Type="http://schemas.openxmlformats.org/officeDocument/2006/relationships/hyperlink" Target="http://www.szgainward.cn/Home/ProductDetail?id=315&amp;isStop=1" TargetMode="External"/><Relationship Id="rId1300" Type="http://schemas.openxmlformats.org/officeDocument/2006/relationships/hyperlink" Target="http://www.gainward.com/main/vgapro.php?id=1021&amp;lang=en" TargetMode="External"/><Relationship Id="rId2631" Type="http://schemas.openxmlformats.org/officeDocument/2006/relationships/hyperlink" Target="https://www.inno3d.com/en/product_detail/page/dc25bf193b8cbbe16898d9924640e8221dccad6e4ef2d301aa4324317367cdf5" TargetMode="External"/><Relationship Id="rId3961" Type="http://schemas.openxmlformats.org/officeDocument/2006/relationships/hyperlink" Target="https://en.colorful.cn/en/home/product?mid=102&amp;id=1926" TargetMode="External"/><Relationship Id="rId3117" Type="http://schemas.openxmlformats.org/officeDocument/2006/relationships/hyperlink" Target="https://www.msi.com/Graphics-Card/GeForce-RTX-4060-GAMING-X-8G-MLG" TargetMode="External"/><Relationship Id="rId3116" Type="http://schemas.openxmlformats.org/officeDocument/2006/relationships/hyperlink" Target="https://www.msi.com/Graphics-Card/GeForce-RTX-4060-GAMING-X-8G" TargetMode="External"/><Relationship Id="rId3119" Type="http://schemas.openxmlformats.org/officeDocument/2006/relationships/hyperlink" Target="http://www.palit.com/palit/vgapro.php?id=4908&amp;lang=en" TargetMode="External"/><Relationship Id="rId3118" Type="http://schemas.openxmlformats.org/officeDocument/2006/relationships/hyperlink" Target="https://www.msi.com/Graphics-Card/GeForce-RTX-4060-GAMING-X-NV-EDITION-8G" TargetMode="External"/><Relationship Id="rId3111" Type="http://schemas.openxmlformats.org/officeDocument/2006/relationships/hyperlink" Target="https://www.maxsun.com/products/geforce-rtx4060-icraft-oc-8g-limited?_pos=4&amp;_fid=95cee58b2&amp;_ss=c" TargetMode="External"/><Relationship Id="rId3110" Type="http://schemas.openxmlformats.org/officeDocument/2006/relationships/hyperlink" Target="https://www.maxsun.com/" TargetMode="External"/><Relationship Id="rId3113" Type="http://schemas.openxmlformats.org/officeDocument/2006/relationships/hyperlink" Target="https://www.msi.com/Graphics-Card/GeForce-RTX-4060-VENTUS-3X-8G-OC" TargetMode="External"/><Relationship Id="rId3112" Type="http://schemas.openxmlformats.org/officeDocument/2006/relationships/hyperlink" Target="https://www.msi.com/Graphics-Card/GeForce-RTX-4060-VENTUS-3X-8G" TargetMode="External"/><Relationship Id="rId3115" Type="http://schemas.openxmlformats.org/officeDocument/2006/relationships/hyperlink" Target="https://www.msi.com/Graphics-Card/GeForce-RTX-4060-GAMING-8G-MLG" TargetMode="External"/><Relationship Id="rId3114" Type="http://schemas.openxmlformats.org/officeDocument/2006/relationships/hyperlink" Target="https://www.msi.com/Graphics-Card/GeForce-RTX-4060-GAMING-8G" TargetMode="External"/><Relationship Id="rId3106" Type="http://schemas.openxmlformats.org/officeDocument/2006/relationships/hyperlink" Target="https://www.maxsun.com/" TargetMode="External"/><Relationship Id="rId3105" Type="http://schemas.openxmlformats.org/officeDocument/2006/relationships/hyperlink" Target="https://www.maxsun.com/products/geforce-rtx4060-terminator-w-8g?_pos=7&amp;_fid=95cee58b2&amp;_ss=c" TargetMode="External"/><Relationship Id="rId3108" Type="http://schemas.openxmlformats.org/officeDocument/2006/relationships/hyperlink" Target="https://www.maxsun.com/" TargetMode="External"/><Relationship Id="rId3107" Type="http://schemas.openxmlformats.org/officeDocument/2006/relationships/hyperlink" Target="https://www.maxsun.com/products/geforce-rtx4060-icraft-oc-8g-limitedx2?_pos=1&amp;_fid=95cee58b2&amp;_ss=c" TargetMode="External"/><Relationship Id="rId3109" Type="http://schemas.openxmlformats.org/officeDocument/2006/relationships/hyperlink" Target="https://www.maxsun.com/products/geforce-rtx-4060-icraft-oc8g?_pos=8&amp;_fid=95cee58b2&amp;_ss=c" TargetMode="External"/><Relationship Id="rId3100" Type="http://schemas.openxmlformats.org/officeDocument/2006/relationships/hyperlink" Target="https://www.inno3d.com/en/PRODUCT_INNO3D_GEFORCE_RTX_4060_TWINX2_OC" TargetMode="External"/><Relationship Id="rId3102" Type="http://schemas.openxmlformats.org/officeDocument/2006/relationships/hyperlink" Target="https://www.maxsun.com/" TargetMode="External"/><Relationship Id="rId3101" Type="http://schemas.openxmlformats.org/officeDocument/2006/relationships/hyperlink" Target="https://www.inno3d.com/en/PRODUCT_INNO3D_GEFORCE_RTX_4060_TWINX2_OC_WHITE" TargetMode="External"/><Relationship Id="rId3104" Type="http://schemas.openxmlformats.org/officeDocument/2006/relationships/hyperlink" Target="https://www.maxsun.com/" TargetMode="External"/><Relationship Id="rId3103" Type="http://schemas.openxmlformats.org/officeDocument/2006/relationships/hyperlink" Target="https://www.maxsun.com.cn/2023/0630/6022.html" TargetMode="External"/><Relationship Id="rId3139" Type="http://schemas.openxmlformats.org/officeDocument/2006/relationships/hyperlink" Target="https://www.zotac.com/" TargetMode="External"/><Relationship Id="rId3138" Type="http://schemas.openxmlformats.org/officeDocument/2006/relationships/hyperlink" Target="https://www.zotac.com/hk/product/graphics_card/zotac-gaming-geforce-rtx-4060-8gb-twin-edge" TargetMode="External"/><Relationship Id="rId3131" Type="http://schemas.openxmlformats.org/officeDocument/2006/relationships/hyperlink" Target="https://www.zotac.com/" TargetMode="External"/><Relationship Id="rId3130" Type="http://schemas.openxmlformats.org/officeDocument/2006/relationships/hyperlink" Target="https://www.zotac.com/cn/product/graphics_card/%E7%B4%A2%E6%B3%B0-geforcertx-4060-8gb-%E6%AF%81%E7%81%AD%E8%80%85-oc-ha" TargetMode="External"/><Relationship Id="rId3133" Type="http://schemas.openxmlformats.org/officeDocument/2006/relationships/hyperlink" Target="https://www.zotac.com/" TargetMode="External"/><Relationship Id="rId3132" Type="http://schemas.openxmlformats.org/officeDocument/2006/relationships/hyperlink" Target="https://www.zotac.com/cn/product/graphics_card/%E7%B4%A2%E6%B3%B0-geforce-rtx-4060-8gb-x-gaming-oc-twin" TargetMode="External"/><Relationship Id="rId3135" Type="http://schemas.openxmlformats.org/officeDocument/2006/relationships/hyperlink" Target="https://www.zotac.com/" TargetMode="External"/><Relationship Id="rId3134" Type="http://schemas.openxmlformats.org/officeDocument/2006/relationships/hyperlink" Target="https://www.zotac.com/cn/product/graphics_card/%E7%B4%A2%E6%B3%B0-geforce-rtx-4060-8gb-x-gaming-oc-%E6%AC%A7%E6%B3%8A%E7%99%BD" TargetMode="External"/><Relationship Id="rId3137" Type="http://schemas.openxmlformats.org/officeDocument/2006/relationships/hyperlink" Target="https://www.zotac.com/" TargetMode="External"/><Relationship Id="rId3136" Type="http://schemas.openxmlformats.org/officeDocument/2006/relationships/hyperlink" Target="https://www.zotac.com/cn/product/graphics_card/%E7%B4%A2%E6%B3%B0-geforce-rtx-4060-8gb-%E5%A4%A9%E5%90%AF-oc" TargetMode="External"/><Relationship Id="rId3128" Type="http://schemas.openxmlformats.org/officeDocument/2006/relationships/hyperlink" Target="http://www.yeston.net/products-detail/id-11.html" TargetMode="External"/><Relationship Id="rId3127" Type="http://schemas.openxmlformats.org/officeDocument/2006/relationships/hyperlink" Target="http://www.yeston.net/" TargetMode="External"/><Relationship Id="rId3129" Type="http://schemas.openxmlformats.org/officeDocument/2006/relationships/hyperlink" Target="https://www.zotac.com/" TargetMode="External"/><Relationship Id="rId3120" Type="http://schemas.openxmlformats.org/officeDocument/2006/relationships/hyperlink" Target="http://www.palit.com/palit/vgapro.php?id=4938&amp;lang=en" TargetMode="External"/><Relationship Id="rId3122" Type="http://schemas.openxmlformats.org/officeDocument/2006/relationships/hyperlink" Target="http://www.palit.com/palit/vgapro.php?id=4928&amp;lang=en" TargetMode="External"/><Relationship Id="rId3121" Type="http://schemas.openxmlformats.org/officeDocument/2006/relationships/hyperlink" Target="http://www.palit.com/palit/vgapro.php?id=4898&amp;lang=en" TargetMode="External"/><Relationship Id="rId3124" Type="http://schemas.openxmlformats.org/officeDocument/2006/relationships/hyperlink" Target="https://www.pny.com/pny-geforce-rtx-4060-8gb-xlr8-gaming-verto-epic-x-rgb-overclocked-triple-fan" TargetMode="External"/><Relationship Id="rId3123" Type="http://schemas.openxmlformats.org/officeDocument/2006/relationships/hyperlink" Target="https://www.pny.com/pny-geforce-rtx-4060-8gb-xlr8-gaming-verto-epic-x-rgb-triple-fan" TargetMode="External"/><Relationship Id="rId3126" Type="http://schemas.openxmlformats.org/officeDocument/2006/relationships/hyperlink" Target="http://www.yeston.net/products-detail/id-34.html" TargetMode="External"/><Relationship Id="rId3125" Type="http://schemas.openxmlformats.org/officeDocument/2006/relationships/hyperlink" Target="http://www.yeston.net/" TargetMode="External"/><Relationship Id="rId1378" Type="http://schemas.openxmlformats.org/officeDocument/2006/relationships/hyperlink" Target="https://en.colorful.cn/en/" TargetMode="External"/><Relationship Id="rId1379" Type="http://schemas.openxmlformats.org/officeDocument/2006/relationships/hyperlink" Target="https://en.colorful.cn/product_show.aspx?mid=102&amp;id=1713" TargetMode="External"/><Relationship Id="rId789" Type="http://schemas.openxmlformats.org/officeDocument/2006/relationships/hyperlink" Target="http://www.pcasl.com/index.jsp" TargetMode="External"/><Relationship Id="rId788" Type="http://schemas.openxmlformats.org/officeDocument/2006/relationships/hyperlink" Target="https://www.msi.com/Graphics-Card/GeForce-GTX-1660-SUPER-GAMING-Z-PLUS" TargetMode="External"/><Relationship Id="rId787" Type="http://schemas.openxmlformats.org/officeDocument/2006/relationships/hyperlink" Target="https://www.msi.com/Graphics-Card/GeForce-GTX-1660-SUPER-GAMING-PLUS" TargetMode="External"/><Relationship Id="rId786" Type="http://schemas.openxmlformats.org/officeDocument/2006/relationships/hyperlink" Target="https://www.msi.com/Graphics-card/GeForce-GTX-1660-SUPER-GAMING-X" TargetMode="External"/><Relationship Id="rId781" Type="http://schemas.openxmlformats.org/officeDocument/2006/relationships/hyperlink" Target="https://www.leadtek.com/eng/" TargetMode="External"/><Relationship Id="rId1370" Type="http://schemas.openxmlformats.org/officeDocument/2006/relationships/hyperlink" Target="https://rog.asus.com/Graphics-Cards/Graphics-Cards/ROG-Strix/ROG-STRIX-RTX2080S-8G-GAMING-Model/" TargetMode="External"/><Relationship Id="rId780" Type="http://schemas.openxmlformats.org/officeDocument/2006/relationships/hyperlink" Target="https://www.inno3d.com/en/product_detail/page/5d6453ed20056d062b93d51fb8ce53cfc2fb552ecc067293327b11588f18924f" TargetMode="External"/><Relationship Id="rId1371" Type="http://schemas.openxmlformats.org/officeDocument/2006/relationships/hyperlink" Target="https://rog.asus.com/Graphics-Cards/Graphics-Cards/ROG-Strix/ROG-STRIX-RTX2080S-A8G-GAMING-Model/" TargetMode="External"/><Relationship Id="rId1372" Type="http://schemas.openxmlformats.org/officeDocument/2006/relationships/hyperlink" Target="https://rog.asus.com/Graphics-Cards/Graphics-Cards/ROG-Strix/ROG-STRIX-RTX2080S-O8G-GAMING-Model/" TargetMode="External"/><Relationship Id="rId1373" Type="http://schemas.openxmlformats.org/officeDocument/2006/relationships/hyperlink" Target="https://rog.asus.com/Graphics-Cards/Graphics-Cards/ROG-Strix/ROG-STRIX-RTX2080S-O8G-WHITE-GAMING-Model/" TargetMode="External"/><Relationship Id="rId785" Type="http://schemas.openxmlformats.org/officeDocument/2006/relationships/hyperlink" Target="https://www.msi.com/Graphics-card/GeForce-GTX-1660-SUPER-GAMING" TargetMode="External"/><Relationship Id="rId1374" Type="http://schemas.openxmlformats.org/officeDocument/2006/relationships/hyperlink" Target="https://en.colorful.cn/en/" TargetMode="External"/><Relationship Id="rId784" Type="http://schemas.openxmlformats.org/officeDocument/2006/relationships/hyperlink" Target="https://www.msi.com/Graphics-Card/GeForce-GTX-1660-SUPER-VENTUS-OC" TargetMode="External"/><Relationship Id="rId1375" Type="http://schemas.openxmlformats.org/officeDocument/2006/relationships/hyperlink" Target="https://en.colorful.cn/product_show.aspx?mid=102&amp;id=1715" TargetMode="External"/><Relationship Id="rId783" Type="http://schemas.openxmlformats.org/officeDocument/2006/relationships/hyperlink" Target="https://www.msi.com/Graphics-Card/GeForce-GTX-1660-SUPER-VENTUS" TargetMode="External"/><Relationship Id="rId1376" Type="http://schemas.openxmlformats.org/officeDocument/2006/relationships/hyperlink" Target="https://en.colorful.cn/en/" TargetMode="External"/><Relationship Id="rId782" Type="http://schemas.openxmlformats.org/officeDocument/2006/relationships/hyperlink" Target="https://www.leadtek.com/eng/products/graphics_cards(1)/WinFast_GTX_1660_SUPER_CLASSIC_6G(30845)/detail" TargetMode="External"/><Relationship Id="rId1377" Type="http://schemas.openxmlformats.org/officeDocument/2006/relationships/hyperlink" Target="https://en.colorful.cn/product_show.aspx?mid=102&amp;id=1714" TargetMode="External"/><Relationship Id="rId1367" Type="http://schemas.openxmlformats.org/officeDocument/2006/relationships/hyperlink" Target="https://www.asus.com/motherboards-components/graphics-cards/all-series/DUAL-RTX2080S-O8G-EVO" TargetMode="External"/><Relationship Id="rId2698" Type="http://schemas.openxmlformats.org/officeDocument/2006/relationships/hyperlink" Target="https://www.zotac.com/product/graphics_card/zotac-gaming-geforce-rtx-3080-amp-holo" TargetMode="External"/><Relationship Id="rId1368" Type="http://schemas.openxmlformats.org/officeDocument/2006/relationships/hyperlink" Target="https://www.asus.com/motherboards-components/graphics-cards/all-series/DUAL-RTX2080S-8G-EVO-V2" TargetMode="External"/><Relationship Id="rId2699" Type="http://schemas.openxmlformats.org/officeDocument/2006/relationships/hyperlink" Target="https://www.zotac.com/product/graphics_card/zotac-gaming-geforce-rtx-3080-amp-holo-lhr" TargetMode="External"/><Relationship Id="rId1369" Type="http://schemas.openxmlformats.org/officeDocument/2006/relationships/hyperlink" Target="https://www.asus.com/motherboards-components/graphics-cards/all-series/DUAL-RTX2080S-O8G-EVO-V2" TargetMode="External"/><Relationship Id="rId778" Type="http://schemas.openxmlformats.org/officeDocument/2006/relationships/hyperlink" Target="https://www.gigabyte.com/Graphics-Card/GV-N166SAORUS-6GD" TargetMode="External"/><Relationship Id="rId777" Type="http://schemas.openxmlformats.org/officeDocument/2006/relationships/hyperlink" Target="https://www.gigabyte.com/Graphics-Card/GV-N166SGAMING-OC-6GD" TargetMode="External"/><Relationship Id="rId776" Type="http://schemas.openxmlformats.org/officeDocument/2006/relationships/hyperlink" Target="https://www.gigabyte.com/Graphics-Card/GV-N166SGAMING-6GD" TargetMode="External"/><Relationship Id="rId775" Type="http://schemas.openxmlformats.org/officeDocument/2006/relationships/hyperlink" Target="https://www.galax.com/en/" TargetMode="External"/><Relationship Id="rId779" Type="http://schemas.openxmlformats.org/officeDocument/2006/relationships/hyperlink" Target="https://www.inno3d.com/en/product_detail/page/1c2245a5b78994c143a1b7a9a6de28e53243c65648122356a0f92b26bd0858ee" TargetMode="External"/><Relationship Id="rId770" Type="http://schemas.openxmlformats.org/officeDocument/2006/relationships/hyperlink" Target="https://www.emtekinc.co.kr/" TargetMode="External"/><Relationship Id="rId2690" Type="http://schemas.openxmlformats.org/officeDocument/2006/relationships/hyperlink" Target="https://www.zotac.com/cn/product/graphics_card/%E7%B4%A2%E6%B3%B0-geforce%C2%AE-rtx-3080-10g6x-pgf-oc" TargetMode="External"/><Relationship Id="rId1360" Type="http://schemas.openxmlformats.org/officeDocument/2006/relationships/hyperlink" Target="http://www.palit.com/palit/vgapro.php?id=3048&amp;lang=en" TargetMode="External"/><Relationship Id="rId2691" Type="http://schemas.openxmlformats.org/officeDocument/2006/relationships/hyperlink" Target="https://www.zotac.com/cn/product/graphics_card/%E7%B4%A2%E6%B3%B0-geforce%C2%AE-rtx-3080-10g6x-pgf-goc" TargetMode="External"/><Relationship Id="rId1361" Type="http://schemas.openxmlformats.org/officeDocument/2006/relationships/hyperlink" Target="http://www.palit.com/palit/vgapro.php?id=3034&amp;lang=en" TargetMode="External"/><Relationship Id="rId2692" Type="http://schemas.openxmlformats.org/officeDocument/2006/relationships/hyperlink" Target="https://www.zotac.com/product/graphics_card/zotac-gaming-geforce-rtx-3080-trinity" TargetMode="External"/><Relationship Id="rId1362" Type="http://schemas.openxmlformats.org/officeDocument/2006/relationships/hyperlink" Target="http://www.palit.com/palit/vgapro.php?id=3027&amp;lang=en" TargetMode="External"/><Relationship Id="rId2693" Type="http://schemas.openxmlformats.org/officeDocument/2006/relationships/hyperlink" Target="https://www.zotac.com/product/graphics_card/zotac-gaming-geforce-rtx-3080-trinity-lhr" TargetMode="External"/><Relationship Id="rId774" Type="http://schemas.openxmlformats.org/officeDocument/2006/relationships/hyperlink" Target="https://www.galax.com/en/" TargetMode="External"/><Relationship Id="rId1363" Type="http://schemas.openxmlformats.org/officeDocument/2006/relationships/hyperlink" Target="http://www.pcasl.com/index.jsp" TargetMode="External"/><Relationship Id="rId2694" Type="http://schemas.openxmlformats.org/officeDocument/2006/relationships/hyperlink" Target="https://www.zotac.com/product/graphics_card/zotac-gaming-geforce-rtx-3080-trinity-oc" TargetMode="External"/><Relationship Id="rId773" Type="http://schemas.openxmlformats.org/officeDocument/2006/relationships/hyperlink" Target="https://www.galax.com/en/" TargetMode="External"/><Relationship Id="rId1364" Type="http://schemas.openxmlformats.org/officeDocument/2006/relationships/hyperlink" Target="http://www.pcasl.com/pd.jsp?id=137" TargetMode="External"/><Relationship Id="rId2695" Type="http://schemas.openxmlformats.org/officeDocument/2006/relationships/hyperlink" Target="https://www.zotac.com/product/graphics_card/zotac-gaming-geforce-rtx-3080-trinity-oc-lhr" TargetMode="External"/><Relationship Id="rId772" Type="http://schemas.openxmlformats.org/officeDocument/2006/relationships/hyperlink" Target="https://www.galax.com/en/" TargetMode="External"/><Relationship Id="rId1365" Type="http://schemas.openxmlformats.org/officeDocument/2006/relationships/hyperlink" Target="https://www.asus.com/motherboards-components/graphics-cards/turbo/TURBO-RTX2080S-8G-EVO" TargetMode="External"/><Relationship Id="rId2696" Type="http://schemas.openxmlformats.org/officeDocument/2006/relationships/hyperlink" Target="https://www.zotac.com/product/graphics_card/zotac-gaming-geforce-rtx-3080-trinity-oc-white-edition" TargetMode="External"/><Relationship Id="rId771" Type="http://schemas.openxmlformats.org/officeDocument/2006/relationships/hyperlink" Target="https://www.emtekinc.co.kr/bbs/board.php?bo_table=product&amp;wr_id=2232" TargetMode="External"/><Relationship Id="rId1366" Type="http://schemas.openxmlformats.org/officeDocument/2006/relationships/hyperlink" Target="https://www.asus.com/motherboards-components/graphics-cards/all-series/DUAL-RTX2080S-8G-EVO" TargetMode="External"/><Relationship Id="rId2697" Type="http://schemas.openxmlformats.org/officeDocument/2006/relationships/hyperlink" Target="https://www.zotac.com/product/graphics_card/zotac-gaming-geforce-rtx-3080-trinity-oc-white-edition-lhr" TargetMode="External"/><Relationship Id="rId1390" Type="http://schemas.openxmlformats.org/officeDocument/2006/relationships/hyperlink" Target="https://www.emtekinc.co.kr/" TargetMode="External"/><Relationship Id="rId1391" Type="http://schemas.openxmlformats.org/officeDocument/2006/relationships/hyperlink" Target="https://www.emtekinc.co.kr/bbs/board.php?bo_table=product&amp;wr_id=2023" TargetMode="External"/><Relationship Id="rId1392" Type="http://schemas.openxmlformats.org/officeDocument/2006/relationships/hyperlink" Target="https://www.emtekinc.co.kr/" TargetMode="External"/><Relationship Id="rId1393" Type="http://schemas.openxmlformats.org/officeDocument/2006/relationships/hyperlink" Target="https://www.emtekinc.co.kr/bbs/board.php?bo_table=product&amp;wr_id=2108" TargetMode="External"/><Relationship Id="rId1394" Type="http://schemas.openxmlformats.org/officeDocument/2006/relationships/hyperlink" Target="https://www.evga.com/products/specs/gpu.aspx?pn=D90B1958-4BF8-42EA-8786-5CE370AACE48" TargetMode="External"/><Relationship Id="rId1395" Type="http://schemas.openxmlformats.org/officeDocument/2006/relationships/hyperlink" Target="https://www.evga.com/products/specs/gpu.aspx?pn=EC695AC2-33FE-4CA8-A2C4-ACD6D6233825" TargetMode="External"/><Relationship Id="rId1396" Type="http://schemas.openxmlformats.org/officeDocument/2006/relationships/hyperlink" Target="https://www.evga.com/products/specs/gpu.aspx?pn=8D4F60C5-948C-40F4-95E0-C6C5429D4298" TargetMode="External"/><Relationship Id="rId1397" Type="http://schemas.openxmlformats.org/officeDocument/2006/relationships/hyperlink" Target="https://www.evga.com/products/specs/gpu.aspx?pn=3B12F484-F0C8-4A29-8FB0-92A74D73CDBD" TargetMode="External"/><Relationship Id="rId1398" Type="http://schemas.openxmlformats.org/officeDocument/2006/relationships/hyperlink" Target="https://www.evga.com/products/specs/gpu.aspx?pn=8D461CE8-FF03-456A-A0BF-E71B6B4CD296" TargetMode="External"/><Relationship Id="rId1399" Type="http://schemas.openxmlformats.org/officeDocument/2006/relationships/hyperlink" Target="https://www.evga.com/products/specs/gpu.aspx?pn=BB647F39-EDDD-4F6E-BCE8-540FAEC4E094" TargetMode="External"/><Relationship Id="rId1389" Type="http://schemas.openxmlformats.org/officeDocument/2006/relationships/hyperlink" Target="https://www.emtekinc.co.kr/bbs/board.php?bo_table=product&amp;wr_id=2034" TargetMode="External"/><Relationship Id="rId799" Type="http://schemas.openxmlformats.org/officeDocument/2006/relationships/hyperlink" Target="https://rog.asus.com/Graphics-Cards/Graphics-Cards/ROG-Strix/ROG-STRIX-GTX1660TI-A6G-GAMING-Model/" TargetMode="External"/><Relationship Id="rId798" Type="http://schemas.openxmlformats.org/officeDocument/2006/relationships/hyperlink" Target="https://rog.asus.com/Graphics-Cards/Graphics-Cards/ROG-Strix/ROG-STRIX-GTX1660TI-6G-GAMING-Model/" TargetMode="External"/><Relationship Id="rId797" Type="http://schemas.openxmlformats.org/officeDocument/2006/relationships/hyperlink" Target="https://www.asus.com/motherboards-components/graphics-cards/all-series/TUF3-GTX1660TI-O6G-GAMING" TargetMode="External"/><Relationship Id="rId1380" Type="http://schemas.openxmlformats.org/officeDocument/2006/relationships/hyperlink" Target="https://www.emtekinc.co.kr/" TargetMode="External"/><Relationship Id="rId792" Type="http://schemas.openxmlformats.org/officeDocument/2006/relationships/hyperlink" Target="http://www.pcasl.com/pd.jsp?id=119" TargetMode="External"/><Relationship Id="rId1381" Type="http://schemas.openxmlformats.org/officeDocument/2006/relationships/hyperlink" Target="https://www.emtekinc.co.kr/bbs/board.php?bo_table=product&amp;wr_id=2035" TargetMode="External"/><Relationship Id="rId791" Type="http://schemas.openxmlformats.org/officeDocument/2006/relationships/hyperlink" Target="http://www.pcasl.com/index.jsp" TargetMode="External"/><Relationship Id="rId1382" Type="http://schemas.openxmlformats.org/officeDocument/2006/relationships/hyperlink" Target="https://www.emtekinc.co.kr/" TargetMode="External"/><Relationship Id="rId790" Type="http://schemas.openxmlformats.org/officeDocument/2006/relationships/hyperlink" Target="http://www.pcasl.com/pd.jsp?id=103" TargetMode="External"/><Relationship Id="rId1383" Type="http://schemas.openxmlformats.org/officeDocument/2006/relationships/hyperlink" Target="https://www.emtekinc.co.kr/bbs/board.php?bo_table=product&amp;wr_id=2022" TargetMode="External"/><Relationship Id="rId1384" Type="http://schemas.openxmlformats.org/officeDocument/2006/relationships/hyperlink" Target="https://www.emtekinc.co.kr/" TargetMode="External"/><Relationship Id="rId796" Type="http://schemas.openxmlformats.org/officeDocument/2006/relationships/hyperlink" Target="https://www.asus.com/motherboards-components/graphics-cards/all-series/TUF3-GTX1660TI-A6G-GAMING" TargetMode="External"/><Relationship Id="rId1385" Type="http://schemas.openxmlformats.org/officeDocument/2006/relationships/hyperlink" Target="https://www.emtekinc.co.kr/bbs/board.php?bo_table=product&amp;wr_id=2080" TargetMode="External"/><Relationship Id="rId795" Type="http://schemas.openxmlformats.org/officeDocument/2006/relationships/hyperlink" Target="https://www.asus.com/motherboards-components/graphics-cards/all-series/TUF3-GTX1660TI-6G-GAMING" TargetMode="External"/><Relationship Id="rId1386" Type="http://schemas.openxmlformats.org/officeDocument/2006/relationships/hyperlink" Target="https://www.emtekinc.co.kr/" TargetMode="External"/><Relationship Id="rId794" Type="http://schemas.openxmlformats.org/officeDocument/2006/relationships/hyperlink" Target="https://www.asus.com/motherboards-components/graphics-cards/all-series/DUAL-GTX1660TI-O6G-EVO" TargetMode="External"/><Relationship Id="rId1387" Type="http://schemas.openxmlformats.org/officeDocument/2006/relationships/hyperlink" Target="https://www.emtekinc.co.kr/bbs/board.php?bo_table=product&amp;wr_id=2079" TargetMode="External"/><Relationship Id="rId793" Type="http://schemas.openxmlformats.org/officeDocument/2006/relationships/hyperlink" Target="https://www.asus.com/motherboards-components/graphics-cards/all-series/DUAL-GTX1660TI-6G-EVO" TargetMode="External"/><Relationship Id="rId1388" Type="http://schemas.openxmlformats.org/officeDocument/2006/relationships/hyperlink" Target="https://www.emtekinc.co.kr/" TargetMode="External"/><Relationship Id="rId3191" Type="http://schemas.openxmlformats.org/officeDocument/2006/relationships/hyperlink" Target="https://www.gigabyte.com/Graphics-Card/GV-N406TEAGLE-8GD" TargetMode="External"/><Relationship Id="rId3190" Type="http://schemas.openxmlformats.org/officeDocument/2006/relationships/hyperlink" Target="https://www.galax.com/en/graphics-card/40-series/4060ti-series/geforce-rtx-4060ti-8gb-ex-w.html" TargetMode="External"/><Relationship Id="rId3193" Type="http://schemas.openxmlformats.org/officeDocument/2006/relationships/hyperlink" Target="https://www.gigabyte.com/Graphics-Card/GV-N406TEAGLEOC-ICE-8GD" TargetMode="External"/><Relationship Id="rId3192" Type="http://schemas.openxmlformats.org/officeDocument/2006/relationships/hyperlink" Target="https://www.gigabyte.com/Graphics-Card/GV-N406TEAGLE-OC-8GD" TargetMode="External"/><Relationship Id="rId3195" Type="http://schemas.openxmlformats.org/officeDocument/2006/relationships/hyperlink" Target="https://www.gigabyte.com/Graphics-Card/GV-N406TGAMING-OC-8GD" TargetMode="External"/><Relationship Id="rId3194" Type="http://schemas.openxmlformats.org/officeDocument/2006/relationships/hyperlink" Target="https://www.gigabyte.com/Graphics-Card/GV-N406TAERO-OC-8GD" TargetMode="External"/><Relationship Id="rId3197" Type="http://schemas.openxmlformats.org/officeDocument/2006/relationships/hyperlink" Target="https://www.inno3d.com/en/PRODUCT_INNO3D_GEFORCE_RTX_4060_TI_8GB_TWINX2" TargetMode="External"/><Relationship Id="rId3196" Type="http://schemas.openxmlformats.org/officeDocument/2006/relationships/hyperlink" Target="https://www.gigabyte.com/Graphics-Card/GV-N406TAORUS-E-8GD" TargetMode="External"/><Relationship Id="rId3199" Type="http://schemas.openxmlformats.org/officeDocument/2006/relationships/hyperlink" Target="https://www.inno3d.com/en/PRODUCT_INNO3D_GEFORCE_RTX_4060_TI_8GB_TWINX2_OC_WHITE" TargetMode="External"/><Relationship Id="rId3198" Type="http://schemas.openxmlformats.org/officeDocument/2006/relationships/hyperlink" Target="https://www.inno3d.com/en/PRODUCT_INNO3D_GEFORCE_RTX_4060_TI_8GB_TWINX2_OC" TargetMode="External"/><Relationship Id="rId3180" Type="http://schemas.openxmlformats.org/officeDocument/2006/relationships/hyperlink" Target="http://www.szgalaxy.com/__ZH_GB__/Product5/ProductDetail?proID=997" TargetMode="External"/><Relationship Id="rId3182" Type="http://schemas.openxmlformats.org/officeDocument/2006/relationships/hyperlink" Target="http://www.szgalaxy.com/__ZH_GB__/Product5/ProductDetail?proID=999" TargetMode="External"/><Relationship Id="rId3181" Type="http://schemas.openxmlformats.org/officeDocument/2006/relationships/hyperlink" Target="https://www.galax.com/en/" TargetMode="External"/><Relationship Id="rId3184" Type="http://schemas.openxmlformats.org/officeDocument/2006/relationships/hyperlink" Target="http://www.szgalaxy.com/__ZH_GB__/Product5/ProductDetail?proID=996" TargetMode="External"/><Relationship Id="rId3183" Type="http://schemas.openxmlformats.org/officeDocument/2006/relationships/hyperlink" Target="https://www.galax.com/en/" TargetMode="External"/><Relationship Id="rId3186" Type="http://schemas.openxmlformats.org/officeDocument/2006/relationships/hyperlink" Target="https://www.galax.com/en/graphics-card/40-series/4060ti-series/geforce-rtx-4060ti-8gb-oc.html" TargetMode="External"/><Relationship Id="rId3185" Type="http://schemas.openxmlformats.org/officeDocument/2006/relationships/hyperlink" Target="https://www.galax.com/en/" TargetMode="External"/><Relationship Id="rId3188" Type="http://schemas.openxmlformats.org/officeDocument/2006/relationships/hyperlink" Target="https://www.galax.com/en/graphics-card/40-series/4060ti-series/geforce-rtx-4060ti-8gb-ex.html" TargetMode="External"/><Relationship Id="rId3187" Type="http://schemas.openxmlformats.org/officeDocument/2006/relationships/hyperlink" Target="https://www.galax.com/en/" TargetMode="External"/><Relationship Id="rId3189" Type="http://schemas.openxmlformats.org/officeDocument/2006/relationships/hyperlink" Target="https://www.galax.com/en/" TargetMode="External"/><Relationship Id="rId3151" Type="http://schemas.openxmlformats.org/officeDocument/2006/relationships/hyperlink" Target="https://www.asus.com/motherboards-components/graphics-cards/prime/prime-rtx4060ti-8g/" TargetMode="External"/><Relationship Id="rId3150" Type="http://schemas.openxmlformats.org/officeDocument/2006/relationships/hyperlink" Target="https://www.asus.com/motherboards-components/graphics-cards/dual/dual-rtx4060ti-o8g-white/" TargetMode="External"/><Relationship Id="rId3153" Type="http://schemas.openxmlformats.org/officeDocument/2006/relationships/hyperlink" Target="https://www.asus.com/motherboards-components/graphics-cards/tuf-gaming/tuf-rtx4060ti-8g-gaming/" TargetMode="External"/><Relationship Id="rId3152" Type="http://schemas.openxmlformats.org/officeDocument/2006/relationships/hyperlink" Target="https://www.asus.com/motherboards-components/graphics-cards/prime/prime-rtx4060ti-o8g/" TargetMode="External"/><Relationship Id="rId3155" Type="http://schemas.openxmlformats.org/officeDocument/2006/relationships/hyperlink" Target="https://rog.asus.com/graphics-cards/graphics-cards/rog-strix/rog-strix-rtx4060ti-8g-gaming/" TargetMode="External"/><Relationship Id="rId3154" Type="http://schemas.openxmlformats.org/officeDocument/2006/relationships/hyperlink" Target="https://www.asus.com/motherboards-components/graphics-cards/tuf-gaming/tuf-rtx4060ti-o8g-gaming/" TargetMode="External"/><Relationship Id="rId3157" Type="http://schemas.openxmlformats.org/officeDocument/2006/relationships/hyperlink" Target="https://en.colorful.cn/en/" TargetMode="External"/><Relationship Id="rId3156" Type="http://schemas.openxmlformats.org/officeDocument/2006/relationships/hyperlink" Target="https://rog.asus.com/graphics-cards/graphics-cards/rog-strix/rog-strix-rtx4060ti-o8g-gaming/" TargetMode="External"/><Relationship Id="rId3159" Type="http://schemas.openxmlformats.org/officeDocument/2006/relationships/hyperlink" Target="https://en.colorful.cn/en/" TargetMode="External"/><Relationship Id="rId3158" Type="http://schemas.openxmlformats.org/officeDocument/2006/relationships/hyperlink" Target="https://en.colorful.cn/en/home/product?mid=102&amp;id=d5758f8c-3d43-47c8-9b21-64d3e4923936" TargetMode="External"/><Relationship Id="rId3149" Type="http://schemas.openxmlformats.org/officeDocument/2006/relationships/hyperlink" Target="https://www.asus.com/motherboards-components/graphics-cards/dual/dual-rtx4060ti-8g-white/" TargetMode="External"/><Relationship Id="rId3140" Type="http://schemas.openxmlformats.org/officeDocument/2006/relationships/hyperlink" Target="https://www.zotac.com/hk/product/graphics_card/zotac-gaming-geforce-rtx-4060-8gb-twin-edge-oc" TargetMode="External"/><Relationship Id="rId3142" Type="http://schemas.openxmlformats.org/officeDocument/2006/relationships/hyperlink" Target="https://www.zotac.com/hk/product/graphics_card/zotac-gaming-geforce-rtx-4060-8gb-oc-spider-man-across-spider-verse-bundle" TargetMode="External"/><Relationship Id="rId3141" Type="http://schemas.openxmlformats.org/officeDocument/2006/relationships/hyperlink" Target="https://www.zotac.com/" TargetMode="External"/><Relationship Id="rId3144" Type="http://schemas.openxmlformats.org/officeDocument/2006/relationships/hyperlink" Target="https://www.zotac.com/hk/product/graphics_card/zotac-gaming-geforce-rtx-4060-8gb-twin-edge-oc-white-edition" TargetMode="External"/><Relationship Id="rId3143" Type="http://schemas.openxmlformats.org/officeDocument/2006/relationships/hyperlink" Target="https://www.zotac.com/" TargetMode="External"/><Relationship Id="rId3146" Type="http://schemas.openxmlformats.org/officeDocument/2006/relationships/hyperlink" Target="https://www.asus.com/motherboards-components/graphics-cards/dual/dual-rtx4060ti-o8g/" TargetMode="External"/><Relationship Id="rId3145" Type="http://schemas.openxmlformats.org/officeDocument/2006/relationships/hyperlink" Target="https://www.asus.com/motherboards-components/graphics-cards/dual/dual-rtx4060ti-8g/" TargetMode="External"/><Relationship Id="rId3148" Type="http://schemas.openxmlformats.org/officeDocument/2006/relationships/hyperlink" Target="https://www.asus.com/motherboards-components/graphics-cards/dual/dual-rtx4060ti-o8g-ssd/" TargetMode="External"/><Relationship Id="rId3147" Type="http://schemas.openxmlformats.org/officeDocument/2006/relationships/hyperlink" Target="https://www.asus.com/motherboards-components/graphics-cards/dual/dual-rtx4060ti-8g-ssd/" TargetMode="External"/><Relationship Id="rId3171" Type="http://schemas.openxmlformats.org/officeDocument/2006/relationships/hyperlink" Target="http://www.szgainward.cn/Home/ProductDetail?id=346&amp;isStop=1" TargetMode="External"/><Relationship Id="rId3170" Type="http://schemas.openxmlformats.org/officeDocument/2006/relationships/hyperlink" Target="http://www.szgainward.cn/Home/ProductDetail?id=347&amp;isStop=0" TargetMode="External"/><Relationship Id="rId3173" Type="http://schemas.openxmlformats.org/officeDocument/2006/relationships/hyperlink" Target="https://www.gainward.com/main/vgapro.php?id=1187&amp;lang=en" TargetMode="External"/><Relationship Id="rId3172" Type="http://schemas.openxmlformats.org/officeDocument/2006/relationships/hyperlink" Target="http://www.szgainward.cn/Home/ProductDetail?id=345&amp;isStop=0" TargetMode="External"/><Relationship Id="rId3175" Type="http://schemas.openxmlformats.org/officeDocument/2006/relationships/hyperlink" Target="https://www.galax.com/en/" TargetMode="External"/><Relationship Id="rId3174" Type="http://schemas.openxmlformats.org/officeDocument/2006/relationships/hyperlink" Target="https://www.gainward.com/main/vgapro.php?id=1186&amp;lang=en" TargetMode="External"/><Relationship Id="rId3177" Type="http://schemas.openxmlformats.org/officeDocument/2006/relationships/hyperlink" Target="https://www.galax.com/en/" TargetMode="External"/><Relationship Id="rId3176" Type="http://schemas.openxmlformats.org/officeDocument/2006/relationships/hyperlink" Target="http://www.szgalaxy.com/__ZH_GB__/Product5/ProductDetail?proID=998" TargetMode="External"/><Relationship Id="rId3179" Type="http://schemas.openxmlformats.org/officeDocument/2006/relationships/hyperlink" Target="https://www.galax.com/en/" TargetMode="External"/><Relationship Id="rId3178" Type="http://schemas.openxmlformats.org/officeDocument/2006/relationships/hyperlink" Target="http://www.szgalaxy.com/__ZH_GB__/Product5/ProductDetail?proID=1000" TargetMode="External"/><Relationship Id="rId3160" Type="http://schemas.openxmlformats.org/officeDocument/2006/relationships/hyperlink" Target="https://en.colorful.cn/en/home/product?mid=102&amp;id=91015535-1f45-48b6-b3be-88dd1e802bed" TargetMode="External"/><Relationship Id="rId3162" Type="http://schemas.openxmlformats.org/officeDocument/2006/relationships/hyperlink" Target="https://en.colorful.cn/en/home/product?mid=102&amp;id=d891f680-2e11-4a62-800f-0ae7908b8bbd" TargetMode="External"/><Relationship Id="rId3161" Type="http://schemas.openxmlformats.org/officeDocument/2006/relationships/hyperlink" Target="https://en.colorful.cn/en/" TargetMode="External"/><Relationship Id="rId3164" Type="http://schemas.openxmlformats.org/officeDocument/2006/relationships/hyperlink" Target="https://en.colorful.cn/en/home/product?mid=102&amp;id=76120cfd-64a3-44cc-98db-1b708d7ced37" TargetMode="External"/><Relationship Id="rId3163" Type="http://schemas.openxmlformats.org/officeDocument/2006/relationships/hyperlink" Target="https://en.colorful.cn/en/" TargetMode="External"/><Relationship Id="rId3166" Type="http://schemas.openxmlformats.org/officeDocument/2006/relationships/hyperlink" Target="https://en.colorful.cn/en/home/product?mid=102&amp;id=7758f3b8-b683-41f3-8240-b0cfb38754b4" TargetMode="External"/><Relationship Id="rId3165" Type="http://schemas.openxmlformats.org/officeDocument/2006/relationships/hyperlink" Target="https://en.colorful.cn/en/" TargetMode="External"/><Relationship Id="rId3168" Type="http://schemas.openxmlformats.org/officeDocument/2006/relationships/hyperlink" Target="https://en.colorful.cn/en/home/product?mid=102&amp;id=ead945d8-8356-4f1e-8057-e666b52ae347" TargetMode="External"/><Relationship Id="rId3167" Type="http://schemas.openxmlformats.org/officeDocument/2006/relationships/hyperlink" Target="https://en.colorful.cn/en/" TargetMode="External"/><Relationship Id="rId3169" Type="http://schemas.openxmlformats.org/officeDocument/2006/relationships/hyperlink" Target="http://www.szgainward.cn/Home/ProductDetail?id=348&amp;isStop=0" TargetMode="External"/><Relationship Id="rId2700" Type="http://schemas.openxmlformats.org/officeDocument/2006/relationships/hyperlink" Target="https://www.asus.com/Motherboards-Components/Graphics-Cards/TUF-Gaming/TUF-RTX3080-12G-GAMING/" TargetMode="External"/><Relationship Id="rId2701" Type="http://schemas.openxmlformats.org/officeDocument/2006/relationships/hyperlink" Target="https://www.asus.com/Motherboards-Components/Graphics-Cards/TUF-Gaming/TUF-RTX3080-O12G-GAMING/" TargetMode="External"/><Relationship Id="rId2702" Type="http://schemas.openxmlformats.org/officeDocument/2006/relationships/hyperlink" Target="https://rog.asus.com/graphics-cards/graphics-cards/rog-strix/rog-strix-rtx3080-12g-gaming-model/" TargetMode="External"/><Relationship Id="rId2703" Type="http://schemas.openxmlformats.org/officeDocument/2006/relationships/hyperlink" Target="https://rog.asus.com/graphics-cards/graphics-cards/rog-strix/rog-strix-rtx3080-o12g-gaming-model/" TargetMode="External"/><Relationship Id="rId2704" Type="http://schemas.openxmlformats.org/officeDocument/2006/relationships/hyperlink" Target="https://rog.asus.com/graphics-cards/graphics-cards/rog-strix/rog-strix-rtx3080-o12g-eva-model/" TargetMode="External"/><Relationship Id="rId2705" Type="http://schemas.openxmlformats.org/officeDocument/2006/relationships/hyperlink" Target="https://en.colorful.cn/en/" TargetMode="External"/><Relationship Id="rId2706" Type="http://schemas.openxmlformats.org/officeDocument/2006/relationships/hyperlink" Target="https://en.colorful.cn/product_show.aspx?mid=102&amp;id=1912" TargetMode="External"/><Relationship Id="rId2707" Type="http://schemas.openxmlformats.org/officeDocument/2006/relationships/hyperlink" Target="https://en.colorful.cn/en/" TargetMode="External"/><Relationship Id="rId2708" Type="http://schemas.openxmlformats.org/officeDocument/2006/relationships/hyperlink" Target="https://en.colorful.cn/product_show.aspx?mid=102&amp;id=1911" TargetMode="External"/><Relationship Id="rId2709" Type="http://schemas.openxmlformats.org/officeDocument/2006/relationships/hyperlink" Target="https://en.colorful.cn/en/" TargetMode="External"/><Relationship Id="rId2720" Type="http://schemas.openxmlformats.org/officeDocument/2006/relationships/hyperlink" Target="https://www.galax.com/en/graphics-card/30-series/3080-series/geforce-rtx-3080-12gb-exg-lhr.html" TargetMode="External"/><Relationship Id="rId2721" Type="http://schemas.openxmlformats.org/officeDocument/2006/relationships/hyperlink" Target="https://www.inno3d.com/en/PRODUCT_INNO3D_GEFORCE_RTX_3080_12GB_X3_OC_LHR" TargetMode="External"/><Relationship Id="rId2722" Type="http://schemas.openxmlformats.org/officeDocument/2006/relationships/hyperlink" Target="https://www.inno3d.com/en/PRODUCT_INNO3D_GEFORCE_RTX_3080_12GB_ICHILL_X3_LHR" TargetMode="External"/><Relationship Id="rId2723" Type="http://schemas.openxmlformats.org/officeDocument/2006/relationships/hyperlink" Target="https://www.inno3d.com/en/PRODUCT_INNO3D_GEFORCE_RTX_3080_12GB_ICHILL_X4_LHR" TargetMode="External"/><Relationship Id="rId2724" Type="http://schemas.openxmlformats.org/officeDocument/2006/relationships/hyperlink" Target="https://www.inno3d.com/en/PRODUCT_INNO3D_GEFORCE_RTX_3080_12GB_ICHILL_BLACK_LHR" TargetMode="External"/><Relationship Id="rId2725" Type="http://schemas.openxmlformats.org/officeDocument/2006/relationships/hyperlink" Target="https://www.inno3d.com/en/PRODUCT_INNO3D_GEFORCE_RTX_3080_12GB_ICHILL_FROSTBITE_LHR" TargetMode="External"/><Relationship Id="rId2726" Type="http://schemas.openxmlformats.org/officeDocument/2006/relationships/hyperlink" Target="https://www.leadtek.com/eng/" TargetMode="External"/><Relationship Id="rId2727" Type="http://schemas.openxmlformats.org/officeDocument/2006/relationships/hyperlink" Target="https://www.leadtek.com/eng/products/graphics_cards(1)/WinFast_RTX_3080_HURRICANE_12G(40940)/detail" TargetMode="External"/><Relationship Id="rId2728" Type="http://schemas.openxmlformats.org/officeDocument/2006/relationships/hyperlink" Target="https://www.manli.com/en/product-detail-Manli_GeForce_RTX%E2%84%A2_3080_12GB_LHR_(M3515+N613-00)-296.html" TargetMode="External"/><Relationship Id="rId2729" Type="http://schemas.openxmlformats.org/officeDocument/2006/relationships/hyperlink" Target="https://www.manli.com/en/product-detail-Manli_GeForce_RTX%E2%84%A2_3080_12GB_LHR_Gallardo_(M3515+N613-00-01)-297.html" TargetMode="External"/><Relationship Id="rId2710" Type="http://schemas.openxmlformats.org/officeDocument/2006/relationships/hyperlink" Target="https://en.colorful.cn/product_show.aspx?mid=102&amp;id=1910" TargetMode="External"/><Relationship Id="rId2711" Type="http://schemas.openxmlformats.org/officeDocument/2006/relationships/hyperlink" Target="https://en.colorful.cn/en/" TargetMode="External"/><Relationship Id="rId2712" Type="http://schemas.openxmlformats.org/officeDocument/2006/relationships/hyperlink" Target="https://en.colorful.cn/product_show.aspx?mid=102&amp;id=1909" TargetMode="External"/><Relationship Id="rId2713" Type="http://schemas.openxmlformats.org/officeDocument/2006/relationships/hyperlink" Target="http://www.gainward.com/main/vgapro.php?id=1154&amp;lang=en" TargetMode="External"/><Relationship Id="rId2714" Type="http://schemas.openxmlformats.org/officeDocument/2006/relationships/hyperlink" Target="http://www.gainward.com/main/vgapro.php?id=1153&amp;lang=en" TargetMode="External"/><Relationship Id="rId2715" Type="http://schemas.openxmlformats.org/officeDocument/2006/relationships/hyperlink" Target="http://www.gainward.com/main/vgapro.php?id=1152&amp;lang=en" TargetMode="External"/><Relationship Id="rId2716" Type="http://schemas.openxmlformats.org/officeDocument/2006/relationships/hyperlink" Target="http://www.gainward.com/main/vgapro.php?id=1151&amp;lang=en" TargetMode="External"/><Relationship Id="rId2717" Type="http://schemas.openxmlformats.org/officeDocument/2006/relationships/hyperlink" Target="https://www.galax.com/en/" TargetMode="External"/><Relationship Id="rId2718" Type="http://schemas.openxmlformats.org/officeDocument/2006/relationships/hyperlink" Target="https://www.galax.com/en/graphics-card/30-series/3080-series/geforce-rtx-3080-12gb-sg-lhr.html" TargetMode="External"/><Relationship Id="rId2719" Type="http://schemas.openxmlformats.org/officeDocument/2006/relationships/hyperlink" Target="https://www.galax.com/en/" TargetMode="External"/><Relationship Id="rId1455" Type="http://schemas.openxmlformats.org/officeDocument/2006/relationships/hyperlink" Target="https://www.msi.com/Graphics-card/GeForce-RTX-2080-SUPER-GAMING-TRIO" TargetMode="External"/><Relationship Id="rId2786" Type="http://schemas.openxmlformats.org/officeDocument/2006/relationships/hyperlink" Target="http://www.szgalaxy.com/__ZH_GB__/Product5/ProductDetail?proID=760" TargetMode="External"/><Relationship Id="rId1456" Type="http://schemas.openxmlformats.org/officeDocument/2006/relationships/hyperlink" Target="https://www.msi.com/Graphics-card/GeForce-RTX-2080-SUPER-GAMING-X-TRIO" TargetMode="External"/><Relationship Id="rId2787" Type="http://schemas.openxmlformats.org/officeDocument/2006/relationships/hyperlink" Target="https://www.galax.com/en/" TargetMode="External"/><Relationship Id="rId1457" Type="http://schemas.openxmlformats.org/officeDocument/2006/relationships/hyperlink" Target="https://www.msi.com/Graphics-card/GeForce-RTX-2080-SUPER-SEA-HAWK-X" TargetMode="External"/><Relationship Id="rId2788" Type="http://schemas.openxmlformats.org/officeDocument/2006/relationships/hyperlink" Target="http://www.szgalaxy.com/__ZH_GB__/Product5/ProductDetail?proID=759" TargetMode="External"/><Relationship Id="rId1458" Type="http://schemas.openxmlformats.org/officeDocument/2006/relationships/hyperlink" Target="https://www.msi.com/Graphics-card/GeForce-RTX-2080-SUPER-SEA-HAWK-EK-X" TargetMode="External"/><Relationship Id="rId2789" Type="http://schemas.openxmlformats.org/officeDocument/2006/relationships/hyperlink" Target="https://www.galax.com/en/" TargetMode="External"/><Relationship Id="rId1459" Type="http://schemas.openxmlformats.org/officeDocument/2006/relationships/hyperlink" Target="http://www.palit.com/palit/vgapro.php?id=3470&amp;lang=en" TargetMode="External"/><Relationship Id="rId629" Type="http://schemas.openxmlformats.org/officeDocument/2006/relationships/hyperlink" Target="https://www.msi.com/Graphics-Card/GeForce-GTX-1080-Ti-DUKE-11G-OC/Specification" TargetMode="External"/><Relationship Id="rId624" Type="http://schemas.openxmlformats.org/officeDocument/2006/relationships/hyperlink" Target="https://www.msi.com/Graphics-Card/GeForce-GTX-1080-Ti-AERO-11G/Specification" TargetMode="External"/><Relationship Id="rId623" Type="http://schemas.openxmlformats.org/officeDocument/2006/relationships/hyperlink" Target="https://www.msi.com/Graphics-Card/GeForce-GTX-1080-Ti-Founders-Edition/Specification" TargetMode="External"/><Relationship Id="rId622" Type="http://schemas.openxmlformats.org/officeDocument/2006/relationships/hyperlink" Target="https://www.manli.com/en/product-detail-MANLI_GeForce%C2%AE_GTX_1080Ti_Gallardo_Super_Overclocking_(F372G+N473)-140.html" TargetMode="External"/><Relationship Id="rId621" Type="http://schemas.openxmlformats.org/officeDocument/2006/relationships/hyperlink" Target="https://www.manli.com/en/product-detail-MANLI_GeForce%C2%AE_GTX_1080Ti_Gallardo_(F372G+N473)-142.html" TargetMode="External"/><Relationship Id="rId628" Type="http://schemas.openxmlformats.org/officeDocument/2006/relationships/hyperlink" Target="https://www.msi.com/Graphics-Card/GeForce-GTX-1080-Ti-DUKE-11G/Specification" TargetMode="External"/><Relationship Id="rId627" Type="http://schemas.openxmlformats.org/officeDocument/2006/relationships/hyperlink" Target="https://www.msi.com/Graphics-Card/GeForce-GTX-1080-Ti-ARMOR-11G-OC/Specification" TargetMode="External"/><Relationship Id="rId626" Type="http://schemas.openxmlformats.org/officeDocument/2006/relationships/hyperlink" Target="https://www.msi.com/Graphics-Card/GeForce-GTX-1080-Ti-ARMOR-11G/Specification" TargetMode="External"/><Relationship Id="rId625" Type="http://schemas.openxmlformats.org/officeDocument/2006/relationships/hyperlink" Target="https://www.msi.com/Graphics-Card/GeForce-GTX-1080-Ti-AERO-11G-OC/Specification" TargetMode="External"/><Relationship Id="rId2780" Type="http://schemas.openxmlformats.org/officeDocument/2006/relationships/hyperlink" Target="http://www.gainward.cn/Home/ProductDetail?id=252&amp;isStop=0" TargetMode="External"/><Relationship Id="rId1450" Type="http://schemas.openxmlformats.org/officeDocument/2006/relationships/hyperlink" Target="https://www.msi.com/Graphics-card/GeForce-RTX-2080-SUPER-AERO" TargetMode="External"/><Relationship Id="rId2781" Type="http://schemas.openxmlformats.org/officeDocument/2006/relationships/hyperlink" Target="http://www.gainward.cn/Home/ProductDetail?id=251&amp;isStop=0" TargetMode="External"/><Relationship Id="rId620" Type="http://schemas.openxmlformats.org/officeDocument/2006/relationships/hyperlink" Target="https://www.manli.com/en/product-detail-MANLI_GeForce%C2%AE_GTX_1080_Ti_Gallardo_(F371G+N470)-141.html" TargetMode="External"/><Relationship Id="rId1451" Type="http://schemas.openxmlformats.org/officeDocument/2006/relationships/hyperlink" Target="https://www.msi.com/Graphics-card/GeForce-RTX-2080-SUPER-VENTUS" TargetMode="External"/><Relationship Id="rId2782" Type="http://schemas.openxmlformats.org/officeDocument/2006/relationships/hyperlink" Target="http://www.gainward.com/main/vgapro.php?id=1129&amp;lang=en" TargetMode="External"/><Relationship Id="rId1452" Type="http://schemas.openxmlformats.org/officeDocument/2006/relationships/hyperlink" Target="https://www.msi.com/Graphics-card/GeForce-RTX-2080-SUPER-VENTUS-OC" TargetMode="External"/><Relationship Id="rId2783" Type="http://schemas.openxmlformats.org/officeDocument/2006/relationships/hyperlink" Target="http://www.gainward.com/main/vgapro.php?id=1138&amp;lang=en" TargetMode="External"/><Relationship Id="rId1453" Type="http://schemas.openxmlformats.org/officeDocument/2006/relationships/hyperlink" Target="https://www.msi.com/Graphics-card/GeForce-RTX-2080-SUPER-VENTUS-XS" TargetMode="External"/><Relationship Id="rId2784" Type="http://schemas.openxmlformats.org/officeDocument/2006/relationships/hyperlink" Target="http://www.gainward.com/main/vgapro.php?id=1137&amp;lang=en" TargetMode="External"/><Relationship Id="rId1454" Type="http://schemas.openxmlformats.org/officeDocument/2006/relationships/hyperlink" Target="https://www.msi.com/Graphics-card/GeForce-RTX-2080-SUPER-VENTUS-XS-OC" TargetMode="External"/><Relationship Id="rId2785" Type="http://schemas.openxmlformats.org/officeDocument/2006/relationships/hyperlink" Target="https://www.galax.com/en/" TargetMode="External"/><Relationship Id="rId1444" Type="http://schemas.openxmlformats.org/officeDocument/2006/relationships/hyperlink" Target="https://www.inno3d.com/en/product_detail/page/a6302580cb2370c685780eb897c39580393866352050bf98d036a417cf3efcf8" TargetMode="External"/><Relationship Id="rId2775" Type="http://schemas.openxmlformats.org/officeDocument/2006/relationships/hyperlink" Target="https://www.evga.com/products/specs/gpu.aspx?pn=40DA0576-08EB-4AA4-A1DD-FB3288EA3356" TargetMode="External"/><Relationship Id="rId1445" Type="http://schemas.openxmlformats.org/officeDocument/2006/relationships/hyperlink" Target="https://www.inno3d.com/en/product_detail/page/3e84d3cf5095d010e874916006815fb01c82082c7f92383aa7ebf5cf2e98057a" TargetMode="External"/><Relationship Id="rId2776" Type="http://schemas.openxmlformats.org/officeDocument/2006/relationships/hyperlink" Target="http://www.gainward.cn/Home/ProductDetail?id=253&amp;isStop=0" TargetMode="External"/><Relationship Id="rId1446" Type="http://schemas.openxmlformats.org/officeDocument/2006/relationships/hyperlink" Target="https://www.inno3d.com/en/product_detail/page/eb215aca98daa979b64d40caba432f3c2273a934e5f17a426841dc1b1e3a8808" TargetMode="External"/><Relationship Id="rId2777" Type="http://schemas.openxmlformats.org/officeDocument/2006/relationships/hyperlink" Target="http://www.gainward.cn/Home/ProductDetail?id=277&amp;isStop=0" TargetMode="External"/><Relationship Id="rId1447" Type="http://schemas.openxmlformats.org/officeDocument/2006/relationships/hyperlink" Target="https://www.inno3d.com/en/product_detail/page/8f422abfd7913cdbc0e987feb42164230dd4c463e804a975b615d330f7b0040f" TargetMode="External"/><Relationship Id="rId2778" Type="http://schemas.openxmlformats.org/officeDocument/2006/relationships/hyperlink" Target="http://www.gainward.cn/Home/ProductDetail?id=255&amp;isStop=0" TargetMode="External"/><Relationship Id="rId1448" Type="http://schemas.openxmlformats.org/officeDocument/2006/relationships/hyperlink" Target="https://www.manli.com/en/product-detail-MANLI_GeForce_RTX_2080_Super_(P1467+N502-00)-147.html" TargetMode="External"/><Relationship Id="rId2779" Type="http://schemas.openxmlformats.org/officeDocument/2006/relationships/hyperlink" Target="http://www.gainward.cn/Home/ProductDetail?id=254&amp;isStop=0" TargetMode="External"/><Relationship Id="rId1449" Type="http://schemas.openxmlformats.org/officeDocument/2006/relationships/hyperlink" Target="https://www.manli.com/en/product-detail-MANLI_GeForce_RTX_2080_Super_Gallardo_with_customized_LED_Lights_(M3442+N502-00)-44.html" TargetMode="External"/><Relationship Id="rId619" Type="http://schemas.openxmlformats.org/officeDocument/2006/relationships/hyperlink" Target="https://www.manli.com/en/product-detail-MANLI_GeForce%C2%AE_GTX_1080Ti_(F369G+N470)-143.html" TargetMode="External"/><Relationship Id="rId618" Type="http://schemas.openxmlformats.org/officeDocument/2006/relationships/hyperlink" Target="https://www.leadtek.com/eng/products/graphics_cards(1)/WinFast_GTX_1080_Ti_HURRICANE_OC_11G(10789)/detail" TargetMode="External"/><Relationship Id="rId613" Type="http://schemas.openxmlformats.org/officeDocument/2006/relationships/hyperlink" Target="https://www.leadtek.com/eng/" TargetMode="External"/><Relationship Id="rId612" Type="http://schemas.openxmlformats.org/officeDocument/2006/relationships/hyperlink" Target="https://www.gigabyte.com/Graphics-Card/GV-N108TAORUSX-WB-11GD" TargetMode="External"/><Relationship Id="rId611" Type="http://schemas.openxmlformats.org/officeDocument/2006/relationships/hyperlink" Target="https://www.gigabyte.com/Graphics-Card/GV-N108TAORUSX-W-11GD-rev-10-11" TargetMode="External"/><Relationship Id="rId610" Type="http://schemas.openxmlformats.org/officeDocument/2006/relationships/hyperlink" Target="https://www.gigabyte.com/Graphics-Card/GV-N108TAORUS-X-11GD" TargetMode="External"/><Relationship Id="rId617" Type="http://schemas.openxmlformats.org/officeDocument/2006/relationships/hyperlink" Target="https://www.leadtek.com/eng/" TargetMode="External"/><Relationship Id="rId616" Type="http://schemas.openxmlformats.org/officeDocument/2006/relationships/hyperlink" Target="https://www.leadtek.com/eng/products/graphics_cards(1)/WinFast_GTX_1080_Ti_11G(10780)/detail" TargetMode="External"/><Relationship Id="rId615" Type="http://schemas.openxmlformats.org/officeDocument/2006/relationships/hyperlink" Target="https://www.leadtek.com/eng/" TargetMode="External"/><Relationship Id="rId614" Type="http://schemas.openxmlformats.org/officeDocument/2006/relationships/hyperlink" Target="https://www.leadtek.com/eng/products/graphics_cards(1)/WinFast_GTX_1080_Ti_Founders_Edition_11G(10779)/detail" TargetMode="External"/><Relationship Id="rId2770" Type="http://schemas.openxmlformats.org/officeDocument/2006/relationships/hyperlink" Target="https://www.evga.com/products/specs/gpu.aspx?pn=E4634A9B-A239-4B0D-9BE8-98DC01D1322E" TargetMode="External"/><Relationship Id="rId1440" Type="http://schemas.openxmlformats.org/officeDocument/2006/relationships/hyperlink" Target="https://www.inno3d.com/en/product_detail/page/ad45bff7410fae36623c8286685419e1495339c687924c2400a6c7106a516977" TargetMode="External"/><Relationship Id="rId2771" Type="http://schemas.openxmlformats.org/officeDocument/2006/relationships/hyperlink" Target="https://www.evga.com/products/specs/gpu.aspx?pn=A03DABA8-0E52-424D-BE91-8EBA0B34361A" TargetMode="External"/><Relationship Id="rId1441" Type="http://schemas.openxmlformats.org/officeDocument/2006/relationships/hyperlink" Target="https://www.inno3d.com/en/product_detail/page/edf50af3d1b00b77df9a7c82690cf63b67d7bc36b50ec3bae415578caa548c0e" TargetMode="External"/><Relationship Id="rId2772" Type="http://schemas.openxmlformats.org/officeDocument/2006/relationships/hyperlink" Target="https://www.evga.com/products/specs/gpu.aspx?pn=C4931C5F-7F63-458C-987A-FB69B14A44BB" TargetMode="External"/><Relationship Id="rId1442" Type="http://schemas.openxmlformats.org/officeDocument/2006/relationships/hyperlink" Target="https://www.inno3d.com/en/product_detail/page/6de0c6b635a3fd98493dfb997b62a65df54632a2dcda42e5a382981c12ec6ef0" TargetMode="External"/><Relationship Id="rId2773" Type="http://schemas.openxmlformats.org/officeDocument/2006/relationships/hyperlink" Target="https://www.evga.com/products/specs/gpu.aspx?pn=7B731286-07ED-489A-8980-5A5F2C72A902" TargetMode="External"/><Relationship Id="rId1443" Type="http://schemas.openxmlformats.org/officeDocument/2006/relationships/hyperlink" Target="https://www.inno3d.com/en/product_detail/page/491fe34d7e0ab9fcd47a16b66841189fd46bea39d99f4f022f111ac6ed4e13de" TargetMode="External"/><Relationship Id="rId2774" Type="http://schemas.openxmlformats.org/officeDocument/2006/relationships/hyperlink" Target="https://www.evga.com/products/specs/gpu.aspx?pn=C3D8E50F-FE35-4A51-B503-3B8D89FE2904" TargetMode="External"/><Relationship Id="rId1477" Type="http://schemas.openxmlformats.org/officeDocument/2006/relationships/hyperlink" Target="https://en.colorful.cn/product_show.aspx?mid=102&amp;id=1710" TargetMode="External"/><Relationship Id="rId1478" Type="http://schemas.openxmlformats.org/officeDocument/2006/relationships/hyperlink" Target="https://en.colorful.cn/en/" TargetMode="External"/><Relationship Id="rId1479" Type="http://schemas.openxmlformats.org/officeDocument/2006/relationships/hyperlink" Target="https://en.colorful.cn/product_show.aspx?mid=102&amp;id=1712" TargetMode="External"/><Relationship Id="rId646" Type="http://schemas.openxmlformats.org/officeDocument/2006/relationships/hyperlink" Target="https://www.zotac.com/product/graphics_card/zotac-geforce-gtx-1080-ti-amp-edition" TargetMode="External"/><Relationship Id="rId645" Type="http://schemas.openxmlformats.org/officeDocument/2006/relationships/hyperlink" Target="https://www.zotac.com/product/graphics_card/zotac-geforce-gtx-1080-ti-blower" TargetMode="External"/><Relationship Id="rId644" Type="http://schemas.openxmlformats.org/officeDocument/2006/relationships/hyperlink" Target="https://www.zotac.com/product/graphics_card/zotac-geforce-gtx-1080-ti-founders-edition" TargetMode="External"/><Relationship Id="rId643" Type="http://schemas.openxmlformats.org/officeDocument/2006/relationships/hyperlink" Target="https://www.pny.com/previous-generation-geforce/id-158/geforce_gtx_1080_ti_xlr8_gaming_oc" TargetMode="External"/><Relationship Id="rId649" Type="http://schemas.openxmlformats.org/officeDocument/2006/relationships/hyperlink" Target="https://www.zotac.com/product/graphics_card/zotac-geforce-gtx-1080-ti-arcticstorm" TargetMode="External"/><Relationship Id="rId648" Type="http://schemas.openxmlformats.org/officeDocument/2006/relationships/hyperlink" Target="https://www.zotac.com/product/graphics_card/zotac-geforce-gtx-1080-ti-amp-extreme" TargetMode="External"/><Relationship Id="rId647" Type="http://schemas.openxmlformats.org/officeDocument/2006/relationships/hyperlink" Target="https://www.zotac.com/product/graphics_card/zotac-geforce-gtx-1080-ti-amp-extreme-core-edition" TargetMode="External"/><Relationship Id="rId1470" Type="http://schemas.openxmlformats.org/officeDocument/2006/relationships/hyperlink" Target="https://www.asus.com/motherboards-components/graphics-cards/all-series/DUAL-RTX2080TI-O11G" TargetMode="External"/><Relationship Id="rId1471" Type="http://schemas.openxmlformats.org/officeDocument/2006/relationships/hyperlink" Target="https://rog.asus.com/Graphics-Cards/Graphics-Cards/ROG-Strix/ROG-STRIX-RTX2080TI-11G-GAMING-Model/" TargetMode="External"/><Relationship Id="rId1472" Type="http://schemas.openxmlformats.org/officeDocument/2006/relationships/hyperlink" Target="https://rog.asus.com/Graphics-Cards/Graphics-Cards/ROG-Strix/ROG-STRIX-RTX2080TI-A11G-GAMING-Model/" TargetMode="External"/><Relationship Id="rId642" Type="http://schemas.openxmlformats.org/officeDocument/2006/relationships/hyperlink" Target="https://www.pny.com/previous-generation-geforce/id-155/geforce_gtx_1080_ti_blower_gaming_oc" TargetMode="External"/><Relationship Id="rId1473" Type="http://schemas.openxmlformats.org/officeDocument/2006/relationships/hyperlink" Target="https://rog.asus.com/Graphics-Cards/Graphics-Cards/ROG-Strix/ROG-STRIX-RTX2080TI-O11G-GAMING-Model/" TargetMode="External"/><Relationship Id="rId641" Type="http://schemas.openxmlformats.org/officeDocument/2006/relationships/hyperlink" Target="https://www.pny.com/previous-generation-geforce/id-156/geforce_gtx_1080_ti_blower_edition" TargetMode="External"/><Relationship Id="rId1474" Type="http://schemas.openxmlformats.org/officeDocument/2006/relationships/hyperlink" Target="https://rog.asus.com/Graphics-Cards/Graphics-Cards/ROG-Strix/ROG-STRIX-RTX2080TI-O11G-WHITE-GAMING-Model/" TargetMode="External"/><Relationship Id="rId640" Type="http://schemas.openxmlformats.org/officeDocument/2006/relationships/hyperlink" Target="https://www.pny.com/previous-generation-geforce/id-157/geforce_gtx_1080_ti_blower_edition" TargetMode="External"/><Relationship Id="rId1475" Type="http://schemas.openxmlformats.org/officeDocument/2006/relationships/hyperlink" Target="https://rog.asus.com/Graphics-Cards/Graphics-Cards/ROG-Matrix/ROG-MATRIX-RTX2080TI-P11G-GAMING-Model/" TargetMode="External"/><Relationship Id="rId1476" Type="http://schemas.openxmlformats.org/officeDocument/2006/relationships/hyperlink" Target="https://en.colorful.cn/en/" TargetMode="External"/><Relationship Id="rId1466" Type="http://schemas.openxmlformats.org/officeDocument/2006/relationships/hyperlink" Target="https://www.zotac.com/product/graphics_card/zotac-gaming-geforce-rtx-2080-super-amp-extreme" TargetMode="External"/><Relationship Id="rId2797" Type="http://schemas.openxmlformats.org/officeDocument/2006/relationships/hyperlink" Target="https://www.galax.com/en/" TargetMode="External"/><Relationship Id="rId1467" Type="http://schemas.openxmlformats.org/officeDocument/2006/relationships/hyperlink" Target="https://www.asus.com/motherboards-components/graphics-cards/all-series/TURBO-RTX2080TI-11G" TargetMode="External"/><Relationship Id="rId2798" Type="http://schemas.openxmlformats.org/officeDocument/2006/relationships/hyperlink" Target="http://www.szgalaxy.com/__ZH_GB__/Product5/ProductDetail?proID=758" TargetMode="External"/><Relationship Id="rId1468" Type="http://schemas.openxmlformats.org/officeDocument/2006/relationships/hyperlink" Target="https://www.asus.com/motherboards-components/graphics-cards/all-series/DUAL-RTX2080TI-11G" TargetMode="External"/><Relationship Id="rId2799" Type="http://schemas.openxmlformats.org/officeDocument/2006/relationships/hyperlink" Target="https://www.galax.com/en/" TargetMode="External"/><Relationship Id="rId1469" Type="http://schemas.openxmlformats.org/officeDocument/2006/relationships/hyperlink" Target="https://www.asus.com/motherboards-components/graphics-cards/all-series/DUAL-RTX2080TI-A11G" TargetMode="External"/><Relationship Id="rId635" Type="http://schemas.openxmlformats.org/officeDocument/2006/relationships/hyperlink" Target="https://www.msi.com/Graphics-Card/GeForce-GTX-1080-Ti-LIGHTNING-X/Specification" TargetMode="External"/><Relationship Id="rId634" Type="http://schemas.openxmlformats.org/officeDocument/2006/relationships/hyperlink" Target="https://www.msi.com/Graphics-Card/GeForce-GTX-1080-Ti-LIGHTNING/Specification" TargetMode="External"/><Relationship Id="rId633" Type="http://schemas.openxmlformats.org/officeDocument/2006/relationships/hyperlink" Target="https://www.msi.com/Graphics-Card/GeForce-GTX-1080-Ti-GAMING-X-TRIO/Specification" TargetMode="External"/><Relationship Id="rId632" Type="http://schemas.openxmlformats.org/officeDocument/2006/relationships/hyperlink" Target="https://www.msi.com/Graphics-Card/GeForce-GTX-1080-Ti-GAMING-TRIO/Specification" TargetMode="External"/><Relationship Id="rId639" Type="http://schemas.openxmlformats.org/officeDocument/2006/relationships/hyperlink" Target="https://www.msi.com/Graphics-Card/GeForce-GTX-1080-Ti-SEA-HAWK-EK-X/Specification" TargetMode="External"/><Relationship Id="rId638" Type="http://schemas.openxmlformats.org/officeDocument/2006/relationships/hyperlink" Target="https://www.msi.com/Graphics-Card/GeForce-GTX-1080-Ti-SEA-HAWK-X/Specification" TargetMode="External"/><Relationship Id="rId637" Type="http://schemas.openxmlformats.org/officeDocument/2006/relationships/hyperlink" Target="https://www.msi.com/Graphics-Card/GeForce-GTX-1080-Ti-SEA-HAWK/Specification" TargetMode="External"/><Relationship Id="rId636" Type="http://schemas.openxmlformats.org/officeDocument/2006/relationships/hyperlink" Target="https://www.msi.com/Graphics-Card/GeForce-GTX-1080-Ti-LIGHTNING-Z/Specification" TargetMode="External"/><Relationship Id="rId2790" Type="http://schemas.openxmlformats.org/officeDocument/2006/relationships/hyperlink" Target="http://www.szgalaxy.com/__ZH_GB__/Product5/ProductDetail?proID=756" TargetMode="External"/><Relationship Id="rId1460" Type="http://schemas.openxmlformats.org/officeDocument/2006/relationships/hyperlink" Target="http://www.palit.com/palit/vgapro.php?id=3458&amp;lang=en" TargetMode="External"/><Relationship Id="rId2791" Type="http://schemas.openxmlformats.org/officeDocument/2006/relationships/hyperlink" Target="https://www.galax.com/en/" TargetMode="External"/><Relationship Id="rId1461" Type="http://schemas.openxmlformats.org/officeDocument/2006/relationships/hyperlink" Target="http://www.palit.com/palit/vgapro.php?id=3352&amp;lang=en" TargetMode="External"/><Relationship Id="rId2792" Type="http://schemas.openxmlformats.org/officeDocument/2006/relationships/hyperlink" Target="http://www.szgalaxy.com/__ZH_GB__/Product5/ProductDetail?proID=755" TargetMode="External"/><Relationship Id="rId631" Type="http://schemas.openxmlformats.org/officeDocument/2006/relationships/hyperlink" Target="https://www.msi.com/Graphics-Card/GeForce-GTX-1080-Ti-GAMING-X-11G/Specification" TargetMode="External"/><Relationship Id="rId1462" Type="http://schemas.openxmlformats.org/officeDocument/2006/relationships/hyperlink" Target="http://www.palit.com/palit/vgapro.php?id=3345&amp;lang=en" TargetMode="External"/><Relationship Id="rId2793" Type="http://schemas.openxmlformats.org/officeDocument/2006/relationships/hyperlink" Target="https://www.galax.com/en/" TargetMode="External"/><Relationship Id="rId630" Type="http://schemas.openxmlformats.org/officeDocument/2006/relationships/hyperlink" Target="https://www.msi.com/Graphics-Card/GeForce-GTX-1080-Ti-GAMING-11G/Specification" TargetMode="External"/><Relationship Id="rId1463" Type="http://schemas.openxmlformats.org/officeDocument/2006/relationships/hyperlink" Target="http://www.palit.com/palit/vgapro.php?id=3366&amp;lang=en" TargetMode="External"/><Relationship Id="rId2794" Type="http://schemas.openxmlformats.org/officeDocument/2006/relationships/hyperlink" Target="http://www.szgalaxy.com/__ZH_GB__/Product5/ProductDetail?proID=754" TargetMode="External"/><Relationship Id="rId1464" Type="http://schemas.openxmlformats.org/officeDocument/2006/relationships/hyperlink" Target="http://www.palit.com/palit/vgapro.php?id=3359&amp;lang=en" TargetMode="External"/><Relationship Id="rId2795" Type="http://schemas.openxmlformats.org/officeDocument/2006/relationships/hyperlink" Target="https://www.galax.com/en/" TargetMode="External"/><Relationship Id="rId1465" Type="http://schemas.openxmlformats.org/officeDocument/2006/relationships/hyperlink" Target="https://www.zotac.com/product/graphics_card/zotac-gaming-geforce-rtx-2080-super-triple-fan" TargetMode="External"/><Relationship Id="rId2796" Type="http://schemas.openxmlformats.org/officeDocument/2006/relationships/hyperlink" Target="http://www.szgalaxy.com/__ZH_GB__/Product5/ProductDetail?proID=753" TargetMode="External"/><Relationship Id="rId1411" Type="http://schemas.openxmlformats.org/officeDocument/2006/relationships/hyperlink" Target="https://www.galax.com/en/" TargetMode="External"/><Relationship Id="rId2742" Type="http://schemas.openxmlformats.org/officeDocument/2006/relationships/hyperlink" Target="https://www.pny.com/geforce-rtx-3080-12gb-uprising-tf-lhr" TargetMode="External"/><Relationship Id="rId1412" Type="http://schemas.openxmlformats.org/officeDocument/2006/relationships/hyperlink" Target="https://www.galax.com/en/" TargetMode="External"/><Relationship Id="rId2743" Type="http://schemas.openxmlformats.org/officeDocument/2006/relationships/hyperlink" Target="https://www.pny.com/pny-geforce-rtx-3080-12gb-xlr8-gaming-uprising-epic-x-rgb-overclocked-triple-fan-lhr" TargetMode="External"/><Relationship Id="rId1413" Type="http://schemas.openxmlformats.org/officeDocument/2006/relationships/hyperlink" Target="https://www.galax.com/en/graphics-card/20-series/galax-geforce-rtx-2080-super-ex-1click.html" TargetMode="External"/><Relationship Id="rId2744" Type="http://schemas.openxmlformats.org/officeDocument/2006/relationships/hyperlink" Target="https://www.zotac.com/product/graphics_card/zotac-gaming-geforce-rtx-3080-trinity-lhr-12gb" TargetMode="External"/><Relationship Id="rId1414" Type="http://schemas.openxmlformats.org/officeDocument/2006/relationships/hyperlink" Target="https://www.galax.com/en/" TargetMode="External"/><Relationship Id="rId2745" Type="http://schemas.openxmlformats.org/officeDocument/2006/relationships/hyperlink" Target="https://www.zotac.com/product/graphics_card/zotac-gaming-geforce-rtx-3080-trinity-oc-lhr-12gb" TargetMode="External"/><Relationship Id="rId1415" Type="http://schemas.openxmlformats.org/officeDocument/2006/relationships/hyperlink" Target="https://www.galax.com/en/graphics-card/20-series/galax-geforce-rtx-2080-super-ex-1click-pink.html" TargetMode="External"/><Relationship Id="rId2746" Type="http://schemas.openxmlformats.org/officeDocument/2006/relationships/hyperlink" Target="https://www.zotac.com/product/graphics_card/zotac-gaming-geforce-rtx-3080-amp-holo-lhr-12gb" TargetMode="External"/><Relationship Id="rId1416" Type="http://schemas.openxmlformats.org/officeDocument/2006/relationships/hyperlink" Target="https://www.galax.com/en/" TargetMode="External"/><Relationship Id="rId2747" Type="http://schemas.openxmlformats.org/officeDocument/2006/relationships/hyperlink" Target="https://www.zotac.com/product/graphics_card/zotac-gaming-geforce-rtx-3080-amp-extreme-holo-lhr-12gb" TargetMode="External"/><Relationship Id="rId1417" Type="http://schemas.openxmlformats.org/officeDocument/2006/relationships/hyperlink" Target="https://www.galax.com/en/graphics-card/20-series/galax-geforce-rtx-2080-super-ex-white-1click.html" TargetMode="External"/><Relationship Id="rId2748" Type="http://schemas.openxmlformats.org/officeDocument/2006/relationships/hyperlink" Target="https://www.asus.com/Motherboards-Components/Graphics-Cards/TUF-Gaming/TUF-RTX3080TI-12G-GAMING/" TargetMode="External"/><Relationship Id="rId1418" Type="http://schemas.openxmlformats.org/officeDocument/2006/relationships/hyperlink" Target="https://www.galax.com/en/" TargetMode="External"/><Relationship Id="rId2749" Type="http://schemas.openxmlformats.org/officeDocument/2006/relationships/hyperlink" Target="https://www.asus.com/Motherboards-Components/Graphics-Cards/TUF-Gaming/TUF-RTX3080TI-O12G-GAMING/" TargetMode="External"/><Relationship Id="rId1419" Type="http://schemas.openxmlformats.org/officeDocument/2006/relationships/hyperlink" Target="https://www.galax.com/en/graphics-card/20-series/galax-geforce-rtx-2080-super-ex-gamer-white.html" TargetMode="External"/><Relationship Id="rId2740" Type="http://schemas.openxmlformats.org/officeDocument/2006/relationships/hyperlink" Target="http://www.palit.com/palit/vgapro.php?id=4408&amp;lang=en" TargetMode="External"/><Relationship Id="rId1410" Type="http://schemas.openxmlformats.org/officeDocument/2006/relationships/hyperlink" Target="http://www.gainward.com/main/vgapro.php?id=1064&amp;lang=en" TargetMode="External"/><Relationship Id="rId2741" Type="http://schemas.openxmlformats.org/officeDocument/2006/relationships/hyperlink" Target="https://www.pny.com/geforce-rtx-3080-12gb-xlr8-gaming-revel-epic-x-rgb-tf" TargetMode="External"/><Relationship Id="rId1400" Type="http://schemas.openxmlformats.org/officeDocument/2006/relationships/hyperlink" Target="https://www.evga.com/products/specs/gpu.aspx?pn=218B0C6B-F1BE-4F5C-B975-330FE25E61F1" TargetMode="External"/><Relationship Id="rId2731" Type="http://schemas.openxmlformats.org/officeDocument/2006/relationships/hyperlink" Target="https://www.msi.com/Graphics-Card/GeForce-RTX-3080-VENTUS-3X-PLUS-12G-OC-LHR" TargetMode="External"/><Relationship Id="rId1401" Type="http://schemas.openxmlformats.org/officeDocument/2006/relationships/hyperlink" Target="https://www.evga.com/products/specs/gpu.aspx?pn=6122C444-AF25-4452-963F-C56328DBA9D5" TargetMode="External"/><Relationship Id="rId2732" Type="http://schemas.openxmlformats.org/officeDocument/2006/relationships/hyperlink" Target="https://www.msi.com/Graphics-Card/GeForce-RTX-3080-GAMING-TRIO-PLUS-12G-LHR" TargetMode="External"/><Relationship Id="rId1402" Type="http://schemas.openxmlformats.org/officeDocument/2006/relationships/hyperlink" Target="https://www.evga.com/products/specs/gpu.aspx?pn=0FAA8956-7254-4C60-B640-97022B4D0E69" TargetMode="External"/><Relationship Id="rId2733" Type="http://schemas.openxmlformats.org/officeDocument/2006/relationships/hyperlink" Target="https://www.msi.com/Graphics-Card/GeForce-RTX-3080-GAMING-Z-TRIO-12G-LHR" TargetMode="External"/><Relationship Id="rId1403" Type="http://schemas.openxmlformats.org/officeDocument/2006/relationships/hyperlink" Target="https://www.evga.com/products/specs/gpu.aspx?pn=CBF7AD39-A946-4F3B-950C-8231DDB3A6D9" TargetMode="External"/><Relationship Id="rId2734" Type="http://schemas.openxmlformats.org/officeDocument/2006/relationships/hyperlink" Target="https://www.msi.com/Graphics-Card/GeForce-RTX-3080-SUPRIM-SE-12G-LHR" TargetMode="External"/><Relationship Id="rId1404" Type="http://schemas.openxmlformats.org/officeDocument/2006/relationships/hyperlink" Target="https://www.evga.com/products/specs/gpu.aspx?pn=7603FB1A-0D84-4259-A99B-5739707F8D0A" TargetMode="External"/><Relationship Id="rId2735" Type="http://schemas.openxmlformats.org/officeDocument/2006/relationships/hyperlink" Target="https://www.msi.com/Graphics-Card/GeForce-RTX-3080-SUPRIM-12G-LHR" TargetMode="External"/><Relationship Id="rId1405" Type="http://schemas.openxmlformats.org/officeDocument/2006/relationships/hyperlink" Target="https://www.evga.com/products/specs/gpu.aspx?pn=D19EF15F-7612-42CE-9388-852627931FE2" TargetMode="External"/><Relationship Id="rId2736" Type="http://schemas.openxmlformats.org/officeDocument/2006/relationships/hyperlink" Target="https://www.msi.com/Graphics-Card/GeForce-RTX-3080-SUPRIM-X-12G-LHR" TargetMode="External"/><Relationship Id="rId1406" Type="http://schemas.openxmlformats.org/officeDocument/2006/relationships/hyperlink" Target="https://www.evga.com/products/specs/gpu.aspx?pn=4D87834A-1C82-4C27-8444-1CC705199293" TargetMode="External"/><Relationship Id="rId2737" Type="http://schemas.openxmlformats.org/officeDocument/2006/relationships/hyperlink" Target="http://www.palit.com/palit/vgapro.php?id=4508&amp;lang=en" TargetMode="External"/><Relationship Id="rId1407" Type="http://schemas.openxmlformats.org/officeDocument/2006/relationships/hyperlink" Target="http://www.gainward.com/main/vgapro.php?id=1079&amp;lang=en" TargetMode="External"/><Relationship Id="rId2738" Type="http://schemas.openxmlformats.org/officeDocument/2006/relationships/hyperlink" Target="http://www.palit.com/palit/vgapro.php?id=4498&amp;lang=en" TargetMode="External"/><Relationship Id="rId1408" Type="http://schemas.openxmlformats.org/officeDocument/2006/relationships/hyperlink" Target="http://www.gainward.com/main/vgapro.php?id=1078&amp;lang=en" TargetMode="External"/><Relationship Id="rId2739" Type="http://schemas.openxmlformats.org/officeDocument/2006/relationships/hyperlink" Target="http://www.palit.com/palit/vgapro.php?id=4418&amp;lang=en" TargetMode="External"/><Relationship Id="rId1409" Type="http://schemas.openxmlformats.org/officeDocument/2006/relationships/hyperlink" Target="http://www.gainward.com/main/vgapro.php?id=1065&amp;lang=en" TargetMode="External"/><Relationship Id="rId2730" Type="http://schemas.openxmlformats.org/officeDocument/2006/relationships/hyperlink" Target="https://www.msi.com/Graphics-Card/GeForce-RTX-3080-VENTUS-3X-PLUS-12G-LHR" TargetMode="External"/><Relationship Id="rId1433" Type="http://schemas.openxmlformats.org/officeDocument/2006/relationships/hyperlink" Target="https://www.gigabyte.com/Graphics-Card/GV-N208SGAMING-8GC-rev-20" TargetMode="External"/><Relationship Id="rId2764" Type="http://schemas.openxmlformats.org/officeDocument/2006/relationships/hyperlink" Target="https://en.colorful.cn/en/" TargetMode="External"/><Relationship Id="rId1434" Type="http://schemas.openxmlformats.org/officeDocument/2006/relationships/hyperlink" Target="https://www.gigabyte.com/Graphics-Card/GV-N208SGAMING-OC-8GC-rev-20" TargetMode="External"/><Relationship Id="rId2765" Type="http://schemas.openxmlformats.org/officeDocument/2006/relationships/hyperlink" Target="https://en.colorful.cn/product_show.aspx?mid=102&amp;id=1874" TargetMode="External"/><Relationship Id="rId1435" Type="http://schemas.openxmlformats.org/officeDocument/2006/relationships/hyperlink" Target="https://www.gigabyte.com/Graphics-Card/GV-N208SGAMINGOC-WHITE-8GD" TargetMode="External"/><Relationship Id="rId2766" Type="http://schemas.openxmlformats.org/officeDocument/2006/relationships/hyperlink" Target="https://www.emtekinc.co.kr/" TargetMode="External"/><Relationship Id="rId1436" Type="http://schemas.openxmlformats.org/officeDocument/2006/relationships/hyperlink" Target="https://www.gigabyte.com/Graphics-Card/GV-N208SAORUS-8GC" TargetMode="External"/><Relationship Id="rId2767" Type="http://schemas.openxmlformats.org/officeDocument/2006/relationships/hyperlink" Target="https://www.emtekinc.co.kr/bbs/board.php?bo_table=product&amp;wr_id=2257" TargetMode="External"/><Relationship Id="rId1437" Type="http://schemas.openxmlformats.org/officeDocument/2006/relationships/hyperlink" Target="https://www.gigabyte.com/Graphics-Card/GV-N208SAORUS-W-8GC" TargetMode="External"/><Relationship Id="rId2768" Type="http://schemas.openxmlformats.org/officeDocument/2006/relationships/hyperlink" Target="https://www.evga.com/products/specs/gpu.aspx?pn=DA58BC1C-240C-4A71-8421-7F05907C3F04" TargetMode="External"/><Relationship Id="rId1438" Type="http://schemas.openxmlformats.org/officeDocument/2006/relationships/hyperlink" Target="https://www.gigabyte.com/Graphics-Card/GV-N208SGAMINGOC-WB-8GD" TargetMode="External"/><Relationship Id="rId2769" Type="http://schemas.openxmlformats.org/officeDocument/2006/relationships/hyperlink" Target="https://www.evga.com/products/specs/gpu.aspx?pn=4C83D0D9-67CC-4845-86AF-A05F36A532C0" TargetMode="External"/><Relationship Id="rId1439" Type="http://schemas.openxmlformats.org/officeDocument/2006/relationships/hyperlink" Target="https://www.gigabyte.com/Graphics-Card/GV-N208SAORUS-WB-8GC" TargetMode="External"/><Relationship Id="rId609" Type="http://schemas.openxmlformats.org/officeDocument/2006/relationships/hyperlink" Target="https://www.gigabyte.com/Graphics-Card/GV-N108TAORUS-11GD" TargetMode="External"/><Relationship Id="rId608" Type="http://schemas.openxmlformats.org/officeDocument/2006/relationships/hyperlink" Target="https://www.gigabyte.com/Graphics-Card/GV-N108TGAMINGOC-BLACK-11GD" TargetMode="External"/><Relationship Id="rId607" Type="http://schemas.openxmlformats.org/officeDocument/2006/relationships/hyperlink" Target="https://www.gigabyte.com/Graphics-Card/GV-N108TGAMING-OC-11GD" TargetMode="External"/><Relationship Id="rId602" Type="http://schemas.openxmlformats.org/officeDocument/2006/relationships/hyperlink" Target="https://www.galax.com/en/" TargetMode="External"/><Relationship Id="rId601" Type="http://schemas.openxmlformats.org/officeDocument/2006/relationships/hyperlink" Target="http://www.szgalaxy.com/__ZH_GB__/Product5/ProductDetail?proID=314" TargetMode="External"/><Relationship Id="rId600" Type="http://schemas.openxmlformats.org/officeDocument/2006/relationships/hyperlink" Target="https://www.galax.com/en/" TargetMode="External"/><Relationship Id="rId606" Type="http://schemas.openxmlformats.org/officeDocument/2006/relationships/hyperlink" Target="https://www.gigabyte.com/Graphics-Card/GV-N108TGAMING-11GD" TargetMode="External"/><Relationship Id="rId605" Type="http://schemas.openxmlformats.org/officeDocument/2006/relationships/hyperlink" Target="https://www.gigabyte.com/Graphics-Card/GV-N108TTURBO-11GD" TargetMode="External"/><Relationship Id="rId604" Type="http://schemas.openxmlformats.org/officeDocument/2006/relationships/hyperlink" Target="https://www.gigabyte.com/Graphics-Card/GV-N108TD5X-B" TargetMode="External"/><Relationship Id="rId603" Type="http://schemas.openxmlformats.org/officeDocument/2006/relationships/hyperlink" Target="http://www.szgalaxy.com/__ZH_GB__/Product5/ProductDetail?proID=315" TargetMode="External"/><Relationship Id="rId2760" Type="http://schemas.openxmlformats.org/officeDocument/2006/relationships/hyperlink" Target="https://en.colorful.cn/en/" TargetMode="External"/><Relationship Id="rId1430" Type="http://schemas.openxmlformats.org/officeDocument/2006/relationships/hyperlink" Target="https://www.gigabyte.com/Graphics-Card/GV-N208STURBO-8GC" TargetMode="External"/><Relationship Id="rId2761" Type="http://schemas.openxmlformats.org/officeDocument/2006/relationships/hyperlink" Target="https://www.colorful.cn/product_show.aspx?mid=102&amp;id=1861" TargetMode="External"/><Relationship Id="rId1431" Type="http://schemas.openxmlformats.org/officeDocument/2006/relationships/hyperlink" Target="https://www.gigabyte.com/Graphics-Card/GV-N208SWF3-8GD" TargetMode="External"/><Relationship Id="rId2762" Type="http://schemas.openxmlformats.org/officeDocument/2006/relationships/hyperlink" Target="https://en.colorful.cn/en/" TargetMode="External"/><Relationship Id="rId1432" Type="http://schemas.openxmlformats.org/officeDocument/2006/relationships/hyperlink" Target="https://www.gigabyte.com/Graphics-Card/GV-N208SWF3OC-8GD" TargetMode="External"/><Relationship Id="rId2763" Type="http://schemas.openxmlformats.org/officeDocument/2006/relationships/hyperlink" Target="https://en.colorful.cn/product_show.aspx?mid=102&amp;id=1850" TargetMode="External"/><Relationship Id="rId1422" Type="http://schemas.openxmlformats.org/officeDocument/2006/relationships/hyperlink" Target="https://www.galax.com/en/" TargetMode="External"/><Relationship Id="rId2753" Type="http://schemas.openxmlformats.org/officeDocument/2006/relationships/hyperlink" Target="https://rog.asus.com/graphics-cards/graphics-cards/rog-strix/rog-strix-lc-rtx3080ti-o12g-gaming-model/" TargetMode="External"/><Relationship Id="rId1423" Type="http://schemas.openxmlformats.org/officeDocument/2006/relationships/hyperlink" Target="https://www.galax.com/en/graphics-card/20-series/geforce-rtx-2080-super-work-the-frames.html" TargetMode="External"/><Relationship Id="rId2754" Type="http://schemas.openxmlformats.org/officeDocument/2006/relationships/hyperlink" Target="https://en.colorful.cn/en/" TargetMode="External"/><Relationship Id="rId1424" Type="http://schemas.openxmlformats.org/officeDocument/2006/relationships/hyperlink" Target="https://www.galax.com/en/" TargetMode="External"/><Relationship Id="rId2755" Type="http://schemas.openxmlformats.org/officeDocument/2006/relationships/hyperlink" Target="https://en.colorful.cn/product_show.aspx?mid=102&amp;id=1852" TargetMode="External"/><Relationship Id="rId1425" Type="http://schemas.openxmlformats.org/officeDocument/2006/relationships/hyperlink" Target="https://www.galax.com/en/graphics-card/20-series/geforce-rtx-2080-super-hof-10th-black.html" TargetMode="External"/><Relationship Id="rId2756" Type="http://schemas.openxmlformats.org/officeDocument/2006/relationships/hyperlink" Target="https://en.colorful.cn/en/" TargetMode="External"/><Relationship Id="rId1426" Type="http://schemas.openxmlformats.org/officeDocument/2006/relationships/hyperlink" Target="https://www.galax.com/en/" TargetMode="External"/><Relationship Id="rId2757" Type="http://schemas.openxmlformats.org/officeDocument/2006/relationships/hyperlink" Target="https://www.colorful.cn/product_show.aspx?mid=102&amp;id=1862" TargetMode="External"/><Relationship Id="rId1427" Type="http://schemas.openxmlformats.org/officeDocument/2006/relationships/hyperlink" Target="https://www.galax.com/en/graphics-card/20-series/geforce-rtx-2080-super-hof-10th-white.html" TargetMode="External"/><Relationship Id="rId2758" Type="http://schemas.openxmlformats.org/officeDocument/2006/relationships/hyperlink" Target="https://en.colorful.cn/en/" TargetMode="External"/><Relationship Id="rId1428" Type="http://schemas.openxmlformats.org/officeDocument/2006/relationships/hyperlink" Target="https://www.galax.com/en/" TargetMode="External"/><Relationship Id="rId2759" Type="http://schemas.openxmlformats.org/officeDocument/2006/relationships/hyperlink" Target="https://en.colorful.cn/product_show.aspx?mid=102&amp;id=1851" TargetMode="External"/><Relationship Id="rId1429" Type="http://schemas.openxmlformats.org/officeDocument/2006/relationships/hyperlink" Target="http://www.szgalaxy.com/__ZH_GB__/Product5/ProductDetail?proID=657" TargetMode="External"/><Relationship Id="rId2750" Type="http://schemas.openxmlformats.org/officeDocument/2006/relationships/hyperlink" Target="https://rog.asus.com/graphics-cards/graphics-cards/rog-strix/rog-strix-rtx3080ti-12g-gaming-model/" TargetMode="External"/><Relationship Id="rId1420" Type="http://schemas.openxmlformats.org/officeDocument/2006/relationships/hyperlink" Target="https://www.galax.com/en/" TargetMode="External"/><Relationship Id="rId2751" Type="http://schemas.openxmlformats.org/officeDocument/2006/relationships/hyperlink" Target="https://rog.asus.com/graphics-cards/graphics-cards/rog-strix/rog-strix-rtx3080ti-o12g-gaming-model/" TargetMode="External"/><Relationship Id="rId1421" Type="http://schemas.openxmlformats.org/officeDocument/2006/relationships/hyperlink" Target="https://www.galax.com/en/graphics-card/20-series/galax-geforce-rtx-2080-super-ex-gamer-black.html" TargetMode="External"/><Relationship Id="rId2752" Type="http://schemas.openxmlformats.org/officeDocument/2006/relationships/hyperlink" Target="https://rog.asus.com/graphics-cards/graphics-cards/rog-strix/rog-strix-lc-rtx3080ti-12g-gaming-model/" TargetMode="External"/><Relationship Id="rId3238" Type="http://schemas.openxmlformats.org/officeDocument/2006/relationships/hyperlink" Target="http://www.yeston.net/" TargetMode="External"/><Relationship Id="rId3237" Type="http://schemas.openxmlformats.org/officeDocument/2006/relationships/hyperlink" Target="https://www.pny.com/pny-geforce-rtx-4060-ti-8gb-xlr8-gaming-verto-epic-x-rgb-overclocked-triple-fan" TargetMode="External"/><Relationship Id="rId3239" Type="http://schemas.openxmlformats.org/officeDocument/2006/relationships/hyperlink" Target="http://www.yeston.net/products-detail/id-47.html" TargetMode="External"/><Relationship Id="rId3230" Type="http://schemas.openxmlformats.org/officeDocument/2006/relationships/hyperlink" Target="https://www.msi.com/Graphics-Card/GeForce-RTX-4060-Ti-GAMING-X-TRIO-8G" TargetMode="External"/><Relationship Id="rId3232" Type="http://schemas.openxmlformats.org/officeDocument/2006/relationships/hyperlink" Target="https://www.palit.com/palit/vgapro.php?id=4838&amp;lang=en" TargetMode="External"/><Relationship Id="rId3231" Type="http://schemas.openxmlformats.org/officeDocument/2006/relationships/hyperlink" Target="https://www.nvidia.com/en-us/geforce/graphics-cards/40-series/rtx-4060-4060ti/" TargetMode="External"/><Relationship Id="rId3234" Type="http://schemas.openxmlformats.org/officeDocument/2006/relationships/hyperlink" Target="https://www.palit.com/palit/vgapro.php?id=5191&amp;lang=en" TargetMode="External"/><Relationship Id="rId3233" Type="http://schemas.openxmlformats.org/officeDocument/2006/relationships/hyperlink" Target="https://www.palit.com/palit/vgapro.php?id=4848&amp;lang=en" TargetMode="External"/><Relationship Id="rId3236" Type="http://schemas.openxmlformats.org/officeDocument/2006/relationships/hyperlink" Target="https://www.pny.com/pny-geforce-rtx-4060-ti-8gb-xlr8-gaming-verto-epic-x-rgb-triple-fan" TargetMode="External"/><Relationship Id="rId3235" Type="http://schemas.openxmlformats.org/officeDocument/2006/relationships/hyperlink" Target="https://www.pny.com/pny-geforce-rtx-4060-ti-8gb-verto-dual-fan" TargetMode="External"/><Relationship Id="rId3227" Type="http://schemas.openxmlformats.org/officeDocument/2006/relationships/hyperlink" Target="https://www.msi.com/Graphics-Card/GeForce-RTX-4060-Ti-GAMING-X-SLIM-8G" TargetMode="External"/><Relationship Id="rId3226" Type="http://schemas.openxmlformats.org/officeDocument/2006/relationships/hyperlink" Target="https://www.msi.com/Graphics-Card/GeForce-RTX-4060-Ti-GAMING-SLIM-WHITE-8G" TargetMode="External"/><Relationship Id="rId3229" Type="http://schemas.openxmlformats.org/officeDocument/2006/relationships/hyperlink" Target="https://www.msi.com/Graphics-Card/GeForce-RTX-4060-Ti-GAMING-TRIO-8G" TargetMode="External"/><Relationship Id="rId3228" Type="http://schemas.openxmlformats.org/officeDocument/2006/relationships/hyperlink" Target="https://www.msi.com/Graphics-Card/GeForce-RTX-4060-Ti-GAMING-X-SLIM-WHITE-8G" TargetMode="External"/><Relationship Id="rId699" Type="http://schemas.openxmlformats.org/officeDocument/2006/relationships/hyperlink" Target="https://www.msi.com/Graphics-card/GeForce-GTX-1650-SUPER-GAMING" TargetMode="External"/><Relationship Id="rId698" Type="http://schemas.openxmlformats.org/officeDocument/2006/relationships/hyperlink" Target="https://www.inno3d.com/en/product_detail/page/35aa05a89df96039d2eef520e4d5754525ff91ae20c4137af1e18f8a7c2e1e20" TargetMode="External"/><Relationship Id="rId693" Type="http://schemas.openxmlformats.org/officeDocument/2006/relationships/hyperlink" Target="https://en.colorful.cn/en/" TargetMode="External"/><Relationship Id="rId692" Type="http://schemas.openxmlformats.org/officeDocument/2006/relationships/hyperlink" Target="https://en.colorful.cn/product_show.aspx?mid=102&amp;id=1792" TargetMode="External"/><Relationship Id="rId691" Type="http://schemas.openxmlformats.org/officeDocument/2006/relationships/hyperlink" Target="https://en.colorful.cn/en/" TargetMode="External"/><Relationship Id="rId3221" Type="http://schemas.openxmlformats.org/officeDocument/2006/relationships/hyperlink" Target="https://www.msi.com/Graphics-Card/GeForce-RTX-4060-Ti-8G-VENTUS-3X-E1-OC" TargetMode="External"/><Relationship Id="rId690" Type="http://schemas.openxmlformats.org/officeDocument/2006/relationships/hyperlink" Target="https://rog.asus.com/Graphics-Cards/Graphics-Cards/ROG-Strix/ROG-STRIX-GTX1650S-O4G-GAMING-Model/" TargetMode="External"/><Relationship Id="rId3220" Type="http://schemas.openxmlformats.org/officeDocument/2006/relationships/hyperlink" Target="https://www.msi.com/Graphics-Card/GeForce-RTX-4060-Ti-8G-VENTUS-3X-E1" TargetMode="External"/><Relationship Id="rId697" Type="http://schemas.openxmlformats.org/officeDocument/2006/relationships/hyperlink" Target="https://www.gigabyte.com/Graphics-Card/GV-N165SWF2OC-4GD" TargetMode="External"/><Relationship Id="rId3223" Type="http://schemas.openxmlformats.org/officeDocument/2006/relationships/hyperlink" Target="https://www.msi.com/Graphics-Card/GeForce-RTX-4060-Ti-GAMING-X-8G" TargetMode="External"/><Relationship Id="rId696" Type="http://schemas.openxmlformats.org/officeDocument/2006/relationships/hyperlink" Target="https://en.colorful.cn/product_show.aspx?mid=102&amp;id=1790" TargetMode="External"/><Relationship Id="rId3222" Type="http://schemas.openxmlformats.org/officeDocument/2006/relationships/hyperlink" Target="https://www.msi.com/Graphics-Card/GeForce-RTX-4060-Ti-GAMING-8G" TargetMode="External"/><Relationship Id="rId695" Type="http://schemas.openxmlformats.org/officeDocument/2006/relationships/hyperlink" Target="https://en.colorful.cn/en/" TargetMode="External"/><Relationship Id="rId3225" Type="http://schemas.openxmlformats.org/officeDocument/2006/relationships/hyperlink" Target="https://www.msi.com/Graphics-Card/GeForce-RTX-4060-Ti-8G-GAMING-SLIM-MONSTER-HUNTER-EDITION" TargetMode="External"/><Relationship Id="rId694" Type="http://schemas.openxmlformats.org/officeDocument/2006/relationships/hyperlink" Target="https://en.colorful.cn/product_show.aspx?mid=102&amp;id=1791" TargetMode="External"/><Relationship Id="rId3224" Type="http://schemas.openxmlformats.org/officeDocument/2006/relationships/hyperlink" Target="https://www.msi.com/Graphics-Card/GeForce-RTX-4060-Ti-GAMING-SLIM-8G" TargetMode="External"/><Relationship Id="rId3259" Type="http://schemas.openxmlformats.org/officeDocument/2006/relationships/hyperlink" Target="https://www.asus.com/motherboards-components/graphics-cards/proart/proart-rtx4060ti-16g/" TargetMode="External"/><Relationship Id="rId3250" Type="http://schemas.openxmlformats.org/officeDocument/2006/relationships/hyperlink" Target="https://www.zotac.com/" TargetMode="External"/><Relationship Id="rId3252" Type="http://schemas.openxmlformats.org/officeDocument/2006/relationships/hyperlink" Target="https://www.zotac.com/" TargetMode="External"/><Relationship Id="rId3251" Type="http://schemas.openxmlformats.org/officeDocument/2006/relationships/hyperlink" Target="https://www.zotac.com/product/graphics_card/zotac-gaming-geforce-rtx-4060-ti-8gb-twin-edge-oc-spider-man-across-spider" TargetMode="External"/><Relationship Id="rId3254" Type="http://schemas.openxmlformats.org/officeDocument/2006/relationships/hyperlink" Target="https://www.asus.com/motherboards-components/graphics-cards/dual/dual-rtx4060ti-16g/" TargetMode="External"/><Relationship Id="rId3253" Type="http://schemas.openxmlformats.org/officeDocument/2006/relationships/hyperlink" Target="https://www.zotac.com/product/graphics_card/zotac-gaming-geforce-rtx-4060-ti-8gb-twin-edge-oc-white-edition" TargetMode="External"/><Relationship Id="rId3256" Type="http://schemas.openxmlformats.org/officeDocument/2006/relationships/hyperlink" Target="https://www.asus.com/motherboards-components/graphics-cards/dual/dual-rtx4060ti-o16g/" TargetMode="External"/><Relationship Id="rId3255" Type="http://schemas.openxmlformats.org/officeDocument/2006/relationships/hyperlink" Target="https://www.asus.com/motherboards-components/graphics-cards/dual/dual-rtx4060ti-a16g/" TargetMode="External"/><Relationship Id="rId3258" Type="http://schemas.openxmlformats.org/officeDocument/2006/relationships/hyperlink" Target="https://www.asus.com/motherboards-components/graphics-cards/dual/dual-rtx4060ti-o16g-evo/" TargetMode="External"/><Relationship Id="rId3257" Type="http://schemas.openxmlformats.org/officeDocument/2006/relationships/hyperlink" Target="https://www.asus.com/motherboards-components/graphics-cards/dual/dual-rtx4060ti-16g-evo/" TargetMode="External"/><Relationship Id="rId3249" Type="http://schemas.openxmlformats.org/officeDocument/2006/relationships/hyperlink" Target="https://www.zotac.com/product/graphics_card/zotac-gaming-geforce-rtx-4060-ti-8gb-twin-edge" TargetMode="External"/><Relationship Id="rId3248" Type="http://schemas.openxmlformats.org/officeDocument/2006/relationships/hyperlink" Target="https://www.zotac.com/" TargetMode="External"/><Relationship Id="rId3241" Type="http://schemas.openxmlformats.org/officeDocument/2006/relationships/hyperlink" Target="http://www.yeston.net/products-detail/id-37.html" TargetMode="External"/><Relationship Id="rId3240" Type="http://schemas.openxmlformats.org/officeDocument/2006/relationships/hyperlink" Target="http://www.yeston.net/" TargetMode="External"/><Relationship Id="rId3243" Type="http://schemas.openxmlformats.org/officeDocument/2006/relationships/hyperlink" Target="http://www.yeston.net/products-detail/id-82.html" TargetMode="External"/><Relationship Id="rId3242" Type="http://schemas.openxmlformats.org/officeDocument/2006/relationships/hyperlink" Target="http://www.yeston.net/" TargetMode="External"/><Relationship Id="rId3245" Type="http://schemas.openxmlformats.org/officeDocument/2006/relationships/hyperlink" Target="http://www.yeston.net/products-detail/id-84.html" TargetMode="External"/><Relationship Id="rId3244" Type="http://schemas.openxmlformats.org/officeDocument/2006/relationships/hyperlink" Target="http://www.yeston.net/" TargetMode="External"/><Relationship Id="rId3247" Type="http://schemas.openxmlformats.org/officeDocument/2006/relationships/hyperlink" Target="https://www.zotac.com/cn/product/graphics_card/%E7%B4%A2%E6%B3%B0-geforce-rtx-4060ti-8gb-x-gaming-oc-%E6%AC%A7%E6%B3%8A%E7%99%BD" TargetMode="External"/><Relationship Id="rId3246" Type="http://schemas.openxmlformats.org/officeDocument/2006/relationships/hyperlink" Target="https://www.zotac.com/" TargetMode="External"/><Relationship Id="rId1499" Type="http://schemas.openxmlformats.org/officeDocument/2006/relationships/hyperlink" Target="https://www.evga.com/products/specs/gpu.aspx?pn=EAD34E50-D15C-41E0-9A3E-014DC2D93BD0" TargetMode="External"/><Relationship Id="rId668" Type="http://schemas.openxmlformats.org/officeDocument/2006/relationships/hyperlink" Target="http://www.pcasl.com/index.jsp" TargetMode="External"/><Relationship Id="rId667" Type="http://schemas.openxmlformats.org/officeDocument/2006/relationships/hyperlink" Target="https://www.msi.com/Graphics-card/GeForce-GTX-1650-GAMING-X-4G" TargetMode="External"/><Relationship Id="rId666" Type="http://schemas.openxmlformats.org/officeDocument/2006/relationships/hyperlink" Target="https://www.msi.com/Graphics-card/GeForce-GTX-1650-GAMING-4G" TargetMode="External"/><Relationship Id="rId665" Type="http://schemas.openxmlformats.org/officeDocument/2006/relationships/hyperlink" Target="https://www.gigabyte.com/Graphics-Card/GV-N1650GAMING-OC-4GD-rev-10" TargetMode="External"/><Relationship Id="rId669" Type="http://schemas.openxmlformats.org/officeDocument/2006/relationships/hyperlink" Target="http://www.pcasl.com/pd.jsp?id=180" TargetMode="External"/><Relationship Id="rId1490" Type="http://schemas.openxmlformats.org/officeDocument/2006/relationships/hyperlink" Target="https://www.emtekinc.co.kr/" TargetMode="External"/><Relationship Id="rId660" Type="http://schemas.openxmlformats.org/officeDocument/2006/relationships/hyperlink" Target="https://en.colorful.cn/product_show.aspx?mid=102&amp;id=1742" TargetMode="External"/><Relationship Id="rId1491" Type="http://schemas.openxmlformats.org/officeDocument/2006/relationships/hyperlink" Target="https://www.emtekinc.co.kr/bbs/board.php?bo_table=product&amp;wr_id=2060" TargetMode="External"/><Relationship Id="rId1492" Type="http://schemas.openxmlformats.org/officeDocument/2006/relationships/hyperlink" Target="https://www.emtekinc.co.kr/" TargetMode="External"/><Relationship Id="rId1493" Type="http://schemas.openxmlformats.org/officeDocument/2006/relationships/hyperlink" Target="https://www.emtekinc.co.kr/bbs/board.php?bo_table=product&amp;wr_id=1948" TargetMode="External"/><Relationship Id="rId1494" Type="http://schemas.openxmlformats.org/officeDocument/2006/relationships/hyperlink" Target="https://www.emtekinc.co.kr/" TargetMode="External"/><Relationship Id="rId664" Type="http://schemas.openxmlformats.org/officeDocument/2006/relationships/hyperlink" Target="https://www.gigabyte.com/Graphics-Card/GV-N1650WF2OC-4GD" TargetMode="External"/><Relationship Id="rId1495" Type="http://schemas.openxmlformats.org/officeDocument/2006/relationships/hyperlink" Target="https://www.emtekinc.co.kr/bbs/board.php?bo_table=product&amp;wr_id=2062" TargetMode="External"/><Relationship Id="rId663" Type="http://schemas.openxmlformats.org/officeDocument/2006/relationships/hyperlink" Target="https://www.gigabyte.com/Graphics-Card/GV-N1650WF2-4GD" TargetMode="External"/><Relationship Id="rId1496" Type="http://schemas.openxmlformats.org/officeDocument/2006/relationships/hyperlink" Target="https://www.evga.com/products/specs/gpu.aspx?pn=310DADA0-5F2F-461B-885A-050968200AB9" TargetMode="External"/><Relationship Id="rId662" Type="http://schemas.openxmlformats.org/officeDocument/2006/relationships/hyperlink" Target="https://en.colorful.cn/product_show.aspx?mid=102&amp;id=1741" TargetMode="External"/><Relationship Id="rId1497" Type="http://schemas.openxmlformats.org/officeDocument/2006/relationships/hyperlink" Target="https://www.evga.com/products/specs/gpu.aspx?pn=0D3ACA30-C8B9-47A8-8AA8-0DDA2E7E7AC7" TargetMode="External"/><Relationship Id="rId661" Type="http://schemas.openxmlformats.org/officeDocument/2006/relationships/hyperlink" Target="https://en.colorful.cn/en/" TargetMode="External"/><Relationship Id="rId1498" Type="http://schemas.openxmlformats.org/officeDocument/2006/relationships/hyperlink" Target="https://www.evga.com/products/specs/gpu.aspx?pn=7BA54F2C-788D-4FF8-A0E3-FC50D9F15DA0" TargetMode="External"/><Relationship Id="rId1488" Type="http://schemas.openxmlformats.org/officeDocument/2006/relationships/hyperlink" Target="https://en.colorful.cn/en/" TargetMode="External"/><Relationship Id="rId1489" Type="http://schemas.openxmlformats.org/officeDocument/2006/relationships/hyperlink" Target="https://en.colorful.cn/product_show.aspx?mid=102&amp;id=1711" TargetMode="External"/><Relationship Id="rId657" Type="http://schemas.openxmlformats.org/officeDocument/2006/relationships/hyperlink" Target="https://en.colorful.cn/en/" TargetMode="External"/><Relationship Id="rId656" Type="http://schemas.openxmlformats.org/officeDocument/2006/relationships/hyperlink" Target="https://rog.asus.com/Graphics-Cards/Graphics-Cards/ROG-Strix/ROG-STRIX-GTX1650-O4G-GAMING-Model/" TargetMode="External"/><Relationship Id="rId655" Type="http://schemas.openxmlformats.org/officeDocument/2006/relationships/hyperlink" Target="https://rog.asus.com/Graphics-Cards/Graphics-Cards/ROG-Strix/ROG-STRIX-GTX1650-A4G-GAMING-Model/" TargetMode="External"/><Relationship Id="rId654" Type="http://schemas.openxmlformats.org/officeDocument/2006/relationships/hyperlink" Target="https://rog.asus.com/Graphics-Cards/Graphics-Cards/ROG-Strix/ROG-STRIX-GTX1650-4G-GAMING-Model/" TargetMode="External"/><Relationship Id="rId659" Type="http://schemas.openxmlformats.org/officeDocument/2006/relationships/hyperlink" Target="https://en.colorful.cn/en/" TargetMode="External"/><Relationship Id="rId658" Type="http://schemas.openxmlformats.org/officeDocument/2006/relationships/hyperlink" Target="https://en.colorful.cn/product_show.aspx?mid=102&amp;id=1739" TargetMode="External"/><Relationship Id="rId1480" Type="http://schemas.openxmlformats.org/officeDocument/2006/relationships/hyperlink" Target="https://en.colorful.cn/en/" TargetMode="External"/><Relationship Id="rId1481" Type="http://schemas.openxmlformats.org/officeDocument/2006/relationships/hyperlink" Target="https://en.colorful.cn/product_show.aspx?mid=102&amp;id=1707" TargetMode="External"/><Relationship Id="rId1482" Type="http://schemas.openxmlformats.org/officeDocument/2006/relationships/hyperlink" Target="https://en.colorful.cn/en/" TargetMode="External"/><Relationship Id="rId1483" Type="http://schemas.openxmlformats.org/officeDocument/2006/relationships/hyperlink" Target="https://en.colorful.cn/product_show.aspx?mid=102&amp;id=1706" TargetMode="External"/><Relationship Id="rId653" Type="http://schemas.openxmlformats.org/officeDocument/2006/relationships/hyperlink" Target="http://www.pcasl.com/pd.jsp?id=111" TargetMode="External"/><Relationship Id="rId1484" Type="http://schemas.openxmlformats.org/officeDocument/2006/relationships/hyperlink" Target="https://en.colorful.cn/en/" TargetMode="External"/><Relationship Id="rId652" Type="http://schemas.openxmlformats.org/officeDocument/2006/relationships/hyperlink" Target="http://www.pcasl.com/index.jsp" TargetMode="External"/><Relationship Id="rId1485" Type="http://schemas.openxmlformats.org/officeDocument/2006/relationships/hyperlink" Target="https://en.colorful.cn/product_show.aspx?mid=102&amp;id=1709" TargetMode="External"/><Relationship Id="rId651" Type="http://schemas.openxmlformats.org/officeDocument/2006/relationships/hyperlink" Target="https://en.colorful.cn/product_show.aspx?mid=102&amp;id=1920" TargetMode="External"/><Relationship Id="rId1486" Type="http://schemas.openxmlformats.org/officeDocument/2006/relationships/hyperlink" Target="https://en.colorful.cn/en/" TargetMode="External"/><Relationship Id="rId650" Type="http://schemas.openxmlformats.org/officeDocument/2006/relationships/hyperlink" Target="https://en.colorful.cn/index.aspx" TargetMode="External"/><Relationship Id="rId1487" Type="http://schemas.openxmlformats.org/officeDocument/2006/relationships/hyperlink" Target="https://en.colorful.cn/product_show.aspx?mid=102&amp;id=1708" TargetMode="External"/><Relationship Id="rId3216" Type="http://schemas.openxmlformats.org/officeDocument/2006/relationships/hyperlink" Target="https://www.msi.com/Graphics-Card/GeForce-RTX-4060-Ti-VENTUS-3X-8G" TargetMode="External"/><Relationship Id="rId3215" Type="http://schemas.openxmlformats.org/officeDocument/2006/relationships/hyperlink" Target="https://www.maxsun.com/products/geforce-rtx-4060ti-icraft-oc-limited-8g?_pos=5&amp;_fid=95cee58b2&amp;_ss=c" TargetMode="External"/><Relationship Id="rId3218" Type="http://schemas.openxmlformats.org/officeDocument/2006/relationships/hyperlink" Target="https://www.msi.com/Graphics-Card/GeForce-RTX-4060-Ti-VENTUS-3X-E-8G" TargetMode="External"/><Relationship Id="rId3217" Type="http://schemas.openxmlformats.org/officeDocument/2006/relationships/hyperlink" Target="https://www.msi.com/Graphics-Card/GeForce-RTX-4060-Ti-VENTUS-3X-8G-OC" TargetMode="External"/><Relationship Id="rId3219" Type="http://schemas.openxmlformats.org/officeDocument/2006/relationships/hyperlink" Target="https://www.msi.com/Graphics-Card/GeForce-RTX-4060-Ti-VENTUS-3X-E-8G-OC" TargetMode="External"/><Relationship Id="rId689" Type="http://schemas.openxmlformats.org/officeDocument/2006/relationships/hyperlink" Target="https://rog.asus.com/Graphics-Cards/Graphics-Cards/ROG-Strix/ROG-STRIX-GTX1650S-A4G-GAMING-Model/" TargetMode="External"/><Relationship Id="rId688" Type="http://schemas.openxmlformats.org/officeDocument/2006/relationships/hyperlink" Target="https://rog.asus.com/Graphics-Cards/Graphics-Cards/ROG-Strix/ROG-STRIX-GTX1650S-4G-GAMING-Model/" TargetMode="External"/><Relationship Id="rId687" Type="http://schemas.openxmlformats.org/officeDocument/2006/relationships/hyperlink" Target="http://www.pcasl.com/pd.jsp?id=163" TargetMode="External"/><Relationship Id="rId682" Type="http://schemas.openxmlformats.org/officeDocument/2006/relationships/hyperlink" Target="https://www.msi.com/Graphics-card/GeForce-GTX-1650-D6-GAMING" TargetMode="External"/><Relationship Id="rId681" Type="http://schemas.openxmlformats.org/officeDocument/2006/relationships/hyperlink" Target="https://www.inno3d.com/en/product_detail/page/637588d29ffa59a27e323583efe1da4be62395eb326e205e54a8bec4c59ffcf5" TargetMode="External"/><Relationship Id="rId680" Type="http://schemas.openxmlformats.org/officeDocument/2006/relationships/hyperlink" Target="https://en.colorful.cn/product_show.aspx?mid=102&amp;id=1797" TargetMode="External"/><Relationship Id="rId3210" Type="http://schemas.openxmlformats.org/officeDocument/2006/relationships/hyperlink" Target="https://www.maxsun.com/" TargetMode="External"/><Relationship Id="rId686" Type="http://schemas.openxmlformats.org/officeDocument/2006/relationships/hyperlink" Target="http://www.pcasl.com/index.jsp" TargetMode="External"/><Relationship Id="rId3212" Type="http://schemas.openxmlformats.org/officeDocument/2006/relationships/hyperlink" Target="https://www.maxsun.com/" TargetMode="External"/><Relationship Id="rId685" Type="http://schemas.openxmlformats.org/officeDocument/2006/relationships/hyperlink" Target="https://www.msi.com/Graphics-Card/GeForce-GTX-1650-D6-GAMING-X-PLUS" TargetMode="External"/><Relationship Id="rId3211" Type="http://schemas.openxmlformats.org/officeDocument/2006/relationships/hyperlink" Target="https://www.maxsun.com/products/geforce-rtx4060ti-icraft-oc-8g-limitedx2?_pos=6&amp;_fid=95cee58b2&amp;_ss=c" TargetMode="External"/><Relationship Id="rId684" Type="http://schemas.openxmlformats.org/officeDocument/2006/relationships/hyperlink" Target="https://www.msi.com/Graphics-Card/GeForce-GTX-1650-D6-GAMING-PLUS" TargetMode="External"/><Relationship Id="rId3214" Type="http://schemas.openxmlformats.org/officeDocument/2006/relationships/hyperlink" Target="https://www.maxsun.com/" TargetMode="External"/><Relationship Id="rId683" Type="http://schemas.openxmlformats.org/officeDocument/2006/relationships/hyperlink" Target="https://www.msi.com/Graphics-card/GeForce-GTX-1650-D6-GAMING-X" TargetMode="External"/><Relationship Id="rId3213" Type="http://schemas.openxmlformats.org/officeDocument/2006/relationships/hyperlink" Target="https://www.maxsun.com/products/geforce-rtx-4060ti-icraft-oc8g?_pos=2&amp;_fid=95cee58b2&amp;_ss=c" TargetMode="External"/><Relationship Id="rId3205" Type="http://schemas.openxmlformats.org/officeDocument/2006/relationships/hyperlink" Target="https://www.manli.com/en/product-detail-Manli_GeForce_RTX%E2%84%A2_4060_Ti(M2546+N719)-330.html" TargetMode="External"/><Relationship Id="rId3204" Type="http://schemas.openxmlformats.org/officeDocument/2006/relationships/hyperlink" Target="https://www.leadtek.com/eng/products/graphics_cards(1)/WinFast_RTX_4060_Ti_HURRICANE_8G(40983)/detail" TargetMode="External"/><Relationship Id="rId3207" Type="http://schemas.openxmlformats.org/officeDocument/2006/relationships/hyperlink" Target="https://www.maxsun.com.cn/2023/0523/5984.html" TargetMode="External"/><Relationship Id="rId3206" Type="http://schemas.openxmlformats.org/officeDocument/2006/relationships/hyperlink" Target="https://www.maxsun.com/" TargetMode="External"/><Relationship Id="rId3209" Type="http://schemas.openxmlformats.org/officeDocument/2006/relationships/hyperlink" Target="https://www.maxsun.com/products/geforce-rtx-4060ti-terminator-w-8g?_pos=3&amp;_fid=95cee58b2&amp;_ss=c" TargetMode="External"/><Relationship Id="rId3208" Type="http://schemas.openxmlformats.org/officeDocument/2006/relationships/hyperlink" Target="https://www.maxsun.com/" TargetMode="External"/><Relationship Id="rId679" Type="http://schemas.openxmlformats.org/officeDocument/2006/relationships/hyperlink" Target="https://en.colorful.cn/en/" TargetMode="External"/><Relationship Id="rId678" Type="http://schemas.openxmlformats.org/officeDocument/2006/relationships/hyperlink" Target="https://en.colorful.cn/product_show.aspx?mid=102&amp;id=1798" TargetMode="External"/><Relationship Id="rId677" Type="http://schemas.openxmlformats.org/officeDocument/2006/relationships/hyperlink" Target="https://en.colorful.cn/en/" TargetMode="External"/><Relationship Id="rId676" Type="http://schemas.openxmlformats.org/officeDocument/2006/relationships/hyperlink" Target="https://en.colorful.cn/product_show.aspx?mid=102&amp;id=1800" TargetMode="External"/><Relationship Id="rId671" Type="http://schemas.openxmlformats.org/officeDocument/2006/relationships/hyperlink" Target="https://rog.asus.com/Graphics-Cards/Graphics-Cards/ROG-Strix/ROG-STRIX-GTX1650-A4GD6-GAMING-Model/" TargetMode="External"/><Relationship Id="rId670" Type="http://schemas.openxmlformats.org/officeDocument/2006/relationships/hyperlink" Target="https://rog.asus.com/Graphics-Cards/Graphics-Cards/ROG-Strix/ROG-STRIX-GTX1650-4GD6-GAMING-Model/" TargetMode="External"/><Relationship Id="rId675" Type="http://schemas.openxmlformats.org/officeDocument/2006/relationships/hyperlink" Target="https://en.colorful.cn/en/" TargetMode="External"/><Relationship Id="rId3201" Type="http://schemas.openxmlformats.org/officeDocument/2006/relationships/hyperlink" Target="https://www.inno3d.com/en/PRODUCT_INNO3D_GEFORCE_RTX_4060_TI_8GB_ICHILL_X3" TargetMode="External"/><Relationship Id="rId674" Type="http://schemas.openxmlformats.org/officeDocument/2006/relationships/hyperlink" Target="https://en.colorful.cn/product_show.aspx?mid=102&amp;id=1796" TargetMode="External"/><Relationship Id="rId3200" Type="http://schemas.openxmlformats.org/officeDocument/2006/relationships/hyperlink" Target="https://www.inno3d.com/en/PRODUCT_INNO3D_GEFORCE_RTX_4060_TI_8GB_X3_OC" TargetMode="External"/><Relationship Id="rId673" Type="http://schemas.openxmlformats.org/officeDocument/2006/relationships/hyperlink" Target="https://en.colorful.cn/en/" TargetMode="External"/><Relationship Id="rId3203" Type="http://schemas.openxmlformats.org/officeDocument/2006/relationships/hyperlink" Target="https://www.leadtek.com/eng/" TargetMode="External"/><Relationship Id="rId672" Type="http://schemas.openxmlformats.org/officeDocument/2006/relationships/hyperlink" Target="https://rog.asus.com/Graphics-Cards/Graphics-Cards/ROG-Strix/ROG-STRIX-GTX1650-O4GD6-GAMING-Model/" TargetMode="External"/><Relationship Id="rId3202" Type="http://schemas.openxmlformats.org/officeDocument/2006/relationships/hyperlink" Target="https://www.inno3d.com/en/PRODUCT_INNO3D_GEFORCE_RTX_4060_TI_8GB_ICHILL_X3_WHITE" TargetMode="External"/><Relationship Id="rId190" Type="http://schemas.openxmlformats.org/officeDocument/2006/relationships/hyperlink" Target="https://www.asrock.com/Graphics-Card/AMD/Radeon%20RX%206650%20XT%20Steel%20Legend%208GB%20OC/" TargetMode="External"/><Relationship Id="rId194" Type="http://schemas.openxmlformats.org/officeDocument/2006/relationships/hyperlink" Target="https://rog.asus.com/graphics-cards/graphics-cards/rog-strix/rog-strix-rx6650xt-o8g-gaming-model/" TargetMode="External"/><Relationship Id="rId193" Type="http://schemas.openxmlformats.org/officeDocument/2006/relationships/hyperlink" Target="https://www.asus.com/motherboards-components/graphics-cards/dual/dual-rx6650xt-o8g-v2/" TargetMode="External"/><Relationship Id="rId192" Type="http://schemas.openxmlformats.org/officeDocument/2006/relationships/hyperlink" Target="https://www.asus.com/Motherboards-Components/Graphics-Cards/Dual/DUAL-RX6650XT-O8G/" TargetMode="External"/><Relationship Id="rId191" Type="http://schemas.openxmlformats.org/officeDocument/2006/relationships/hyperlink" Target="https://www.asrock.com/Graphics-Card/AMD/Radeon%20RX%206650%20XT%20Phantom%20Gaming%20D%208GB%20OC/" TargetMode="External"/><Relationship Id="rId187" Type="http://schemas.openxmlformats.org/officeDocument/2006/relationships/hyperlink" Target="http://www.yeston.net/products-detail/id-63.html" TargetMode="External"/><Relationship Id="rId186" Type="http://schemas.openxmlformats.org/officeDocument/2006/relationships/hyperlink" Target="http://www.yeston.net/" TargetMode="External"/><Relationship Id="rId185" Type="http://schemas.openxmlformats.org/officeDocument/2006/relationships/hyperlink" Target="https://www.xfxforce.com/shop/xfx-speedster-merc-308-amd-radeon-tm-rx-6600-xt-black" TargetMode="External"/><Relationship Id="rId184" Type="http://schemas.openxmlformats.org/officeDocument/2006/relationships/hyperlink" Target="https://www.xfxforce.com/shop/xfx-speedster-qick-308-amd-radeon-tm-rx-6600-xt-black" TargetMode="External"/><Relationship Id="rId189" Type="http://schemas.openxmlformats.org/officeDocument/2006/relationships/hyperlink" Target="https://www.asrock.com/Graphics-Card/AMD/Radeon%20RX%206650%20XT%20Challenger%20D%208GB%20OC/" TargetMode="External"/><Relationship Id="rId188" Type="http://schemas.openxmlformats.org/officeDocument/2006/relationships/hyperlink" Target="http://www.yeston.net/" TargetMode="External"/><Relationship Id="rId183" Type="http://schemas.openxmlformats.org/officeDocument/2006/relationships/hyperlink" Target="https://www.xfxforce.com/shop/xfx-speedster-swft210-amd-radeon-tm-rx-6600-xt-core-gaming" TargetMode="External"/><Relationship Id="rId182" Type="http://schemas.openxmlformats.org/officeDocument/2006/relationships/hyperlink" Target="https://www.sapphiretech.com/en/consumer/nitro-radeon-rx-6600-xt-8g-gddr6" TargetMode="External"/><Relationship Id="rId181" Type="http://schemas.openxmlformats.org/officeDocument/2006/relationships/hyperlink" Target="https://www.sapphiretech.com/en/consumer/pulse-radeon-rx-6600-xt-8g-gddr6" TargetMode="External"/><Relationship Id="rId180" Type="http://schemas.openxmlformats.org/officeDocument/2006/relationships/hyperlink" Target="https://www.powercolor.com/product?id=1623918640" TargetMode="External"/><Relationship Id="rId176" Type="http://schemas.openxmlformats.org/officeDocument/2006/relationships/hyperlink" Target="https://www.msi.com/Graphics-Card/Radeon-RX-6600-XT-MECH-2X-8G-OC" TargetMode="External"/><Relationship Id="rId175" Type="http://schemas.openxmlformats.org/officeDocument/2006/relationships/hyperlink" Target="https://www.msi.com/Graphics-Card/Radeon-RX-6600-XT-MECH-2X-8G" TargetMode="External"/><Relationship Id="rId174" Type="http://schemas.openxmlformats.org/officeDocument/2006/relationships/hyperlink" Target="https://www.gigabyte.com/Graphics-Card/GV-R66XTGAMINGOC-PRO-8GD" TargetMode="External"/><Relationship Id="rId173" Type="http://schemas.openxmlformats.org/officeDocument/2006/relationships/hyperlink" Target="https://www.gigabyte.com/Graphics-Card/GV-R66XTGAMING-OC-8GD" TargetMode="External"/><Relationship Id="rId179" Type="http://schemas.openxmlformats.org/officeDocument/2006/relationships/hyperlink" Target="https://www.powercolor.com/product?id=1623916068" TargetMode="External"/><Relationship Id="rId178" Type="http://schemas.openxmlformats.org/officeDocument/2006/relationships/hyperlink" Target="https://www.msi.com/Graphics-Card/Radeon-RX-6600-XT-GAMING-X-8G" TargetMode="External"/><Relationship Id="rId177" Type="http://schemas.openxmlformats.org/officeDocument/2006/relationships/hyperlink" Target="https://www.msi.com/Graphics-Card/Radeon-RX-6600-XT-GAMING-8G" TargetMode="External"/><Relationship Id="rId198" Type="http://schemas.openxmlformats.org/officeDocument/2006/relationships/hyperlink" Target="https://www.msi.com/Graphics-Card/Radeon-RX-6650-XT-MECH-2X-8G" TargetMode="External"/><Relationship Id="rId197" Type="http://schemas.openxmlformats.org/officeDocument/2006/relationships/hyperlink" Target="https://www.gigabyte.com/Graphics-Card/GV-R665XTGAMING-OC-8GD" TargetMode="External"/><Relationship Id="rId196" Type="http://schemas.openxmlformats.org/officeDocument/2006/relationships/hyperlink" Target="https://www.gigabyte.com/Graphics-Card/GV-R665XTEAGLE-8GD" TargetMode="External"/><Relationship Id="rId195" Type="http://schemas.openxmlformats.org/officeDocument/2006/relationships/hyperlink" Target="https://rog.asus.com/graphics-cards/graphics-cards/rog-strix/rog-strix-rx6650xt-o8g-v2-gaming-model/" TargetMode="External"/><Relationship Id="rId199" Type="http://schemas.openxmlformats.org/officeDocument/2006/relationships/hyperlink" Target="https://www.msi.com/Graphics-Card/Radeon-RX-6650-XT-MECH-2X-8G-OC" TargetMode="External"/><Relationship Id="rId150" Type="http://schemas.openxmlformats.org/officeDocument/2006/relationships/hyperlink" Target="https://www.gigabyte.com/Graphics-Card/GV-R65XTGAMING-OC-4GD" TargetMode="External"/><Relationship Id="rId149" Type="http://schemas.openxmlformats.org/officeDocument/2006/relationships/hyperlink" Target="http://www.dataland.com.cn/prod_view.aspx?nid=3&amp;typeid=147&amp;id=956" TargetMode="External"/><Relationship Id="rId148" Type="http://schemas.openxmlformats.org/officeDocument/2006/relationships/hyperlink" Target="http://www.dataland.com.cn/" TargetMode="External"/><Relationship Id="rId3270" Type="http://schemas.openxmlformats.org/officeDocument/2006/relationships/hyperlink" Target="https://en.colorful.cn/en/home/product?mid=102&amp;id=9c239316-454c-4624-802b-37feb6b98953" TargetMode="External"/><Relationship Id="rId3272" Type="http://schemas.openxmlformats.org/officeDocument/2006/relationships/hyperlink" Target="https://en.colorful.cn/en/home/product?mid=102&amp;id=dd16b577-6fbb-45a2-80e4-d251fceb4c09" TargetMode="External"/><Relationship Id="rId3271" Type="http://schemas.openxmlformats.org/officeDocument/2006/relationships/hyperlink" Target="https://en.colorful.cn/en/" TargetMode="External"/><Relationship Id="rId143" Type="http://schemas.openxmlformats.org/officeDocument/2006/relationships/hyperlink" Target="http://www.yeston.net/product/details/268/312" TargetMode="External"/><Relationship Id="rId3274" Type="http://schemas.openxmlformats.org/officeDocument/2006/relationships/hyperlink" Target="https://en.colorful.cn/en/home/product?mid=102&amp;id=eaa62ed7-365d-4110-b87d-b60ee296f405" TargetMode="External"/><Relationship Id="rId142" Type="http://schemas.openxmlformats.org/officeDocument/2006/relationships/hyperlink" Target="http://www.yeston.net/" TargetMode="External"/><Relationship Id="rId3273" Type="http://schemas.openxmlformats.org/officeDocument/2006/relationships/hyperlink" Target="https://en.colorful.cn/en/" TargetMode="External"/><Relationship Id="rId141" Type="http://schemas.openxmlformats.org/officeDocument/2006/relationships/hyperlink" Target="http://www.yeston.net/product/details/268/279" TargetMode="External"/><Relationship Id="rId3276" Type="http://schemas.openxmlformats.org/officeDocument/2006/relationships/hyperlink" Target="https://en.colorful.cn/en/home/product?mid=102&amp;id=ded9dcc0-0f5c-4bcf-9348-d53a7e645997" TargetMode="External"/><Relationship Id="rId140" Type="http://schemas.openxmlformats.org/officeDocument/2006/relationships/hyperlink" Target="http://www.yeston.net/" TargetMode="External"/><Relationship Id="rId3275" Type="http://schemas.openxmlformats.org/officeDocument/2006/relationships/hyperlink" Target="https://en.colorful.cn/en/" TargetMode="External"/><Relationship Id="rId147" Type="http://schemas.openxmlformats.org/officeDocument/2006/relationships/hyperlink" Target="https://www.asus.com/Motherboards-Components/Graphics-Cards/TUF-Gaming/TUF-RX6500XT-O4G-GAMING/" TargetMode="External"/><Relationship Id="rId3278" Type="http://schemas.openxmlformats.org/officeDocument/2006/relationships/hyperlink" Target="http://www.gainward.com/main/vgapro.php?id=1194&amp;lang=en" TargetMode="External"/><Relationship Id="rId146" Type="http://schemas.openxmlformats.org/officeDocument/2006/relationships/hyperlink" Target="https://www.asrock.com/Graphics-Card/AMD/Radeon%20RX%206500%20XT%20Phantom%20Gaming%20D%204GB%20OC/" TargetMode="External"/><Relationship Id="rId3277" Type="http://schemas.openxmlformats.org/officeDocument/2006/relationships/hyperlink" Target="https://www.gainward.com/main/vgapro.php?id=1193&amp;lang=en" TargetMode="External"/><Relationship Id="rId145" Type="http://schemas.openxmlformats.org/officeDocument/2006/relationships/hyperlink" Target="http://www.yeston.net/product/details/268/285" TargetMode="External"/><Relationship Id="rId144" Type="http://schemas.openxmlformats.org/officeDocument/2006/relationships/hyperlink" Target="http://www.yeston.net/" TargetMode="External"/><Relationship Id="rId3279" Type="http://schemas.openxmlformats.org/officeDocument/2006/relationships/hyperlink" Target="https://www.galax.com/en/" TargetMode="External"/><Relationship Id="rId139" Type="http://schemas.openxmlformats.org/officeDocument/2006/relationships/hyperlink" Target="https://www.xfxforce.com/gpus/radeon-tm-rx-5700-xt-8gb-gddr6-thicc-iii-ultra" TargetMode="External"/><Relationship Id="rId138" Type="http://schemas.openxmlformats.org/officeDocument/2006/relationships/hyperlink" Target="https://www.xfxforce.com/gpus/radeon-tm-rx-5700-xt-8gb-gddr6-thicc-iii" TargetMode="External"/><Relationship Id="rId137" Type="http://schemas.openxmlformats.org/officeDocument/2006/relationships/hyperlink" Target="https://www.xfxforce.com/gpus/radeon-tm-rx-5700-xt-8gb-gddr6-thicc-ii-ultra" TargetMode="External"/><Relationship Id="rId3261" Type="http://schemas.openxmlformats.org/officeDocument/2006/relationships/hyperlink" Target="https://www.asus.com/motherboards-components/graphics-cards/proart/proart-rtx4060ti-o16g/" TargetMode="External"/><Relationship Id="rId3260" Type="http://schemas.openxmlformats.org/officeDocument/2006/relationships/hyperlink" Target="https://www.asus.com/motherboards-components/graphics-cards/proart/proart-rtx4060ti-a16g/" TargetMode="External"/><Relationship Id="rId132" Type="http://schemas.openxmlformats.org/officeDocument/2006/relationships/hyperlink" Target="https://www.xfxforce.com/gpus/amd-radeon-tm-rx-5700-xt-8gb-gddr6-raw-ii" TargetMode="External"/><Relationship Id="rId3263" Type="http://schemas.openxmlformats.org/officeDocument/2006/relationships/hyperlink" Target="https://rog.asus.com/graphics-cards/graphics-cards/rog-strix/rog-strix-rtx4060ti-a16g-gaming/" TargetMode="External"/><Relationship Id="rId131" Type="http://schemas.openxmlformats.org/officeDocument/2006/relationships/hyperlink" Target="https://www.xfxforce.com/gpus/xfx-amd-radeon-tm-rx-5700-xt-double-dissipation-8gb-gddr6" TargetMode="External"/><Relationship Id="rId3262" Type="http://schemas.openxmlformats.org/officeDocument/2006/relationships/hyperlink" Target="https://rog.asus.com/graphics-cards/graphics-cards/rog-strix/rog-strix-rtx4060ti-16g-gaming/" TargetMode="External"/><Relationship Id="rId130" Type="http://schemas.openxmlformats.org/officeDocument/2006/relationships/hyperlink" Target="https://www.sapphiretech.com/en/consumer/nitro-radeon-rx-5700-xt-se-8g-gddr6" TargetMode="External"/><Relationship Id="rId3265" Type="http://schemas.openxmlformats.org/officeDocument/2006/relationships/hyperlink" Target="https://en.colorful.cn/en/" TargetMode="External"/><Relationship Id="rId3264" Type="http://schemas.openxmlformats.org/officeDocument/2006/relationships/hyperlink" Target="https://rog.asus.com/graphics-cards/graphics-cards/rog-strix/rog-strix-rtx4060ti-o16g-gaming/" TargetMode="External"/><Relationship Id="rId136" Type="http://schemas.openxmlformats.org/officeDocument/2006/relationships/hyperlink" Target="https://www.xfxforce.com/gpus/xfx-amd-radeon-tm-rx-5700-xt-8gb-gddr6-thicc-ii-pro" TargetMode="External"/><Relationship Id="rId3267" Type="http://schemas.openxmlformats.org/officeDocument/2006/relationships/hyperlink" Target="https://en.colorful.cn/en/" TargetMode="External"/><Relationship Id="rId135" Type="http://schemas.openxmlformats.org/officeDocument/2006/relationships/hyperlink" Target="https://www.xfxforce.com/gpus/radeon-tm-rx-5700-xt-8gb-gddr6-thicc-ii" TargetMode="External"/><Relationship Id="rId3266" Type="http://schemas.openxmlformats.org/officeDocument/2006/relationships/hyperlink" Target="https://en.colorful.cn/en/home/product?mid=102&amp;id=ccfae2f4-fa80-44ea-9c40-22c8a10c5f48" TargetMode="External"/><Relationship Id="rId134" Type="http://schemas.openxmlformats.org/officeDocument/2006/relationships/hyperlink" Target="https://www.xfxforce.com/gpus/xfx-amd-radeon-tm-rx-5700-xt-td-8gb-gddr6" TargetMode="External"/><Relationship Id="rId3269" Type="http://schemas.openxmlformats.org/officeDocument/2006/relationships/hyperlink" Target="https://en.colorful.cn/en/" TargetMode="External"/><Relationship Id="rId133" Type="http://schemas.openxmlformats.org/officeDocument/2006/relationships/hyperlink" Target="https://www.xfxforce.com/gpus/radeon-tm-rx-5700-xt-8gb-gddr6-raw-ii-ultra" TargetMode="External"/><Relationship Id="rId3268" Type="http://schemas.openxmlformats.org/officeDocument/2006/relationships/hyperlink" Target="https://en.colorful.cn/en/home/product?mid=102&amp;id=a5a675d1-673d-4db9-9ffe-049b38b8b393" TargetMode="External"/><Relationship Id="rId172" Type="http://schemas.openxmlformats.org/officeDocument/2006/relationships/hyperlink" Target="https://www.gigabyte.com/Graphics-Card/GV-R66XTEAGLE-8GD" TargetMode="External"/><Relationship Id="rId171" Type="http://schemas.openxmlformats.org/officeDocument/2006/relationships/hyperlink" Target="http://www.dataland.com.cn/prod_view.aspx?nid=3&amp;typeid=144&amp;id=953" TargetMode="External"/><Relationship Id="rId170" Type="http://schemas.openxmlformats.org/officeDocument/2006/relationships/hyperlink" Target="http://www.dataland.com.cn/" TargetMode="External"/><Relationship Id="rId3290" Type="http://schemas.openxmlformats.org/officeDocument/2006/relationships/hyperlink" Target="https://www.manli.com/en/product-detail-Manli_GeForce_RTX%E2%84%A2_4060_Ti_16GB_Gallardo(M2565+N719)-337.html" TargetMode="External"/><Relationship Id="rId3292" Type="http://schemas.openxmlformats.org/officeDocument/2006/relationships/hyperlink" Target="https://www.msi.com/Graphics-Card/GeForce-RTX-4060-Ti-GAMING-16G" TargetMode="External"/><Relationship Id="rId3291" Type="http://schemas.openxmlformats.org/officeDocument/2006/relationships/hyperlink" Target="https://www.msi.com/Graphics-Card/GeForce-RTX-4060-Ti-VENTUS-3X-16G-OC" TargetMode="External"/><Relationship Id="rId3294" Type="http://schemas.openxmlformats.org/officeDocument/2006/relationships/hyperlink" Target="https://www.msi.com/Graphics-Card/GeForce-RTX-4060-Ti-GAMING-SLIM-16G" TargetMode="External"/><Relationship Id="rId3293" Type="http://schemas.openxmlformats.org/officeDocument/2006/relationships/hyperlink" Target="https://www.msi.com/Graphics-Card/GeForce-RTX-4060-Ti-GAMING-X-16G" TargetMode="External"/><Relationship Id="rId165" Type="http://schemas.openxmlformats.org/officeDocument/2006/relationships/hyperlink" Target="https://www.asrock.com/Graphics-Card/AMD/Radeon%20RX%206600%20XT%20Challenger%20D%208GB%20OC/index.asp" TargetMode="External"/><Relationship Id="rId3296" Type="http://schemas.openxmlformats.org/officeDocument/2006/relationships/hyperlink" Target="https://www.msi.com/Graphics-Card/GeForce-RTX-4060-Ti-GAMING-X-SLIM-16G" TargetMode="External"/><Relationship Id="rId164" Type="http://schemas.openxmlformats.org/officeDocument/2006/relationships/hyperlink" Target="http://www.yeston.net/" TargetMode="External"/><Relationship Id="rId3295" Type="http://schemas.openxmlformats.org/officeDocument/2006/relationships/hyperlink" Target="https://www.msi.com/Graphics-Card/GeForce-RTX-4060-Ti-GAMING-SLIM-WHITE-16G" TargetMode="External"/><Relationship Id="rId163" Type="http://schemas.openxmlformats.org/officeDocument/2006/relationships/hyperlink" Target="https://www.xfxforce.com/shop/xfx-speedster-swft-210-amd-radeon-tm-rx-6600-core" TargetMode="External"/><Relationship Id="rId3298" Type="http://schemas.openxmlformats.org/officeDocument/2006/relationships/hyperlink" Target="https://www.palit.com/palit/vgapro.php?id=4967&amp;lang=en" TargetMode="External"/><Relationship Id="rId162" Type="http://schemas.openxmlformats.org/officeDocument/2006/relationships/hyperlink" Target="https://www.powercolor.com/product?id=1630396326" TargetMode="External"/><Relationship Id="rId3297" Type="http://schemas.openxmlformats.org/officeDocument/2006/relationships/hyperlink" Target="https://www.msi.com/Graphics-Card/GeForce-RTX-4060-Ti-GAMING-X-SLIM-WHITE-16G" TargetMode="External"/><Relationship Id="rId169" Type="http://schemas.openxmlformats.org/officeDocument/2006/relationships/hyperlink" Target="https://rog.asus.com/graphics-cards/graphics-cards/rog-strix/rog-strix-rx6600xt-o8g-gaming-model/" TargetMode="External"/><Relationship Id="rId168" Type="http://schemas.openxmlformats.org/officeDocument/2006/relationships/hyperlink" Target="https://www.asus.com/Motherboards-Components/Graphics-Cards/Dual/DUAL-RX6600XT-O8G/" TargetMode="External"/><Relationship Id="rId3299" Type="http://schemas.openxmlformats.org/officeDocument/2006/relationships/hyperlink" Target="http://www.palit.com/palit/vgapro.php?id=4878&amp;lang=en" TargetMode="External"/><Relationship Id="rId167" Type="http://schemas.openxmlformats.org/officeDocument/2006/relationships/hyperlink" Target="https://www.asrock.com/Graphics-Card/AMD/Radeon%20RX%206600%20XT%20Phantom%20Gaming%20D%208GB%20OC/index.asp" TargetMode="External"/><Relationship Id="rId166" Type="http://schemas.openxmlformats.org/officeDocument/2006/relationships/hyperlink" Target="https://www.asrock.com/Graphics-Card/AMD/Radeon%20RX%206600%20XT%20Challenger%20Pro%208GB%20OC/index.asp" TargetMode="External"/><Relationship Id="rId161" Type="http://schemas.openxmlformats.org/officeDocument/2006/relationships/hyperlink" Target="https://www.msi.com/Graphics-Card/Radeon-RX-6600-MECH-2X-8G" TargetMode="External"/><Relationship Id="rId160" Type="http://schemas.openxmlformats.org/officeDocument/2006/relationships/hyperlink" Target="https://www.msi.com/Graphics-Card/Radeon-RX-6600-ARMOR-8G-V1" TargetMode="External"/><Relationship Id="rId159" Type="http://schemas.openxmlformats.org/officeDocument/2006/relationships/hyperlink" Target="https://www.msi.com/Graphics-Card/Radeon-RX-6600-ARMOR-8G" TargetMode="External"/><Relationship Id="rId3281" Type="http://schemas.openxmlformats.org/officeDocument/2006/relationships/hyperlink" Target="https://www.galax.com/en/" TargetMode="External"/><Relationship Id="rId3280" Type="http://schemas.openxmlformats.org/officeDocument/2006/relationships/hyperlink" Target="https://www.galax.com/en/graphics-card/40-series/4060ti-series/geforce-rtx-4060ti-16gb-ex.html" TargetMode="External"/><Relationship Id="rId3283" Type="http://schemas.openxmlformats.org/officeDocument/2006/relationships/hyperlink" Target="https://www.gigabyte.com/Graphics-Card/GV-N406TAERO-OC-16GD" TargetMode="External"/><Relationship Id="rId3282" Type="http://schemas.openxmlformats.org/officeDocument/2006/relationships/hyperlink" Target="https://www.galax.com/en/graphics-card/40-series/4060ti-series/geforce-rtx-4060ti-16gb-ex-w.html" TargetMode="External"/><Relationship Id="rId154" Type="http://schemas.openxmlformats.org/officeDocument/2006/relationships/hyperlink" Target="https://www.asrock.com/Graphics-Card/AMD/Radeon%20RX%206600%20Challenger%20D%208GB/" TargetMode="External"/><Relationship Id="rId3285" Type="http://schemas.openxmlformats.org/officeDocument/2006/relationships/hyperlink" Target="https://www.gigabyte.com/Graphics-Card/GV-N406TGAMING-OC-16GD" TargetMode="External"/><Relationship Id="rId153" Type="http://schemas.openxmlformats.org/officeDocument/2006/relationships/hyperlink" Target="http://www.yeston.net/" TargetMode="External"/><Relationship Id="rId3284" Type="http://schemas.openxmlformats.org/officeDocument/2006/relationships/hyperlink" Target="https://www.gigabyte.com/Graphics-Card/GV-N406TGAMING-16GD" TargetMode="External"/><Relationship Id="rId152" Type="http://schemas.openxmlformats.org/officeDocument/2006/relationships/hyperlink" Target="http://www.yeston.net/" TargetMode="External"/><Relationship Id="rId3287" Type="http://schemas.openxmlformats.org/officeDocument/2006/relationships/hyperlink" Target="https://www.inno3d.com/en/PRODUCT_INNO3D_GEFORCE_RTX_4060_TI_16GB_TWINX2_OC" TargetMode="External"/><Relationship Id="rId151" Type="http://schemas.openxmlformats.org/officeDocument/2006/relationships/hyperlink" Target="https://www.xfxforce.com/shop/xfx-speedster-qick-210-amd-radeon-tm-rx-6500-black" TargetMode="External"/><Relationship Id="rId3286" Type="http://schemas.openxmlformats.org/officeDocument/2006/relationships/hyperlink" Target="https://www.inno3d.com/en/PRODUCT_INNO3D_GEFORCE_RTX_4060_TI_16GB_TWINX2" TargetMode="External"/><Relationship Id="rId158" Type="http://schemas.openxmlformats.org/officeDocument/2006/relationships/hyperlink" Target="https://www.gigabyte.com/Graphics-Card/GV-R66EAGLE-8GD" TargetMode="External"/><Relationship Id="rId3289" Type="http://schemas.openxmlformats.org/officeDocument/2006/relationships/hyperlink" Target="https://www.inno3d.com/en/PRODUCT_INNO3D_GEFORCE_RTX_4060_TI_16GB_X3_OC" TargetMode="External"/><Relationship Id="rId157" Type="http://schemas.openxmlformats.org/officeDocument/2006/relationships/hyperlink" Target="http://www.dataland.com.cn/prod_view.aspx?nid=3&amp;typeid=146&amp;id=954" TargetMode="External"/><Relationship Id="rId3288" Type="http://schemas.openxmlformats.org/officeDocument/2006/relationships/hyperlink" Target="https://www.inno3d.com/en/PRODUCT_INNO3D_GEFORCE_RTX_4060_TI_16GB_TWINX2_OC_WHITE" TargetMode="External"/><Relationship Id="rId156" Type="http://schemas.openxmlformats.org/officeDocument/2006/relationships/hyperlink" Target="http://www.dataland.com.cn/" TargetMode="External"/><Relationship Id="rId155" Type="http://schemas.openxmlformats.org/officeDocument/2006/relationships/hyperlink" Target="https://www.asus.com/Motherboards-Components/Graphics-Cards/Dual/DUAL-RX6600-8G/" TargetMode="External"/><Relationship Id="rId2820" Type="http://schemas.openxmlformats.org/officeDocument/2006/relationships/hyperlink" Target="https://www.galax.com/en/graphics-card/30-series/3080ti-series/geforce-rtx-3080ti-hof-premium.html" TargetMode="External"/><Relationship Id="rId2821" Type="http://schemas.openxmlformats.org/officeDocument/2006/relationships/hyperlink" Target="https://www.galax.com/en/" TargetMode="External"/><Relationship Id="rId2822" Type="http://schemas.openxmlformats.org/officeDocument/2006/relationships/hyperlink" Target="https://www.galax.com/en/graphics-card/30-series/3080ti-series/geforce-rtx-3080ti-hof-oc-lab.html" TargetMode="External"/><Relationship Id="rId2823" Type="http://schemas.openxmlformats.org/officeDocument/2006/relationships/hyperlink" Target="https://www.gigabyte.com/Graphics-Card/GV-N308TEAGLE-12GD" TargetMode="External"/><Relationship Id="rId2824" Type="http://schemas.openxmlformats.org/officeDocument/2006/relationships/hyperlink" Target="https://www.gigabyte.com/Graphics-Card/GV-N308TEAGLE-OC-12GD" TargetMode="External"/><Relationship Id="rId2825" Type="http://schemas.openxmlformats.org/officeDocument/2006/relationships/hyperlink" Target="https://www.gigabyte.com/Graphics-Card/GV-N308TGAMING-OC-12GD" TargetMode="External"/><Relationship Id="rId2826" Type="http://schemas.openxmlformats.org/officeDocument/2006/relationships/hyperlink" Target="https://www.gigabyte.com/Graphics-Card/GV-N308TVISION-OC-12GD" TargetMode="External"/><Relationship Id="rId2827" Type="http://schemas.openxmlformats.org/officeDocument/2006/relationships/hyperlink" Target="https://www.gigabyte.com/Graphics-Card/GV-N308TAORUS-M-12GD" TargetMode="External"/><Relationship Id="rId2828" Type="http://schemas.openxmlformats.org/officeDocument/2006/relationships/hyperlink" Target="https://www.gigabyte.com/Graphics-Card/GV-N308TAORUS-X-12GD" TargetMode="External"/><Relationship Id="rId2829" Type="http://schemas.openxmlformats.org/officeDocument/2006/relationships/hyperlink" Target="https://www.gigabyte.com/Graphics-Card/GV-N308TAORUSX-W-12GD" TargetMode="External"/><Relationship Id="rId2810" Type="http://schemas.openxmlformats.org/officeDocument/2006/relationships/hyperlink" Target="http://www.szgalaxy.com/__ZH_GB__/Product5/ProductDetail?proID=773" TargetMode="External"/><Relationship Id="rId2811" Type="http://schemas.openxmlformats.org/officeDocument/2006/relationships/hyperlink" Target="https://www.galax.com/en/" TargetMode="External"/><Relationship Id="rId2812" Type="http://schemas.openxmlformats.org/officeDocument/2006/relationships/hyperlink" Target="https://www.galax.com/en/graphics-card/30-series/geforce-rtx-3080ti-sg.html" TargetMode="External"/><Relationship Id="rId2813" Type="http://schemas.openxmlformats.org/officeDocument/2006/relationships/hyperlink" Target="https://www.galax.com/en/" TargetMode="External"/><Relationship Id="rId2814" Type="http://schemas.openxmlformats.org/officeDocument/2006/relationships/hyperlink" Target="https://www.galax.com/en/graphics-card/30-series/geforce-rtx-3080ti-exg.html" TargetMode="External"/><Relationship Id="rId2815" Type="http://schemas.openxmlformats.org/officeDocument/2006/relationships/hyperlink" Target="https://www.galax.com/en/" TargetMode="External"/><Relationship Id="rId2816" Type="http://schemas.openxmlformats.org/officeDocument/2006/relationships/hyperlink" Target="https://www.galax.com/en/graphics-card/30-series/geforce-rtx-3080ti-exg-w.html" TargetMode="External"/><Relationship Id="rId2817" Type="http://schemas.openxmlformats.org/officeDocument/2006/relationships/hyperlink" Target="https://www.galax.com/en/" TargetMode="External"/><Relationship Id="rId2818" Type="http://schemas.openxmlformats.org/officeDocument/2006/relationships/hyperlink" Target="https://www.galax.com/en/graphics-card/30-series/3080ti-series/geforce-rtx-3080ti-hof.html" TargetMode="External"/><Relationship Id="rId2819" Type="http://schemas.openxmlformats.org/officeDocument/2006/relationships/hyperlink" Target="https://www.galax.com/en/" TargetMode="External"/><Relationship Id="rId1510" Type="http://schemas.openxmlformats.org/officeDocument/2006/relationships/hyperlink" Target="http://www.gainward.com/main/vgapro.php?id=1017&amp;lang=en" TargetMode="External"/><Relationship Id="rId2841" Type="http://schemas.openxmlformats.org/officeDocument/2006/relationships/hyperlink" Target="https://www.manli.com/en/product-detail-Manli_GeForce_RTX_3080_Ti_Gallardo_(M3486+N612-00)-269.html" TargetMode="External"/><Relationship Id="rId1511" Type="http://schemas.openxmlformats.org/officeDocument/2006/relationships/hyperlink" Target="http://www.gainward.com/main/vgapro.php?id=1016&amp;lang=en" TargetMode="External"/><Relationship Id="rId2842" Type="http://schemas.openxmlformats.org/officeDocument/2006/relationships/hyperlink" Target="https://www.manli.com/en/product-detail-Manli_GeForce_RTX%E2%84%A2_3080_Ti_Gallardo_LHR_(M3515+N612-01)-283.html" TargetMode="External"/><Relationship Id="rId1512" Type="http://schemas.openxmlformats.org/officeDocument/2006/relationships/hyperlink" Target="https://www.galax.com/en/" TargetMode="External"/><Relationship Id="rId2843" Type="http://schemas.openxmlformats.org/officeDocument/2006/relationships/hyperlink" Target="http://www.maxsun.com.cn/" TargetMode="External"/><Relationship Id="rId1513" Type="http://schemas.openxmlformats.org/officeDocument/2006/relationships/hyperlink" Target="https://www.galax.com/en/" TargetMode="External"/><Relationship Id="rId2844" Type="http://schemas.openxmlformats.org/officeDocument/2006/relationships/hyperlink" Target="http://www.maxsun.com.cn/2021/0826/5607.html" TargetMode="External"/><Relationship Id="rId1514" Type="http://schemas.openxmlformats.org/officeDocument/2006/relationships/hyperlink" Target="https://www.galax.com/en/graphics-card/20-series/galax-geforce-rtx-2080ti-1click.html" TargetMode="External"/><Relationship Id="rId2845" Type="http://schemas.openxmlformats.org/officeDocument/2006/relationships/hyperlink" Target="https://www.msi.com/Graphics-Card/GeForce-RTX-3080-Ti-VENTUS-3X-12G" TargetMode="External"/><Relationship Id="rId1515" Type="http://schemas.openxmlformats.org/officeDocument/2006/relationships/hyperlink" Target="https://www.galax.com/en/" TargetMode="External"/><Relationship Id="rId2846" Type="http://schemas.openxmlformats.org/officeDocument/2006/relationships/hyperlink" Target="https://www.msi.com/Graphics-Card/GeForce-RTX-3080-Ti-VENTUS-3X-12G-OC" TargetMode="External"/><Relationship Id="rId1516" Type="http://schemas.openxmlformats.org/officeDocument/2006/relationships/hyperlink" Target="https://www.galax.com/en/graphics-card/20-series/galax-geforce-rtx-2080ti-1click-v2.html" TargetMode="External"/><Relationship Id="rId2847" Type="http://schemas.openxmlformats.org/officeDocument/2006/relationships/hyperlink" Target="https://www.msi.com/Graphics-Card/GeForce-RTX-3080-Ti-GAMING-TRIO-12G" TargetMode="External"/><Relationship Id="rId1517" Type="http://schemas.openxmlformats.org/officeDocument/2006/relationships/hyperlink" Target="https://www.galax.com/en/" TargetMode="External"/><Relationship Id="rId2848" Type="http://schemas.openxmlformats.org/officeDocument/2006/relationships/hyperlink" Target="https://www.msi.com/Graphics-Card/GeForce-RTX-3080-Ti-GAMING-X-TRIO-12G" TargetMode="External"/><Relationship Id="rId1518" Type="http://schemas.openxmlformats.org/officeDocument/2006/relationships/hyperlink" Target="https://www.galax.com/en/" TargetMode="External"/><Relationship Id="rId2849" Type="http://schemas.openxmlformats.org/officeDocument/2006/relationships/hyperlink" Target="https://www.msi.com/Graphics-Card/GeForce-RTX-3080-Ti-SUPRIM-12G" TargetMode="External"/><Relationship Id="rId1519" Type="http://schemas.openxmlformats.org/officeDocument/2006/relationships/hyperlink" Target="https://www.galax.com/en/" TargetMode="External"/><Relationship Id="rId2840" Type="http://schemas.openxmlformats.org/officeDocument/2006/relationships/hyperlink" Target="https://www.manli.com/en/product-detail-Manli_GeForce_RTX%E2%84%A2_3080_Ti_LHR_(M3514+N612-01)-284.html" TargetMode="External"/><Relationship Id="rId2830" Type="http://schemas.openxmlformats.org/officeDocument/2006/relationships/hyperlink" Target="https://www.gigabyte.com/Graphics-Card/GV-N308TAORUSX-WB-12GD" TargetMode="External"/><Relationship Id="rId1500" Type="http://schemas.openxmlformats.org/officeDocument/2006/relationships/hyperlink" Target="https://www.evga.com/products/specs/gpu.aspx?pn=D34EA4AA-1D64-4E99-AD21-853C936D1555" TargetMode="External"/><Relationship Id="rId2831" Type="http://schemas.openxmlformats.org/officeDocument/2006/relationships/hyperlink" Target="https://www.inno3d.com/en/product_detail/page/ea23c0ab180ee0ae77dfe81a1b3a934a37ab62f33fbb108817e1e41c95c32215" TargetMode="External"/><Relationship Id="rId1501" Type="http://schemas.openxmlformats.org/officeDocument/2006/relationships/hyperlink" Target="https://www.evga.com/products/specs/gpu.aspx?pn=68D2A6FB-429D-4524-8D20-D5540037B7D6" TargetMode="External"/><Relationship Id="rId2832" Type="http://schemas.openxmlformats.org/officeDocument/2006/relationships/hyperlink" Target="https://www.inno3d.com/en/product_detail/page/20e621378396e5b8e7f344d3124146c6545ed36ae13a2259217c344f0293a8ee" TargetMode="External"/><Relationship Id="rId1502" Type="http://schemas.openxmlformats.org/officeDocument/2006/relationships/hyperlink" Target="https://www.evga.com/products/specs/gpu.aspx?pn=59CB910C-F083-4DA7-977C-87EE44DFF707" TargetMode="External"/><Relationship Id="rId2833" Type="http://schemas.openxmlformats.org/officeDocument/2006/relationships/hyperlink" Target="https://www.inno3d.com/en/product_detail/page/c208ea3d3a78ec5f6fc012e8d0b8918622483078718afbe57b00344b0e5e03d9" TargetMode="External"/><Relationship Id="rId1503" Type="http://schemas.openxmlformats.org/officeDocument/2006/relationships/hyperlink" Target="https://www.evga.com/products/specs/gpu.aspx?pn=7C275A53-BD1D-476B-B0AE-A6A04ED573C6" TargetMode="External"/><Relationship Id="rId2834" Type="http://schemas.openxmlformats.org/officeDocument/2006/relationships/hyperlink" Target="https://www.inno3d.com/en/product_detail/page/a3534c91973cb77883d1ac8f122b15d165ccc8566aab36afd31470d512d97797" TargetMode="External"/><Relationship Id="rId1504" Type="http://schemas.openxmlformats.org/officeDocument/2006/relationships/hyperlink" Target="https://www.evga.com/products/specs/gpu.aspx?pn=F5FC9CF7-6B66-45AE-AAAA-3848A66A8D5F" TargetMode="External"/><Relationship Id="rId2835" Type="http://schemas.openxmlformats.org/officeDocument/2006/relationships/hyperlink" Target="https://www.inno3d.com/en/product_detail/page/4ba610767552fcd8f16dad27f028945606e13aaf067d3624c2706b481b823b55" TargetMode="External"/><Relationship Id="rId1505" Type="http://schemas.openxmlformats.org/officeDocument/2006/relationships/hyperlink" Target="https://www.evga.com/products/specs/gpu.aspx?pn=7A4E8C36-A4EB-4BE1-B097-0B4CB97807DA" TargetMode="External"/><Relationship Id="rId2836" Type="http://schemas.openxmlformats.org/officeDocument/2006/relationships/hyperlink" Target="https://www.inno3d.com/en/product_detail/page/d5d462ee14cf7c984f8e811cdfbe2800cf5e95fe69bf22a2c923b077a19548e3" TargetMode="External"/><Relationship Id="rId1506" Type="http://schemas.openxmlformats.org/officeDocument/2006/relationships/hyperlink" Target="https://www.evga.com/products/specs/gpu.aspx?pn=B4242BC5-AF17-4635-A3B8-8CD3F370860D" TargetMode="External"/><Relationship Id="rId2837" Type="http://schemas.openxmlformats.org/officeDocument/2006/relationships/hyperlink" Target="https://www.leadtek.com/eng/" TargetMode="External"/><Relationship Id="rId1507" Type="http://schemas.openxmlformats.org/officeDocument/2006/relationships/hyperlink" Target="https://www.evga.com/products/specs/gpu.aspx?pn=ABFBE4A6-B8A9-498A-AB77-F222DA5C742F" TargetMode="External"/><Relationship Id="rId2838" Type="http://schemas.openxmlformats.org/officeDocument/2006/relationships/hyperlink" Target="https://www.leadtek.com/eng/products/graphics_cards(1)/WinFast_RTX_3080_Ti_HURRICANE_12G(40926)/detail" TargetMode="External"/><Relationship Id="rId1508" Type="http://schemas.openxmlformats.org/officeDocument/2006/relationships/hyperlink" Target="https://www.evga.com/products/specs/gpu.aspx?pn=955E8127-D841-49BC-9553-9551BEEDE8A2" TargetMode="External"/><Relationship Id="rId2839" Type="http://schemas.openxmlformats.org/officeDocument/2006/relationships/hyperlink" Target="https://www.manli.com/en/product-detail-Manli_GeForce_RTX_3080_Ti_(M3478+N613-00)-268.html" TargetMode="External"/><Relationship Id="rId1509" Type="http://schemas.openxmlformats.org/officeDocument/2006/relationships/hyperlink" Target="https://www.evga.com/products/specs/gpu.aspx?pn=0FB570BC-01CA-4E4C-92BB-67F2CE7C52EF" TargetMode="External"/><Relationship Id="rId2800" Type="http://schemas.openxmlformats.org/officeDocument/2006/relationships/hyperlink" Target="http://www.szgalaxy.com/__ZH_GB__/Product5/ProductDetail?proID=757" TargetMode="External"/><Relationship Id="rId2801" Type="http://schemas.openxmlformats.org/officeDocument/2006/relationships/hyperlink" Target="https://www.galax.com/en/" TargetMode="External"/><Relationship Id="rId2802" Type="http://schemas.openxmlformats.org/officeDocument/2006/relationships/hyperlink" Target="http://www.szgalaxy.com/__ZH_GB__/Product5/ProductDetail?proID=781" TargetMode="External"/><Relationship Id="rId2803" Type="http://schemas.openxmlformats.org/officeDocument/2006/relationships/hyperlink" Target="https://www.galax.com/en/" TargetMode="External"/><Relationship Id="rId2804" Type="http://schemas.openxmlformats.org/officeDocument/2006/relationships/hyperlink" Target="http://www.szgalaxy.com/__ZH_GB__/Product5/ProductDetail?proID=780" TargetMode="External"/><Relationship Id="rId2805" Type="http://schemas.openxmlformats.org/officeDocument/2006/relationships/hyperlink" Target="https://www.galax.com/en/" TargetMode="External"/><Relationship Id="rId2806" Type="http://schemas.openxmlformats.org/officeDocument/2006/relationships/hyperlink" Target="http://www.szgalaxy.com/__ZH_GB__/Product5/ProductDetail?proID=779" TargetMode="External"/><Relationship Id="rId2807" Type="http://schemas.openxmlformats.org/officeDocument/2006/relationships/hyperlink" Target="https://www.galax.com/en/" TargetMode="External"/><Relationship Id="rId2808" Type="http://schemas.openxmlformats.org/officeDocument/2006/relationships/hyperlink" Target="http://www.szgalaxy.com/__ZH_GB__/Product5/ProductDetail?proID=774" TargetMode="External"/><Relationship Id="rId2809" Type="http://schemas.openxmlformats.org/officeDocument/2006/relationships/hyperlink" Target="https://www.galax.com/en/" TargetMode="External"/><Relationship Id="rId1576" Type="http://schemas.openxmlformats.org/officeDocument/2006/relationships/hyperlink" Target="https://en.colorful.cn/en/" TargetMode="External"/><Relationship Id="rId1577" Type="http://schemas.openxmlformats.org/officeDocument/2006/relationships/hyperlink" Target="https://en.colorful.cn/en/home/product?mid=102&amp;id=1905" TargetMode="External"/><Relationship Id="rId1578" Type="http://schemas.openxmlformats.org/officeDocument/2006/relationships/hyperlink" Target="https://en.colorful.cn/en/" TargetMode="External"/><Relationship Id="rId1579" Type="http://schemas.openxmlformats.org/officeDocument/2006/relationships/hyperlink" Target="https://en.colorful.cn/en/home/product?mid=102&amp;id=1906" TargetMode="External"/><Relationship Id="rId987" Type="http://schemas.openxmlformats.org/officeDocument/2006/relationships/hyperlink" Target="https://www.emtekinc.co.kr/bbs/board.php?bo_table=product&amp;wr_id=2025" TargetMode="External"/><Relationship Id="rId986" Type="http://schemas.openxmlformats.org/officeDocument/2006/relationships/hyperlink" Target="https://www.emtekinc.co.kr/" TargetMode="External"/><Relationship Id="rId985" Type="http://schemas.openxmlformats.org/officeDocument/2006/relationships/hyperlink" Target="https://www.emtekinc.co.kr/" TargetMode="External"/><Relationship Id="rId984" Type="http://schemas.openxmlformats.org/officeDocument/2006/relationships/hyperlink" Target="https://www.emtekinc.co.kr/" TargetMode="External"/><Relationship Id="rId989" Type="http://schemas.openxmlformats.org/officeDocument/2006/relationships/hyperlink" Target="https://www.emtekinc.co.kr/bbs/board.php?bo_table=product&amp;wr_id=2006" TargetMode="External"/><Relationship Id="rId988" Type="http://schemas.openxmlformats.org/officeDocument/2006/relationships/hyperlink" Target="https://www.emtekinc.co.kr/" TargetMode="External"/><Relationship Id="rId1570" Type="http://schemas.openxmlformats.org/officeDocument/2006/relationships/hyperlink" Target="https://www.zotac.com/product/graphics_card/zotac-gaming-geforce-rtx-2080-ti-amp-extreme" TargetMode="External"/><Relationship Id="rId1571" Type="http://schemas.openxmlformats.org/officeDocument/2006/relationships/hyperlink" Target="https://www.inno3d.com/en/PRODUCT_INNO3D_GEFORCE_RTX_3050_6GB_TWIN_X2_2" TargetMode="External"/><Relationship Id="rId983" Type="http://schemas.openxmlformats.org/officeDocument/2006/relationships/hyperlink" Target="https://www.emtekinc.co.kr/" TargetMode="External"/><Relationship Id="rId1572" Type="http://schemas.openxmlformats.org/officeDocument/2006/relationships/hyperlink" Target="https://www.asus.com/Motherboards-Components/Graphics-Cards/TUF-Gaming/TUF-RTX3050-8G-GAMING/" TargetMode="External"/><Relationship Id="rId982" Type="http://schemas.openxmlformats.org/officeDocument/2006/relationships/hyperlink" Target="https://www.emtekinc.co.kr/bbs/board.php?bo_table=product&amp;wr_id=2010" TargetMode="External"/><Relationship Id="rId1573" Type="http://schemas.openxmlformats.org/officeDocument/2006/relationships/hyperlink" Target="https://www.asus.com/Motherboards-Components/Graphics-Cards/TUF-Gaming/TUF-RTX3050-O8G-GAMING/" TargetMode="External"/><Relationship Id="rId981" Type="http://schemas.openxmlformats.org/officeDocument/2006/relationships/hyperlink" Target="https://www.emtekinc.co.kr/" TargetMode="External"/><Relationship Id="rId1574" Type="http://schemas.openxmlformats.org/officeDocument/2006/relationships/hyperlink" Target="https://rog.asus.com/graphics-cards/graphics-cards/rog-strix/rog-strix-rtx3050-8g-gaming-model/" TargetMode="External"/><Relationship Id="rId980" Type="http://schemas.openxmlformats.org/officeDocument/2006/relationships/hyperlink" Target="https://www.emtekinc.co.kr/bbs/board.php?bo_table=product&amp;wr_id=2028" TargetMode="External"/><Relationship Id="rId1575" Type="http://schemas.openxmlformats.org/officeDocument/2006/relationships/hyperlink" Target="https://rog.asus.com/graphics-cards/graphics-cards/rog-strix/rog-strix-rtx3050-o8g-gaming-model/" TargetMode="External"/><Relationship Id="rId1565" Type="http://schemas.openxmlformats.org/officeDocument/2006/relationships/hyperlink" Target="http://www.palit.com/palit/vgapro.php?id=2999&amp;lang=en" TargetMode="External"/><Relationship Id="rId2896" Type="http://schemas.openxmlformats.org/officeDocument/2006/relationships/hyperlink" Target="https://www.emtekinc.co.kr/bbs/board.php?bo_table=product&amp;wr_id=2171" TargetMode="External"/><Relationship Id="rId1566" Type="http://schemas.openxmlformats.org/officeDocument/2006/relationships/hyperlink" Target="http://www.palit.com/palit/vgapro.php?id=3006&amp;lang=en" TargetMode="External"/><Relationship Id="rId2897" Type="http://schemas.openxmlformats.org/officeDocument/2006/relationships/hyperlink" Target="https://www.emtekinc.co.kr/" TargetMode="External"/><Relationship Id="rId1567" Type="http://schemas.openxmlformats.org/officeDocument/2006/relationships/hyperlink" Target="https://www.zotac.com/product/graphics_card/zotac-gaming-geforce-rtx-2080-ti-triple-fan" TargetMode="External"/><Relationship Id="rId2898" Type="http://schemas.openxmlformats.org/officeDocument/2006/relationships/hyperlink" Target="https://www.emtekinc.co.kr/bbs/board.php?bo_table=product&amp;wr_id=2175" TargetMode="External"/><Relationship Id="rId1568" Type="http://schemas.openxmlformats.org/officeDocument/2006/relationships/hyperlink" Target="https://www.zotac.com/product/graphics_card/zotac-gaming-geforce-rtx-2080-ti-amp" TargetMode="External"/><Relationship Id="rId2899" Type="http://schemas.openxmlformats.org/officeDocument/2006/relationships/hyperlink" Target="https://www.emtekinc.co.kr/" TargetMode="External"/><Relationship Id="rId1569" Type="http://schemas.openxmlformats.org/officeDocument/2006/relationships/hyperlink" Target="https://www.zotac.com/product/graphics_card/zotac-gaming-geforce-rtx-2080-ti-amp-extreme-core" TargetMode="External"/><Relationship Id="rId976" Type="http://schemas.openxmlformats.org/officeDocument/2006/relationships/hyperlink" Target="https://www.emtekinc.co.kr/" TargetMode="External"/><Relationship Id="rId975" Type="http://schemas.openxmlformats.org/officeDocument/2006/relationships/hyperlink" Target="https://www.emtekinc.co.kr/bbs/board.php?bo_table=product&amp;wr_id=2050" TargetMode="External"/><Relationship Id="rId974" Type="http://schemas.openxmlformats.org/officeDocument/2006/relationships/hyperlink" Target="https://www.emtekinc.co.kr/" TargetMode="External"/><Relationship Id="rId973" Type="http://schemas.openxmlformats.org/officeDocument/2006/relationships/hyperlink" Target="https://en.colorful.cn/product_show.aspx?mid=102&amp;id=1738" TargetMode="External"/><Relationship Id="rId979" Type="http://schemas.openxmlformats.org/officeDocument/2006/relationships/hyperlink" Target="https://www.emtekinc.co.kr/" TargetMode="External"/><Relationship Id="rId978" Type="http://schemas.openxmlformats.org/officeDocument/2006/relationships/hyperlink" Target="https://www.emtekinc.co.kr/" TargetMode="External"/><Relationship Id="rId977" Type="http://schemas.openxmlformats.org/officeDocument/2006/relationships/hyperlink" Target="https://www.emtekinc.co.kr/bbs/board.php?bo_table=product&amp;wr_id=2066" TargetMode="External"/><Relationship Id="rId2890" Type="http://schemas.openxmlformats.org/officeDocument/2006/relationships/hyperlink" Target="https://en.colorful.cn/en/" TargetMode="External"/><Relationship Id="rId1560" Type="http://schemas.openxmlformats.org/officeDocument/2006/relationships/hyperlink" Target="https://www.msi.com/Graphics-Card/GeForce-RTX-2080-Ti-LIGHTNING-Z" TargetMode="External"/><Relationship Id="rId2891" Type="http://schemas.openxmlformats.org/officeDocument/2006/relationships/hyperlink" Target="https://en.colorful.cn/product_show.aspx?mid=102&amp;id=1856" TargetMode="External"/><Relationship Id="rId972" Type="http://schemas.openxmlformats.org/officeDocument/2006/relationships/hyperlink" Target="https://en.colorful.cn/en/" TargetMode="External"/><Relationship Id="rId1561" Type="http://schemas.openxmlformats.org/officeDocument/2006/relationships/hyperlink" Target="https://www.msi.com/Graphics-Card/GeForce-RTX-2080-Ti-SEA-HAWK-X" TargetMode="External"/><Relationship Id="rId2892" Type="http://schemas.openxmlformats.org/officeDocument/2006/relationships/hyperlink" Target="https://www.dell.com/" TargetMode="External"/><Relationship Id="rId971" Type="http://schemas.openxmlformats.org/officeDocument/2006/relationships/hyperlink" Target="https://en.colorful.cn/product_show.aspx?mid=102&amp;id=1735" TargetMode="External"/><Relationship Id="rId1562" Type="http://schemas.openxmlformats.org/officeDocument/2006/relationships/hyperlink" Target="https://www.msi.com/Graphics-Card/GeForce-RTX-2080-Ti-SEA-HAWK-EK-X" TargetMode="External"/><Relationship Id="rId2893" Type="http://schemas.openxmlformats.org/officeDocument/2006/relationships/hyperlink" Target="https://www.emtekinc.co.kr/" TargetMode="External"/><Relationship Id="rId970" Type="http://schemas.openxmlformats.org/officeDocument/2006/relationships/hyperlink" Target="https://en.colorful.cn/en/" TargetMode="External"/><Relationship Id="rId1563" Type="http://schemas.openxmlformats.org/officeDocument/2006/relationships/hyperlink" Target="http://www.palit.com/palit/vgapro.php?id=3055&amp;lang=en" TargetMode="External"/><Relationship Id="rId2894" Type="http://schemas.openxmlformats.org/officeDocument/2006/relationships/hyperlink" Target="https://www.emtekinc.co.kr/bbs/board.php?bo_table=product&amp;wr_id=2218" TargetMode="External"/><Relationship Id="rId1564" Type="http://schemas.openxmlformats.org/officeDocument/2006/relationships/hyperlink" Target="http://www.palit.com/palit/vgapro.php?id=3659&amp;lang=en" TargetMode="External"/><Relationship Id="rId2895" Type="http://schemas.openxmlformats.org/officeDocument/2006/relationships/hyperlink" Target="https://www.emtekinc.co.kr/" TargetMode="External"/><Relationship Id="rId1598" Type="http://schemas.openxmlformats.org/officeDocument/2006/relationships/hyperlink" Target="https://www.leadtek.com/eng/" TargetMode="External"/><Relationship Id="rId1599" Type="http://schemas.openxmlformats.org/officeDocument/2006/relationships/hyperlink" Target="https://www.leadtek.com/eng/products/graphics_cards(1)/WinFast_RTX_3050_HURRICANE_WHITE_EDITION(40942)/detail" TargetMode="External"/><Relationship Id="rId1590" Type="http://schemas.openxmlformats.org/officeDocument/2006/relationships/hyperlink" Target="http://www.szgalaxy.com/__ZH_GB__/Product5/ProductDetail?proID=688" TargetMode="External"/><Relationship Id="rId1591" Type="http://schemas.openxmlformats.org/officeDocument/2006/relationships/hyperlink" Target="https://www.galax.com/en/" TargetMode="External"/><Relationship Id="rId1592" Type="http://schemas.openxmlformats.org/officeDocument/2006/relationships/hyperlink" Target="http://www.szgalaxy.com/__ZH_GB__/Product5/ProductDetail?proID=688" TargetMode="External"/><Relationship Id="rId1593" Type="http://schemas.openxmlformats.org/officeDocument/2006/relationships/hyperlink" Target="https://www.gigabyte.com/Graphics-Card/GV-N3050GAMING-OC-8GD" TargetMode="External"/><Relationship Id="rId1594" Type="http://schemas.openxmlformats.org/officeDocument/2006/relationships/hyperlink" Target="https://www.inno3d.com/en/PRODUCT_INNO3D_GEFORCE_RTX_3050_TWIN_X2" TargetMode="External"/><Relationship Id="rId1595" Type="http://schemas.openxmlformats.org/officeDocument/2006/relationships/hyperlink" Target="https://www.inno3d.com/en/PRODUCT_INNO3D_GEFORCE_RTX_3050_TWIN_X2_OC" TargetMode="External"/><Relationship Id="rId1596" Type="http://schemas.openxmlformats.org/officeDocument/2006/relationships/hyperlink" Target="https://www.leadtek.com/eng/" TargetMode="External"/><Relationship Id="rId1597" Type="http://schemas.openxmlformats.org/officeDocument/2006/relationships/hyperlink" Target="https://www.leadtek.com/eng/products/graphics_cards(1)/WinFast_RTX_3050_CLASSIC_8G(40941)/detail" TargetMode="External"/><Relationship Id="rId1587" Type="http://schemas.openxmlformats.org/officeDocument/2006/relationships/hyperlink" Target="https://www.galax.com/en/" TargetMode="External"/><Relationship Id="rId1588" Type="http://schemas.openxmlformats.org/officeDocument/2006/relationships/hyperlink" Target="http://www.szgalaxy.com/__ZH_GB__/Product5/ProductDetail?proID=820" TargetMode="External"/><Relationship Id="rId1589" Type="http://schemas.openxmlformats.org/officeDocument/2006/relationships/hyperlink" Target="https://www.galax.com/en/" TargetMode="External"/><Relationship Id="rId998" Type="http://schemas.openxmlformats.org/officeDocument/2006/relationships/hyperlink" Target="http://www.gainward.com/main/vgapro.php?id=1058&amp;lang=en" TargetMode="External"/><Relationship Id="rId997" Type="http://schemas.openxmlformats.org/officeDocument/2006/relationships/hyperlink" Target="http://www.gainward.com/main/vgapro.php?id=1066&amp;lang=en" TargetMode="External"/><Relationship Id="rId996" Type="http://schemas.openxmlformats.org/officeDocument/2006/relationships/hyperlink" Target="http://www.gainward.com/main/vgapro.php?id=1061&amp;lang=en" TargetMode="External"/><Relationship Id="rId995" Type="http://schemas.openxmlformats.org/officeDocument/2006/relationships/hyperlink" Target="https://www.evga.com/products/specs/gpu.aspx?pn=861B8E74-A7C2-422A-9EB9-4EF18EBF64F5" TargetMode="External"/><Relationship Id="rId999" Type="http://schemas.openxmlformats.org/officeDocument/2006/relationships/hyperlink" Target="https://www.galax.com/en/" TargetMode="External"/><Relationship Id="rId990" Type="http://schemas.openxmlformats.org/officeDocument/2006/relationships/hyperlink" Target="https://www.evga.com/products/specs/gpu.aspx?pn=AE9675B3-ED13-40C6-8E81-242D635508EA" TargetMode="External"/><Relationship Id="rId1580" Type="http://schemas.openxmlformats.org/officeDocument/2006/relationships/hyperlink" Target="https://en.colorful.cn/en/" TargetMode="External"/><Relationship Id="rId1581" Type="http://schemas.openxmlformats.org/officeDocument/2006/relationships/hyperlink" Target="https://en.colorful.cn/en/home/product?mid=102&amp;id=1913" TargetMode="External"/><Relationship Id="rId1582" Type="http://schemas.openxmlformats.org/officeDocument/2006/relationships/hyperlink" Target="https://en.colorful.cn/en/" TargetMode="External"/><Relationship Id="rId994" Type="http://schemas.openxmlformats.org/officeDocument/2006/relationships/hyperlink" Target="https://www.evga.com/products/specs/gpu.aspx?pn=98C71CD5-4D41-45E2-8F56-BDADFE2F9D04" TargetMode="External"/><Relationship Id="rId1583" Type="http://schemas.openxmlformats.org/officeDocument/2006/relationships/hyperlink" Target="https://en.colorful.cn/en/home/product?mid=102&amp;id=1907" TargetMode="External"/><Relationship Id="rId993" Type="http://schemas.openxmlformats.org/officeDocument/2006/relationships/hyperlink" Target="https://www.evga.com/products/specs/gpu.aspx?pn=9AD940CD-D758-4679-A819-6F715BEFCF4A" TargetMode="External"/><Relationship Id="rId1584" Type="http://schemas.openxmlformats.org/officeDocument/2006/relationships/hyperlink" Target="http://www.szgainward.cn/Home/ProductDetail?id=299&amp;isStop=0" TargetMode="External"/><Relationship Id="rId992" Type="http://schemas.openxmlformats.org/officeDocument/2006/relationships/hyperlink" Target="https://www.evga.com/products/specs/gpu.aspx?pn=D3938ED3-2A92-4EEF-8947-104F3E2AB088" TargetMode="External"/><Relationship Id="rId1585" Type="http://schemas.openxmlformats.org/officeDocument/2006/relationships/hyperlink" Target="http://www.gainward.com/main/vgapro.php?id=1150&amp;lang=en" TargetMode="External"/><Relationship Id="rId991" Type="http://schemas.openxmlformats.org/officeDocument/2006/relationships/hyperlink" Target="https://www.evga.com/products/specs/gpu.aspx?pn=FA193AA9-94DF-44F1-8042-E1E55D6B672B" TargetMode="External"/><Relationship Id="rId1586" Type="http://schemas.openxmlformats.org/officeDocument/2006/relationships/hyperlink" Target="http://www.gainward.com/main/vgapro.php?id=1149&amp;lang=en" TargetMode="External"/><Relationship Id="rId1532" Type="http://schemas.openxmlformats.org/officeDocument/2006/relationships/hyperlink" Target="https://www.gigabyte.com/Graphics-Card/GV-N208TAORUS-T-11GC" TargetMode="External"/><Relationship Id="rId2863" Type="http://schemas.openxmlformats.org/officeDocument/2006/relationships/hyperlink" Target="https://www.zotac.com/product/graphics_card/zotac-gaming-geforce-rtx-3080-ti-amp-extreme-holo" TargetMode="External"/><Relationship Id="rId1533" Type="http://schemas.openxmlformats.org/officeDocument/2006/relationships/hyperlink" Target="https://www.gigabyte.com/Graphics-Card/GV-N208TWF3-11GC" TargetMode="External"/><Relationship Id="rId2864" Type="http://schemas.openxmlformats.org/officeDocument/2006/relationships/hyperlink" Target="https://www.zotac.com/product/graphics_card/zotac-gaming-geforce-rtx-3080-ti-arcticstorm" TargetMode="External"/><Relationship Id="rId1534" Type="http://schemas.openxmlformats.org/officeDocument/2006/relationships/hyperlink" Target="https://www.gigabyte.com/Graphics-Card/GV-N2080TWF3OC-11GC" TargetMode="External"/><Relationship Id="rId2865" Type="http://schemas.openxmlformats.org/officeDocument/2006/relationships/hyperlink" Target="http://www.pcasl.com/index.jsp" TargetMode="External"/><Relationship Id="rId1535" Type="http://schemas.openxmlformats.org/officeDocument/2006/relationships/hyperlink" Target="https://www.gigabyte.com/Graphics-Card/GV-N208TGAMING-OC-11GC" TargetMode="External"/><Relationship Id="rId2866" Type="http://schemas.openxmlformats.org/officeDocument/2006/relationships/hyperlink" Target="http://www.pcasl.com/pd.jsp?id=177" TargetMode="External"/><Relationship Id="rId1536" Type="http://schemas.openxmlformats.org/officeDocument/2006/relationships/hyperlink" Target="https://www.gigabyte.com/Graphics-Card/GV-N208TAORUS-11GC" TargetMode="External"/><Relationship Id="rId2867" Type="http://schemas.openxmlformats.org/officeDocument/2006/relationships/hyperlink" Target="https://www.asus.com/Motherboards-Components/Graphics-Cards/TUF-Gaming/TUF-RTX3090-24G-GAMING/" TargetMode="External"/><Relationship Id="rId1537" Type="http://schemas.openxmlformats.org/officeDocument/2006/relationships/hyperlink" Target="https://www.gigabyte.com/Graphics-Card/GV-N208TAORUS-X-11GC" TargetMode="External"/><Relationship Id="rId2868" Type="http://schemas.openxmlformats.org/officeDocument/2006/relationships/hyperlink" Target="https://www.asus.com/Motherboards-Components/Graphics-Cards/TUF-Gaming/TUF-RTX3090-O24G-GAMING/" TargetMode="External"/><Relationship Id="rId1538" Type="http://schemas.openxmlformats.org/officeDocument/2006/relationships/hyperlink" Target="https://www.gigabyte.com/Graphics-Card/GV-N208TAORUSX-W-11GC" TargetMode="External"/><Relationship Id="rId2869" Type="http://schemas.openxmlformats.org/officeDocument/2006/relationships/hyperlink" Target="https://rog.asus.com/Graphics-Cards/Graphics-Cards/ROG-Strix/ROG-STRIX-RTX3090-24G-GAMING-Model/" TargetMode="External"/><Relationship Id="rId1539" Type="http://schemas.openxmlformats.org/officeDocument/2006/relationships/hyperlink" Target="https://www.gigabyte.com/Graphics-Card/GV-N208TAORUSX-WB-11GC" TargetMode="External"/><Relationship Id="rId949" Type="http://schemas.openxmlformats.org/officeDocument/2006/relationships/hyperlink" Target="https://www.asus.com/motherboards-components/graphics-cards/all-series/DUAL-RTX2060S-8G-EVO-V2" TargetMode="External"/><Relationship Id="rId948" Type="http://schemas.openxmlformats.org/officeDocument/2006/relationships/hyperlink" Target="https://www.asus.com/motherboards-components/graphics-cards/all-series/DUAL-RTX2060S-O8G-EVO" TargetMode="External"/><Relationship Id="rId943" Type="http://schemas.openxmlformats.org/officeDocument/2006/relationships/hyperlink" Target="http://www.pcasl.com/index.jsp" TargetMode="External"/><Relationship Id="rId942" Type="http://schemas.openxmlformats.org/officeDocument/2006/relationships/hyperlink" Target="https://www.zotac.com/cn/product/graphics_card/%E7%B4%A2%E6%B3%B0-geforce%C2%AE-rtx2060-12gd6-%E6%AF%81%E7%81%AD%E8%80%85-ha" TargetMode="External"/><Relationship Id="rId941" Type="http://schemas.openxmlformats.org/officeDocument/2006/relationships/hyperlink" Target="https://www.zotac.com/" TargetMode="External"/><Relationship Id="rId940" Type="http://schemas.openxmlformats.org/officeDocument/2006/relationships/hyperlink" Target="https://www.pny.com/geforce-rtx-2060-12gb-dual-fan-m" TargetMode="External"/><Relationship Id="rId947" Type="http://schemas.openxmlformats.org/officeDocument/2006/relationships/hyperlink" Target="https://www.asus.com/motherboards-components/graphics-cards/all-series/DUAL-RTX2060S-A8G-EVO" TargetMode="External"/><Relationship Id="rId946" Type="http://schemas.openxmlformats.org/officeDocument/2006/relationships/hyperlink" Target="https://www.asus.com/motherboards-components/graphics-cards/all-series/DUAL-RTX2060S-8G-EVO" TargetMode="External"/><Relationship Id="rId945" Type="http://schemas.openxmlformats.org/officeDocument/2006/relationships/hyperlink" Target="https://www.asus.com/Graphics-Cards/TURBO-RTX2060S-8G-EVO/" TargetMode="External"/><Relationship Id="rId944" Type="http://schemas.openxmlformats.org/officeDocument/2006/relationships/hyperlink" Target="http://www.pcasl.com/pd.jsp?id=123" TargetMode="External"/><Relationship Id="rId2860" Type="http://schemas.openxmlformats.org/officeDocument/2006/relationships/hyperlink" Target="https://www.zotac.com/product/graphics_card/zotac-gaming-geforce-rtx-3080-ti-trinity" TargetMode="External"/><Relationship Id="rId1530" Type="http://schemas.openxmlformats.org/officeDocument/2006/relationships/hyperlink" Target="https://www.gigabyte.com/Graphics-Card/GV-N208TTURBO-11GC-rev-10" TargetMode="External"/><Relationship Id="rId2861" Type="http://schemas.openxmlformats.org/officeDocument/2006/relationships/hyperlink" Target="https://www.zotac.com/product/graphics_card/zotac-gaming-geforce-rtx-3080-ti-trinity-oc" TargetMode="External"/><Relationship Id="rId1531" Type="http://schemas.openxmlformats.org/officeDocument/2006/relationships/hyperlink" Target="https://www.gigabyte.com/Graphics-Card/GV-N208TTURBO-OC-11GC-rev-10" TargetMode="External"/><Relationship Id="rId2862" Type="http://schemas.openxmlformats.org/officeDocument/2006/relationships/hyperlink" Target="https://www.zotac.com/product/graphics_card/zotac-gaming-geforce-rtx-3080-ti-amp-holo" TargetMode="External"/><Relationship Id="rId1521" Type="http://schemas.openxmlformats.org/officeDocument/2006/relationships/hyperlink" Target="https://www.galax.com/en/graphics-card/20-series/galax-geforce-rtx-2080ti-sg-1clickoc.html" TargetMode="External"/><Relationship Id="rId2852" Type="http://schemas.openxmlformats.org/officeDocument/2006/relationships/hyperlink" Target="http://www.palit.com/palit/vgapro.php?id=4152&amp;lang=en" TargetMode="External"/><Relationship Id="rId1522" Type="http://schemas.openxmlformats.org/officeDocument/2006/relationships/hyperlink" Target="https://www.galax.com/en/" TargetMode="External"/><Relationship Id="rId2853" Type="http://schemas.openxmlformats.org/officeDocument/2006/relationships/hyperlink" Target="http://www.palit.com/palit/vgapro.php?id=4143&amp;lang=en" TargetMode="External"/><Relationship Id="rId1523" Type="http://schemas.openxmlformats.org/officeDocument/2006/relationships/hyperlink" Target="https://www.galax.com/en/graphics-card/20-series/galax-geforce-rtx-2080ti-sg-1clickoc-v2.html" TargetMode="External"/><Relationship Id="rId2854" Type="http://schemas.openxmlformats.org/officeDocument/2006/relationships/hyperlink" Target="http://www.palit.com/palit/vgapro.php?id=4134&amp;lang=en" TargetMode="External"/><Relationship Id="rId1524" Type="http://schemas.openxmlformats.org/officeDocument/2006/relationships/hyperlink" Target="https://www.galax.com/en/" TargetMode="External"/><Relationship Id="rId2855" Type="http://schemas.openxmlformats.org/officeDocument/2006/relationships/hyperlink" Target="https://www.pny.com/geforce-rtx-3080-ti-revel" TargetMode="External"/><Relationship Id="rId1525" Type="http://schemas.openxmlformats.org/officeDocument/2006/relationships/hyperlink" Target="https://www.galax.com/en/graphics-card/20-series/galax-geforce-rtx-2080ti-sg-edition.html" TargetMode="External"/><Relationship Id="rId2856" Type="http://schemas.openxmlformats.org/officeDocument/2006/relationships/hyperlink" Target="https://www.pny.com/geforce-rtx-3080-ti-uprising" TargetMode="External"/><Relationship Id="rId1526" Type="http://schemas.openxmlformats.org/officeDocument/2006/relationships/hyperlink" Target="https://www.galax.com/en/" TargetMode="External"/><Relationship Id="rId2857" Type="http://schemas.openxmlformats.org/officeDocument/2006/relationships/hyperlink" Target="https://www.zotac.com/cn/product/graphics_card/%E7%B4%A2%E6%B3%B0-geforce%C2%AE-rtx-3080ti-12g6x-x-gaming-oc" TargetMode="External"/><Relationship Id="rId1527" Type="http://schemas.openxmlformats.org/officeDocument/2006/relationships/hyperlink" Target="https://www.galax.com/en/graphics-card/20-series/galax-geforce-rtx-2080ti-hof.html" TargetMode="External"/><Relationship Id="rId2858" Type="http://schemas.openxmlformats.org/officeDocument/2006/relationships/hyperlink" Target="https://www.zotac.com/cn/product/graphics_card/%E7%B4%A2%E6%B3%B0-geforce%C2%AE-rtx-3080ti-12g6x-%E5%A4%A9%E5%90%AF-oc" TargetMode="External"/><Relationship Id="rId1528" Type="http://schemas.openxmlformats.org/officeDocument/2006/relationships/hyperlink" Target="https://www.galax.com/en/" TargetMode="External"/><Relationship Id="rId2859" Type="http://schemas.openxmlformats.org/officeDocument/2006/relationships/hyperlink" Target="https://www.zotac.com/cn/product/graphics_card/%E7%B4%A2%E6%B3%B0-geforce%C2%AE-rtx-3080ti-12g6x-pgf-oc" TargetMode="External"/><Relationship Id="rId1529" Type="http://schemas.openxmlformats.org/officeDocument/2006/relationships/hyperlink" Target="https://www.galax.com/en/graphics-card/20-series/geforce-rtx-2080ti-hof-10-anniversary.html" TargetMode="External"/><Relationship Id="rId939" Type="http://schemas.openxmlformats.org/officeDocument/2006/relationships/hyperlink" Target="https://www.pny.com/geforce-rtx-2060-12gb-dual-fan" TargetMode="External"/><Relationship Id="rId938" Type="http://schemas.openxmlformats.org/officeDocument/2006/relationships/hyperlink" Target="http://www.palit.com/palit/vgapro.php?id=4398&amp;lang=en" TargetMode="External"/><Relationship Id="rId937" Type="http://schemas.openxmlformats.org/officeDocument/2006/relationships/hyperlink" Target="http://www.palit.com/palit/vgapro.php?id=4388&amp;lang=en" TargetMode="External"/><Relationship Id="rId932" Type="http://schemas.openxmlformats.org/officeDocument/2006/relationships/hyperlink" Target="https://www.gigabyte.com/Graphics-Card/GV-N2060WF2OC-12GD" TargetMode="External"/><Relationship Id="rId931" Type="http://schemas.openxmlformats.org/officeDocument/2006/relationships/hyperlink" Target="https://www.gigabyte.com/Graphics-Card/GV-N2060D6-12GD" TargetMode="External"/><Relationship Id="rId930" Type="http://schemas.openxmlformats.org/officeDocument/2006/relationships/hyperlink" Target="https://www.galax.com/en/graphics-card/20-series/2060-series/geforce-rtx-2060-12gb-plus-1click.html" TargetMode="External"/><Relationship Id="rId936" Type="http://schemas.openxmlformats.org/officeDocument/2006/relationships/hyperlink" Target="https://www.msi.com/Graphics-Card/GeForce-RTX-2060-VENTUS-12G-OC" TargetMode="External"/><Relationship Id="rId935" Type="http://schemas.openxmlformats.org/officeDocument/2006/relationships/hyperlink" Target="https://www.msi.com/Graphics-Card/GeForce-RTX-2060-VENTUS-12G" TargetMode="External"/><Relationship Id="rId934" Type="http://schemas.openxmlformats.org/officeDocument/2006/relationships/hyperlink" Target="https://www.manli.com/en/product-detail-MANLI_GeForce%C2%AE_RTX_2060_12GB_(M2435+N537-10)-294.html" TargetMode="External"/><Relationship Id="rId933" Type="http://schemas.openxmlformats.org/officeDocument/2006/relationships/hyperlink" Target="https://www.inno3d.com/en/product_detail/page/9b7b0b03ea3ef66b4a0e6f2bf57b29761409936322e931a6f111ce037f2bf461" TargetMode="External"/><Relationship Id="rId2850" Type="http://schemas.openxmlformats.org/officeDocument/2006/relationships/hyperlink" Target="https://www.msi.com/Graphics-Card/GeForce-RTX-3080-Ti-SUPRIM-X-12G" TargetMode="External"/><Relationship Id="rId1520" Type="http://schemas.openxmlformats.org/officeDocument/2006/relationships/hyperlink" Target="https://www.galax.com/en/" TargetMode="External"/><Relationship Id="rId2851" Type="http://schemas.openxmlformats.org/officeDocument/2006/relationships/hyperlink" Target="https://www.nvidia.com/en-us/geforce/graphics-cards/30-series/rtx-3080-3080ti/" TargetMode="External"/><Relationship Id="rId1554" Type="http://schemas.openxmlformats.org/officeDocument/2006/relationships/hyperlink" Target="https://www.msi.com/Graphics-Card/GeForce-RTX-2080-Ti-DUKE-11G-OCV1" TargetMode="External"/><Relationship Id="rId2885" Type="http://schemas.openxmlformats.org/officeDocument/2006/relationships/hyperlink" Target="https://en.colorful.cn/product_show.aspx?mid=102&amp;id=1824" TargetMode="External"/><Relationship Id="rId1555" Type="http://schemas.openxmlformats.org/officeDocument/2006/relationships/hyperlink" Target="https://www.msi.com/Graphics-Card/GeForce-RTX-2080-Ti-GAMING-TRIO" TargetMode="External"/><Relationship Id="rId2886" Type="http://schemas.openxmlformats.org/officeDocument/2006/relationships/hyperlink" Target="https://en.colorful.cn/en/" TargetMode="External"/><Relationship Id="rId1556" Type="http://schemas.openxmlformats.org/officeDocument/2006/relationships/hyperlink" Target="https://www.msi.com/Graphics-Card/GeForce-RTX-2080-Ti-GAMING-X-TRIO" TargetMode="External"/><Relationship Id="rId2887" Type="http://schemas.openxmlformats.org/officeDocument/2006/relationships/hyperlink" Target="https://www.colorful.cn/product_show.aspx?mid=102&amp;id=1810" TargetMode="External"/><Relationship Id="rId1557" Type="http://schemas.openxmlformats.org/officeDocument/2006/relationships/hyperlink" Target="https://www.msi.com/Graphics-Card/GeForce-RTX-2080-Ti-GAMING-Z-TRIO" TargetMode="External"/><Relationship Id="rId2888" Type="http://schemas.openxmlformats.org/officeDocument/2006/relationships/hyperlink" Target="https://en.colorful.cn/en/" TargetMode="External"/><Relationship Id="rId1558" Type="http://schemas.openxmlformats.org/officeDocument/2006/relationships/hyperlink" Target="https://www.msi.com/Graphics-Card/GeForce-RTX-2080-Ti-LIGHTNING" TargetMode="External"/><Relationship Id="rId2889" Type="http://schemas.openxmlformats.org/officeDocument/2006/relationships/hyperlink" Target="https://en.colorful.cn/product_show.aspx?mid=102&amp;id=1828" TargetMode="External"/><Relationship Id="rId1559" Type="http://schemas.openxmlformats.org/officeDocument/2006/relationships/hyperlink" Target="https://www.msi.com/Graphics-Card/GeForce-RTX-2080-Ti-LIGHTNING10th-Anniversary-Edition" TargetMode="External"/><Relationship Id="rId965" Type="http://schemas.openxmlformats.org/officeDocument/2006/relationships/hyperlink" Target="https://en.colorful.cn/product_show.aspx?mid=102&amp;id=1734" TargetMode="External"/><Relationship Id="rId964" Type="http://schemas.openxmlformats.org/officeDocument/2006/relationships/hyperlink" Target="https://en.colorful.cn/en/" TargetMode="External"/><Relationship Id="rId963" Type="http://schemas.openxmlformats.org/officeDocument/2006/relationships/hyperlink" Target="https://en.colorful.cn/product_show.aspx?mid=102&amp;id=1732" TargetMode="External"/><Relationship Id="rId962" Type="http://schemas.openxmlformats.org/officeDocument/2006/relationships/hyperlink" Target="https://en.colorful.cn/en/" TargetMode="External"/><Relationship Id="rId969" Type="http://schemas.openxmlformats.org/officeDocument/2006/relationships/hyperlink" Target="https://en.colorful.cn/product_show.aspx?mid=102&amp;id=1736" TargetMode="External"/><Relationship Id="rId968" Type="http://schemas.openxmlformats.org/officeDocument/2006/relationships/hyperlink" Target="https://en.colorful.cn/en/" TargetMode="External"/><Relationship Id="rId967" Type="http://schemas.openxmlformats.org/officeDocument/2006/relationships/hyperlink" Target="https://en.colorful.cn/product_show.aspx?mid=102&amp;id=1737" TargetMode="External"/><Relationship Id="rId966" Type="http://schemas.openxmlformats.org/officeDocument/2006/relationships/hyperlink" Target="https://en.colorful.cn/en/" TargetMode="External"/><Relationship Id="rId2880" Type="http://schemas.openxmlformats.org/officeDocument/2006/relationships/hyperlink" Target="https://en.colorful.cn/en/" TargetMode="External"/><Relationship Id="rId961" Type="http://schemas.openxmlformats.org/officeDocument/2006/relationships/hyperlink" Target="https://en.colorful.cn/product_show.aspx?mid=102&amp;id=1733" TargetMode="External"/><Relationship Id="rId1550" Type="http://schemas.openxmlformats.org/officeDocument/2006/relationships/hyperlink" Target="https://www.msi.com/Graphics-Card/GeForce-RTX-2080-Ti-VENTUS-GP" TargetMode="External"/><Relationship Id="rId2881" Type="http://schemas.openxmlformats.org/officeDocument/2006/relationships/hyperlink" Target="https://en.colorful.cn/product_show.aspx?mid=102&amp;id=1810" TargetMode="External"/><Relationship Id="rId960" Type="http://schemas.openxmlformats.org/officeDocument/2006/relationships/hyperlink" Target="https://en.colorful.cn/en/" TargetMode="External"/><Relationship Id="rId1551" Type="http://schemas.openxmlformats.org/officeDocument/2006/relationships/hyperlink" Target="https://www.msi.com/Graphics-Card/GeForce-RTX-2080-Ti-VENTUS-GP-OC" TargetMode="External"/><Relationship Id="rId2882" Type="http://schemas.openxmlformats.org/officeDocument/2006/relationships/hyperlink" Target="https://en.colorful.cn/en/" TargetMode="External"/><Relationship Id="rId1552" Type="http://schemas.openxmlformats.org/officeDocument/2006/relationships/hyperlink" Target="https://www.msi.com/Graphics-Card/GeForce-RTX-2080-Ti-DUKE-11G" TargetMode="External"/><Relationship Id="rId2883" Type="http://schemas.openxmlformats.org/officeDocument/2006/relationships/hyperlink" Target="https://www.colorful.cn/product_show.aspx?mid=102&amp;id=1778" TargetMode="External"/><Relationship Id="rId1553" Type="http://schemas.openxmlformats.org/officeDocument/2006/relationships/hyperlink" Target="https://www.msi.com/Graphics-Card/GeForce-RTX-2080-Ti-DUKE-11G-OC" TargetMode="External"/><Relationship Id="rId2884" Type="http://schemas.openxmlformats.org/officeDocument/2006/relationships/hyperlink" Target="https://en.colorful.cn/en/" TargetMode="External"/><Relationship Id="rId1543" Type="http://schemas.openxmlformats.org/officeDocument/2006/relationships/hyperlink" Target="https://www.inno3d.com/en/product_detail/page/01b6fb288d6143b4281aed42dc3f63b2c39ca42828ab618f5d482c35ede07494" TargetMode="External"/><Relationship Id="rId2874" Type="http://schemas.openxmlformats.org/officeDocument/2006/relationships/hyperlink" Target="https://rog.asus.com/graphics-cards/graphics-cards/rog-strix/rog-strix-rtx3090-o24g-white-model/" TargetMode="External"/><Relationship Id="rId1544" Type="http://schemas.openxmlformats.org/officeDocument/2006/relationships/hyperlink" Target="https://www.inno3d.com/en/product_detail/page/56aa7eef1da667d00bad4bc2df21c7e1beee3a7c6ab7b7120f9506c96c7322da" TargetMode="External"/><Relationship Id="rId2875" Type="http://schemas.openxmlformats.org/officeDocument/2006/relationships/hyperlink" Target="https://www.asus.com/Motherboards-Components/Graphics-Cards/ASUS/RTX3090-24G-EK/" TargetMode="External"/><Relationship Id="rId1545" Type="http://schemas.openxmlformats.org/officeDocument/2006/relationships/hyperlink" Target="https://www.inno3d.com/en/product_detail/page/05105b41a1f7cd0c3f7dbed961f24feb02e71d64b95a4c510348a146c78b1410" TargetMode="External"/><Relationship Id="rId2876" Type="http://schemas.openxmlformats.org/officeDocument/2006/relationships/hyperlink" Target="https://en.colorful.cn/en/" TargetMode="External"/><Relationship Id="rId1546" Type="http://schemas.openxmlformats.org/officeDocument/2006/relationships/hyperlink" Target="https://www.manli.com/en/product-detail-MANLI_GeForce_RTX_2080Ti_Gallardo_with_Customized_LED_Lights_(M3442+N504)-48.html" TargetMode="External"/><Relationship Id="rId2877" Type="http://schemas.openxmlformats.org/officeDocument/2006/relationships/hyperlink" Target="https://en.colorful.cn/product_show.aspx?mid=102&amp;id=1812" TargetMode="External"/><Relationship Id="rId1547" Type="http://schemas.openxmlformats.org/officeDocument/2006/relationships/hyperlink" Target="https://www.msi.com/Graphics-Card/GeForce-RTX-2080-Ti-VENTUS-11G" TargetMode="External"/><Relationship Id="rId2878" Type="http://schemas.openxmlformats.org/officeDocument/2006/relationships/hyperlink" Target="https://en.colorful.cn/en/" TargetMode="External"/><Relationship Id="rId1548" Type="http://schemas.openxmlformats.org/officeDocument/2006/relationships/hyperlink" Target="https://www.msi.com/Graphics-Card/GeForce-RTX-2080-Ti-VENTUS-11G-OC" TargetMode="External"/><Relationship Id="rId2879" Type="http://schemas.openxmlformats.org/officeDocument/2006/relationships/hyperlink" Target="https://en.colorful.cn/product_show.aspx?mid=102&amp;id=1811" TargetMode="External"/><Relationship Id="rId1549" Type="http://schemas.openxmlformats.org/officeDocument/2006/relationships/hyperlink" Target="https://www.msi.com/Graphics-Card/GeForce-RTX-2080-Ti-VENTUS-11G-OCV1" TargetMode="External"/><Relationship Id="rId959" Type="http://schemas.openxmlformats.org/officeDocument/2006/relationships/hyperlink" Target="https://www.asus.com/Graphics-Cards/ROG-STRIX-RTX2060S-O8G-EVO-V2-GAMING/" TargetMode="External"/><Relationship Id="rId954" Type="http://schemas.openxmlformats.org/officeDocument/2006/relationships/hyperlink" Target="https://rog.asus.com/Graphics-Cards/Graphics-Cards/ROG-Strix/ROG-STRIX-RTX2060S-O8G-GAMING-Model/" TargetMode="External"/><Relationship Id="rId953" Type="http://schemas.openxmlformats.org/officeDocument/2006/relationships/hyperlink" Target="https://rog.asus.com/Graphics-Cards/Graphics-Cards/ROG-Strix/ROG-STRIX-RTX2060S-A8G-GAMING-Model/" TargetMode="External"/><Relationship Id="rId952" Type="http://schemas.openxmlformats.org/officeDocument/2006/relationships/hyperlink" Target="https://rog.asus.com/Graphics-Cards/Graphics-Cards/ROG-Strix/ROG-STRIX-RTX2060S-8G-GAMING-Model/" TargetMode="External"/><Relationship Id="rId951" Type="http://schemas.openxmlformats.org/officeDocument/2006/relationships/hyperlink" Target="https://www.asus.com/motherboards-components/graphics-cards/all-series/DUAL-RTX2060S-O8G-EVO-V2" TargetMode="External"/><Relationship Id="rId958" Type="http://schemas.openxmlformats.org/officeDocument/2006/relationships/hyperlink" Target="https://www.asus.com/Graphics-Cards/ROG-STRIX-RTX2060S-8G-EVO-V2-GAMING/" TargetMode="External"/><Relationship Id="rId957" Type="http://schemas.openxmlformats.org/officeDocument/2006/relationships/hyperlink" Target="https://rog.asus.com/Graphics-Cards/Graphics-Cards/ROG-Strix/ROG-STRIX-RTX2060S-O8G-EVO-GAMING-Model/" TargetMode="External"/><Relationship Id="rId956" Type="http://schemas.openxmlformats.org/officeDocument/2006/relationships/hyperlink" Target="https://rog.asus.com/Graphics-Cards/Graphics-Cards/ROG-Strix/ROG-STRIX-RTX2060S-A8G-EVO-GAMING-Model/" TargetMode="External"/><Relationship Id="rId955" Type="http://schemas.openxmlformats.org/officeDocument/2006/relationships/hyperlink" Target="https://rog.asus.com/Graphics-Cards/Graphics-Cards/ROG-Strix/ROG-STRIX-RTX2060S-8G-EVO-GAMING-Model/" TargetMode="External"/><Relationship Id="rId950" Type="http://schemas.openxmlformats.org/officeDocument/2006/relationships/hyperlink" Target="https://www.asus.com/motherboards-components/graphics-cards/all-series/DUAL-RTX2060S-A8G-EVO-V2" TargetMode="External"/><Relationship Id="rId2870" Type="http://schemas.openxmlformats.org/officeDocument/2006/relationships/hyperlink" Target="https://rog.asus.com/Graphics-Cards/Graphics-Cards/ROG-Strix/ROG-STRIX-RTX3090-O24G-GAMING-Model/" TargetMode="External"/><Relationship Id="rId1540" Type="http://schemas.openxmlformats.org/officeDocument/2006/relationships/hyperlink" Target="https://www.inno3d.com/en/product_detail/page/3da1442fc52762fc8ae68a19a5abde23f5dd38077b82cbc9e60bcfa861542fef" TargetMode="External"/><Relationship Id="rId2871" Type="http://schemas.openxmlformats.org/officeDocument/2006/relationships/hyperlink" Target="https://rog.asus.com/graphics-cards/graphics-cards/rog-strix/rog-strix-rtx3090-o24g-eva-model/" TargetMode="External"/><Relationship Id="rId1541" Type="http://schemas.openxmlformats.org/officeDocument/2006/relationships/hyperlink" Target="https://www.inno3d.com/en/product_detail/page/2a1dd5394cbe7c38d7cd6160e1dbcee8089722850e5b46e731d45741438e3cef" TargetMode="External"/><Relationship Id="rId2872" Type="http://schemas.openxmlformats.org/officeDocument/2006/relationships/hyperlink" Target="https://www.asus.com.cn/Graphics-Cards/ROG-STRIX-RTX3090-O24G-GUNDAM/" TargetMode="External"/><Relationship Id="rId1542" Type="http://schemas.openxmlformats.org/officeDocument/2006/relationships/hyperlink" Target="https://www.inno3d.com/en/product_detail/page/c5d088c2273c5b4b537cc364509ab641830be270446d8cb41606b96279f6752f" TargetMode="External"/><Relationship Id="rId2873" Type="http://schemas.openxmlformats.org/officeDocument/2006/relationships/hyperlink" Target="https://rog.asus.com/graphics-cards/graphics-cards/rog-strix/rog-strix-rtx3090-24g-white-model/" TargetMode="External"/><Relationship Id="rId2027" Type="http://schemas.openxmlformats.org/officeDocument/2006/relationships/hyperlink" Target="https://www.zotac.com/" TargetMode="External"/><Relationship Id="rId3359" Type="http://schemas.openxmlformats.org/officeDocument/2006/relationships/hyperlink" Target="http://www.szgalaxy.com/__ZH_GB__/Product5/ProductDetail?proID=990" TargetMode="External"/><Relationship Id="rId2028" Type="http://schemas.openxmlformats.org/officeDocument/2006/relationships/hyperlink" Target="https://www.zotac.com/cn/product/graphics_card/%E7%B4%A2%E6%B3%B0-geforce%C2%AE-rtx-3060ti-8gd6-pgf-oc" TargetMode="External"/><Relationship Id="rId3358" Type="http://schemas.openxmlformats.org/officeDocument/2006/relationships/hyperlink" Target="https://www.galax.com/en/" TargetMode="External"/><Relationship Id="rId2029" Type="http://schemas.openxmlformats.org/officeDocument/2006/relationships/hyperlink" Target="https://www.zotac.com/" TargetMode="External"/><Relationship Id="rId107" Type="http://schemas.openxmlformats.org/officeDocument/2006/relationships/hyperlink" Target="http://www.dataland.com.cn/prod_view.aspx?nid=3&amp;typeid=126&amp;id=916" TargetMode="External"/><Relationship Id="rId106" Type="http://schemas.openxmlformats.org/officeDocument/2006/relationships/hyperlink" Target="http://www.dataland.com.cn/" TargetMode="External"/><Relationship Id="rId105" Type="http://schemas.openxmlformats.org/officeDocument/2006/relationships/hyperlink" Target="http://www.dataland.com.cn/prod_view.aspx?nid=3&amp;typeid=126&amp;id=919" TargetMode="External"/><Relationship Id="rId104" Type="http://schemas.openxmlformats.org/officeDocument/2006/relationships/hyperlink" Target="http://www.dataland.com.cn/" TargetMode="External"/><Relationship Id="rId109" Type="http://schemas.openxmlformats.org/officeDocument/2006/relationships/hyperlink" Target="http://www.dataland.com.cn/prod_view.aspx?nid=3&amp;typeid=126&amp;id=941" TargetMode="External"/><Relationship Id="rId108" Type="http://schemas.openxmlformats.org/officeDocument/2006/relationships/hyperlink" Target="http://www.dataland.com.cn/" TargetMode="External"/><Relationship Id="rId3351" Type="http://schemas.openxmlformats.org/officeDocument/2006/relationships/hyperlink" Target="http://www.gainward.com/main/vgapro.php?id=1177&amp;lang=en" TargetMode="External"/><Relationship Id="rId2020" Type="http://schemas.openxmlformats.org/officeDocument/2006/relationships/hyperlink" Target="https://www.zotac.com/cn/product/graphics_card/%E7%B4%A2%E6%B3%B0-geforce%C2%AE-rtx-3060ti-8gd6-x-gaming-oc" TargetMode="External"/><Relationship Id="rId3350" Type="http://schemas.openxmlformats.org/officeDocument/2006/relationships/hyperlink" Target="http://www.gainward.com/main/vgapro.php?id=1178&amp;lang=en" TargetMode="External"/><Relationship Id="rId2021" Type="http://schemas.openxmlformats.org/officeDocument/2006/relationships/hyperlink" Target="https://www.zotac.com/" TargetMode="External"/><Relationship Id="rId3353" Type="http://schemas.openxmlformats.org/officeDocument/2006/relationships/hyperlink" Target="http://www.szgalaxy.com/__ZH_GB__/Product5/ProductDetail?proID=992" TargetMode="External"/><Relationship Id="rId2022" Type="http://schemas.openxmlformats.org/officeDocument/2006/relationships/hyperlink" Target="https://www.zotac.com/cn/product/graphics_card/%E7%B4%A2%E6%B3%B0-geforce%C2%AE-rtx-3060ti-8gd6-x-gaming-goc" TargetMode="External"/><Relationship Id="rId3352" Type="http://schemas.openxmlformats.org/officeDocument/2006/relationships/hyperlink" Target="https://www.galax.com/en/" TargetMode="External"/><Relationship Id="rId103" Type="http://schemas.openxmlformats.org/officeDocument/2006/relationships/hyperlink" Target="https://rog.asus.com/Graphics-Cards/Graphics-Cards/ROG-Strix/ROG-STRIX-RX5700XT-O8G-GAMING-Model/" TargetMode="External"/><Relationship Id="rId2023" Type="http://schemas.openxmlformats.org/officeDocument/2006/relationships/hyperlink" Target="https://www.zotac.com/" TargetMode="External"/><Relationship Id="rId3355" Type="http://schemas.openxmlformats.org/officeDocument/2006/relationships/hyperlink" Target="http://www.szgalaxy.com/__ZH_GB__/Product5/ProductDetail?proID=991" TargetMode="External"/><Relationship Id="rId102" Type="http://schemas.openxmlformats.org/officeDocument/2006/relationships/hyperlink" Target="https://www.asus.com/motherboards-components/graphics-cards/all-series/TUF-3-RX5700XT-O8G-EVO-GAMING" TargetMode="External"/><Relationship Id="rId2024" Type="http://schemas.openxmlformats.org/officeDocument/2006/relationships/hyperlink" Target="https://www.zotac.com/cn/product/graphics_card/%E7%B4%A2%E6%B3%B0-geforce%C2%AE-rtx-3060ti-8gd6-%E5%A4%A9%E5%90%AF-oc" TargetMode="External"/><Relationship Id="rId3354" Type="http://schemas.openxmlformats.org/officeDocument/2006/relationships/hyperlink" Target="https://www.galax.com/en/" TargetMode="External"/><Relationship Id="rId101" Type="http://schemas.openxmlformats.org/officeDocument/2006/relationships/hyperlink" Target="https://www.asus.com/motherboards-components/graphics-cards/all-series/TUF-3-RX5700XT-O8G-GAMING" TargetMode="External"/><Relationship Id="rId2025" Type="http://schemas.openxmlformats.org/officeDocument/2006/relationships/hyperlink" Target="https://www.zotac.com/" TargetMode="External"/><Relationship Id="rId3357" Type="http://schemas.openxmlformats.org/officeDocument/2006/relationships/hyperlink" Target="http://www.szgalaxy.com/__ZH_GB__/Product5/ProductDetail?proID=993" TargetMode="External"/><Relationship Id="rId100" Type="http://schemas.openxmlformats.org/officeDocument/2006/relationships/hyperlink" Target="https://www.asus.com/motherboards-components/graphics-cards/dual/DUAL-RX5700XT-O8G-EVO" TargetMode="External"/><Relationship Id="rId2026" Type="http://schemas.openxmlformats.org/officeDocument/2006/relationships/hyperlink" Target="https://www.zotac.com/cn/product/graphics_card/%E7%B4%A2%E6%B3%B0-geforce%C2%AE-rtx-3060ti-8gd6-%E5%A4%A9%E5%90%AF-goc" TargetMode="External"/><Relationship Id="rId3356" Type="http://schemas.openxmlformats.org/officeDocument/2006/relationships/hyperlink" Target="https://www.galax.com/en/" TargetMode="External"/><Relationship Id="rId2016" Type="http://schemas.openxmlformats.org/officeDocument/2006/relationships/hyperlink" Target="https://www.zotac.com/cn/product/graphics_card/%E7%B4%A2%E6%B3%B0-geforce%C2%AE-rtx-3060ti-8gd6-%E9%9C%B9%E9%9B%B3%E7%89%88-ha" TargetMode="External"/><Relationship Id="rId3348" Type="http://schemas.openxmlformats.org/officeDocument/2006/relationships/hyperlink" Target="http://www.gainward.com/main/vgapro.php?id=1182&amp;lang=en" TargetMode="External"/><Relationship Id="rId2017" Type="http://schemas.openxmlformats.org/officeDocument/2006/relationships/hyperlink" Target="https://www.zotac.com/" TargetMode="External"/><Relationship Id="rId3347" Type="http://schemas.openxmlformats.org/officeDocument/2006/relationships/hyperlink" Target="http://www.gainward.com/main/vgapro.php?id=1180&amp;lang=en" TargetMode="External"/><Relationship Id="rId2018" Type="http://schemas.openxmlformats.org/officeDocument/2006/relationships/hyperlink" Target="https://www.zotac.com/cn/product/graphics_card/%E7%B4%A2%E6%B3%B0-geforce%C2%AE-rtx-3060ti-8gd6-%E9%9C%B9%E9%9B%B3%E7%89%88ge-ha" TargetMode="External"/><Relationship Id="rId2019" Type="http://schemas.openxmlformats.org/officeDocument/2006/relationships/hyperlink" Target="https://www.zotac.com/" TargetMode="External"/><Relationship Id="rId3349" Type="http://schemas.openxmlformats.org/officeDocument/2006/relationships/hyperlink" Target="http://www.gainward.com/main/vgapro.php?id=1179&amp;tab=gy&amp;lang=en" TargetMode="External"/><Relationship Id="rId3340" Type="http://schemas.openxmlformats.org/officeDocument/2006/relationships/hyperlink" Target="https://en.colorful.cn/en/home/product?mid=102&amp;id=78221e35-3cf2-490b-995c-51f18c6633d1" TargetMode="External"/><Relationship Id="rId2010" Type="http://schemas.openxmlformats.org/officeDocument/2006/relationships/hyperlink" Target="http://www.yeston.net/products-detail/id-40.html" TargetMode="External"/><Relationship Id="rId3342" Type="http://schemas.openxmlformats.org/officeDocument/2006/relationships/hyperlink" Target="http://www.szgainward.cn/Home/ProductDetail?id=344&amp;isStop=0" TargetMode="External"/><Relationship Id="rId2011" Type="http://schemas.openxmlformats.org/officeDocument/2006/relationships/hyperlink" Target="http://www.yeston.net/" TargetMode="External"/><Relationship Id="rId3341" Type="http://schemas.openxmlformats.org/officeDocument/2006/relationships/hyperlink" Target="http://www.szgainward.cn/Home/ProductDetail?id=339&amp;isStop=0" TargetMode="External"/><Relationship Id="rId2012" Type="http://schemas.openxmlformats.org/officeDocument/2006/relationships/hyperlink" Target="http://www.yeston.net/products-detail/id-87.html" TargetMode="External"/><Relationship Id="rId3344" Type="http://schemas.openxmlformats.org/officeDocument/2006/relationships/hyperlink" Target="http://www.szgainward.cn/Home/ProductDetail?id=340&amp;isStop=0" TargetMode="External"/><Relationship Id="rId2013" Type="http://schemas.openxmlformats.org/officeDocument/2006/relationships/hyperlink" Target="https://www.zotac.com/" TargetMode="External"/><Relationship Id="rId3343" Type="http://schemas.openxmlformats.org/officeDocument/2006/relationships/hyperlink" Target="http://www.szgainward.cn/Home/ProductDetail?id=341&amp;isStop=0" TargetMode="External"/><Relationship Id="rId2014" Type="http://schemas.openxmlformats.org/officeDocument/2006/relationships/hyperlink" Target="https://www.zotac.com/cn/product/graphics_card/%E7%B4%A2%E6%B3%B0-geforce%C2%AE-rtx-3060ti-8gd6-%E6%AF%81%E7%81%AD%E8%80%85-ha" TargetMode="External"/><Relationship Id="rId3346" Type="http://schemas.openxmlformats.org/officeDocument/2006/relationships/hyperlink" Target="http://www.szgainward.cn/Home/ProductDetail?id=342&amp;isStop=0" TargetMode="External"/><Relationship Id="rId2015" Type="http://schemas.openxmlformats.org/officeDocument/2006/relationships/hyperlink" Target="https://www.zotac.com/" TargetMode="External"/><Relationship Id="rId3345" Type="http://schemas.openxmlformats.org/officeDocument/2006/relationships/hyperlink" Target="http://www.szgainward.cn/Home/ProductDetail?id=343&amp;isStop=0" TargetMode="External"/><Relationship Id="rId2049" Type="http://schemas.openxmlformats.org/officeDocument/2006/relationships/hyperlink" Target="https://www.galax.com/en/" TargetMode="External"/><Relationship Id="rId129" Type="http://schemas.openxmlformats.org/officeDocument/2006/relationships/hyperlink" Target="https://www.sapphiretech.com/en/consumer/nitro-radeon-rx-5700-xt-8g-gddr6" TargetMode="External"/><Relationship Id="rId128" Type="http://schemas.openxmlformats.org/officeDocument/2006/relationships/hyperlink" Target="https://www.sapphiretech.com/en/consumer/nitro-radeon-rx-5700-xt-be-8g-gddr6" TargetMode="External"/><Relationship Id="rId127" Type="http://schemas.openxmlformats.org/officeDocument/2006/relationships/hyperlink" Target="https://www.sapphiretech.com/en/consumer/pulse-radeon-rx-5700-xt-8g-gddr6" TargetMode="External"/><Relationship Id="rId126" Type="http://schemas.openxmlformats.org/officeDocument/2006/relationships/hyperlink" Target="https://www.sapphiretech.com/en/consumer/pulse-radeon-rx-5700-xt-be-8g-gddr6" TargetMode="External"/><Relationship Id="rId3371" Type="http://schemas.openxmlformats.org/officeDocument/2006/relationships/hyperlink" Target="https://www.gigabyte.com/Graphics-Card/GV-N4070WF3OC-12GD" TargetMode="External"/><Relationship Id="rId2040" Type="http://schemas.openxmlformats.org/officeDocument/2006/relationships/hyperlink" Target="https://www.zotac.com/product/graphics_card/zotac-gaming-geforce-rtx-3060-ti-amp-white-edition-lhr" TargetMode="External"/><Relationship Id="rId3370" Type="http://schemas.openxmlformats.org/officeDocument/2006/relationships/hyperlink" Target="https://www.gigabyte.com/Graphics-Card/GV-N4070WF3-12GD" TargetMode="External"/><Relationship Id="rId121" Type="http://schemas.openxmlformats.org/officeDocument/2006/relationships/hyperlink" Target="https://www.msi.com/Graphics-card/Radeon-RX-5700-XT-EVOKE-OC" TargetMode="External"/><Relationship Id="rId2041" Type="http://schemas.openxmlformats.org/officeDocument/2006/relationships/hyperlink" Target="https://www.asus.com/motherboards-components/graphics-cards/dual/dual-rtx3060ti-8gd6x/" TargetMode="External"/><Relationship Id="rId3373" Type="http://schemas.openxmlformats.org/officeDocument/2006/relationships/hyperlink" Target="https://www.gigabyte.com/Graphics-Card/GV-N4070EAGLE-OCV2-12GD" TargetMode="External"/><Relationship Id="rId120" Type="http://schemas.openxmlformats.org/officeDocument/2006/relationships/hyperlink" Target="https://www.msi.com/Graphics-card/Radeon-RX-5700-XT-EVOKE" TargetMode="External"/><Relationship Id="rId2042" Type="http://schemas.openxmlformats.org/officeDocument/2006/relationships/hyperlink" Target="https://www.asus.com/motherboards-components/graphics-cards/dual/dual-rtx3060ti-o8gd6x/" TargetMode="External"/><Relationship Id="rId3372" Type="http://schemas.openxmlformats.org/officeDocument/2006/relationships/hyperlink" Target="https://www.gigabyte.com/Graphics-Card/GV-N4070EAGLE-OC-12GD" TargetMode="External"/><Relationship Id="rId2043" Type="http://schemas.openxmlformats.org/officeDocument/2006/relationships/hyperlink" Target="https://www.asus.com/motherboards-components/graphics-cards/dual/dual-rtx3060ti-8gd6x-white/" TargetMode="External"/><Relationship Id="rId3375" Type="http://schemas.openxmlformats.org/officeDocument/2006/relationships/hyperlink" Target="https://www.gigabyte.com/Graphics-Card/GV-N4070AERO-OC-12GD" TargetMode="External"/><Relationship Id="rId2044" Type="http://schemas.openxmlformats.org/officeDocument/2006/relationships/hyperlink" Target="https://www.asus.com/motherboards-components/graphics-cards/dual/dual-rtx3060ti-o8gd6x-white/" TargetMode="External"/><Relationship Id="rId3374" Type="http://schemas.openxmlformats.org/officeDocument/2006/relationships/hyperlink" Target="https://www.gigabyte.com/Graphics-Card/GV-N4070AERO-12GD" TargetMode="External"/><Relationship Id="rId125" Type="http://schemas.openxmlformats.org/officeDocument/2006/relationships/hyperlink" Target="https://www.powercolor.com/product?id=1565160726" TargetMode="External"/><Relationship Id="rId2045" Type="http://schemas.openxmlformats.org/officeDocument/2006/relationships/hyperlink" Target="https://www.asus.com/Motherboards-Components/Graphics-Cards/TUF-Gaming/TUF-RTX3060TI-8GD6X-GAMING/" TargetMode="External"/><Relationship Id="rId3377" Type="http://schemas.openxmlformats.org/officeDocument/2006/relationships/hyperlink" Target="https://www.gigabyte.com/Graphics-Card/GV-N4070GAMING-12GD" TargetMode="External"/><Relationship Id="rId124" Type="http://schemas.openxmlformats.org/officeDocument/2006/relationships/hyperlink" Target="https://www.powercolor.com/product?id=1575278707" TargetMode="External"/><Relationship Id="rId2046" Type="http://schemas.openxmlformats.org/officeDocument/2006/relationships/hyperlink" Target="https://www.asus.com/Motherboards-Components/Graphics-Cards/TUF-Gaming/TUF-RTX3060TI-O8GD6X-GAMING/" TargetMode="External"/><Relationship Id="rId3376" Type="http://schemas.openxmlformats.org/officeDocument/2006/relationships/hyperlink" Target="https://www.gigabyte.com/Graphics-Card/GV-N4070AERO-OCV2-12GD" TargetMode="External"/><Relationship Id="rId123" Type="http://schemas.openxmlformats.org/officeDocument/2006/relationships/hyperlink" Target="https://www.msi.com/Graphics-card/Radeon-RX-5700-XT-GAMING-X" TargetMode="External"/><Relationship Id="rId2047" Type="http://schemas.openxmlformats.org/officeDocument/2006/relationships/hyperlink" Target="https://en.colorful.cn/en/" TargetMode="External"/><Relationship Id="rId3379" Type="http://schemas.openxmlformats.org/officeDocument/2006/relationships/hyperlink" Target="https://www.gigabyte.com/Graphics-Card/GV-N4070GAMING-OCV2-12GD" TargetMode="External"/><Relationship Id="rId122" Type="http://schemas.openxmlformats.org/officeDocument/2006/relationships/hyperlink" Target="https://www.msi.com/Graphics-card/Radeon-RX-5700-XT-GAMING" TargetMode="External"/><Relationship Id="rId2048" Type="http://schemas.openxmlformats.org/officeDocument/2006/relationships/hyperlink" Target="https://en.colorful.cn/en/home/product?mid=102&amp;id=e8098978-ef0e-442b-891f-97fae32d70d1" TargetMode="External"/><Relationship Id="rId3378" Type="http://schemas.openxmlformats.org/officeDocument/2006/relationships/hyperlink" Target="https://www.gigabyte.com/Graphics-Card/GV-N4070GAMING-OC-12GD" TargetMode="External"/><Relationship Id="rId2038" Type="http://schemas.openxmlformats.org/officeDocument/2006/relationships/hyperlink" Target="https://www.zotac.com/product/graphics_card/zotac-gaming-geforce-rtx-3060-ti-twin-edge-oc-lhr" TargetMode="External"/><Relationship Id="rId2039" Type="http://schemas.openxmlformats.org/officeDocument/2006/relationships/hyperlink" Target="https://www.zotac.com/" TargetMode="External"/><Relationship Id="rId3369" Type="http://schemas.openxmlformats.org/officeDocument/2006/relationships/hyperlink" Target="https://www.galax.com/en/graphics-card/40-series/4070-series/geforce-rtx-4070-exg-w.html" TargetMode="External"/><Relationship Id="rId118" Type="http://schemas.openxmlformats.org/officeDocument/2006/relationships/hyperlink" Target="https://www.msi.com/Graphics-card/Radeon-RX-5700-XT-MECH" TargetMode="External"/><Relationship Id="rId117" Type="http://schemas.openxmlformats.org/officeDocument/2006/relationships/hyperlink" Target="http://www.hisdigital.com/us/product2-969.shtml" TargetMode="External"/><Relationship Id="rId116" Type="http://schemas.openxmlformats.org/officeDocument/2006/relationships/hyperlink" Target="https://www.gigabyte.com/Graphics-Card/GV-R57XTAORUS-8GD-rev-20" TargetMode="External"/><Relationship Id="rId115" Type="http://schemas.openxmlformats.org/officeDocument/2006/relationships/hyperlink" Target="https://www.gigabyte.com/Graphics-Card/GV-R57XTGAMING-OC-8GD-rev-20" TargetMode="External"/><Relationship Id="rId3360" Type="http://schemas.openxmlformats.org/officeDocument/2006/relationships/hyperlink" Target="https://www.galax.com/en/" TargetMode="External"/><Relationship Id="rId119" Type="http://schemas.openxmlformats.org/officeDocument/2006/relationships/hyperlink" Target="https://www.msi.com/Graphics-card/Radeon-RX-5700-XT-MECH-OC" TargetMode="External"/><Relationship Id="rId110" Type="http://schemas.openxmlformats.org/officeDocument/2006/relationships/hyperlink" Target="http://www.dataland.com.cn/" TargetMode="External"/><Relationship Id="rId2030" Type="http://schemas.openxmlformats.org/officeDocument/2006/relationships/hyperlink" Target="https://www.zotac.com/cn/product/graphics_card/%E7%B4%A2%E6%B3%B0-geforce%C2%AE-rtx-3060ti-8gd6-pgf-goc" TargetMode="External"/><Relationship Id="rId3362" Type="http://schemas.openxmlformats.org/officeDocument/2006/relationships/hyperlink" Target="https://www.galax.com/en/" TargetMode="External"/><Relationship Id="rId2031" Type="http://schemas.openxmlformats.org/officeDocument/2006/relationships/hyperlink" Target="https://www.zotac.com/" TargetMode="External"/><Relationship Id="rId3361" Type="http://schemas.openxmlformats.org/officeDocument/2006/relationships/hyperlink" Target="http://www.szgalaxy.com/__ZH_GB__/Product5/ProductDetail?proID=994" TargetMode="External"/><Relationship Id="rId2032" Type="http://schemas.openxmlformats.org/officeDocument/2006/relationships/hyperlink" Target="https://www.zotac.com/product/graphics_card/zotac-gaming-geforce-rtx-3060-ti-twin-edge" TargetMode="External"/><Relationship Id="rId3364" Type="http://schemas.openxmlformats.org/officeDocument/2006/relationships/hyperlink" Target="https://www.galax.com/en/" TargetMode="External"/><Relationship Id="rId2033" Type="http://schemas.openxmlformats.org/officeDocument/2006/relationships/hyperlink" Target="https://www.zotac.com/" TargetMode="External"/><Relationship Id="rId3363" Type="http://schemas.openxmlformats.org/officeDocument/2006/relationships/hyperlink" Target="https://www.galax.com/en/graphics-card/40-series/4070-series/geforce-rtx-4070-oc.html" TargetMode="External"/><Relationship Id="rId114" Type="http://schemas.openxmlformats.org/officeDocument/2006/relationships/hyperlink" Target="https://www.gigabyte.com/Graphics-Card/GV-R57XTGAMING-8GD-rev-20" TargetMode="External"/><Relationship Id="rId2034" Type="http://schemas.openxmlformats.org/officeDocument/2006/relationships/hyperlink" Target="https://www.zotac.com/product/graphics_card/zotac-gaming-geforce-rtx-3060-ti-twin-edge-lhr" TargetMode="External"/><Relationship Id="rId3366" Type="http://schemas.openxmlformats.org/officeDocument/2006/relationships/hyperlink" Target="https://www.galax.com/en/" TargetMode="External"/><Relationship Id="rId113" Type="http://schemas.openxmlformats.org/officeDocument/2006/relationships/hyperlink" Target="http://www.dataland.com.cn/prod_view.aspx?nid=3&amp;typeid=126&amp;id=924" TargetMode="External"/><Relationship Id="rId2035" Type="http://schemas.openxmlformats.org/officeDocument/2006/relationships/hyperlink" Target="https://www.zotac.com/" TargetMode="External"/><Relationship Id="rId3365" Type="http://schemas.openxmlformats.org/officeDocument/2006/relationships/hyperlink" Target="https://www.galax.com/en/graphics-card/40-series/4070-series/geforce-rtx-4070-exg.html" TargetMode="External"/><Relationship Id="rId112" Type="http://schemas.openxmlformats.org/officeDocument/2006/relationships/hyperlink" Target="http://www.dataland.com.cn/" TargetMode="External"/><Relationship Id="rId2036" Type="http://schemas.openxmlformats.org/officeDocument/2006/relationships/hyperlink" Target="https://www.zotac.com/product/graphics_card/zotac-gaming-geforce-rtx-3060-ti-twin-edge-oc" TargetMode="External"/><Relationship Id="rId3368" Type="http://schemas.openxmlformats.org/officeDocument/2006/relationships/hyperlink" Target="https://www.galax.com/en/" TargetMode="External"/><Relationship Id="rId111" Type="http://schemas.openxmlformats.org/officeDocument/2006/relationships/hyperlink" Target="http://www.dataland.com.cn/prod_view.aspx?nid=3&amp;typeid=126&amp;id=923" TargetMode="External"/><Relationship Id="rId2037" Type="http://schemas.openxmlformats.org/officeDocument/2006/relationships/hyperlink" Target="https://www.zotac.com/" TargetMode="External"/><Relationship Id="rId3367" Type="http://schemas.openxmlformats.org/officeDocument/2006/relationships/hyperlink" Target="https://www.galax.com/en/graphics-card/40-series/4070-series/geforce-rtx-4070-exg-w-639.html" TargetMode="External"/><Relationship Id="rId3315" Type="http://schemas.openxmlformats.org/officeDocument/2006/relationships/hyperlink" Target="https://www.asus.com/motherboards-components/graphics-cards/dual/dual-rtx4070-o12g-evo/" TargetMode="External"/><Relationship Id="rId3314" Type="http://schemas.openxmlformats.org/officeDocument/2006/relationships/hyperlink" Target="https://www.asus.com/motherboards-components/graphics-cards/dual/dual-rtx4070-12g-evo/" TargetMode="External"/><Relationship Id="rId3317" Type="http://schemas.openxmlformats.org/officeDocument/2006/relationships/hyperlink" Target="https://www.asus.com/motherboards-components/graphics-cards/dual/dual-rtx4070-o12g-evo-white/" TargetMode="External"/><Relationship Id="rId3316" Type="http://schemas.openxmlformats.org/officeDocument/2006/relationships/hyperlink" Target="https://www.asus.com/motherboards-components/graphics-cards/dual/dual-rtx4070-12g-evo-white/" TargetMode="External"/><Relationship Id="rId3319" Type="http://schemas.openxmlformats.org/officeDocument/2006/relationships/hyperlink" Target="https://www.asus.com/motherboards-components/graphics-cards/prime/prime-rtx4070-o12g/" TargetMode="External"/><Relationship Id="rId3318" Type="http://schemas.openxmlformats.org/officeDocument/2006/relationships/hyperlink" Target="https://www.asus.com/motherboards-components/graphics-cards/prime/prime-rtx4070-12g/" TargetMode="External"/><Relationship Id="rId3311" Type="http://schemas.openxmlformats.org/officeDocument/2006/relationships/hyperlink" Target="https://www.asus.com/motherboards-components/graphics-cards/dual/dual-rtx4070-o12g/" TargetMode="External"/><Relationship Id="rId3310" Type="http://schemas.openxmlformats.org/officeDocument/2006/relationships/hyperlink" Target="https://www.asus.com/motherboards-components/graphics-cards/dual/dual-rtx4070-12g/" TargetMode="External"/><Relationship Id="rId3313" Type="http://schemas.openxmlformats.org/officeDocument/2006/relationships/hyperlink" Target="https://www.asus.com/motherboards-components/graphics-cards/dual/dual-rtx4070-o12g-white/" TargetMode="External"/><Relationship Id="rId3312" Type="http://schemas.openxmlformats.org/officeDocument/2006/relationships/hyperlink" Target="https://www.asus.com/motherboards-components/graphics-cards/dual/dual-rtx4070-12g-white/" TargetMode="External"/><Relationship Id="rId3304" Type="http://schemas.openxmlformats.org/officeDocument/2006/relationships/hyperlink" Target="http://www.yeston.net/products-detail/id-32.html" TargetMode="External"/><Relationship Id="rId3303" Type="http://schemas.openxmlformats.org/officeDocument/2006/relationships/hyperlink" Target="http://www.yeston.net/" TargetMode="External"/><Relationship Id="rId3306" Type="http://schemas.openxmlformats.org/officeDocument/2006/relationships/hyperlink" Target="http://www.yeston.net/products-detail/id-83.html" TargetMode="External"/><Relationship Id="rId3305" Type="http://schemas.openxmlformats.org/officeDocument/2006/relationships/hyperlink" Target="http://www.yeston.net/" TargetMode="External"/><Relationship Id="rId3308" Type="http://schemas.openxmlformats.org/officeDocument/2006/relationships/hyperlink" Target="https://www.zotac.com/product/graphics_card/zotac-gaming-geforce-rtx-4060-ti-16gb-twin-edge" TargetMode="External"/><Relationship Id="rId3307" Type="http://schemas.openxmlformats.org/officeDocument/2006/relationships/hyperlink" Target="https://www.zotac.com/" TargetMode="External"/><Relationship Id="rId3309" Type="http://schemas.openxmlformats.org/officeDocument/2006/relationships/hyperlink" Target="https://www.asus.com/motherboards-components/graphics-cards/turbo/turbo-rtx4070-12g/" TargetMode="External"/><Relationship Id="rId3300" Type="http://schemas.openxmlformats.org/officeDocument/2006/relationships/hyperlink" Target="https://www.pny.com/pny-geforce-rtx-4060-ti-16gb-verto-dual-fan" TargetMode="External"/><Relationship Id="rId3302" Type="http://schemas.openxmlformats.org/officeDocument/2006/relationships/hyperlink" Target="https://www.pny.com/pny-geforce-rtx-4060-ti-16gb-xlr8-gaming-verto-epic-x-rgb-over-clocked-triple-fan" TargetMode="External"/><Relationship Id="rId3301" Type="http://schemas.openxmlformats.org/officeDocument/2006/relationships/hyperlink" Target="https://www.pny.com/pny-geforce-rtx-4060-ti-16gb-xlr8-gaming-verto-epic-x-rgb-triple-fan" TargetMode="External"/><Relationship Id="rId2005" Type="http://schemas.openxmlformats.org/officeDocument/2006/relationships/hyperlink" Target="https://www.pny.com/geforce-rtx-3060-ti-8gb-uprising-df" TargetMode="External"/><Relationship Id="rId3337" Type="http://schemas.openxmlformats.org/officeDocument/2006/relationships/hyperlink" Target="https://en.colorful.cn/en/" TargetMode="External"/><Relationship Id="rId2006" Type="http://schemas.openxmlformats.org/officeDocument/2006/relationships/hyperlink" Target="https://www.pny.com/geforce-rtx-3060-ti-uprising-lhr" TargetMode="External"/><Relationship Id="rId3336" Type="http://schemas.openxmlformats.org/officeDocument/2006/relationships/hyperlink" Target="https://en.colorful.cn/en/home/product?mid=102&amp;id=7b9bc78d-5f97-4cde-9dd1-96e969eca1c1" TargetMode="External"/><Relationship Id="rId2007" Type="http://schemas.openxmlformats.org/officeDocument/2006/relationships/hyperlink" Target="https://www.pny.com/geforce-rtx-3060-ti-8gb-xlr8-gaming-revel-epic-x-rgb-df" TargetMode="External"/><Relationship Id="rId3339" Type="http://schemas.openxmlformats.org/officeDocument/2006/relationships/hyperlink" Target="https://en.colorful.cn/en/" TargetMode="External"/><Relationship Id="rId2008" Type="http://schemas.openxmlformats.org/officeDocument/2006/relationships/hyperlink" Target="https://www.pny.com/geforce-rtx-3060-ti-revel-lhr" TargetMode="External"/><Relationship Id="rId3338" Type="http://schemas.openxmlformats.org/officeDocument/2006/relationships/hyperlink" Target="https://en.colorful.cn/en/home/product?mid=102&amp;id=a6983dac-5a36-48a8-ab7f-275fdef99324" TargetMode="External"/><Relationship Id="rId2009" Type="http://schemas.openxmlformats.org/officeDocument/2006/relationships/hyperlink" Target="http://www.yeston.net/" TargetMode="External"/><Relationship Id="rId3331" Type="http://schemas.openxmlformats.org/officeDocument/2006/relationships/hyperlink" Target="https://en.colorful.cn/en/" TargetMode="External"/><Relationship Id="rId2000" Type="http://schemas.openxmlformats.org/officeDocument/2006/relationships/hyperlink" Target="http://www.palit.com/palit/vgapro.php?id=3859&amp;lang=en" TargetMode="External"/><Relationship Id="rId3330" Type="http://schemas.openxmlformats.org/officeDocument/2006/relationships/hyperlink" Target="https://en.colorful.cn/en/home/product?mid=102&amp;id=53feef70-55e2-478b-9c67-18f5463cf71e" TargetMode="External"/><Relationship Id="rId2001" Type="http://schemas.openxmlformats.org/officeDocument/2006/relationships/hyperlink" Target="http://www.palit.com/palit/vgapro.php?id=4260&amp;lang=en" TargetMode="External"/><Relationship Id="rId3333" Type="http://schemas.openxmlformats.org/officeDocument/2006/relationships/hyperlink" Target="https://en.colorful.cn/en/" TargetMode="External"/><Relationship Id="rId2002" Type="http://schemas.openxmlformats.org/officeDocument/2006/relationships/hyperlink" Target="http://www.palit.com/palit/vgapro.php?id=3867&amp;lang=en" TargetMode="External"/><Relationship Id="rId3332" Type="http://schemas.openxmlformats.org/officeDocument/2006/relationships/hyperlink" Target="https://en.colorful.cn/en/home/product?mid=102&amp;id=fbdee59e-385a-4e14-b8c6-7f372417d168" TargetMode="External"/><Relationship Id="rId2003" Type="http://schemas.openxmlformats.org/officeDocument/2006/relationships/hyperlink" Target="http://www.palit.com/palit/vgapro.php?id=4251&amp;lang=en" TargetMode="External"/><Relationship Id="rId3335" Type="http://schemas.openxmlformats.org/officeDocument/2006/relationships/hyperlink" Target="https://en.colorful.cn/en/" TargetMode="External"/><Relationship Id="rId2004" Type="http://schemas.openxmlformats.org/officeDocument/2006/relationships/hyperlink" Target="https://www.pny.com/pny-geforce-rtx-3060-ti-8gb-verto-dual-fan-lhr" TargetMode="External"/><Relationship Id="rId3334" Type="http://schemas.openxmlformats.org/officeDocument/2006/relationships/hyperlink" Target="https://en.colorful.cn/en/home/product?mid=102&amp;id=9ea6bf0b-c986-4da4-b2c3-5802df1fd0f0" TargetMode="External"/><Relationship Id="rId3326" Type="http://schemas.openxmlformats.org/officeDocument/2006/relationships/hyperlink" Target="https://rog.asus.com/graphics-cards/graphics-cards/rog-strix/rog-strix-rtx4070-o12g-gaming/" TargetMode="External"/><Relationship Id="rId3325" Type="http://schemas.openxmlformats.org/officeDocument/2006/relationships/hyperlink" Target="https://rog.asus.com/graphics-cards/graphics-cards/rog-strix/rog-strix-rtx4070-12g-gaming/" TargetMode="External"/><Relationship Id="rId3328" Type="http://schemas.openxmlformats.org/officeDocument/2006/relationships/hyperlink" Target="https://en.colorful.cn/en/home/product?mid=102&amp;id=30ca8203-a322-40f0-8619-fb4d7d003dc3" TargetMode="External"/><Relationship Id="rId3327" Type="http://schemas.openxmlformats.org/officeDocument/2006/relationships/hyperlink" Target="https://en.colorful.cn/en/" TargetMode="External"/><Relationship Id="rId3329" Type="http://schemas.openxmlformats.org/officeDocument/2006/relationships/hyperlink" Target="https://en.colorful.cn/en/" TargetMode="External"/><Relationship Id="rId3320" Type="http://schemas.openxmlformats.org/officeDocument/2006/relationships/hyperlink" Target="https://www.asus.com.cn/motherboards-components/graphics-cards/asus/ats-rtx4070-o12g-gaming/" TargetMode="External"/><Relationship Id="rId3322" Type="http://schemas.openxmlformats.org/officeDocument/2006/relationships/hyperlink" Target="https://www.asus.com/motherboards-components/graphics-cards/proart/proart-rtx4070-o12g/" TargetMode="External"/><Relationship Id="rId3321" Type="http://schemas.openxmlformats.org/officeDocument/2006/relationships/hyperlink" Target="https://www.asus.com/motherboards-components/graphics-cards/proart/proart-rtx4070-12g/" TargetMode="External"/><Relationship Id="rId3324" Type="http://schemas.openxmlformats.org/officeDocument/2006/relationships/hyperlink" Target="https://www.asus.com/motherboards-components/graphics-cards/tuf-gaming/tuf-rtx4070-o12g-gaming/" TargetMode="External"/><Relationship Id="rId3323" Type="http://schemas.openxmlformats.org/officeDocument/2006/relationships/hyperlink" Target="https://www.asus.com/motherboards-components/graphics-cards/tuf-gaming/tuf-rtx4070-12g-gaming/" TargetMode="External"/><Relationship Id="rId2090" Type="http://schemas.openxmlformats.org/officeDocument/2006/relationships/hyperlink" Target="https://www.asus.com/motherboards-components/graphics-cards/dual/DUAL-RTX3070-O8G" TargetMode="External"/><Relationship Id="rId2091" Type="http://schemas.openxmlformats.org/officeDocument/2006/relationships/hyperlink" Target="https://www.asus.com/Motherboards-Components/Graphics-Cards/Dual/DUAL-RTX3070-O8G-V2/" TargetMode="External"/><Relationship Id="rId2092" Type="http://schemas.openxmlformats.org/officeDocument/2006/relationships/hyperlink" Target="https://www.asus.com/Motherboards-Components/Graphics-Cards/ASUS/KO-RTX3070-8G-GAMING" TargetMode="External"/><Relationship Id="rId2093" Type="http://schemas.openxmlformats.org/officeDocument/2006/relationships/hyperlink" Target="https://www.asus.com/Motherboards-Components/Graphics-Cards/KO/KO-RTX3070-8G-V2-GAMING/" TargetMode="External"/><Relationship Id="rId2094" Type="http://schemas.openxmlformats.org/officeDocument/2006/relationships/hyperlink" Target="https://www.asus.com/Motherboards-Components/Graphics-Cards/ASUS/KO-RTX3070-O8G-GAMING" TargetMode="External"/><Relationship Id="rId2095" Type="http://schemas.openxmlformats.org/officeDocument/2006/relationships/hyperlink" Target="https://www.asus.com/Motherboards-Components/Graphics-Cards/KO/KO-RTX3070-O8G-V2-GAMING/" TargetMode="External"/><Relationship Id="rId2096" Type="http://schemas.openxmlformats.org/officeDocument/2006/relationships/hyperlink" Target="https://www.asus.com/motherboards-components/graphics-cards/tuf-gaming/TUF-RTX3070-8G-GAMING" TargetMode="External"/><Relationship Id="rId2097" Type="http://schemas.openxmlformats.org/officeDocument/2006/relationships/hyperlink" Target="https://www.asus.com/Motherboards-Components/Graphics-Cards/TUF-Gaming/TUF-RTX3070-8G-V2-GAMING/" TargetMode="External"/><Relationship Id="rId2098" Type="http://schemas.openxmlformats.org/officeDocument/2006/relationships/hyperlink" Target="https://www.asus.com/motherboards-components/graphics-cards/tuf-gaming/TUF-RTX3070-O8G-GAMING" TargetMode="External"/><Relationship Id="rId2099" Type="http://schemas.openxmlformats.org/officeDocument/2006/relationships/hyperlink" Target="https://www.asus.com/Motherboards-Components/Graphics-Cards/TUF-Gaming/TUF-RTX3070-O8G-V2-GAMING/" TargetMode="External"/><Relationship Id="rId3391" Type="http://schemas.openxmlformats.org/officeDocument/2006/relationships/hyperlink" Target="https://www.maxsun.com/" TargetMode="External"/><Relationship Id="rId2060" Type="http://schemas.openxmlformats.org/officeDocument/2006/relationships/hyperlink" Target="http://www.szgalaxy.com/__ZH_GB__/Product5/ProductDetail?proID=901" TargetMode="External"/><Relationship Id="rId3390" Type="http://schemas.openxmlformats.org/officeDocument/2006/relationships/hyperlink" Target="https://www.manli.com/en/product-detail-Manli_GeForce_RTX%E2%84%A2_4070(M2524+N713)-326.html" TargetMode="External"/><Relationship Id="rId2061" Type="http://schemas.openxmlformats.org/officeDocument/2006/relationships/hyperlink" Target="https://www.galax.com/en/" TargetMode="External"/><Relationship Id="rId3393" Type="http://schemas.openxmlformats.org/officeDocument/2006/relationships/hyperlink" Target="https://www.maxsun.com/" TargetMode="External"/><Relationship Id="rId2062" Type="http://schemas.openxmlformats.org/officeDocument/2006/relationships/hyperlink" Target="http://www.szgalaxy.com/__ZH_GB__/Product5/ProductDetail?proID=918" TargetMode="External"/><Relationship Id="rId3392" Type="http://schemas.openxmlformats.org/officeDocument/2006/relationships/hyperlink" Target="https://www.maxsun.com/products/geforce-rtx-4070-terminator-w-12g?_pos=3&amp;_fid=76d3d33e4&amp;_ss=c" TargetMode="External"/><Relationship Id="rId2063" Type="http://schemas.openxmlformats.org/officeDocument/2006/relationships/hyperlink" Target="https://www.galax.com/en/" TargetMode="External"/><Relationship Id="rId3395" Type="http://schemas.openxmlformats.org/officeDocument/2006/relationships/hyperlink" Target="https://www.maxsun.com/" TargetMode="External"/><Relationship Id="rId2064" Type="http://schemas.openxmlformats.org/officeDocument/2006/relationships/hyperlink" Target="https://www.galax.com/en/graphics-card/30-series/3060ti-series/geforce-rtx-3060ti-plus-oc.html" TargetMode="External"/><Relationship Id="rId3394" Type="http://schemas.openxmlformats.org/officeDocument/2006/relationships/hyperlink" Target="https://www.maxsun.com.cn/2023/0417/5968.html" TargetMode="External"/><Relationship Id="rId2065" Type="http://schemas.openxmlformats.org/officeDocument/2006/relationships/hyperlink" Target="https://www.galax.com/en/" TargetMode="External"/><Relationship Id="rId3397" Type="http://schemas.openxmlformats.org/officeDocument/2006/relationships/hyperlink" Target="https://www.maxsun.com/" TargetMode="External"/><Relationship Id="rId2066" Type="http://schemas.openxmlformats.org/officeDocument/2006/relationships/hyperlink" Target="https://www.galax.com/en/graphics-card/30-series/3060ti-series/geforce-rtx-3060ti-plus-oc-v2.html" TargetMode="External"/><Relationship Id="rId3396" Type="http://schemas.openxmlformats.org/officeDocument/2006/relationships/hyperlink" Target="https://www.maxsun.com/products/geforce-rtx4070-icraft-oc12g?_pos=6&amp;_fid=76d3d33e4&amp;_ss=c" TargetMode="External"/><Relationship Id="rId2067" Type="http://schemas.openxmlformats.org/officeDocument/2006/relationships/hyperlink" Target="https://www.galax.com/en/" TargetMode="External"/><Relationship Id="rId3399" Type="http://schemas.openxmlformats.org/officeDocument/2006/relationships/hyperlink" Target="https://www.msi.com/Graphics-Card/GeForce-RTX-4070-VENTUS-2X-12G" TargetMode="External"/><Relationship Id="rId2068" Type="http://schemas.openxmlformats.org/officeDocument/2006/relationships/hyperlink" Target="https://www.galax.com/en/graphics-card/30-series/3060ti-series/geforce-rtx-3060ti-plus-sg.html" TargetMode="External"/><Relationship Id="rId3398" Type="http://schemas.openxmlformats.org/officeDocument/2006/relationships/hyperlink" Target="https://www.maxsun.com/products/geforce-rtx-4070-icraft-oc-limited-12g?_pos=5&amp;_fid=76d3d33e4&amp;_ss=c" TargetMode="External"/><Relationship Id="rId2069" Type="http://schemas.openxmlformats.org/officeDocument/2006/relationships/hyperlink" Target="https://www.galax.com/en/" TargetMode="External"/><Relationship Id="rId3380" Type="http://schemas.openxmlformats.org/officeDocument/2006/relationships/hyperlink" Target="https://www.gigabyte.com/Graphics-Card/GV-N4070AORUS-M-12GD" TargetMode="External"/><Relationship Id="rId2050" Type="http://schemas.openxmlformats.org/officeDocument/2006/relationships/hyperlink" Target="http://www.szgalaxy.com/__ZH_GB__/Product5/ProductDetail?proID=884" TargetMode="External"/><Relationship Id="rId3382" Type="http://schemas.openxmlformats.org/officeDocument/2006/relationships/hyperlink" Target="https://www.inno3d.com/en/PRODUCT_INNO3D_GEFORCE_RTX_4070_TWINX2_OC" TargetMode="External"/><Relationship Id="rId2051" Type="http://schemas.openxmlformats.org/officeDocument/2006/relationships/hyperlink" Target="https://www.galax.com/en/" TargetMode="External"/><Relationship Id="rId3381" Type="http://schemas.openxmlformats.org/officeDocument/2006/relationships/hyperlink" Target="https://www.inno3d.com/en/PRODUCT_INNO3D_GEFORCE_RTX_4070_TWINX2" TargetMode="External"/><Relationship Id="rId2052" Type="http://schemas.openxmlformats.org/officeDocument/2006/relationships/hyperlink" Target="http://www.szgalaxy.com/__ZH_GB__/Product5/ProductDetail?proID=885" TargetMode="External"/><Relationship Id="rId3384" Type="http://schemas.openxmlformats.org/officeDocument/2006/relationships/hyperlink" Target="https://www.inno3d.com/en/PRODUCT_INNO3D_GEFORCE_RTX_4070_X3_OC" TargetMode="External"/><Relationship Id="rId2053" Type="http://schemas.openxmlformats.org/officeDocument/2006/relationships/hyperlink" Target="https://www.galax.com/en/" TargetMode="External"/><Relationship Id="rId3383" Type="http://schemas.openxmlformats.org/officeDocument/2006/relationships/hyperlink" Target="https://www.inno3d.com/en/PRODUCT_INNO3D_GEFORCE_RTX_4070_TWINX2_OC_WHITE" TargetMode="External"/><Relationship Id="rId2054" Type="http://schemas.openxmlformats.org/officeDocument/2006/relationships/hyperlink" Target="http://www.szgalaxy.com/__ZH_GB__/Product5/ProductDetail?proID=904" TargetMode="External"/><Relationship Id="rId3386" Type="http://schemas.openxmlformats.org/officeDocument/2006/relationships/hyperlink" Target="https://www.leadtek.com/eng/" TargetMode="External"/><Relationship Id="rId2055" Type="http://schemas.openxmlformats.org/officeDocument/2006/relationships/hyperlink" Target="https://www.galax.com/en/" TargetMode="External"/><Relationship Id="rId3385" Type="http://schemas.openxmlformats.org/officeDocument/2006/relationships/hyperlink" Target="https://www.inno3d.com/en/PRODUCT_INNO3D_GEFORCE_RTX_4070_ICHILL_X3" TargetMode="External"/><Relationship Id="rId2056" Type="http://schemas.openxmlformats.org/officeDocument/2006/relationships/hyperlink" Target="http://www.szgalaxy.com/__ZH_GB__/Product5/ProductDetail?proID=903" TargetMode="External"/><Relationship Id="rId3388" Type="http://schemas.openxmlformats.org/officeDocument/2006/relationships/hyperlink" Target="https://www.leadtek.com/eng/" TargetMode="External"/><Relationship Id="rId2057" Type="http://schemas.openxmlformats.org/officeDocument/2006/relationships/hyperlink" Target="https://www.galax.com/en/" TargetMode="External"/><Relationship Id="rId3387" Type="http://schemas.openxmlformats.org/officeDocument/2006/relationships/hyperlink" Target="https://www.leadtek.com/eng/products/graphics_cards(1)/WinFast_RTX_4070_AI_BLOWER_12G(40984)/detail" TargetMode="External"/><Relationship Id="rId2058" Type="http://schemas.openxmlformats.org/officeDocument/2006/relationships/hyperlink" Target="http://www.szgalaxy.com/__ZH_GB__/Product5/ProductDetail?proID=902" TargetMode="External"/><Relationship Id="rId2059" Type="http://schemas.openxmlformats.org/officeDocument/2006/relationships/hyperlink" Target="https://www.galax.com/en/" TargetMode="External"/><Relationship Id="rId3389" Type="http://schemas.openxmlformats.org/officeDocument/2006/relationships/hyperlink" Target="https://www.leadtek.com/eng/products/graphics_cards(1)/WinFast_RTX_4070_HURRICANE_12G(40977)/detail" TargetMode="External"/><Relationship Id="rId2080" Type="http://schemas.openxmlformats.org/officeDocument/2006/relationships/hyperlink" Target="https://www.zotac.com/cn/product/graphics_card/%E7%B4%A2%E6%B3%B0-geforce%C2%AErtx-3060ti-8g6x-%E5%A4%A9%E5%90%AF-goc" TargetMode="External"/><Relationship Id="rId2081" Type="http://schemas.openxmlformats.org/officeDocument/2006/relationships/hyperlink" Target="https://www.zotac.com/" TargetMode="External"/><Relationship Id="rId2082" Type="http://schemas.openxmlformats.org/officeDocument/2006/relationships/hyperlink" Target="https://www.zotac.com/product/graphics_card/zotac-gaming-geforce-rtx-3060-ti-gddr6x-twin-edge" TargetMode="External"/><Relationship Id="rId2083" Type="http://schemas.openxmlformats.org/officeDocument/2006/relationships/hyperlink" Target="http://www.pcasl.com/index.jsp" TargetMode="External"/><Relationship Id="rId2084" Type="http://schemas.openxmlformats.org/officeDocument/2006/relationships/hyperlink" Target="http://www.pcasl.com/pd.jsp?id=179" TargetMode="External"/><Relationship Id="rId2085" Type="http://schemas.openxmlformats.org/officeDocument/2006/relationships/hyperlink" Target="https://www.asus.com/motherboards-components/graphics-cards/turbo/TURBO-RTX3070-8G" TargetMode="External"/><Relationship Id="rId2086" Type="http://schemas.openxmlformats.org/officeDocument/2006/relationships/hyperlink" Target="https://www.asus.com/Motherboards-Components/Graphics-Cards/Turbo/TURBO-RTX3070-8G-V2/" TargetMode="External"/><Relationship Id="rId2087" Type="http://schemas.openxmlformats.org/officeDocument/2006/relationships/hyperlink" Target="https://www.asus.com/Motherboards-Components/Graphics-Cards/Dual/DUAL-RTX3070-8G-SI/" TargetMode="External"/><Relationship Id="rId2088" Type="http://schemas.openxmlformats.org/officeDocument/2006/relationships/hyperlink" Target="https://www.asus.com/motherboards-components/graphics-cards/dual/DUAL-RTX3070-8G" TargetMode="External"/><Relationship Id="rId2089" Type="http://schemas.openxmlformats.org/officeDocument/2006/relationships/hyperlink" Target="https://www.asus.com/Motherboards-Components/Graphics-Cards/Dual/DUAL-RTX3070-8G-V2/" TargetMode="External"/><Relationship Id="rId2070" Type="http://schemas.openxmlformats.org/officeDocument/2006/relationships/hyperlink" Target="https://www.galax.com/en/graphics-card/30-series/3060ti-series/geforce-rtx-3060ti-plus-sg-v2.html" TargetMode="External"/><Relationship Id="rId2071" Type="http://schemas.openxmlformats.org/officeDocument/2006/relationships/hyperlink" Target="https://www.galax.com/en/" TargetMode="External"/><Relationship Id="rId2072" Type="http://schemas.openxmlformats.org/officeDocument/2006/relationships/hyperlink" Target="https://www.galax.com/en/graphics-card/30-series/3060ti-series/geforce-rtx-3060ti-plus-exw.html" TargetMode="External"/><Relationship Id="rId2073" Type="http://schemas.openxmlformats.org/officeDocument/2006/relationships/hyperlink" Target="https://www.msi.com/Graphics-Card/GeForce-RTX-3060-Ti-VENTUS-2X-8GD6X" TargetMode="External"/><Relationship Id="rId2074" Type="http://schemas.openxmlformats.org/officeDocument/2006/relationships/hyperlink" Target="https://www.msi.com/Graphics-Card/GeForce-RTX-3060-Ti-VENTUS-2X-8GD6X-OC" TargetMode="External"/><Relationship Id="rId2075" Type="http://schemas.openxmlformats.org/officeDocument/2006/relationships/hyperlink" Target="https://www.msi.com/Graphics-Card/GeForce-RTX-3060-Ti-VENTUS-3X-8GD6X" TargetMode="External"/><Relationship Id="rId2076" Type="http://schemas.openxmlformats.org/officeDocument/2006/relationships/hyperlink" Target="https://www.msi.com/Graphics-Card/GeForce-RTX-3060-Ti-VENTUS-3X-8GD6X-OC" TargetMode="External"/><Relationship Id="rId2077" Type="http://schemas.openxmlformats.org/officeDocument/2006/relationships/hyperlink" Target="https://www.msi.com/Graphics-Card/GeForce-RTX-3060-Ti-GAMING-TRIO-8GD6X" TargetMode="External"/><Relationship Id="rId2078" Type="http://schemas.openxmlformats.org/officeDocument/2006/relationships/hyperlink" Target="https://www.msi.com/Graphics-Card/GeForce-RTX-3060-Ti-GAMING-X-TRIO-8GD6X" TargetMode="External"/><Relationship Id="rId2079" Type="http://schemas.openxmlformats.org/officeDocument/2006/relationships/hyperlink" Target="https://www.zotac.com/" TargetMode="External"/><Relationship Id="rId2940" Type="http://schemas.openxmlformats.org/officeDocument/2006/relationships/hyperlink" Target="http://www.szgalaxy.com/__ZH_GB__/Product5/ProductDetail?proID=686" TargetMode="External"/><Relationship Id="rId1610" Type="http://schemas.openxmlformats.org/officeDocument/2006/relationships/hyperlink" Target="http://www.palit.com/palit/vgapro.php?id=4468&amp;lang=en" TargetMode="External"/><Relationship Id="rId2941" Type="http://schemas.openxmlformats.org/officeDocument/2006/relationships/hyperlink" Target="https://www.galax.com/en/" TargetMode="External"/><Relationship Id="rId1611" Type="http://schemas.openxmlformats.org/officeDocument/2006/relationships/hyperlink" Target="http://www.palit.com/palit/vgapro.php?id=4458&amp;lang=en" TargetMode="External"/><Relationship Id="rId2942" Type="http://schemas.openxmlformats.org/officeDocument/2006/relationships/hyperlink" Target="http://www.szgalaxy.com/__ZH_GB__/Product5/ProductDetail?proID=685" TargetMode="External"/><Relationship Id="rId1612" Type="http://schemas.openxmlformats.org/officeDocument/2006/relationships/hyperlink" Target="https://www.pny.com/pny-geforce-rtx-3050-8gb-verto-dual-fan" TargetMode="External"/><Relationship Id="rId2943" Type="http://schemas.openxmlformats.org/officeDocument/2006/relationships/hyperlink" Target="https://www.galax.com/en/" TargetMode="External"/><Relationship Id="rId1613" Type="http://schemas.openxmlformats.org/officeDocument/2006/relationships/hyperlink" Target="https://www.pny.com/geforce-rtx-3050-8gb-revel-df" TargetMode="External"/><Relationship Id="rId2944" Type="http://schemas.openxmlformats.org/officeDocument/2006/relationships/hyperlink" Target="http://www.szgalaxy.com/__ZH_GB__/Product5/ProductDetail?proID=684" TargetMode="External"/><Relationship Id="rId1614" Type="http://schemas.openxmlformats.org/officeDocument/2006/relationships/hyperlink" Target="https://www.pny.com/geforce-rtx-3050-8gb-uprising-df" TargetMode="External"/><Relationship Id="rId2945" Type="http://schemas.openxmlformats.org/officeDocument/2006/relationships/hyperlink" Target="https://www.galax.com/en/" TargetMode="External"/><Relationship Id="rId1615" Type="http://schemas.openxmlformats.org/officeDocument/2006/relationships/hyperlink" Target="http://www.yeston.net/" TargetMode="External"/><Relationship Id="rId2946" Type="http://schemas.openxmlformats.org/officeDocument/2006/relationships/hyperlink" Target="https://www.galax.com/en/graphics-card/30-series/geforce-rtx-3090-sg.html" TargetMode="External"/><Relationship Id="rId1616" Type="http://schemas.openxmlformats.org/officeDocument/2006/relationships/hyperlink" Target="http://www.yeston.net/product/details/292/363" TargetMode="External"/><Relationship Id="rId2947" Type="http://schemas.openxmlformats.org/officeDocument/2006/relationships/hyperlink" Target="https://www.galax.com/en/" TargetMode="External"/><Relationship Id="rId907" Type="http://schemas.openxmlformats.org/officeDocument/2006/relationships/hyperlink" Target="https://www.msi.com/Graphics-card/GeForce-RTX-2060-VENTUS-6G-OC" TargetMode="External"/><Relationship Id="rId1617" Type="http://schemas.openxmlformats.org/officeDocument/2006/relationships/hyperlink" Target="https://www.zotac.com/cn/product/graphics_card/%E7%B4%A2%E6%B3%B0-geforce%C2%AE-rtx-3050-8gd6-%E6%AF%81%E7%81%AD%E8%80%85-ha" TargetMode="External"/><Relationship Id="rId2948" Type="http://schemas.openxmlformats.org/officeDocument/2006/relationships/hyperlink" Target="https://www.galax.com/en/graphics-card/30-series/geforce-rtx-3090-exg-b.html" TargetMode="External"/><Relationship Id="rId906" Type="http://schemas.openxmlformats.org/officeDocument/2006/relationships/hyperlink" Target="https://www.msi.com/Graphics-card/GeForce-RTX-2060-VENTUS-6G" TargetMode="External"/><Relationship Id="rId1618" Type="http://schemas.openxmlformats.org/officeDocument/2006/relationships/hyperlink" Target="https://www.zotac.com/cn/product/graphics_card/%E7%B4%A2%E6%B3%B0-geforce%C2%AE-rtx-3050-8gd6-%E6%AF%81%E7%81%AD%E8%80%85-pro-ha" TargetMode="External"/><Relationship Id="rId2949" Type="http://schemas.openxmlformats.org/officeDocument/2006/relationships/hyperlink" Target="https://www.galax.com/en/" TargetMode="External"/><Relationship Id="rId905" Type="http://schemas.openxmlformats.org/officeDocument/2006/relationships/hyperlink" Target="https://www.manli.com/en/product-detail-MANLI_GeForce_RTX_2060_Gallardo_(M2435+N537-10)-96.html" TargetMode="External"/><Relationship Id="rId1619" Type="http://schemas.openxmlformats.org/officeDocument/2006/relationships/hyperlink" Target="https://www.zotac.com/cn/product/graphics_card/%E7%B4%A2%E6%B3%B0-geforce%C2%AE-rtx-3050-8gd6-x-gaming-oc" TargetMode="External"/><Relationship Id="rId904" Type="http://schemas.openxmlformats.org/officeDocument/2006/relationships/hyperlink" Target="https://www.inno3d.com/en/product_detail/page/6de7f43a952c9bb4d4e8199306c9881f20c9f471a7e35f591249e354475cb1c5" TargetMode="External"/><Relationship Id="rId909" Type="http://schemas.openxmlformats.org/officeDocument/2006/relationships/hyperlink" Target="https://www.msi.com/Graphics-Card/GeForce-RTX-2060-VENTUS-GP-OC" TargetMode="External"/><Relationship Id="rId908" Type="http://schemas.openxmlformats.org/officeDocument/2006/relationships/hyperlink" Target="https://www.msi.com/Graphics-Card/GeForce-RTX-2060-VENTUS-GP" TargetMode="External"/><Relationship Id="rId903" Type="http://schemas.openxmlformats.org/officeDocument/2006/relationships/hyperlink" Target="https://www.inno3d.com/en/product_detail/page/31927ef680b2b3ea52fa191c2a6b963191f39fe771d0aa275f6b1c8f942523ff" TargetMode="External"/><Relationship Id="rId902" Type="http://schemas.openxmlformats.org/officeDocument/2006/relationships/hyperlink" Target="https://www.inno3d.com/en/product_detail/page/20f6f390fa1669e0526d5cd7a8f00d3651f64a2a82a6c0c6258491740b1b8f38" TargetMode="External"/><Relationship Id="rId901" Type="http://schemas.openxmlformats.org/officeDocument/2006/relationships/hyperlink" Target="https://www.inno3d.com/en/product_detail/page/eb51250c6c5c138db51fefd4416596fd0433adfbeabf6488a9ee6fecc62b0add" TargetMode="External"/><Relationship Id="rId900" Type="http://schemas.openxmlformats.org/officeDocument/2006/relationships/hyperlink" Target="https://www.inno3d.com/en/product_detail/page/dd1a228bfecf392bd8a03e330b43a4aba344e1e723074920a3dde0edc6401c19" TargetMode="External"/><Relationship Id="rId2930" Type="http://schemas.openxmlformats.org/officeDocument/2006/relationships/hyperlink" Target="http://www.szgalaxy.com/__ZH_GB__/Product5/ProductDetail?proID=632" TargetMode="External"/><Relationship Id="rId1600" Type="http://schemas.openxmlformats.org/officeDocument/2006/relationships/hyperlink" Target="https://www.manli.com/en/product-detail-Manli_GeForce_RTX%E2%84%A2_3050_(M2521+N630-00)-302.html" TargetMode="External"/><Relationship Id="rId2931" Type="http://schemas.openxmlformats.org/officeDocument/2006/relationships/hyperlink" Target="https://www.galax.com/en/" TargetMode="External"/><Relationship Id="rId1601" Type="http://schemas.openxmlformats.org/officeDocument/2006/relationships/hyperlink" Target="https://www.manli.com/en/product-detail-Manli_GeForce_RTX%E2%84%A2_3050_Gallardo_(M2510_N630-00)-303.html" TargetMode="External"/><Relationship Id="rId2932" Type="http://schemas.openxmlformats.org/officeDocument/2006/relationships/hyperlink" Target="http://www.szgalaxy.com/__ZH_GB__/Product5/ProductDetail?proID=637" TargetMode="External"/><Relationship Id="rId1602" Type="http://schemas.openxmlformats.org/officeDocument/2006/relationships/hyperlink" Target="http://www.maxsun.com.cn/" TargetMode="External"/><Relationship Id="rId2933" Type="http://schemas.openxmlformats.org/officeDocument/2006/relationships/hyperlink" Target="https://www.galax.com/en/" TargetMode="External"/><Relationship Id="rId1603" Type="http://schemas.openxmlformats.org/officeDocument/2006/relationships/hyperlink" Target="http://www.maxsun.com.cn/2022/0121/5655.html" TargetMode="External"/><Relationship Id="rId2934" Type="http://schemas.openxmlformats.org/officeDocument/2006/relationships/hyperlink" Target="http://www.szgalaxy.com/__ZH_GB__/Product5/ProductDetail?proID=636" TargetMode="External"/><Relationship Id="rId1604" Type="http://schemas.openxmlformats.org/officeDocument/2006/relationships/hyperlink" Target="https://www.msi.com/Graphics-Card/GeForce-RTX-3050-VENTUS-2X-8G" TargetMode="External"/><Relationship Id="rId2935" Type="http://schemas.openxmlformats.org/officeDocument/2006/relationships/hyperlink" Target="https://www.galax.com/en/" TargetMode="External"/><Relationship Id="rId1605" Type="http://schemas.openxmlformats.org/officeDocument/2006/relationships/hyperlink" Target="https://www.msi.com/Graphics-Card/GeForce-RTX-3050-VENTUS-2X-8G-OC" TargetMode="External"/><Relationship Id="rId2936" Type="http://schemas.openxmlformats.org/officeDocument/2006/relationships/hyperlink" Target="http://www.szgalaxy.com/__ZH_GB__/Product5/ProductDetail?proID=635" TargetMode="External"/><Relationship Id="rId1606" Type="http://schemas.openxmlformats.org/officeDocument/2006/relationships/hyperlink" Target="https://www.msi.com/Graphics-Card/GeForce-RTX-3050-VENTUS-2X-8G-V1" TargetMode="External"/><Relationship Id="rId2937" Type="http://schemas.openxmlformats.org/officeDocument/2006/relationships/hyperlink" Target="https://www.galax.com/en/" TargetMode="External"/><Relationship Id="rId1607" Type="http://schemas.openxmlformats.org/officeDocument/2006/relationships/hyperlink" Target="https://www.msi.com/Graphics-Card/GeForce-RTX-3050-VENTUS-2X-8G-OCV1" TargetMode="External"/><Relationship Id="rId2938" Type="http://schemas.openxmlformats.org/officeDocument/2006/relationships/hyperlink" Target="http://www.szgalaxy.com/__ZH_GB__/Product5/ProductDetail?proID=634" TargetMode="External"/><Relationship Id="rId1608" Type="http://schemas.openxmlformats.org/officeDocument/2006/relationships/hyperlink" Target="https://www.msi.com/Graphics-Card/GeForce-RTX-3050-GAMING-8G" TargetMode="External"/><Relationship Id="rId2939" Type="http://schemas.openxmlformats.org/officeDocument/2006/relationships/hyperlink" Target="https://www.galax.com/en/" TargetMode="External"/><Relationship Id="rId1609" Type="http://schemas.openxmlformats.org/officeDocument/2006/relationships/hyperlink" Target="https://www.msi.com/Graphics-Card/GeForce-RTX-3050-GAMING-X-8G" TargetMode="External"/><Relationship Id="rId1631" Type="http://schemas.openxmlformats.org/officeDocument/2006/relationships/hyperlink" Target="https://www.msi.com/Graphics-Card/GeForce-RTX-3060-VENTUS-2X-8G-OC" TargetMode="External"/><Relationship Id="rId2962" Type="http://schemas.openxmlformats.org/officeDocument/2006/relationships/hyperlink" Target="https://www.gigabyte.com/Graphics-Card/GV-N3090VISION-OC-24GD" TargetMode="External"/><Relationship Id="rId1632" Type="http://schemas.openxmlformats.org/officeDocument/2006/relationships/hyperlink" Target="https://www.zotac.com/product/graphics_card/zotac-gaming-geforce-rtx-3060-8gb-twin-edge" TargetMode="External"/><Relationship Id="rId2963" Type="http://schemas.openxmlformats.org/officeDocument/2006/relationships/hyperlink" Target="https://www.gigabyte.com/Graphics-Card/GV-N3090AORUS-M-24GD" TargetMode="External"/><Relationship Id="rId1633" Type="http://schemas.openxmlformats.org/officeDocument/2006/relationships/hyperlink" Target="http://www.pcasl.com/index.jsp" TargetMode="External"/><Relationship Id="rId2964" Type="http://schemas.openxmlformats.org/officeDocument/2006/relationships/hyperlink" Target="https://www.gigabyte.com/Graphics-Card/GV-N3090AORUS-M-24GD-rev-20" TargetMode="External"/><Relationship Id="rId1634" Type="http://schemas.openxmlformats.org/officeDocument/2006/relationships/hyperlink" Target="http://www.pcasl.com/pd.jsp?id=182" TargetMode="External"/><Relationship Id="rId2965" Type="http://schemas.openxmlformats.org/officeDocument/2006/relationships/hyperlink" Target="https://www.gigabyte.com/Graphics-Card/GV-N3090AORUS-X-24GD" TargetMode="External"/><Relationship Id="rId1635" Type="http://schemas.openxmlformats.org/officeDocument/2006/relationships/hyperlink" Target="https://www.asus.com/Motherboards-Components/Graphics-Cards/KO/KO-RTX3060-12G-GAMING/" TargetMode="External"/><Relationship Id="rId2966" Type="http://schemas.openxmlformats.org/officeDocument/2006/relationships/hyperlink" Target="https://www.gigabyte.com/Graphics-Card/GV-N3090AORUSX-W-24GD" TargetMode="External"/><Relationship Id="rId1636" Type="http://schemas.openxmlformats.org/officeDocument/2006/relationships/hyperlink" Target="https://www.asus.com/Motherboards-Components/Graphics-Cards/KO/KO-RTX3060-12G-V2-GAMING/" TargetMode="External"/><Relationship Id="rId2967" Type="http://schemas.openxmlformats.org/officeDocument/2006/relationships/hyperlink" Target="https://www.gigabyte.com/Graphics-Card/GV-N3090AORUSX-WB-24GD" TargetMode="External"/><Relationship Id="rId1637" Type="http://schemas.openxmlformats.org/officeDocument/2006/relationships/hyperlink" Target="https://www.asus.com/Motherboards-Components/Graphics-Cards/KO/KO-RTX3060-O12G-GAMING/" TargetMode="External"/><Relationship Id="rId2968" Type="http://schemas.openxmlformats.org/officeDocument/2006/relationships/hyperlink" Target="https://www.inno3d.com/en/product_detail/page/39164a1d42075dde991c8e676026aea71249c688652a6a73e359f85e9222deb6" TargetMode="External"/><Relationship Id="rId1638" Type="http://schemas.openxmlformats.org/officeDocument/2006/relationships/hyperlink" Target="https://www.asus.com/Motherboards-Components/Graphics-Cards/KO/KO-RTX3060-O12G-V2-GAMING/" TargetMode="External"/><Relationship Id="rId2969" Type="http://schemas.openxmlformats.org/officeDocument/2006/relationships/hyperlink" Target="https://www.inno3d.com/en/product_detail/page/8fdb85f90b651bcc7cf916f31457b4ed27e1596ca65fac82f21f7c7b2e7925a7" TargetMode="External"/><Relationship Id="rId929" Type="http://schemas.openxmlformats.org/officeDocument/2006/relationships/hyperlink" Target="https://www.galax.com/en/" TargetMode="External"/><Relationship Id="rId1639" Type="http://schemas.openxmlformats.org/officeDocument/2006/relationships/hyperlink" Target="https://www.asus.com/Motherboards-Components/Graphics-Cards/TUF-Gaming/TUF-RTX3060-12G-GAMING/" TargetMode="External"/><Relationship Id="rId928" Type="http://schemas.openxmlformats.org/officeDocument/2006/relationships/hyperlink" Target="http://www.szgalaxy.com/__ZH_GB__/Product5/ProductDetail?proID=803" TargetMode="External"/><Relationship Id="rId927" Type="http://schemas.openxmlformats.org/officeDocument/2006/relationships/hyperlink" Target="https://www.galax.com/en/" TargetMode="External"/><Relationship Id="rId926" Type="http://schemas.openxmlformats.org/officeDocument/2006/relationships/hyperlink" Target="http://www.szgalaxy.com/__ZH_GB__/Product5/ProductDetail?proID=804" TargetMode="External"/><Relationship Id="rId921" Type="http://schemas.openxmlformats.org/officeDocument/2006/relationships/hyperlink" Target="http://www.gainward.com/main/vgapro.php?id=1146&amp;lang=en" TargetMode="External"/><Relationship Id="rId920" Type="http://schemas.openxmlformats.org/officeDocument/2006/relationships/hyperlink" Target="http://www.gainward.cn/Home/ProductDetail?id=292&amp;isStop=0" TargetMode="External"/><Relationship Id="rId925" Type="http://schemas.openxmlformats.org/officeDocument/2006/relationships/hyperlink" Target="https://www.galax.com/en/" TargetMode="External"/><Relationship Id="rId924" Type="http://schemas.openxmlformats.org/officeDocument/2006/relationships/hyperlink" Target="http://www.szgalaxy.com/__ZH_GB__/Product5/ProductDetail?proID=805" TargetMode="External"/><Relationship Id="rId923" Type="http://schemas.openxmlformats.org/officeDocument/2006/relationships/hyperlink" Target="https://www.galax.com/en/" TargetMode="External"/><Relationship Id="rId922" Type="http://schemas.openxmlformats.org/officeDocument/2006/relationships/hyperlink" Target="http://www.gainward.com/main/vgapro.php?id=1145&amp;lang=en" TargetMode="External"/><Relationship Id="rId2960" Type="http://schemas.openxmlformats.org/officeDocument/2006/relationships/hyperlink" Target="https://www.gigabyte.com/Graphics-Card/GV-N3090EAGLE-OC-24GD" TargetMode="External"/><Relationship Id="rId1630" Type="http://schemas.openxmlformats.org/officeDocument/2006/relationships/hyperlink" Target="https://www.msi.com/Graphics-Card/GeForce-RTX-3060-VENTUS-2X-8G" TargetMode="External"/><Relationship Id="rId2961" Type="http://schemas.openxmlformats.org/officeDocument/2006/relationships/hyperlink" Target="https://www.gigabyte.com/Graphics-Card/GV-N3090GAMING-OC-24GD" TargetMode="External"/><Relationship Id="rId1620" Type="http://schemas.openxmlformats.org/officeDocument/2006/relationships/hyperlink" Target="https://www.zotac.com/hk/product/graphics_card/zotac-gaming-geforce-rtx-3050-twin-edge" TargetMode="External"/><Relationship Id="rId2951" Type="http://schemas.openxmlformats.org/officeDocument/2006/relationships/hyperlink" Target="https://www.galax.com/en/" TargetMode="External"/><Relationship Id="rId1621" Type="http://schemas.openxmlformats.org/officeDocument/2006/relationships/hyperlink" Target="https://www.zotac.com/hk/product/graphics_card/zotac-gaming-geforce-rtx-3050-twin-edge-oc" TargetMode="External"/><Relationship Id="rId2952" Type="http://schemas.openxmlformats.org/officeDocument/2006/relationships/hyperlink" Target="https://www.galax.com/en/graphics-card/30-series/geforce-rtx-3090-exg-w.html" TargetMode="External"/><Relationship Id="rId1622" Type="http://schemas.openxmlformats.org/officeDocument/2006/relationships/hyperlink" Target="https://en.colorful.cn/en/" TargetMode="External"/><Relationship Id="rId2953" Type="http://schemas.openxmlformats.org/officeDocument/2006/relationships/hyperlink" Target="https://www.galax.com/en/" TargetMode="External"/><Relationship Id="rId1623" Type="http://schemas.openxmlformats.org/officeDocument/2006/relationships/hyperlink" Target="https://en.colorful.cn/en/home/product?mid=102&amp;id=b2b9c121-0d54-4585-a9ef-d1199d9ca35a" TargetMode="External"/><Relationship Id="rId2954" Type="http://schemas.openxmlformats.org/officeDocument/2006/relationships/hyperlink" Target="https://www.galax.com/en/graphics-card/30-series/geforce-rtx-3090-hof.html" TargetMode="External"/><Relationship Id="rId1624" Type="http://schemas.openxmlformats.org/officeDocument/2006/relationships/hyperlink" Target="https://en.colorful.cn/en/" TargetMode="External"/><Relationship Id="rId2955" Type="http://schemas.openxmlformats.org/officeDocument/2006/relationships/hyperlink" Target="https://www.galax.com/en/" TargetMode="External"/><Relationship Id="rId1625" Type="http://schemas.openxmlformats.org/officeDocument/2006/relationships/hyperlink" Target="https://en.colorful.cn/en/home/product?mid=102&amp;id=5df19e35-978a-4922-93c7-ffd69d472197" TargetMode="External"/><Relationship Id="rId2956" Type="http://schemas.openxmlformats.org/officeDocument/2006/relationships/hyperlink" Target="https://www.galax.com/en/graphics-card/30-series/geforce-rtx-3090-hof-pr.html" TargetMode="External"/><Relationship Id="rId1626" Type="http://schemas.openxmlformats.org/officeDocument/2006/relationships/hyperlink" Target="https://www.galax.com/en/" TargetMode="External"/><Relationship Id="rId2957" Type="http://schemas.openxmlformats.org/officeDocument/2006/relationships/hyperlink" Target="https://www.galax.com/en/" TargetMode="External"/><Relationship Id="rId1627" Type="http://schemas.openxmlformats.org/officeDocument/2006/relationships/hyperlink" Target="https://www.galax.com/en/graphics-card/30-series/3060-series/geforce-rtx-3060-oc-8gb.html" TargetMode="External"/><Relationship Id="rId2958" Type="http://schemas.openxmlformats.org/officeDocument/2006/relationships/hyperlink" Target="https://www.galax.com/en/graphics-card/30-series/geforce-rtx-3090-hof-le.html" TargetMode="External"/><Relationship Id="rId918" Type="http://schemas.openxmlformats.org/officeDocument/2006/relationships/hyperlink" Target="https://en.colorful.cn/en/" TargetMode="External"/><Relationship Id="rId1628" Type="http://schemas.openxmlformats.org/officeDocument/2006/relationships/hyperlink" Target="https://www.inno3d.com/en/PRODUCT_INNO3D_GEFORCE_RTX_3060_8GB_TWIN_X2_2" TargetMode="External"/><Relationship Id="rId2959" Type="http://schemas.openxmlformats.org/officeDocument/2006/relationships/hyperlink" Target="https://www.gigabyte.com/Graphics-Card/GV-N3090EAGLE-24GD" TargetMode="External"/><Relationship Id="rId917" Type="http://schemas.openxmlformats.org/officeDocument/2006/relationships/hyperlink" Target="https://www.asus.com/Motherboards-Components/Graphics-Cards/Dual/DUAL-RTX2060-O12G-EVO/" TargetMode="External"/><Relationship Id="rId1629" Type="http://schemas.openxmlformats.org/officeDocument/2006/relationships/hyperlink" Target="https://www.manli.com/en/product-detail-Manli_GeForce_RTX%E2%84%A2_3060_8GB_(M2500+N630)-314.html" TargetMode="External"/><Relationship Id="rId916" Type="http://schemas.openxmlformats.org/officeDocument/2006/relationships/hyperlink" Target="https://www.asus.com/Motherboards-Components/Graphics-Cards/Dual/DUAL-RTX2060-12G-EVO/" TargetMode="External"/><Relationship Id="rId915" Type="http://schemas.openxmlformats.org/officeDocument/2006/relationships/hyperlink" Target="https://www.zotac.com/product/graphics_card/zotac-gaming-geforce-rtx-2060-amp-extreme" TargetMode="External"/><Relationship Id="rId919" Type="http://schemas.openxmlformats.org/officeDocument/2006/relationships/hyperlink" Target="https://en.colorful.cn/product_show.aspx?mid=102&amp;id=1901" TargetMode="External"/><Relationship Id="rId910" Type="http://schemas.openxmlformats.org/officeDocument/2006/relationships/hyperlink" Target="https://www.msi.com/Graphics-card/GeForce-RTX-2060-GAMING-6G" TargetMode="External"/><Relationship Id="rId914" Type="http://schemas.openxmlformats.org/officeDocument/2006/relationships/hyperlink" Target="https://www.zotac.com/" TargetMode="External"/><Relationship Id="rId913" Type="http://schemas.openxmlformats.org/officeDocument/2006/relationships/hyperlink" Target="https://www.msi.com/Graphics-Card/GeForce-RTX-2060-GAMING-Z-6G-PLUS" TargetMode="External"/><Relationship Id="rId912" Type="http://schemas.openxmlformats.org/officeDocument/2006/relationships/hyperlink" Target="https://www.msi.com/Graphics-Card/GeForce-RTX-2060-GAMING-6G-PLUS" TargetMode="External"/><Relationship Id="rId911" Type="http://schemas.openxmlformats.org/officeDocument/2006/relationships/hyperlink" Target="https://www.msi.com/Graphics-card/GeForce-RTX-2060-GAMING-Z-6G" TargetMode="External"/><Relationship Id="rId2950" Type="http://schemas.openxmlformats.org/officeDocument/2006/relationships/hyperlink" Target="https://www.galax.com/en/graphics-card/30-series/geforce-rtx-3090-exg-p.html" TargetMode="External"/><Relationship Id="rId2900" Type="http://schemas.openxmlformats.org/officeDocument/2006/relationships/hyperlink" Target="https://www.emtekinc.co.kr/bbs/board.php?bo_table=product&amp;wr_id=2215" TargetMode="External"/><Relationship Id="rId2901" Type="http://schemas.openxmlformats.org/officeDocument/2006/relationships/hyperlink" Target="https://www.emtekinc.co.kr/" TargetMode="External"/><Relationship Id="rId2902" Type="http://schemas.openxmlformats.org/officeDocument/2006/relationships/hyperlink" Target="https://www.emtekinc.co.kr/bbs/board.php?bo_table=product&amp;wr_id=2180" TargetMode="External"/><Relationship Id="rId2903" Type="http://schemas.openxmlformats.org/officeDocument/2006/relationships/hyperlink" Target="https://www.evga.com/products/specs/gpu.aspx?pn=6B4F216A-4047-4B9F-8B76-DDF7BAA1877E" TargetMode="External"/><Relationship Id="rId2904" Type="http://schemas.openxmlformats.org/officeDocument/2006/relationships/hyperlink" Target="https://www.evga.com/products/specs/gpu.aspx?pn=0AF3074A-125D-41E4-A458-781632DED173" TargetMode="External"/><Relationship Id="rId2905" Type="http://schemas.openxmlformats.org/officeDocument/2006/relationships/hyperlink" Target="https://www.evga.com/products/specs/gpu.aspx?pn=33F1145E-3D3C-49DE-A475-88F3E9DF0115" TargetMode="External"/><Relationship Id="rId2906" Type="http://schemas.openxmlformats.org/officeDocument/2006/relationships/hyperlink" Target="https://www.evga.com/products/specs/gpu.aspx?pn=F62C60AD-FD39-4CCA-AB59-EAD120BDFF04" TargetMode="External"/><Relationship Id="rId2907" Type="http://schemas.openxmlformats.org/officeDocument/2006/relationships/hyperlink" Target="https://www.evga.com/products/specs/gpu.aspx?pn=E2763314-163F-4391-8935-EA2C5DFFD06B" TargetMode="External"/><Relationship Id="rId2908" Type="http://schemas.openxmlformats.org/officeDocument/2006/relationships/hyperlink" Target="https://www.evga.com/products/specs/gpu.aspx?pn=C6128C2F-04CE-4FB1-9340-180FF064FD05" TargetMode="External"/><Relationship Id="rId2909" Type="http://schemas.openxmlformats.org/officeDocument/2006/relationships/hyperlink" Target="https://www.evga.com/products/specs/gpu.aspx?pn=8AA48A4E-7FB1-4736-BF17-D3CED64CEC24" TargetMode="External"/><Relationship Id="rId2920" Type="http://schemas.openxmlformats.org/officeDocument/2006/relationships/hyperlink" Target="http://www.gainward.com/main/vgapro.php?id=1134&amp;lang=en" TargetMode="External"/><Relationship Id="rId2921" Type="http://schemas.openxmlformats.org/officeDocument/2006/relationships/hyperlink" Target="http://www.gainward.com/main/vgapro.php?id=1133&amp;lang=en" TargetMode="External"/><Relationship Id="rId2922" Type="http://schemas.openxmlformats.org/officeDocument/2006/relationships/hyperlink" Target="https://www.galax.com/en/" TargetMode="External"/><Relationship Id="rId2923" Type="http://schemas.openxmlformats.org/officeDocument/2006/relationships/hyperlink" Target="https://www.galax.com/en/" TargetMode="External"/><Relationship Id="rId2924" Type="http://schemas.openxmlformats.org/officeDocument/2006/relationships/hyperlink" Target="http://www.szgalaxy.com/__ZH_GB__/Product5/ProductDetail?proID=628" TargetMode="External"/><Relationship Id="rId2925" Type="http://schemas.openxmlformats.org/officeDocument/2006/relationships/hyperlink" Target="https://www.galax.com/en/" TargetMode="External"/><Relationship Id="rId2926" Type="http://schemas.openxmlformats.org/officeDocument/2006/relationships/hyperlink" Target="http://www.szgalaxy.com/__ZH_GB__/Product5/ProductDetail?proID=633" TargetMode="External"/><Relationship Id="rId2927" Type="http://schemas.openxmlformats.org/officeDocument/2006/relationships/hyperlink" Target="https://www.galax.com/en/" TargetMode="External"/><Relationship Id="rId2928" Type="http://schemas.openxmlformats.org/officeDocument/2006/relationships/hyperlink" Target="http://www.szgalaxy.com/__ZH_GB__/Product5/ProductDetail?proID=627" TargetMode="External"/><Relationship Id="rId2929" Type="http://schemas.openxmlformats.org/officeDocument/2006/relationships/hyperlink" Target="https://www.galax.com/en/" TargetMode="External"/><Relationship Id="rId2910" Type="http://schemas.openxmlformats.org/officeDocument/2006/relationships/hyperlink" Target="https://www.evga.com/products/specs/gpu.aspx?pn=B6684E73-054D-449D-B940-27EAD1655514" TargetMode="External"/><Relationship Id="rId2911" Type="http://schemas.openxmlformats.org/officeDocument/2006/relationships/hyperlink" Target="https://www.evga.com/products/specs/gpu.aspx?pn=0EB3EAC6-12C2-46EA-9B97-3D2703C5DB66" TargetMode="External"/><Relationship Id="rId2912" Type="http://schemas.openxmlformats.org/officeDocument/2006/relationships/hyperlink" Target="https://www.evga.com/products/specs/gpu.aspx?pn=FCE8D2C6-1D0D-4214-954A-7337FF6494D8" TargetMode="External"/><Relationship Id="rId2913" Type="http://schemas.openxmlformats.org/officeDocument/2006/relationships/hyperlink" Target="https://www.evga.com/products/specs/gpu.aspx?pn=38DA2FD2-B9A6-4DB5-9CD7-7DC9A99D3EB0" TargetMode="External"/><Relationship Id="rId2914" Type="http://schemas.openxmlformats.org/officeDocument/2006/relationships/hyperlink" Target="http://www.gainward.cn/Home/ProductDetail?id=204&amp;isStop=0" TargetMode="External"/><Relationship Id="rId2915" Type="http://schemas.openxmlformats.org/officeDocument/2006/relationships/hyperlink" Target="http://www.gainward.cn/Home/ProductDetail?id=203&amp;isStop=0" TargetMode="External"/><Relationship Id="rId2916" Type="http://schemas.openxmlformats.org/officeDocument/2006/relationships/hyperlink" Target="http://www.gainward.com/main/vgapro.php?id=1090&amp;lang=en" TargetMode="External"/><Relationship Id="rId2917" Type="http://schemas.openxmlformats.org/officeDocument/2006/relationships/hyperlink" Target="http://www.gainward.com/main/vgapro.php?id=1089&amp;lang=en" TargetMode="External"/><Relationship Id="rId2918" Type="http://schemas.openxmlformats.org/officeDocument/2006/relationships/hyperlink" Target="http://www.gainward.com/main/vgapro.php?id=1091&amp;lang=en" TargetMode="External"/><Relationship Id="rId2919" Type="http://schemas.openxmlformats.org/officeDocument/2006/relationships/hyperlink" Target="http://www.gainward.com/main/vgapro.php?id=1092&amp;lang=en" TargetMode="External"/><Relationship Id="rId1697" Type="http://schemas.openxmlformats.org/officeDocument/2006/relationships/hyperlink" Target="http://www.szgalaxy.com/__ZH_GB__/Product5/ProductDetail?proID=688" TargetMode="External"/><Relationship Id="rId1698" Type="http://schemas.openxmlformats.org/officeDocument/2006/relationships/hyperlink" Target="https://www.galax.com/en/" TargetMode="External"/><Relationship Id="rId1699" Type="http://schemas.openxmlformats.org/officeDocument/2006/relationships/hyperlink" Target="http://www.szgalaxy.com/__ZH_GB__/Product5/ProductDetail?proID=743" TargetMode="External"/><Relationship Id="rId866" Type="http://schemas.openxmlformats.org/officeDocument/2006/relationships/hyperlink" Target="https://en.colorful.cn/en/" TargetMode="External"/><Relationship Id="rId865" Type="http://schemas.openxmlformats.org/officeDocument/2006/relationships/hyperlink" Target="https://en.colorful.cn/product_show.aspx?mid=102&amp;id=1744" TargetMode="External"/><Relationship Id="rId864" Type="http://schemas.openxmlformats.org/officeDocument/2006/relationships/hyperlink" Target="https://en.colorful.cn/en/" TargetMode="External"/><Relationship Id="rId863" Type="http://schemas.openxmlformats.org/officeDocument/2006/relationships/hyperlink" Target="https://en.colorful.cn/product_show.aspx?mid=102&amp;id=1747" TargetMode="External"/><Relationship Id="rId869" Type="http://schemas.openxmlformats.org/officeDocument/2006/relationships/hyperlink" Target="https://en.colorful.cn/product_show.aspx?mid=102&amp;id=1748" TargetMode="External"/><Relationship Id="rId868" Type="http://schemas.openxmlformats.org/officeDocument/2006/relationships/hyperlink" Target="https://en.colorful.cn/en/" TargetMode="External"/><Relationship Id="rId867" Type="http://schemas.openxmlformats.org/officeDocument/2006/relationships/hyperlink" Target="https://en.colorful.cn/product_show.aspx?mid=102&amp;id=1743" TargetMode="External"/><Relationship Id="rId1690" Type="http://schemas.openxmlformats.org/officeDocument/2006/relationships/hyperlink" Target="http://www.gainward.com/main/vgapro.php?id=1106&amp;lang=en" TargetMode="External"/><Relationship Id="rId1691" Type="http://schemas.openxmlformats.org/officeDocument/2006/relationships/hyperlink" Target="http://www.gainward.com/main/vgapro.php?id=1105&amp;lang=en" TargetMode="External"/><Relationship Id="rId1692" Type="http://schemas.openxmlformats.org/officeDocument/2006/relationships/hyperlink" Target="https://www.galax.com/en/" TargetMode="External"/><Relationship Id="rId862" Type="http://schemas.openxmlformats.org/officeDocument/2006/relationships/hyperlink" Target="https://en.colorful.cn/en/" TargetMode="External"/><Relationship Id="rId1693" Type="http://schemas.openxmlformats.org/officeDocument/2006/relationships/hyperlink" Target="http://www.szgalaxy.com/__ZH_GB__/Product5/ProductDetail?proID=689" TargetMode="External"/><Relationship Id="rId861" Type="http://schemas.openxmlformats.org/officeDocument/2006/relationships/hyperlink" Target="https://en.colorful.cn/product_show.aspx?mid=102&amp;id=1746" TargetMode="External"/><Relationship Id="rId1694" Type="http://schemas.openxmlformats.org/officeDocument/2006/relationships/hyperlink" Target="https://www.galax.com/en/" TargetMode="External"/><Relationship Id="rId860" Type="http://schemas.openxmlformats.org/officeDocument/2006/relationships/hyperlink" Target="https://en.colorful.cn/en/" TargetMode="External"/><Relationship Id="rId1695" Type="http://schemas.openxmlformats.org/officeDocument/2006/relationships/hyperlink" Target="http://www.szgalaxy.com/__ZH_GB__/Product5/ProductDetail?proID=751" TargetMode="External"/><Relationship Id="rId1696" Type="http://schemas.openxmlformats.org/officeDocument/2006/relationships/hyperlink" Target="https://www.galax.com/en/" TargetMode="External"/><Relationship Id="rId1686" Type="http://schemas.openxmlformats.org/officeDocument/2006/relationships/hyperlink" Target="https://www.emtekinc.co.kr/bbs/board.php?bo_table=product&amp;wr_id=2243" TargetMode="External"/><Relationship Id="rId1687" Type="http://schemas.openxmlformats.org/officeDocument/2006/relationships/hyperlink" Target="http://www.gainward.cn/Home/ProductDetail?id=228&amp;isStop=0" TargetMode="External"/><Relationship Id="rId1688" Type="http://schemas.openxmlformats.org/officeDocument/2006/relationships/hyperlink" Target="http://www.gainward.cn/Home/ProductDetail?id=229&amp;isStop=0" TargetMode="External"/><Relationship Id="rId1689" Type="http://schemas.openxmlformats.org/officeDocument/2006/relationships/hyperlink" Target="http://www.gainward.cn/Home/ProductDetail?id=230&amp;isStop=0" TargetMode="External"/><Relationship Id="rId855" Type="http://schemas.openxmlformats.org/officeDocument/2006/relationships/hyperlink" Target="https://rog.asus.com/graphics-cards/graphics-cards/rog-strix/rog-strix-rtx2060-6g-evo-v2-gaming-model/" TargetMode="External"/><Relationship Id="rId854" Type="http://schemas.openxmlformats.org/officeDocument/2006/relationships/hyperlink" Target="https://rog.asus.com/Graphics-Cards/Graphics-Cards/ROG-Strix/ROG-STRIX-RTX2060-6G-EVO-GAMING-Model/" TargetMode="External"/><Relationship Id="rId853" Type="http://schemas.openxmlformats.org/officeDocument/2006/relationships/hyperlink" Target="https://rog.asus.com/Graphics-Cards/Graphics-Cards/ROG-Strix/ROG-STRIX-RTX2060-O6G-GAMING-Model/" TargetMode="External"/><Relationship Id="rId852" Type="http://schemas.openxmlformats.org/officeDocument/2006/relationships/hyperlink" Target="https://rog.asus.com/Graphics-Cards/Graphics-Cards/ROG-Strix/ROG-STRIX-RTX2060-A6G-GAMING-Model/" TargetMode="External"/><Relationship Id="rId859" Type="http://schemas.openxmlformats.org/officeDocument/2006/relationships/hyperlink" Target="https://en.colorful.cn/product_show.aspx?mid=102&amp;id=1745" TargetMode="External"/><Relationship Id="rId858" Type="http://schemas.openxmlformats.org/officeDocument/2006/relationships/hyperlink" Target="https://en.colorful.cn/en/" TargetMode="External"/><Relationship Id="rId857" Type="http://schemas.openxmlformats.org/officeDocument/2006/relationships/hyperlink" Target="https://rog.asus.com/Graphics-Cards/Graphics-Cards/ROG-Strix/ROG-STRIX-RTX2060-O6G-EVO-GAMING-Model/" TargetMode="External"/><Relationship Id="rId856" Type="http://schemas.openxmlformats.org/officeDocument/2006/relationships/hyperlink" Target="https://rog.asus.com/Graphics-Cards/Graphics-Cards/ROG-Strix/ROG-STRIX-RTX2060-A6G-EVO-GAMING-Model/" TargetMode="External"/><Relationship Id="rId1680" Type="http://schemas.openxmlformats.org/officeDocument/2006/relationships/hyperlink" Target="https://en.colorful.cn/en/home/product?mid=102&amp;id=1846" TargetMode="External"/><Relationship Id="rId1681" Type="http://schemas.openxmlformats.org/officeDocument/2006/relationships/hyperlink" Target="https://www.emtekinc.co.kr/" TargetMode="External"/><Relationship Id="rId851" Type="http://schemas.openxmlformats.org/officeDocument/2006/relationships/hyperlink" Target="https://rog.asus.com/Graphics-Cards/Graphics-Cards/ROG-Strix/ROG-STRIX-RTX2060-6G-GAMING-Model/" TargetMode="External"/><Relationship Id="rId1682" Type="http://schemas.openxmlformats.org/officeDocument/2006/relationships/hyperlink" Target="https://www.emtekinc.co.kr/bbs/board.php?bo_table=product&amp;wr_id=2233" TargetMode="External"/><Relationship Id="rId850" Type="http://schemas.openxmlformats.org/officeDocument/2006/relationships/hyperlink" Target="https://www.asus.com/motherboards-components/graphics-cards/all-series/DUAL-RTX2060-O6G-EVO" TargetMode="External"/><Relationship Id="rId1683" Type="http://schemas.openxmlformats.org/officeDocument/2006/relationships/hyperlink" Target="https://www.emtekinc.co.kr/" TargetMode="External"/><Relationship Id="rId1684" Type="http://schemas.openxmlformats.org/officeDocument/2006/relationships/hyperlink" Target="https://www.emtekinc.co.kr/html/dh_product/prd_detail/1593?&amp;cate_no=1-20-107" TargetMode="External"/><Relationship Id="rId1685" Type="http://schemas.openxmlformats.org/officeDocument/2006/relationships/hyperlink" Target="https://www.emtekinc.co.kr/" TargetMode="External"/><Relationship Id="rId3414" Type="http://schemas.openxmlformats.org/officeDocument/2006/relationships/hyperlink" Target="https://www.msi.com/Graphics-Card/GeForce-RTX-4070-GAMING-X-TRIO-12G" TargetMode="External"/><Relationship Id="rId3413" Type="http://schemas.openxmlformats.org/officeDocument/2006/relationships/hyperlink" Target="https://www.msi.com/Graphics-Card/GeForce-RTX-4070-GAMING-TRIO-12G" TargetMode="External"/><Relationship Id="rId3416" Type="http://schemas.openxmlformats.org/officeDocument/2006/relationships/hyperlink" Target="http://www.palit.com/palit/vgapro.php?id=4788&amp;lang=en" TargetMode="External"/><Relationship Id="rId3415" Type="http://schemas.openxmlformats.org/officeDocument/2006/relationships/hyperlink" Target="https://www.nvidia.com/en-us/geforce/graphics-cards/40-series/rtx-4070-4070ti/" TargetMode="External"/><Relationship Id="rId3418" Type="http://schemas.openxmlformats.org/officeDocument/2006/relationships/hyperlink" Target="https://www.palit.com/palit/vgapro.php?id=5181&amp;lang=en" TargetMode="External"/><Relationship Id="rId3417" Type="http://schemas.openxmlformats.org/officeDocument/2006/relationships/hyperlink" Target="http://www.palit.com/palit/vgapro.php?id=4798&amp;lang=en" TargetMode="External"/><Relationship Id="rId3419" Type="http://schemas.openxmlformats.org/officeDocument/2006/relationships/hyperlink" Target="http://www.palit.com/palit/vgapro.php?id=4778&amp;lang=en" TargetMode="External"/><Relationship Id="rId888" Type="http://schemas.openxmlformats.org/officeDocument/2006/relationships/hyperlink" Target="https://www.evga.com/products/specs/gpu.aspx?pn=81FF8FA9-4BD5-4114-9BF5-F9F76CEBAD27" TargetMode="External"/><Relationship Id="rId887" Type="http://schemas.openxmlformats.org/officeDocument/2006/relationships/hyperlink" Target="https://www.evga.com/products/specs/gpu.aspx?pn=48FE3669-10B3-46EB-A58D-18A76DF7896B" TargetMode="External"/><Relationship Id="rId886" Type="http://schemas.openxmlformats.org/officeDocument/2006/relationships/hyperlink" Target="https://www.evga.com/products/specs/gpu.aspx?pn=6AB53EE5-70FA-4B5E-8C9D-18FE8970DB32" TargetMode="External"/><Relationship Id="rId885" Type="http://schemas.openxmlformats.org/officeDocument/2006/relationships/hyperlink" Target="https://www.emtekinc.co.kr/bbs/board.php?bo_table=product&amp;wr_id=1987" TargetMode="External"/><Relationship Id="rId889" Type="http://schemas.openxmlformats.org/officeDocument/2006/relationships/hyperlink" Target="https://www.evga.com/products/specs/gpu.aspx?pn=AF7051DC-2F02-451A-B185-81C9825BE5C2" TargetMode="External"/><Relationship Id="rId880" Type="http://schemas.openxmlformats.org/officeDocument/2006/relationships/hyperlink" Target="https://www.emtekinc.co.kr/" TargetMode="External"/><Relationship Id="rId884" Type="http://schemas.openxmlformats.org/officeDocument/2006/relationships/hyperlink" Target="https://www.emtekinc.co.kr/" TargetMode="External"/><Relationship Id="rId3410" Type="http://schemas.openxmlformats.org/officeDocument/2006/relationships/hyperlink" Target="https://www.msi.com/Graphics-Card/GeForce-RTX-4070-GAMING-SLIM-WHITE-12G" TargetMode="External"/><Relationship Id="rId883" Type="http://schemas.openxmlformats.org/officeDocument/2006/relationships/hyperlink" Target="https://www.emtekinc.co.kr/bbs/board.php?bo_table=product&amp;wr_id=1988" TargetMode="External"/><Relationship Id="rId882" Type="http://schemas.openxmlformats.org/officeDocument/2006/relationships/hyperlink" Target="https://www.emtekinc.co.kr/" TargetMode="External"/><Relationship Id="rId3412" Type="http://schemas.openxmlformats.org/officeDocument/2006/relationships/hyperlink" Target="https://www.msi.com/Graphics-Card/GeForce-RTX-4070-GAMING-X-SLIM-WHITE-12G" TargetMode="External"/><Relationship Id="rId881" Type="http://schemas.openxmlformats.org/officeDocument/2006/relationships/hyperlink" Target="https://www.emtekinc.co.kr/bbs/board.php?bo_table=product&amp;wr_id=1981" TargetMode="External"/><Relationship Id="rId3411" Type="http://schemas.openxmlformats.org/officeDocument/2006/relationships/hyperlink" Target="https://www.msi.com/Graphics-Card/GeForce-RTX-4070-GAMING-X-SLIM-12G" TargetMode="External"/><Relationship Id="rId3403" Type="http://schemas.openxmlformats.org/officeDocument/2006/relationships/hyperlink" Target="https://www.msi.com/Graphics-Card/GeForce-RTX-4070-VENTUS-2X-E-12G" TargetMode="External"/><Relationship Id="rId3402" Type="http://schemas.openxmlformats.org/officeDocument/2006/relationships/hyperlink" Target="https://www.msi.com/Graphics-Card/GeForce-RTX-4070-VENTUS-2X-WHITE-12G-OC" TargetMode="External"/><Relationship Id="rId3405" Type="http://schemas.openxmlformats.org/officeDocument/2006/relationships/hyperlink" Target="https://www.msi.com/Graphics-Card/GeForce-RTX-4070-VENTUS-3X-12G" TargetMode="External"/><Relationship Id="rId3404" Type="http://schemas.openxmlformats.org/officeDocument/2006/relationships/hyperlink" Target="https://www.msi.com/Graphics-Card/GeForce-RTX-4070-VENTUS-2X-E-12G-OC" TargetMode="External"/><Relationship Id="rId3407" Type="http://schemas.openxmlformats.org/officeDocument/2006/relationships/hyperlink" Target="https://www.msi.com/Graphics-Card/GeForce-RTX-4070-VENTUS-3X-E-12G" TargetMode="External"/><Relationship Id="rId3406" Type="http://schemas.openxmlformats.org/officeDocument/2006/relationships/hyperlink" Target="https://www.msi.com/Graphics-Card/GeForce-RTX-4070-VENTUS-3X-12G-OC" TargetMode="External"/><Relationship Id="rId3409" Type="http://schemas.openxmlformats.org/officeDocument/2006/relationships/hyperlink" Target="https://www.msi.com/Graphics-Card/GeForce-RTX-4070-GAMING-SLIM-12G" TargetMode="External"/><Relationship Id="rId3408" Type="http://schemas.openxmlformats.org/officeDocument/2006/relationships/hyperlink" Target="https://www.msi.com/Graphics-Card/GeForce-RTX-4070-VENTUS-3X-E-12G-OC" TargetMode="External"/><Relationship Id="rId877" Type="http://schemas.openxmlformats.org/officeDocument/2006/relationships/hyperlink" Target="https://www.emtekinc.co.kr/bbs/board.php?bo_table=product&amp;wr_id=1995" TargetMode="External"/><Relationship Id="rId876" Type="http://schemas.openxmlformats.org/officeDocument/2006/relationships/hyperlink" Target="https://www.emtekinc.co.kr/" TargetMode="External"/><Relationship Id="rId875" Type="http://schemas.openxmlformats.org/officeDocument/2006/relationships/hyperlink" Target="https://www.emtekinc.co.kr/bbs/board.php?bo_table=product&amp;wr_id=2231" TargetMode="External"/><Relationship Id="rId874" Type="http://schemas.openxmlformats.org/officeDocument/2006/relationships/hyperlink" Target="https://www.emtekinc.co.kr/" TargetMode="External"/><Relationship Id="rId879" Type="http://schemas.openxmlformats.org/officeDocument/2006/relationships/hyperlink" Target="https://www.emtekinc.co.kr/bbs/board.php?bo_table=product&amp;wr_id=1967" TargetMode="External"/><Relationship Id="rId878" Type="http://schemas.openxmlformats.org/officeDocument/2006/relationships/hyperlink" Target="https://www.emtekinc.co.kr/" TargetMode="External"/><Relationship Id="rId873" Type="http://schemas.openxmlformats.org/officeDocument/2006/relationships/hyperlink" Target="https://www.emtekinc.co.kr/bbs/board.php?bo_table=product&amp;wr_id=2211" TargetMode="External"/><Relationship Id="rId872" Type="http://schemas.openxmlformats.org/officeDocument/2006/relationships/hyperlink" Target="https://www.emtekinc.co.kr/" TargetMode="External"/><Relationship Id="rId871" Type="http://schemas.openxmlformats.org/officeDocument/2006/relationships/hyperlink" Target="https://www.emtekinc.co.kr/bbs/board.php?bo_table=product&amp;wr_id=2052" TargetMode="External"/><Relationship Id="rId3401" Type="http://schemas.openxmlformats.org/officeDocument/2006/relationships/hyperlink" Target="https://www.msi.com/Graphics-Card/GeForce-RTX-4070-VENTUS-2X-12G-OC" TargetMode="External"/><Relationship Id="rId870" Type="http://schemas.openxmlformats.org/officeDocument/2006/relationships/hyperlink" Target="https://www.emtekinc.co.kr/" TargetMode="External"/><Relationship Id="rId3400" Type="http://schemas.openxmlformats.org/officeDocument/2006/relationships/hyperlink" Target="https://www.msi.com/Graphics-Card/GeForce-RTX-4070-VENTUS-2X-WHITE-12G" TargetMode="External"/><Relationship Id="rId1653" Type="http://schemas.openxmlformats.org/officeDocument/2006/relationships/hyperlink" Target="https://en.colorful.cn/en/" TargetMode="External"/><Relationship Id="rId2984" Type="http://schemas.openxmlformats.org/officeDocument/2006/relationships/hyperlink" Target="https://www.nvidia.com/en-us/geforce/graphics-cards/30-series/rtx-3090-3090ti/" TargetMode="External"/><Relationship Id="rId1654" Type="http://schemas.openxmlformats.org/officeDocument/2006/relationships/hyperlink" Target="https://en.colorful.cn/en/home/product?mid=102&amp;id=1848" TargetMode="External"/><Relationship Id="rId2985" Type="http://schemas.openxmlformats.org/officeDocument/2006/relationships/hyperlink" Target="http://www.palit.com/palit/vgapro.php?id=3731&amp;lang=en" TargetMode="External"/><Relationship Id="rId1655" Type="http://schemas.openxmlformats.org/officeDocument/2006/relationships/hyperlink" Target="https://en.colorful.cn/en/" TargetMode="External"/><Relationship Id="rId2986" Type="http://schemas.openxmlformats.org/officeDocument/2006/relationships/hyperlink" Target="http://www.palit.com/palit/vgapro.php?id=3755&amp;lang=en" TargetMode="External"/><Relationship Id="rId1656" Type="http://schemas.openxmlformats.org/officeDocument/2006/relationships/hyperlink" Target="https://en.colorful.cn/en/home/product?mid=102&amp;id=1877" TargetMode="External"/><Relationship Id="rId2987" Type="http://schemas.openxmlformats.org/officeDocument/2006/relationships/hyperlink" Target="http://www.palit.com/palit/vgapro.php?id=3795&amp;lang=en" TargetMode="External"/><Relationship Id="rId1657" Type="http://schemas.openxmlformats.org/officeDocument/2006/relationships/hyperlink" Target="https://en.colorful.cn/en/" TargetMode="External"/><Relationship Id="rId2988" Type="http://schemas.openxmlformats.org/officeDocument/2006/relationships/hyperlink" Target="http://www.palit.com/palit/vgapro.php?id=3803&amp;lang=en" TargetMode="External"/><Relationship Id="rId1658" Type="http://schemas.openxmlformats.org/officeDocument/2006/relationships/hyperlink" Target="https://en.colorful.cn/en/home/product?mid=102&amp;id=1839" TargetMode="External"/><Relationship Id="rId2989" Type="http://schemas.openxmlformats.org/officeDocument/2006/relationships/hyperlink" Target="https://www.pny.com/geforce-rtx-3090-xlr8-gaming-epic-x-rgb-triple-fan-p" TargetMode="External"/><Relationship Id="rId1659" Type="http://schemas.openxmlformats.org/officeDocument/2006/relationships/hyperlink" Target="https://en.colorful.cn/en/" TargetMode="External"/><Relationship Id="rId829" Type="http://schemas.openxmlformats.org/officeDocument/2006/relationships/hyperlink" Target="https://www.inno3d.com/en/product_detail/page/0b12207426376a217a41f851b2aaaefdebb8484952b28b7bd6599f831f3e260f" TargetMode="External"/><Relationship Id="rId828" Type="http://schemas.openxmlformats.org/officeDocument/2006/relationships/hyperlink" Target="https://www.gigabyte.com/Graphics-Card/GV-N166TAORUS-6GD" TargetMode="External"/><Relationship Id="rId827" Type="http://schemas.openxmlformats.org/officeDocument/2006/relationships/hyperlink" Target="https://www.gigabyte.com/Graphics-Card/GV-N166TGAMING-OC-6GD" TargetMode="External"/><Relationship Id="rId822" Type="http://schemas.openxmlformats.org/officeDocument/2006/relationships/hyperlink" Target="https://www.evga.com/products/specs/gpu.aspx?pn=DF4B5ABD-F27D-479F-AE19-EB1B523A6E66" TargetMode="External"/><Relationship Id="rId821" Type="http://schemas.openxmlformats.org/officeDocument/2006/relationships/hyperlink" Target="https://www.evga.com/products/specs/gpu.aspx?pn=CEA5FFBA-6A04-4822-862B-DFEE6A1FD138" TargetMode="External"/><Relationship Id="rId820" Type="http://schemas.openxmlformats.org/officeDocument/2006/relationships/hyperlink" Target="https://www.emtekinc.co.kr/bbs/board.php?bo_table=product&amp;wr_id=1998" TargetMode="External"/><Relationship Id="rId826" Type="http://schemas.openxmlformats.org/officeDocument/2006/relationships/hyperlink" Target="https://www.gigabyte.com/Graphics-Card/GV-N166TWF2OC-6GD" TargetMode="External"/><Relationship Id="rId825" Type="http://schemas.openxmlformats.org/officeDocument/2006/relationships/hyperlink" Target="https://www.gigabyte.com/Graphics-Card/GV-N166TWF2-6GD" TargetMode="External"/><Relationship Id="rId824" Type="http://schemas.openxmlformats.org/officeDocument/2006/relationships/hyperlink" Target="https://www.galax.com/en/" TargetMode="External"/><Relationship Id="rId823" Type="http://schemas.openxmlformats.org/officeDocument/2006/relationships/hyperlink" Target="https://www.galax.com/en/" TargetMode="External"/><Relationship Id="rId2980" Type="http://schemas.openxmlformats.org/officeDocument/2006/relationships/hyperlink" Target="https://www.msi.com/Graphics-Card/GeForce-RTX-3090-GAMING-TRIO-24G" TargetMode="External"/><Relationship Id="rId1650" Type="http://schemas.openxmlformats.org/officeDocument/2006/relationships/hyperlink" Target="https://www.colorful.cn/product_show.aspx?mid=102&amp;id=1821" TargetMode="External"/><Relationship Id="rId2981" Type="http://schemas.openxmlformats.org/officeDocument/2006/relationships/hyperlink" Target="https://www.msi.com/Graphics-Card/GeForce-RTX-3090-GAMING-X-TRIO-24G" TargetMode="External"/><Relationship Id="rId1651" Type="http://schemas.openxmlformats.org/officeDocument/2006/relationships/hyperlink" Target="https://en.colorful.cn/en/" TargetMode="External"/><Relationship Id="rId2982" Type="http://schemas.openxmlformats.org/officeDocument/2006/relationships/hyperlink" Target="https://www.msi.com/Graphics-Card/GeForce-RTX-3090-SUPRIM-24G" TargetMode="External"/><Relationship Id="rId1652" Type="http://schemas.openxmlformats.org/officeDocument/2006/relationships/hyperlink" Target="https://en.colorful.cn/en/home/product?mid=102&amp;id=1843" TargetMode="External"/><Relationship Id="rId2983" Type="http://schemas.openxmlformats.org/officeDocument/2006/relationships/hyperlink" Target="https://www.msi.com/Graphics-Card/GeForce-RTX-3090-SUPRIM-X-24G" TargetMode="External"/><Relationship Id="rId1642" Type="http://schemas.openxmlformats.org/officeDocument/2006/relationships/hyperlink" Target="https://www.asus.com/Motherboards-Components/Graphics-Cards/TUF-Gaming/TUF-RTX3060-O12G-V2-GAMING/" TargetMode="External"/><Relationship Id="rId2973" Type="http://schemas.openxmlformats.org/officeDocument/2006/relationships/hyperlink" Target="https://www.leadtek.com/eng/" TargetMode="External"/><Relationship Id="rId1643" Type="http://schemas.openxmlformats.org/officeDocument/2006/relationships/hyperlink" Target="https://rog.asus.com/Graphics-Cards/Graphics-Cards/ROG-Strix/ROG-STRIX-RTX3060-12G-GAMING-Model/" TargetMode="External"/><Relationship Id="rId2974" Type="http://schemas.openxmlformats.org/officeDocument/2006/relationships/hyperlink" Target="https://www.leadtek.com/eng/products/graphics_cards(1)/WinFast_RTX_3090_HURRICANE(30892)/detail" TargetMode="External"/><Relationship Id="rId1644" Type="http://schemas.openxmlformats.org/officeDocument/2006/relationships/hyperlink" Target="https://rog.asus.com/graphics-cards/graphics-cards/rog-strix/rog-strix-rtx3060-12g-v2-gaming-model/" TargetMode="External"/><Relationship Id="rId2975" Type="http://schemas.openxmlformats.org/officeDocument/2006/relationships/hyperlink" Target="https://www.manli.com/en/product-detail-Manli_GeForce_RTX_3090_(M3478+N613-00)-233.html" TargetMode="External"/><Relationship Id="rId1645" Type="http://schemas.openxmlformats.org/officeDocument/2006/relationships/hyperlink" Target="https://rog.asus.com/Graphics-Cards/Graphics-Cards/ROG-Strix/ROG-STRIX-RTX3060-O12G-GAMING-Model/" TargetMode="External"/><Relationship Id="rId2976" Type="http://schemas.openxmlformats.org/officeDocument/2006/relationships/hyperlink" Target="https://www.manli.com/en/product-detail-Manli_GeForce_RTX_3090_Gallardo_(M3478+N613-00)-243.html" TargetMode="External"/><Relationship Id="rId1646" Type="http://schemas.openxmlformats.org/officeDocument/2006/relationships/hyperlink" Target="https://rog.asus.com/graphics-cards/graphics-cards/rog-strix/rog-strix-rtx3060-o12g-v2-gaming-model/" TargetMode="External"/><Relationship Id="rId2977" Type="http://schemas.openxmlformats.org/officeDocument/2006/relationships/hyperlink" Target="https://www.manli.com/en/product-detail-Manli_GeForce_RTX_3090_Gallardo_(M3486+N613-00)-259.html" TargetMode="External"/><Relationship Id="rId1647" Type="http://schemas.openxmlformats.org/officeDocument/2006/relationships/hyperlink" Target="https://en.colorful.cn/en/" TargetMode="External"/><Relationship Id="rId2978" Type="http://schemas.openxmlformats.org/officeDocument/2006/relationships/hyperlink" Target="https://www.msi.com/Graphics-Card/GeForce-RTX-3090-VENTUS-3X-24G" TargetMode="External"/><Relationship Id="rId1648" Type="http://schemas.openxmlformats.org/officeDocument/2006/relationships/hyperlink" Target="https://www.colorful.cn/product_show.aspx?mid=102&amp;id=1808" TargetMode="External"/><Relationship Id="rId2979" Type="http://schemas.openxmlformats.org/officeDocument/2006/relationships/hyperlink" Target="https://www.msi.com/Graphics-Card/GeForce-RTX-3090-VENTUS-3X-24G-OC" TargetMode="External"/><Relationship Id="rId1649" Type="http://schemas.openxmlformats.org/officeDocument/2006/relationships/hyperlink" Target="https://en.colorful.cn/en/" TargetMode="External"/><Relationship Id="rId819" Type="http://schemas.openxmlformats.org/officeDocument/2006/relationships/hyperlink" Target="https://www.emtekinc.co.kr/" TargetMode="External"/><Relationship Id="rId818" Type="http://schemas.openxmlformats.org/officeDocument/2006/relationships/hyperlink" Target="https://www.emtekinc.co.kr/bbs/board.php?bo_table=product&amp;wr_id=2000" TargetMode="External"/><Relationship Id="rId817" Type="http://schemas.openxmlformats.org/officeDocument/2006/relationships/hyperlink" Target="https://www.emtekinc.co.kr/" TargetMode="External"/><Relationship Id="rId816" Type="http://schemas.openxmlformats.org/officeDocument/2006/relationships/hyperlink" Target="https://www.emtekinc.co.kr/bbs/board.php?bo_table=product&amp;wr_id=1991" TargetMode="External"/><Relationship Id="rId811" Type="http://schemas.openxmlformats.org/officeDocument/2006/relationships/hyperlink" Target="https://www.emtekinc.co.kr/" TargetMode="External"/><Relationship Id="rId810" Type="http://schemas.openxmlformats.org/officeDocument/2006/relationships/hyperlink" Target="https://en.colorful.cn/product_show.aspx?mid=102&amp;id=1753" TargetMode="External"/><Relationship Id="rId815" Type="http://schemas.openxmlformats.org/officeDocument/2006/relationships/hyperlink" Target="https://www.emtekinc.co.kr/" TargetMode="External"/><Relationship Id="rId814" Type="http://schemas.openxmlformats.org/officeDocument/2006/relationships/hyperlink" Target="https://www.emtekinc.co.kr/bbs/board.php?bo_table=product&amp;wr_id=2177" TargetMode="External"/><Relationship Id="rId813" Type="http://schemas.openxmlformats.org/officeDocument/2006/relationships/hyperlink" Target="https://www.emtekinc.co.kr/" TargetMode="External"/><Relationship Id="rId812" Type="http://schemas.openxmlformats.org/officeDocument/2006/relationships/hyperlink" Target="https://www.emtekinc.co.kr/bbs/board.php?bo_table=product&amp;wr_id=2195" TargetMode="External"/><Relationship Id="rId2970" Type="http://schemas.openxmlformats.org/officeDocument/2006/relationships/hyperlink" Target="https://www.inno3d.com/en/product_detail/page/9c350a8e3663655b35676a05baff108d10c877390f7a55f11e5277441867aff8" TargetMode="External"/><Relationship Id="rId1640" Type="http://schemas.openxmlformats.org/officeDocument/2006/relationships/hyperlink" Target="https://www.asus.com/Motherboards-Components/Graphics-Cards/TUF-Gaming/TUF-RTX3060-12G-V2-GAMING/" TargetMode="External"/><Relationship Id="rId2971" Type="http://schemas.openxmlformats.org/officeDocument/2006/relationships/hyperlink" Target="https://www.inno3d.com/en/product_detail/page/0a23e4f73fe76d2829c14a5df0b1d74946ec74029905d494403b00da6168d8f2" TargetMode="External"/><Relationship Id="rId1641" Type="http://schemas.openxmlformats.org/officeDocument/2006/relationships/hyperlink" Target="https://www.asus.com/Motherboards-Components/Graphics-Cards/TUF-Gaming/TUF-RTX3060-O12G-GAMING/" TargetMode="External"/><Relationship Id="rId2972" Type="http://schemas.openxmlformats.org/officeDocument/2006/relationships/hyperlink" Target="https://www.inno3d.com/en/product_detail/page/d709dbbf29e7d26d4c1a6832f3ffed3c0f208587eca4c98ce72731254c300815" TargetMode="External"/><Relationship Id="rId1675" Type="http://schemas.openxmlformats.org/officeDocument/2006/relationships/hyperlink" Target="https://en.colorful.cn/en/" TargetMode="External"/><Relationship Id="rId1676" Type="http://schemas.openxmlformats.org/officeDocument/2006/relationships/hyperlink" Target="https://www.colorful.cn/product_show.aspx?mid=102&amp;id=1820" TargetMode="External"/><Relationship Id="rId1677" Type="http://schemas.openxmlformats.org/officeDocument/2006/relationships/hyperlink" Target="https://en.colorful.cn/en/" TargetMode="External"/><Relationship Id="rId1678" Type="http://schemas.openxmlformats.org/officeDocument/2006/relationships/hyperlink" Target="https://en.colorful.cn/en/home/product?mid=102&amp;id=1837" TargetMode="External"/><Relationship Id="rId1679" Type="http://schemas.openxmlformats.org/officeDocument/2006/relationships/hyperlink" Target="https://en.colorful.cn/en/" TargetMode="External"/><Relationship Id="rId849" Type="http://schemas.openxmlformats.org/officeDocument/2006/relationships/hyperlink" Target="https://www.asus.com/motherboards-components/graphics-cards/all-series/DUAL-RTX2060-A6G-EVO" TargetMode="External"/><Relationship Id="rId844" Type="http://schemas.openxmlformats.org/officeDocument/2006/relationships/hyperlink" Target="https://www.asus.com/motherboards-components/graphics-cards/all-series/TURBO-RTX2060-6G" TargetMode="External"/><Relationship Id="rId843" Type="http://schemas.openxmlformats.org/officeDocument/2006/relationships/hyperlink" Target="http://www.pcasl.com/pd.jsp?id=118" TargetMode="External"/><Relationship Id="rId842" Type="http://schemas.openxmlformats.org/officeDocument/2006/relationships/hyperlink" Target="http://www.pcasl.com/index.jsp" TargetMode="External"/><Relationship Id="rId841" Type="http://schemas.openxmlformats.org/officeDocument/2006/relationships/hyperlink" Target="http://www.pcasl.com/pd.jsp?id=102" TargetMode="External"/><Relationship Id="rId848" Type="http://schemas.openxmlformats.org/officeDocument/2006/relationships/hyperlink" Target="https://www.asus.com/motherboards-components/graphics-cards/all-series/DUAL-RTX2060-6G-EVO" TargetMode="External"/><Relationship Id="rId847" Type="http://schemas.openxmlformats.org/officeDocument/2006/relationships/hyperlink" Target="https://www.asus.com/Graphics-Cards/DUAL-RTX2060-O6G/" TargetMode="External"/><Relationship Id="rId846" Type="http://schemas.openxmlformats.org/officeDocument/2006/relationships/hyperlink" Target="https://www.asus.com/motherboards-components/graphics-cards/all-series/DUAL-RTX2060-A6G" TargetMode="External"/><Relationship Id="rId845" Type="http://schemas.openxmlformats.org/officeDocument/2006/relationships/hyperlink" Target="https://www.asus.com/Graphics-Cards/DUAL-RTX2060-6G/" TargetMode="External"/><Relationship Id="rId1670" Type="http://schemas.openxmlformats.org/officeDocument/2006/relationships/hyperlink" Target="https://en.colorful.cn/en/home/product?mid=102&amp;id=1838" TargetMode="External"/><Relationship Id="rId840" Type="http://schemas.openxmlformats.org/officeDocument/2006/relationships/hyperlink" Target="http://www.pcasl.com/index.jsp" TargetMode="External"/><Relationship Id="rId1671" Type="http://schemas.openxmlformats.org/officeDocument/2006/relationships/hyperlink" Target="https://en.colorful.cn/en/" TargetMode="External"/><Relationship Id="rId1672" Type="http://schemas.openxmlformats.org/officeDocument/2006/relationships/hyperlink" Target="https://en.colorful.cn/en/home/product?mid=102&amp;id=1847" TargetMode="External"/><Relationship Id="rId1673" Type="http://schemas.openxmlformats.org/officeDocument/2006/relationships/hyperlink" Target="https://en.colorful.cn/en/" TargetMode="External"/><Relationship Id="rId1674" Type="http://schemas.openxmlformats.org/officeDocument/2006/relationships/hyperlink" Target="https://www.colorful.cn/product_show.aspx?mid=102&amp;id=1818" TargetMode="External"/><Relationship Id="rId1664" Type="http://schemas.openxmlformats.org/officeDocument/2006/relationships/hyperlink" Target="https://en.colorful.cn/en/home/product?mid=102&amp;id=1845" TargetMode="External"/><Relationship Id="rId2995" Type="http://schemas.openxmlformats.org/officeDocument/2006/relationships/hyperlink" Target="https://www.zotac.com/product/graphics_card/zotac-gaming-geforce-rtx-3090-trinity-oc" TargetMode="External"/><Relationship Id="rId1665" Type="http://schemas.openxmlformats.org/officeDocument/2006/relationships/hyperlink" Target="https://en.colorful.cn/en/" TargetMode="External"/><Relationship Id="rId2996" Type="http://schemas.openxmlformats.org/officeDocument/2006/relationships/hyperlink" Target="https://www.zotac.com/product/graphics_card/zotac-gaming-geforce-rtx-3090-amp-core-holo" TargetMode="External"/><Relationship Id="rId1666" Type="http://schemas.openxmlformats.org/officeDocument/2006/relationships/hyperlink" Target="https://www.colorful.cn/product_show.aspx?mid=102&amp;id=1807" TargetMode="External"/><Relationship Id="rId2997" Type="http://schemas.openxmlformats.org/officeDocument/2006/relationships/hyperlink" Target="https://www.zotac.com/hk/product/graphics_card/zotac-gaming-geforce-rtx-3090-amp-extreme-holo" TargetMode="External"/><Relationship Id="rId1667" Type="http://schemas.openxmlformats.org/officeDocument/2006/relationships/hyperlink" Target="https://en.colorful.cn/en/" TargetMode="External"/><Relationship Id="rId2998" Type="http://schemas.openxmlformats.org/officeDocument/2006/relationships/hyperlink" Target="https://www.zotac.com/product/graphics_card/zotac-gaming-geforce-rtx-3090-arcticstorm" TargetMode="External"/><Relationship Id="rId1668" Type="http://schemas.openxmlformats.org/officeDocument/2006/relationships/hyperlink" Target="https://www.colorful.cn/product_show.aspx?mid=102&amp;id=1825" TargetMode="External"/><Relationship Id="rId2999" Type="http://schemas.openxmlformats.org/officeDocument/2006/relationships/hyperlink" Target="https://www.asus.com/Motherboards-Components/Graphics-Cards/TUF-Gaming/TUF-RTX3090TI-24G-GAMING/" TargetMode="External"/><Relationship Id="rId1669" Type="http://schemas.openxmlformats.org/officeDocument/2006/relationships/hyperlink" Target="https://en.colorful.cn/en/" TargetMode="External"/><Relationship Id="rId839" Type="http://schemas.openxmlformats.org/officeDocument/2006/relationships/hyperlink" Target="http://www.pcasl.com/pd.jsp?id=101" TargetMode="External"/><Relationship Id="rId838" Type="http://schemas.openxmlformats.org/officeDocument/2006/relationships/hyperlink" Target="http://www.pcasl.com/index.jsp" TargetMode="External"/><Relationship Id="rId833" Type="http://schemas.openxmlformats.org/officeDocument/2006/relationships/hyperlink" Target="https://www.msi.com/Graphics-Card/GeForce-GTX-1660-Ti-VENTUS-6G-OC" TargetMode="External"/><Relationship Id="rId832" Type="http://schemas.openxmlformats.org/officeDocument/2006/relationships/hyperlink" Target="https://www.msi.com/Graphics-Card/GeForce-GTX-1660-Ti-VENTUS-6G" TargetMode="External"/><Relationship Id="rId831" Type="http://schemas.openxmlformats.org/officeDocument/2006/relationships/hyperlink" Target="https://www.leadtek.com/eng/products/graphics_cards(1)/WinFast_GTX_1660_Ti_CLASSIC_6G(20831)/detail" TargetMode="External"/><Relationship Id="rId830" Type="http://schemas.openxmlformats.org/officeDocument/2006/relationships/hyperlink" Target="https://www.leadtek.com/eng/" TargetMode="External"/><Relationship Id="rId837" Type="http://schemas.openxmlformats.org/officeDocument/2006/relationships/hyperlink" Target="https://www.msi.com/Graphics-card/GeForce-GTX-1660-Ti-GAMING-X-6G" TargetMode="External"/><Relationship Id="rId836" Type="http://schemas.openxmlformats.org/officeDocument/2006/relationships/hyperlink" Target="https://www.msi.com/Graphics-card/GeForce-GTX-1660-Ti-GAMING-6G" TargetMode="External"/><Relationship Id="rId835" Type="http://schemas.openxmlformats.org/officeDocument/2006/relationships/hyperlink" Target="https://www.msi.com/Graphics-card/GeForce-GTX-1660-Ti-ARMOR-6G-OC" TargetMode="External"/><Relationship Id="rId834" Type="http://schemas.openxmlformats.org/officeDocument/2006/relationships/hyperlink" Target="https://www.msi.com/Graphics-card/GeForce-GTX-1660-Ti-ARMOR-6G" TargetMode="External"/><Relationship Id="rId2990" Type="http://schemas.openxmlformats.org/officeDocument/2006/relationships/hyperlink" Target="https://www.pny.com/geforce-rtx-3090-xlr8-gaming-epic-x-rgb-triple-fan-m" TargetMode="External"/><Relationship Id="rId1660" Type="http://schemas.openxmlformats.org/officeDocument/2006/relationships/hyperlink" Target="https://en.colorful.cn/en/home/product?mid=102&amp;id=1849" TargetMode="External"/><Relationship Id="rId2991" Type="http://schemas.openxmlformats.org/officeDocument/2006/relationships/hyperlink" Target="https://www.zotac.com/cn/product/graphics_card/%E7%B4%A2%E6%B3%B0-geforce%C2%AE-rtx-3090-24g6x-x-gaming-oc" TargetMode="External"/><Relationship Id="rId1661" Type="http://schemas.openxmlformats.org/officeDocument/2006/relationships/hyperlink" Target="https://en.colorful.cn/en/" TargetMode="External"/><Relationship Id="rId2992" Type="http://schemas.openxmlformats.org/officeDocument/2006/relationships/hyperlink" Target="https://www.zotac.com/cn/product/graphics_card/%E7%B4%A2%E6%B3%B0-geforce%C2%AE-rtx-3090-24g6x-%E5%A4%A9%E5%90%AF-oc" TargetMode="External"/><Relationship Id="rId1662" Type="http://schemas.openxmlformats.org/officeDocument/2006/relationships/hyperlink" Target="https://www.colorful.cn/product_show.aspx?mid=102&amp;id=1836" TargetMode="External"/><Relationship Id="rId2993" Type="http://schemas.openxmlformats.org/officeDocument/2006/relationships/hyperlink" Target="https://www.zotac.com/cn/product/graphics_card/%E7%B4%A2%E6%B3%B0-geforce%C2%AE-rtx-3090-24g6x-pgf-oc" TargetMode="External"/><Relationship Id="rId1663" Type="http://schemas.openxmlformats.org/officeDocument/2006/relationships/hyperlink" Target="https://en.colorful.cn/en/" TargetMode="External"/><Relationship Id="rId2994" Type="http://schemas.openxmlformats.org/officeDocument/2006/relationships/hyperlink" Target="https://www.zotac.com/product/graphics_card/zotac-gaming-geforce-rtx-3090-trinity" TargetMode="External"/><Relationship Id="rId2148" Type="http://schemas.openxmlformats.org/officeDocument/2006/relationships/hyperlink" Target="https://www.emtekinc.co.kr/" TargetMode="External"/><Relationship Id="rId2149" Type="http://schemas.openxmlformats.org/officeDocument/2006/relationships/hyperlink" Target="https://www.emtekinc.co.kr/bbs/board.php?bo_table=product&amp;wr_id=2213" TargetMode="External"/><Relationship Id="rId3479" Type="http://schemas.openxmlformats.org/officeDocument/2006/relationships/hyperlink" Target="https://www.galax.com/en/" TargetMode="External"/><Relationship Id="rId3470" Type="http://schemas.openxmlformats.org/officeDocument/2006/relationships/hyperlink" Target="https://en.colorful.cn/en/" TargetMode="External"/><Relationship Id="rId2140" Type="http://schemas.openxmlformats.org/officeDocument/2006/relationships/hyperlink" Target="https://www.emtekinc.co.kr/" TargetMode="External"/><Relationship Id="rId3472" Type="http://schemas.openxmlformats.org/officeDocument/2006/relationships/hyperlink" Target="https://en.colorful.cn/en/" TargetMode="External"/><Relationship Id="rId2141" Type="http://schemas.openxmlformats.org/officeDocument/2006/relationships/hyperlink" Target="https://www.emtekinc.co.kr/bbs/board.php?bo_table=product&amp;wr_id=2189" TargetMode="External"/><Relationship Id="rId3471" Type="http://schemas.openxmlformats.org/officeDocument/2006/relationships/hyperlink" Target="https://en.colorful.cn/en/home/product?mid=102&amp;id=0c59b49c-923f-45c6-93cf-52d475b4ec91" TargetMode="External"/><Relationship Id="rId2142" Type="http://schemas.openxmlformats.org/officeDocument/2006/relationships/hyperlink" Target="https://www.emtekinc.co.kr/" TargetMode="External"/><Relationship Id="rId3474" Type="http://schemas.openxmlformats.org/officeDocument/2006/relationships/hyperlink" Target="https://www.gainward.com/main/vgapro.php?id=1203&amp;lang=en" TargetMode="External"/><Relationship Id="rId2143" Type="http://schemas.openxmlformats.org/officeDocument/2006/relationships/hyperlink" Target="https://www.emtekinc.co.kr/bbs/board.php?bo_table=product&amp;wr_id=2265" TargetMode="External"/><Relationship Id="rId3473" Type="http://schemas.openxmlformats.org/officeDocument/2006/relationships/hyperlink" Target="https://en.colorful.cn/en/home/product?mid=102&amp;id=06fb02f6-837c-42d6-a051-aada5fa6fd5c" TargetMode="External"/><Relationship Id="rId2144" Type="http://schemas.openxmlformats.org/officeDocument/2006/relationships/hyperlink" Target="https://www.emtekinc.co.kr/" TargetMode="External"/><Relationship Id="rId3476" Type="http://schemas.openxmlformats.org/officeDocument/2006/relationships/hyperlink" Target="https://www.gainward.com/main/vgapro.php?id=1200&amp;lang=en" TargetMode="External"/><Relationship Id="rId2145" Type="http://schemas.openxmlformats.org/officeDocument/2006/relationships/hyperlink" Target="https://www.emtekinc.co.kr/bbs/board.php?bo_table=product&amp;wr_id=2206" TargetMode="External"/><Relationship Id="rId3475" Type="http://schemas.openxmlformats.org/officeDocument/2006/relationships/hyperlink" Target="https://www.gainward.com/main/vgapro.php?id=1202&amp;lang=en" TargetMode="External"/><Relationship Id="rId2146" Type="http://schemas.openxmlformats.org/officeDocument/2006/relationships/hyperlink" Target="https://www.emtekinc.co.kr/" TargetMode="External"/><Relationship Id="rId3478" Type="http://schemas.openxmlformats.org/officeDocument/2006/relationships/hyperlink" Target="https://www.galax.com/en/graphics-card/40-series/40series-super/4070-super/geforce-rtx-4070-super-oc.html" TargetMode="External"/><Relationship Id="rId2147" Type="http://schemas.openxmlformats.org/officeDocument/2006/relationships/hyperlink" Target="https://www.emtekinc.co.kr/bbs/board.php?bo_table=product&amp;wr_id=2190" TargetMode="External"/><Relationship Id="rId3477" Type="http://schemas.openxmlformats.org/officeDocument/2006/relationships/hyperlink" Target="https://www.galax.com/en/" TargetMode="External"/><Relationship Id="rId2137" Type="http://schemas.openxmlformats.org/officeDocument/2006/relationships/hyperlink" Target="https://www.emtekinc.co.kr/bbs/board.php?bo_table=product&amp;wr_id=2207" TargetMode="External"/><Relationship Id="rId3469" Type="http://schemas.openxmlformats.org/officeDocument/2006/relationships/hyperlink" Target="https://en.colorful.cn/en/home/product?mid=102&amp;id=aa12009a-02f0-45a2-9bbe-1211583e910f" TargetMode="External"/><Relationship Id="rId2138" Type="http://schemas.openxmlformats.org/officeDocument/2006/relationships/hyperlink" Target="https://www.emtekinc.co.kr/" TargetMode="External"/><Relationship Id="rId3468" Type="http://schemas.openxmlformats.org/officeDocument/2006/relationships/hyperlink" Target="https://en.colorful.cn/en/" TargetMode="External"/><Relationship Id="rId2139" Type="http://schemas.openxmlformats.org/officeDocument/2006/relationships/hyperlink" Target="https://www.emtekinc.co.kr/bbs/board.php?bo_table=product&amp;wr_id=2216" TargetMode="External"/><Relationship Id="rId3461" Type="http://schemas.openxmlformats.org/officeDocument/2006/relationships/hyperlink" Target="https://www.asus.com/motherboards-components/graphics-cards/tuf-gaming/tuf-rtx4070s-o12g-gaming/" TargetMode="External"/><Relationship Id="rId2130" Type="http://schemas.openxmlformats.org/officeDocument/2006/relationships/hyperlink" Target="https://en.colorful.cn/en/" TargetMode="External"/><Relationship Id="rId3460" Type="http://schemas.openxmlformats.org/officeDocument/2006/relationships/hyperlink" Target="https://www.asus.com/motherboards-components/graphics-cards/tuf-gaming/tuf-rtx4070s-12g-gaming/" TargetMode="External"/><Relationship Id="rId2131" Type="http://schemas.openxmlformats.org/officeDocument/2006/relationships/hyperlink" Target="https://www.colorful.cn/product_show.aspx?mid=102&amp;id=1785" TargetMode="External"/><Relationship Id="rId3463" Type="http://schemas.openxmlformats.org/officeDocument/2006/relationships/hyperlink" Target="https://rog.asus.com/graphics-cards/graphics-cards/rog-strix/rog-strix-rtx4070s-o12g-gaming/" TargetMode="External"/><Relationship Id="rId2132" Type="http://schemas.openxmlformats.org/officeDocument/2006/relationships/hyperlink" Target="https://en.colorful.cn/en/" TargetMode="External"/><Relationship Id="rId3462" Type="http://schemas.openxmlformats.org/officeDocument/2006/relationships/hyperlink" Target="https://rog.asus.com/graphics-cards/graphics-cards/rog-strix/rog-strix-rtx4070s-12g-gaming/" TargetMode="External"/><Relationship Id="rId2133" Type="http://schemas.openxmlformats.org/officeDocument/2006/relationships/hyperlink" Target="https://en.colorful.cn/en/home/product?mid=102&amp;id=1827" TargetMode="External"/><Relationship Id="rId3465" Type="http://schemas.openxmlformats.org/officeDocument/2006/relationships/hyperlink" Target="https://en.colorful.cn/en/home/product?mid=102&amp;id=75c7d9e5-fb2f-455a-bffa-470e2942377e" TargetMode="External"/><Relationship Id="rId2134" Type="http://schemas.openxmlformats.org/officeDocument/2006/relationships/hyperlink" Target="https://en.colorful.cn/en/" TargetMode="External"/><Relationship Id="rId3464" Type="http://schemas.openxmlformats.org/officeDocument/2006/relationships/hyperlink" Target="https://en.colorful.cn/en/" TargetMode="External"/><Relationship Id="rId2135" Type="http://schemas.openxmlformats.org/officeDocument/2006/relationships/hyperlink" Target="https://en.colorful.cn/en/home/product?mid=102&amp;id=1836" TargetMode="External"/><Relationship Id="rId3467" Type="http://schemas.openxmlformats.org/officeDocument/2006/relationships/hyperlink" Target="https://en.colorful.cn/en/home/product?mid=102&amp;id=008fb798-f96a-49d8-ab36-d6c723b7a909" TargetMode="External"/><Relationship Id="rId2136" Type="http://schemas.openxmlformats.org/officeDocument/2006/relationships/hyperlink" Target="https://www.emtekinc.co.kr/" TargetMode="External"/><Relationship Id="rId3466" Type="http://schemas.openxmlformats.org/officeDocument/2006/relationships/hyperlink" Target="https://en.colorful.cn/en/" TargetMode="External"/><Relationship Id="rId3490" Type="http://schemas.openxmlformats.org/officeDocument/2006/relationships/hyperlink" Target="https://www.gigabyte.com/Graphics-Card/GV-N407SAORUS-M-12GD" TargetMode="External"/><Relationship Id="rId2160" Type="http://schemas.openxmlformats.org/officeDocument/2006/relationships/hyperlink" Target="http://www.gainward.cn/Home/ProductDetail?id=282&amp;isStop=0" TargetMode="External"/><Relationship Id="rId3492" Type="http://schemas.openxmlformats.org/officeDocument/2006/relationships/hyperlink" Target="https://www.inno3d.com/en/PRODUCT_INNO3D_GEFORCE_RTX_4070_SUPER_TWINX2_OC" TargetMode="External"/><Relationship Id="rId2161" Type="http://schemas.openxmlformats.org/officeDocument/2006/relationships/hyperlink" Target="http://www.gainward.cn/Home/ProductDetail?id=281&amp;isStop=0" TargetMode="External"/><Relationship Id="rId3491" Type="http://schemas.openxmlformats.org/officeDocument/2006/relationships/hyperlink" Target="https://www.inno3d.com/en/PRODUCT_INNO3D_GEFORCE_RTX_4070_SUPER_TWINX2" TargetMode="External"/><Relationship Id="rId2162" Type="http://schemas.openxmlformats.org/officeDocument/2006/relationships/hyperlink" Target="http://www.gainward.cn/Home/ProductDetail?id=217&amp;isStop=0" TargetMode="External"/><Relationship Id="rId3494" Type="http://schemas.openxmlformats.org/officeDocument/2006/relationships/hyperlink" Target="https://www.inno3d.com/en/PRODUCT_INNO3D_GEFORCE_RTX_4070_SUPER_X3_OC" TargetMode="External"/><Relationship Id="rId2163" Type="http://schemas.openxmlformats.org/officeDocument/2006/relationships/hyperlink" Target="http://www.gainward.cn/Home/ProductDetail?id=239&amp;isStop=0" TargetMode="External"/><Relationship Id="rId3493" Type="http://schemas.openxmlformats.org/officeDocument/2006/relationships/hyperlink" Target="https://www.inno3d.com/en/PRODUCT_INNO3D_GEFORCE_RTX_4070_SUPER_TWINX2_OC_WHITE" TargetMode="External"/><Relationship Id="rId2164" Type="http://schemas.openxmlformats.org/officeDocument/2006/relationships/hyperlink" Target="http://www.gainward.cn/Home/ProductDetail?id=216&amp;isStop=0" TargetMode="External"/><Relationship Id="rId3496" Type="http://schemas.openxmlformats.org/officeDocument/2006/relationships/hyperlink" Target="https://www.leadtek.com/eng/" TargetMode="External"/><Relationship Id="rId2165" Type="http://schemas.openxmlformats.org/officeDocument/2006/relationships/hyperlink" Target="http://www.gainward.cn/Home/ProductDetail?id=241&amp;isStop=0" TargetMode="External"/><Relationship Id="rId3495" Type="http://schemas.openxmlformats.org/officeDocument/2006/relationships/hyperlink" Target="https://www.inno3d.com/en/PRODUCT_INNO3D_GEFORCE_RTX_4070_SUPER_ICHILL_X3" TargetMode="External"/><Relationship Id="rId2166" Type="http://schemas.openxmlformats.org/officeDocument/2006/relationships/hyperlink" Target="http://www.gainward.cn/Home/ProductDetail?id=214&amp;isStop=0" TargetMode="External"/><Relationship Id="rId3498" Type="http://schemas.openxmlformats.org/officeDocument/2006/relationships/hyperlink" Target="https://manli.com/en/product-detail-Manli_GeForce_RTX%E2%84%A2_4070_Super(M2592+N693)-352.html" TargetMode="External"/><Relationship Id="rId2167" Type="http://schemas.openxmlformats.org/officeDocument/2006/relationships/hyperlink" Target="http://www.gainward.cn/Home/ProductDetail?id=238&amp;isStop=0" TargetMode="External"/><Relationship Id="rId3497" Type="http://schemas.openxmlformats.org/officeDocument/2006/relationships/hyperlink" Target="https://www.leadtek.com/eng/products/graphics_cards(1)/WinFast_RTX_4070_SUPER_HURRICANE_12G(51001)/detail" TargetMode="External"/><Relationship Id="rId2168" Type="http://schemas.openxmlformats.org/officeDocument/2006/relationships/hyperlink" Target="http://www.gainward.cn/Home/ProductDetail?id=215&amp;isStop=0" TargetMode="External"/><Relationship Id="rId2169" Type="http://schemas.openxmlformats.org/officeDocument/2006/relationships/hyperlink" Target="http://www.gainward.cn/Home/ProductDetail?id=240&amp;isStop=0" TargetMode="External"/><Relationship Id="rId3499" Type="http://schemas.openxmlformats.org/officeDocument/2006/relationships/hyperlink" Target="https://www.maxsun.com/" TargetMode="External"/><Relationship Id="rId2159" Type="http://schemas.openxmlformats.org/officeDocument/2006/relationships/hyperlink" Target="http://www.gainward.cn/Home/ProductDetail?id=242&amp;isStop=0" TargetMode="External"/><Relationship Id="rId3481" Type="http://schemas.openxmlformats.org/officeDocument/2006/relationships/hyperlink" Target="https://www.galax.com/en/" TargetMode="External"/><Relationship Id="rId2150" Type="http://schemas.openxmlformats.org/officeDocument/2006/relationships/hyperlink" Target="https://www.emtekinc.co.kr/" TargetMode="External"/><Relationship Id="rId3480" Type="http://schemas.openxmlformats.org/officeDocument/2006/relationships/hyperlink" Target="https://www.galax.com/en/graphics-card/40-series/40series-super/4070-super/geforce-rtx-4070-super-exg.html" TargetMode="External"/><Relationship Id="rId2151" Type="http://schemas.openxmlformats.org/officeDocument/2006/relationships/hyperlink" Target="https://www.emtekinc.co.kr/bbs/board.php?bo_table=product&amp;wr_id=2191" TargetMode="External"/><Relationship Id="rId3483" Type="http://schemas.openxmlformats.org/officeDocument/2006/relationships/hyperlink" Target="https://www.galax.com/en/" TargetMode="External"/><Relationship Id="rId2152" Type="http://schemas.openxmlformats.org/officeDocument/2006/relationships/hyperlink" Target="https://www.emtekinc.co.kr/" TargetMode="External"/><Relationship Id="rId3482" Type="http://schemas.openxmlformats.org/officeDocument/2006/relationships/hyperlink" Target="https://www.galax.com/en/graphics-card/40-series/40series-super/4070-super/geforce-rtx-4070-super-exg-pink.html" TargetMode="External"/><Relationship Id="rId2153" Type="http://schemas.openxmlformats.org/officeDocument/2006/relationships/hyperlink" Target="https://www.emtekinc.co.kr/bbs/board.php?bo_table=product&amp;wr_id=2266" TargetMode="External"/><Relationship Id="rId3485" Type="http://schemas.openxmlformats.org/officeDocument/2006/relationships/hyperlink" Target="https://www.gigabyte.com/Graphics-Card/GV-N407SWF3OC-12GD" TargetMode="External"/><Relationship Id="rId2154" Type="http://schemas.openxmlformats.org/officeDocument/2006/relationships/hyperlink" Target="https://www.evga.com/products/specs/gpu.aspx?pn=23DAB3C9-01A9-48CB-8EFD-81EF1A15FE51" TargetMode="External"/><Relationship Id="rId3484" Type="http://schemas.openxmlformats.org/officeDocument/2006/relationships/hyperlink" Target="https://www.galax.com/en/graphics-card/40-series/40series-super/4070-super/geforce-rtx-4070-super-exg-white.html" TargetMode="External"/><Relationship Id="rId2155" Type="http://schemas.openxmlformats.org/officeDocument/2006/relationships/hyperlink" Target="https://www.evga.com/products/specs/gpu.aspx?pn=2C4CA395-F784-4959-A471-745B9D65CECB" TargetMode="External"/><Relationship Id="rId3487" Type="http://schemas.openxmlformats.org/officeDocument/2006/relationships/hyperlink" Target="https://www.gigabyte.com/Graphics-Card/GV-N407SEAGLEOC-ICE-12GD" TargetMode="External"/><Relationship Id="rId2156" Type="http://schemas.openxmlformats.org/officeDocument/2006/relationships/hyperlink" Target="https://www.evga.com/products/specs/gpu.aspx?pn=70084C16-355E-4D62-A416-D6687E158C1F" TargetMode="External"/><Relationship Id="rId3486" Type="http://schemas.openxmlformats.org/officeDocument/2006/relationships/hyperlink" Target="https://www.gigabyte.com/Graphics-Card/GV-N407SEAGLE-OC-12GD" TargetMode="External"/><Relationship Id="rId2157" Type="http://schemas.openxmlformats.org/officeDocument/2006/relationships/hyperlink" Target="https://www.evga.com/products/specs/gpu.aspx?pn=A0A9EA39-EF67-4ED3-9B66-692366446C3A" TargetMode="External"/><Relationship Id="rId3489" Type="http://schemas.openxmlformats.org/officeDocument/2006/relationships/hyperlink" Target="https://www.gigabyte.com/Graphics-Card/GV-N407SGAMING-OC-12GD" TargetMode="External"/><Relationship Id="rId2158" Type="http://schemas.openxmlformats.org/officeDocument/2006/relationships/hyperlink" Target="http://www.gainward.cn/Home/ProductDetail?id=208&amp;isStop=0" TargetMode="External"/><Relationship Id="rId3488" Type="http://schemas.openxmlformats.org/officeDocument/2006/relationships/hyperlink" Target="https://www.gigabyte.com/Graphics-Card/GV-N407SAERO-OC-12GD" TargetMode="External"/><Relationship Id="rId2104" Type="http://schemas.openxmlformats.org/officeDocument/2006/relationships/hyperlink" Target="https://rog.asus.com/Graphics-Cards/Graphics-Cards/ROG-Strix/ROG-STRIX-RTX3070-O8G-GAMING-Model/" TargetMode="External"/><Relationship Id="rId3436" Type="http://schemas.openxmlformats.org/officeDocument/2006/relationships/hyperlink" Target="https://www.zotac.com/" TargetMode="External"/><Relationship Id="rId2105" Type="http://schemas.openxmlformats.org/officeDocument/2006/relationships/hyperlink" Target="https://rog.asus.com/graphics-cards/graphics-cards/rog-strix/rog-strix-rtx3070-o8g-v2-gaming-model/" TargetMode="External"/><Relationship Id="rId3435" Type="http://schemas.openxmlformats.org/officeDocument/2006/relationships/hyperlink" Target="https://www.zotac.com/cn/product/graphics_card/%E7%B4%A2%E6%B3%B0-geforce-rtx-4070-12gb-%E5%A4%A9%E5%90%AF-oc" TargetMode="External"/><Relationship Id="rId2106" Type="http://schemas.openxmlformats.org/officeDocument/2006/relationships/hyperlink" Target="https://rog.asus.com/graphics-cards/graphics-cards/rog-strix/rog-strix-rtx3070-8g-white-model/" TargetMode="External"/><Relationship Id="rId3438" Type="http://schemas.openxmlformats.org/officeDocument/2006/relationships/hyperlink" Target="https://www.zotac.com/" TargetMode="External"/><Relationship Id="rId2107" Type="http://schemas.openxmlformats.org/officeDocument/2006/relationships/hyperlink" Target="https://rog.asus.com/graphics-cards/graphics-cards/rog-strix/rog-strix-rtx3070-8g-white-v2-model/" TargetMode="External"/><Relationship Id="rId3437" Type="http://schemas.openxmlformats.org/officeDocument/2006/relationships/hyperlink" Target="https://www.zotac.com/product/graphics_card/zotac-gaming-geforce-rtx-4070-twin-edge" TargetMode="External"/><Relationship Id="rId2108" Type="http://schemas.openxmlformats.org/officeDocument/2006/relationships/hyperlink" Target="https://rog.asus.com/graphics-cards/graphics-cards/rog-strix/rog-strix-rtx3070-o8g-white-model/" TargetMode="External"/><Relationship Id="rId2109" Type="http://schemas.openxmlformats.org/officeDocument/2006/relationships/hyperlink" Target="https://rog.asus.com/graphics-cards/graphics-cards/rog-strix/rog-strix-rtx3070-o8g-white-v2-model/" TargetMode="External"/><Relationship Id="rId3439" Type="http://schemas.openxmlformats.org/officeDocument/2006/relationships/hyperlink" Target="https://www.zotac.com/product/graphics_card/zotac-gaming-geforce-rtx-4070-twin-edge-oc" TargetMode="External"/><Relationship Id="rId3430" Type="http://schemas.openxmlformats.org/officeDocument/2006/relationships/hyperlink" Target="https://www.zotac.com/" TargetMode="External"/><Relationship Id="rId2100" Type="http://schemas.openxmlformats.org/officeDocument/2006/relationships/hyperlink" Target="https://www.asus.com/Motherboards-Components/Graphics-Cards/ASUS/RTX3070-8G-NOCTUA/" TargetMode="External"/><Relationship Id="rId3432" Type="http://schemas.openxmlformats.org/officeDocument/2006/relationships/hyperlink" Target="https://www.zotac.com/" TargetMode="External"/><Relationship Id="rId2101" Type="http://schemas.openxmlformats.org/officeDocument/2006/relationships/hyperlink" Target="https://www.asus.com/Motherboards-Components/Graphics-Cards/ASUS/RTX3070-O8G-NOCTUA/" TargetMode="External"/><Relationship Id="rId3431" Type="http://schemas.openxmlformats.org/officeDocument/2006/relationships/hyperlink" Target="https://www.zotac.com/cn/product/graphics_card/%E7%B4%A2%E6%B3%B0-geforce-rtx-4070-12gb-x-gaming" TargetMode="External"/><Relationship Id="rId2102" Type="http://schemas.openxmlformats.org/officeDocument/2006/relationships/hyperlink" Target="https://rog.asus.com/Graphics-Cards/Graphics-Cards/ROG-Strix/ROG-STRIX-RTX3070-8G-GAMING-Model/" TargetMode="External"/><Relationship Id="rId3434" Type="http://schemas.openxmlformats.org/officeDocument/2006/relationships/hyperlink" Target="https://www.zotac.com/" TargetMode="External"/><Relationship Id="rId2103" Type="http://schemas.openxmlformats.org/officeDocument/2006/relationships/hyperlink" Target="https://rog.asus.com/graphics-cards/graphics-cards/rog-strix/rog-strix-rtx3070-8g-v2-gaming-model/" TargetMode="External"/><Relationship Id="rId3433" Type="http://schemas.openxmlformats.org/officeDocument/2006/relationships/hyperlink" Target="https://www.zotac.com/cn/product/graphics_card/%E7%B4%A2%E6%B3%B0-geforce-rtx-4070-12gb-x-gaming-oc-%E6%AC%A7%E6%B3%8A%E7%99%BD" TargetMode="External"/><Relationship Id="rId3425" Type="http://schemas.openxmlformats.org/officeDocument/2006/relationships/hyperlink" Target="http://www.yeston.net/" TargetMode="External"/><Relationship Id="rId3424" Type="http://schemas.openxmlformats.org/officeDocument/2006/relationships/hyperlink" Target="https://www.pny.com/pny-geforce-rtx-4070-12gb-xlr8-gaming-verto-epic-x-rgb-oc" TargetMode="External"/><Relationship Id="rId3427" Type="http://schemas.openxmlformats.org/officeDocument/2006/relationships/hyperlink" Target="http://www.yeston.net/products-detail/id-74.html" TargetMode="External"/><Relationship Id="rId3426" Type="http://schemas.openxmlformats.org/officeDocument/2006/relationships/hyperlink" Target="http://www.yeston.net/" TargetMode="External"/><Relationship Id="rId3429" Type="http://schemas.openxmlformats.org/officeDocument/2006/relationships/hyperlink" Target="http://www.yeston.net/products-detail/id-71.html" TargetMode="External"/><Relationship Id="rId3428" Type="http://schemas.openxmlformats.org/officeDocument/2006/relationships/hyperlink" Target="http://www.yeston.net/" TargetMode="External"/><Relationship Id="rId899" Type="http://schemas.openxmlformats.org/officeDocument/2006/relationships/hyperlink" Target="https://www.gigabyte.com/Graphics-Card/GV-N2060AORUS-X-6GC-rev-20" TargetMode="External"/><Relationship Id="rId898" Type="http://schemas.openxmlformats.org/officeDocument/2006/relationships/hyperlink" Target="https://www.gigabyte.com/Graphics-Card/GV-N2060GAMINGOC-PRO-WHITE-6GD" TargetMode="External"/><Relationship Id="rId897" Type="http://schemas.openxmlformats.org/officeDocument/2006/relationships/hyperlink" Target="https://www.gigabyte.com/Graphics-Card/GV-N2060GAMINGOC-PRO-6GD-rev-10" TargetMode="External"/><Relationship Id="rId896" Type="http://schemas.openxmlformats.org/officeDocument/2006/relationships/hyperlink" Target="https://www.gigabyte.com/Graphics-Card/GV-N2060GAMING-OC-6GD" TargetMode="External"/><Relationship Id="rId891" Type="http://schemas.openxmlformats.org/officeDocument/2006/relationships/hyperlink" Target="https://www.galax.com/en/" TargetMode="External"/><Relationship Id="rId890" Type="http://schemas.openxmlformats.org/officeDocument/2006/relationships/hyperlink" Target="http://www.gainward.com/main/vgapro.php?id=1033&amp;lang=en" TargetMode="External"/><Relationship Id="rId895" Type="http://schemas.openxmlformats.org/officeDocument/2006/relationships/hyperlink" Target="https://www.gigabyte.com/Graphics-Card/GV-N2060WF2OC-6GD-rev-20" TargetMode="External"/><Relationship Id="rId3421" Type="http://schemas.openxmlformats.org/officeDocument/2006/relationships/hyperlink" Target="http://www.palit.com/palit/vgapro.php?id=4758&amp;lang=en" TargetMode="External"/><Relationship Id="rId894" Type="http://schemas.openxmlformats.org/officeDocument/2006/relationships/hyperlink" Target="https://www.gigabyte.com/Graphics-Card/GV-N2060WF2-6GD-rev-10" TargetMode="External"/><Relationship Id="rId3420" Type="http://schemas.openxmlformats.org/officeDocument/2006/relationships/hyperlink" Target="http://www.palit.com/palit/vgapro.php?id=4768&amp;lang=en" TargetMode="External"/><Relationship Id="rId893" Type="http://schemas.openxmlformats.org/officeDocument/2006/relationships/hyperlink" Target="https://www.galax.com/en/" TargetMode="External"/><Relationship Id="rId3423" Type="http://schemas.openxmlformats.org/officeDocument/2006/relationships/hyperlink" Target="https://www.pny.com/pny-geforce-rtx-4070-12gb-xlr8-gaming-verto-epic-x-rgb" TargetMode="External"/><Relationship Id="rId892" Type="http://schemas.openxmlformats.org/officeDocument/2006/relationships/hyperlink" Target="https://www.galax.com/en/" TargetMode="External"/><Relationship Id="rId3422" Type="http://schemas.openxmlformats.org/officeDocument/2006/relationships/hyperlink" Target="https://www.pny.com/pny-geforce-rtx-4070-12gb-verto-dual-fan" TargetMode="External"/><Relationship Id="rId2126" Type="http://schemas.openxmlformats.org/officeDocument/2006/relationships/hyperlink" Target="https://en.colorful.cn/en/" TargetMode="External"/><Relationship Id="rId3458" Type="http://schemas.openxmlformats.org/officeDocument/2006/relationships/hyperlink" Target="https://www.asus.com/motherboards-components/graphics-cards/proart/proart-rtx4070s-12g/" TargetMode="External"/><Relationship Id="rId2127" Type="http://schemas.openxmlformats.org/officeDocument/2006/relationships/hyperlink" Target="https://www.colorful.cn/product_show.aspx?mid=102&amp;id=1795" TargetMode="External"/><Relationship Id="rId3457" Type="http://schemas.openxmlformats.org/officeDocument/2006/relationships/hyperlink" Target="https://www.asus.com/motherboards-components/graphics-cards/prime/prime-rtx4070s-o12g/" TargetMode="External"/><Relationship Id="rId2128" Type="http://schemas.openxmlformats.org/officeDocument/2006/relationships/hyperlink" Target="https://en.colorful.cn/en/" TargetMode="External"/><Relationship Id="rId2129" Type="http://schemas.openxmlformats.org/officeDocument/2006/relationships/hyperlink" Target="https://en.colorful.cn/en/home/product?mid=102&amp;id=1823" TargetMode="External"/><Relationship Id="rId3459" Type="http://schemas.openxmlformats.org/officeDocument/2006/relationships/hyperlink" Target="https://www.asus.com/motherboards-components/graphics-cards/proart/proart-rtx4070s-o12g/" TargetMode="External"/><Relationship Id="rId3450" Type="http://schemas.openxmlformats.org/officeDocument/2006/relationships/hyperlink" Target="https://www.asus.com/motherboards-components/graphics-cards/dual/dual-rtx4070s-12g-white/" TargetMode="External"/><Relationship Id="rId2120" Type="http://schemas.openxmlformats.org/officeDocument/2006/relationships/hyperlink" Target="https://en.colorful.cn/en/" TargetMode="External"/><Relationship Id="rId3452" Type="http://schemas.openxmlformats.org/officeDocument/2006/relationships/hyperlink" Target="https://www.asus.com/motherboards-components/graphics-cards/dual/dual-rtx4070s-12g-evo/" TargetMode="External"/><Relationship Id="rId2121" Type="http://schemas.openxmlformats.org/officeDocument/2006/relationships/hyperlink" Target="https://www.colorful.cn/product_show.aspx?mid=102&amp;id=1796" TargetMode="External"/><Relationship Id="rId3451" Type="http://schemas.openxmlformats.org/officeDocument/2006/relationships/hyperlink" Target="https://www.asus.com/motherboards-components/graphics-cards/dual/dual-rtx4070s-o12g-white/" TargetMode="External"/><Relationship Id="rId2122" Type="http://schemas.openxmlformats.org/officeDocument/2006/relationships/hyperlink" Target="https://en.colorful.cn/en/" TargetMode="External"/><Relationship Id="rId3454" Type="http://schemas.openxmlformats.org/officeDocument/2006/relationships/hyperlink" Target="https://www.asus.com/motherboards-components/graphics-cards/dual/dual-rtx4070s-12g-evo-white/" TargetMode="External"/><Relationship Id="rId2123" Type="http://schemas.openxmlformats.org/officeDocument/2006/relationships/hyperlink" Target="https://en.colorful.cn/en/home/product?mid=102&amp;id=1826" TargetMode="External"/><Relationship Id="rId3453" Type="http://schemas.openxmlformats.org/officeDocument/2006/relationships/hyperlink" Target="https://www.asus.com/motherboards-components/graphics-cards/dual/dual-rtx4070s-o12g-evo/" TargetMode="External"/><Relationship Id="rId2124" Type="http://schemas.openxmlformats.org/officeDocument/2006/relationships/hyperlink" Target="https://en.colorful.cn/en/" TargetMode="External"/><Relationship Id="rId3456" Type="http://schemas.openxmlformats.org/officeDocument/2006/relationships/hyperlink" Target="https://www.asus.com/motherboards-components/graphics-cards/prime/prime-rtx4070s-12g/" TargetMode="External"/><Relationship Id="rId2125" Type="http://schemas.openxmlformats.org/officeDocument/2006/relationships/hyperlink" Target="https://en.colorful.cn/en/home/product?mid=102&amp;id=1867" TargetMode="External"/><Relationship Id="rId3455" Type="http://schemas.openxmlformats.org/officeDocument/2006/relationships/hyperlink" Target="https://www.asus.com/motherboards-components/graphics-cards/dual/dual-rtx4070s-o12g-evo-white/" TargetMode="External"/><Relationship Id="rId2115" Type="http://schemas.openxmlformats.org/officeDocument/2006/relationships/hyperlink" Target="https://en.colorful.cn/en/home/product?mid=102&amp;id=1862" TargetMode="External"/><Relationship Id="rId3447" Type="http://schemas.openxmlformats.org/officeDocument/2006/relationships/hyperlink" Target="https://www.zotac.com/product/graphics_card/zotac-gaming-geforce-rtx-4070-amp-airo-spider-man%E2%84%A2-across-spider-verse-bundle" TargetMode="External"/><Relationship Id="rId2116" Type="http://schemas.openxmlformats.org/officeDocument/2006/relationships/hyperlink" Target="https://en.colorful.cn/en/" TargetMode="External"/><Relationship Id="rId3446" Type="http://schemas.openxmlformats.org/officeDocument/2006/relationships/hyperlink" Target="https://www.zotac.com/" TargetMode="External"/><Relationship Id="rId2117" Type="http://schemas.openxmlformats.org/officeDocument/2006/relationships/hyperlink" Target="https://www.colorful.cn/product_show.aspx?mid=102&amp;id=1793" TargetMode="External"/><Relationship Id="rId3449" Type="http://schemas.openxmlformats.org/officeDocument/2006/relationships/hyperlink" Target="https://www.asus.com/motherboards-components/graphics-cards/dual/dual-rtx4070s-o12g/" TargetMode="External"/><Relationship Id="rId2118" Type="http://schemas.openxmlformats.org/officeDocument/2006/relationships/hyperlink" Target="https://en.colorful.cn/en/" TargetMode="External"/><Relationship Id="rId3448" Type="http://schemas.openxmlformats.org/officeDocument/2006/relationships/hyperlink" Target="https://www.asus.com/motherboards-components/graphics-cards/dual/dual-rtx4070s-12g/" TargetMode="External"/><Relationship Id="rId2119" Type="http://schemas.openxmlformats.org/officeDocument/2006/relationships/hyperlink" Target="https://en.colorful.cn/en/home/product?mid=102&amp;id=1822" TargetMode="External"/><Relationship Id="rId3441" Type="http://schemas.openxmlformats.org/officeDocument/2006/relationships/hyperlink" Target="https://www.zotac.com/product/graphics_card/zotac-gaming-geforce-rtx-4070-twin-edge-oc-spider-man%E2%84%A2-across-spider-verse" TargetMode="External"/><Relationship Id="rId2110" Type="http://schemas.openxmlformats.org/officeDocument/2006/relationships/hyperlink" Target="https://en.colorful.cn/en/" TargetMode="External"/><Relationship Id="rId3440" Type="http://schemas.openxmlformats.org/officeDocument/2006/relationships/hyperlink" Target="https://www.zotac.com/" TargetMode="External"/><Relationship Id="rId2111" Type="http://schemas.openxmlformats.org/officeDocument/2006/relationships/hyperlink" Target="https://en.colorful.cn/en/home/product?mid=102&amp;id=1821" TargetMode="External"/><Relationship Id="rId3443" Type="http://schemas.openxmlformats.org/officeDocument/2006/relationships/hyperlink" Target="https://www.zotac.com/product/graphics_card/zotac-gaming-geforce-rtx-4070-trinity" TargetMode="External"/><Relationship Id="rId2112" Type="http://schemas.openxmlformats.org/officeDocument/2006/relationships/hyperlink" Target="https://en.colorful.cn/en/" TargetMode="External"/><Relationship Id="rId3442" Type="http://schemas.openxmlformats.org/officeDocument/2006/relationships/hyperlink" Target="https://www.zotac.com/" TargetMode="External"/><Relationship Id="rId2113" Type="http://schemas.openxmlformats.org/officeDocument/2006/relationships/hyperlink" Target="https://en.colorful.cn/en/home/product?mid=102&amp;id=1866" TargetMode="External"/><Relationship Id="rId3445" Type="http://schemas.openxmlformats.org/officeDocument/2006/relationships/hyperlink" Target="https://www.zotac.com/product/graphics_card/zotac-gaming-geforce-rtx-4070-amp-airo" TargetMode="External"/><Relationship Id="rId2114" Type="http://schemas.openxmlformats.org/officeDocument/2006/relationships/hyperlink" Target="https://en.colorful.cn/en/" TargetMode="External"/><Relationship Id="rId3444" Type="http://schemas.openxmlformats.org/officeDocument/2006/relationships/hyperlink" Target="https://www.zotac.com/" TargetMode="Externa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40" Type="http://schemas.openxmlformats.org/officeDocument/2006/relationships/hyperlink" Target="https://www.gigabyte.com/Motherboard/A620I-AX-rev-10" TargetMode="External"/><Relationship Id="rId42" Type="http://schemas.openxmlformats.org/officeDocument/2006/relationships/hyperlink" Target="https://pg.asrock.com/mb/AMD/B650I%20Lightning%20WiFi/index.asp" TargetMode="External"/><Relationship Id="rId41" Type="http://schemas.openxmlformats.org/officeDocument/2006/relationships/hyperlink" Target="https://www.asrock.com/" TargetMode="External"/><Relationship Id="rId44" Type="http://schemas.openxmlformats.org/officeDocument/2006/relationships/hyperlink" Target="https://www.gigabyte.com/Motherboard/B650I-AX-rev-10" TargetMode="External"/><Relationship Id="rId43" Type="http://schemas.openxmlformats.org/officeDocument/2006/relationships/hyperlink" Target="https://www.gigabyte.com/Motherboard/B650I-AORUS-ULTRA-rev-10" TargetMode="External"/><Relationship Id="rId46" Type="http://schemas.openxmlformats.org/officeDocument/2006/relationships/hyperlink" Target="https://www.asrock.com/" TargetMode="External"/><Relationship Id="rId45" Type="http://schemas.openxmlformats.org/officeDocument/2006/relationships/hyperlink" Target="https://www.msi.com/Motherboard/MPG-B650I-EDGE-WIFI" TargetMode="External"/><Relationship Id="rId48" Type="http://schemas.openxmlformats.org/officeDocument/2006/relationships/hyperlink" Target="https://rog.asus.com/motherboards/rog-strix/rog-strix-b650e-i-gaming-wifi-model/" TargetMode="External"/><Relationship Id="rId47" Type="http://schemas.openxmlformats.org/officeDocument/2006/relationships/hyperlink" Target="https://www.asrock.com/mb/AMD/B650E%20PG-ITX%20WiFi/index.asp" TargetMode="External"/><Relationship Id="rId49" Type="http://schemas.openxmlformats.org/officeDocument/2006/relationships/hyperlink" Target="https://rog.asus.com/motherboards/rog-strix/rog-strix-x670e-i-gaming-wifi-model/" TargetMode="External"/><Relationship Id="rId31" Type="http://schemas.openxmlformats.org/officeDocument/2006/relationships/hyperlink" Target="https://www.asrock.com/" TargetMode="External"/><Relationship Id="rId30" Type="http://schemas.openxmlformats.org/officeDocument/2006/relationships/hyperlink" Target="https://www.sapphiretech.com/zh-cn/consumer/mb_nitro_b550i_c" TargetMode="External"/><Relationship Id="rId33" Type="http://schemas.openxmlformats.org/officeDocument/2006/relationships/hyperlink" Target="https://www.asrockrack.com/general/productdetail.asp?Model=X570D4I-2T" TargetMode="External"/><Relationship Id="rId32" Type="http://schemas.openxmlformats.org/officeDocument/2006/relationships/hyperlink" Target="https://www.asrockrack.com/" TargetMode="External"/><Relationship Id="rId35" Type="http://schemas.openxmlformats.org/officeDocument/2006/relationships/hyperlink" Target="https://www.asrockrack.com/general/productdetail.asp?Model=X570D4I-NL" TargetMode="External"/><Relationship Id="rId34" Type="http://schemas.openxmlformats.org/officeDocument/2006/relationships/hyperlink" Target="https://www.asrockrack.com/" TargetMode="External"/><Relationship Id="rId37" Type="http://schemas.openxmlformats.org/officeDocument/2006/relationships/hyperlink" Target="https://www.gigabyte.com/Motherboard/X570SI-AORUS-PRO-AX-rev-10" TargetMode="External"/><Relationship Id="rId36" Type="http://schemas.openxmlformats.org/officeDocument/2006/relationships/hyperlink" Target="https://rog.asus.com/Motherboards/ROG-Strix/ROG-Strix-X570-I-Gaming-Model/" TargetMode="External"/><Relationship Id="rId39" Type="http://schemas.openxmlformats.org/officeDocument/2006/relationships/hyperlink" Target="https://pg.asrock.com/mb/AMD/A620I%20Lightning%20WiFi/index.asp" TargetMode="External"/><Relationship Id="rId38" Type="http://schemas.openxmlformats.org/officeDocument/2006/relationships/hyperlink" Target="https://www.asrock.com/" TargetMode="External"/><Relationship Id="rId20" Type="http://schemas.openxmlformats.org/officeDocument/2006/relationships/hyperlink" Target="https://www.asrock.com/" TargetMode="External"/><Relationship Id="rId22" Type="http://schemas.openxmlformats.org/officeDocument/2006/relationships/hyperlink" Target="https://www.asrock.com/" TargetMode="External"/><Relationship Id="rId21" Type="http://schemas.openxmlformats.org/officeDocument/2006/relationships/hyperlink" Target="https://www.asrock.com/mb/AMD/B550M-ITXac/index.asp" TargetMode="External"/><Relationship Id="rId24" Type="http://schemas.openxmlformats.org/officeDocument/2006/relationships/hyperlink" Target="https://rog.asus.com/Motherboards/ROG-Strix/ROG-STRIX-B550-I-GAMING-Model/" TargetMode="External"/><Relationship Id="rId23" Type="http://schemas.openxmlformats.org/officeDocument/2006/relationships/hyperlink" Target="https://www.asrock.com/mb/AMD/B550%20Phantom%20Gaming-ITXax/index.asp" TargetMode="External"/><Relationship Id="rId26" Type="http://schemas.openxmlformats.org/officeDocument/2006/relationships/hyperlink" Target="https://www.gigabyte.com/Motherboard/B550I-AORUS-PRO-AX-rev-10" TargetMode="External"/><Relationship Id="rId25" Type="http://schemas.openxmlformats.org/officeDocument/2006/relationships/hyperlink" Target="https://www.biostar.com.tw/app/en/mb/introduction.php?S_ID=1010" TargetMode="External"/><Relationship Id="rId28" Type="http://schemas.openxmlformats.org/officeDocument/2006/relationships/hyperlink" Target="https://www.msi.com/Motherboard/MPG-B550I-GAMING-EDGE-MAX-WIFI/" TargetMode="External"/><Relationship Id="rId27" Type="http://schemas.openxmlformats.org/officeDocument/2006/relationships/hyperlink" Target="https://www.msi.com/Motherboard/MPG-B550I-GAMING-EDGE-WIFI/" TargetMode="External"/><Relationship Id="rId29" Type="http://schemas.openxmlformats.org/officeDocument/2006/relationships/hyperlink" Target="https://www.sapphiretech.com/en" TargetMode="External"/><Relationship Id="rId11" Type="http://schemas.openxmlformats.org/officeDocument/2006/relationships/hyperlink" Target="https://www.biostar.com.tw/app/en/mb/introduction.php?S_ID=993" TargetMode="External"/><Relationship Id="rId10" Type="http://schemas.openxmlformats.org/officeDocument/2006/relationships/hyperlink" Target="https://rog.asus.com/Motherboards/ROG-Strix/ROG-STRIX-B450-I-GAMING-Model/" TargetMode="External"/><Relationship Id="rId13" Type="http://schemas.openxmlformats.org/officeDocument/2006/relationships/hyperlink" Target="https://www.asrock.com/" TargetMode="External"/><Relationship Id="rId12" Type="http://schemas.openxmlformats.org/officeDocument/2006/relationships/hyperlink" Target="https://www.msi.com/Motherboard/B450I-GAMING-PLUS-MAX-WIFI" TargetMode="External"/><Relationship Id="rId15" Type="http://schemas.openxmlformats.org/officeDocument/2006/relationships/hyperlink" Target="https://www.biostar.com.tw/app/en/mb/introduction.php?S_ID=962" TargetMode="External"/><Relationship Id="rId14" Type="http://schemas.openxmlformats.org/officeDocument/2006/relationships/hyperlink" Target="https://rog.asus.com/Motherboards/ROG-Strix/ROG-STRIX-X470-I-GAMING-Model/" TargetMode="External"/><Relationship Id="rId17" Type="http://schemas.openxmlformats.org/officeDocument/2006/relationships/hyperlink" Target="https://www.asrock.com/mb/AMD/A520M-ITXac/index.asp" TargetMode="External"/><Relationship Id="rId16" Type="http://schemas.openxmlformats.org/officeDocument/2006/relationships/hyperlink" Target="https://www.asrock.com/" TargetMode="External"/><Relationship Id="rId19" Type="http://schemas.openxmlformats.org/officeDocument/2006/relationships/hyperlink" Target="https://www.gigabyte.com/Motherboard/GA-A520I-DASH-rev-10" TargetMode="External"/><Relationship Id="rId18" Type="http://schemas.openxmlformats.org/officeDocument/2006/relationships/hyperlink" Target="https://www.gigabyte.com/Motherboard/A520I-AC-rev-1x" TargetMode="External"/><Relationship Id="rId84" Type="http://schemas.openxmlformats.org/officeDocument/2006/relationships/hyperlink" Target="https://www.asrock.com/" TargetMode="External"/><Relationship Id="rId83" Type="http://schemas.openxmlformats.org/officeDocument/2006/relationships/hyperlink" Target="https://www.asrock.com/" TargetMode="External"/><Relationship Id="rId86" Type="http://schemas.openxmlformats.org/officeDocument/2006/relationships/hyperlink" Target="https://www.asrock.com/" TargetMode="External"/><Relationship Id="rId85" Type="http://schemas.openxmlformats.org/officeDocument/2006/relationships/hyperlink" Target="https://rog.asus.com/Motherboards/ROG-Strix/ROG-STRIX-Z390-I-GAMING-Model/" TargetMode="External"/><Relationship Id="rId88" Type="http://schemas.openxmlformats.org/officeDocument/2006/relationships/hyperlink" Target="https://www.asus.com/Motherboards-Components/Motherboards/PRIME/PRIME-H410I-PLUS/" TargetMode="External"/><Relationship Id="rId87" Type="http://schemas.openxmlformats.org/officeDocument/2006/relationships/hyperlink" Target="https://www.asrock.com/mb/Intel/H410M-ITXac/index.asp" TargetMode="External"/><Relationship Id="rId89" Type="http://schemas.openxmlformats.org/officeDocument/2006/relationships/hyperlink" Target="https://www.gigabyte.com/Motherboard/GA-IMB410N-rev-10" TargetMode="External"/><Relationship Id="rId80" Type="http://schemas.openxmlformats.org/officeDocument/2006/relationships/hyperlink" Target="https://www.asrock.com/" TargetMode="External"/><Relationship Id="rId82" Type="http://schemas.openxmlformats.org/officeDocument/2006/relationships/hyperlink" Target="https://rog.asus.com/Motherboards/ROG-Strix/ROG-STRIX-Z370-I-GAMING-Model/" TargetMode="External"/><Relationship Id="rId81" Type="http://schemas.openxmlformats.org/officeDocument/2006/relationships/hyperlink" Target="https://www.asrock.com/" TargetMode="External"/><Relationship Id="rId73" Type="http://schemas.openxmlformats.org/officeDocument/2006/relationships/hyperlink" Target="https://www.asus.com/Motherboards-Components/Motherboards/All-series/PRIME-H310I-PLUS-CSM/" TargetMode="External"/><Relationship Id="rId72" Type="http://schemas.openxmlformats.org/officeDocument/2006/relationships/hyperlink" Target="https://www.asrock.com/MB/Intel/H310M-ITXac/" TargetMode="External"/><Relationship Id="rId75" Type="http://schemas.openxmlformats.org/officeDocument/2006/relationships/hyperlink" Target="https://www.asrock.com/" TargetMode="External"/><Relationship Id="rId74" Type="http://schemas.openxmlformats.org/officeDocument/2006/relationships/hyperlink" Target="https://www.asus.com/us/Motherboards/PRIME-H310I-PLUS-R2-0-CSM/" TargetMode="External"/><Relationship Id="rId77" Type="http://schemas.openxmlformats.org/officeDocument/2006/relationships/hyperlink" Target="https://www.asrock.com/" TargetMode="External"/><Relationship Id="rId76" Type="http://schemas.openxmlformats.org/officeDocument/2006/relationships/hyperlink" Target="https://rog.asus.com/Motherboards/ROG-Strix/ROG-STRIX-B360-I-GAMING-Model/" TargetMode="External"/><Relationship Id="rId79" Type="http://schemas.openxmlformats.org/officeDocument/2006/relationships/hyperlink" Target="https://rog.asus.com/Motherboards/ROG-Strix/ROG-STRIX-H370-I-GAMING-Model/" TargetMode="External"/><Relationship Id="rId78" Type="http://schemas.openxmlformats.org/officeDocument/2006/relationships/hyperlink" Target="https://www.asrock.com/" TargetMode="External"/><Relationship Id="rId71" Type="http://schemas.openxmlformats.org/officeDocument/2006/relationships/hyperlink" Target="https://www.asrock.com/" TargetMode="External"/><Relationship Id="rId70" Type="http://schemas.openxmlformats.org/officeDocument/2006/relationships/hyperlink" Target="https://rog.asus.com/Motherboards/ROG-Strix/ROG-STRIX-Z270-I-GAMING-Model/" TargetMode="External"/><Relationship Id="rId62" Type="http://schemas.openxmlformats.org/officeDocument/2006/relationships/hyperlink" Target="https://www.asus.com/Motherboards-Components/Motherboards/All-series/MAXIMUS-VIII-IMPACT/" TargetMode="External"/><Relationship Id="rId61" Type="http://schemas.openxmlformats.org/officeDocument/2006/relationships/hyperlink" Target="https://www.asrock.com/" TargetMode="External"/><Relationship Id="rId64" Type="http://schemas.openxmlformats.org/officeDocument/2006/relationships/hyperlink" Target="https://rog.asus.com/Motherboards/ROG-Strix/ROG-STRIX-B250I-GAMING-Model/" TargetMode="External"/><Relationship Id="rId63" Type="http://schemas.openxmlformats.org/officeDocument/2006/relationships/hyperlink" Target="https://www.asus.com/us/Motherboards/Z170I-PRO-GAMING/" TargetMode="External"/><Relationship Id="rId66" Type="http://schemas.openxmlformats.org/officeDocument/2006/relationships/hyperlink" Target="https://rog.asus.com/Motherboards/ROG-Strix/ROG-STRIX-H270I-GAMING-Model/" TargetMode="External"/><Relationship Id="rId65" Type="http://schemas.openxmlformats.org/officeDocument/2006/relationships/hyperlink" Target="https://www.asrock.com/" TargetMode="External"/><Relationship Id="rId68" Type="http://schemas.openxmlformats.org/officeDocument/2006/relationships/hyperlink" Target="https://www.asrock.com/" TargetMode="External"/><Relationship Id="rId67" Type="http://schemas.openxmlformats.org/officeDocument/2006/relationships/hyperlink" Target="https://www.asrock.com/" TargetMode="External"/><Relationship Id="rId60" Type="http://schemas.openxmlformats.org/officeDocument/2006/relationships/hyperlink" Target="https://www.asrock.com/" TargetMode="External"/><Relationship Id="rId69" Type="http://schemas.openxmlformats.org/officeDocument/2006/relationships/hyperlink" Target="https://www.asrock.com/MB/Intel/Z270M-ITXac/index.asp" TargetMode="External"/><Relationship Id="rId51" Type="http://schemas.openxmlformats.org/officeDocument/2006/relationships/hyperlink" Target="https://www.asrock.com/" TargetMode="External"/><Relationship Id="rId50" Type="http://schemas.openxmlformats.org/officeDocument/2006/relationships/hyperlink" Target="https://www.asrock.com/" TargetMode="External"/><Relationship Id="rId53" Type="http://schemas.openxmlformats.org/officeDocument/2006/relationships/hyperlink" Target="https://www.asrock.com/" TargetMode="External"/><Relationship Id="rId52" Type="http://schemas.openxmlformats.org/officeDocument/2006/relationships/hyperlink" Target="https://www.asus.com/Motherboards-Components/Motherboards/All-series/H110I-PLUS" TargetMode="External"/><Relationship Id="rId55" Type="http://schemas.openxmlformats.org/officeDocument/2006/relationships/hyperlink" Target="https://www.asrock.com/" TargetMode="External"/><Relationship Id="rId54" Type="http://schemas.openxmlformats.org/officeDocument/2006/relationships/hyperlink" Target="https://www.asus.com/us/Motherboards/B150I-PRO-GAMING-WIFI-AURA/" TargetMode="External"/><Relationship Id="rId57" Type="http://schemas.openxmlformats.org/officeDocument/2006/relationships/hyperlink" Target="https://www.asus.com/us/Motherboards/H170I-PLUS-D3/" TargetMode="External"/><Relationship Id="rId56" Type="http://schemas.openxmlformats.org/officeDocument/2006/relationships/hyperlink" Target="https://www.asrock.com/" TargetMode="External"/><Relationship Id="rId59" Type="http://schemas.openxmlformats.org/officeDocument/2006/relationships/hyperlink" Target="https://www.msi.com/Motherboard/H170I-PRO-AC/Specification" TargetMode="External"/><Relationship Id="rId58" Type="http://schemas.openxmlformats.org/officeDocument/2006/relationships/hyperlink" Target="https://www.asus.com/Motherboards-Components/Motherboards/All-series/H170I-PRO/" TargetMode="External"/><Relationship Id="rId95" Type="http://schemas.openxmlformats.org/officeDocument/2006/relationships/hyperlink" Target="https://en.colorful.cn/index.aspx" TargetMode="External"/><Relationship Id="rId94" Type="http://schemas.openxmlformats.org/officeDocument/2006/relationships/hyperlink" Target="https://rog.asus.com/Motherboards/ROG-Strix/ROG-STRIX-B460-I-GAMING-Model/" TargetMode="External"/><Relationship Id="rId97" Type="http://schemas.openxmlformats.org/officeDocument/2006/relationships/hyperlink" Target="https://en.colorful.cn/index.aspx" TargetMode="External"/><Relationship Id="rId96" Type="http://schemas.openxmlformats.org/officeDocument/2006/relationships/hyperlink" Target="https://en.colorful.cn/product_show.aspx?mid=84&amp;id=906" TargetMode="External"/><Relationship Id="rId99" Type="http://schemas.openxmlformats.org/officeDocument/2006/relationships/hyperlink" Target="https://www.gigabyte.com/Motherboard/GA-IMB460N-rev-10" TargetMode="External"/><Relationship Id="rId98" Type="http://schemas.openxmlformats.org/officeDocument/2006/relationships/hyperlink" Target="https://en.colorful.cn/product_show.aspx?mid=84&amp;id=907" TargetMode="External"/><Relationship Id="rId91" Type="http://schemas.openxmlformats.org/officeDocument/2006/relationships/hyperlink" Target="https://www.asrock.com/" TargetMode="External"/><Relationship Id="rId90" Type="http://schemas.openxmlformats.org/officeDocument/2006/relationships/hyperlink" Target="https://www.msi.com/Motherboard/H410I-PRO-WIFI" TargetMode="External"/><Relationship Id="rId93" Type="http://schemas.openxmlformats.org/officeDocument/2006/relationships/hyperlink" Target="https://www.asus.com/Motherboards-Components/Motherboards/PRIME/PRIME-B460I-PLUS/" TargetMode="External"/><Relationship Id="rId92" Type="http://schemas.openxmlformats.org/officeDocument/2006/relationships/hyperlink" Target="https://www.asrock.com/mb/Intel/B460M-ITXac/index.asp" TargetMode="External"/><Relationship Id="rId1" Type="http://schemas.openxmlformats.org/officeDocument/2006/relationships/comments" Target="../comments13.xml"/><Relationship Id="rId2" Type="http://schemas.openxmlformats.org/officeDocument/2006/relationships/hyperlink" Target="https://www.asrock.com/" TargetMode="External"/><Relationship Id="rId3" Type="http://schemas.openxmlformats.org/officeDocument/2006/relationships/hyperlink" Target="https://www.asus.com/Motherboards-Components/Motherboards/All-series/PRIME-A320I-K" TargetMode="External"/><Relationship Id="rId4" Type="http://schemas.openxmlformats.org/officeDocument/2006/relationships/hyperlink" Target="https://www.asrock.com/" TargetMode="External"/><Relationship Id="rId9" Type="http://schemas.openxmlformats.org/officeDocument/2006/relationships/hyperlink" Target="https://www.asus.com/" TargetMode="External"/><Relationship Id="rId5" Type="http://schemas.openxmlformats.org/officeDocument/2006/relationships/hyperlink" Target="https://rog.asus.com/Motherboards/ROG-Strix/ROG-STRIX-B350-I-GAMING-Model/" TargetMode="External"/><Relationship Id="rId6" Type="http://schemas.openxmlformats.org/officeDocument/2006/relationships/hyperlink" Target="https://www.asrock.com/" TargetMode="External"/><Relationship Id="rId7" Type="http://schemas.openxmlformats.org/officeDocument/2006/relationships/hyperlink" Target="https://rog.asus.com/Motherboards/ROG-Strix/ROG-STRIX-X370-I-GAMING-Model/" TargetMode="External"/><Relationship Id="rId8" Type="http://schemas.openxmlformats.org/officeDocument/2006/relationships/hyperlink" Target="https://www.asrock.com/" TargetMode="External"/><Relationship Id="rId190" Type="http://schemas.openxmlformats.org/officeDocument/2006/relationships/hyperlink" Target="https://www.asrock.com/" TargetMode="External"/><Relationship Id="rId192" Type="http://schemas.openxmlformats.org/officeDocument/2006/relationships/vmlDrawing" Target="../drawings/vmlDrawing13.vml"/><Relationship Id="rId191" Type="http://schemas.openxmlformats.org/officeDocument/2006/relationships/drawing" Target="../drawings/drawing16.xml"/><Relationship Id="rId187" Type="http://schemas.openxmlformats.org/officeDocument/2006/relationships/hyperlink" Target="https://rog.asus.com/motherboards/rog-strix/rog-strix-z790-i-gaming-wifi-model/" TargetMode="External"/><Relationship Id="rId186" Type="http://schemas.openxmlformats.org/officeDocument/2006/relationships/hyperlink" Target="https://pg.asrock.com/mb/Intel/Z790I%20Lightning%20WiFi/index.asp" TargetMode="External"/><Relationship Id="rId185" Type="http://schemas.openxmlformats.org/officeDocument/2006/relationships/hyperlink" Target="https://www.asrock.com/" TargetMode="External"/><Relationship Id="rId184" Type="http://schemas.openxmlformats.org/officeDocument/2006/relationships/hyperlink" Target="https://www.asrock.com/mb/Intel/Z790%20PG-ITXTB4/index.asp" TargetMode="External"/><Relationship Id="rId189" Type="http://schemas.openxmlformats.org/officeDocument/2006/relationships/hyperlink" Target="https://www.msi.com/Motherboard/MPG-Z790I-EDGE-WIFI" TargetMode="External"/><Relationship Id="rId188" Type="http://schemas.openxmlformats.org/officeDocument/2006/relationships/hyperlink" Target="https://www.gigabyte.com/Motherboard/Z790I-AORUS-ULTRA-rev-10" TargetMode="External"/><Relationship Id="rId183" Type="http://schemas.openxmlformats.org/officeDocument/2006/relationships/hyperlink" Target="https://www.asrock.com/" TargetMode="External"/><Relationship Id="rId182" Type="http://schemas.openxmlformats.org/officeDocument/2006/relationships/hyperlink" Target="https://www.asrock.com/mb/Intel/Z790M-ITX%20WiFi/index.asp" TargetMode="External"/><Relationship Id="rId181" Type="http://schemas.openxmlformats.org/officeDocument/2006/relationships/hyperlink" Target="https://www.asrock.com/" TargetMode="External"/><Relationship Id="rId180" Type="http://schemas.openxmlformats.org/officeDocument/2006/relationships/hyperlink" Target="https://www.msi.com/Motherboard/MPG-B760I-EDGE-WIFI-DDR4" TargetMode="External"/><Relationship Id="rId176" Type="http://schemas.openxmlformats.org/officeDocument/2006/relationships/hyperlink" Target="https://en.colorful.cn/en/home/product?mid=84&amp;id=f69ac184-5095-4bf3-ba1f-da51c20a25f3" TargetMode="External"/><Relationship Id="rId175" Type="http://schemas.openxmlformats.org/officeDocument/2006/relationships/hyperlink" Target="https://en.colorful.cn/index.aspx" TargetMode="External"/><Relationship Id="rId174" Type="http://schemas.openxmlformats.org/officeDocument/2006/relationships/hyperlink" Target="https://en.colorful.cn/en/home/product?mid=84&amp;id=6345d813-98af-49d9-95e6-d1578cfed8c8" TargetMode="External"/><Relationship Id="rId173" Type="http://schemas.openxmlformats.org/officeDocument/2006/relationships/hyperlink" Target="https://en.colorful.cn/index.aspx" TargetMode="External"/><Relationship Id="rId179" Type="http://schemas.openxmlformats.org/officeDocument/2006/relationships/hyperlink" Target="https://www.msi.com/Motherboard/MPG-B760I-EDGE-WIFI" TargetMode="External"/><Relationship Id="rId178" Type="http://schemas.openxmlformats.org/officeDocument/2006/relationships/hyperlink" Target="https://www.gigabyte.com/Motherboard/B760I-AORUS-PRO-DDR4-rev-10" TargetMode="External"/><Relationship Id="rId177" Type="http://schemas.openxmlformats.org/officeDocument/2006/relationships/hyperlink" Target="https://www.gigabyte.com/Motherboard/B760I-AORUS-PRO-rev-10" TargetMode="External"/><Relationship Id="rId150" Type="http://schemas.openxmlformats.org/officeDocument/2006/relationships/hyperlink" Target="https://www.asrock.com/mb/Intel/H670M-ITXax/index.asp" TargetMode="External"/><Relationship Id="rId149" Type="http://schemas.openxmlformats.org/officeDocument/2006/relationships/hyperlink" Target="https://www.asrock.com/" TargetMode="External"/><Relationship Id="rId148" Type="http://schemas.openxmlformats.org/officeDocument/2006/relationships/hyperlink" Target="https://www.gigabyte.com/Motherboard/B660I-AORUS-PRO-DDR4-rev-1x" TargetMode="External"/><Relationship Id="rId143" Type="http://schemas.openxmlformats.org/officeDocument/2006/relationships/hyperlink" Target="https://www.biostar.com.tw/app/en/mb/introduction.php?S_ID=1073" TargetMode="External"/><Relationship Id="rId142" Type="http://schemas.openxmlformats.org/officeDocument/2006/relationships/hyperlink" Target="https://www.biostar.com.tw/app/en/mb/introduction.php?S_ID=1045" TargetMode="External"/><Relationship Id="rId141" Type="http://schemas.openxmlformats.org/officeDocument/2006/relationships/hyperlink" Target="https://rog.asus.com/motherboards/rog-strix/rog-strix-b660-i-gaming-wifi-model/" TargetMode="External"/><Relationship Id="rId140" Type="http://schemas.openxmlformats.org/officeDocument/2006/relationships/hyperlink" Target="https://www.asrock.com/mb/Intel/B660M-ITXac/index.asp" TargetMode="External"/><Relationship Id="rId147" Type="http://schemas.openxmlformats.org/officeDocument/2006/relationships/hyperlink" Target="https://en.colorful.cn/product_show.aspx?mid=84&amp;id=956" TargetMode="External"/><Relationship Id="rId146" Type="http://schemas.openxmlformats.org/officeDocument/2006/relationships/hyperlink" Target="https://en.colorful.cn/index.aspx" TargetMode="External"/><Relationship Id="rId145" Type="http://schemas.openxmlformats.org/officeDocument/2006/relationships/hyperlink" Target="https://en.colorful.cn/product_show.aspx?mid=84&amp;id=957" TargetMode="External"/><Relationship Id="rId144" Type="http://schemas.openxmlformats.org/officeDocument/2006/relationships/hyperlink" Target="https://en.colorful.cn/index.aspx" TargetMode="External"/><Relationship Id="rId139" Type="http://schemas.openxmlformats.org/officeDocument/2006/relationships/hyperlink" Target="https://www.asrock.com/" TargetMode="External"/><Relationship Id="rId138" Type="http://schemas.openxmlformats.org/officeDocument/2006/relationships/hyperlink" Target="http://www.maxsun.com.cn/2022/0429/5701.html" TargetMode="External"/><Relationship Id="rId137" Type="http://schemas.openxmlformats.org/officeDocument/2006/relationships/hyperlink" Target="http://www.maxsun.com.cn/" TargetMode="External"/><Relationship Id="rId132" Type="http://schemas.openxmlformats.org/officeDocument/2006/relationships/hyperlink" Target="https://www.msi.com/Motherboard/MEG-Z590I-UNIFY" TargetMode="External"/><Relationship Id="rId131" Type="http://schemas.openxmlformats.org/officeDocument/2006/relationships/hyperlink" Target="https://www.gigabyte.com/Motherboard/Z590I-VISION-D-rev-10" TargetMode="External"/><Relationship Id="rId130" Type="http://schemas.openxmlformats.org/officeDocument/2006/relationships/hyperlink" Target="https://www.gigabyte.com/Motherboard/Z590I-AORUS-ULTRA-rev-10" TargetMode="External"/><Relationship Id="rId136" Type="http://schemas.openxmlformats.org/officeDocument/2006/relationships/hyperlink" Target="https://www.gigabyte.com/Motherboard/H610I-DDR4-rev-10" TargetMode="External"/><Relationship Id="rId135" Type="http://schemas.openxmlformats.org/officeDocument/2006/relationships/hyperlink" Target="https://www.asus.com/Motherboards-Components/Motherboards/PRIME/PRIME-H610I-PLUS-D4/" TargetMode="External"/><Relationship Id="rId134" Type="http://schemas.openxmlformats.org/officeDocument/2006/relationships/hyperlink" Target="https://www.asrock.com/mb/Intel/H610M-ITXac/index.asp" TargetMode="External"/><Relationship Id="rId133" Type="http://schemas.openxmlformats.org/officeDocument/2006/relationships/hyperlink" Target="https://www.asrock.com/" TargetMode="External"/><Relationship Id="rId172" Type="http://schemas.openxmlformats.org/officeDocument/2006/relationships/hyperlink" Target="https://www.biostar.com.tw/app/en/mb/introduction.php?S_ID=1102" TargetMode="External"/><Relationship Id="rId171" Type="http://schemas.openxmlformats.org/officeDocument/2006/relationships/hyperlink" Target="https://rog.asus.com/motherboards/rog-strix/rog-strix-b760-i-gaming-wifi-model/" TargetMode="External"/><Relationship Id="rId170" Type="http://schemas.openxmlformats.org/officeDocument/2006/relationships/hyperlink" Target="https://pg.asrock.com/mb/Intel/B760I%20Lightning%20WiFi/index.asp" TargetMode="External"/><Relationship Id="rId165" Type="http://schemas.openxmlformats.org/officeDocument/2006/relationships/hyperlink" Target="http://www.maxsun.com.cn/2022/0419/5696.html" TargetMode="External"/><Relationship Id="rId164" Type="http://schemas.openxmlformats.org/officeDocument/2006/relationships/hyperlink" Target="http://www.maxsun.com.cn/" TargetMode="External"/><Relationship Id="rId163" Type="http://schemas.openxmlformats.org/officeDocument/2006/relationships/hyperlink" Target="https://www.gigabyte.com/Motherboard/Z690I-AORUS-ULTRA-PLUS-rev-10" TargetMode="External"/><Relationship Id="rId162" Type="http://schemas.openxmlformats.org/officeDocument/2006/relationships/hyperlink" Target="https://www.gigabyte.com/Motherboard/Z690I-AORUS-ULTRA-PLUS-DDR4-rev-10" TargetMode="External"/><Relationship Id="rId169" Type="http://schemas.openxmlformats.org/officeDocument/2006/relationships/hyperlink" Target="https://www.asrock.com/" TargetMode="External"/><Relationship Id="rId168" Type="http://schemas.openxmlformats.org/officeDocument/2006/relationships/hyperlink" Target="https://www.asrock.com/mb/Intel/B760M-ITXD4%20WiFi/index.asp" TargetMode="External"/><Relationship Id="rId167" Type="http://schemas.openxmlformats.org/officeDocument/2006/relationships/hyperlink" Target="https://www.asrock.com/" TargetMode="External"/><Relationship Id="rId166" Type="http://schemas.openxmlformats.org/officeDocument/2006/relationships/hyperlink" Target="https://www.msi.com/Motherboard/MEG-Z690I-UNIFY" TargetMode="External"/><Relationship Id="rId161" Type="http://schemas.openxmlformats.org/officeDocument/2006/relationships/hyperlink" Target="https://www.gigabyte.com/Motherboard/Z690I-AORUS-ULTRA-LITE-rev-10" TargetMode="External"/><Relationship Id="rId160" Type="http://schemas.openxmlformats.org/officeDocument/2006/relationships/hyperlink" Target="https://www.gigabyte.com/Motherboard/Z690I-AORUS-ULTRA-LITE-DDR4-rev-10" TargetMode="External"/><Relationship Id="rId159" Type="http://schemas.openxmlformats.org/officeDocument/2006/relationships/hyperlink" Target="https://www.gigabyte.com/Press/News/1991" TargetMode="External"/><Relationship Id="rId154" Type="http://schemas.openxmlformats.org/officeDocument/2006/relationships/hyperlink" Target="https://www.asrock.com/mb/Intel/Z690%20Phantom%20Gaming-ITXTB4/index.asp" TargetMode="External"/><Relationship Id="rId153" Type="http://schemas.openxmlformats.org/officeDocument/2006/relationships/hyperlink" Target="https://www.asrock.com/" TargetMode="External"/><Relationship Id="rId152" Type="http://schemas.openxmlformats.org/officeDocument/2006/relationships/hyperlink" Target="https://www.asrock.com/mb/Intel/Z690M-ITXax/index.asp" TargetMode="External"/><Relationship Id="rId151" Type="http://schemas.openxmlformats.org/officeDocument/2006/relationships/hyperlink" Target="https://www.asrock.com/" TargetMode="External"/><Relationship Id="rId158" Type="http://schemas.openxmlformats.org/officeDocument/2006/relationships/hyperlink" Target="https://www.gigabyte.com/Motherboard/Z690I-AORUS-ULTRA-rev-10" TargetMode="External"/><Relationship Id="rId157" Type="http://schemas.openxmlformats.org/officeDocument/2006/relationships/hyperlink" Target="https://www.gigabyte.com/Press/News/1991" TargetMode="External"/><Relationship Id="rId156" Type="http://schemas.openxmlformats.org/officeDocument/2006/relationships/hyperlink" Target="https://www.gigabyte.com/Motherboard/Z690I-AORUS-ULTRA-DDR4-rev-10" TargetMode="External"/><Relationship Id="rId155" Type="http://schemas.openxmlformats.org/officeDocument/2006/relationships/hyperlink" Target="https://rog.asus.com/motherboards/rog-strix/rog-strix-z690-i-gaming-wifi-model/" TargetMode="External"/><Relationship Id="rId107" Type="http://schemas.openxmlformats.org/officeDocument/2006/relationships/hyperlink" Target="https://www.biostar.com.tw/app/en/mb/introduction.php?S_ID=991" TargetMode="External"/><Relationship Id="rId106" Type="http://schemas.openxmlformats.org/officeDocument/2006/relationships/hyperlink" Target="https://rog.asus.com/Motherboards/ROG-Strix/ROG-STRIX-Z490-I-GAMING-Model/" TargetMode="External"/><Relationship Id="rId105" Type="http://schemas.openxmlformats.org/officeDocument/2006/relationships/hyperlink" Target="https://www.asrock.com/" TargetMode="External"/><Relationship Id="rId104" Type="http://schemas.openxmlformats.org/officeDocument/2006/relationships/hyperlink" Target="https://www.asrock.com/" TargetMode="External"/><Relationship Id="rId109" Type="http://schemas.openxmlformats.org/officeDocument/2006/relationships/hyperlink" Target="https://www.msi.com/Motherboard/MEG-Z490I-UNIFY" TargetMode="External"/><Relationship Id="rId108" Type="http://schemas.openxmlformats.org/officeDocument/2006/relationships/hyperlink" Target="https://www.gigabyte.com/Motherboard/Z490I-AORUS-ULTRA-rev-1x" TargetMode="External"/><Relationship Id="rId103" Type="http://schemas.openxmlformats.org/officeDocument/2006/relationships/hyperlink" Target="https://www.gigabyte.com/Motherboard/H470I-AORUS-PRO-AX-rev-10" TargetMode="External"/><Relationship Id="rId102" Type="http://schemas.openxmlformats.org/officeDocument/2006/relationships/hyperlink" Target="https://rog.asus.com/Motherboards/ROG-Strix/ROG-STRIX-H470-I-GAMING-Model/" TargetMode="External"/><Relationship Id="rId101" Type="http://schemas.openxmlformats.org/officeDocument/2006/relationships/hyperlink" Target="https://www.asrock.com/" TargetMode="External"/><Relationship Id="rId100" Type="http://schemas.openxmlformats.org/officeDocument/2006/relationships/hyperlink" Target="https://www.msi.com/Motherboard/MPG-B460I-GAMING-EDGE-WIFI" TargetMode="External"/><Relationship Id="rId129" Type="http://schemas.openxmlformats.org/officeDocument/2006/relationships/hyperlink" Target="https://www.biostar.com.tw/app/en/mb/introduction.php?S_ID=1004" TargetMode="External"/><Relationship Id="rId128" Type="http://schemas.openxmlformats.org/officeDocument/2006/relationships/hyperlink" Target="https://rog.asus.com/motherboards/rog-strix/rog-strix-z590-i-gaming-wifi-model/" TargetMode="External"/><Relationship Id="rId127" Type="http://schemas.openxmlformats.org/officeDocument/2006/relationships/hyperlink" Target="https://www.asrock.com/mb/Intel/Z590%20Phantom%20Gaming-ITXTB4/index.asp" TargetMode="External"/><Relationship Id="rId126" Type="http://schemas.openxmlformats.org/officeDocument/2006/relationships/hyperlink" Target="https://www.asrock.com/" TargetMode="External"/><Relationship Id="rId121" Type="http://schemas.openxmlformats.org/officeDocument/2006/relationships/hyperlink" Target="https://www.msi.com/Motherboard/MPG-B560I-GAMING-EDGE-WIFI" TargetMode="External"/><Relationship Id="rId120" Type="http://schemas.openxmlformats.org/officeDocument/2006/relationships/hyperlink" Target="https://www.gigabyte.com/Motherboard/B560I-AORUS-PRO-AX-rev-10" TargetMode="External"/><Relationship Id="rId125" Type="http://schemas.openxmlformats.org/officeDocument/2006/relationships/hyperlink" Target="https://www.asrock.com/mb/Intel/Z590M-ITXax/index.asp" TargetMode="External"/><Relationship Id="rId124" Type="http://schemas.openxmlformats.org/officeDocument/2006/relationships/hyperlink" Target="https://www.asrock.com/" TargetMode="External"/><Relationship Id="rId123" Type="http://schemas.openxmlformats.org/officeDocument/2006/relationships/hyperlink" Target="https://www.asrock.com/mb/Intel/H570M-ITXac/index.asp" TargetMode="External"/><Relationship Id="rId122" Type="http://schemas.openxmlformats.org/officeDocument/2006/relationships/hyperlink" Target="https://www.asrock.com/" TargetMode="External"/><Relationship Id="rId118" Type="http://schemas.openxmlformats.org/officeDocument/2006/relationships/hyperlink" Target="https://en.colorful.cn/index.aspx" TargetMode="External"/><Relationship Id="rId117" Type="http://schemas.openxmlformats.org/officeDocument/2006/relationships/hyperlink" Target="https://en.colorful.cn/product_show.aspx?mid=84&amp;id=930" TargetMode="External"/><Relationship Id="rId116" Type="http://schemas.openxmlformats.org/officeDocument/2006/relationships/hyperlink" Target="https://en.colorful.cn/index.aspx" TargetMode="External"/><Relationship Id="rId115" Type="http://schemas.openxmlformats.org/officeDocument/2006/relationships/hyperlink" Target="https://rog.asus.com/motherboards/rog-strix/rog-strix-b560-i-gaming-wifi-model/" TargetMode="External"/><Relationship Id="rId119" Type="http://schemas.openxmlformats.org/officeDocument/2006/relationships/hyperlink" Target="https://en.colorful.cn/product_show.aspx?mid=84&amp;id=929" TargetMode="External"/><Relationship Id="rId110" Type="http://schemas.openxmlformats.org/officeDocument/2006/relationships/hyperlink" Target="https://www.asrock.com/" TargetMode="External"/><Relationship Id="rId114" Type="http://schemas.openxmlformats.org/officeDocument/2006/relationships/hyperlink" Target="https://www.asrock.com/mb/Intel/B560M-ITXac/index.asp" TargetMode="External"/><Relationship Id="rId113" Type="http://schemas.openxmlformats.org/officeDocument/2006/relationships/hyperlink" Target="https://www.asrock.com/" TargetMode="External"/><Relationship Id="rId112" Type="http://schemas.openxmlformats.org/officeDocument/2006/relationships/hyperlink" Target="https://www.msi.com/Motherboard/H510I-PRO-WIFI" TargetMode="External"/><Relationship Id="rId111" Type="http://schemas.openxmlformats.org/officeDocument/2006/relationships/hyperlink" Target="https://www.asrock.com/mb/Intel/H510M-ITXac/index.asp" TargetMode="External"/></Relationships>
</file>

<file path=xl/worksheets/_rels/sheet17.xml.rels><?xml version="1.0" encoding="UTF-8" standalone="yes"?><Relationships xmlns="http://schemas.openxmlformats.org/package/2006/relationships"><Relationship Id="rId392" Type="http://schemas.openxmlformats.org/officeDocument/2006/relationships/hyperlink" Target="https://www.asus.com/Motherboards-Components/Motherboards/Expedition/EX-B660M-V5-D4/" TargetMode="External"/><Relationship Id="rId391" Type="http://schemas.openxmlformats.org/officeDocument/2006/relationships/hyperlink" Target="https://www.asrock.com/mb/Intel/B660M%20Steel%20Legend/index.asp" TargetMode="External"/><Relationship Id="rId390" Type="http://schemas.openxmlformats.org/officeDocument/2006/relationships/hyperlink" Target="http://asrock.com/" TargetMode="External"/><Relationship Id="rId385" Type="http://schemas.openxmlformats.org/officeDocument/2006/relationships/hyperlink" Target="https://www.asrock.com/mb/Intel/B660M%20Phantom%20Gaming%204/index.asp" TargetMode="External"/><Relationship Id="rId384" Type="http://schemas.openxmlformats.org/officeDocument/2006/relationships/hyperlink" Target="http://asrock.com/" TargetMode="External"/><Relationship Id="rId383" Type="http://schemas.openxmlformats.org/officeDocument/2006/relationships/hyperlink" Target="https://www.asrock.com/MB/Intel/B660M%20PG%20Riptide/index.asp" TargetMode="External"/><Relationship Id="rId382" Type="http://schemas.openxmlformats.org/officeDocument/2006/relationships/hyperlink" Target="http://asrock.com/" TargetMode="External"/><Relationship Id="rId389" Type="http://schemas.openxmlformats.org/officeDocument/2006/relationships/hyperlink" Target="https://www.asrock.com/mb/Intel/B660M%20Pro%20RSD5/index.asp" TargetMode="External"/><Relationship Id="rId388" Type="http://schemas.openxmlformats.org/officeDocument/2006/relationships/hyperlink" Target="http://asrock.com/" TargetMode="External"/><Relationship Id="rId387" Type="http://schemas.openxmlformats.org/officeDocument/2006/relationships/hyperlink" Target="https://www.asrock.com/mb/Intel/B660M%20Pro%20RS/index.asp" TargetMode="External"/><Relationship Id="rId386" Type="http://schemas.openxmlformats.org/officeDocument/2006/relationships/hyperlink" Target="http://asrock.com/" TargetMode="External"/><Relationship Id="rId381" Type="http://schemas.openxmlformats.org/officeDocument/2006/relationships/hyperlink" Target="https://www.asrock.com/mb/Intel/B660M-HDVPD5/index.asp" TargetMode="External"/><Relationship Id="rId380" Type="http://schemas.openxmlformats.org/officeDocument/2006/relationships/hyperlink" Target="http://asrock.com/" TargetMode="External"/><Relationship Id="rId379" Type="http://schemas.openxmlformats.org/officeDocument/2006/relationships/hyperlink" Target="https://www.asrock.com/mb/Intel/B660M-HDV/index.asp" TargetMode="External"/><Relationship Id="rId374" Type="http://schemas.openxmlformats.org/officeDocument/2006/relationships/hyperlink" Target="https://www.msi.com/Motherboard/PRO-H610M-E-DDR4" TargetMode="External"/><Relationship Id="rId373" Type="http://schemas.openxmlformats.org/officeDocument/2006/relationships/hyperlink" Target="https://www.msi.com/Motherboard/PRO-H610M-C-EX-DDR4" TargetMode="External"/><Relationship Id="rId372" Type="http://schemas.openxmlformats.org/officeDocument/2006/relationships/hyperlink" Target="https://www.msi.com/Motherboard/PRO-H610M-C-EX" TargetMode="External"/><Relationship Id="rId371" Type="http://schemas.openxmlformats.org/officeDocument/2006/relationships/hyperlink" Target="https://www.msi.com/Motherboard/PRO-H610M-B-DDR4" TargetMode="External"/><Relationship Id="rId378" Type="http://schemas.openxmlformats.org/officeDocument/2006/relationships/hyperlink" Target="http://asrock.com/" TargetMode="External"/><Relationship Id="rId377" Type="http://schemas.openxmlformats.org/officeDocument/2006/relationships/hyperlink" Target="https://www.msi.com/Motherboard/PRO-H610M-G-WIFI-DDR4" TargetMode="External"/><Relationship Id="rId376" Type="http://schemas.openxmlformats.org/officeDocument/2006/relationships/hyperlink" Target="https://www.msi.com/Motherboard/PRO-H610M-G-DDR4" TargetMode="External"/><Relationship Id="rId375" Type="http://schemas.openxmlformats.org/officeDocument/2006/relationships/hyperlink" Target="https://www.msi.com/Motherboard/PRO-H610M-G" TargetMode="External"/><Relationship Id="rId396" Type="http://schemas.openxmlformats.org/officeDocument/2006/relationships/hyperlink" Target="https://www.asus.com/Motherboards-Components/Motherboards/PRIME/PRIME-B660M-K-D4/" TargetMode="External"/><Relationship Id="rId395" Type="http://schemas.openxmlformats.org/officeDocument/2006/relationships/hyperlink" Target="https://www.asus.com/Motherboards-Components/Motherboards/PRIME/PRIME-B660M-A-WIFI-D4/" TargetMode="External"/><Relationship Id="rId394" Type="http://schemas.openxmlformats.org/officeDocument/2006/relationships/hyperlink" Target="https://www.asus.com/Motherboards-Components/Motherboards/PRIME/PRIME-B660M-A-D4/" TargetMode="External"/><Relationship Id="rId393" Type="http://schemas.openxmlformats.org/officeDocument/2006/relationships/hyperlink" Target="https://www.asus.com/Motherboards-Components/Motherboards/Expedition/EX-B660M-V5-PRO-D4/" TargetMode="External"/><Relationship Id="rId399" Type="http://schemas.openxmlformats.org/officeDocument/2006/relationships/hyperlink" Target="https://rog.asus.com/motherboards/rog-strix/rog-strix-b660-g-gaming-wifi-model/" TargetMode="External"/><Relationship Id="rId398" Type="http://schemas.openxmlformats.org/officeDocument/2006/relationships/hyperlink" Target="https://www.asus.com/Motherboards-Components/Motherboards/CSM/Pro-B660M-C-D4-CSM/" TargetMode="External"/><Relationship Id="rId397" Type="http://schemas.openxmlformats.org/officeDocument/2006/relationships/hyperlink" Target="https://www.asus.com/Motherboards-Components/Motherboards/Business/Pro-B660M-C-CSM/" TargetMode="External"/><Relationship Id="rId40" Type="http://schemas.openxmlformats.org/officeDocument/2006/relationships/hyperlink" Target="https://www.asus.com/Motherboards-Components/Motherboards/TUF-Gaming/TUF-GAMING-A520M-PLUS/" TargetMode="External"/><Relationship Id="rId42" Type="http://schemas.openxmlformats.org/officeDocument/2006/relationships/hyperlink" Target="https://www.biostar.com.tw/app/en/mb/introduction.php?S_ID=989" TargetMode="External"/><Relationship Id="rId41" Type="http://schemas.openxmlformats.org/officeDocument/2006/relationships/hyperlink" Target="https://www.asus.com/Motherboards-Components/Motherboards/TUF-Gaming/TUF-GAMING-A520M-PLUS-WIFI/" TargetMode="External"/><Relationship Id="rId44" Type="http://schemas.openxmlformats.org/officeDocument/2006/relationships/hyperlink" Target="https://www.gigabyte.com/Motherboard/A520M-DS3H-rev-1x" TargetMode="External"/><Relationship Id="rId43" Type="http://schemas.openxmlformats.org/officeDocument/2006/relationships/hyperlink" Target="https://www.gigabyte.com/Motherboard/A520M-AORUS-ELITE-rev-1x" TargetMode="External"/><Relationship Id="rId46" Type="http://schemas.openxmlformats.org/officeDocument/2006/relationships/hyperlink" Target="https://www.gigabyte.com/Motherboard/A520M-H-rev-10" TargetMode="External"/><Relationship Id="rId45" Type="http://schemas.openxmlformats.org/officeDocument/2006/relationships/hyperlink" Target="https://www.gigabyte.com/Motherboard/A520M-DS3H-AC-rev-1x" TargetMode="External"/><Relationship Id="rId48" Type="http://schemas.openxmlformats.org/officeDocument/2006/relationships/hyperlink" Target="https://www.msi.com/Motherboard/A520M-PRO" TargetMode="External"/><Relationship Id="rId47" Type="http://schemas.openxmlformats.org/officeDocument/2006/relationships/hyperlink" Target="https://www.gigabyte.com/Motherboard/A520M-S2H-rev-10" TargetMode="External"/><Relationship Id="rId49" Type="http://schemas.openxmlformats.org/officeDocument/2006/relationships/hyperlink" Target="https://www.msi.com/Motherboard/A520M-PRO-C-DASH" TargetMode="External"/><Relationship Id="rId31" Type="http://schemas.openxmlformats.org/officeDocument/2006/relationships/hyperlink" Target="http://asrock.com/" TargetMode="External"/><Relationship Id="rId30" Type="http://schemas.openxmlformats.org/officeDocument/2006/relationships/hyperlink" Target="https://www.asrock.com/mb/AMD/A520M-HVS/index.asp" TargetMode="External"/><Relationship Id="rId33" Type="http://schemas.openxmlformats.org/officeDocument/2006/relationships/hyperlink" Target="http://asrock.com/" TargetMode="External"/><Relationship Id="rId32" Type="http://schemas.openxmlformats.org/officeDocument/2006/relationships/hyperlink" Target="http://asrock.com/mb/AMD/A520M%20Phantom%20Gaming%204/index.asp" TargetMode="External"/><Relationship Id="rId35" Type="http://schemas.openxmlformats.org/officeDocument/2006/relationships/hyperlink" Target="https://www.asus.com/Motherboards-Components/Motherboards/PRIME/PRIME-A520M-A/" TargetMode="External"/><Relationship Id="rId34" Type="http://schemas.openxmlformats.org/officeDocument/2006/relationships/hyperlink" Target="http://asrock.com/mb/AMD/A520M%20Pro4/index.asp" TargetMode="External"/><Relationship Id="rId37" Type="http://schemas.openxmlformats.org/officeDocument/2006/relationships/hyperlink" Target="https://www.asus.com/Motherboards-Components/Motherboards/PRIME/PRIME-A520M-E/" TargetMode="External"/><Relationship Id="rId36" Type="http://schemas.openxmlformats.org/officeDocument/2006/relationships/hyperlink" Target="https://www.asus.com/Motherboards-Components/Motherboards/PRIME/PRIME-A520M-A-II/" TargetMode="External"/><Relationship Id="rId39" Type="http://schemas.openxmlformats.org/officeDocument/2006/relationships/hyperlink" Target="https://www.asus.com/Motherboards/Pro-A520M-C-CSM/" TargetMode="External"/><Relationship Id="rId38" Type="http://schemas.openxmlformats.org/officeDocument/2006/relationships/hyperlink" Target="https://www.asus.com/Motherboards-Components/Motherboards/PRIME/PRIME-A520M-K/" TargetMode="External"/><Relationship Id="rId20" Type="http://schemas.openxmlformats.org/officeDocument/2006/relationships/hyperlink" Target="https://www.biostar.com.tw/app/en/mb/introduction.php?S_ID=960" TargetMode="External"/><Relationship Id="rId22" Type="http://schemas.openxmlformats.org/officeDocument/2006/relationships/hyperlink" Target="https://www.asrock.com/mb/AMD/A520Mac/index.asp" TargetMode="External"/><Relationship Id="rId21" Type="http://schemas.openxmlformats.org/officeDocument/2006/relationships/hyperlink" Target="http://asrock.com/" TargetMode="External"/><Relationship Id="rId24" Type="http://schemas.openxmlformats.org/officeDocument/2006/relationships/hyperlink" Target="https://www.asrock.com/mb/AMD/A520M-HDV/index.asp" TargetMode="External"/><Relationship Id="rId23" Type="http://schemas.openxmlformats.org/officeDocument/2006/relationships/hyperlink" Target="http://asrock.com/" TargetMode="External"/><Relationship Id="rId26" Type="http://schemas.openxmlformats.org/officeDocument/2006/relationships/hyperlink" Target="https://www.asrock.com/mb/AMD/A520M-HDVP/index.asp" TargetMode="External"/><Relationship Id="rId25" Type="http://schemas.openxmlformats.org/officeDocument/2006/relationships/hyperlink" Target="http://asrock.com/" TargetMode="External"/><Relationship Id="rId28" Type="http://schemas.openxmlformats.org/officeDocument/2006/relationships/hyperlink" Target="https://www.asrock.com/mb/AMD/A520M-HDVPDASH/index.asp" TargetMode="External"/><Relationship Id="rId27" Type="http://schemas.openxmlformats.org/officeDocument/2006/relationships/hyperlink" Target="http://asrock.com/" TargetMode="External"/><Relationship Id="rId29" Type="http://schemas.openxmlformats.org/officeDocument/2006/relationships/hyperlink" Target="http://asrock.com/" TargetMode="External"/><Relationship Id="rId11" Type="http://schemas.openxmlformats.org/officeDocument/2006/relationships/hyperlink" Target="https://www.gigabyte.com/Motherboard/B450M-GAMING-rev-10" TargetMode="External"/><Relationship Id="rId10" Type="http://schemas.openxmlformats.org/officeDocument/2006/relationships/hyperlink" Target="https://www.gigabyte.com/Motherboard/B450M-DS3H-WIFI-rev-10" TargetMode="External"/><Relationship Id="rId13" Type="http://schemas.openxmlformats.org/officeDocument/2006/relationships/hyperlink" Target="https://www.gigabyte.com/Motherboard/B450M-S2H-V2-rev-10/" TargetMode="External"/><Relationship Id="rId12" Type="http://schemas.openxmlformats.org/officeDocument/2006/relationships/hyperlink" Target="https://www.gigabyte.com/Motherboard/B450M-S2H-rev-10" TargetMode="External"/><Relationship Id="rId15" Type="http://schemas.openxmlformats.org/officeDocument/2006/relationships/hyperlink" Target="https://www.msi.com/Motherboard/B450M-PRO-M2" TargetMode="External"/><Relationship Id="rId14" Type="http://schemas.openxmlformats.org/officeDocument/2006/relationships/hyperlink" Target="https://www.msi.com/Motherboard/B450M-GAMING-PLUS" TargetMode="External"/><Relationship Id="rId17" Type="http://schemas.openxmlformats.org/officeDocument/2006/relationships/hyperlink" Target="https://www.msi.com/Motherboard/B450M-PRO-M2-V2" TargetMode="External"/><Relationship Id="rId16" Type="http://schemas.openxmlformats.org/officeDocument/2006/relationships/hyperlink" Target="https://www.msi.com/Motherboard/B450M-PRO-M2-MAX" TargetMode="External"/><Relationship Id="rId19" Type="http://schemas.openxmlformats.org/officeDocument/2006/relationships/hyperlink" Target="https://www.biostar.com.tw/app/en/mb/introduction.php?S_ID=956" TargetMode="External"/><Relationship Id="rId18" Type="http://schemas.openxmlformats.org/officeDocument/2006/relationships/hyperlink" Target="https://www.msi.com/Motherboard/B450M-A-PRO-MAX/" TargetMode="External"/><Relationship Id="rId84" Type="http://schemas.openxmlformats.org/officeDocument/2006/relationships/hyperlink" Target="https://www.biostar.com.tw/app/en/mb/introduction.php?S_ID=985" TargetMode="External"/><Relationship Id="rId83" Type="http://schemas.openxmlformats.org/officeDocument/2006/relationships/hyperlink" Target="https://www.asus.com/Motherboards-Components/Motherboards/TUF-Gaming/TUF-GAMING-B550M-WI-FI-ZAKU-II-EDITION/" TargetMode="External"/><Relationship Id="rId86" Type="http://schemas.openxmlformats.org/officeDocument/2006/relationships/hyperlink" Target="https://www.biostar.com.tw/app/en/mb/introduction.php?S_ID=1011" TargetMode="External"/><Relationship Id="rId85" Type="http://schemas.openxmlformats.org/officeDocument/2006/relationships/hyperlink" Target="https://www.biostar.com.tw/app/en/mb/introduction.php?S_ID=987" TargetMode="External"/><Relationship Id="rId88" Type="http://schemas.openxmlformats.org/officeDocument/2006/relationships/hyperlink" Target="https://www.gigabyte.com/Motherboard/B550M-AORUS-ELITE-rev-1x" TargetMode="External"/><Relationship Id="rId87" Type="http://schemas.openxmlformats.org/officeDocument/2006/relationships/hyperlink" Target="https://www.biostar.com.tw/app/en/mb/introduction.php?S_ID=1000" TargetMode="External"/><Relationship Id="rId89" Type="http://schemas.openxmlformats.org/officeDocument/2006/relationships/hyperlink" Target="https://www.gigabyte.com/Motherboard/B550M-AORUS-PRO-rev-10" TargetMode="External"/><Relationship Id="rId80" Type="http://schemas.openxmlformats.org/officeDocument/2006/relationships/hyperlink" Target="https://www.asus.com/Motherboards-Components/Motherboards/TUF-Gaming/TUF-GAMING-B550M-PLUS/" TargetMode="External"/><Relationship Id="rId82" Type="http://schemas.openxmlformats.org/officeDocument/2006/relationships/hyperlink" Target="https://www.asus.com/Motherboards-Components/Motherboards/TUF-Gaming/TUF-GAMING-B550M-PLUS-WIFI-II/" TargetMode="External"/><Relationship Id="rId81" Type="http://schemas.openxmlformats.org/officeDocument/2006/relationships/hyperlink" Target="https://www.asus.com/Motherboards-Components/Motherboards/TUF-Gaming/TUF-GAMING-B550M-PLUS-WI-FI/" TargetMode="External"/><Relationship Id="rId73" Type="http://schemas.openxmlformats.org/officeDocument/2006/relationships/hyperlink" Target="https://www.asus.com/Motherboards-Components/Motherboards/PRIME/PRIME-B550M-A/" TargetMode="External"/><Relationship Id="rId72" Type="http://schemas.openxmlformats.org/officeDocument/2006/relationships/hyperlink" Target="https://www.asrockrack.com/general/productdetail.asp?Model=B550D4U-2T" TargetMode="External"/><Relationship Id="rId75" Type="http://schemas.openxmlformats.org/officeDocument/2006/relationships/hyperlink" Target="https://www.asus.com/Motherboards-Components/Motherboards/PRIME/PRIME-B550M-A-AC/" TargetMode="External"/><Relationship Id="rId74" Type="http://schemas.openxmlformats.org/officeDocument/2006/relationships/hyperlink" Target="https://www.asus.com/Motherboards-Components/Motherboards/PRIME/PRIME-B550M-A-WI-FI/" TargetMode="External"/><Relationship Id="rId77" Type="http://schemas.openxmlformats.org/officeDocument/2006/relationships/hyperlink" Target="https://www.asus.com/Motherboards-Components/Motherboards/PRIME/PRIME-B550M-K/" TargetMode="External"/><Relationship Id="rId76" Type="http://schemas.openxmlformats.org/officeDocument/2006/relationships/hyperlink" Target="https://www.asus.com/Motherboards-Components/Motherboards/PRIME/PRIME-B550M-A-WIFI-II/" TargetMode="External"/><Relationship Id="rId79" Type="http://schemas.openxmlformats.org/officeDocument/2006/relationships/hyperlink" Target="https://www.asus.com/Motherboards-Components/Motherboards/TUF-Gaming/TUF-GAMING-B550M-E-WIFI/" TargetMode="External"/><Relationship Id="rId78" Type="http://schemas.openxmlformats.org/officeDocument/2006/relationships/hyperlink" Target="https://www.asus.com/Motherboards-Components/Motherboards/TUF-Gaming/TUF-GAMING-B550M-E/" TargetMode="External"/><Relationship Id="rId71" Type="http://schemas.openxmlformats.org/officeDocument/2006/relationships/hyperlink" Target="https://www.asrockrack.com/" TargetMode="External"/><Relationship Id="rId70" Type="http://schemas.openxmlformats.org/officeDocument/2006/relationships/hyperlink" Target="https://www.asrockrack.com/general/productdetail.asp?Model=B550D4U" TargetMode="External"/><Relationship Id="rId62" Type="http://schemas.openxmlformats.org/officeDocument/2006/relationships/hyperlink" Target="http://asrock.com/mb/AMD/B550M%20PG%20Riptide/index.asp" TargetMode="External"/><Relationship Id="rId61" Type="http://schemas.openxmlformats.org/officeDocument/2006/relationships/hyperlink" Target="http://asrock.com/" TargetMode="External"/><Relationship Id="rId64" Type="http://schemas.openxmlformats.org/officeDocument/2006/relationships/hyperlink" Target="http://asrock.com/mb/AMD/B550M%20Pro4/index.asp" TargetMode="External"/><Relationship Id="rId63" Type="http://schemas.openxmlformats.org/officeDocument/2006/relationships/hyperlink" Target="http://asrock.com/" TargetMode="External"/><Relationship Id="rId66" Type="http://schemas.openxmlformats.org/officeDocument/2006/relationships/hyperlink" Target="http://asrock.com/mb/AMD/B550M%20Steel%20Legend/index.asp" TargetMode="External"/><Relationship Id="rId65" Type="http://schemas.openxmlformats.org/officeDocument/2006/relationships/hyperlink" Target="http://asrock.com/" TargetMode="External"/><Relationship Id="rId68" Type="http://schemas.openxmlformats.org/officeDocument/2006/relationships/hyperlink" Target="https://www.asrockrack.com/general/productdetail.asp?Model=B550D4ID-2L2T" TargetMode="External"/><Relationship Id="rId67" Type="http://schemas.openxmlformats.org/officeDocument/2006/relationships/hyperlink" Target="https://www.asrockrack.com/" TargetMode="External"/><Relationship Id="rId60" Type="http://schemas.openxmlformats.org/officeDocument/2006/relationships/hyperlink" Target="http://asrock.com/mb/AMD/B550M%20Phantom%20Gaming%204/index.asp" TargetMode="External"/><Relationship Id="rId69" Type="http://schemas.openxmlformats.org/officeDocument/2006/relationships/hyperlink" Target="https://www.asrockrack.com/" TargetMode="External"/><Relationship Id="rId51" Type="http://schemas.openxmlformats.org/officeDocument/2006/relationships/hyperlink" Target="https://www.msi.com/Motherboard/A520M-PRO-VH" TargetMode="External"/><Relationship Id="rId50" Type="http://schemas.openxmlformats.org/officeDocument/2006/relationships/hyperlink" Target="https://www.msi.com/Motherboard/A520M-PRO-VDH" TargetMode="External"/><Relationship Id="rId53" Type="http://schemas.openxmlformats.org/officeDocument/2006/relationships/hyperlink" Target="https://www.msi.com/Motherboard/MAG-A520M-BAZOOKA-WIFI" TargetMode="External"/><Relationship Id="rId52" Type="http://schemas.openxmlformats.org/officeDocument/2006/relationships/hyperlink" Target="https://www.msi.com/Motherboard/A520M-A-PRO" TargetMode="External"/><Relationship Id="rId55" Type="http://schemas.openxmlformats.org/officeDocument/2006/relationships/hyperlink" Target="http://asrock.com/" TargetMode="External"/><Relationship Id="rId54" Type="http://schemas.openxmlformats.org/officeDocument/2006/relationships/hyperlink" Target="https://www.msi.com/Motherboard/MAG-A520M-VECTOR-WIFI" TargetMode="External"/><Relationship Id="rId57" Type="http://schemas.openxmlformats.org/officeDocument/2006/relationships/hyperlink" Target="http://asrock.com/" TargetMode="External"/><Relationship Id="rId56" Type="http://schemas.openxmlformats.org/officeDocument/2006/relationships/hyperlink" Target="https://www.asrock.com/mb/AMD/B550M-HDV/index.asp" TargetMode="External"/><Relationship Id="rId59" Type="http://schemas.openxmlformats.org/officeDocument/2006/relationships/hyperlink" Target="http://asrock.com/" TargetMode="External"/><Relationship Id="rId58" Type="http://schemas.openxmlformats.org/officeDocument/2006/relationships/hyperlink" Target="http://asrock.com/mb/AMD/B550Mac/index.asp" TargetMode="External"/><Relationship Id="rId349" Type="http://schemas.openxmlformats.org/officeDocument/2006/relationships/hyperlink" Target="https://www.asrock.com/mb/Intel/H610M-HDVPD5/index.asp" TargetMode="External"/><Relationship Id="rId348" Type="http://schemas.openxmlformats.org/officeDocument/2006/relationships/hyperlink" Target="http://asrock.com/" TargetMode="External"/><Relationship Id="rId347" Type="http://schemas.openxmlformats.org/officeDocument/2006/relationships/hyperlink" Target="https://www.asrock.com/mb/Intel/H610M-HDVM.2/index.asp" TargetMode="External"/><Relationship Id="rId346" Type="http://schemas.openxmlformats.org/officeDocument/2006/relationships/hyperlink" Target="http://asrock.com/" TargetMode="External"/><Relationship Id="rId341" Type="http://schemas.openxmlformats.org/officeDocument/2006/relationships/hyperlink" Target="https://www.gigabyte.com/Motherboard/Z590M-GAMING-X-rev-10" TargetMode="External"/><Relationship Id="rId340" Type="http://schemas.openxmlformats.org/officeDocument/2006/relationships/hyperlink" Target="https://www.gigabyte.com/Motherboard/Z590M-rev-10" TargetMode="External"/><Relationship Id="rId345" Type="http://schemas.openxmlformats.org/officeDocument/2006/relationships/hyperlink" Target="https://www.asrock.com/mb/Intel/H610M-HDV/index.asp" TargetMode="External"/><Relationship Id="rId344" Type="http://schemas.openxmlformats.org/officeDocument/2006/relationships/hyperlink" Target="http://asrock.com/" TargetMode="External"/><Relationship Id="rId343" Type="http://schemas.openxmlformats.org/officeDocument/2006/relationships/hyperlink" Target="https://www.msi.com/Motherboard/Z590M-PRO" TargetMode="External"/><Relationship Id="rId342" Type="http://schemas.openxmlformats.org/officeDocument/2006/relationships/hyperlink" Target="https://www.msi.com/Motherboard/MPG-Z590M-GAMING-EDGE-WIFI" TargetMode="External"/><Relationship Id="rId338" Type="http://schemas.openxmlformats.org/officeDocument/2006/relationships/hyperlink" Target="https://en.colorful.cn/index.aspx" TargetMode="External"/><Relationship Id="rId337" Type="http://schemas.openxmlformats.org/officeDocument/2006/relationships/hyperlink" Target="https://en.colorful.cn/product_show.aspx?mid=84&amp;id=913" TargetMode="External"/><Relationship Id="rId336" Type="http://schemas.openxmlformats.org/officeDocument/2006/relationships/hyperlink" Target="https://en.colorful.cn/index.aspx" TargetMode="External"/><Relationship Id="rId335" Type="http://schemas.openxmlformats.org/officeDocument/2006/relationships/hyperlink" Target="https://en.colorful.cn/product_show.aspx?mid=84&amp;id=922" TargetMode="External"/><Relationship Id="rId339" Type="http://schemas.openxmlformats.org/officeDocument/2006/relationships/hyperlink" Target="https://en.colorful.cn/product_show.aspx?mid=84&amp;id=912" TargetMode="External"/><Relationship Id="rId330" Type="http://schemas.openxmlformats.org/officeDocument/2006/relationships/hyperlink" Target="https://www.asrock.com/mb/Intel/Z590M%20Phantom%20Gaming%204/index.asp" TargetMode="External"/><Relationship Id="rId334" Type="http://schemas.openxmlformats.org/officeDocument/2006/relationships/hyperlink" Target="https://en.colorful.cn/index.aspx" TargetMode="External"/><Relationship Id="rId333" Type="http://schemas.openxmlformats.org/officeDocument/2006/relationships/hyperlink" Target="https://www.asus.com/Motherboards-Components/Motherboards/PRIME/PRIME-Z590M-PLUS/" TargetMode="External"/><Relationship Id="rId332" Type="http://schemas.openxmlformats.org/officeDocument/2006/relationships/hyperlink" Target="https://www.asrock.com/mb/Intel/Z590M%20Pro4/index.asp" TargetMode="External"/><Relationship Id="rId331" Type="http://schemas.openxmlformats.org/officeDocument/2006/relationships/hyperlink" Target="http://asrock.com/" TargetMode="External"/><Relationship Id="rId370" Type="http://schemas.openxmlformats.org/officeDocument/2006/relationships/hyperlink" Target="http://www.maxsun.com.cn/2022/0108/5650.html" TargetMode="External"/><Relationship Id="rId369" Type="http://schemas.openxmlformats.org/officeDocument/2006/relationships/hyperlink" Target="http://www.maxsun.com.cn/" TargetMode="External"/><Relationship Id="rId368" Type="http://schemas.openxmlformats.org/officeDocument/2006/relationships/hyperlink" Target="https://www.gigabyte.com/Motherboard/H610M-S2H-DDR4-rev-11" TargetMode="External"/><Relationship Id="rId363" Type="http://schemas.openxmlformats.org/officeDocument/2006/relationships/hyperlink" Target="https://www.biostar.com.tw/app/en/mb/introduction.php?S_ID=1069" TargetMode="External"/><Relationship Id="rId362" Type="http://schemas.openxmlformats.org/officeDocument/2006/relationships/hyperlink" Target="https://www.biostar.com.tw/app/en/mb/introduction.php?S_ID=1050" TargetMode="External"/><Relationship Id="rId361" Type="http://schemas.openxmlformats.org/officeDocument/2006/relationships/hyperlink" Target="https://www.asus.com/Motherboards-Components/Motherboards/Business/Pro-H610M-C-D4-CSM/" TargetMode="External"/><Relationship Id="rId360" Type="http://schemas.openxmlformats.org/officeDocument/2006/relationships/hyperlink" Target="https://www.asus.com/Motherboards-Components/Motherboards/CSM/Pro-H610M-C-CSM/" TargetMode="External"/><Relationship Id="rId367" Type="http://schemas.openxmlformats.org/officeDocument/2006/relationships/hyperlink" Target="https://www.gigabyte.com/Motherboard/H610M-S2-DDR4-rev-11" TargetMode="External"/><Relationship Id="rId366" Type="http://schemas.openxmlformats.org/officeDocument/2006/relationships/hyperlink" Target="https://www.gigabyte.com/Motherboard/H610M-HD3P-rev-10" TargetMode="External"/><Relationship Id="rId365" Type="http://schemas.openxmlformats.org/officeDocument/2006/relationships/hyperlink" Target="https://www.gigabyte.com/Motherboard/H610M-H-DDR4-rev-10" TargetMode="External"/><Relationship Id="rId364" Type="http://schemas.openxmlformats.org/officeDocument/2006/relationships/hyperlink" Target="https://www.biostar.com.tw/app/en/mb/introduction.php?S_ID=1047" TargetMode="External"/><Relationship Id="rId95" Type="http://schemas.openxmlformats.org/officeDocument/2006/relationships/hyperlink" Target="https://www.gigabyte.com/Motherboard/B550M-H-rev-10" TargetMode="External"/><Relationship Id="rId94" Type="http://schemas.openxmlformats.org/officeDocument/2006/relationships/hyperlink" Target="https://www.gigabyte.com/Motherboard/B550M-GAMING-rev-10" TargetMode="External"/><Relationship Id="rId97" Type="http://schemas.openxmlformats.org/officeDocument/2006/relationships/hyperlink" Target="https://www.msi.com/Motherboard/B550M-A-PRO" TargetMode="External"/><Relationship Id="rId96" Type="http://schemas.openxmlformats.org/officeDocument/2006/relationships/hyperlink" Target="https://www.gigabyte.com/Motherboard/B550M-S2H-rev-10" TargetMode="External"/><Relationship Id="rId99" Type="http://schemas.openxmlformats.org/officeDocument/2006/relationships/hyperlink" Target="https://www.msi.com/Motherboard/B550M-PRO-DASH" TargetMode="External"/><Relationship Id="rId98" Type="http://schemas.openxmlformats.org/officeDocument/2006/relationships/hyperlink" Target="https://www.msi.com/Motherboard/B550M-PRO" TargetMode="External"/><Relationship Id="rId91" Type="http://schemas.openxmlformats.org/officeDocument/2006/relationships/hyperlink" Target="https://www.gigabyte.com/Motherboard/B550M-AORUS-PRO-AX-rev-11" TargetMode="External"/><Relationship Id="rId90" Type="http://schemas.openxmlformats.org/officeDocument/2006/relationships/hyperlink" Target="https://www.gigabyte.com/Motherboard/B550M-AORUS-PRO-P-rev-10" TargetMode="External"/><Relationship Id="rId93" Type="http://schemas.openxmlformats.org/officeDocument/2006/relationships/hyperlink" Target="https://www.gigabyte.com/Motherboard/B550M-DS3H-AC-rev-1x" TargetMode="External"/><Relationship Id="rId92" Type="http://schemas.openxmlformats.org/officeDocument/2006/relationships/hyperlink" Target="https://www.gigabyte.com/Motherboard/B550M-DS3H-rev-1x" TargetMode="External"/><Relationship Id="rId359" Type="http://schemas.openxmlformats.org/officeDocument/2006/relationships/hyperlink" Target="https://www.asus.com/Motherboards-Components/Motherboards/PRIME/PRIME-H610M-K-D4/" TargetMode="External"/><Relationship Id="rId358" Type="http://schemas.openxmlformats.org/officeDocument/2006/relationships/hyperlink" Target="https://www.asus.com/Motherboards-Components/Motherboards/PRIME/PRIME-H610M-F-D4/" TargetMode="External"/><Relationship Id="rId357" Type="http://schemas.openxmlformats.org/officeDocument/2006/relationships/hyperlink" Target="https://www.asus.com/Motherboards-Components/Motherboards/PRIME/PRIME-H610M-E-D4/" TargetMode="External"/><Relationship Id="rId352" Type="http://schemas.openxmlformats.org/officeDocument/2006/relationships/hyperlink" Target="https://www.asus.com/Motherboards-Components/Motherboards/Expedition/EX-H610M-V3-D4/" TargetMode="External"/><Relationship Id="rId351" Type="http://schemas.openxmlformats.org/officeDocument/2006/relationships/hyperlink" Target="https://www.asrock.com/mb/Intel/H610M-HVS/index.asp" TargetMode="External"/><Relationship Id="rId350" Type="http://schemas.openxmlformats.org/officeDocument/2006/relationships/hyperlink" Target="http://asrock.com/" TargetMode="External"/><Relationship Id="rId356" Type="http://schemas.openxmlformats.org/officeDocument/2006/relationships/hyperlink" Target="https://www.asus.com/motherboards-components/motherboards/prime/prime-h610m-e/" TargetMode="External"/><Relationship Id="rId355" Type="http://schemas.openxmlformats.org/officeDocument/2006/relationships/hyperlink" Target="https://www.asus.com/Motherboards-Components/Motherboards/PRIME/PRIME-H610M-D-D4/" TargetMode="External"/><Relationship Id="rId354" Type="http://schemas.openxmlformats.org/officeDocument/2006/relationships/hyperlink" Target="https://www.asus.com/Motherboards-Components/Motherboards/PRIME/PRIME-H610M-A-WIFI-D4/" TargetMode="External"/><Relationship Id="rId353" Type="http://schemas.openxmlformats.org/officeDocument/2006/relationships/hyperlink" Target="https://www.asus.com/Motherboards-Components/Motherboards/PRIME/PRIME-H610M-A-D4/" TargetMode="External"/><Relationship Id="rId305" Type="http://schemas.openxmlformats.org/officeDocument/2006/relationships/hyperlink" Target="https://www.biostar.com.tw/app/en/mb/introduction.php?S_ID=1008" TargetMode="External"/><Relationship Id="rId304" Type="http://schemas.openxmlformats.org/officeDocument/2006/relationships/hyperlink" Target="https://www.asus.com/Motherboards-Components/Motherboards/Business/Pro-H510M-CT-CSM/" TargetMode="External"/><Relationship Id="rId303" Type="http://schemas.openxmlformats.org/officeDocument/2006/relationships/hyperlink" Target="https://www.asus.com/Motherboards-Components/Motherboards/All-series/Pro-H510M-C-CSM/" TargetMode="External"/><Relationship Id="rId302" Type="http://schemas.openxmlformats.org/officeDocument/2006/relationships/hyperlink" Target="https://www.asus.com/Motherboards-Components/Motherboards/PRIME/PRIME-H510M-F/" TargetMode="External"/><Relationship Id="rId309" Type="http://schemas.openxmlformats.org/officeDocument/2006/relationships/hyperlink" Target="https://www.gigabyte.com/Motherboard/H510M-DS2V-rev-10" TargetMode="External"/><Relationship Id="rId308" Type="http://schemas.openxmlformats.org/officeDocument/2006/relationships/hyperlink" Target="https://www.gigabyte.com/Motherboard/H510M-DS2-rev-10" TargetMode="External"/><Relationship Id="rId307" Type="http://schemas.openxmlformats.org/officeDocument/2006/relationships/hyperlink" Target="https://www.gigabyte.com/Motherboard/H510M-A-rev-10" TargetMode="External"/><Relationship Id="rId306" Type="http://schemas.openxmlformats.org/officeDocument/2006/relationships/hyperlink" Target="https://www.biostar.com.tw/app/en/mb/introduction.php?S_ID=1007" TargetMode="External"/><Relationship Id="rId301" Type="http://schemas.openxmlformats.org/officeDocument/2006/relationships/hyperlink" Target="https://www.asus.com/Motherboards-Components/Motherboards/All-series/PRIME-H510M-E/" TargetMode="External"/><Relationship Id="rId300" Type="http://schemas.openxmlformats.org/officeDocument/2006/relationships/hyperlink" Target="https://www.asus.com/Motherboards-Components/Motherboards/All-series/PRIME-H510M-D/" TargetMode="External"/><Relationship Id="rId327" Type="http://schemas.openxmlformats.org/officeDocument/2006/relationships/hyperlink" Target="https://www.msi.com/Motherboard/B560M-PRO-E" TargetMode="External"/><Relationship Id="rId326" Type="http://schemas.openxmlformats.org/officeDocument/2006/relationships/hyperlink" Target="https://www.msi.com/Motherboard/B560M-PRO-WIFI" TargetMode="External"/><Relationship Id="rId325" Type="http://schemas.openxmlformats.org/officeDocument/2006/relationships/hyperlink" Target="https://www.msi.com/Motherboard/B560M-PRO" TargetMode="External"/><Relationship Id="rId324" Type="http://schemas.openxmlformats.org/officeDocument/2006/relationships/hyperlink" Target="https://www.gigabyte.com/Motherboard/B560M-POWER-rev-10" TargetMode="External"/><Relationship Id="rId329" Type="http://schemas.openxmlformats.org/officeDocument/2006/relationships/hyperlink" Target="http://asrock.com/" TargetMode="External"/><Relationship Id="rId328" Type="http://schemas.openxmlformats.org/officeDocument/2006/relationships/hyperlink" Target="https://www.msi.com/Motherboard/B560M-A-PRO" TargetMode="External"/><Relationship Id="rId323" Type="http://schemas.openxmlformats.org/officeDocument/2006/relationships/hyperlink" Target="https://www.gigabyte.com/Motherboard/B560M-H-rev-10" TargetMode="External"/><Relationship Id="rId322" Type="http://schemas.openxmlformats.org/officeDocument/2006/relationships/hyperlink" Target="https://www.gigabyte.com/Motherboard/B560M-GAMING-HD-rev-10" TargetMode="External"/><Relationship Id="rId321" Type="http://schemas.openxmlformats.org/officeDocument/2006/relationships/hyperlink" Target="https://www.gigabyte.com/Motherboard/B560M-D2V-rev-10" TargetMode="External"/><Relationship Id="rId320" Type="http://schemas.openxmlformats.org/officeDocument/2006/relationships/hyperlink" Target="https://www.asus.com/Motherboards-Components/Motherboards/All-series/PRIME-B560M-K/" TargetMode="External"/><Relationship Id="rId316" Type="http://schemas.openxmlformats.org/officeDocument/2006/relationships/hyperlink" Target="https://www.asrock.com/mb/Intel/B560M-HDV/index.asp" TargetMode="External"/><Relationship Id="rId315" Type="http://schemas.openxmlformats.org/officeDocument/2006/relationships/hyperlink" Target="http://asrock.com/" TargetMode="External"/><Relationship Id="rId314" Type="http://schemas.openxmlformats.org/officeDocument/2006/relationships/hyperlink" Target="https://www.msi.com/Motherboard/H510M-A-PRO" TargetMode="External"/><Relationship Id="rId313" Type="http://schemas.openxmlformats.org/officeDocument/2006/relationships/hyperlink" Target="https://www.msi.com/Motherboard/H510M-PRO" TargetMode="External"/><Relationship Id="rId319" Type="http://schemas.openxmlformats.org/officeDocument/2006/relationships/hyperlink" Target="https://www.asus.com/Motherboards-Components/Motherboards/All-series/PRIME-B560M-A" TargetMode="External"/><Relationship Id="rId318" Type="http://schemas.openxmlformats.org/officeDocument/2006/relationships/hyperlink" Target="https://www.asrock.com/mb/Intel/B560M-HDV-A/index.asp" TargetMode="External"/><Relationship Id="rId317" Type="http://schemas.openxmlformats.org/officeDocument/2006/relationships/hyperlink" Target="http://asrock.com/" TargetMode="External"/><Relationship Id="rId312" Type="http://schemas.openxmlformats.org/officeDocument/2006/relationships/hyperlink" Target="https://www.gigabyte.com/Motherboard/H510M-S2H-rev-10" TargetMode="External"/><Relationship Id="rId311" Type="http://schemas.openxmlformats.org/officeDocument/2006/relationships/hyperlink" Target="https://www.gigabyte.com/Motherboard/H510M-S2-rev-10" TargetMode="External"/><Relationship Id="rId310" Type="http://schemas.openxmlformats.org/officeDocument/2006/relationships/hyperlink" Target="https://www.gigabyte.com/Motherboard/H510M-H-rev-10" TargetMode="External"/><Relationship Id="rId297" Type="http://schemas.openxmlformats.org/officeDocument/2006/relationships/hyperlink" Target="https://www.asus.com/Motherboards-Components/Motherboards/Expedition/EX-H510M-V3/" TargetMode="External"/><Relationship Id="rId296" Type="http://schemas.openxmlformats.org/officeDocument/2006/relationships/hyperlink" Target="https://www.asrock.com/mb/Intel/H510Mac/index.asp" TargetMode="External"/><Relationship Id="rId295" Type="http://schemas.openxmlformats.org/officeDocument/2006/relationships/hyperlink" Target="http://asrock.com/" TargetMode="External"/><Relationship Id="rId294" Type="http://schemas.openxmlformats.org/officeDocument/2006/relationships/hyperlink" Target="https://www.asrock.com/mb/Intel/H510M-HVS/index.asp" TargetMode="External"/><Relationship Id="rId299" Type="http://schemas.openxmlformats.org/officeDocument/2006/relationships/hyperlink" Target="https://www.asus.com/Motherboards-Components/Motherboards/All-series/PRIME-H510M-A-WIFI/" TargetMode="External"/><Relationship Id="rId298" Type="http://schemas.openxmlformats.org/officeDocument/2006/relationships/hyperlink" Target="https://www.asus.com/Motherboards-Components/Motherboards/All-series/PRIME-H510M-A/" TargetMode="External"/><Relationship Id="rId271" Type="http://schemas.openxmlformats.org/officeDocument/2006/relationships/hyperlink" Target="https://www.asus.com/motherboards-components/motherboards/all-series/PRIME-H410M-D" TargetMode="External"/><Relationship Id="rId270" Type="http://schemas.openxmlformats.org/officeDocument/2006/relationships/hyperlink" Target="https://www.asus.com/motherboards-components/motherboards/all-series/PRIME-H410M-A" TargetMode="External"/><Relationship Id="rId269" Type="http://schemas.openxmlformats.org/officeDocument/2006/relationships/hyperlink" Target="http://asrock.com/" TargetMode="External"/><Relationship Id="rId264" Type="http://schemas.openxmlformats.org/officeDocument/2006/relationships/hyperlink" Target="https://www.asrock.com/mb/Intel/H410Mac/index.asp" TargetMode="External"/><Relationship Id="rId263" Type="http://schemas.openxmlformats.org/officeDocument/2006/relationships/hyperlink" Target="http://asrock.com/" TargetMode="External"/><Relationship Id="rId262" Type="http://schemas.openxmlformats.org/officeDocument/2006/relationships/hyperlink" Target="https://rog.asus.com/Motherboards/ROG-Maximus/ROG-MAXIMUS-XI-GENE-Model/" TargetMode="External"/><Relationship Id="rId261" Type="http://schemas.openxmlformats.org/officeDocument/2006/relationships/hyperlink" Target="https://www.gigabyte.com/Motherboard/Z370M-DS3H-rev-10" TargetMode="External"/><Relationship Id="rId268" Type="http://schemas.openxmlformats.org/officeDocument/2006/relationships/hyperlink" Target="http://asrock.com/" TargetMode="External"/><Relationship Id="rId267" Type="http://schemas.openxmlformats.org/officeDocument/2006/relationships/hyperlink" Target="http://asrock.com/" TargetMode="External"/><Relationship Id="rId266" Type="http://schemas.openxmlformats.org/officeDocument/2006/relationships/hyperlink" Target="http://asrock.com/" TargetMode="External"/><Relationship Id="rId265" Type="http://schemas.openxmlformats.org/officeDocument/2006/relationships/hyperlink" Target="http://asrock.com/" TargetMode="External"/><Relationship Id="rId260" Type="http://schemas.openxmlformats.org/officeDocument/2006/relationships/hyperlink" Target="https://www.gigabyte.com/Motherboard/H370M-D3H-GSM-rev-10/" TargetMode="External"/><Relationship Id="rId259" Type="http://schemas.openxmlformats.org/officeDocument/2006/relationships/hyperlink" Target="https://www.gigabyte.com/Motherboard/H370M-D3H-rev-10/" TargetMode="External"/><Relationship Id="rId258" Type="http://schemas.openxmlformats.org/officeDocument/2006/relationships/hyperlink" Target="https://www.gigabyte.com/Motherboard/B365M-HD3-rev-10/" TargetMode="External"/><Relationship Id="rId253" Type="http://schemas.openxmlformats.org/officeDocument/2006/relationships/hyperlink" Target="https://www.asus.com/motherboards-components/motherboards/all-series/PRIME-B365M-K" TargetMode="External"/><Relationship Id="rId252" Type="http://schemas.openxmlformats.org/officeDocument/2006/relationships/hyperlink" Target="https://www.asus.com/motherboards-components/motherboards/all-series/PRIME-B365M-A" TargetMode="External"/><Relationship Id="rId251" Type="http://schemas.openxmlformats.org/officeDocument/2006/relationships/hyperlink" Target="http://www.asrock.com/MB/Intel/B365M%20Pro4/" TargetMode="External"/><Relationship Id="rId250" Type="http://schemas.openxmlformats.org/officeDocument/2006/relationships/hyperlink" Target="http://asrock.com/" TargetMode="External"/><Relationship Id="rId257" Type="http://schemas.openxmlformats.org/officeDocument/2006/relationships/hyperlink" Target="https://www.gigabyte.com/Motherboard/B365M-H-rev-10/" TargetMode="External"/><Relationship Id="rId256" Type="http://schemas.openxmlformats.org/officeDocument/2006/relationships/hyperlink" Target="https://www.gigabyte.com/Motherboard/B365M-DS3H-rev-10/" TargetMode="External"/><Relationship Id="rId255" Type="http://schemas.openxmlformats.org/officeDocument/2006/relationships/hyperlink" Target="https://www.gigabyte.com/Motherboard/B365M-D3H-rev-10/" TargetMode="External"/><Relationship Id="rId254" Type="http://schemas.openxmlformats.org/officeDocument/2006/relationships/hyperlink" Target="https://www.biostar.com.tw/app/en/mb/introduction.php?S_ID=951" TargetMode="External"/><Relationship Id="rId293" Type="http://schemas.openxmlformats.org/officeDocument/2006/relationships/hyperlink" Target="http://asrock.com/" TargetMode="External"/><Relationship Id="rId292" Type="http://schemas.openxmlformats.org/officeDocument/2006/relationships/hyperlink" Target="https://www.asrock.com/mb/Intel/H510M-HDV/index.asp" TargetMode="External"/><Relationship Id="rId291" Type="http://schemas.openxmlformats.org/officeDocument/2006/relationships/hyperlink" Target="http://asrock.com/" TargetMode="External"/><Relationship Id="rId290" Type="http://schemas.openxmlformats.org/officeDocument/2006/relationships/hyperlink" Target="https://www.asrock.com/mb/Intel/H510M-HDVM.2/index.asp" TargetMode="External"/><Relationship Id="rId286" Type="http://schemas.openxmlformats.org/officeDocument/2006/relationships/hyperlink" Target="https://www.gigabyte.com/Motherboard/B460M-DS3H-AC-rev-10" TargetMode="External"/><Relationship Id="rId285" Type="http://schemas.openxmlformats.org/officeDocument/2006/relationships/hyperlink" Target="https://www.gigabyte.com/Motherboard/B460M-D2V-rev-10" TargetMode="External"/><Relationship Id="rId284" Type="http://schemas.openxmlformats.org/officeDocument/2006/relationships/hyperlink" Target="https://www.asus.com/motherboards-components/motherboards/all-series/PRIME-B460M-K" TargetMode="External"/><Relationship Id="rId283" Type="http://schemas.openxmlformats.org/officeDocument/2006/relationships/hyperlink" Target="https://www.asus.com/motherboards-components/motherboards/all-series/PRIME-B460M-A" TargetMode="External"/><Relationship Id="rId289" Type="http://schemas.openxmlformats.org/officeDocument/2006/relationships/hyperlink" Target="http://asrock.com/" TargetMode="External"/><Relationship Id="rId288" Type="http://schemas.openxmlformats.org/officeDocument/2006/relationships/hyperlink" Target="https://www.msi.com/Motherboard/B460M-A-PRO/" TargetMode="External"/><Relationship Id="rId287" Type="http://schemas.openxmlformats.org/officeDocument/2006/relationships/hyperlink" Target="https://www.msi.com/Motherboard/B460M-PRO/" TargetMode="External"/><Relationship Id="rId282" Type="http://schemas.openxmlformats.org/officeDocument/2006/relationships/hyperlink" Target="https://www.asus.com/Motherboards-Components/Motherboards/CSM/EX-B460M-V5/" TargetMode="External"/><Relationship Id="rId281" Type="http://schemas.openxmlformats.org/officeDocument/2006/relationships/hyperlink" Target="http://asrock.com/" TargetMode="External"/><Relationship Id="rId280" Type="http://schemas.openxmlformats.org/officeDocument/2006/relationships/hyperlink" Target="http://asrock.com/" TargetMode="External"/><Relationship Id="rId275" Type="http://schemas.openxmlformats.org/officeDocument/2006/relationships/hyperlink" Target="https://www.gigabyte.com/Motherboard/H410M-DS2V-rev-10" TargetMode="External"/><Relationship Id="rId274" Type="http://schemas.openxmlformats.org/officeDocument/2006/relationships/hyperlink" Target="https://www.asus.com/motherboards-components/motherboards/all-series/Pro-H410M-C-CSM" TargetMode="External"/><Relationship Id="rId273" Type="http://schemas.openxmlformats.org/officeDocument/2006/relationships/hyperlink" Target="https://www.asus.com/motherboards-components/motherboards/all-series/PRIME-H410M-K" TargetMode="External"/><Relationship Id="rId272" Type="http://schemas.openxmlformats.org/officeDocument/2006/relationships/hyperlink" Target="https://www.asus.com/motherboards-components/motherboards/all-series/PRIME-H410M-E" TargetMode="External"/><Relationship Id="rId279" Type="http://schemas.openxmlformats.org/officeDocument/2006/relationships/hyperlink" Target="https://www.msi.com/Motherboard/H410M-A-PRO/" TargetMode="External"/><Relationship Id="rId278" Type="http://schemas.openxmlformats.org/officeDocument/2006/relationships/hyperlink" Target="https://www.msi.com/Motherboard/H410M-PRO/" TargetMode="External"/><Relationship Id="rId277" Type="http://schemas.openxmlformats.org/officeDocument/2006/relationships/hyperlink" Target="https://www.gigabyte.com/Motherboard/H410M-S2H-rev-10" TargetMode="External"/><Relationship Id="rId276" Type="http://schemas.openxmlformats.org/officeDocument/2006/relationships/hyperlink" Target="https://www.gigabyte.com/Motherboard/H410M-H-rev-10" TargetMode="External"/><Relationship Id="rId228" Type="http://schemas.openxmlformats.org/officeDocument/2006/relationships/hyperlink" Target="https://www.asrock.com/mb/Intel/B360M-HDV/index.asp" TargetMode="External"/><Relationship Id="rId227" Type="http://schemas.openxmlformats.org/officeDocument/2006/relationships/hyperlink" Target="http://asrock.com/" TargetMode="External"/><Relationship Id="rId226" Type="http://schemas.openxmlformats.org/officeDocument/2006/relationships/hyperlink" Target="https://www.msi.com/Motherboard/H310M-PRO-VL/" TargetMode="External"/><Relationship Id="rId225" Type="http://schemas.openxmlformats.org/officeDocument/2006/relationships/hyperlink" Target="https://www.msi.com/Motherboard/H310M-PRO-VHL" TargetMode="External"/><Relationship Id="rId229" Type="http://schemas.openxmlformats.org/officeDocument/2006/relationships/hyperlink" Target="https://www.asus.com/motherboards-components/motherboards/all-series/EX-B360M-V5" TargetMode="External"/><Relationship Id="rId220" Type="http://schemas.openxmlformats.org/officeDocument/2006/relationships/hyperlink" Target="https://www.msi.com/Motherboard/H310M-PRO-M2-PLUS/" TargetMode="External"/><Relationship Id="rId224" Type="http://schemas.openxmlformats.org/officeDocument/2006/relationships/hyperlink" Target="https://www.msi.com/Motherboard/H310M-PRO-VH" TargetMode="External"/><Relationship Id="rId223" Type="http://schemas.openxmlformats.org/officeDocument/2006/relationships/hyperlink" Target="https://www.msi.com/Motherboard/H310M-PRO-VDH-PLUS/" TargetMode="External"/><Relationship Id="rId222" Type="http://schemas.openxmlformats.org/officeDocument/2006/relationships/hyperlink" Target="https://www.msi.com/Motherboard/H310M-PRO-VDH.html" TargetMode="External"/><Relationship Id="rId221" Type="http://schemas.openxmlformats.org/officeDocument/2006/relationships/hyperlink" Target="https://www.msi.com/Motherboard/H310M-PRO-VD.html" TargetMode="External"/><Relationship Id="rId217" Type="http://schemas.openxmlformats.org/officeDocument/2006/relationships/hyperlink" Target="https://www.msi.com/Motherboard/H310M-GAMING-PLUS/" TargetMode="External"/><Relationship Id="rId216" Type="http://schemas.openxmlformats.org/officeDocument/2006/relationships/hyperlink" Target="https://www.msi.com/Motherboard/H310M-GAMING-ARCTIC" TargetMode="External"/><Relationship Id="rId215" Type="http://schemas.openxmlformats.org/officeDocument/2006/relationships/hyperlink" Target="https://www.gigabyte.com/Motherboard/H310M-S2V-rev-10/" TargetMode="External"/><Relationship Id="rId214" Type="http://schemas.openxmlformats.org/officeDocument/2006/relationships/hyperlink" Target="https://www.gigabyte.com/Motherboard/H310M-S2P-rev-10/" TargetMode="External"/><Relationship Id="rId219" Type="http://schemas.openxmlformats.org/officeDocument/2006/relationships/hyperlink" Target="https://www.msi.com/Motherboard/H310M-PRO-M2" TargetMode="External"/><Relationship Id="rId218" Type="http://schemas.openxmlformats.org/officeDocument/2006/relationships/hyperlink" Target="https://www.msi.com/Motherboard/H310M-PRO-D" TargetMode="External"/><Relationship Id="rId213" Type="http://schemas.openxmlformats.org/officeDocument/2006/relationships/hyperlink" Target="https://www.gigabyte.com/Motherboard/H310M-S2H-rev-10/" TargetMode="External"/><Relationship Id="rId212" Type="http://schemas.openxmlformats.org/officeDocument/2006/relationships/hyperlink" Target="https://www.gigabyte.com/Motherboard/H310M-S2-rev-10/" TargetMode="External"/><Relationship Id="rId211" Type="http://schemas.openxmlformats.org/officeDocument/2006/relationships/hyperlink" Target="https://www.gigabyte.com/Motherboard/H310M-HD2-rev-10/" TargetMode="External"/><Relationship Id="rId210" Type="http://schemas.openxmlformats.org/officeDocument/2006/relationships/hyperlink" Target="https://www.gigabyte.com/Motherboard/H310M-H-rev-10/" TargetMode="External"/><Relationship Id="rId249" Type="http://schemas.openxmlformats.org/officeDocument/2006/relationships/hyperlink" Target="https://www.asrock.com/MB/Intel/B365M-HDV/index.asp" TargetMode="External"/><Relationship Id="rId248" Type="http://schemas.openxmlformats.org/officeDocument/2006/relationships/hyperlink" Target="http://asrock.com/" TargetMode="External"/><Relationship Id="rId247" Type="http://schemas.openxmlformats.org/officeDocument/2006/relationships/hyperlink" Target="https://www.msi.com/Motherboard/B360M-PRO-VH" TargetMode="External"/><Relationship Id="rId242" Type="http://schemas.openxmlformats.org/officeDocument/2006/relationships/hyperlink" Target="https://www.gigabyte.com/Motherboard/B360M-DS3H-rev-10/" TargetMode="External"/><Relationship Id="rId241" Type="http://schemas.openxmlformats.org/officeDocument/2006/relationships/hyperlink" Target="https://www.gigabyte.com/Motherboard/B360M-D3V-rev-10/" TargetMode="External"/><Relationship Id="rId240" Type="http://schemas.openxmlformats.org/officeDocument/2006/relationships/hyperlink" Target="https://www.gigabyte.com/Motherboard/B360M-D3P-rev-10/" TargetMode="External"/><Relationship Id="rId246" Type="http://schemas.openxmlformats.org/officeDocument/2006/relationships/hyperlink" Target="https://www.msi.com/Motherboard/B360M-GAMING-PLUS/" TargetMode="External"/><Relationship Id="rId245" Type="http://schemas.openxmlformats.org/officeDocument/2006/relationships/hyperlink" Target="https://www.gigabyte.com/Motherboard/B360M-HD3-rev-10/" TargetMode="External"/><Relationship Id="rId244" Type="http://schemas.openxmlformats.org/officeDocument/2006/relationships/hyperlink" Target="https://www.gigabyte.com/Motherboard/B360M-H-rev-10/" TargetMode="External"/><Relationship Id="rId243" Type="http://schemas.openxmlformats.org/officeDocument/2006/relationships/hyperlink" Target="https://www.gigabyte.com/Motherboard/B360M-GAMING-HD-rev-10/" TargetMode="External"/><Relationship Id="rId239" Type="http://schemas.openxmlformats.org/officeDocument/2006/relationships/hyperlink" Target="https://www.gigabyte.com/us/Motherboard/B360M-D3H-GSM-rev-10/" TargetMode="External"/><Relationship Id="rId238" Type="http://schemas.openxmlformats.org/officeDocument/2006/relationships/hyperlink" Target="https://www.gigabyte.com/Motherboard/B360M-D2V-rev-10/" TargetMode="External"/><Relationship Id="rId237" Type="http://schemas.openxmlformats.org/officeDocument/2006/relationships/hyperlink" Target="https://www.gigabyte.com/Motherboard/B360M-AORUS-GAMING-3-rev-10/" TargetMode="External"/><Relationship Id="rId236" Type="http://schemas.openxmlformats.org/officeDocument/2006/relationships/hyperlink" Target="https://www.evga.com/articles/01261/evga-b360-motherboard/" TargetMode="External"/><Relationship Id="rId231" Type="http://schemas.openxmlformats.org/officeDocument/2006/relationships/hyperlink" Target="https://www.asus.com/motherboards-components/motherboards/all-series/PRIME-B360M-K" TargetMode="External"/><Relationship Id="rId230" Type="http://schemas.openxmlformats.org/officeDocument/2006/relationships/hyperlink" Target="https://www.asus.com/motherboards-components/motherboards/all-series/PRIME-B360M-A" TargetMode="External"/><Relationship Id="rId235" Type="http://schemas.openxmlformats.org/officeDocument/2006/relationships/hyperlink" Target="https://www.biostar.com.tw/app/en/mb/introduction.php?S_ID=905" TargetMode="External"/><Relationship Id="rId234" Type="http://schemas.openxmlformats.org/officeDocument/2006/relationships/hyperlink" Target="https://www.biostar.com.tw/app/en/mb/introduction.php?S_ID=906" TargetMode="External"/><Relationship Id="rId233" Type="http://schemas.openxmlformats.org/officeDocument/2006/relationships/hyperlink" Target="https://www.asus.com/motherboards-components/motherboards/all-series/TUF-B360M-PLUS-GAMING" TargetMode="External"/><Relationship Id="rId232" Type="http://schemas.openxmlformats.org/officeDocument/2006/relationships/hyperlink" Target="https://www.asus.com/motherboards-components/motherboards/all-series/TUF-B360M-E-GAMING" TargetMode="External"/><Relationship Id="rId206" Type="http://schemas.openxmlformats.org/officeDocument/2006/relationships/hyperlink" Target="https://www.biostar.com.tw/app/en/mb/introduction.php?S_ID=954" TargetMode="External"/><Relationship Id="rId205" Type="http://schemas.openxmlformats.org/officeDocument/2006/relationships/hyperlink" Target="https://www.biostar.com.tw/app/en/mb/introduction.php?S_ID=904" TargetMode="External"/><Relationship Id="rId204" Type="http://schemas.openxmlformats.org/officeDocument/2006/relationships/hyperlink" Target="https://www.asus.com/motherboards-components/motherboards/all-series/TUF-H310M-PLUS-GAMING" TargetMode="External"/><Relationship Id="rId203" Type="http://schemas.openxmlformats.org/officeDocument/2006/relationships/hyperlink" Target="https://www.asus.com/motherboards-components/motherboards/all-series/PRIME-H310M-K-R2-0" TargetMode="External"/><Relationship Id="rId209" Type="http://schemas.openxmlformats.org/officeDocument/2006/relationships/hyperlink" Target="https://www.gigabyte.com/Motherboard/H310M-DS2V-rev-10/" TargetMode="External"/><Relationship Id="rId208" Type="http://schemas.openxmlformats.org/officeDocument/2006/relationships/hyperlink" Target="https://www.gigabyte.com/Motherboard/H310M-DS2-rev-10/" TargetMode="External"/><Relationship Id="rId207" Type="http://schemas.openxmlformats.org/officeDocument/2006/relationships/hyperlink" Target="https://www.gigabyte.com/Motherboard/H310M-A-rev-10/" TargetMode="External"/><Relationship Id="rId202" Type="http://schemas.openxmlformats.org/officeDocument/2006/relationships/hyperlink" Target="https://www.asus.com/motherboards-components/motherboards/all-series/PRIME-H310M-K" TargetMode="External"/><Relationship Id="rId201" Type="http://schemas.openxmlformats.org/officeDocument/2006/relationships/hyperlink" Target="https://www.asus.com/motherboards-components/motherboards/all-series/PRIME-H310M-E-R2-0" TargetMode="External"/><Relationship Id="rId200" Type="http://schemas.openxmlformats.org/officeDocument/2006/relationships/hyperlink" Target="https://www.asus.com/motherboards-components/motherboards/all-series/PRIME-H310M-E" TargetMode="External"/><Relationship Id="rId509" Type="http://schemas.openxmlformats.org/officeDocument/2006/relationships/hyperlink" Target="https://www.asus.com/motherboards-components/motherboards/prime/prime-b760m-aj-d4/" TargetMode="External"/><Relationship Id="rId508" Type="http://schemas.openxmlformats.org/officeDocument/2006/relationships/hyperlink" Target="https://www.asus.com/motherboards-components/motherboards/prime/prime-b760m-a-wifi-d4/" TargetMode="External"/><Relationship Id="rId503" Type="http://schemas.openxmlformats.org/officeDocument/2006/relationships/hyperlink" Target="https://www.asus.com/motherboards-components/motherboards/expedition/ex-b760m-v5-d4/" TargetMode="External"/><Relationship Id="rId502" Type="http://schemas.openxmlformats.org/officeDocument/2006/relationships/hyperlink" Target="https://www.asus.com/motherboards-components/motherboards/expedition/ex-b760m-v5/" TargetMode="External"/><Relationship Id="rId501" Type="http://schemas.openxmlformats.org/officeDocument/2006/relationships/hyperlink" Target="https://www.asrock.com/mb/Intel/B760M%20Steel%20Legend%20WiFi/index.asp" TargetMode="External"/><Relationship Id="rId500" Type="http://schemas.openxmlformats.org/officeDocument/2006/relationships/hyperlink" Target="http://asrock.com/" TargetMode="External"/><Relationship Id="rId507" Type="http://schemas.openxmlformats.org/officeDocument/2006/relationships/hyperlink" Target="https://www.asus.com/motherboards-components/motherboards/prime/prime-b760m-a-wifi/" TargetMode="External"/><Relationship Id="rId506" Type="http://schemas.openxmlformats.org/officeDocument/2006/relationships/hyperlink" Target="https://www.asus.com/motherboards-components/motherboards/prime/prime-b760m-a-ax-d4/" TargetMode="External"/><Relationship Id="rId505" Type="http://schemas.openxmlformats.org/officeDocument/2006/relationships/hyperlink" Target="https://www.asus.com/motherboards-components/motherboards/prime/prime-b760m-a-d4/" TargetMode="External"/><Relationship Id="rId504" Type="http://schemas.openxmlformats.org/officeDocument/2006/relationships/hyperlink" Target="https://www.asus.com/motherboards-components/motherboards/prime/prime-b760m-a/" TargetMode="External"/><Relationship Id="rId525" Type="http://schemas.openxmlformats.org/officeDocument/2006/relationships/hyperlink" Target="https://www.biostar.com.tw/app/en/mb/introduction.php?S_ID=1127" TargetMode="External"/><Relationship Id="rId524" Type="http://schemas.openxmlformats.org/officeDocument/2006/relationships/hyperlink" Target="https://www.biostar.com.tw/app/en/mb/introduction.php?S_ID=1097" TargetMode="External"/><Relationship Id="rId523" Type="http://schemas.openxmlformats.org/officeDocument/2006/relationships/hyperlink" Target="https://www.biostar.com.tw/app/en/mb/introduction.php?S_ID=1100" TargetMode="External"/><Relationship Id="rId522" Type="http://schemas.openxmlformats.org/officeDocument/2006/relationships/hyperlink" Target="https://www.biostar.com.tw/app/en/mb/introduction.php?S_ID=1098" TargetMode="External"/><Relationship Id="rId529" Type="http://schemas.openxmlformats.org/officeDocument/2006/relationships/hyperlink" Target="https://en.colorful.cn/index.aspx" TargetMode="External"/><Relationship Id="rId528" Type="http://schemas.openxmlformats.org/officeDocument/2006/relationships/hyperlink" Target="https://www.biostar.com.tw/app/en/mb/introduction.php?S_ID=1096" TargetMode="External"/><Relationship Id="rId527" Type="http://schemas.openxmlformats.org/officeDocument/2006/relationships/hyperlink" Target="https://www.biostar.com.tw/app/en/mb/introduction.php?S_ID=1112" TargetMode="External"/><Relationship Id="rId526" Type="http://schemas.openxmlformats.org/officeDocument/2006/relationships/hyperlink" Target="https://www.biostar.com.tw/app/en/mb/introduction.php?S_ID=1111" TargetMode="External"/><Relationship Id="rId521" Type="http://schemas.openxmlformats.org/officeDocument/2006/relationships/hyperlink" Target="https://www.biostar.com.tw/app/en/mb/introduction.php?S_ID=1101" TargetMode="External"/><Relationship Id="rId520" Type="http://schemas.openxmlformats.org/officeDocument/2006/relationships/hyperlink" Target="https://www.biostar.com.tw/app/en/mb/introduction.php?S_ID=1099" TargetMode="External"/><Relationship Id="rId519" Type="http://schemas.openxmlformats.org/officeDocument/2006/relationships/hyperlink" Target="https://www.biostar.com.tw/app/en/mb/introduction.php?S_ID=1095" TargetMode="External"/><Relationship Id="rId514" Type="http://schemas.openxmlformats.org/officeDocument/2006/relationships/hyperlink" Target="https://www.asus.com/motherboards-components/motherboards/tuf-gaming/tuf-gaming-b760m-e-d4/" TargetMode="External"/><Relationship Id="rId513" Type="http://schemas.openxmlformats.org/officeDocument/2006/relationships/hyperlink" Target="https://rog.asus.com/motherboards/rog-strix/rog-strix-b760-g-gaming-wifi/" TargetMode="External"/><Relationship Id="rId512" Type="http://schemas.openxmlformats.org/officeDocument/2006/relationships/hyperlink" Target="https://rog.asus.com/motherboards/rog-strix/rog-strix-b760-g-gaming-wifi-d4-model/" TargetMode="External"/><Relationship Id="rId511" Type="http://schemas.openxmlformats.org/officeDocument/2006/relationships/hyperlink" Target="https://www.asus.com/motherboards-components/motherboards/prime/prime-b760m-k-d4/" TargetMode="External"/><Relationship Id="rId518" Type="http://schemas.openxmlformats.org/officeDocument/2006/relationships/hyperlink" Target="https://www.asus.com/motherboards-components/motherboards/tuf-gaming/tuf-gaming-b760m-plus-wifi-d4/" TargetMode="External"/><Relationship Id="rId517" Type="http://schemas.openxmlformats.org/officeDocument/2006/relationships/hyperlink" Target="https://www.asus.com/motherboards-components/motherboards/tuf-gaming/tuf-gaming-b760m-plus-wifi/" TargetMode="External"/><Relationship Id="rId516" Type="http://schemas.openxmlformats.org/officeDocument/2006/relationships/hyperlink" Target="https://www.asus.com/motherboards-components/motherboards/tuf-gaming/tuf-gaming-b760m-plus-d4/" TargetMode="External"/><Relationship Id="rId515" Type="http://schemas.openxmlformats.org/officeDocument/2006/relationships/hyperlink" Target="https://www.asus.com/motherboards-components/motherboards/tuf-gaming/tuf-gaming-b760m-plus/" TargetMode="External"/><Relationship Id="rId510" Type="http://schemas.openxmlformats.org/officeDocument/2006/relationships/hyperlink" Target="https://www.asus.com/motherboards-components/motherboards/prime/prime-b760m-k/" TargetMode="External"/><Relationship Id="rId590" Type="http://schemas.openxmlformats.org/officeDocument/2006/relationships/hyperlink" Target="https://www.msi.com/Motherboard/PRO-B760M-G-DDR4" TargetMode="External"/><Relationship Id="rId589" Type="http://schemas.openxmlformats.org/officeDocument/2006/relationships/hyperlink" Target="https://www.msi.com/Motherboard/PRO-B760M-G" TargetMode="External"/><Relationship Id="rId588" Type="http://schemas.openxmlformats.org/officeDocument/2006/relationships/hyperlink" Target="https://www.msi.com/Motherboard/PRO-B760M-E-DDR4" TargetMode="External"/><Relationship Id="rId583" Type="http://schemas.openxmlformats.org/officeDocument/2006/relationships/hyperlink" Target="https://www.msi.com/Motherboard/PRO-B760M-A-DDR4" TargetMode="External"/><Relationship Id="rId582" Type="http://schemas.openxmlformats.org/officeDocument/2006/relationships/hyperlink" Target="https://www.msi.com/Motherboard/MPG-B760M-EDGE-TI-WIFI" TargetMode="External"/><Relationship Id="rId581" Type="http://schemas.openxmlformats.org/officeDocument/2006/relationships/hyperlink" Target="https://www.msi.com/Motherboard/MAG-B760M-MORTAR-WIFI-DDR4" TargetMode="External"/><Relationship Id="rId580" Type="http://schemas.openxmlformats.org/officeDocument/2006/relationships/hyperlink" Target="https://www.msi.com/Motherboard/MAG-B760M-MORTAR-WIFI-II" TargetMode="External"/><Relationship Id="rId587" Type="http://schemas.openxmlformats.org/officeDocument/2006/relationships/hyperlink" Target="https://www.msi.com/Motherboard/PRO-B760M-B" TargetMode="External"/><Relationship Id="rId586" Type="http://schemas.openxmlformats.org/officeDocument/2006/relationships/hyperlink" Target="https://www.msi.com/Motherboard/PRO-B760M-A-WIFI-DDR4" TargetMode="External"/><Relationship Id="rId585" Type="http://schemas.openxmlformats.org/officeDocument/2006/relationships/hyperlink" Target="https://www.msi.com/Motherboard/PRO-B760M-A-WIFI" TargetMode="External"/><Relationship Id="rId584" Type="http://schemas.openxmlformats.org/officeDocument/2006/relationships/hyperlink" Target="https://www.msi.com/Motherboard/PRO-B760M-A-DDR4-II" TargetMode="External"/><Relationship Id="rId579" Type="http://schemas.openxmlformats.org/officeDocument/2006/relationships/hyperlink" Target="https://www.msi.com/Motherboard/MAG-B760M-MORTAR-WIFI" TargetMode="External"/><Relationship Id="rId578" Type="http://schemas.openxmlformats.org/officeDocument/2006/relationships/hyperlink" Target="https://www.msi.com/Motherboard/MAG-B760M-MORTAR-MAX-WIFI-DDR4" TargetMode="External"/><Relationship Id="rId577" Type="http://schemas.openxmlformats.org/officeDocument/2006/relationships/hyperlink" Target="https://www.msi.com/Motherboard/MAG-B760M-MORTAR-MAX-WIFI" TargetMode="External"/><Relationship Id="rId572" Type="http://schemas.openxmlformats.org/officeDocument/2006/relationships/hyperlink" Target="http://www.maxsun.com.cn/2022/1221/5856.html" TargetMode="External"/><Relationship Id="rId571" Type="http://schemas.openxmlformats.org/officeDocument/2006/relationships/hyperlink" Target="http://www.maxsun.com.cn/" TargetMode="External"/><Relationship Id="rId570" Type="http://schemas.openxmlformats.org/officeDocument/2006/relationships/hyperlink" Target="http://www.maxsun.com.cn/2023/0104/5870.html" TargetMode="External"/><Relationship Id="rId576" Type="http://schemas.openxmlformats.org/officeDocument/2006/relationships/hyperlink" Target="https://www.msi.com/Motherboard/MAG-B760M-MORTAR-DDR4" TargetMode="External"/><Relationship Id="rId575" Type="http://schemas.openxmlformats.org/officeDocument/2006/relationships/hyperlink" Target="https://www.msi.com/Motherboard/MAG-B760M-MORTAR-II" TargetMode="External"/><Relationship Id="rId574" Type="http://schemas.openxmlformats.org/officeDocument/2006/relationships/hyperlink" Target="https://www.msi.com/Motherboard/MAG-B760M-MORTAR" TargetMode="External"/><Relationship Id="rId573" Type="http://schemas.openxmlformats.org/officeDocument/2006/relationships/hyperlink" Target="https://www.msi.com/Motherboard/B760M-GAMING-WIFI" TargetMode="External"/><Relationship Id="rId599" Type="http://schemas.openxmlformats.org/officeDocument/2006/relationships/hyperlink" Target="https://en.colorful.cn/index.aspx" TargetMode="External"/><Relationship Id="rId594" Type="http://schemas.openxmlformats.org/officeDocument/2006/relationships/hyperlink" Target="https://www.asrock.com/mb/Intel/Z790M%20PG%20LightningD4/index.asp" TargetMode="External"/><Relationship Id="rId593" Type="http://schemas.openxmlformats.org/officeDocument/2006/relationships/hyperlink" Target="http://asrock.com/" TargetMode="External"/><Relationship Id="rId592" Type="http://schemas.openxmlformats.org/officeDocument/2006/relationships/hyperlink" Target="https://www.msi.com/Motherboard/PRO-B760M-P-DDR4" TargetMode="External"/><Relationship Id="rId591" Type="http://schemas.openxmlformats.org/officeDocument/2006/relationships/hyperlink" Target="https://www.msi.com/Motherboard/PRO-B760M-P" TargetMode="External"/><Relationship Id="rId598" Type="http://schemas.openxmlformats.org/officeDocument/2006/relationships/hyperlink" Target="https://en.colorful.cn/product_show.aspx?mid=84&amp;id=967" TargetMode="External"/><Relationship Id="rId597" Type="http://schemas.openxmlformats.org/officeDocument/2006/relationships/hyperlink" Target="https://en.colorful.cn/index.aspx" TargetMode="External"/><Relationship Id="rId596" Type="http://schemas.openxmlformats.org/officeDocument/2006/relationships/hyperlink" Target="https://www.asus.com/Motherboards-Components/Motherboards/PRIME/PRIME-Z790M-PLUS-D4/" TargetMode="External"/><Relationship Id="rId595" Type="http://schemas.openxmlformats.org/officeDocument/2006/relationships/hyperlink" Target="https://www.asus.com/motherboards-components/motherboards/prime/prime-z790m-plus/" TargetMode="External"/><Relationship Id="rId547" Type="http://schemas.openxmlformats.org/officeDocument/2006/relationships/hyperlink" Target="https://www.gigabyte.com/Motherboard/B760M-C-rev-1x" TargetMode="External"/><Relationship Id="rId546" Type="http://schemas.openxmlformats.org/officeDocument/2006/relationships/hyperlink" Target="https://www.gigabyte.com/Motherboard/B760M-AORUS-PRO-DDR4-rev-10" TargetMode="External"/><Relationship Id="rId545" Type="http://schemas.openxmlformats.org/officeDocument/2006/relationships/hyperlink" Target="https://www.gigabyte.com/Motherboard/B760M-AORUS-PRO-AX-DDR4-rev-10" TargetMode="External"/><Relationship Id="rId544" Type="http://schemas.openxmlformats.org/officeDocument/2006/relationships/hyperlink" Target="https://www.gigabyte.com/Motherboard/B760M-AORUS-PRO-AX-rev-10" TargetMode="External"/><Relationship Id="rId549" Type="http://schemas.openxmlformats.org/officeDocument/2006/relationships/hyperlink" Target="https://www.gigabyte.com/Motherboard/B760M-D2H-rev-10" TargetMode="External"/><Relationship Id="rId548" Type="http://schemas.openxmlformats.org/officeDocument/2006/relationships/hyperlink" Target="https://www.gigabyte.com/Motherboard/B760M-D-DDR4-rev-10" TargetMode="External"/><Relationship Id="rId543" Type="http://schemas.openxmlformats.org/officeDocument/2006/relationships/hyperlink" Target="https://www.gigabyte.com/Motherboard/B760M-AORUS-PRO-rev-10" TargetMode="External"/><Relationship Id="rId542" Type="http://schemas.openxmlformats.org/officeDocument/2006/relationships/hyperlink" Target="https://www.gigabyte.com/Motherboard/B760M-AORUS-ELITE-X-AX" TargetMode="External"/><Relationship Id="rId541" Type="http://schemas.openxmlformats.org/officeDocument/2006/relationships/hyperlink" Target="https://www.gigabyte.com/Motherboard/B760M-AORUS-ELITE-DDR4-rev-10" TargetMode="External"/><Relationship Id="rId540" Type="http://schemas.openxmlformats.org/officeDocument/2006/relationships/hyperlink" Target="https://www.gigabyte.com/Motherboard/B760M-AORUS-ELITE-AX-DDR4-rev-10" TargetMode="External"/><Relationship Id="rId536" Type="http://schemas.openxmlformats.org/officeDocument/2006/relationships/hyperlink" Target="https://en.colorful.cn/product_show.aspx?mid=84&amp;id=969" TargetMode="External"/><Relationship Id="rId535" Type="http://schemas.openxmlformats.org/officeDocument/2006/relationships/hyperlink" Target="https://en.colorful.cn/index.aspx" TargetMode="External"/><Relationship Id="rId534" Type="http://schemas.openxmlformats.org/officeDocument/2006/relationships/hyperlink" Target="https://en.colorful.cn/product_show.aspx?mid=84&amp;id=970" TargetMode="External"/><Relationship Id="rId533" Type="http://schemas.openxmlformats.org/officeDocument/2006/relationships/hyperlink" Target="https://en.colorful.cn/index.aspx" TargetMode="External"/><Relationship Id="rId539" Type="http://schemas.openxmlformats.org/officeDocument/2006/relationships/hyperlink" Target="https://www.gigabyte.com/Motherboard/B760M-AORUS-ELITE-AX-rev-12-13" TargetMode="External"/><Relationship Id="rId538" Type="http://schemas.openxmlformats.org/officeDocument/2006/relationships/hyperlink" Target="https://www.gigabyte.com/Motherboard/B760M-AORUS-ELITE-AX-rev-10" TargetMode="External"/><Relationship Id="rId537" Type="http://schemas.openxmlformats.org/officeDocument/2006/relationships/hyperlink" Target="https://www.gigabyte.com/Motherboard/B760M-AORUS-ELITE-rev-10" TargetMode="External"/><Relationship Id="rId532" Type="http://schemas.openxmlformats.org/officeDocument/2006/relationships/hyperlink" Target="https://en.colorful.cn/product_show.aspx?mid=84&amp;id=973" TargetMode="External"/><Relationship Id="rId531" Type="http://schemas.openxmlformats.org/officeDocument/2006/relationships/hyperlink" Target="https://en.colorful.cn/index.aspx" TargetMode="External"/><Relationship Id="rId530" Type="http://schemas.openxmlformats.org/officeDocument/2006/relationships/hyperlink" Target="https://en.colorful.cn/product_show.aspx?mid=84&amp;id=972" TargetMode="External"/><Relationship Id="rId569" Type="http://schemas.openxmlformats.org/officeDocument/2006/relationships/hyperlink" Target="http://www.maxsun.com.cn/" TargetMode="External"/><Relationship Id="rId568" Type="http://schemas.openxmlformats.org/officeDocument/2006/relationships/hyperlink" Target="https://www.gigabyte.com/Motherboard/B760M-POWER-DDR4-rev-10" TargetMode="External"/><Relationship Id="rId567" Type="http://schemas.openxmlformats.org/officeDocument/2006/relationships/hyperlink" Target="https://www.gigabyte.com/Motherboard/B760M-POWER-rev-10" TargetMode="External"/><Relationship Id="rId566" Type="http://schemas.openxmlformats.org/officeDocument/2006/relationships/hyperlink" Target="https://www.gigabyte.com/Motherboard/B760M-H-DDR4-rev-10" TargetMode="External"/><Relationship Id="rId561" Type="http://schemas.openxmlformats.org/officeDocument/2006/relationships/hyperlink" Target="https://www.gigabyte.com/Motherboard/B760M-GAMING-X-AX-rev-1x" TargetMode="External"/><Relationship Id="rId560" Type="http://schemas.openxmlformats.org/officeDocument/2006/relationships/hyperlink" Target="https://www.gigabyte.com/Motherboard/B760M-GAMING-WIFI-rev-12" TargetMode="External"/><Relationship Id="rId565" Type="http://schemas.openxmlformats.org/officeDocument/2006/relationships/hyperlink" Target="https://www.gigabyte.com/Motherboard/B760M-H-rev-10" TargetMode="External"/><Relationship Id="rId564" Type="http://schemas.openxmlformats.org/officeDocument/2006/relationships/hyperlink" Target="https://www.gigabyte.com/Motherboard/B760M-GAMING-X-DDR4-rev-10" TargetMode="External"/><Relationship Id="rId563" Type="http://schemas.openxmlformats.org/officeDocument/2006/relationships/hyperlink" Target="https://www.gigabyte.com/Motherboard/B760M-GAMING-X-rev-10" TargetMode="External"/><Relationship Id="rId562" Type="http://schemas.openxmlformats.org/officeDocument/2006/relationships/hyperlink" Target="https://www.gigabyte.com/Motherboard/B760M-GAMING-X-AX-DDR4-rev-10" TargetMode="External"/><Relationship Id="rId558" Type="http://schemas.openxmlformats.org/officeDocument/2006/relationships/hyperlink" Target="https://www.gigabyte.com/Motherboard/B760M-GAMING-AC-rev-1x" TargetMode="External"/><Relationship Id="rId557" Type="http://schemas.openxmlformats.org/officeDocument/2006/relationships/hyperlink" Target="https://www.gigabyte.com/Motherboard/B760M-GAMING-DDR4-rev-10" TargetMode="External"/><Relationship Id="rId556" Type="http://schemas.openxmlformats.org/officeDocument/2006/relationships/hyperlink" Target="https://www.gigabyte.com/Motherboard/B760M-GAMING-rev-10" TargetMode="External"/><Relationship Id="rId555" Type="http://schemas.openxmlformats.org/officeDocument/2006/relationships/hyperlink" Target="https://www.gigabyte.com/Motherboard/B760M-E-rev-10" TargetMode="External"/><Relationship Id="rId559" Type="http://schemas.openxmlformats.org/officeDocument/2006/relationships/hyperlink" Target="https://www.gigabyte.com/Motherboard/B760M-GAMING-AC-DDR4-rev-10" TargetMode="External"/><Relationship Id="rId550" Type="http://schemas.openxmlformats.org/officeDocument/2006/relationships/hyperlink" Target="https://www.gigabyte.com/Motherboard/B760M-D2H-DDR4-rev-10" TargetMode="External"/><Relationship Id="rId554" Type="http://schemas.openxmlformats.org/officeDocument/2006/relationships/hyperlink" Target="https://www.gigabyte.com/Motherboard/B760M-DS3H-DDR4-rev-10" TargetMode="External"/><Relationship Id="rId553" Type="http://schemas.openxmlformats.org/officeDocument/2006/relationships/hyperlink" Target="https://www.gigabyte.com/Motherboard/B760M-DS3H-rev-10" TargetMode="External"/><Relationship Id="rId552" Type="http://schemas.openxmlformats.org/officeDocument/2006/relationships/hyperlink" Target="https://www.gigabyte.com/Motherboard/B760M-DS3H-AX-DDR4-rev-10" TargetMode="External"/><Relationship Id="rId551" Type="http://schemas.openxmlformats.org/officeDocument/2006/relationships/hyperlink" Target="https://www.gigabyte.com/Motherboard/B760M-D3H-DDR4-rev-10" TargetMode="External"/><Relationship Id="rId495" Type="http://schemas.openxmlformats.org/officeDocument/2006/relationships/hyperlink" Target="https://www.asrock.com/mb/Intel/B760M%20Pro%20RS/index.asp" TargetMode="External"/><Relationship Id="rId494" Type="http://schemas.openxmlformats.org/officeDocument/2006/relationships/hyperlink" Target="http://asrock.com/" TargetMode="External"/><Relationship Id="rId493" Type="http://schemas.openxmlformats.org/officeDocument/2006/relationships/hyperlink" Target="https://pg.asrock.com/mb/Intel/B760M%20PG%20SONIC%20WiFi/index.html" TargetMode="External"/><Relationship Id="rId492" Type="http://schemas.openxmlformats.org/officeDocument/2006/relationships/hyperlink" Target="http://asrock.com/" TargetMode="External"/><Relationship Id="rId499" Type="http://schemas.openxmlformats.org/officeDocument/2006/relationships/hyperlink" Target="https://www.asrock.com/mb/Intel/B760M%20Pro%20RSD4%20WiFi/index.asp" TargetMode="External"/><Relationship Id="rId498" Type="http://schemas.openxmlformats.org/officeDocument/2006/relationships/hyperlink" Target="http://asrock.com/" TargetMode="External"/><Relationship Id="rId497" Type="http://schemas.openxmlformats.org/officeDocument/2006/relationships/hyperlink" Target="https://www.asrock.com/mb/Intel/B760M%20Pro%20RSD4/index.asp" TargetMode="External"/><Relationship Id="rId496" Type="http://schemas.openxmlformats.org/officeDocument/2006/relationships/hyperlink" Target="http://asrock.com/" TargetMode="External"/><Relationship Id="rId409" Type="http://schemas.openxmlformats.org/officeDocument/2006/relationships/hyperlink" Target="https://en.colorful.cn/product_show.aspx?mid=84&amp;id=937" TargetMode="External"/><Relationship Id="rId404" Type="http://schemas.openxmlformats.org/officeDocument/2006/relationships/hyperlink" Target="https://www.biostar.com.tw/app/en/mb/introduction.php?S_ID=1051" TargetMode="External"/><Relationship Id="rId403" Type="http://schemas.openxmlformats.org/officeDocument/2006/relationships/hyperlink" Target="https://www.biostar.com.tw/app/en/mb/introduction.php?S_ID=1064" TargetMode="External"/><Relationship Id="rId402" Type="http://schemas.openxmlformats.org/officeDocument/2006/relationships/hyperlink" Target="https://www.asus.com/Motherboards-Components/Motherboards/TUF-Gaming/TUF-GAMING-B660M-PLUS-WIFI/" TargetMode="External"/><Relationship Id="rId401" Type="http://schemas.openxmlformats.org/officeDocument/2006/relationships/hyperlink" Target="https://www.asus.com/Motherboards-Components/Motherboards/TUF-Gaming/TUF-GAMING-B660M-PLUS-WIFI/" TargetMode="External"/><Relationship Id="rId408" Type="http://schemas.openxmlformats.org/officeDocument/2006/relationships/hyperlink" Target="https://en.colorful.cn/index.aspx" TargetMode="External"/><Relationship Id="rId407" Type="http://schemas.openxmlformats.org/officeDocument/2006/relationships/hyperlink" Target="https://www.biostar.com.tw/app/en/mb/introduction.php?S_ID=1044" TargetMode="External"/><Relationship Id="rId406" Type="http://schemas.openxmlformats.org/officeDocument/2006/relationships/hyperlink" Target="https://www.biostar.com.tw/app/en/mb/introduction.php?S_ID=1072" TargetMode="External"/><Relationship Id="rId405" Type="http://schemas.openxmlformats.org/officeDocument/2006/relationships/hyperlink" Target="https://www.biostar.com.tw/app/en/mb/introduction.php?S_ID=1058" TargetMode="External"/><Relationship Id="rId400" Type="http://schemas.openxmlformats.org/officeDocument/2006/relationships/hyperlink" Target="https://www.asus.com/Motherboards-Components/Motherboards/TUF-Gaming/TUF-GAMING-B660M-E-D4/" TargetMode="External"/><Relationship Id="rId469" Type="http://schemas.openxmlformats.org/officeDocument/2006/relationships/hyperlink" Target="https://en.colorful.cn/product_show.aspx?mid=84&amp;id=944" TargetMode="External"/><Relationship Id="rId468" Type="http://schemas.openxmlformats.org/officeDocument/2006/relationships/hyperlink" Target="https://en.colorful.cn/index.aspx" TargetMode="External"/><Relationship Id="rId467" Type="http://schemas.openxmlformats.org/officeDocument/2006/relationships/hyperlink" Target="https://en.colorful.cn/product_show.aspx?mid=84&amp;id=945" TargetMode="External"/><Relationship Id="rId462" Type="http://schemas.openxmlformats.org/officeDocument/2006/relationships/hyperlink" Target="https://www.asrockrack.com/" TargetMode="External"/><Relationship Id="rId461" Type="http://schemas.openxmlformats.org/officeDocument/2006/relationships/hyperlink" Target="https://www.asrock.com/mb/Intel/Z690M%20Phantom%20Gaming%204/index.asp" TargetMode="External"/><Relationship Id="rId460" Type="http://schemas.openxmlformats.org/officeDocument/2006/relationships/hyperlink" Target="http://asrock.com/" TargetMode="External"/><Relationship Id="rId466" Type="http://schemas.openxmlformats.org/officeDocument/2006/relationships/hyperlink" Target="https://en.colorful.cn/index.aspx" TargetMode="External"/><Relationship Id="rId465" Type="http://schemas.openxmlformats.org/officeDocument/2006/relationships/hyperlink" Target="https://rog.asus.com/motherboards/rog-strix/rog-strix-z690-g-gaming-wifi-model/" TargetMode="External"/><Relationship Id="rId464" Type="http://schemas.openxmlformats.org/officeDocument/2006/relationships/hyperlink" Target="https://www.asus.com/Motherboards-Components/Motherboards/PRIME/PRIME-Z690M-PLUS-D4/" TargetMode="External"/><Relationship Id="rId463" Type="http://schemas.openxmlformats.org/officeDocument/2006/relationships/hyperlink" Target="https://www.asrockrack.com/general/productdetail.asp?Model=Z690D4ID-2T" TargetMode="External"/><Relationship Id="rId459" Type="http://schemas.openxmlformats.org/officeDocument/2006/relationships/hyperlink" Target="https://www.asrock.com/mb/Intel/Z690M%20PG%20RiptideD5/index.asp" TargetMode="External"/><Relationship Id="rId458" Type="http://schemas.openxmlformats.org/officeDocument/2006/relationships/hyperlink" Target="http://asrock.com/" TargetMode="External"/><Relationship Id="rId457" Type="http://schemas.openxmlformats.org/officeDocument/2006/relationships/hyperlink" Target="https://www.asrock.com/mb/Intel/H670M%20Pro%20RS/index.asp" TargetMode="External"/><Relationship Id="rId456" Type="http://schemas.openxmlformats.org/officeDocument/2006/relationships/hyperlink" Target="http://asrock.com/" TargetMode="External"/><Relationship Id="rId451" Type="http://schemas.openxmlformats.org/officeDocument/2006/relationships/hyperlink" Target="https://www.msi.com/Motherboard/PRO-B660M-E-DDR4" TargetMode="External"/><Relationship Id="rId450" Type="http://schemas.openxmlformats.org/officeDocument/2006/relationships/hyperlink" Target="https://www.msi.com/Motherboard/PRO-B660M-B" TargetMode="External"/><Relationship Id="rId455" Type="http://schemas.openxmlformats.org/officeDocument/2006/relationships/hyperlink" Target="https://www.msi.com/Motherboard/PRO-B660M-P-WIFI-DDR4" TargetMode="External"/><Relationship Id="rId454" Type="http://schemas.openxmlformats.org/officeDocument/2006/relationships/hyperlink" Target="https://www.msi.com/Motherboard/PRO-B660M-P-DDR4" TargetMode="External"/><Relationship Id="rId453" Type="http://schemas.openxmlformats.org/officeDocument/2006/relationships/hyperlink" Target="https://www.msi.com/Motherboard/PRO-B660M-G" TargetMode="External"/><Relationship Id="rId452" Type="http://schemas.openxmlformats.org/officeDocument/2006/relationships/hyperlink" Target="https://www.msi.com/Motherboard/PRO-B660M-G-DDR4" TargetMode="External"/><Relationship Id="rId491" Type="http://schemas.openxmlformats.org/officeDocument/2006/relationships/hyperlink" Target="https://pg.asrock.com/mb/Intel/B760M%20PG%20Riptide%20WiFi/index.asp" TargetMode="External"/><Relationship Id="rId490" Type="http://schemas.openxmlformats.org/officeDocument/2006/relationships/hyperlink" Target="http://asrock.com/" TargetMode="External"/><Relationship Id="rId489" Type="http://schemas.openxmlformats.org/officeDocument/2006/relationships/hyperlink" Target="https://pg.asrock.com/mb/Intel/B760M%20PG%20Riptide/index.asp" TargetMode="External"/><Relationship Id="rId484" Type="http://schemas.openxmlformats.org/officeDocument/2006/relationships/hyperlink" Target="http://asrock.com/" TargetMode="External"/><Relationship Id="rId483" Type="http://schemas.openxmlformats.org/officeDocument/2006/relationships/hyperlink" Target="https://pg.asrock.com/mb/Intel/B760M%20PG%20LightningD4/index.asp" TargetMode="External"/><Relationship Id="rId482" Type="http://schemas.openxmlformats.org/officeDocument/2006/relationships/hyperlink" Target="http://asrock.com/" TargetMode="External"/><Relationship Id="rId481" Type="http://schemas.openxmlformats.org/officeDocument/2006/relationships/hyperlink" Target="https://www.asrock.com/mb/Intel/B760M-HDVP/index.asp" TargetMode="External"/><Relationship Id="rId488" Type="http://schemas.openxmlformats.org/officeDocument/2006/relationships/hyperlink" Target="http://asrock.com/" TargetMode="External"/><Relationship Id="rId487" Type="http://schemas.openxmlformats.org/officeDocument/2006/relationships/hyperlink" Target="https://pg.asrock.com/mb/Intel/B760M%20PG%20Lightning%20WiFi/index.asp" TargetMode="External"/><Relationship Id="rId486" Type="http://schemas.openxmlformats.org/officeDocument/2006/relationships/hyperlink" Target="http://asrock.com/" TargetMode="External"/><Relationship Id="rId485" Type="http://schemas.openxmlformats.org/officeDocument/2006/relationships/hyperlink" Target="https://pg.asrock.com/mb/Intel/B760M%20PG%20Lightning/index.asp" TargetMode="External"/><Relationship Id="rId480" Type="http://schemas.openxmlformats.org/officeDocument/2006/relationships/hyperlink" Target="http://asrock.com/" TargetMode="External"/><Relationship Id="rId479" Type="http://schemas.openxmlformats.org/officeDocument/2006/relationships/hyperlink" Target="https://www.asrock.com/mb/Intel/B760M-HDVM.2%20D4/index.asp" TargetMode="External"/><Relationship Id="rId478" Type="http://schemas.openxmlformats.org/officeDocument/2006/relationships/hyperlink" Target="http://asrock.com/" TargetMode="External"/><Relationship Id="rId473" Type="http://schemas.openxmlformats.org/officeDocument/2006/relationships/hyperlink" Target="https://www.msi.com/Motherboard/MAG-Z690M-MORTAR-WIFI" TargetMode="External"/><Relationship Id="rId472" Type="http://schemas.openxmlformats.org/officeDocument/2006/relationships/hyperlink" Target="https://www.gigabyte.com/Motherboard/Z690M-DS3H-DDR4-rev-10" TargetMode="External"/><Relationship Id="rId471" Type="http://schemas.openxmlformats.org/officeDocument/2006/relationships/hyperlink" Target="https://www.gigabyte.com/Motherboard/Z690M-AORUS-ELITE-AX-DDR4-rev-1x" TargetMode="External"/><Relationship Id="rId470" Type="http://schemas.openxmlformats.org/officeDocument/2006/relationships/hyperlink" Target="https://www.gigabyte.com/Motherboard/Z690M-AORUS-ELITE-DDR4-rev-10" TargetMode="External"/><Relationship Id="rId477" Type="http://schemas.openxmlformats.org/officeDocument/2006/relationships/hyperlink" Target="https://www.asrock.com/mb/Intel/B760M-HDVM.2/index.asp" TargetMode="External"/><Relationship Id="rId476" Type="http://schemas.openxmlformats.org/officeDocument/2006/relationships/hyperlink" Target="http://asrock.com/" TargetMode="External"/><Relationship Id="rId475" Type="http://schemas.openxmlformats.org/officeDocument/2006/relationships/hyperlink" Target="https://www.asrock.com/mb/Intel/B760M-HM.2/index.asp" TargetMode="External"/><Relationship Id="rId474" Type="http://schemas.openxmlformats.org/officeDocument/2006/relationships/hyperlink" Target="http://asrock.com/" TargetMode="External"/><Relationship Id="rId426" Type="http://schemas.openxmlformats.org/officeDocument/2006/relationships/hyperlink" Target="https://www.gigabyte.com/Motherboard/B660M-GAMING-X-rev-10" TargetMode="External"/><Relationship Id="rId425" Type="http://schemas.openxmlformats.org/officeDocument/2006/relationships/hyperlink" Target="https://www.gigabyte.com/Motherboard/B660M-GAMING-AC-DDR4-rev-10" TargetMode="External"/><Relationship Id="rId424" Type="http://schemas.openxmlformats.org/officeDocument/2006/relationships/hyperlink" Target="https://www.gigabyte.com/Motherboard/B660M-GAMING-DDR4-rev-10" TargetMode="External"/><Relationship Id="rId423" Type="http://schemas.openxmlformats.org/officeDocument/2006/relationships/hyperlink" Target="https://www.gigabyte.com/Motherboard/B660M-DS3H-DDR4-rev-10" TargetMode="External"/><Relationship Id="rId429" Type="http://schemas.openxmlformats.org/officeDocument/2006/relationships/hyperlink" Target="https://www.gigabyte.com/Motherboard/B660M-GAMING-X-DDR4-rev-10" TargetMode="External"/><Relationship Id="rId428" Type="http://schemas.openxmlformats.org/officeDocument/2006/relationships/hyperlink" Target="https://www.gigabyte.com/Motherboard/B660M-GAMING-X-AX-DDR4-rev-1x" TargetMode="External"/><Relationship Id="rId427" Type="http://schemas.openxmlformats.org/officeDocument/2006/relationships/hyperlink" Target="https://www.gigabyte.com/Motherboard/B660M-GAMING-X-AX-rev-10" TargetMode="External"/><Relationship Id="rId422" Type="http://schemas.openxmlformats.org/officeDocument/2006/relationships/hyperlink" Target="https://www.gigabyte.com/Motherboard/B660M-DS3H-AX-DDR4-rev-1x" TargetMode="External"/><Relationship Id="rId421" Type="http://schemas.openxmlformats.org/officeDocument/2006/relationships/hyperlink" Target="https://www.gigabyte.com/Motherboard/B660M-D3H-DDR4-rev-10" TargetMode="External"/><Relationship Id="rId420" Type="http://schemas.openxmlformats.org/officeDocument/2006/relationships/hyperlink" Target="https://www.gigabyte.com/Motherboard/B660M-D2H-DDR4-rev-10" TargetMode="External"/><Relationship Id="rId415" Type="http://schemas.openxmlformats.org/officeDocument/2006/relationships/hyperlink" Target="https://www.gigabyte.com/Motherboard/B660M-AORUS-ELITE-AX-DDR4-rev-10" TargetMode="External"/><Relationship Id="rId414" Type="http://schemas.openxmlformats.org/officeDocument/2006/relationships/hyperlink" Target="https://www.gigabyte.com/Motherboard/B660M-AORUS-ELITE-DDR4-rev-10" TargetMode="External"/><Relationship Id="rId413" Type="http://schemas.openxmlformats.org/officeDocument/2006/relationships/hyperlink" Target="https://en.colorful.cn/product_show.aspx?mid=84&amp;id=946" TargetMode="External"/><Relationship Id="rId412" Type="http://schemas.openxmlformats.org/officeDocument/2006/relationships/hyperlink" Target="https://en.colorful.cn/index.aspx" TargetMode="External"/><Relationship Id="rId419" Type="http://schemas.openxmlformats.org/officeDocument/2006/relationships/hyperlink" Target="https://www.gigabyte.com/Motherboard/B660M-AORUS-PRO-DDR4-rev-10" TargetMode="External"/><Relationship Id="rId418" Type="http://schemas.openxmlformats.org/officeDocument/2006/relationships/hyperlink" Target="https://www.gigabyte.com/Motherboard/B660M-AORUS-PRO-AX-DDR4-rev-1x" TargetMode="External"/><Relationship Id="rId417" Type="http://schemas.openxmlformats.org/officeDocument/2006/relationships/hyperlink" Target="https://www.gigabyte.com/Motherboard/B660M-AORUS-PRO-AX-rev-1x" TargetMode="External"/><Relationship Id="rId416" Type="http://schemas.openxmlformats.org/officeDocument/2006/relationships/hyperlink" Target="https://www.gigabyte.com/Motherboard/B660M-AORUS-PRO-rev-10" TargetMode="External"/><Relationship Id="rId411" Type="http://schemas.openxmlformats.org/officeDocument/2006/relationships/hyperlink" Target="https://en.colorful.cn/product_show.aspx?mid=84&amp;id=947" TargetMode="External"/><Relationship Id="rId410" Type="http://schemas.openxmlformats.org/officeDocument/2006/relationships/hyperlink" Target="https://en.colorful.cn/index.aspx" TargetMode="External"/><Relationship Id="rId448" Type="http://schemas.openxmlformats.org/officeDocument/2006/relationships/hyperlink" Target="https://www.msi.com/Motherboard/PRO-B660M-A-WIFI-DDR4" TargetMode="External"/><Relationship Id="rId447" Type="http://schemas.openxmlformats.org/officeDocument/2006/relationships/hyperlink" Target="https://www.msi.com/Motherboard/PRO-B660M-A-WIFI" TargetMode="External"/><Relationship Id="rId446" Type="http://schemas.openxmlformats.org/officeDocument/2006/relationships/hyperlink" Target="https://www.msi.com/Motherboard/PRO-B660M-A-DDR4" TargetMode="External"/><Relationship Id="rId445" Type="http://schemas.openxmlformats.org/officeDocument/2006/relationships/hyperlink" Target="https://www.msi.com/Motherboard/PRO-B660M-A-CEC-WIFI-DDR4" TargetMode="External"/><Relationship Id="rId449" Type="http://schemas.openxmlformats.org/officeDocument/2006/relationships/hyperlink" Target="https://www.msi.com/Motherboard/PRO-B660M-B-DDR4" TargetMode="External"/><Relationship Id="rId440" Type="http://schemas.openxmlformats.org/officeDocument/2006/relationships/hyperlink" Target="https://www.msi.com/Motherboard/MAG-B660M-MORTAR-DDR4" TargetMode="External"/><Relationship Id="rId444" Type="http://schemas.openxmlformats.org/officeDocument/2006/relationships/hyperlink" Target="https://www.msi.com/Motherboard/PRO-B660M-A" TargetMode="External"/><Relationship Id="rId443" Type="http://schemas.openxmlformats.org/officeDocument/2006/relationships/hyperlink" Target="https://www.msi.com/Motherboard/MAG-B660M-MORTAR-WIFI-DDR4" TargetMode="External"/><Relationship Id="rId442" Type="http://schemas.openxmlformats.org/officeDocument/2006/relationships/hyperlink" Target="https://www.msi.com/Motherboard/MAG-B660M-MORTAR-WIFI" TargetMode="External"/><Relationship Id="rId441" Type="http://schemas.openxmlformats.org/officeDocument/2006/relationships/hyperlink" Target="https://www.msi.com/Motherboard/MAG-B660M-MORTAR-MAX-WIFI-DDR4" TargetMode="External"/><Relationship Id="rId437" Type="http://schemas.openxmlformats.org/officeDocument/2006/relationships/hyperlink" Target="https://www.msi.com/Motherboard/MAG-B660M-BAZOOKA" TargetMode="External"/><Relationship Id="rId436" Type="http://schemas.openxmlformats.org/officeDocument/2006/relationships/hyperlink" Target="http://www.maxsun.com.cn/2022/0513/5730.html" TargetMode="External"/><Relationship Id="rId435" Type="http://schemas.openxmlformats.org/officeDocument/2006/relationships/hyperlink" Target="http://www.maxsun.com.cn/" TargetMode="External"/><Relationship Id="rId434" Type="http://schemas.openxmlformats.org/officeDocument/2006/relationships/hyperlink" Target="http://www.maxsun.com.cn/2022/0303/5659.html" TargetMode="External"/><Relationship Id="rId439" Type="http://schemas.openxmlformats.org/officeDocument/2006/relationships/hyperlink" Target="https://www.msi.com/Motherboard/MAG-B660M-MORTAR" TargetMode="External"/><Relationship Id="rId438" Type="http://schemas.openxmlformats.org/officeDocument/2006/relationships/hyperlink" Target="https://www.msi.com/Motherboard/MAG-B660M-BAZOOKA-DDR4" TargetMode="External"/><Relationship Id="rId433" Type="http://schemas.openxmlformats.org/officeDocument/2006/relationships/hyperlink" Target="http://www.maxsun.com.cn/" TargetMode="External"/><Relationship Id="rId432" Type="http://schemas.openxmlformats.org/officeDocument/2006/relationships/hyperlink" Target="http://www.maxsun.com.cn/2022/0106/5649.html" TargetMode="External"/><Relationship Id="rId431" Type="http://schemas.openxmlformats.org/officeDocument/2006/relationships/hyperlink" Target="http://www.maxsun.com.cn/" TargetMode="External"/><Relationship Id="rId430" Type="http://schemas.openxmlformats.org/officeDocument/2006/relationships/hyperlink" Target="https://www.gigabyte.com/Motherboard/B660M-POWER-DDR4-rev-10" TargetMode="External"/><Relationship Id="rId1" Type="http://schemas.openxmlformats.org/officeDocument/2006/relationships/comments" Target="../comments14.xml"/><Relationship Id="rId2" Type="http://schemas.openxmlformats.org/officeDocument/2006/relationships/hyperlink" Target="http://asrock.com/" TargetMode="External"/><Relationship Id="rId3" Type="http://schemas.openxmlformats.org/officeDocument/2006/relationships/hyperlink" Target="https://www.asrock.com/mb/AMD/B450M-HDV/index.asp" TargetMode="External"/><Relationship Id="rId4" Type="http://schemas.openxmlformats.org/officeDocument/2006/relationships/hyperlink" Target="https://www.asus.com/Motherboards-Components/Motherboards/All-series/PRIME-B450M-K/" TargetMode="External"/><Relationship Id="rId9" Type="http://schemas.openxmlformats.org/officeDocument/2006/relationships/hyperlink" Target="https://www.gigabyte.com/Motherboard/B450M-DS3H-V2-rev-10/" TargetMode="External"/><Relationship Id="rId5" Type="http://schemas.openxmlformats.org/officeDocument/2006/relationships/hyperlink" Target="https://www.asus.com/Motherboards-Components/Motherboards/PRIME/PRIME-B450M-K-II/" TargetMode="External"/><Relationship Id="rId6" Type="http://schemas.openxmlformats.org/officeDocument/2006/relationships/hyperlink" Target="https://www.biostar.com.tw/app/en/mb/introduction.php?S_ID=925" TargetMode="External"/><Relationship Id="rId7" Type="http://schemas.openxmlformats.org/officeDocument/2006/relationships/hyperlink" Target="https://www.biostar.com.tw/app/en/mb/introduction.php?S_ID=924" TargetMode="External"/><Relationship Id="rId8" Type="http://schemas.openxmlformats.org/officeDocument/2006/relationships/hyperlink" Target="https://www.gigabyte.com/Motherboard/B450M-DS3H-rev-10" TargetMode="External"/><Relationship Id="rId610" Type="http://schemas.openxmlformats.org/officeDocument/2006/relationships/vmlDrawing" Target="../drawings/vmlDrawing14.vml"/><Relationship Id="rId609" Type="http://schemas.openxmlformats.org/officeDocument/2006/relationships/drawing" Target="../drawings/drawing17.xml"/><Relationship Id="rId608" Type="http://schemas.openxmlformats.org/officeDocument/2006/relationships/hyperlink" Target="http://www.maxsun.com.cn/2022/1011/5785.html" TargetMode="External"/><Relationship Id="rId607" Type="http://schemas.openxmlformats.org/officeDocument/2006/relationships/hyperlink" Target="http://www.maxsun.com.cn/" TargetMode="External"/><Relationship Id="rId602" Type="http://schemas.openxmlformats.org/officeDocument/2006/relationships/hyperlink" Target="https://en.colorful.cn/product_show.aspx?mid=84&amp;id=966" TargetMode="External"/><Relationship Id="rId601" Type="http://schemas.openxmlformats.org/officeDocument/2006/relationships/hyperlink" Target="https://en.colorful.cn/index.aspx" TargetMode="External"/><Relationship Id="rId600" Type="http://schemas.openxmlformats.org/officeDocument/2006/relationships/hyperlink" Target="https://en.colorful.cn/product_show.aspx?mid=84&amp;id=968" TargetMode="External"/><Relationship Id="rId606" Type="http://schemas.openxmlformats.org/officeDocument/2006/relationships/hyperlink" Target="https://www.gigabyte.com/Motherboard/Z790M-AORUS-ELITE-AX-rev-11" TargetMode="External"/><Relationship Id="rId605" Type="http://schemas.openxmlformats.org/officeDocument/2006/relationships/hyperlink" Target="https://www.gigabyte.com/Motherboard/Z790M-AORUS-ELITE-AX-rev-10" TargetMode="External"/><Relationship Id="rId604" Type="http://schemas.openxmlformats.org/officeDocument/2006/relationships/hyperlink" Target="https://www.gigabyte.com/Motherboard/Z790M-AORUS-ELITE-rev-11" TargetMode="External"/><Relationship Id="rId603" Type="http://schemas.openxmlformats.org/officeDocument/2006/relationships/hyperlink" Target="https://www.gigabyte.com/Motherboard/Z790M-AORUS-ELITE-rev-10" TargetMode="External"/><Relationship Id="rId190" Type="http://schemas.openxmlformats.org/officeDocument/2006/relationships/hyperlink" Target="http://www.asrock.com/MB/Intel/H310M-HDV/" TargetMode="External"/><Relationship Id="rId194" Type="http://schemas.openxmlformats.org/officeDocument/2006/relationships/hyperlink" Target="https://www.asrock.com/MB/Intel/H310M-HDVP/index.asp" TargetMode="External"/><Relationship Id="rId193" Type="http://schemas.openxmlformats.org/officeDocument/2006/relationships/hyperlink" Target="http://asrock.com/" TargetMode="External"/><Relationship Id="rId192" Type="http://schemas.openxmlformats.org/officeDocument/2006/relationships/hyperlink" Target="https://www.asrock.com/mb/Intel/H310M-HDVM.2/" TargetMode="External"/><Relationship Id="rId191" Type="http://schemas.openxmlformats.org/officeDocument/2006/relationships/hyperlink" Target="http://asrock.com/" TargetMode="External"/><Relationship Id="rId187" Type="http://schemas.openxmlformats.org/officeDocument/2006/relationships/hyperlink" Target="http://asrock.com/" TargetMode="External"/><Relationship Id="rId186" Type="http://schemas.openxmlformats.org/officeDocument/2006/relationships/hyperlink" Target="https://www.asrock.com/MB/Intel/H310M-DGS/index.asp" TargetMode="External"/><Relationship Id="rId185" Type="http://schemas.openxmlformats.org/officeDocument/2006/relationships/hyperlink" Target="http://asrock.com/" TargetMode="External"/><Relationship Id="rId184" Type="http://schemas.openxmlformats.org/officeDocument/2006/relationships/hyperlink" Target="https://asrock.com/MB/Intel/H310CM-HDV/" TargetMode="External"/><Relationship Id="rId189" Type="http://schemas.openxmlformats.org/officeDocument/2006/relationships/hyperlink" Target="http://asrock.com/" TargetMode="External"/><Relationship Id="rId188" Type="http://schemas.openxmlformats.org/officeDocument/2006/relationships/hyperlink" Target="https://www.asrock.com/MB/Intel/H310M-GM.2/index.asp" TargetMode="External"/><Relationship Id="rId183" Type="http://schemas.openxmlformats.org/officeDocument/2006/relationships/hyperlink" Target="http://asrock.com/" TargetMode="External"/><Relationship Id="rId182" Type="http://schemas.openxmlformats.org/officeDocument/2006/relationships/hyperlink" Target="https://www.asrock.com/mb/Intel/H310CM-DVS/index.asp" TargetMode="External"/><Relationship Id="rId181" Type="http://schemas.openxmlformats.org/officeDocument/2006/relationships/hyperlink" Target="http://asrock.com/" TargetMode="External"/><Relationship Id="rId180" Type="http://schemas.openxmlformats.org/officeDocument/2006/relationships/hyperlink" Target="https://www.asrockrack.com/general/productdetail.asp?Model=ROMED4ID-2T" TargetMode="External"/><Relationship Id="rId176" Type="http://schemas.openxmlformats.org/officeDocument/2006/relationships/hyperlink" Target="https://www.asrockrack.com/general/productdetail.asp?Model=B650D4U-2T/BCM" TargetMode="External"/><Relationship Id="rId175" Type="http://schemas.openxmlformats.org/officeDocument/2006/relationships/hyperlink" Target="https://www.asrockrack.com/" TargetMode="External"/><Relationship Id="rId174" Type="http://schemas.openxmlformats.org/officeDocument/2006/relationships/hyperlink" Target="https://www.asrockrack.com/general/productdetail.asp?Model=B650D4U-2L2T/BCM" TargetMode="External"/><Relationship Id="rId173" Type="http://schemas.openxmlformats.org/officeDocument/2006/relationships/hyperlink" Target="https://www.asrockrack.com/" TargetMode="External"/><Relationship Id="rId179" Type="http://schemas.openxmlformats.org/officeDocument/2006/relationships/hyperlink" Target="https://www.asrockrack.com/" TargetMode="External"/><Relationship Id="rId178" Type="http://schemas.openxmlformats.org/officeDocument/2006/relationships/hyperlink" Target="https://rog.asus.com/motherboards/rog-crosshair/rog-crosshair-x670e-gene-model/" TargetMode="External"/><Relationship Id="rId177" Type="http://schemas.openxmlformats.org/officeDocument/2006/relationships/hyperlink" Target="https://www.biostar.com.tw/app/en/mb/introduction.php?S_ID=1090" TargetMode="External"/><Relationship Id="rId198" Type="http://schemas.openxmlformats.org/officeDocument/2006/relationships/hyperlink" Target="https://www.asus.com/motherboards-components/motherboards/all-series/PRIME-H310M-C-CSM" TargetMode="External"/><Relationship Id="rId197" Type="http://schemas.openxmlformats.org/officeDocument/2006/relationships/hyperlink" Target="https://www.asus.com/motherboards-components/motherboards/all-series/PRIME-H310M-C-R2-0-CSM" TargetMode="External"/><Relationship Id="rId196" Type="http://schemas.openxmlformats.org/officeDocument/2006/relationships/hyperlink" Target="https://www.asus.com/motherboards-components/motherboards/all-series/PRIME-H310M-A-R2-0" TargetMode="External"/><Relationship Id="rId195" Type="http://schemas.openxmlformats.org/officeDocument/2006/relationships/hyperlink" Target="https://www.asus.com/motherboards-components/motherboards/all-series/PRIME-H310M-A" TargetMode="External"/><Relationship Id="rId199" Type="http://schemas.openxmlformats.org/officeDocument/2006/relationships/hyperlink" Target="https://www.asus.com/motherboards-components/motherboards/all-series/PRIME-H310M-D" TargetMode="External"/><Relationship Id="rId150" Type="http://schemas.openxmlformats.org/officeDocument/2006/relationships/hyperlink" Target="https://www.asus.com/motherboards-components/motherboards/prime/prime-b650m-a-wifi-ii/" TargetMode="External"/><Relationship Id="rId149" Type="http://schemas.openxmlformats.org/officeDocument/2006/relationships/hyperlink" Target="https://www.asus.com/Motherboards-Components/Motherboards/PRIME/PRIME-B650M-A-WIFI/" TargetMode="External"/><Relationship Id="rId148" Type="http://schemas.openxmlformats.org/officeDocument/2006/relationships/hyperlink" Target="https://www.asus.com/motherboards-components/motherboards/prime/prime-b650m-a/" TargetMode="External"/><Relationship Id="rId143" Type="http://schemas.openxmlformats.org/officeDocument/2006/relationships/hyperlink" Target="https://www.asrock.com/mb/AMD/B650M%20PG%20Riptide%20WiFi/index.asp" TargetMode="External"/><Relationship Id="rId142" Type="http://schemas.openxmlformats.org/officeDocument/2006/relationships/hyperlink" Target="http://asrock.com/" TargetMode="External"/><Relationship Id="rId141" Type="http://schemas.openxmlformats.org/officeDocument/2006/relationships/hyperlink" Target="https://www.asrock.com/mb/AMD/B650M%20PG%20Riptide/index.asp" TargetMode="External"/><Relationship Id="rId140" Type="http://schemas.openxmlformats.org/officeDocument/2006/relationships/hyperlink" Target="http://asrock.com/" TargetMode="External"/><Relationship Id="rId147" Type="http://schemas.openxmlformats.org/officeDocument/2006/relationships/hyperlink" Target="https://www.asrock.com/mb/AMD/B650M%20Pro%20RS%20WiFi/index.asp" TargetMode="External"/><Relationship Id="rId146" Type="http://schemas.openxmlformats.org/officeDocument/2006/relationships/hyperlink" Target="http://asrock.com/" TargetMode="External"/><Relationship Id="rId145" Type="http://schemas.openxmlformats.org/officeDocument/2006/relationships/hyperlink" Target="https://www.asrock.com/mb/AMD/B650M%20Pro%20RS/index.asp" TargetMode="External"/><Relationship Id="rId144" Type="http://schemas.openxmlformats.org/officeDocument/2006/relationships/hyperlink" Target="http://asrock.com/" TargetMode="External"/><Relationship Id="rId139" Type="http://schemas.openxmlformats.org/officeDocument/2006/relationships/hyperlink" Target="https://www.asrock.com/mb/AMD/B650M-HDVM.2/index.asp" TargetMode="External"/><Relationship Id="rId138" Type="http://schemas.openxmlformats.org/officeDocument/2006/relationships/hyperlink" Target="http://asrock.com/" TargetMode="External"/><Relationship Id="rId137" Type="http://schemas.openxmlformats.org/officeDocument/2006/relationships/hyperlink" Target="https://www.msi.com/Motherboard/PRO-A620M-E" TargetMode="External"/><Relationship Id="rId132" Type="http://schemas.openxmlformats.org/officeDocument/2006/relationships/hyperlink" Target="https://www.gigabyte.com/Motherboard/A620M-DS3H-rev-10" TargetMode="External"/><Relationship Id="rId131" Type="http://schemas.openxmlformats.org/officeDocument/2006/relationships/hyperlink" Target="https://www.biostar.com.tw/app/en/mb/introduction.php?S_ID=1117" TargetMode="External"/><Relationship Id="rId130" Type="http://schemas.openxmlformats.org/officeDocument/2006/relationships/hyperlink" Target="https://www.asus.com/motherboards-components/motherboards/tuf-gaming/tuf-gaming-a620m-plus-wifi/" TargetMode="External"/><Relationship Id="rId136" Type="http://schemas.openxmlformats.org/officeDocument/2006/relationships/hyperlink" Target="https://www.gigabyte.com/Motherboard/A620M-S2H-rev-10" TargetMode="External"/><Relationship Id="rId135" Type="http://schemas.openxmlformats.org/officeDocument/2006/relationships/hyperlink" Target="https://www.gigabyte.com/Motherboard/A620M-H-rev-10" TargetMode="External"/><Relationship Id="rId134" Type="http://schemas.openxmlformats.org/officeDocument/2006/relationships/hyperlink" Target="https://www.gigabyte.com/Motherboard/A620M-GAMING-X-AX-rev-10" TargetMode="External"/><Relationship Id="rId133" Type="http://schemas.openxmlformats.org/officeDocument/2006/relationships/hyperlink" Target="https://www.gigabyte.com/Motherboard/A620M-GAMING-X-rev-10" TargetMode="External"/><Relationship Id="rId172" Type="http://schemas.openxmlformats.org/officeDocument/2006/relationships/hyperlink" Target="https://www.msi.com/Motherboard/PRO-B650M-P" TargetMode="External"/><Relationship Id="rId171" Type="http://schemas.openxmlformats.org/officeDocument/2006/relationships/hyperlink" Target="https://www.msi.com/Motherboard/PRO-B650M-A-WIFI" TargetMode="External"/><Relationship Id="rId170" Type="http://schemas.openxmlformats.org/officeDocument/2006/relationships/hyperlink" Target="https://www.msi.com/Motherboard/PRO-B650M-A" TargetMode="External"/><Relationship Id="rId165" Type="http://schemas.openxmlformats.org/officeDocument/2006/relationships/hyperlink" Target="https://www.gigabyte.com/Motherboard/B650M-DS3H-rev-10" TargetMode="External"/><Relationship Id="rId164" Type="http://schemas.openxmlformats.org/officeDocument/2006/relationships/hyperlink" Target="https://www.gigabyte.com/Motherboard/B650M-C-rev-10" TargetMode="External"/><Relationship Id="rId163" Type="http://schemas.openxmlformats.org/officeDocument/2006/relationships/hyperlink" Target="https://www.gigabyte.com/Motherboard/B650M-AORUS-PRO-AX-rev-1x" TargetMode="External"/><Relationship Id="rId162" Type="http://schemas.openxmlformats.org/officeDocument/2006/relationships/hyperlink" Target="https://www.gigabyte.com/Motherboard/B650M-AORUS-ELITE-AX-rev-1x" TargetMode="External"/><Relationship Id="rId169" Type="http://schemas.openxmlformats.org/officeDocument/2006/relationships/hyperlink" Target="https://www.msi.com/Motherboard/MAG-B650M-MORTAR-WIFI" TargetMode="External"/><Relationship Id="rId168" Type="http://schemas.openxmlformats.org/officeDocument/2006/relationships/hyperlink" Target="https://www.msi.com/Motherboard/MAG-B650M-MORTAR" TargetMode="External"/><Relationship Id="rId167" Type="http://schemas.openxmlformats.org/officeDocument/2006/relationships/hyperlink" Target="https://www.gigabyte.com/Motherboard/B650M-K-rev-10" TargetMode="External"/><Relationship Id="rId166" Type="http://schemas.openxmlformats.org/officeDocument/2006/relationships/hyperlink" Target="https://www.gigabyte.com/Motherboard/B650M-GAMING-X-AX-rev-1x" TargetMode="External"/><Relationship Id="rId161" Type="http://schemas.openxmlformats.org/officeDocument/2006/relationships/hyperlink" Target="https://www.gigabyte.com/Motherboard/B650M-AORUS-ELITE-rev-10" TargetMode="External"/><Relationship Id="rId160" Type="http://schemas.openxmlformats.org/officeDocument/2006/relationships/hyperlink" Target="https://www.biostar.com.tw/app/en/mb/introduction.php?S_ID=1115" TargetMode="External"/><Relationship Id="rId159" Type="http://schemas.openxmlformats.org/officeDocument/2006/relationships/hyperlink" Target="https://www.biostar.com.tw/app/en/mb/introduction.php?S_ID=1116" TargetMode="External"/><Relationship Id="rId154" Type="http://schemas.openxmlformats.org/officeDocument/2006/relationships/hyperlink" Target="https://www.asus.com/motherboards-components/motherboards/tuf-gaming/tuf-gaming-b650m-e/" TargetMode="External"/><Relationship Id="rId153" Type="http://schemas.openxmlformats.org/officeDocument/2006/relationships/hyperlink" Target="https://www.asus.com/motherboards-components/motherboards/prime/prime-b650m-k/" TargetMode="External"/><Relationship Id="rId152" Type="http://schemas.openxmlformats.org/officeDocument/2006/relationships/hyperlink" Target="https://www.asus.com/motherboards-components/motherboards/prime/prime-b650m-a-ax-ii/" TargetMode="External"/><Relationship Id="rId151" Type="http://schemas.openxmlformats.org/officeDocument/2006/relationships/hyperlink" Target="https://www.asus.com/Motherboards-Components/Motherboards/PRIME/PRIME-B650M-A-AX/" TargetMode="External"/><Relationship Id="rId158" Type="http://schemas.openxmlformats.org/officeDocument/2006/relationships/hyperlink" Target="https://www.biostar.com.tw/app/en/mb/introduction.php?S_ID=1091" TargetMode="External"/><Relationship Id="rId157" Type="http://schemas.openxmlformats.org/officeDocument/2006/relationships/hyperlink" Target="https://www.asus.com/Motherboards-Components/Motherboards/TUF-Gaming/TUF-GAMING-B650M-PLUS-WIFI/" TargetMode="External"/><Relationship Id="rId156" Type="http://schemas.openxmlformats.org/officeDocument/2006/relationships/hyperlink" Target="https://www.asus.com/Motherboards-Components/Motherboards/TUF-Gaming/TUF-GAMING-B650M-PLUS/" TargetMode="External"/><Relationship Id="rId155" Type="http://schemas.openxmlformats.org/officeDocument/2006/relationships/hyperlink" Target="https://www.asus.com/motherboards-components/motherboards/tuf-gaming/tuf-gaming-b650m-e-wifi/" TargetMode="External"/><Relationship Id="rId107" Type="http://schemas.openxmlformats.org/officeDocument/2006/relationships/hyperlink" Target="https://www.msi.com/Motherboard/MAG-B550M-VECTOR-WIFI" TargetMode="External"/><Relationship Id="rId106" Type="http://schemas.openxmlformats.org/officeDocument/2006/relationships/hyperlink" Target="https://www.msi.com/Motherboard/MAG-B550M-MORTAR-MAX-WIFI" TargetMode="External"/><Relationship Id="rId105" Type="http://schemas.openxmlformats.org/officeDocument/2006/relationships/hyperlink" Target="https://www.msi.com/Motherboard/MAG-B550M-MORTAR-WIFI" TargetMode="External"/><Relationship Id="rId104" Type="http://schemas.openxmlformats.org/officeDocument/2006/relationships/hyperlink" Target="https://www.msi.com/Motherboard/MAG-B550M-MORTAR" TargetMode="External"/><Relationship Id="rId109" Type="http://schemas.openxmlformats.org/officeDocument/2006/relationships/hyperlink" Target="http://asrock.com/" TargetMode="External"/><Relationship Id="rId108" Type="http://schemas.openxmlformats.org/officeDocument/2006/relationships/hyperlink" Target="https://www.msi.com/Motherboard/PRO-B550M-P-GEN3" TargetMode="External"/><Relationship Id="rId103" Type="http://schemas.openxmlformats.org/officeDocument/2006/relationships/hyperlink" Target="https://www.msi.com/Motherboard/MAG-B550M-BAZOOKA" TargetMode="External"/><Relationship Id="rId102" Type="http://schemas.openxmlformats.org/officeDocument/2006/relationships/hyperlink" Target="https://www.msi.com/Motherboard/B550M-PRO-VDH-WIFI-CEC" TargetMode="External"/><Relationship Id="rId101" Type="http://schemas.openxmlformats.org/officeDocument/2006/relationships/hyperlink" Target="https://www.msi.com/Motherboard/B550M-PRO-VDH-WIFI" TargetMode="External"/><Relationship Id="rId100" Type="http://schemas.openxmlformats.org/officeDocument/2006/relationships/hyperlink" Target="https://www.msi.com/Motherboard/B550M-PRO-VDH" TargetMode="External"/><Relationship Id="rId129" Type="http://schemas.openxmlformats.org/officeDocument/2006/relationships/hyperlink" Target="https://www.asus.com/motherboards-components/motherboards/tuf-gaming/tuf-gaming-a620m-plus/" TargetMode="External"/><Relationship Id="rId128" Type="http://schemas.openxmlformats.org/officeDocument/2006/relationships/hyperlink" Target="https://www.asus.com/motherboards-components/motherboards/prime/prime-a620m-k/" TargetMode="External"/><Relationship Id="rId127" Type="http://schemas.openxmlformats.org/officeDocument/2006/relationships/hyperlink" Target="https://www.asus.com/motherboards-components/motherboards/prime/prime-a620m-e/" TargetMode="External"/><Relationship Id="rId126" Type="http://schemas.openxmlformats.org/officeDocument/2006/relationships/hyperlink" Target="https://www.asus.com/motherboards-components/motherboards/prime/prime-a620m-a/" TargetMode="External"/><Relationship Id="rId121" Type="http://schemas.openxmlformats.org/officeDocument/2006/relationships/hyperlink" Target="https://www.asrock.com/mb/AMD/A620M-HDVM.2+/index.asp" TargetMode="External"/><Relationship Id="rId120" Type="http://schemas.openxmlformats.org/officeDocument/2006/relationships/hyperlink" Target="http://asrock.com/" TargetMode="External"/><Relationship Id="rId125" Type="http://schemas.openxmlformats.org/officeDocument/2006/relationships/hyperlink" Target="https://www.asrock.com/mb/AMD/A620M%20Pro%20RS%20WiFi/index.asp" TargetMode="External"/><Relationship Id="rId124" Type="http://schemas.openxmlformats.org/officeDocument/2006/relationships/hyperlink" Target="http://asrock.com/" TargetMode="External"/><Relationship Id="rId123" Type="http://schemas.openxmlformats.org/officeDocument/2006/relationships/hyperlink" Target="https://www.asrock.com/mb/AMD/A620M%20Pro%20RS/index.asp" TargetMode="External"/><Relationship Id="rId122" Type="http://schemas.openxmlformats.org/officeDocument/2006/relationships/hyperlink" Target="http://asrock.com/" TargetMode="External"/><Relationship Id="rId118" Type="http://schemas.openxmlformats.org/officeDocument/2006/relationships/hyperlink" Target="http://asrock.com/" TargetMode="External"/><Relationship Id="rId117" Type="http://schemas.openxmlformats.org/officeDocument/2006/relationships/hyperlink" Target="https://www.asrockrack.com/general/productdetail.asp?Model=AM5D4ID-2T/BCM" TargetMode="External"/><Relationship Id="rId116" Type="http://schemas.openxmlformats.org/officeDocument/2006/relationships/hyperlink" Target="https://www.asrockrack.com/" TargetMode="External"/><Relationship Id="rId115" Type="http://schemas.openxmlformats.org/officeDocument/2006/relationships/hyperlink" Target="https://www.asrockrack.com/general/productdetail.asp?Model=AM5D4ID-2L%2b/BCM" TargetMode="External"/><Relationship Id="rId119" Type="http://schemas.openxmlformats.org/officeDocument/2006/relationships/hyperlink" Target="https://www.asrock.com/mb/AMD/A620M-HDVM.2/index.asp" TargetMode="External"/><Relationship Id="rId110" Type="http://schemas.openxmlformats.org/officeDocument/2006/relationships/hyperlink" Target="http://asrock.com/mb/AMD/X570M%20Pro4/index.asp" TargetMode="External"/><Relationship Id="rId114" Type="http://schemas.openxmlformats.org/officeDocument/2006/relationships/hyperlink" Target="https://www.asrockrack.com/" TargetMode="External"/><Relationship Id="rId113" Type="http://schemas.openxmlformats.org/officeDocument/2006/relationships/hyperlink" Target="https://rog.asus.com/Motherboards/ROG-Crosshair/ROG-Crosshair-VIII-Impact-Model/" TargetMode="External"/><Relationship Id="rId112" Type="http://schemas.openxmlformats.org/officeDocument/2006/relationships/hyperlink" Target="https://www.asrockrack.com/general/productdetail.asp?Model=X570D4U-2L2T/BCM" TargetMode="External"/><Relationship Id="rId111" Type="http://schemas.openxmlformats.org/officeDocument/2006/relationships/hyperlink" Target="https://www.asrockrack.com/" TargetMode="External"/></Relationships>
</file>

<file path=xl/worksheets/_rels/sheet18.xml.rels><?xml version="1.0" encoding="UTF-8" standalone="yes"?><Relationships xmlns="http://schemas.openxmlformats.org/package/2006/relationships"><Relationship Id="rId392" Type="http://schemas.openxmlformats.org/officeDocument/2006/relationships/hyperlink" Target="https://www.greatwall.com.cn/" TargetMode="External"/><Relationship Id="rId391" Type="http://schemas.openxmlformats.org/officeDocument/2006/relationships/hyperlink" Target="https://www.clearesult.com/80plus/sites/80plus/files/manufacturer-certificate/china-greatwall-technology-group-co-ltd-tf750-1509.pdf" TargetMode="External"/><Relationship Id="rId390" Type="http://schemas.openxmlformats.org/officeDocument/2006/relationships/hyperlink" Target="https://item.taobao.com/item.htm?id=627642403877" TargetMode="External"/><Relationship Id="rId385" Type="http://schemas.openxmlformats.org/officeDocument/2006/relationships/hyperlink" Target="http://www.greatwall.com.cn/" TargetMode="External"/><Relationship Id="rId384" Type="http://schemas.openxmlformats.org/officeDocument/2006/relationships/hyperlink" Target="https://www.greatwall.com.cn/" TargetMode="External"/><Relationship Id="rId383" Type="http://schemas.openxmlformats.org/officeDocument/2006/relationships/hyperlink" Target="https://www.clearesult.com/80plus/sites/80plus/files/manufacturer-certificate/china-greatwall-technology-group-co-ltd-gwtf600%2885%29-386.pdf" TargetMode="External"/><Relationship Id="rId382" Type="http://schemas.openxmlformats.org/officeDocument/2006/relationships/hyperlink" Target="https://detail.tmall.com/item.htm?id=646780084930" TargetMode="External"/><Relationship Id="rId389" Type="http://schemas.openxmlformats.org/officeDocument/2006/relationships/hyperlink" Target="http://www.greatwall.com.cn/" TargetMode="External"/><Relationship Id="rId388" Type="http://schemas.openxmlformats.org/officeDocument/2006/relationships/hyperlink" Target="https://www.greatwall.com.cn/" TargetMode="External"/><Relationship Id="rId387" Type="http://schemas.openxmlformats.org/officeDocument/2006/relationships/hyperlink" Target="https://www.clearesult.com/80plus/sites/80plus/files/manufacturer-certificate/china-greatwall-technology-group-co-ltd-gwtf650%2890%29-385.pdf" TargetMode="External"/><Relationship Id="rId386" Type="http://schemas.openxmlformats.org/officeDocument/2006/relationships/hyperlink" Target="https://detail.tmall.com/item.htm?id=646780084930" TargetMode="External"/><Relationship Id="rId381" Type="http://schemas.openxmlformats.org/officeDocument/2006/relationships/hyperlink" Target="http://www.greatwall.com.cn/" TargetMode="External"/><Relationship Id="rId380" Type="http://schemas.openxmlformats.org/officeDocument/2006/relationships/hyperlink" Target="https://www.fsp-group.com/en/index.html" TargetMode="External"/><Relationship Id="rId379" Type="http://schemas.openxmlformats.org/officeDocument/2006/relationships/hyperlink" Target="https://www.clearesult.com/80plus/sites/80plus/files/manufacturer-certificate/fsp-technology-inc-fsp45050sac-2117.pdf" TargetMode="External"/><Relationship Id="rId374" Type="http://schemas.openxmlformats.org/officeDocument/2006/relationships/hyperlink" Target="https://www.fsplifestyle.com/en/product/SFXPro350W.html" TargetMode="External"/><Relationship Id="rId373" Type="http://schemas.openxmlformats.org/officeDocument/2006/relationships/hyperlink" Target="https://www.fsplifestyle.com/en/index.php" TargetMode="External"/><Relationship Id="rId372" Type="http://schemas.openxmlformats.org/officeDocument/2006/relationships/hyperlink" Target="https://www.fsp-group.com/en/index.html" TargetMode="External"/><Relationship Id="rId371" Type="http://schemas.openxmlformats.org/officeDocument/2006/relationships/hyperlink" Target="https://www.clearesult.com/80plus/sites/80plus/files/manufacturer-certificate/fsp-technology-inc-fsp85050sg-425.pdf" TargetMode="External"/><Relationship Id="rId378" Type="http://schemas.openxmlformats.org/officeDocument/2006/relationships/hyperlink" Target="https://www.fsplifestyle.com/en/product/SFXPro450W.html" TargetMode="External"/><Relationship Id="rId377" Type="http://schemas.openxmlformats.org/officeDocument/2006/relationships/hyperlink" Target="https://www.fsplifestyle.com/en/index.php" TargetMode="External"/><Relationship Id="rId376" Type="http://schemas.openxmlformats.org/officeDocument/2006/relationships/hyperlink" Target="https://www.fsp-group.com/en/index.html" TargetMode="External"/><Relationship Id="rId375" Type="http://schemas.openxmlformats.org/officeDocument/2006/relationships/hyperlink" Target="https://www.clearesult.com/80plus/sites/80plus/files/manufacturer-certificate/fsp-technology-inc-fsp35050sac-2118.pdf" TargetMode="External"/><Relationship Id="rId396" Type="http://schemas.openxmlformats.org/officeDocument/2006/relationships/hyperlink" Target="https://www.greatwall.com.cn/" TargetMode="External"/><Relationship Id="rId395" Type="http://schemas.openxmlformats.org/officeDocument/2006/relationships/hyperlink" Target="https://www.clearesult.com/80plus/sites/80plus/files/manufacturer-certificate/china-greatwall-technology-group-co-ltd-tf850-1510.pdf" TargetMode="External"/><Relationship Id="rId394" Type="http://schemas.openxmlformats.org/officeDocument/2006/relationships/hyperlink" Target="https://item.taobao.com/item.htm?id=627642403877" TargetMode="External"/><Relationship Id="rId393" Type="http://schemas.openxmlformats.org/officeDocument/2006/relationships/hyperlink" Target="http://www.greatwall.com.cn/" TargetMode="External"/><Relationship Id="rId399" Type="http://schemas.openxmlformats.org/officeDocument/2006/relationships/hyperlink" Target="https://hdplex.com/" TargetMode="External"/><Relationship Id="rId398" Type="http://schemas.openxmlformats.org/officeDocument/2006/relationships/hyperlink" Target="https://hdplex.com/hdplex-fanless-250w-gan-aio-atx-psu.html" TargetMode="External"/><Relationship Id="rId397" Type="http://schemas.openxmlformats.org/officeDocument/2006/relationships/hyperlink" Target="https://hdplex.com/" TargetMode="External"/><Relationship Id="rId40" Type="http://schemas.openxmlformats.org/officeDocument/2006/relationships/hyperlink" Target="https://www.clearesult.com/80plus/sites/80plus/files/manufacturer-certificate/ALMORDOR%20_SFX-850_850W_SOCE%206995_Report.pdf" TargetMode="External"/><Relationship Id="rId42" Type="http://schemas.openxmlformats.org/officeDocument/2006/relationships/hyperlink" Target="http://www.almordor.com/product-14178-14189-102304.html" TargetMode="External"/><Relationship Id="rId41" Type="http://schemas.openxmlformats.org/officeDocument/2006/relationships/hyperlink" Target="http://www.almordor.com/" TargetMode="External"/><Relationship Id="rId44" Type="http://schemas.openxmlformats.org/officeDocument/2006/relationships/hyperlink" Target="https://www.apexgaming.info/" TargetMode="External"/><Relationship Id="rId43" Type="http://schemas.openxmlformats.org/officeDocument/2006/relationships/hyperlink" Target="https://www.clearesult.com/80plus/sites/80plus/files/manufacturer-certificate/ALMORDOR%20_SFX-850_850W_SOCE%206995_Report.pdf" TargetMode="External"/><Relationship Id="rId46" Type="http://schemas.openxmlformats.org/officeDocument/2006/relationships/hyperlink" Target="https://www.clearesult.com/80plus/sites/80plus/files/manufacturer-certificate/apextechusa-llc-sfx650-11715.pdf" TargetMode="External"/><Relationship Id="rId45" Type="http://schemas.openxmlformats.org/officeDocument/2006/relationships/hyperlink" Target="https://www.apexgaming.info/collections/psu/products/apexgaming-sfx-650m-650watt-80-plus-gold-fully-modular-power-supply" TargetMode="External"/><Relationship Id="rId48" Type="http://schemas.openxmlformats.org/officeDocument/2006/relationships/hyperlink" Target="https://www.apexgaming.info/" TargetMode="External"/><Relationship Id="rId47" Type="http://schemas.openxmlformats.org/officeDocument/2006/relationships/hyperlink" Target="https://en.soly-tech.com/" TargetMode="External"/><Relationship Id="rId49" Type="http://schemas.openxmlformats.org/officeDocument/2006/relationships/hyperlink" Target="https://www.apexgaming.info/collections/psu/products/apexgaming-sfx-650mw-650watt-80-plus-gold-fully-modular-power-supply" TargetMode="External"/><Relationship Id="rId31" Type="http://schemas.openxmlformats.org/officeDocument/2006/relationships/hyperlink" Target="https://www.clearesult.com/80plus/sites/80plus/files/manufacturer-certificate/ALmordor_SFX-650_650W_SOCE%206317.1_Report.pdf" TargetMode="External"/><Relationship Id="rId30" Type="http://schemas.openxmlformats.org/officeDocument/2006/relationships/hyperlink" Target="http://www.almordor.com/product-14178-14189-102304.html" TargetMode="External"/><Relationship Id="rId33" Type="http://schemas.openxmlformats.org/officeDocument/2006/relationships/hyperlink" Target="http://www.almordor.com/product-14178-14189-113226.html" TargetMode="External"/><Relationship Id="rId32" Type="http://schemas.openxmlformats.org/officeDocument/2006/relationships/hyperlink" Target="http://www.almordor.com/" TargetMode="External"/><Relationship Id="rId35" Type="http://schemas.openxmlformats.org/officeDocument/2006/relationships/hyperlink" Target="http://www.almordor.com/" TargetMode="External"/><Relationship Id="rId34" Type="http://schemas.openxmlformats.org/officeDocument/2006/relationships/hyperlink" Target="https://www.clearesult.com/80plus/sites/80plus/files/manufacturer-certificate/ALMORDOR_SFX-750_750W_SOCE%207110_Report.pdf" TargetMode="External"/><Relationship Id="rId37" Type="http://schemas.openxmlformats.org/officeDocument/2006/relationships/hyperlink" Target="https://www.clearesult.com/80plus/sites/80plus/files/manufacturer-certificate/ALMORDOR_SFX-750_750W_SOCE%207110_Report.pdf" TargetMode="External"/><Relationship Id="rId36" Type="http://schemas.openxmlformats.org/officeDocument/2006/relationships/hyperlink" Target="http://www.almordor.com/product-14178-14189-102304.html" TargetMode="External"/><Relationship Id="rId39" Type="http://schemas.openxmlformats.org/officeDocument/2006/relationships/hyperlink" Target="http://www.almordor.com/product-14178-14189-113226.html" TargetMode="External"/><Relationship Id="rId38" Type="http://schemas.openxmlformats.org/officeDocument/2006/relationships/hyperlink" Target="http://www.almordor.com/" TargetMode="External"/><Relationship Id="rId20" Type="http://schemas.openxmlformats.org/officeDocument/2006/relationships/hyperlink" Target="https://www.clearesult.com/80plus/sites/80plus/files/manufacturer-certificate/1st%20Player_PS-850SFX_850W_SOCE%206995.1_Report.pdf" TargetMode="External"/><Relationship Id="rId22" Type="http://schemas.openxmlformats.org/officeDocument/2006/relationships/hyperlink" Target="http://www.almordor.com/" TargetMode="External"/><Relationship Id="rId21" Type="http://schemas.openxmlformats.org/officeDocument/2006/relationships/hyperlink" Target="http://helly.com.cn/" TargetMode="External"/><Relationship Id="rId24" Type="http://schemas.openxmlformats.org/officeDocument/2006/relationships/hyperlink" Target="http://www.almordor.com/" TargetMode="External"/><Relationship Id="rId23" Type="http://schemas.openxmlformats.org/officeDocument/2006/relationships/hyperlink" Target="http://www.almordor.com/product-14178-14189-113226.html" TargetMode="External"/><Relationship Id="rId26" Type="http://schemas.openxmlformats.org/officeDocument/2006/relationships/hyperlink" Target="http://www.almordor.com/" TargetMode="External"/><Relationship Id="rId25" Type="http://schemas.openxmlformats.org/officeDocument/2006/relationships/hyperlink" Target="http://www.almordor.com/product-14178-14189-102304.html" TargetMode="External"/><Relationship Id="rId28" Type="http://schemas.openxmlformats.org/officeDocument/2006/relationships/hyperlink" Target="https://www.clearesult.com/80plus/sites/80plus/files/manufacturer-certificate/ALmordor_SFX-650_650W_SOCE%206317.1_Report.pdf" TargetMode="External"/><Relationship Id="rId27" Type="http://schemas.openxmlformats.org/officeDocument/2006/relationships/hyperlink" Target="http://www.almordor.com/product-14178-14189-113226.html" TargetMode="External"/><Relationship Id="rId29" Type="http://schemas.openxmlformats.org/officeDocument/2006/relationships/hyperlink" Target="http://www.almordor.com/" TargetMode="External"/><Relationship Id="rId11" Type="http://schemas.openxmlformats.org/officeDocument/2006/relationships/hyperlink" Target="https://hwbusters.com/psus/asus-rog-loki-sfx-l-850w-psu-review/" TargetMode="External"/><Relationship Id="rId10" Type="http://schemas.openxmlformats.org/officeDocument/2006/relationships/hyperlink" Target="http://helly.com.cn/" TargetMode="External"/><Relationship Id="rId13" Type="http://schemas.openxmlformats.org/officeDocument/2006/relationships/hyperlink" Target="https://www.1stplayer.com/productdetails/id/144.html" TargetMode="External"/><Relationship Id="rId12" Type="http://schemas.openxmlformats.org/officeDocument/2006/relationships/hyperlink" Target="https://www.1stplayer.com/" TargetMode="External"/><Relationship Id="rId15" Type="http://schemas.openxmlformats.org/officeDocument/2006/relationships/hyperlink" Target="https://www.cybenetics.com/d/cybenetics_2Th.pdf" TargetMode="External"/><Relationship Id="rId14" Type="http://schemas.openxmlformats.org/officeDocument/2006/relationships/hyperlink" Target="https://www.clearesult.com/80plus/sites/80plus/files/manufacturer-certificate/1st-player-ps750sfx-633.pdf" TargetMode="External"/><Relationship Id="rId17" Type="http://schemas.openxmlformats.org/officeDocument/2006/relationships/hyperlink" Target="https://hwbusters.com/psus/asus-rog-loki-sfx-l-850w-psu-review/" TargetMode="External"/><Relationship Id="rId16" Type="http://schemas.openxmlformats.org/officeDocument/2006/relationships/hyperlink" Target="http://helly.com.cn/" TargetMode="External"/><Relationship Id="rId19" Type="http://schemas.openxmlformats.org/officeDocument/2006/relationships/hyperlink" Target="https://www.1stplayer.com/productdetails/id/144.html" TargetMode="External"/><Relationship Id="rId18" Type="http://schemas.openxmlformats.org/officeDocument/2006/relationships/hyperlink" Target="https://www.1stplayer.com/" TargetMode="External"/><Relationship Id="rId84" Type="http://schemas.openxmlformats.org/officeDocument/2006/relationships/hyperlink" Target="https://rog.asus.com/power-supply-units/rog-loki/rog-loki-850p-white-sfx-l-gaming-model/" TargetMode="External"/><Relationship Id="rId83" Type="http://schemas.openxmlformats.org/officeDocument/2006/relationships/hyperlink" Target="https://www.asus.com/" TargetMode="External"/><Relationship Id="rId86" Type="http://schemas.openxmlformats.org/officeDocument/2006/relationships/hyperlink" Target="https://www.cybenetics.com/d/cybenetics_6G1.pdf" TargetMode="External"/><Relationship Id="rId85" Type="http://schemas.openxmlformats.org/officeDocument/2006/relationships/hyperlink" Target="https://www.clearesult.com/80plus/sites/80plus/files/manufacturer-certificate/ASUS_ROG-LOKI-850P-SFX-L-GAMING_850W_SOCE%206843_Report.pdf" TargetMode="External"/><Relationship Id="rId88" Type="http://schemas.openxmlformats.org/officeDocument/2006/relationships/hyperlink" Target="https://hwbusters.com/psus/asus-rog-loki-sfx-l-850w-psu-review/" TargetMode="External"/><Relationship Id="rId87" Type="http://schemas.openxmlformats.org/officeDocument/2006/relationships/hyperlink" Target="https://www.greatwall.com.cn/" TargetMode="External"/><Relationship Id="rId89" Type="http://schemas.openxmlformats.org/officeDocument/2006/relationships/hyperlink" Target="https://www.asus.com/" TargetMode="External"/><Relationship Id="rId80" Type="http://schemas.openxmlformats.org/officeDocument/2006/relationships/hyperlink" Target="https://www.cybenetics.com/d/cybenetics_6G1.pdf" TargetMode="External"/><Relationship Id="rId82" Type="http://schemas.openxmlformats.org/officeDocument/2006/relationships/hyperlink" Target="https://hwbusters.com/psus/asus-rog-loki-sfx-l-850w-psu-review/" TargetMode="External"/><Relationship Id="rId81" Type="http://schemas.openxmlformats.org/officeDocument/2006/relationships/hyperlink" Target="https://www.greatwall.com.cn/" TargetMode="External"/><Relationship Id="rId73" Type="http://schemas.openxmlformats.org/officeDocument/2006/relationships/hyperlink" Target="https://rog.asus.com/power-supply-units/rog-loki/rog-loki-750p-sfx-l-gaming-model/" TargetMode="External"/><Relationship Id="rId72" Type="http://schemas.openxmlformats.org/officeDocument/2006/relationships/hyperlink" Target="https://www.asus.com/" TargetMode="External"/><Relationship Id="rId75" Type="http://schemas.openxmlformats.org/officeDocument/2006/relationships/hyperlink" Target="https://www.cybenetics.com/d/cybenetics_bEc.pdf" TargetMode="External"/><Relationship Id="rId74" Type="http://schemas.openxmlformats.org/officeDocument/2006/relationships/hyperlink" Target="https://www.clearesult.com/80plus/sites/80plus/files/manufacturer-certificate/ASUS_ROG-LOKI-750P-SFX-L-GAMING_750W_SOCE%206842_Report.pdf" TargetMode="External"/><Relationship Id="rId77" Type="http://schemas.openxmlformats.org/officeDocument/2006/relationships/hyperlink" Target="https://www.asus.com/" TargetMode="External"/><Relationship Id="rId76" Type="http://schemas.openxmlformats.org/officeDocument/2006/relationships/hyperlink" Target="https://www.greatwall.com.cn/" TargetMode="External"/><Relationship Id="rId79" Type="http://schemas.openxmlformats.org/officeDocument/2006/relationships/hyperlink" Target="https://www.clearesult.com/80plus/sites/80plus/files/manufacturer-certificate/ASUS_ROG-LOKI-850P-SFX-L-GAMING_850W_SOCE%206843_Report.pdf" TargetMode="External"/><Relationship Id="rId78" Type="http://schemas.openxmlformats.org/officeDocument/2006/relationships/hyperlink" Target="https://rog.asus.com/power-supply-units/rog-loki/rog-loki-850p-sfx-l-gaming-model/" TargetMode="External"/><Relationship Id="rId71" Type="http://schemas.openxmlformats.org/officeDocument/2006/relationships/hyperlink" Target="https://www.cybenetics.com/d/cybenetics_sBP.pdf" TargetMode="External"/><Relationship Id="rId70" Type="http://schemas.openxmlformats.org/officeDocument/2006/relationships/hyperlink" Target="https://www.clearesult.com/80plus/sites/80plus/files/manufacturer-certificate/ARESGAME_GL850_850W_SOCE%206914_Report.pdf" TargetMode="External"/><Relationship Id="rId62" Type="http://schemas.openxmlformats.org/officeDocument/2006/relationships/hyperlink" Target="https://www.clearesult.com/80plus/sites/80plus/files/manufacturer-certificate/apextechusa-llc-sfx850-11716.pdf" TargetMode="External"/><Relationship Id="rId61" Type="http://schemas.openxmlformats.org/officeDocument/2006/relationships/hyperlink" Target="https://www.apexgaming.info/collections/psu/products/apexgaming-sfx-850m-850watt-80-plus-platinum-fully-modular-power-supply" TargetMode="External"/><Relationship Id="rId64" Type="http://schemas.openxmlformats.org/officeDocument/2006/relationships/hyperlink" Target="https://www.apexgaming.info/" TargetMode="External"/><Relationship Id="rId63" Type="http://schemas.openxmlformats.org/officeDocument/2006/relationships/hyperlink" Target="https://en.soly-tech.com/" TargetMode="External"/><Relationship Id="rId66" Type="http://schemas.openxmlformats.org/officeDocument/2006/relationships/hyperlink" Target="https://www.clearesult.com/80plus/sites/80plus/files/manufacturer-certificate/apextechusa-llc-sfx850-11716.pdf" TargetMode="External"/><Relationship Id="rId65" Type="http://schemas.openxmlformats.org/officeDocument/2006/relationships/hyperlink" Target="https://www.apexgaming.info/collections/psu/products/apexgaming-sfx-850mw-850watt-80-plus-platinum-fully-modular-power-supply" TargetMode="External"/><Relationship Id="rId68" Type="http://schemas.openxmlformats.org/officeDocument/2006/relationships/hyperlink" Target="https://www.aresgame.com/" TargetMode="External"/><Relationship Id="rId67" Type="http://schemas.openxmlformats.org/officeDocument/2006/relationships/hyperlink" Target="https://en.soly-tech.com/" TargetMode="External"/><Relationship Id="rId60" Type="http://schemas.openxmlformats.org/officeDocument/2006/relationships/hyperlink" Target="https://www.apexgaming.info/" TargetMode="External"/><Relationship Id="rId69" Type="http://schemas.openxmlformats.org/officeDocument/2006/relationships/hyperlink" Target="https://www.aresgame.com/POWER.php?id=63&amp;&amp;name=GL850" TargetMode="External"/><Relationship Id="rId51" Type="http://schemas.openxmlformats.org/officeDocument/2006/relationships/hyperlink" Target="https://en.soly-tech.com/" TargetMode="External"/><Relationship Id="rId50" Type="http://schemas.openxmlformats.org/officeDocument/2006/relationships/hyperlink" Target="https://www.clearesult.com/80plus/sites/80plus/files/manufacturer-certificate/apextechusa-llc-sfx650-11715.pdf" TargetMode="External"/><Relationship Id="rId53" Type="http://schemas.openxmlformats.org/officeDocument/2006/relationships/hyperlink" Target="https://www.apexgaming.info/collections/psu/products/apexgaming-sfx-750m-750watt-80-plus-platinum-fully-modular-power-supply" TargetMode="External"/><Relationship Id="rId52" Type="http://schemas.openxmlformats.org/officeDocument/2006/relationships/hyperlink" Target="https://www.apexgaming.info/" TargetMode="External"/><Relationship Id="rId55" Type="http://schemas.openxmlformats.org/officeDocument/2006/relationships/hyperlink" Target="https://en.soly-tech.com/" TargetMode="External"/><Relationship Id="rId54" Type="http://schemas.openxmlformats.org/officeDocument/2006/relationships/hyperlink" Target="https://www.clearesult.com/80plus/sites/80plus/files/manufacturer-certificate/apextechusa-llc-sfx750-11656.pdf" TargetMode="External"/><Relationship Id="rId57" Type="http://schemas.openxmlformats.org/officeDocument/2006/relationships/hyperlink" Target="https://www.apexgaming.info/collections/psu/products/apexgaming-sfx-750mw-750watt-80-plus-platinum-fully-modular-power-supply" TargetMode="External"/><Relationship Id="rId56" Type="http://schemas.openxmlformats.org/officeDocument/2006/relationships/hyperlink" Target="https://www.apexgaming.info/" TargetMode="External"/><Relationship Id="rId59" Type="http://schemas.openxmlformats.org/officeDocument/2006/relationships/hyperlink" Target="https://en.soly-tech.com/" TargetMode="External"/><Relationship Id="rId58" Type="http://schemas.openxmlformats.org/officeDocument/2006/relationships/hyperlink" Target="https://www.clearesult.com/80plus/sites/80plus/files/manufacturer-certificate/apextechusa-llc-sfx750-11656.pdf" TargetMode="External"/><Relationship Id="rId349" Type="http://schemas.openxmlformats.org/officeDocument/2006/relationships/hyperlink" Target="https://www.fsplifestyle.com/en/index.php" TargetMode="External"/><Relationship Id="rId348" Type="http://schemas.openxmlformats.org/officeDocument/2006/relationships/hyperlink" Target="https://www.fsp-group.com/en/index.html" TargetMode="External"/><Relationship Id="rId347" Type="http://schemas.openxmlformats.org/officeDocument/2006/relationships/hyperlink" Target="https://www.clearesult.com/80plus/sites/80plus/files/manufacturer-certificate/fsp-technology-inc-fsp45050sd-2701.pdf" TargetMode="External"/><Relationship Id="rId346" Type="http://schemas.openxmlformats.org/officeDocument/2006/relationships/hyperlink" Target="https://www.fsplifestyle.com/PROP17c003015/" TargetMode="External"/><Relationship Id="rId341" Type="http://schemas.openxmlformats.org/officeDocument/2006/relationships/hyperlink" Target="https://www.fsp-group.com/en/index.html" TargetMode="External"/><Relationship Id="rId340" Type="http://schemas.openxmlformats.org/officeDocument/2006/relationships/hyperlink" Target="https://www.clearesult.com/80plus/sites/80plus/files/manufacturer-certificate/fsp-technology-inc-fsp50050fspt-4863.pdf" TargetMode="External"/><Relationship Id="rId345" Type="http://schemas.openxmlformats.org/officeDocument/2006/relationships/hyperlink" Target="https://www.fsplifestyle.com/en/index.php" TargetMode="External"/><Relationship Id="rId344" Type="http://schemas.openxmlformats.org/officeDocument/2006/relationships/hyperlink" Target="https://www.fsp-group.com/en/index.html" TargetMode="External"/><Relationship Id="rId343" Type="http://schemas.openxmlformats.org/officeDocument/2006/relationships/hyperlink" Target="https://www.fsplifestyle.com/PROP219005567/" TargetMode="External"/><Relationship Id="rId342" Type="http://schemas.openxmlformats.org/officeDocument/2006/relationships/hyperlink" Target="https://www.fsplifestyle.com/en/index.php" TargetMode="External"/><Relationship Id="rId338" Type="http://schemas.openxmlformats.org/officeDocument/2006/relationships/hyperlink" Target="https://www.fsplifestyle.com/en/index.php" TargetMode="External"/><Relationship Id="rId337" Type="http://schemas.openxmlformats.org/officeDocument/2006/relationships/hyperlink" Target="https://www.fsp-group.com/en/index.html" TargetMode="External"/><Relationship Id="rId336" Type="http://schemas.openxmlformats.org/officeDocument/2006/relationships/hyperlink" Target="https://www.clearesult.com/80plus/sites/80plus/files/manufacturer-certificate/fsp-technology-inc-fsp50050fggbn-11611.pdf" TargetMode="External"/><Relationship Id="rId335" Type="http://schemas.openxmlformats.org/officeDocument/2006/relationships/hyperlink" Target="https://www.fspgroupusa.com/ecommerce/ipc-psu/fsp500-50fggbn.html" TargetMode="External"/><Relationship Id="rId339" Type="http://schemas.openxmlformats.org/officeDocument/2006/relationships/hyperlink" Target="https://www.fspgroupusa.com/ecommerce/ipc-psu/flex/fsp500-50fspt.html" TargetMode="External"/><Relationship Id="rId330" Type="http://schemas.openxmlformats.org/officeDocument/2006/relationships/hyperlink" Target="https://www.fsplifestyle.com/en/index.php" TargetMode="External"/><Relationship Id="rId334" Type="http://schemas.openxmlformats.org/officeDocument/2006/relationships/hyperlink" Target="https://www.fsplifestyle.com/en/index.php" TargetMode="External"/><Relationship Id="rId333" Type="http://schemas.openxmlformats.org/officeDocument/2006/relationships/hyperlink" Target="https://www.fsp-group.com/en/index.html" TargetMode="External"/><Relationship Id="rId332" Type="http://schemas.openxmlformats.org/officeDocument/2006/relationships/hyperlink" Target="https://www.clearesult.com/80plus/sites/80plus/files/manufacturer-certificate/fsp-technology-inc-fsp40060fggba-5418.pdf" TargetMode="External"/><Relationship Id="rId331" Type="http://schemas.openxmlformats.org/officeDocument/2006/relationships/hyperlink" Target="https://www.fspgroupusa.com/ecommerce/fsp400-60fggba.html" TargetMode="External"/><Relationship Id="rId370" Type="http://schemas.openxmlformats.org/officeDocument/2006/relationships/hyperlink" Target="https://www.fsplifestyle.com/PROP21a005815/" TargetMode="External"/><Relationship Id="rId369" Type="http://schemas.openxmlformats.org/officeDocument/2006/relationships/hyperlink" Target="https://www.fsplifestyle.com/en/index.php" TargetMode="External"/><Relationship Id="rId368" Type="http://schemas.openxmlformats.org/officeDocument/2006/relationships/hyperlink" Target="https://www.fsp-group.com/en/index.html" TargetMode="External"/><Relationship Id="rId363" Type="http://schemas.openxmlformats.org/officeDocument/2006/relationships/hyperlink" Target="https://www.clearesult.com/80plus/sites/80plus/files/manufacturer-certificate/fsp-technology-inc-fsp65050sg-1121.pdf" TargetMode="External"/><Relationship Id="rId362" Type="http://schemas.openxmlformats.org/officeDocument/2006/relationships/hyperlink" Target="https://www.fsplifestyle.com/PROP21a005813/" TargetMode="External"/><Relationship Id="rId361" Type="http://schemas.openxmlformats.org/officeDocument/2006/relationships/hyperlink" Target="https://www.fsplifestyle.com/en/index.php" TargetMode="External"/><Relationship Id="rId360" Type="http://schemas.openxmlformats.org/officeDocument/2006/relationships/hyperlink" Target="https://www.fsp-group.com/en/index.html" TargetMode="External"/><Relationship Id="rId367" Type="http://schemas.openxmlformats.org/officeDocument/2006/relationships/hyperlink" Target="https://www.clearesult.com/80plus/sites/80plus/files/manufacturer-certificate/fsp-technology-inc-fsp75050sg-1241.pdf" TargetMode="External"/><Relationship Id="rId366" Type="http://schemas.openxmlformats.org/officeDocument/2006/relationships/hyperlink" Target="https://www.fsplifestyle.com/PROP209004874/" TargetMode="External"/><Relationship Id="rId365" Type="http://schemas.openxmlformats.org/officeDocument/2006/relationships/hyperlink" Target="https://www.fsplifestyle.com/en/index.php" TargetMode="External"/><Relationship Id="rId364" Type="http://schemas.openxmlformats.org/officeDocument/2006/relationships/hyperlink" Target="https://www.fsp-group.com/en/index.html" TargetMode="External"/><Relationship Id="rId95" Type="http://schemas.openxmlformats.org/officeDocument/2006/relationships/hyperlink" Target="https://rog.asus.com/power-supply-units/rog-loki/rog-loki-1200t-sfx-l-gaming-model/" TargetMode="External"/><Relationship Id="rId94" Type="http://schemas.openxmlformats.org/officeDocument/2006/relationships/hyperlink" Target="https://www.asus.com/" TargetMode="External"/><Relationship Id="rId97" Type="http://schemas.openxmlformats.org/officeDocument/2006/relationships/hyperlink" Target="https://www.cybenetics.com/d/cybenetics_bUl.pdf" TargetMode="External"/><Relationship Id="rId96" Type="http://schemas.openxmlformats.org/officeDocument/2006/relationships/hyperlink" Target="https://www.clearesult.com/80plus/sites/80plus/files/manufacturer-certificate/ASUS_ROG-LOKI-1200T-SFX-L-GAMING_1200W_SOCE%207059_Report.pdf" TargetMode="External"/><Relationship Id="rId99" Type="http://schemas.openxmlformats.org/officeDocument/2006/relationships/hyperlink" Target="https://www.bequiet.com/en/" TargetMode="External"/><Relationship Id="rId98" Type="http://schemas.openxmlformats.org/officeDocument/2006/relationships/hyperlink" Target="https://www.greatwall.com.cn/" TargetMode="External"/><Relationship Id="rId91" Type="http://schemas.openxmlformats.org/officeDocument/2006/relationships/hyperlink" Target="https://www.clearesult.com/80plus/sites/80plus/files/manufacturer-certificate/ASUS_ROG-LOKI-1000P-SFX-L-GAMING_1000W_SOCE%206844_Report.pdf" TargetMode="External"/><Relationship Id="rId90" Type="http://schemas.openxmlformats.org/officeDocument/2006/relationships/hyperlink" Target="https://rog.asus.com/power-supply-units/rog-loki/rog-loki-1000p-sfx-l-gaming-model/" TargetMode="External"/><Relationship Id="rId93" Type="http://schemas.openxmlformats.org/officeDocument/2006/relationships/hyperlink" Target="https://www.greatwall.com.cn/" TargetMode="External"/><Relationship Id="rId92" Type="http://schemas.openxmlformats.org/officeDocument/2006/relationships/hyperlink" Target="https://www.cybenetics.com/d/cybenetics_vgm.pdf" TargetMode="External"/><Relationship Id="rId359" Type="http://schemas.openxmlformats.org/officeDocument/2006/relationships/hyperlink" Target="https://www.clearesult.com/80plus/sites/80plus/files/manufacturer-certificate/fsp-technology-inc-fsp60050sg-2420.pdf" TargetMode="External"/><Relationship Id="rId358" Type="http://schemas.openxmlformats.org/officeDocument/2006/relationships/hyperlink" Target="https://www.fsplifestyle.com/PROP18c003461/" TargetMode="External"/><Relationship Id="rId357" Type="http://schemas.openxmlformats.org/officeDocument/2006/relationships/hyperlink" Target="https://www.fsplifestyle.com/en/index.php" TargetMode="External"/><Relationship Id="rId352" Type="http://schemas.openxmlformats.org/officeDocument/2006/relationships/hyperlink" Target="https://www.fsp-group.com/en/index.html" TargetMode="External"/><Relationship Id="rId351" Type="http://schemas.openxmlformats.org/officeDocument/2006/relationships/hyperlink" Target="https://www.clearesult.com/80plus/sites/80plus/files/manufacturer-certificate/fsp-technology-inc-fsp50050sd-1729.pdf" TargetMode="External"/><Relationship Id="rId350" Type="http://schemas.openxmlformats.org/officeDocument/2006/relationships/hyperlink" Target="https://www.fsplifestyle.com/PROP21a005811/" TargetMode="External"/><Relationship Id="rId356" Type="http://schemas.openxmlformats.org/officeDocument/2006/relationships/hyperlink" Target="https://www.fsp-group.com/en/index.html" TargetMode="External"/><Relationship Id="rId355" Type="http://schemas.openxmlformats.org/officeDocument/2006/relationships/hyperlink" Target="https://www.clearesult.com/80plus/sites/80plus/files/manufacturer-certificate/fsp-technology-inc-fsp60050sd-2606.pdf" TargetMode="External"/><Relationship Id="rId354" Type="http://schemas.openxmlformats.org/officeDocument/2006/relationships/hyperlink" Target="https://www.fsplifestyle.com/PROP186003312/" TargetMode="External"/><Relationship Id="rId353" Type="http://schemas.openxmlformats.org/officeDocument/2006/relationships/hyperlink" Target="https://www.fsplifestyle.com/en/index.php" TargetMode="External"/><Relationship Id="rId305" Type="http://schemas.openxmlformats.org/officeDocument/2006/relationships/hyperlink" Target="https://www.fsplifestyle.com/en/product/DAGGERPRO850W_GEN5.html" TargetMode="External"/><Relationship Id="rId304" Type="http://schemas.openxmlformats.org/officeDocument/2006/relationships/hyperlink" Target="https://www.fsplifestyle.com/en/index.php" TargetMode="External"/><Relationship Id="rId303" Type="http://schemas.openxmlformats.org/officeDocument/2006/relationships/hyperlink" Target="https://www.fsp-group.com/en/index.html" TargetMode="External"/><Relationship Id="rId302" Type="http://schemas.openxmlformats.org/officeDocument/2006/relationships/hyperlink" Target="https://www.clearesult.com/80plus/sites/80plus/files/manufacturer-certificate/fsp-technology-inc-sda2750-766.pdf" TargetMode="External"/><Relationship Id="rId309" Type="http://schemas.openxmlformats.org/officeDocument/2006/relationships/hyperlink" Target="https://www.fsplifestyle.com/en/product/DAGGERPRO850W_GEN5_WHITE.html" TargetMode="External"/><Relationship Id="rId308" Type="http://schemas.openxmlformats.org/officeDocument/2006/relationships/hyperlink" Target="https://www.fsplifestyle.com/en/index.php" TargetMode="External"/><Relationship Id="rId307" Type="http://schemas.openxmlformats.org/officeDocument/2006/relationships/hyperlink" Target="https://www.fsp-group.com/en/index.html" TargetMode="External"/><Relationship Id="rId306" Type="http://schemas.openxmlformats.org/officeDocument/2006/relationships/hyperlink" Target="https://www.clearesult.com/80plus/sites/80plus/files/manufacturer-certificate/fsp-technology-inc-sda2850-765.pdf" TargetMode="External"/><Relationship Id="rId301" Type="http://schemas.openxmlformats.org/officeDocument/2006/relationships/hyperlink" Target="https://www.fsplifestyle.com/en/product/DAGGERPRO750W_GEN5.html" TargetMode="External"/><Relationship Id="rId300" Type="http://schemas.openxmlformats.org/officeDocument/2006/relationships/hyperlink" Target="https://www.fsplifestyle.com/en/index.php" TargetMode="External"/><Relationship Id="rId327" Type="http://schemas.openxmlformats.org/officeDocument/2006/relationships/hyperlink" Target="https://www.fsplifestyle.com/en/index.php" TargetMode="External"/><Relationship Id="rId326" Type="http://schemas.openxmlformats.org/officeDocument/2006/relationships/hyperlink" Target="https://www.fsp-group.com/en/index.html" TargetMode="External"/><Relationship Id="rId325" Type="http://schemas.openxmlformats.org/officeDocument/2006/relationships/hyperlink" Target="https://www.clearesult.com/80plus/sites/80plus/files/manufacturer-certificate/fsp-technology-inc-fsp50050fdb-1854.pdf" TargetMode="External"/><Relationship Id="rId324" Type="http://schemas.openxmlformats.org/officeDocument/2006/relationships/hyperlink" Target="https://www.fsplifestyle.com/en/product/Flexguru500W.html" TargetMode="External"/><Relationship Id="rId329" Type="http://schemas.openxmlformats.org/officeDocument/2006/relationships/hyperlink" Target="https://www.fsp-group.com/en/index.html" TargetMode="External"/><Relationship Id="rId328" Type="http://schemas.openxmlformats.org/officeDocument/2006/relationships/hyperlink" Target="https://www.shop-fsp.de/FSP150-50FGBBB-fanless" TargetMode="External"/><Relationship Id="rId323" Type="http://schemas.openxmlformats.org/officeDocument/2006/relationships/hyperlink" Target="https://www.fsplifestyle.com/en/index.php" TargetMode="External"/><Relationship Id="rId322" Type="http://schemas.openxmlformats.org/officeDocument/2006/relationships/hyperlink" Target="https://www.fsp-group.com/en/index.html" TargetMode="External"/><Relationship Id="rId321" Type="http://schemas.openxmlformats.org/officeDocument/2006/relationships/hyperlink" Target="https://www.clearesult.com/80plus/sites/80plus/files/manufacturer-certificate/fsp-technology-inc-fsp30057fcb-1829.pdf" TargetMode="External"/><Relationship Id="rId320" Type="http://schemas.openxmlformats.org/officeDocument/2006/relationships/hyperlink" Target="https://www.fsplifestyle.com/en/product/Flexguru300W.html" TargetMode="External"/><Relationship Id="rId316" Type="http://schemas.openxmlformats.org/officeDocument/2006/relationships/hyperlink" Target="https://www.fsplifestyle.com/en/index.php" TargetMode="External"/><Relationship Id="rId315" Type="http://schemas.openxmlformats.org/officeDocument/2006/relationships/hyperlink" Target="https://www.fsp-group.com/en/index.html" TargetMode="External"/><Relationship Id="rId314" Type="http://schemas.openxmlformats.org/officeDocument/2006/relationships/hyperlink" Target="https://www.clearesult.com/80plus/sites/80plus/files/manufacturer-certificate/fsp-technology-inc-fsp50050ug-1122.pdf" TargetMode="External"/><Relationship Id="rId313" Type="http://schemas.openxmlformats.org/officeDocument/2006/relationships/hyperlink" Target="https://www.fsplifestyle.com/PROP207004657/" TargetMode="External"/><Relationship Id="rId319" Type="http://schemas.openxmlformats.org/officeDocument/2006/relationships/hyperlink" Target="https://www.fsplifestyle.com/en/index.php" TargetMode="External"/><Relationship Id="rId318" Type="http://schemas.openxmlformats.org/officeDocument/2006/relationships/hyperlink" Target="https://www.fsp-group.com/en/index.html" TargetMode="External"/><Relationship Id="rId317" Type="http://schemas.openxmlformats.org/officeDocument/2006/relationships/hyperlink" Target="https://www.fsplifestyle.com/en/product/Flexguru250W.html" TargetMode="External"/><Relationship Id="rId312" Type="http://schemas.openxmlformats.org/officeDocument/2006/relationships/hyperlink" Target="https://www.fsplifestyle.com/en/index.php" TargetMode="External"/><Relationship Id="rId311" Type="http://schemas.openxmlformats.org/officeDocument/2006/relationships/hyperlink" Target="https://www.fsp-group.com/en/index.html" TargetMode="External"/><Relationship Id="rId310" Type="http://schemas.openxmlformats.org/officeDocument/2006/relationships/hyperlink" Target="https://www.clearesult.com/80plus/sites/80plus/files/manufacturer-certificate/fsp-technology-inc-sda2850-765.pdf" TargetMode="External"/><Relationship Id="rId297" Type="http://schemas.openxmlformats.org/officeDocument/2006/relationships/hyperlink" Target="https://www.cybenetics.com/d/cybenetics_7Q0.pdf" TargetMode="External"/><Relationship Id="rId296" Type="http://schemas.openxmlformats.org/officeDocument/2006/relationships/hyperlink" Target="https://www.clearesult.com/80plus/sites/80plus/files/manufacturer-certificate/fsp-technology-inc-sda2850-765.pdf" TargetMode="External"/><Relationship Id="rId295" Type="http://schemas.openxmlformats.org/officeDocument/2006/relationships/hyperlink" Target="https://www.fsplifestyle.com/en/product/DAGGERPRO850W.html" TargetMode="External"/><Relationship Id="rId294" Type="http://schemas.openxmlformats.org/officeDocument/2006/relationships/hyperlink" Target="https://www.fsplifestyle.com/en/index.php" TargetMode="External"/><Relationship Id="rId299" Type="http://schemas.openxmlformats.org/officeDocument/2006/relationships/hyperlink" Target="https://www.techpowerup.com/review/fsp-dagger-pro-850w/" TargetMode="External"/><Relationship Id="rId298" Type="http://schemas.openxmlformats.org/officeDocument/2006/relationships/hyperlink" Target="https://www.fsp-group.com/en/index.html" TargetMode="External"/><Relationship Id="rId271" Type="http://schemas.openxmlformats.org/officeDocument/2006/relationships/hyperlink" Target="https://www.fsplifestyle.com/en/index.php" TargetMode="External"/><Relationship Id="rId270" Type="http://schemas.openxmlformats.org/officeDocument/2006/relationships/hyperlink" Target="https://www.tomshardware.com/reviews/fractal-design-ion-sfx-gold-650w" TargetMode="External"/><Relationship Id="rId269" Type="http://schemas.openxmlformats.org/officeDocument/2006/relationships/hyperlink" Target="https://seasonic.com/" TargetMode="External"/><Relationship Id="rId264" Type="http://schemas.openxmlformats.org/officeDocument/2006/relationships/hyperlink" Target="https://www.cybenetics.com/d/cybenetics_5Mo.pdf" TargetMode="External"/><Relationship Id="rId263" Type="http://schemas.openxmlformats.org/officeDocument/2006/relationships/hyperlink" Target="https://www.clearesult.com/80plus/sites/80plus/files/manufacturer-certificate/fractal-design-fdpsuionsfx500gbk-2212.pdf" TargetMode="External"/><Relationship Id="rId262" Type="http://schemas.openxmlformats.org/officeDocument/2006/relationships/hyperlink" Target="https://www.fsp-group.com/en/index.html" TargetMode="External"/><Relationship Id="rId261" Type="http://schemas.openxmlformats.org/officeDocument/2006/relationships/hyperlink" Target="https://www.clearesult.com/80plus/sites/80plus/files/manufacturer-certificate/fsp-technology-inc-fsp45050sac-2117.pdf" TargetMode="External"/><Relationship Id="rId268" Type="http://schemas.openxmlformats.org/officeDocument/2006/relationships/hyperlink" Target="https://www.cybenetics.com/d/cybenetics_DED.pdf" TargetMode="External"/><Relationship Id="rId267" Type="http://schemas.openxmlformats.org/officeDocument/2006/relationships/hyperlink" Target="https://www.clearesult.com/80plus/sites/80plus/files/manufacturer-certificate/fractal-design-fdpsuionsfx650gbk-2521.pdf" TargetMode="External"/><Relationship Id="rId266" Type="http://schemas.openxmlformats.org/officeDocument/2006/relationships/hyperlink" Target="https://www.tomshardware.com/reviews/fractal-design-ion-sfx-gold-500w-power-supply-review" TargetMode="External"/><Relationship Id="rId265" Type="http://schemas.openxmlformats.org/officeDocument/2006/relationships/hyperlink" Target="https://seasonic.com/" TargetMode="External"/><Relationship Id="rId260" Type="http://schemas.openxmlformats.org/officeDocument/2006/relationships/hyperlink" Target="https://www.fractal-design.com/products/power-supplies/anode/anode-sfx-bronze-450w/black/" TargetMode="External"/><Relationship Id="rId259" Type="http://schemas.openxmlformats.org/officeDocument/2006/relationships/hyperlink" Target="https://www.fsp-group.com/en/index.html" TargetMode="External"/><Relationship Id="rId258" Type="http://schemas.openxmlformats.org/officeDocument/2006/relationships/hyperlink" Target="https://www.clearesult.com/80plus/sites/80plus/files/manufacturer-certificate/fsp-technology-inc-sda2850-765.pdf" TargetMode="External"/><Relationship Id="rId253" Type="http://schemas.openxmlformats.org/officeDocument/2006/relationships/hyperlink" Target="https://www.tomshardware.com/reviews/evga-supernova-650-gm-sfx,5935.html" TargetMode="External"/><Relationship Id="rId252" Type="http://schemas.openxmlformats.org/officeDocument/2006/relationships/hyperlink" Target="https://www.fsp-group.com/en/index.html" TargetMode="External"/><Relationship Id="rId251" Type="http://schemas.openxmlformats.org/officeDocument/2006/relationships/hyperlink" Target="https://www.cybenetics.com/d/cybenetics_U5b.pdf" TargetMode="External"/><Relationship Id="rId250" Type="http://schemas.openxmlformats.org/officeDocument/2006/relationships/hyperlink" Target="https://www.clearesult.com/80plus/sites/80plus/files/manufacturer-certificate/evga-650-gm-2535.pdf" TargetMode="External"/><Relationship Id="rId257" Type="http://schemas.openxmlformats.org/officeDocument/2006/relationships/hyperlink" Target="https://www.evga.com/products/product.aspx?pn=123-GM-0850-X1" TargetMode="External"/><Relationship Id="rId256" Type="http://schemas.openxmlformats.org/officeDocument/2006/relationships/hyperlink" Target="https://www.fsp-group.com/en/index.html" TargetMode="External"/><Relationship Id="rId255" Type="http://schemas.openxmlformats.org/officeDocument/2006/relationships/hyperlink" Target="https://www.clearesult.com/80plus/sites/80plus/files/manufacturer-certificate/fsp-technology-inc-sda2750-766.pdf" TargetMode="External"/><Relationship Id="rId254" Type="http://schemas.openxmlformats.org/officeDocument/2006/relationships/hyperlink" Target="https://www.evga.com/products/product.aspx?pn=123-GM-0750-X1" TargetMode="External"/><Relationship Id="rId293" Type="http://schemas.openxmlformats.org/officeDocument/2006/relationships/hyperlink" Target="https://www.fsp-group.com/en/index.html" TargetMode="External"/><Relationship Id="rId292" Type="http://schemas.openxmlformats.org/officeDocument/2006/relationships/hyperlink" Target="https://www.clearesult.com/80plus/sites/80plus/files/manufacturer-certificate/fsp-technology-inc-sda2750-766.pdf" TargetMode="External"/><Relationship Id="rId291" Type="http://schemas.openxmlformats.org/officeDocument/2006/relationships/hyperlink" Target="https://www.fsplifestyle.com/en/product/DAGGERPRO750W.html" TargetMode="External"/><Relationship Id="rId290" Type="http://schemas.openxmlformats.org/officeDocument/2006/relationships/hyperlink" Target="https://www.fsplifestyle.com/en/index.php" TargetMode="External"/><Relationship Id="rId286" Type="http://schemas.openxmlformats.org/officeDocument/2006/relationships/hyperlink" Target="https://www.fsplifestyle.com/en/product/DAGGERPRO650W.html" TargetMode="External"/><Relationship Id="rId285" Type="http://schemas.openxmlformats.org/officeDocument/2006/relationships/hyperlink" Target="https://www.fsplifestyle.com/en/index.php" TargetMode="External"/><Relationship Id="rId284" Type="http://schemas.openxmlformats.org/officeDocument/2006/relationships/hyperlink" Target="https://www.fsp-group.com/en/index.html" TargetMode="External"/><Relationship Id="rId283" Type="http://schemas.openxmlformats.org/officeDocument/2006/relationships/hyperlink" Target="https://www.clearesult.com/80plus/sites/80plus/files/manufacturer-certificate/fsp-technology-inc-sda2550-2321.pdf" TargetMode="External"/><Relationship Id="rId289" Type="http://schemas.openxmlformats.org/officeDocument/2006/relationships/hyperlink" Target="https://www.techpowerup.com/review/fsp-dagger-pro-650-w/" TargetMode="External"/><Relationship Id="rId288" Type="http://schemas.openxmlformats.org/officeDocument/2006/relationships/hyperlink" Target="https://www.fsp-group.com/en/index.html" TargetMode="External"/><Relationship Id="rId287" Type="http://schemas.openxmlformats.org/officeDocument/2006/relationships/hyperlink" Target="https://www.clearesult.com/80plus/sites/80plus/files/manufacturer-certificate/fsp-technology-inc-sda2650-2322.pdf" TargetMode="External"/><Relationship Id="rId282" Type="http://schemas.openxmlformats.org/officeDocument/2006/relationships/hyperlink" Target="https://www.fsplifestyle.com/en/product/DAGGERPRO550W.html" TargetMode="External"/><Relationship Id="rId281" Type="http://schemas.openxmlformats.org/officeDocument/2006/relationships/hyperlink" Target="https://www.fsplifestyle.com/en/index.php" TargetMode="External"/><Relationship Id="rId280" Type="http://schemas.openxmlformats.org/officeDocument/2006/relationships/hyperlink" Target="https://www.tomshardware.com/reviews/fsp-dagger-600w-sfx-psu,5033.html" TargetMode="External"/><Relationship Id="rId275" Type="http://schemas.openxmlformats.org/officeDocument/2006/relationships/hyperlink" Target="https://www.fsplifestyle.com/en/index.php" TargetMode="External"/><Relationship Id="rId274" Type="http://schemas.openxmlformats.org/officeDocument/2006/relationships/hyperlink" Target="https://www.fsp-group.com/en/index.html" TargetMode="External"/><Relationship Id="rId273" Type="http://schemas.openxmlformats.org/officeDocument/2006/relationships/hyperlink" Target="https://www.clearesult.com/80plus/sites/80plus/files/manufacturer-certificate/fsp-technology-inc-sda500-3919.pdf" TargetMode="External"/><Relationship Id="rId272" Type="http://schemas.openxmlformats.org/officeDocument/2006/relationships/hyperlink" Target="https://www.fsplifestyle.com/en/product/dagger500w.html" TargetMode="External"/><Relationship Id="rId279" Type="http://schemas.openxmlformats.org/officeDocument/2006/relationships/hyperlink" Target="https://www.fsp-group.com/en/index.html" TargetMode="External"/><Relationship Id="rId278" Type="http://schemas.openxmlformats.org/officeDocument/2006/relationships/hyperlink" Target="https://www.cybenetics.com/d/cybenetics_mGf.pdf" TargetMode="External"/><Relationship Id="rId277" Type="http://schemas.openxmlformats.org/officeDocument/2006/relationships/hyperlink" Target="https://www.clearesult.com/80plus/sites/80plus/files/manufacturer-certificate/fsp-technology-inc-sda600-3915.pdf" TargetMode="External"/><Relationship Id="rId276" Type="http://schemas.openxmlformats.org/officeDocument/2006/relationships/hyperlink" Target="https://www.fsplifestyle.com/en/product/dagger600w.html" TargetMode="External"/><Relationship Id="rId228" Type="http://schemas.openxmlformats.org/officeDocument/2006/relationships/hyperlink" Target="https://www.tomshardware.com/reviews/enermax-revolution-sfx-650w-psu,5090.html" TargetMode="External"/><Relationship Id="rId227" Type="http://schemas.openxmlformats.org/officeDocument/2006/relationships/hyperlink" Target="http://www.cwt.com.tw/" TargetMode="External"/><Relationship Id="rId226" Type="http://schemas.openxmlformats.org/officeDocument/2006/relationships/hyperlink" Target="https://www.cybenetics.com/d/cybenetics_6iQ.pdf" TargetMode="External"/><Relationship Id="rId225" Type="http://schemas.openxmlformats.org/officeDocument/2006/relationships/hyperlink" Target="https://www.clearesult.com/80plus/sites/80plus/files/manufacturer-certificate/enermax-technology-corporation-erv650swt-3749.pdf" TargetMode="External"/><Relationship Id="rId229" Type="http://schemas.openxmlformats.org/officeDocument/2006/relationships/hyperlink" Target="http://www.enhance.com.tw/new/" TargetMode="External"/><Relationship Id="rId220" Type="http://schemas.openxmlformats.org/officeDocument/2006/relationships/hyperlink" Target="https://www.cybenetics.com/d/cybenetics_MMg.pdf" TargetMode="External"/><Relationship Id="rId224" Type="http://schemas.openxmlformats.org/officeDocument/2006/relationships/hyperlink" Target="http://www.cwt.com.tw/" TargetMode="External"/><Relationship Id="rId223" Type="http://schemas.openxmlformats.org/officeDocument/2006/relationships/hyperlink" Target="https://www.clearesult.com/80plus/sites/80plus/files/manufacturer-certificate/enermax-technology-corporation-erv550swt-3750.pdf" TargetMode="External"/><Relationship Id="rId222" Type="http://schemas.openxmlformats.org/officeDocument/2006/relationships/hyperlink" Target="https://hwbusters.com/psus/corsair-sf1000l-sfx-l-psu-review/" TargetMode="External"/><Relationship Id="rId221" Type="http://schemas.openxmlformats.org/officeDocument/2006/relationships/hyperlink" Target="https://www.greatwall.com.cn/" TargetMode="External"/><Relationship Id="rId217" Type="http://schemas.openxmlformats.org/officeDocument/2006/relationships/hyperlink" Target="https://hwbusters.com/psus/corsair-sf1000-atx-v3-1-psu-review/" TargetMode="External"/><Relationship Id="rId216" Type="http://schemas.openxmlformats.org/officeDocument/2006/relationships/hyperlink" Target="https://www.greatwall.com.cn/" TargetMode="External"/><Relationship Id="rId215" Type="http://schemas.openxmlformats.org/officeDocument/2006/relationships/hyperlink" Target="https://www.cybenetics.com/d/cybenetics_Pho.pdf" TargetMode="External"/><Relationship Id="rId214" Type="http://schemas.openxmlformats.org/officeDocument/2006/relationships/hyperlink" Target="https://hwbusters.com/psus/corsair-sf850l-sfx-l-psu-review-the-best-sfx-l-psu/" TargetMode="External"/><Relationship Id="rId219" Type="http://schemas.openxmlformats.org/officeDocument/2006/relationships/hyperlink" Target="https://www.clearesult.com/80plus/sites/80plus/files/manufacturer-certificate/CORSAIR_RPS0156%20%28CP-9020246%29%20%28SF1000L%29_1000W_SOCE%206912_Report.pdf" TargetMode="External"/><Relationship Id="rId218" Type="http://schemas.openxmlformats.org/officeDocument/2006/relationships/hyperlink" Target="https://www.corsair.com/ww/en/p/psu/cp-9020246-na/sf-l-series-sf1000l-fully-modular-low-noise-sfx-power-supply-cp-9020246-na" TargetMode="External"/><Relationship Id="rId213" Type="http://schemas.openxmlformats.org/officeDocument/2006/relationships/hyperlink" Target="https://www.greatwall.com.cn/" TargetMode="External"/><Relationship Id="rId212" Type="http://schemas.openxmlformats.org/officeDocument/2006/relationships/hyperlink" Target="https://www.cybenetics.com/d/cybenetics_SKK.pdf" TargetMode="External"/><Relationship Id="rId211" Type="http://schemas.openxmlformats.org/officeDocument/2006/relationships/hyperlink" Target="https://www.clearesult.com/80plus/sites/80plus/files/manufacturer-certificate/CORSAIR_RPS0155%20%28CP-9020245%29%20%28SF850L%29_850W_SOCE%206911_Report.pdf" TargetMode="External"/><Relationship Id="rId210" Type="http://schemas.openxmlformats.org/officeDocument/2006/relationships/hyperlink" Target="https://www.corsair.com/ww/en/p/psu/cp-9020245-na/sf-l-series-sf850l-fully-modular-low-noise-sfx-power-supply-cp-9020245-na" TargetMode="External"/><Relationship Id="rId249" Type="http://schemas.openxmlformats.org/officeDocument/2006/relationships/hyperlink" Target="https://www.evga.com/products/product.aspx?pn=123-GM-0650-Y1" TargetMode="External"/><Relationship Id="rId248" Type="http://schemas.openxmlformats.org/officeDocument/2006/relationships/hyperlink" Target="https://www.fsp-group.com/en/index.html" TargetMode="External"/><Relationship Id="rId247" Type="http://schemas.openxmlformats.org/officeDocument/2006/relationships/hyperlink" Target="https://www.clearesult.com/80plus/sites/80plus/files/manufacturer-certificate/evga-550-gm-2534.pdf" TargetMode="External"/><Relationship Id="rId242" Type="http://schemas.openxmlformats.org/officeDocument/2006/relationships/hyperlink" Target="http://www.enhance.com.tw/new/" TargetMode="External"/><Relationship Id="rId241" Type="http://schemas.openxmlformats.org/officeDocument/2006/relationships/hyperlink" Target="https://www.overtek.co.uk/collections/frontpage/products/enhance-enp8345l-450w-modular-flex-atx-1u-platinum-power-supply-psu" TargetMode="External"/><Relationship Id="rId240" Type="http://schemas.openxmlformats.org/officeDocument/2006/relationships/hyperlink" Target="http://www.enhance.com.tw/new/" TargetMode="External"/><Relationship Id="rId246" Type="http://schemas.openxmlformats.org/officeDocument/2006/relationships/hyperlink" Target="https://www.evga.com/products/product.aspx?pn=123-GM-0550-Y1" TargetMode="External"/><Relationship Id="rId245" Type="http://schemas.openxmlformats.org/officeDocument/2006/relationships/hyperlink" Target="https://www.fsp-group.com/en/index.html" TargetMode="External"/><Relationship Id="rId244" Type="http://schemas.openxmlformats.org/officeDocument/2006/relationships/hyperlink" Target="https://www.clearesult.com/80plus/sites/80plus/files/manufacturer-certificate/evga-450-gm-2533.pdf" TargetMode="External"/><Relationship Id="rId243" Type="http://schemas.openxmlformats.org/officeDocument/2006/relationships/hyperlink" Target="https://www.evga.com/products/product.aspx?pn=123-GM-0450-Y1" TargetMode="External"/><Relationship Id="rId239" Type="http://schemas.openxmlformats.org/officeDocument/2006/relationships/hyperlink" Target="http://www.enhance.com.tw/new/" TargetMode="External"/><Relationship Id="rId238" Type="http://schemas.openxmlformats.org/officeDocument/2006/relationships/hyperlink" Target="https://www.clearesult.com/80plus/sites/80plus/files/manufacturer-certificate/enhance-electronics-enp7660b-658.pdf" TargetMode="External"/><Relationship Id="rId237" Type="http://schemas.openxmlformats.org/officeDocument/2006/relationships/hyperlink" Target="http://www.enhance.com.tw/new/enp7600-platinum-500w-600w/" TargetMode="External"/><Relationship Id="rId236" Type="http://schemas.openxmlformats.org/officeDocument/2006/relationships/hyperlink" Target="http://www.enhance.com.tw/new/" TargetMode="External"/><Relationship Id="rId231" Type="http://schemas.openxmlformats.org/officeDocument/2006/relationships/hyperlink" Target="https://www.clearesult.com/80plus/sites/80plus/files/manufacturer-certificate/enhance-electronics-enp7025-9673.pdf" TargetMode="External"/><Relationship Id="rId230" Type="http://schemas.openxmlformats.org/officeDocument/2006/relationships/hyperlink" Target="http://www.enhanceusa.com/webe/html/products/show.aspx?num=71&amp;kind=30&amp;page=1" TargetMode="External"/><Relationship Id="rId235" Type="http://schemas.openxmlformats.org/officeDocument/2006/relationships/hyperlink" Target="http://www.enhance.com.tw/new/" TargetMode="External"/><Relationship Id="rId234" Type="http://schemas.openxmlformats.org/officeDocument/2006/relationships/hyperlink" Target="http://www.enhanceusa.com/webe/html/products/show.aspx?num=75&amp;kind=32&amp;page=1" TargetMode="External"/><Relationship Id="rId233" Type="http://schemas.openxmlformats.org/officeDocument/2006/relationships/hyperlink" Target="http://www.enhance.com.tw/new/" TargetMode="External"/><Relationship Id="rId232" Type="http://schemas.openxmlformats.org/officeDocument/2006/relationships/hyperlink" Target="http://www.enhance.com.tw/new/" TargetMode="External"/><Relationship Id="rId206" Type="http://schemas.openxmlformats.org/officeDocument/2006/relationships/hyperlink" Target="https://hwbusters.com/psus/corsair-sf750-atx-v3-1-psu-review/" TargetMode="External"/><Relationship Id="rId205" Type="http://schemas.openxmlformats.org/officeDocument/2006/relationships/hyperlink" Target="https://www.greatwall.com.cn/" TargetMode="External"/><Relationship Id="rId204" Type="http://schemas.openxmlformats.org/officeDocument/2006/relationships/hyperlink" Target="https://www.cybenetics.com/d/cybenetics_NBJ.pdf" TargetMode="External"/><Relationship Id="rId203" Type="http://schemas.openxmlformats.org/officeDocument/2006/relationships/hyperlink" Target="https://www.techpowerup.com/review/corsair-sf750/" TargetMode="External"/><Relationship Id="rId209" Type="http://schemas.openxmlformats.org/officeDocument/2006/relationships/hyperlink" Target="https://hwbusters.com/psus/corsair-sf850-atx-v3-1-psu-review/" TargetMode="External"/><Relationship Id="rId208" Type="http://schemas.openxmlformats.org/officeDocument/2006/relationships/hyperlink" Target="https://www.greatwall.com.cn/" TargetMode="External"/><Relationship Id="rId207" Type="http://schemas.openxmlformats.org/officeDocument/2006/relationships/hyperlink" Target="https://www.cybenetics.com/d/cybenetics_t8J.pdf" TargetMode="External"/><Relationship Id="rId202" Type="http://schemas.openxmlformats.org/officeDocument/2006/relationships/hyperlink" Target="https://www.greatwall.com.cn/" TargetMode="External"/><Relationship Id="rId201" Type="http://schemas.openxmlformats.org/officeDocument/2006/relationships/hyperlink" Target="https://www.cybenetics.com/d/cybenetics_OLY.pdf" TargetMode="External"/><Relationship Id="rId200" Type="http://schemas.openxmlformats.org/officeDocument/2006/relationships/hyperlink" Target="https://www.clearesult.com/80plus/sites/80plus/files/manufacturer-certificate/corsair-rps0115-%28cp9020186%29-%28sf750%29-2388.pdf" TargetMode="External"/><Relationship Id="rId509" Type="http://schemas.openxmlformats.org/officeDocument/2006/relationships/hyperlink" Target="https://www.clearesult.com/80plus/sites/80plus/files/manufacturer-certificate/sea-sonic-electronics-co-ltd-y7651gxsfs-%28focus-sgx650%29-322.pdf" TargetMode="External"/><Relationship Id="rId508" Type="http://schemas.openxmlformats.org/officeDocument/2006/relationships/hyperlink" Target="https://seasonic.com/focus-sgx-2021" TargetMode="External"/><Relationship Id="rId503" Type="http://schemas.openxmlformats.org/officeDocument/2006/relationships/hyperlink" Target="https://seasonic.com/" TargetMode="External"/><Relationship Id="rId502" Type="http://schemas.openxmlformats.org/officeDocument/2006/relationships/hyperlink" Target="https://www.cybenetics.com/d/cybenetics_MeS.pdf" TargetMode="External"/><Relationship Id="rId501" Type="http://schemas.openxmlformats.org/officeDocument/2006/relationships/hyperlink" Target="https://www.clearesult.com/80plus/sites/80plus/files/manufacturer-certificate/sea-sonic-electronics-co-ltd-ssr650sgx-2523.pdf" TargetMode="External"/><Relationship Id="rId500" Type="http://schemas.openxmlformats.org/officeDocument/2006/relationships/hyperlink" Target="https://www.tomshardware.com/reviews/seasonic-focus-sgx-500w-sfx-l-power-supply,6095.html" TargetMode="External"/><Relationship Id="rId507" Type="http://schemas.openxmlformats.org/officeDocument/2006/relationships/hyperlink" Target="https://seasonic.com/" TargetMode="External"/><Relationship Id="rId506" Type="http://schemas.openxmlformats.org/officeDocument/2006/relationships/hyperlink" Target="https://www.clearesult.com/80plus/sites/80plus/files/manufacturer-certificate/sea-sonic-electronics-co-ltd-y7551gxsfs-%28focus-sgx550%29-323.pdf" TargetMode="External"/><Relationship Id="rId505" Type="http://schemas.openxmlformats.org/officeDocument/2006/relationships/hyperlink" Target="https://seasonic.com/focus-sgx-2021" TargetMode="External"/><Relationship Id="rId504" Type="http://schemas.openxmlformats.org/officeDocument/2006/relationships/hyperlink" Target="https://www.tomshardware.com/reviews/seasonic-focus-sgx-650w-sfx-l-psu,6045.html" TargetMode="External"/><Relationship Id="rId525" Type="http://schemas.openxmlformats.org/officeDocument/2006/relationships/hyperlink" Target="https://www.segotep.com/En/index.aspx" TargetMode="External"/><Relationship Id="rId524" Type="http://schemas.openxmlformats.org/officeDocument/2006/relationships/hyperlink" Target="https://www.segotep.com/En/index.aspx" TargetMode="External"/><Relationship Id="rId523" Type="http://schemas.openxmlformats.org/officeDocument/2006/relationships/hyperlink" Target="https://www.clearesult.com/80plus/sites/80plus/files/manufacturer-certificate/segotep-sg650gsfx-1160.pdf" TargetMode="External"/><Relationship Id="rId522" Type="http://schemas.openxmlformats.org/officeDocument/2006/relationships/hyperlink" Target="https://www.segotep.com/En/product_show.aspx?id=352" TargetMode="External"/><Relationship Id="rId529" Type="http://schemas.openxmlformats.org/officeDocument/2006/relationships/hyperlink" Target="https://en.sharkoon.com/" TargetMode="External"/><Relationship Id="rId528" Type="http://schemas.openxmlformats.org/officeDocument/2006/relationships/hyperlink" Target="https://www.segotep.com/En/index.aspx" TargetMode="External"/><Relationship Id="rId527" Type="http://schemas.openxmlformats.org/officeDocument/2006/relationships/hyperlink" Target="https://www.clearesult.com/80plus/sites/80plus/files/manufacturer-certificate/segotep-sg750gsfx-548.pdf" TargetMode="External"/><Relationship Id="rId526" Type="http://schemas.openxmlformats.org/officeDocument/2006/relationships/hyperlink" Target="https://www.segotep.com/En/product_show.aspx?id=420" TargetMode="External"/><Relationship Id="rId521" Type="http://schemas.openxmlformats.org/officeDocument/2006/relationships/hyperlink" Target="https://www.segotep.com/En/index.aspx" TargetMode="External"/><Relationship Id="rId520" Type="http://schemas.openxmlformats.org/officeDocument/2006/relationships/hyperlink" Target="https://www.techpowerup.com/review/seasonic-focus-spx-750/" TargetMode="External"/><Relationship Id="rId519" Type="http://schemas.openxmlformats.org/officeDocument/2006/relationships/hyperlink" Target="https://seasonic.com/" TargetMode="External"/><Relationship Id="rId514" Type="http://schemas.openxmlformats.org/officeDocument/2006/relationships/hyperlink" Target="https://seasonic.com/focus-spx-2021" TargetMode="External"/><Relationship Id="rId513" Type="http://schemas.openxmlformats.org/officeDocument/2006/relationships/hyperlink" Target="https://seasonic.com/" TargetMode="External"/><Relationship Id="rId512" Type="http://schemas.openxmlformats.org/officeDocument/2006/relationships/hyperlink" Target="https://www.clearesult.com/80plus/sites/80plus/files/manufacturer-certificate/sea-sonic-electronics-co-ltd-y7751gxsfs-%28focus-sgx750%29-320.pdf" TargetMode="External"/><Relationship Id="rId511" Type="http://schemas.openxmlformats.org/officeDocument/2006/relationships/hyperlink" Target="https://seasonic.com/focus-sgx-2021" TargetMode="External"/><Relationship Id="rId518" Type="http://schemas.openxmlformats.org/officeDocument/2006/relationships/hyperlink" Target="https://www.clearesult.com/80plus/sites/80plus/files/manufacturer-certificate/sea-sonic-electronics-co-ltd-y7751pxsfs-%28focus-spx750%29-319.pdf" TargetMode="External"/><Relationship Id="rId517" Type="http://schemas.openxmlformats.org/officeDocument/2006/relationships/hyperlink" Target="https://seasonic.com/focus-spx-2021" TargetMode="External"/><Relationship Id="rId516" Type="http://schemas.openxmlformats.org/officeDocument/2006/relationships/hyperlink" Target="https://seasonic.com/" TargetMode="External"/><Relationship Id="rId515" Type="http://schemas.openxmlformats.org/officeDocument/2006/relationships/hyperlink" Target="https://www.clearesult.com/80plus/sites/80plus/files/manufacturer-certificate/sea-sonic-electronics-co-ltd-y7651pxsfs-%28focus-spx650%29-321.pdf" TargetMode="External"/><Relationship Id="rId510" Type="http://schemas.openxmlformats.org/officeDocument/2006/relationships/hyperlink" Target="https://seasonic.com/" TargetMode="External"/><Relationship Id="rId590" Type="http://schemas.openxmlformats.org/officeDocument/2006/relationships/hyperlink" Target="https://www.clearesult.com/80plus/sites/80plus/files/manufacturer-certificate/silverstone-technology-inc-sstst30sf-v20-3717.pdf" TargetMode="External"/><Relationship Id="rId589" Type="http://schemas.openxmlformats.org/officeDocument/2006/relationships/hyperlink" Target="https://www.silverstonetek.com/en/" TargetMode="External"/><Relationship Id="rId588" Type="http://schemas.openxmlformats.org/officeDocument/2006/relationships/hyperlink" Target="https://www.fsp-group.com/en/index.html" TargetMode="External"/><Relationship Id="rId583" Type="http://schemas.openxmlformats.org/officeDocument/2006/relationships/hyperlink" Target="https://www.cybenetics.com/d/cybenetics_qU5.pdf" TargetMode="External"/><Relationship Id="rId582" Type="http://schemas.openxmlformats.org/officeDocument/2006/relationships/hyperlink" Target="https://www.clearesult.com/80plus/sites/80plus/files/manufacturer-certificate/silverstone-technology-inc-sstnj450sxl-2573.pdf" TargetMode="External"/><Relationship Id="rId581" Type="http://schemas.openxmlformats.org/officeDocument/2006/relationships/hyperlink" Target="https://www.silverstonetek.com/en/" TargetMode="External"/><Relationship Id="rId580" Type="http://schemas.openxmlformats.org/officeDocument/2006/relationships/hyperlink" Target="http://www.enhance.com.tw/new/" TargetMode="External"/><Relationship Id="rId587" Type="http://schemas.openxmlformats.org/officeDocument/2006/relationships/hyperlink" Target="https://www.clearesult.com/80plus/sites/80plus/files/manufacturer-certificate/silverstone-technology-inc-sstst30sf-6111.pdf" TargetMode="External"/><Relationship Id="rId586" Type="http://schemas.openxmlformats.org/officeDocument/2006/relationships/hyperlink" Target="https://www.silverstonetek.com/en/" TargetMode="External"/><Relationship Id="rId585" Type="http://schemas.openxmlformats.org/officeDocument/2006/relationships/hyperlink" Target="https://www.kitguru.net/components/power-supplies/aris-bitziopoulos/silverstone-nightjar-nj450-sxl-psu-review/" TargetMode="External"/><Relationship Id="rId584" Type="http://schemas.openxmlformats.org/officeDocument/2006/relationships/hyperlink" Target="http://www.enhance.com.tw/new/" TargetMode="External"/><Relationship Id="rId579" Type="http://schemas.openxmlformats.org/officeDocument/2006/relationships/hyperlink" Target="https://www.cybenetics.com/d/cybenetics_FPL.pdf" TargetMode="External"/><Relationship Id="rId578" Type="http://schemas.openxmlformats.org/officeDocument/2006/relationships/hyperlink" Target="https://www.clearesult.com/80plus/sites/80plus/files/manufacturer-certificate/enhance-electronics-enp7660b-658.pdf" TargetMode="External"/><Relationship Id="rId577" Type="http://schemas.openxmlformats.org/officeDocument/2006/relationships/hyperlink" Target="https://www.silverstonetek.com/product.php?pid=1027&amp;area=en" TargetMode="External"/><Relationship Id="rId572" Type="http://schemas.openxmlformats.org/officeDocument/2006/relationships/hyperlink" Target="https://www.silverstonetek.com/en/" TargetMode="External"/><Relationship Id="rId571" Type="http://schemas.openxmlformats.org/officeDocument/2006/relationships/hyperlink" Target="http://www.cwt.com.tw/" TargetMode="External"/><Relationship Id="rId570" Type="http://schemas.openxmlformats.org/officeDocument/2006/relationships/hyperlink" Target="https://www.clearesult.com/80plus/sites/80plus/files/manufacturer-certificate/silverstone-technology-inc-sstfx350g-2696.pdf" TargetMode="External"/><Relationship Id="rId576" Type="http://schemas.openxmlformats.org/officeDocument/2006/relationships/hyperlink" Target="https://www.silverstonetek.com/en/" TargetMode="External"/><Relationship Id="rId575" Type="http://schemas.openxmlformats.org/officeDocument/2006/relationships/hyperlink" Target="http://www.cwt.com.tw/" TargetMode="External"/><Relationship Id="rId574" Type="http://schemas.openxmlformats.org/officeDocument/2006/relationships/hyperlink" Target="https://www.clearesult.com/80plus/sites/80plus/files/manufacturer-certificate/silverstone-technology-inc-sstfx500g-1027.pdf" TargetMode="External"/><Relationship Id="rId573" Type="http://schemas.openxmlformats.org/officeDocument/2006/relationships/hyperlink" Target="https://www.silverstonetek.com/product.php?pid=935" TargetMode="External"/><Relationship Id="rId599" Type="http://schemas.openxmlformats.org/officeDocument/2006/relationships/hyperlink" Target="https://www.silverstonetek.com/en/" TargetMode="External"/><Relationship Id="rId594" Type="http://schemas.openxmlformats.org/officeDocument/2006/relationships/hyperlink" Target="http://www.enhance.com.tw/new/" TargetMode="External"/><Relationship Id="rId593" Type="http://schemas.openxmlformats.org/officeDocument/2006/relationships/hyperlink" Target="https://www.clearesult.com/80plus/sites/80plus/files/manufacturer-certificate/silverstone-technology-inc-sstst45sfg-6883.pdf" TargetMode="External"/><Relationship Id="rId592" Type="http://schemas.openxmlformats.org/officeDocument/2006/relationships/hyperlink" Target="https://www.silverstonetek.com/en/" TargetMode="External"/><Relationship Id="rId591" Type="http://schemas.openxmlformats.org/officeDocument/2006/relationships/hyperlink" Target="http://www.highpower-tech.com/Global/" TargetMode="External"/><Relationship Id="rId598" Type="http://schemas.openxmlformats.org/officeDocument/2006/relationships/hyperlink" Target="https://www.fsp-group.com/en/index.html" TargetMode="External"/><Relationship Id="rId597" Type="http://schemas.openxmlformats.org/officeDocument/2006/relationships/hyperlink" Target="https://www.clearesult.com/80plus/sites/80plus/files/manufacturer-certificate/silverstone-technology-inc-sstst45sf-8548.pdf" TargetMode="External"/><Relationship Id="rId596" Type="http://schemas.openxmlformats.org/officeDocument/2006/relationships/hyperlink" Target="https://www.silverstonetek.com/en/" TargetMode="External"/><Relationship Id="rId595" Type="http://schemas.openxmlformats.org/officeDocument/2006/relationships/hyperlink" Target="https://www.techpowerup.com/review/silverstone-st45sf-g/" TargetMode="External"/><Relationship Id="rId547" Type="http://schemas.openxmlformats.org/officeDocument/2006/relationships/hyperlink" Target="https://www.clearesult.com/80plus/sites/80plus/files/manufacturer-certificate/sharkoon-technologies-silentstorm-sfx-450-5208.pdf" TargetMode="External"/><Relationship Id="rId546" Type="http://schemas.openxmlformats.org/officeDocument/2006/relationships/hyperlink" Target="https://en.sharkoon.com/product/SilStorSFXBronze" TargetMode="External"/><Relationship Id="rId545" Type="http://schemas.openxmlformats.org/officeDocument/2006/relationships/hyperlink" Target="https://en.sharkoon.com/" TargetMode="External"/><Relationship Id="rId544" Type="http://schemas.openxmlformats.org/officeDocument/2006/relationships/hyperlink" Target="http://www.highpower-tech.com/Global/" TargetMode="External"/><Relationship Id="rId549" Type="http://schemas.openxmlformats.org/officeDocument/2006/relationships/hyperlink" Target="https://en.sharkoon.com/" TargetMode="External"/><Relationship Id="rId548" Type="http://schemas.openxmlformats.org/officeDocument/2006/relationships/hyperlink" Target="http://www.highpower-tech.com/Global/" TargetMode="External"/><Relationship Id="rId543" Type="http://schemas.openxmlformats.org/officeDocument/2006/relationships/hyperlink" Target="https://www.clearesult.com/80plus/sites/80plus/files/manufacturer-certificate/sharkoon-technologies-silentstorm-sfx-350-5338.pdf" TargetMode="External"/><Relationship Id="rId542" Type="http://schemas.openxmlformats.org/officeDocument/2006/relationships/hyperlink" Target="https://en.sharkoon.com/product/SilStorSFXBronze" TargetMode="External"/><Relationship Id="rId541" Type="http://schemas.openxmlformats.org/officeDocument/2006/relationships/hyperlink" Target="https://en.sharkoon.com/" TargetMode="External"/><Relationship Id="rId540" Type="http://schemas.openxmlformats.org/officeDocument/2006/relationships/hyperlink" Target="http://www.highpower-tech.com/Global/" TargetMode="External"/><Relationship Id="rId536" Type="http://schemas.openxmlformats.org/officeDocument/2006/relationships/hyperlink" Target="http://www.highpower-tech.com/Global/" TargetMode="External"/><Relationship Id="rId535" Type="http://schemas.openxmlformats.org/officeDocument/2006/relationships/hyperlink" Target="https://www.cybenetics.com/d/cybenetics_tWw.pdf" TargetMode="External"/><Relationship Id="rId534" Type="http://schemas.openxmlformats.org/officeDocument/2006/relationships/hyperlink" Target="https://en.sharkoon.com/product/RebelP20SFX" TargetMode="External"/><Relationship Id="rId533" Type="http://schemas.openxmlformats.org/officeDocument/2006/relationships/hyperlink" Target="https://en.sharkoon.com/" TargetMode="External"/><Relationship Id="rId539" Type="http://schemas.openxmlformats.org/officeDocument/2006/relationships/hyperlink" Target="https://www.cybenetics.com/d/cybenetics_Ulq.pdf" TargetMode="External"/><Relationship Id="rId538" Type="http://schemas.openxmlformats.org/officeDocument/2006/relationships/hyperlink" Target="https://en.sharkoon.com/product/RebelP20SFX" TargetMode="External"/><Relationship Id="rId537" Type="http://schemas.openxmlformats.org/officeDocument/2006/relationships/hyperlink" Target="https://en.sharkoon.com/" TargetMode="External"/><Relationship Id="rId532" Type="http://schemas.openxmlformats.org/officeDocument/2006/relationships/hyperlink" Target="http://www.highpower-tech.com/Global/" TargetMode="External"/><Relationship Id="rId531" Type="http://schemas.openxmlformats.org/officeDocument/2006/relationships/hyperlink" Target="https://www.cybenetics.com/d/cybenetics_h37.pdf" TargetMode="External"/><Relationship Id="rId530" Type="http://schemas.openxmlformats.org/officeDocument/2006/relationships/hyperlink" Target="https://en.sharkoon.com/product/RebelP20SFX" TargetMode="External"/><Relationship Id="rId569" Type="http://schemas.openxmlformats.org/officeDocument/2006/relationships/hyperlink" Target="https://www.silverstonetek.com/en/" TargetMode="External"/><Relationship Id="rId568" Type="http://schemas.openxmlformats.org/officeDocument/2006/relationships/hyperlink" Target="http://www.highpower-tech.com/Global/" TargetMode="External"/><Relationship Id="rId567" Type="http://schemas.openxmlformats.org/officeDocument/2006/relationships/hyperlink" Target="https://www.cybenetics.com/d/cybenetics_R1n.pdf" TargetMode="External"/><Relationship Id="rId566" Type="http://schemas.openxmlformats.org/officeDocument/2006/relationships/hyperlink" Target="https://www.silverstonetek.com/en/product/info/power-supplies/ex1200r-pl/" TargetMode="External"/><Relationship Id="rId561" Type="http://schemas.openxmlformats.org/officeDocument/2006/relationships/hyperlink" Target="https://www.silverstonetek.com/en/" TargetMode="External"/><Relationship Id="rId560" Type="http://schemas.openxmlformats.org/officeDocument/2006/relationships/hyperlink" Target="http://www.cwt.com.tw/" TargetMode="External"/><Relationship Id="rId565" Type="http://schemas.openxmlformats.org/officeDocument/2006/relationships/hyperlink" Target="https://www.silverstonetek.com/en/" TargetMode="External"/><Relationship Id="rId564" Type="http://schemas.openxmlformats.org/officeDocument/2006/relationships/hyperlink" Target="http://www.highpower-tech.com/Global/" TargetMode="External"/><Relationship Id="rId563" Type="http://schemas.openxmlformats.org/officeDocument/2006/relationships/hyperlink" Target="https://www.cybenetics.com/d/cybenetics_fKO.pdf" TargetMode="External"/><Relationship Id="rId562" Type="http://schemas.openxmlformats.org/officeDocument/2006/relationships/hyperlink" Target="https://www.silverstonetek.com/en/product/info/power-supplies/Extreme850RPlatinum/" TargetMode="External"/><Relationship Id="rId558" Type="http://schemas.openxmlformats.org/officeDocument/2006/relationships/hyperlink" Target="https://www.silverstonetek.com/product.php?pid=1004&amp;bno=22&amp;tb=14&amp;area=en" TargetMode="External"/><Relationship Id="rId557" Type="http://schemas.openxmlformats.org/officeDocument/2006/relationships/hyperlink" Target="https://www.silverstonetek.com/en/" TargetMode="External"/><Relationship Id="rId556" Type="http://schemas.openxmlformats.org/officeDocument/2006/relationships/hyperlink" Target="http://www.cwt.com.tw/" TargetMode="External"/><Relationship Id="rId555" Type="http://schemas.openxmlformats.org/officeDocument/2006/relationships/hyperlink" Target="https://www.clearesult.com/80plus/sites/80plus/files/manufacturer-certificate/channel-well-technology-co-gph350m1b-261.pdf" TargetMode="External"/><Relationship Id="rId559" Type="http://schemas.openxmlformats.org/officeDocument/2006/relationships/hyperlink" Target="https://www.clearesult.com/80plus/sites/80plus/files/manufacturer-certificate/channel-well-technology-co-gph500mb-1536.pdf" TargetMode="External"/><Relationship Id="rId550" Type="http://schemas.openxmlformats.org/officeDocument/2006/relationships/hyperlink" Target="https://en.sharkoon.com/product/SilStorSFXGold" TargetMode="External"/><Relationship Id="rId554" Type="http://schemas.openxmlformats.org/officeDocument/2006/relationships/hyperlink" Target="https://www.silverstonetek.com/en/product/info/power-supplies/ex350_bf/" TargetMode="External"/><Relationship Id="rId553" Type="http://schemas.openxmlformats.org/officeDocument/2006/relationships/hyperlink" Target="https://www.silverstonetek.com/en/" TargetMode="External"/><Relationship Id="rId552" Type="http://schemas.openxmlformats.org/officeDocument/2006/relationships/hyperlink" Target="http://www.highpower-tech.com/Global/" TargetMode="External"/><Relationship Id="rId551" Type="http://schemas.openxmlformats.org/officeDocument/2006/relationships/hyperlink" Target="https://www.clearesult.com/80plus/sites/80plus/files/manufacturer-certificate/sharkoon-technologies-silentstorm-sfx-500-gold-5337.pdf" TargetMode="External"/><Relationship Id="rId495" Type="http://schemas.openxmlformats.org/officeDocument/2006/relationships/hyperlink" Target="https://www.clearesult.com/80plus/sites/80plus/files/manufacturer-certificate/sea-sonic-electronics-co-ltd-ssr450sgx-2522.pdf" TargetMode="External"/><Relationship Id="rId494" Type="http://schemas.openxmlformats.org/officeDocument/2006/relationships/hyperlink" Target="http://www.sama.cn/cn/index.html" TargetMode="External"/><Relationship Id="rId493" Type="http://schemas.openxmlformats.org/officeDocument/2006/relationships/hyperlink" Target="https://www.clearesult.com/80plus/sites/80plus/files/manufacturer-certificate/sama-itx650a-792.pdf" TargetMode="External"/><Relationship Id="rId492" Type="http://schemas.openxmlformats.org/officeDocument/2006/relationships/hyperlink" Target="http://www.sama.cn/archives/343" TargetMode="External"/><Relationship Id="rId499" Type="http://schemas.openxmlformats.org/officeDocument/2006/relationships/hyperlink" Target="https://seasonic.com/" TargetMode="External"/><Relationship Id="rId498" Type="http://schemas.openxmlformats.org/officeDocument/2006/relationships/hyperlink" Target="https://www.cybenetics.com/d/cybenetics_Va6.pdf" TargetMode="External"/><Relationship Id="rId497" Type="http://schemas.openxmlformats.org/officeDocument/2006/relationships/hyperlink" Target="https://www.clearesult.com/80plus/sites/80plus/files/manufacturer-certificate/sea-sonic-electronics-co-ltd-ssr500sgx-2217.pdf" TargetMode="External"/><Relationship Id="rId496" Type="http://schemas.openxmlformats.org/officeDocument/2006/relationships/hyperlink" Target="https://seasonic.com/" TargetMode="External"/><Relationship Id="rId409" Type="http://schemas.openxmlformats.org/officeDocument/2006/relationships/hyperlink" Target="http://www.highpower-tech.com/Global/" TargetMode="External"/><Relationship Id="rId404" Type="http://schemas.openxmlformats.org/officeDocument/2006/relationships/hyperlink" Target="https://www.in-win.com/en/gaming-power-supply/cs-700w/" TargetMode="External"/><Relationship Id="rId403" Type="http://schemas.openxmlformats.org/officeDocument/2006/relationships/hyperlink" Target="https://www.in-win.com/en" TargetMode="External"/><Relationship Id="rId402" Type="http://schemas.openxmlformats.org/officeDocument/2006/relationships/hyperlink" Target="https://hdplex.com/" TargetMode="External"/><Relationship Id="rId401" Type="http://schemas.openxmlformats.org/officeDocument/2006/relationships/hyperlink" Target="https://hdplex.com/hdplex-500w-gan-aio-atx-power-supply.html" TargetMode="External"/><Relationship Id="rId408" Type="http://schemas.openxmlformats.org/officeDocument/2006/relationships/hyperlink" Target="https://kolink.eu/Home/psu-1/sfx/kolink-sfx---250-psu---250-watt.html" TargetMode="External"/><Relationship Id="rId407" Type="http://schemas.openxmlformats.org/officeDocument/2006/relationships/hyperlink" Target="http://kolink.eu/index.html" TargetMode="External"/><Relationship Id="rId406" Type="http://schemas.openxmlformats.org/officeDocument/2006/relationships/hyperlink" Target="http://www.highpower-tech.com/Global/" TargetMode="External"/><Relationship Id="rId405" Type="http://schemas.openxmlformats.org/officeDocument/2006/relationships/hyperlink" Target="https://www.clearesult.com/80plus/sites/80plus/files/manufacturer-certificate/in-win-cs-700w-2407.pdf" TargetMode="External"/><Relationship Id="rId400" Type="http://schemas.openxmlformats.org/officeDocument/2006/relationships/hyperlink" Target="https://hdplex.com/" TargetMode="External"/><Relationship Id="rId469" Type="http://schemas.openxmlformats.org/officeDocument/2006/relationships/hyperlink" Target="https://www.raijintek.com/en/products_detail.php?ProductID=174" TargetMode="External"/><Relationship Id="rId468" Type="http://schemas.openxmlformats.org/officeDocument/2006/relationships/hyperlink" Target="https://www.raijintek.com/en/index.php" TargetMode="External"/><Relationship Id="rId467" Type="http://schemas.openxmlformats.org/officeDocument/2006/relationships/hyperlink" Target="https://hwbusters.com/psus/raijintek_ermis_450b_review/" TargetMode="External"/><Relationship Id="rId462" Type="http://schemas.openxmlformats.org/officeDocument/2006/relationships/hyperlink" Target="http://www.highpower-tech.com/Global/" TargetMode="External"/><Relationship Id="rId461" Type="http://schemas.openxmlformats.org/officeDocument/2006/relationships/hyperlink" Target="https://www.clearesult.com/80plus/sites/80plus/files/manufacturer-certificate/PHANTEKS_PH-P850PSF_02_850W_SOCE%206910_Report.pdf" TargetMode="External"/><Relationship Id="rId460" Type="http://schemas.openxmlformats.org/officeDocument/2006/relationships/hyperlink" Target="https://www.phanteks.com/Revolt-SFX-PCIe5.html" TargetMode="External"/><Relationship Id="rId466" Type="http://schemas.openxmlformats.org/officeDocument/2006/relationships/hyperlink" Target="http://www.casecom.com.tw/" TargetMode="External"/><Relationship Id="rId465" Type="http://schemas.openxmlformats.org/officeDocument/2006/relationships/hyperlink" Target="https://www.cybenetics.com/d/cybenetics_n33.pdf" TargetMode="External"/><Relationship Id="rId464" Type="http://schemas.openxmlformats.org/officeDocument/2006/relationships/hyperlink" Target="https://www.raijintek.com/en/products_detail.php?ProductID=174" TargetMode="External"/><Relationship Id="rId463" Type="http://schemas.openxmlformats.org/officeDocument/2006/relationships/hyperlink" Target="https://www.raijintek.com/en/index.php" TargetMode="External"/><Relationship Id="rId459" Type="http://schemas.openxmlformats.org/officeDocument/2006/relationships/hyperlink" Target="https://phanteks.com/" TargetMode="External"/><Relationship Id="rId458" Type="http://schemas.openxmlformats.org/officeDocument/2006/relationships/hyperlink" Target="https://seasonic.com/" TargetMode="External"/><Relationship Id="rId457" Type="http://schemas.openxmlformats.org/officeDocument/2006/relationships/hyperlink" Target="https://www.clearesult.com/80plus/sites/80plus/files/manufacturer-certificate/sea-sonic-electronics-co-ltd-y7751pxsfs-%28focus-spx750%29-319.pdf" TargetMode="External"/><Relationship Id="rId456" Type="http://schemas.openxmlformats.org/officeDocument/2006/relationships/hyperlink" Target="https://phanteks.com/Revolt-SFX.html" TargetMode="External"/><Relationship Id="rId451" Type="http://schemas.openxmlformats.org/officeDocument/2006/relationships/hyperlink" Target="https://phanteks.com/" TargetMode="External"/><Relationship Id="rId450" Type="http://schemas.openxmlformats.org/officeDocument/2006/relationships/hyperlink" Target="https://seasonic.com/" TargetMode="External"/><Relationship Id="rId455" Type="http://schemas.openxmlformats.org/officeDocument/2006/relationships/hyperlink" Target="https://phanteks.com/" TargetMode="External"/><Relationship Id="rId454" Type="http://schemas.openxmlformats.org/officeDocument/2006/relationships/hyperlink" Target="https://seasonic.com/" TargetMode="External"/><Relationship Id="rId453" Type="http://schemas.openxmlformats.org/officeDocument/2006/relationships/hyperlink" Target="https://www.clearesult.com/80plus/sites/80plus/files/manufacturer-certificate/sea-sonic-electronics-co-ltd-y7751gxsfs-%28focus-sgx750%29-320.pdf" TargetMode="External"/><Relationship Id="rId452" Type="http://schemas.openxmlformats.org/officeDocument/2006/relationships/hyperlink" Target="https://phanteks.com/Revolt-SFX.html" TargetMode="External"/><Relationship Id="rId491" Type="http://schemas.openxmlformats.org/officeDocument/2006/relationships/hyperlink" Target="http://www.sama.cn/cn/index.html" TargetMode="External"/><Relationship Id="rId490" Type="http://schemas.openxmlformats.org/officeDocument/2006/relationships/hyperlink" Target="http://www.sama.cn/cn/index.html" TargetMode="External"/><Relationship Id="rId489" Type="http://schemas.openxmlformats.org/officeDocument/2006/relationships/hyperlink" Target="https://www.clearesult.com/80plus/sites/80plus/files/manufacturer-certificate/sama-itx6001-751.pdf" TargetMode="External"/><Relationship Id="rId484" Type="http://schemas.openxmlformats.org/officeDocument/2006/relationships/hyperlink" Target="http://www.sama.cn/archives/347" TargetMode="External"/><Relationship Id="rId483" Type="http://schemas.openxmlformats.org/officeDocument/2006/relationships/hyperlink" Target="http://www.sama.cn/cn/index.html" TargetMode="External"/><Relationship Id="rId482" Type="http://schemas.openxmlformats.org/officeDocument/2006/relationships/hyperlink" Target="http://www.sama.cn/cn/index.html" TargetMode="External"/><Relationship Id="rId481" Type="http://schemas.openxmlformats.org/officeDocument/2006/relationships/hyperlink" Target="https://www.clearesult.com/80plus/sites/80plus/files/manufacturer-certificate/sama-itx5001-753.pdf" TargetMode="External"/><Relationship Id="rId488" Type="http://schemas.openxmlformats.org/officeDocument/2006/relationships/hyperlink" Target="http://www.sama.cn/archives/345" TargetMode="External"/><Relationship Id="rId487" Type="http://schemas.openxmlformats.org/officeDocument/2006/relationships/hyperlink" Target="http://www.sama.cn/cn/index.html" TargetMode="External"/><Relationship Id="rId486" Type="http://schemas.openxmlformats.org/officeDocument/2006/relationships/hyperlink" Target="http://www.sama.cn/cn/index.html" TargetMode="External"/><Relationship Id="rId485" Type="http://schemas.openxmlformats.org/officeDocument/2006/relationships/hyperlink" Target="https://www.clearesult.com/80plus/sites/80plus/files/manufacturer-certificate/sama-itx5501-754.pdf" TargetMode="External"/><Relationship Id="rId480" Type="http://schemas.openxmlformats.org/officeDocument/2006/relationships/hyperlink" Target="http://www.sama.cn/archives/348" TargetMode="External"/><Relationship Id="rId479" Type="http://schemas.openxmlformats.org/officeDocument/2006/relationships/hyperlink" Target="http://www.sama.cn/cn/index.html" TargetMode="External"/><Relationship Id="rId478" Type="http://schemas.openxmlformats.org/officeDocument/2006/relationships/hyperlink" Target="https://www.clearesult.com/80plus/sites/80plus/files/manufacturer-certificate/Redragon_RGPS-750SFX_750W_SOCE%206318.2_Report.pdf" TargetMode="External"/><Relationship Id="rId473" Type="http://schemas.openxmlformats.org/officeDocument/2006/relationships/hyperlink" Target="https://www.redragonzone.com/" TargetMode="External"/><Relationship Id="rId472" Type="http://schemas.openxmlformats.org/officeDocument/2006/relationships/hyperlink" Target="https://www.techpowerup.com/review/raijintek-ermis-550b/" TargetMode="External"/><Relationship Id="rId471" Type="http://schemas.openxmlformats.org/officeDocument/2006/relationships/hyperlink" Target="http://www.casecom.com.tw/" TargetMode="External"/><Relationship Id="rId470" Type="http://schemas.openxmlformats.org/officeDocument/2006/relationships/hyperlink" Target="https://www.cybenetics.com/d/cybenetics_6ya.pdf" TargetMode="External"/><Relationship Id="rId477" Type="http://schemas.openxmlformats.org/officeDocument/2006/relationships/hyperlink" Target="https://www.redragonzone.com/collections/gaming-pc-power-supply/products/redragon-psu015-80-platium-750-watt-sfx-fully-modular-power-supply" TargetMode="External"/><Relationship Id="rId476" Type="http://schemas.openxmlformats.org/officeDocument/2006/relationships/hyperlink" Target="https://www.redragonzone.com/" TargetMode="External"/><Relationship Id="rId475" Type="http://schemas.openxmlformats.org/officeDocument/2006/relationships/hyperlink" Target="https://www.clearesult.com/80plus/sites/80plus/files/manufacturer-certificate/Redragon_RGPS-650SFX_650W_SOCE%206317.1_Report.pdf" TargetMode="External"/><Relationship Id="rId474" Type="http://schemas.openxmlformats.org/officeDocument/2006/relationships/hyperlink" Target="https://www.redragonzone.com/collections/gaming-pc-power-supply/products/redragon-psu014-80-gold-650-watt-sfx-fully-modular-power-supply" TargetMode="External"/><Relationship Id="rId426" Type="http://schemas.openxmlformats.org/officeDocument/2006/relationships/hyperlink" Target="http://www.lian-li.com/" TargetMode="External"/><Relationship Id="rId425" Type="http://schemas.openxmlformats.org/officeDocument/2006/relationships/hyperlink" Target="https://www.techpowerup.com/review/lian-li-sp750-750-w-sfx-psu/" TargetMode="External"/><Relationship Id="rId424" Type="http://schemas.openxmlformats.org/officeDocument/2006/relationships/hyperlink" Target="http://helly.com.cn/" TargetMode="External"/><Relationship Id="rId423" Type="http://schemas.openxmlformats.org/officeDocument/2006/relationships/hyperlink" Target="https://www.cybenetics.com/d/cybenetics_4BO.pdf" TargetMode="External"/><Relationship Id="rId429" Type="http://schemas.openxmlformats.org/officeDocument/2006/relationships/hyperlink" Target="https://www.cybenetics.com/d/cybenetics_9YX.pdf" TargetMode="External"/><Relationship Id="rId428" Type="http://schemas.openxmlformats.org/officeDocument/2006/relationships/hyperlink" Target="https://www.clearesult.com/80plus/sites/80plus/files/manufacturer-certificate/LIAN%20LI%20INDUSTRIAL%20CO.%2C%20LTD._SP850_850W_SOCE%206863_Report.pdf" TargetMode="External"/><Relationship Id="rId427" Type="http://schemas.openxmlformats.org/officeDocument/2006/relationships/hyperlink" Target="https://lian-li.com/product/sp850/" TargetMode="External"/><Relationship Id="rId422" Type="http://schemas.openxmlformats.org/officeDocument/2006/relationships/hyperlink" Target="https://www.clearesult.com/80plus/sites/80plus/files/manufacturer-certificate/lian-li-industrial-co-ltd-sp750-631.pdf" TargetMode="External"/><Relationship Id="rId421" Type="http://schemas.openxmlformats.org/officeDocument/2006/relationships/hyperlink" Target="https://lian-li.com/product/sp750/" TargetMode="External"/><Relationship Id="rId420" Type="http://schemas.openxmlformats.org/officeDocument/2006/relationships/hyperlink" Target="http://www.lian-li.com/" TargetMode="External"/><Relationship Id="rId415" Type="http://schemas.openxmlformats.org/officeDocument/2006/relationships/hyperlink" Target="http://kolink.eu/index.html" TargetMode="External"/><Relationship Id="rId414" Type="http://schemas.openxmlformats.org/officeDocument/2006/relationships/hyperlink" Target="http://www.highpower-tech.com/Global/" TargetMode="External"/><Relationship Id="rId413" Type="http://schemas.openxmlformats.org/officeDocument/2006/relationships/hyperlink" Target="https://www.cybenetics.com/d/cybenetics_isr.pdf" TargetMode="External"/><Relationship Id="rId412" Type="http://schemas.openxmlformats.org/officeDocument/2006/relationships/hyperlink" Target="https://www.clearesult.com/80plus/sites/80plus/files/manufacturer-certificate/high-power-electric-co-ltd-hpf350brf08s-%28c%29-5345.pdf" TargetMode="External"/><Relationship Id="rId419" Type="http://schemas.openxmlformats.org/officeDocument/2006/relationships/hyperlink" Target="http://www.highpower-tech.com/Global/" TargetMode="External"/><Relationship Id="rId418" Type="http://schemas.openxmlformats.org/officeDocument/2006/relationships/hyperlink" Target="https://www.cybenetics.com/d/cybenetics_EnZ.pdf" TargetMode="External"/><Relationship Id="rId417" Type="http://schemas.openxmlformats.org/officeDocument/2006/relationships/hyperlink" Target="https://www.clearesult.com/80plus/sites/80plus/files/manufacturer-certificate/high-power-electric-co-ltd-hpf450brf08s-%28c%29-5213.pdf" TargetMode="External"/><Relationship Id="rId416" Type="http://schemas.openxmlformats.org/officeDocument/2006/relationships/hyperlink" Target="https://kolink.eu/Home/psu-1/sfx/kolink-sfx---450-psu---450-watt.html" TargetMode="External"/><Relationship Id="rId411" Type="http://schemas.openxmlformats.org/officeDocument/2006/relationships/hyperlink" Target="https://kolink.eu/Home/psu-1/sfx/kolink-sfx---350-psu---350-watt.html" TargetMode="External"/><Relationship Id="rId410" Type="http://schemas.openxmlformats.org/officeDocument/2006/relationships/hyperlink" Target="http://kolink.eu/index.html" TargetMode="External"/><Relationship Id="rId448" Type="http://schemas.openxmlformats.org/officeDocument/2006/relationships/hyperlink" Target="https://phanteks.com/Revolt-SFX.html" TargetMode="External"/><Relationship Id="rId447" Type="http://schemas.openxmlformats.org/officeDocument/2006/relationships/hyperlink" Target="https://phanteks.com/" TargetMode="External"/><Relationship Id="rId446" Type="http://schemas.openxmlformats.org/officeDocument/2006/relationships/hyperlink" Target="http://www.cwt.com.tw/" TargetMode="External"/><Relationship Id="rId445" Type="http://schemas.openxmlformats.org/officeDocument/2006/relationships/hyperlink" Target="https://www.clearesult.com/80plus/sites/80plus/files/manufacturer-certificate/pccooler-gifx500-11695.pdf" TargetMode="External"/><Relationship Id="rId449" Type="http://schemas.openxmlformats.org/officeDocument/2006/relationships/hyperlink" Target="https://www.clearesult.com/80plus/sites/80plus/files/manufacturer-certificate/sea-sonic-electronics-co-ltd-y7651gxsfs-%28focus-sgx650%29-322.pdf" TargetMode="External"/><Relationship Id="rId440" Type="http://schemas.openxmlformats.org/officeDocument/2006/relationships/hyperlink" Target="https://www.montechpc.com/en/products_detail.php?nid=265&amp;s_ok2=" TargetMode="External"/><Relationship Id="rId444" Type="http://schemas.openxmlformats.org/officeDocument/2006/relationships/hyperlink" Target="https://www.pccooler.cn/Products/product_1/id/219/ids/0" TargetMode="External"/><Relationship Id="rId443" Type="http://schemas.openxmlformats.org/officeDocument/2006/relationships/hyperlink" Target="https://www.pccooler.com/" TargetMode="External"/><Relationship Id="rId442" Type="http://schemas.openxmlformats.org/officeDocument/2006/relationships/hyperlink" Target="http://www.cwt.com.tw/" TargetMode="External"/><Relationship Id="rId441" Type="http://schemas.openxmlformats.org/officeDocument/2006/relationships/hyperlink" Target="https://www.clearesult.com/80plus/sites/80plus/files/manufacturer-certificate/montech-century-mini-750-11598.pdf" TargetMode="External"/><Relationship Id="rId437" Type="http://schemas.openxmlformats.org/officeDocument/2006/relationships/hyperlink" Target="https://www.montechpc.com/en/products_detail.php?nid=276&amp;s_ok2=" TargetMode="External"/><Relationship Id="rId436" Type="http://schemas.openxmlformats.org/officeDocument/2006/relationships/hyperlink" Target="https://www.montechpc.com/en/index.php" TargetMode="External"/><Relationship Id="rId435" Type="http://schemas.openxmlformats.org/officeDocument/2006/relationships/hyperlink" Target="https://www.microcenter.com/product/663875/powerspec-ps-850sfxg-850-watt-80-plus-gold-sfx-fully-modular-power-supply" TargetMode="External"/><Relationship Id="rId434" Type="http://schemas.openxmlformats.org/officeDocument/2006/relationships/hyperlink" Target="https://www.microcenter.com/" TargetMode="External"/><Relationship Id="rId439" Type="http://schemas.openxmlformats.org/officeDocument/2006/relationships/hyperlink" Target="https://www.montechpc.com/en/index.php" TargetMode="External"/><Relationship Id="rId438" Type="http://schemas.openxmlformats.org/officeDocument/2006/relationships/hyperlink" Target="http://www.cwt.com.tw/" TargetMode="External"/><Relationship Id="rId433" Type="http://schemas.openxmlformats.org/officeDocument/2006/relationships/hyperlink" Target="https://www.microcenter.com/product/663871/powerspec-ps-750sfxg-750-watt-80-plus-gold-sfx-fully-modular-power-supply" TargetMode="External"/><Relationship Id="rId432" Type="http://schemas.openxmlformats.org/officeDocument/2006/relationships/hyperlink" Target="https://www.microcenter.com/" TargetMode="External"/><Relationship Id="rId431" Type="http://schemas.openxmlformats.org/officeDocument/2006/relationships/hyperlink" Target="https://hwbusters.com/psus/lian-li-sp850-sfx-psu-review-high-performance-through-fire/" TargetMode="External"/><Relationship Id="rId430" Type="http://schemas.openxmlformats.org/officeDocument/2006/relationships/hyperlink" Target="http://helly.com.cn/" TargetMode="External"/><Relationship Id="rId1" Type="http://schemas.openxmlformats.org/officeDocument/2006/relationships/comments" Target="../comments15.xml"/><Relationship Id="rId2" Type="http://schemas.openxmlformats.org/officeDocument/2006/relationships/hyperlink" Target="https://www.1stplayer.com/" TargetMode="External"/><Relationship Id="rId3" Type="http://schemas.openxmlformats.org/officeDocument/2006/relationships/hyperlink" Target="https://www.1stplayer.com/productdetails/id/144.html" TargetMode="External"/><Relationship Id="rId4" Type="http://schemas.openxmlformats.org/officeDocument/2006/relationships/hyperlink" Target="https://www.clearesult.com/80plus/sites/80plus/files/manufacturer-certificate/1st-player-ps650sfx-634.pdf" TargetMode="External"/><Relationship Id="rId9" Type="http://schemas.openxmlformats.org/officeDocument/2006/relationships/hyperlink" Target="https://www.cybenetics.com/d/cybenetics_2Th.pdf" TargetMode="External"/><Relationship Id="rId5" Type="http://schemas.openxmlformats.org/officeDocument/2006/relationships/hyperlink" Target="http://helly.com.cn/" TargetMode="External"/><Relationship Id="rId6" Type="http://schemas.openxmlformats.org/officeDocument/2006/relationships/hyperlink" Target="https://www.1stplayer.com/" TargetMode="External"/><Relationship Id="rId7" Type="http://schemas.openxmlformats.org/officeDocument/2006/relationships/hyperlink" Target="https://www.1stplayer.com/productdetails/id/144.html" TargetMode="External"/><Relationship Id="rId8" Type="http://schemas.openxmlformats.org/officeDocument/2006/relationships/hyperlink" Target="https://www.clearesult.com/80plus/sites/80plus/files/manufacturer-certificate/1st-player-ps750sfx-633.pdf" TargetMode="External"/><Relationship Id="rId745" Type="http://schemas.openxmlformats.org/officeDocument/2006/relationships/hyperlink" Target="http://www.enhance.com.tw/new/" TargetMode="External"/><Relationship Id="rId744" Type="http://schemas.openxmlformats.org/officeDocument/2006/relationships/hyperlink" Target="https://www.clearesult.com/80plus/sites/80plus/files/manufacturer-certificate/thermaltake-stp0450fg-stp450ah1feg-toughpower-sfx-450w-gold-3897.pdf" TargetMode="External"/><Relationship Id="rId743" Type="http://schemas.openxmlformats.org/officeDocument/2006/relationships/hyperlink" Target="https://www.thermaltake.com/toughpower-sfx-450w-gold.html" TargetMode="External"/><Relationship Id="rId742" Type="http://schemas.openxmlformats.org/officeDocument/2006/relationships/hyperlink" Target="http://www.sanr-group.com/en/index.php" TargetMode="External"/><Relationship Id="rId749" Type="http://schemas.openxmlformats.org/officeDocument/2006/relationships/hyperlink" Target="https://www.thermaltake.com/toughpower-sfx-550w-gold-tt-premium-edition.html" TargetMode="External"/><Relationship Id="rId748" Type="http://schemas.openxmlformats.org/officeDocument/2006/relationships/hyperlink" Target="http://www.hkcelec.com/index.asp" TargetMode="External"/><Relationship Id="rId747" Type="http://schemas.openxmlformats.org/officeDocument/2006/relationships/hyperlink" Target="https://www.clearesult.com/80plus/sites/80plus/files/manufacturer-certificate/thermaltake-toughpower-sfx-450w-455.pdf" TargetMode="External"/><Relationship Id="rId746" Type="http://schemas.openxmlformats.org/officeDocument/2006/relationships/hyperlink" Target="https://www.thermaltake.com/toughpower-sfx-450w-gold-tt-premium-edition.html" TargetMode="External"/><Relationship Id="rId741" Type="http://schemas.openxmlformats.org/officeDocument/2006/relationships/hyperlink" Target="https://www.clearesult.com/80plus/sites/80plus/files/manufacturer-certificate/SANR_S-850SF%20850A_850W_SOCE%207183_Report.pdf" TargetMode="External"/><Relationship Id="rId740" Type="http://schemas.openxmlformats.org/officeDocument/2006/relationships/hyperlink" Target="https://www.thermalright.com.cn/product/tpfx850-w/" TargetMode="External"/><Relationship Id="rId739" Type="http://schemas.openxmlformats.org/officeDocument/2006/relationships/hyperlink" Target="http://thermalright.com/" TargetMode="External"/><Relationship Id="rId734" Type="http://schemas.openxmlformats.org/officeDocument/2006/relationships/hyperlink" Target="http://www.sanr-group.com/en/index.php" TargetMode="External"/><Relationship Id="rId733" Type="http://schemas.openxmlformats.org/officeDocument/2006/relationships/hyperlink" Target="https://www.clearesult.com/80plus/sites/80plus/files/manufacturer-certificate/SANR_S-850SF%20750A_750W_SOCE%207182_Report.pdf" TargetMode="External"/><Relationship Id="rId732" Type="http://schemas.openxmlformats.org/officeDocument/2006/relationships/hyperlink" Target="https://www.thermalright.com.cn/product/tpfx750-w/" TargetMode="External"/><Relationship Id="rId731" Type="http://schemas.openxmlformats.org/officeDocument/2006/relationships/hyperlink" Target="http://thermalright.com/" TargetMode="External"/><Relationship Id="rId738" Type="http://schemas.openxmlformats.org/officeDocument/2006/relationships/hyperlink" Target="http://www.sanr-group.com/en/index.php" TargetMode="External"/><Relationship Id="rId737" Type="http://schemas.openxmlformats.org/officeDocument/2006/relationships/hyperlink" Target="https://www.clearesult.com/80plus/sites/80plus/files/manufacturer-certificate/SANR_S-850SF%20850A_850W_SOCE%207183_Report.pdf" TargetMode="External"/><Relationship Id="rId736" Type="http://schemas.openxmlformats.org/officeDocument/2006/relationships/hyperlink" Target="https://www.thermalright.com.cn/product/tpfx850/" TargetMode="External"/><Relationship Id="rId735" Type="http://schemas.openxmlformats.org/officeDocument/2006/relationships/hyperlink" Target="http://thermalright.com/" TargetMode="External"/><Relationship Id="rId730" Type="http://schemas.openxmlformats.org/officeDocument/2006/relationships/hyperlink" Target="http://www.sanr-group.com/en/index.php" TargetMode="External"/><Relationship Id="rId767" Type="http://schemas.openxmlformats.org/officeDocument/2006/relationships/hyperlink" Target="https://www.thermaltake.com/toughpower-sfx-850w-gold-tt-premium-edition.html" TargetMode="External"/><Relationship Id="rId766" Type="http://schemas.openxmlformats.org/officeDocument/2006/relationships/hyperlink" Target="http://www.hkcelec.com/index.asp" TargetMode="External"/><Relationship Id="rId765" Type="http://schemas.openxmlformats.org/officeDocument/2006/relationships/hyperlink" Target="https://www.thermaltake.com/toughpower-sfx-platinum-750w-tt-premium-edition.html" TargetMode="External"/><Relationship Id="rId764" Type="http://schemas.openxmlformats.org/officeDocument/2006/relationships/hyperlink" Target="https://hwbusters.com/psus/thermaltake-toughpower-sfx-750w-gold-psu-review/" TargetMode="External"/><Relationship Id="rId769" Type="http://schemas.openxmlformats.org/officeDocument/2006/relationships/hyperlink" Target="https://www.cybenetics.com/d/cybenetics_vhv.pdf" TargetMode="External"/><Relationship Id="rId768" Type="http://schemas.openxmlformats.org/officeDocument/2006/relationships/hyperlink" Target="https://www.clearesult.com/80plus/sites/80plus/files/manufacturer-certificate/THERMALTAKE%20_SFX-850AH8FKG%20TOUGHPOWER%20SFX%20850W%20_850W_SOCE%206873_Report.pdf" TargetMode="External"/><Relationship Id="rId763" Type="http://schemas.openxmlformats.org/officeDocument/2006/relationships/hyperlink" Target="http://www.hkcelec.com/index.asp" TargetMode="External"/><Relationship Id="rId762" Type="http://schemas.openxmlformats.org/officeDocument/2006/relationships/hyperlink" Target="https://www.cybenetics.com/d/cybenetics_NbF.pdf" TargetMode="External"/><Relationship Id="rId761" Type="http://schemas.openxmlformats.org/officeDocument/2006/relationships/hyperlink" Target="https://www.clearesult.com/80plus/sites/80plus/files/manufacturer-certificate/THERMALTAKE%20_SFX-750AH8FKG%20TOUGHPOWER%20SFX%20750W%20_750W_SOCE%206872_Report.pdf" TargetMode="External"/><Relationship Id="rId760" Type="http://schemas.openxmlformats.org/officeDocument/2006/relationships/hyperlink" Target="https://www.thermaltake.com/toughpower-sfx-750w-gold-tt-premium-edition.html" TargetMode="External"/><Relationship Id="rId756" Type="http://schemas.openxmlformats.org/officeDocument/2006/relationships/hyperlink" Target="https://www.tomshardware.com/reviews/thermaltake-toughpower-sfx-600w-gold-psu-stp-0600f-g,4714.html" TargetMode="External"/><Relationship Id="rId755" Type="http://schemas.openxmlformats.org/officeDocument/2006/relationships/hyperlink" Target="http://www.enhance.com.tw/new/" TargetMode="External"/><Relationship Id="rId754" Type="http://schemas.openxmlformats.org/officeDocument/2006/relationships/hyperlink" Target="https://www.cybenetics.com/d/cybenetics_AT0.pdf" TargetMode="External"/><Relationship Id="rId753" Type="http://schemas.openxmlformats.org/officeDocument/2006/relationships/hyperlink" Target="https://www.clearesult.com/80plus/sites/80plus/files/manufacturer-certificate/thermaltake-stp0600fg-stp600ah1feg-toughpower-sfx-600w-gold-3896.pdf" TargetMode="External"/><Relationship Id="rId759" Type="http://schemas.openxmlformats.org/officeDocument/2006/relationships/hyperlink" Target="http://www.hkcelec.com/index.asp" TargetMode="External"/><Relationship Id="rId758" Type="http://schemas.openxmlformats.org/officeDocument/2006/relationships/hyperlink" Target="https://www.clearesult.com/80plus/sites/80plus/files/manufacturer-certificate/thermaltake-toughpower-sfx-650w-446.pdf" TargetMode="External"/><Relationship Id="rId757" Type="http://schemas.openxmlformats.org/officeDocument/2006/relationships/hyperlink" Target="https://www.thermaltake.com/toughpower-sfx-650w-gold-tt-premium-edition.html" TargetMode="External"/><Relationship Id="rId752" Type="http://schemas.openxmlformats.org/officeDocument/2006/relationships/hyperlink" Target="https://www.thermaltake.com/toughpower-sfx-600w-gold.html" TargetMode="External"/><Relationship Id="rId751" Type="http://schemas.openxmlformats.org/officeDocument/2006/relationships/hyperlink" Target="http://www.hkcelec.com/index.asp" TargetMode="External"/><Relationship Id="rId750" Type="http://schemas.openxmlformats.org/officeDocument/2006/relationships/hyperlink" Target="https://www.clearesult.com/80plus/sites/80plus/files/manufacturer-certificate/thermaltake-toughpower-sfx-550w-454.pdf" TargetMode="External"/><Relationship Id="rId709" Type="http://schemas.openxmlformats.org/officeDocument/2006/relationships/hyperlink" Target="https://www.clearesult.com/80plus/sites/80plus/files/manufacturer-certificate/SANR_S-850SF%20750A-J_750W_SOCE%207229_Report.pdf" TargetMode="External"/><Relationship Id="rId708" Type="http://schemas.openxmlformats.org/officeDocument/2006/relationships/hyperlink" Target="https://www.thermalright.com.cn/product/tgfx750-w/" TargetMode="External"/><Relationship Id="rId707" Type="http://schemas.openxmlformats.org/officeDocument/2006/relationships/hyperlink" Target="http://thermalright.com/" TargetMode="External"/><Relationship Id="rId706" Type="http://schemas.openxmlformats.org/officeDocument/2006/relationships/hyperlink" Target="http://www.sanr-group.com/en/index.php" TargetMode="External"/><Relationship Id="rId701" Type="http://schemas.openxmlformats.org/officeDocument/2006/relationships/hyperlink" Target="https://www.clearesult.com/80plus/sites/80plus/files/manufacturer-certificate/SANR_S-850SF%20650A-J_650W_SOCE%207228_Report.pdf" TargetMode="External"/><Relationship Id="rId700" Type="http://schemas.openxmlformats.org/officeDocument/2006/relationships/hyperlink" Target="https://www.thermalright.com.cn/product/tgfx650-w/" TargetMode="External"/><Relationship Id="rId705" Type="http://schemas.openxmlformats.org/officeDocument/2006/relationships/hyperlink" Target="https://www.clearesult.com/80plus/sites/80plus/files/manufacturer-certificate/SANR_S-850SF%20750A-J_750W_SOCE%207229_Report.pdf" TargetMode="External"/><Relationship Id="rId704" Type="http://schemas.openxmlformats.org/officeDocument/2006/relationships/hyperlink" Target="https://www.thermalright.com.cn/product/tgfx750/" TargetMode="External"/><Relationship Id="rId703" Type="http://schemas.openxmlformats.org/officeDocument/2006/relationships/hyperlink" Target="http://thermalright.com/" TargetMode="External"/><Relationship Id="rId702" Type="http://schemas.openxmlformats.org/officeDocument/2006/relationships/hyperlink" Target="http://www.sanr-group.com/en/index.php" TargetMode="External"/><Relationship Id="rId729" Type="http://schemas.openxmlformats.org/officeDocument/2006/relationships/hyperlink" Target="https://www.clearesult.com/80plus/sites/80plus/files/manufacturer-certificate/SANR_S-850SF%20750A_750W_SOCE%207182_Report.pdf" TargetMode="External"/><Relationship Id="rId728" Type="http://schemas.openxmlformats.org/officeDocument/2006/relationships/hyperlink" Target="https://www.thermalright.com.cn/product/tpfx750/" TargetMode="External"/><Relationship Id="rId723" Type="http://schemas.openxmlformats.org/officeDocument/2006/relationships/hyperlink" Target="http://thermalright.com/" TargetMode="External"/><Relationship Id="rId722" Type="http://schemas.openxmlformats.org/officeDocument/2006/relationships/hyperlink" Target="http://www.sanr-group.com/en/index.php" TargetMode="External"/><Relationship Id="rId721" Type="http://schemas.openxmlformats.org/officeDocument/2006/relationships/hyperlink" Target="https://www.clearesult.com/80plus/sites/80plus/files/manufacturer-certificate/SANR_S-850SF%20650A_650W_SOCE%207181_Report.pdf" TargetMode="External"/><Relationship Id="rId720" Type="http://schemas.openxmlformats.org/officeDocument/2006/relationships/hyperlink" Target="https://www.thermalright.com.cn/product/tpfx650/" TargetMode="External"/><Relationship Id="rId727" Type="http://schemas.openxmlformats.org/officeDocument/2006/relationships/hyperlink" Target="http://thermalright.com/" TargetMode="External"/><Relationship Id="rId726" Type="http://schemas.openxmlformats.org/officeDocument/2006/relationships/hyperlink" Target="http://www.sanr-group.com/en/index.php" TargetMode="External"/><Relationship Id="rId725" Type="http://schemas.openxmlformats.org/officeDocument/2006/relationships/hyperlink" Target="https://www.clearesult.com/80plus/sites/80plus/files/manufacturer-certificate/SANR_S-850SF%20650A_650W_SOCE%207181_Report.pdf" TargetMode="External"/><Relationship Id="rId724" Type="http://schemas.openxmlformats.org/officeDocument/2006/relationships/hyperlink" Target="https://www.thermalright.com.cn/product/tpfx650-w/" TargetMode="External"/><Relationship Id="rId719" Type="http://schemas.openxmlformats.org/officeDocument/2006/relationships/hyperlink" Target="http://thermalright.com/" TargetMode="External"/><Relationship Id="rId718" Type="http://schemas.openxmlformats.org/officeDocument/2006/relationships/hyperlink" Target="http://www.sanr-group.com/en/index.php" TargetMode="External"/><Relationship Id="rId717" Type="http://schemas.openxmlformats.org/officeDocument/2006/relationships/hyperlink" Target="https://www.clearesult.com/80plus/sites/80plus/files/manufacturer-certificate/SANR_S-850SF%20850A-J_850W_SOCE%207230_Report.pdf" TargetMode="External"/><Relationship Id="rId712" Type="http://schemas.openxmlformats.org/officeDocument/2006/relationships/hyperlink" Target="https://www.thermalright.com.cn/product/tgfx850/" TargetMode="External"/><Relationship Id="rId711" Type="http://schemas.openxmlformats.org/officeDocument/2006/relationships/hyperlink" Target="http://thermalright.com/" TargetMode="External"/><Relationship Id="rId710" Type="http://schemas.openxmlformats.org/officeDocument/2006/relationships/hyperlink" Target="http://www.sanr-group.com/en/index.php" TargetMode="External"/><Relationship Id="rId716" Type="http://schemas.openxmlformats.org/officeDocument/2006/relationships/hyperlink" Target="https://www.thermalright.com.cn/product/tgfx850-w/" TargetMode="External"/><Relationship Id="rId715" Type="http://schemas.openxmlformats.org/officeDocument/2006/relationships/hyperlink" Target="http://thermalright.com/" TargetMode="External"/><Relationship Id="rId714" Type="http://schemas.openxmlformats.org/officeDocument/2006/relationships/hyperlink" Target="http://www.sanr-group.com/en/index.php" TargetMode="External"/><Relationship Id="rId713" Type="http://schemas.openxmlformats.org/officeDocument/2006/relationships/hyperlink" Target="https://www.clearesult.com/80plus/sites/80plus/files/manufacturer-certificate/SANR_S-850SF%20850A-J_850W_SOCE%207230_Report.pdf" TargetMode="External"/><Relationship Id="rId781" Type="http://schemas.openxmlformats.org/officeDocument/2006/relationships/drawing" Target="../drawings/drawing18.xml"/><Relationship Id="rId780" Type="http://schemas.openxmlformats.org/officeDocument/2006/relationships/hyperlink" Target="http://www.hkcelec.com/index.asp" TargetMode="External"/><Relationship Id="rId782" Type="http://schemas.openxmlformats.org/officeDocument/2006/relationships/vmlDrawing" Target="../drawings/vmlDrawing15.vml"/><Relationship Id="rId778" Type="http://schemas.openxmlformats.org/officeDocument/2006/relationships/hyperlink" Target="https://hwbusters.com/psus/thermaltake-toughpower-sfx-1000w-gold-psu-review/" TargetMode="External"/><Relationship Id="rId777" Type="http://schemas.openxmlformats.org/officeDocument/2006/relationships/hyperlink" Target="http://www.hkcelec.com/index.asp" TargetMode="External"/><Relationship Id="rId776" Type="http://schemas.openxmlformats.org/officeDocument/2006/relationships/hyperlink" Target="https://www.cybenetics.com/d/cybenetics_NYi.pdf" TargetMode="External"/><Relationship Id="rId775" Type="http://schemas.openxmlformats.org/officeDocument/2006/relationships/hyperlink" Target="https://www.clearesult.com/80plus/sites/80plus/files/manufacturer-certificate/THERMALTAKE%20_SFX-1000AH2FKG%20TOUGHPOWER%20SFX%201000W%20_1000W_SOCE%206871_Report.pdf" TargetMode="External"/><Relationship Id="rId779" Type="http://schemas.openxmlformats.org/officeDocument/2006/relationships/hyperlink" Target="https://www.thermaltake.com/toughpower-sfx-platinum-1000w-tt-premium-edition.html" TargetMode="External"/><Relationship Id="rId770" Type="http://schemas.openxmlformats.org/officeDocument/2006/relationships/hyperlink" Target="http://www.hkcelec.com/index.asp" TargetMode="External"/><Relationship Id="rId774" Type="http://schemas.openxmlformats.org/officeDocument/2006/relationships/hyperlink" Target="https://www.thermaltake.com/toughpower-sfx-1000w-gold-tt-premium-edition.html" TargetMode="External"/><Relationship Id="rId773" Type="http://schemas.openxmlformats.org/officeDocument/2006/relationships/hyperlink" Target="http://www.hkcelec.com/index.asp" TargetMode="External"/><Relationship Id="rId772" Type="http://schemas.openxmlformats.org/officeDocument/2006/relationships/hyperlink" Target="https://www.thermaltake.com/toughpower-sfx-platinum-850w-tt-premium-edition.html" TargetMode="External"/><Relationship Id="rId771" Type="http://schemas.openxmlformats.org/officeDocument/2006/relationships/hyperlink" Target="https://hwbusters.com/psus/thermaltake-toughpower-sfx-850w-gold-psu-review/" TargetMode="External"/><Relationship Id="rId629" Type="http://schemas.openxmlformats.org/officeDocument/2006/relationships/hyperlink" Target="https://www.clearesult.com/80plus/sites/80plus/files/manufacturer-certificate/silverstone-technology-inc-sstsx600g-5457.pdf" TargetMode="External"/><Relationship Id="rId624" Type="http://schemas.openxmlformats.org/officeDocument/2006/relationships/hyperlink" Target="https://www.clearesult.com/80plus/sites/80plus/files/manufacturer-certificate/silverstone-technology-inc-sstsx550-4302.pdf" TargetMode="External"/><Relationship Id="rId623" Type="http://schemas.openxmlformats.org/officeDocument/2006/relationships/hyperlink" Target="https://www.silverstonetek.com/product.php?pid=640&amp;bno=22&amp;tb=14&amp;area=en" TargetMode="External"/><Relationship Id="rId622" Type="http://schemas.openxmlformats.org/officeDocument/2006/relationships/hyperlink" Target="https://www.silverstonetek.com/en/" TargetMode="External"/><Relationship Id="rId621" Type="http://schemas.openxmlformats.org/officeDocument/2006/relationships/hyperlink" Target="https://www.tomshardware.com/reviews/silverstone-sx500-lg-power-supply,4136.html" TargetMode="External"/><Relationship Id="rId628" Type="http://schemas.openxmlformats.org/officeDocument/2006/relationships/hyperlink" Target="https://www.silverstonetek.com/en/" TargetMode="External"/><Relationship Id="rId627" Type="http://schemas.openxmlformats.org/officeDocument/2006/relationships/hyperlink" Target="https://www.tomshardware.com/reviews/silverstone-sst-sx550-sfx-psu,4669.html" TargetMode="External"/><Relationship Id="rId626" Type="http://schemas.openxmlformats.org/officeDocument/2006/relationships/hyperlink" Target="https://www.fsp-group.com/en/index.html" TargetMode="External"/><Relationship Id="rId625" Type="http://schemas.openxmlformats.org/officeDocument/2006/relationships/hyperlink" Target="https://www.cybenetics.com/d/cybenetics_cNL.pdf" TargetMode="External"/><Relationship Id="rId620" Type="http://schemas.openxmlformats.org/officeDocument/2006/relationships/hyperlink" Target="http://www.highpower-tech.com/Global/" TargetMode="External"/><Relationship Id="rId619" Type="http://schemas.openxmlformats.org/officeDocument/2006/relationships/hyperlink" Target="https://www.clearesult.com/80plus/sites/80plus/files/manufacturer-certificate/silverstone-technology-inc-sstsx500lg-5065.pdf" TargetMode="External"/><Relationship Id="rId618" Type="http://schemas.openxmlformats.org/officeDocument/2006/relationships/hyperlink" Target="https://www.silverstonetek.com/en/" TargetMode="External"/><Relationship Id="rId613" Type="http://schemas.openxmlformats.org/officeDocument/2006/relationships/hyperlink" Target="https://www.silverstonetek.com/en/" TargetMode="External"/><Relationship Id="rId612" Type="http://schemas.openxmlformats.org/officeDocument/2006/relationships/hyperlink" Target="https://www.fsp-group.com/en/index.html" TargetMode="External"/><Relationship Id="rId611" Type="http://schemas.openxmlformats.org/officeDocument/2006/relationships/hyperlink" Target="https://www.clearesult.com/80plus/sites/80plus/files/manufacturer-certificate/silverstone-technology-inc-sstsx450b-1715.pdf" TargetMode="External"/><Relationship Id="rId610" Type="http://schemas.openxmlformats.org/officeDocument/2006/relationships/hyperlink" Target="https://www.silverstonetek.com/product.php?pid=877&amp;bno=22&amp;tb=14&amp;area=en" TargetMode="External"/><Relationship Id="rId617" Type="http://schemas.openxmlformats.org/officeDocument/2006/relationships/hyperlink" Target="https://www.tomshardware.com/reviews/silverstone-sx500-g-psu,5278.html" TargetMode="External"/><Relationship Id="rId616" Type="http://schemas.openxmlformats.org/officeDocument/2006/relationships/hyperlink" Target="http://www.highpower-tech.com/Global/" TargetMode="External"/><Relationship Id="rId615" Type="http://schemas.openxmlformats.org/officeDocument/2006/relationships/hyperlink" Target="https://www.cybenetics.com/d/cybenetics_5U0.pdf" TargetMode="External"/><Relationship Id="rId614" Type="http://schemas.openxmlformats.org/officeDocument/2006/relationships/hyperlink" Target="https://www.clearesult.com/80plus/sites/80plus/files/manufacturer-certificate/silverstone-technology-inc-sstsx500g-3080.pdf" TargetMode="External"/><Relationship Id="rId646" Type="http://schemas.openxmlformats.org/officeDocument/2006/relationships/hyperlink" Target="https://www.tomshardware.com/reviews/silverstone-sfx-sx700-lpt-psu,4754.html" TargetMode="External"/><Relationship Id="rId645" Type="http://schemas.openxmlformats.org/officeDocument/2006/relationships/hyperlink" Target="http://www.highpower-tech.com/Global/" TargetMode="External"/><Relationship Id="rId644" Type="http://schemas.openxmlformats.org/officeDocument/2006/relationships/hyperlink" Target="https://www.cybenetics.com/d/cybenetics_u1Q.pdf" TargetMode="External"/><Relationship Id="rId643" Type="http://schemas.openxmlformats.org/officeDocument/2006/relationships/hyperlink" Target="https://www.clearesult.com/80plus/sites/80plus/files/manufacturer-certificate/silverstone-technology-inc-sstsx700lpt-4037.pdf" TargetMode="External"/><Relationship Id="rId649" Type="http://schemas.openxmlformats.org/officeDocument/2006/relationships/hyperlink" Target="https://www.cybenetics.com/d/cybenetics_65N.pdf" TargetMode="External"/><Relationship Id="rId648" Type="http://schemas.openxmlformats.org/officeDocument/2006/relationships/hyperlink" Target="https://www.clearesult.com/80plus/sites/80plus/files/manufacturer-certificate/silverstone-technology-inc-sstsx700pt-1716.pdf" TargetMode="External"/><Relationship Id="rId647" Type="http://schemas.openxmlformats.org/officeDocument/2006/relationships/hyperlink" Target="https://www.silverstonetek.com/en/" TargetMode="External"/><Relationship Id="rId642" Type="http://schemas.openxmlformats.org/officeDocument/2006/relationships/hyperlink" Target="https://www.silverstonetek.com/en/" TargetMode="External"/><Relationship Id="rId641" Type="http://schemas.openxmlformats.org/officeDocument/2006/relationships/hyperlink" Target="https://www.tomshardware.com/reviews/silverstone-sx700-g-power-supply,5969.html" TargetMode="External"/><Relationship Id="rId640" Type="http://schemas.openxmlformats.org/officeDocument/2006/relationships/hyperlink" Target="http://www.highpower-tech.com/Global/" TargetMode="External"/><Relationship Id="rId635" Type="http://schemas.openxmlformats.org/officeDocument/2006/relationships/hyperlink" Target="http://www.highpower-tech.com/Global/" TargetMode="External"/><Relationship Id="rId634" Type="http://schemas.openxmlformats.org/officeDocument/2006/relationships/hyperlink" Target="https://www.cybenetics.com/d/cybenetics_MpN.pdf" TargetMode="External"/><Relationship Id="rId633" Type="http://schemas.openxmlformats.org/officeDocument/2006/relationships/hyperlink" Target="https://www.clearesult.com/80plus/sites/80plus/files/manufacturer-certificate/silverstone-technology-inc-sstsx650g-3081.pdf" TargetMode="External"/><Relationship Id="rId632" Type="http://schemas.openxmlformats.org/officeDocument/2006/relationships/hyperlink" Target="https://www.silverstonetek.com/en/" TargetMode="External"/><Relationship Id="rId639" Type="http://schemas.openxmlformats.org/officeDocument/2006/relationships/hyperlink" Target="https://www.cybenetics.com/d/cybenetics_NdX.pdf" TargetMode="External"/><Relationship Id="rId638" Type="http://schemas.openxmlformats.org/officeDocument/2006/relationships/hyperlink" Target="https://www.clearesult.com/80plus/sites/80plus/files/manufacturer-certificate/silverstone-technology-inc-sstsx700g-2332.pdf" TargetMode="External"/><Relationship Id="rId637" Type="http://schemas.openxmlformats.org/officeDocument/2006/relationships/hyperlink" Target="https://www.silverstonetek.com/en/" TargetMode="External"/><Relationship Id="rId636" Type="http://schemas.openxmlformats.org/officeDocument/2006/relationships/hyperlink" Target="https://www.tomshardware.com/reviews/silverstone-sx650-g-sfx-psu,5692.html" TargetMode="External"/><Relationship Id="rId631" Type="http://schemas.openxmlformats.org/officeDocument/2006/relationships/hyperlink" Target="https://www.tomshardware.com/reviews/silverstone-sx600-g-sfx-power-supply,4041.html" TargetMode="External"/><Relationship Id="rId630" Type="http://schemas.openxmlformats.org/officeDocument/2006/relationships/hyperlink" Target="http://www.enhance.com.tw/new/" TargetMode="External"/><Relationship Id="rId609" Type="http://schemas.openxmlformats.org/officeDocument/2006/relationships/hyperlink" Target="https://www.silverstonetek.com/en/" TargetMode="External"/><Relationship Id="rId608" Type="http://schemas.openxmlformats.org/officeDocument/2006/relationships/hyperlink" Target="https://www.fsp-group.com/en/index.html" TargetMode="External"/><Relationship Id="rId607" Type="http://schemas.openxmlformats.org/officeDocument/2006/relationships/hyperlink" Target="https://www.cybenetics.com/d/cybenetics_mH4.pdf" TargetMode="External"/><Relationship Id="rId602" Type="http://schemas.openxmlformats.org/officeDocument/2006/relationships/hyperlink" Target="http://www.highpower-tech.com/Global/" TargetMode="External"/><Relationship Id="rId601" Type="http://schemas.openxmlformats.org/officeDocument/2006/relationships/hyperlink" Target="https://www.cybenetics.com/d/cybenetics_Zj2.pdf" TargetMode="External"/><Relationship Id="rId600" Type="http://schemas.openxmlformats.org/officeDocument/2006/relationships/hyperlink" Target="https://www.clearesult.com/80plus/sites/80plus/files/manufacturer-certificate/silverstone-technology-inc-sstst45sf-v30-3718.pdf" TargetMode="External"/><Relationship Id="rId606" Type="http://schemas.openxmlformats.org/officeDocument/2006/relationships/hyperlink" Target="https://www.clearesult.com/80plus/sites/80plus/files/manufacturer-certificate/silverstone-technology-inc-sstsx300b-1720.pdf" TargetMode="External"/><Relationship Id="rId605" Type="http://schemas.openxmlformats.org/officeDocument/2006/relationships/hyperlink" Target="https://www.silverstonetek.com/product.php?pid=878&amp;bno=22&amp;tb=14&amp;area=en" TargetMode="External"/><Relationship Id="rId604" Type="http://schemas.openxmlformats.org/officeDocument/2006/relationships/hyperlink" Target="https://www.silverstonetek.com/en/" TargetMode="External"/><Relationship Id="rId603" Type="http://schemas.openxmlformats.org/officeDocument/2006/relationships/hyperlink" Target="https://www.tomshardware.com/reviews/silverstone-st45sf-v3-sfx-450w-psu,5121.html" TargetMode="External"/><Relationship Id="rId699" Type="http://schemas.openxmlformats.org/officeDocument/2006/relationships/hyperlink" Target="http://thermalright.com/" TargetMode="External"/><Relationship Id="rId698" Type="http://schemas.openxmlformats.org/officeDocument/2006/relationships/hyperlink" Target="http://www.sanr-group.com/en/index.php" TargetMode="External"/><Relationship Id="rId693" Type="http://schemas.openxmlformats.org/officeDocument/2006/relationships/hyperlink" Target="https://www.clearesult.com/80plus/sites/80plus/files/manufacturer-certificate/SANR_S-850SF%20550A-J_550W_SOCE%207227_Report.pdf" TargetMode="External"/><Relationship Id="rId692" Type="http://schemas.openxmlformats.org/officeDocument/2006/relationships/hyperlink" Target="https://www.thermalright.com.cn/product/tgfx550-w/" TargetMode="External"/><Relationship Id="rId691" Type="http://schemas.openxmlformats.org/officeDocument/2006/relationships/hyperlink" Target="http://thermalright.com/" TargetMode="External"/><Relationship Id="rId690" Type="http://schemas.openxmlformats.org/officeDocument/2006/relationships/hyperlink" Target="http://www.sanr-group.com/en/index.php" TargetMode="External"/><Relationship Id="rId697" Type="http://schemas.openxmlformats.org/officeDocument/2006/relationships/hyperlink" Target="https://www.clearesult.com/80plus/sites/80plus/files/manufacturer-certificate/SANR_S-850SF%20650A-J_650W_SOCE%207228_Report.pdf" TargetMode="External"/><Relationship Id="rId696" Type="http://schemas.openxmlformats.org/officeDocument/2006/relationships/hyperlink" Target="https://www.thermalright.com.cn/product/tgfx650/" TargetMode="External"/><Relationship Id="rId695" Type="http://schemas.openxmlformats.org/officeDocument/2006/relationships/hyperlink" Target="http://thermalright.com/" TargetMode="External"/><Relationship Id="rId694" Type="http://schemas.openxmlformats.org/officeDocument/2006/relationships/hyperlink" Target="http://www.sanr-group.com/en/index.php" TargetMode="External"/><Relationship Id="rId668" Type="http://schemas.openxmlformats.org/officeDocument/2006/relationships/hyperlink" Target="https://www.cybenetics.com/d/cybenetics_SLZ.pdf" TargetMode="External"/><Relationship Id="rId667" Type="http://schemas.openxmlformats.org/officeDocument/2006/relationships/hyperlink" Target="https://www.clearesult.com/80plus/sites/80plus/files/manufacturer-certificate/silverstone-technology-inc-sstsx1000lpt-705.pdf" TargetMode="External"/><Relationship Id="rId666" Type="http://schemas.openxmlformats.org/officeDocument/2006/relationships/hyperlink" Target="https://www.silverstonetek.com/product.php?pid=965&amp;bno=22&amp;tb=14&amp;area=en" TargetMode="External"/><Relationship Id="rId665" Type="http://schemas.openxmlformats.org/officeDocument/2006/relationships/hyperlink" Target="https://www.silverstonetek.com/en/" TargetMode="External"/><Relationship Id="rId669" Type="http://schemas.openxmlformats.org/officeDocument/2006/relationships/hyperlink" Target="http://www.enhance.com.tw/new/" TargetMode="External"/><Relationship Id="rId660" Type="http://schemas.openxmlformats.org/officeDocument/2006/relationships/hyperlink" Target="https://www.tomshardware.com/reviews/silverstone-sx750-platinum-sfx-power-supply-review" TargetMode="External"/><Relationship Id="rId664" Type="http://schemas.openxmlformats.org/officeDocument/2006/relationships/hyperlink" Target="http://www.enhance.com.tw/new/" TargetMode="External"/><Relationship Id="rId663" Type="http://schemas.openxmlformats.org/officeDocument/2006/relationships/hyperlink" Target="https://www.cybenetics.com/d/cybenetics_13A.pdf" TargetMode="External"/><Relationship Id="rId662" Type="http://schemas.openxmlformats.org/officeDocument/2006/relationships/hyperlink" Target="https://www.clearesult.com/80plus/sites/80plus/files/manufacturer-certificate/silverstone-technology-inc-sstsx800lti-3532.pdf" TargetMode="External"/><Relationship Id="rId661" Type="http://schemas.openxmlformats.org/officeDocument/2006/relationships/hyperlink" Target="https://www.silverstonetek.com/en/" TargetMode="External"/><Relationship Id="rId657" Type="http://schemas.openxmlformats.org/officeDocument/2006/relationships/hyperlink" Target="https://www.clearesult.com/80plus/sites/80plus/files/manufacturer-certificate/silverstone-technology-inc-sstsx750pt-900.pdf" TargetMode="External"/><Relationship Id="rId656" Type="http://schemas.openxmlformats.org/officeDocument/2006/relationships/hyperlink" Target="https://www.silverstonetek.com/en/product/info/power-supplies/SX750Platinum/" TargetMode="External"/><Relationship Id="rId655" Type="http://schemas.openxmlformats.org/officeDocument/2006/relationships/hyperlink" Target="https://www.silverstonetek.com/en/" TargetMode="External"/><Relationship Id="rId654" Type="http://schemas.openxmlformats.org/officeDocument/2006/relationships/hyperlink" Target="http://www.cwt.com.tw/" TargetMode="External"/><Relationship Id="rId659" Type="http://schemas.openxmlformats.org/officeDocument/2006/relationships/hyperlink" Target="http://www.enhance.com.tw/new/" TargetMode="External"/><Relationship Id="rId658" Type="http://schemas.openxmlformats.org/officeDocument/2006/relationships/hyperlink" Target="https://www.cybenetics.com/d/cybenetics_WSp.pdf" TargetMode="External"/><Relationship Id="rId653" Type="http://schemas.openxmlformats.org/officeDocument/2006/relationships/hyperlink" Target="https://www.clearesult.com/80plus/sites/80plus/files/manufacturer-certificate/channel-well-technology-co-csi750m-879.pdf" TargetMode="External"/><Relationship Id="rId652" Type="http://schemas.openxmlformats.org/officeDocument/2006/relationships/hyperlink" Target="https://www.silverstonetek.com/product.php?pid=1032&amp;bno=&amp;tb=14&amp;area=en" TargetMode="External"/><Relationship Id="rId651" Type="http://schemas.openxmlformats.org/officeDocument/2006/relationships/hyperlink" Target="https://www.silverstonetek.com/en/" TargetMode="External"/><Relationship Id="rId650" Type="http://schemas.openxmlformats.org/officeDocument/2006/relationships/hyperlink" Target="http://www.highpower-tech.com/Global/" TargetMode="External"/><Relationship Id="rId689" Type="http://schemas.openxmlformats.org/officeDocument/2006/relationships/hyperlink" Target="https://www.clearesult.com/80plus/sites/80plus/files/manufacturer-certificate/SANR_S-850SF%20550A-J_550W_SOCE%207227_Report.pdf" TargetMode="External"/><Relationship Id="rId688" Type="http://schemas.openxmlformats.org/officeDocument/2006/relationships/hyperlink" Target="https://www.thermalright.com.cn/product/tgfx550/" TargetMode="External"/><Relationship Id="rId687" Type="http://schemas.openxmlformats.org/officeDocument/2006/relationships/hyperlink" Target="http://thermalright.com/" TargetMode="External"/><Relationship Id="rId682" Type="http://schemas.openxmlformats.org/officeDocument/2006/relationships/hyperlink" Target="http://www.sanr-group.com/en/index.php" TargetMode="External"/><Relationship Id="rId681" Type="http://schemas.openxmlformats.org/officeDocument/2006/relationships/hyperlink" Target="https://www.clearesult.com/80plus/sites/80plus/files/manufacturer-certificate/SANR_S-850SF%20650A-J_650W_SOCE%207228_Report.pdf" TargetMode="External"/><Relationship Id="rId680" Type="http://schemas.openxmlformats.org/officeDocument/2006/relationships/hyperlink" Target="https://www.thermalright.com.cn/product/sgfx650-w/" TargetMode="External"/><Relationship Id="rId686" Type="http://schemas.openxmlformats.org/officeDocument/2006/relationships/hyperlink" Target="http://www.sanr-group.com/en/index.php" TargetMode="External"/><Relationship Id="rId685" Type="http://schemas.openxmlformats.org/officeDocument/2006/relationships/hyperlink" Target="https://www.clearesult.com/80plus/sites/80plus/files/manufacturer-certificate/SANR_S-850SF%20850A-J_850W_SOCE%207230_Report.pdf" TargetMode="External"/><Relationship Id="rId684" Type="http://schemas.openxmlformats.org/officeDocument/2006/relationships/hyperlink" Target="https://www.thermalright.com.cn/product/sgfx850-w/" TargetMode="External"/><Relationship Id="rId683" Type="http://schemas.openxmlformats.org/officeDocument/2006/relationships/hyperlink" Target="http://thermalright.com/" TargetMode="External"/><Relationship Id="rId679" Type="http://schemas.openxmlformats.org/officeDocument/2006/relationships/hyperlink" Target="http://thermalright.com/" TargetMode="External"/><Relationship Id="rId678" Type="http://schemas.openxmlformats.org/officeDocument/2006/relationships/hyperlink" Target="http://www.sanr-group.com/en/index.php" TargetMode="External"/><Relationship Id="rId677" Type="http://schemas.openxmlformats.org/officeDocument/2006/relationships/hyperlink" Target="https://www.clearesult.com/80plus/sites/80plus/files/manufacturer-certificate/SANR_S-850SF%20650A-J_650W_SOCE%207228_Report.pdf" TargetMode="External"/><Relationship Id="rId676" Type="http://schemas.openxmlformats.org/officeDocument/2006/relationships/hyperlink" Target="https://www.thermalright.com.cn/product/sgfx650/" TargetMode="External"/><Relationship Id="rId671" Type="http://schemas.openxmlformats.org/officeDocument/2006/relationships/hyperlink" Target="https://www.silverstonetek.com/en/" TargetMode="External"/><Relationship Id="rId670" Type="http://schemas.openxmlformats.org/officeDocument/2006/relationships/hyperlink" Target="https://www.tomshardware.com/reviews/silverstone-sx1000-sfx-l-power-supply-review" TargetMode="External"/><Relationship Id="rId675" Type="http://schemas.openxmlformats.org/officeDocument/2006/relationships/hyperlink" Target="http://thermalright.com/" TargetMode="External"/><Relationship Id="rId674" Type="http://schemas.openxmlformats.org/officeDocument/2006/relationships/hyperlink" Target="http://www.enhance.com.tw/new/" TargetMode="External"/><Relationship Id="rId673" Type="http://schemas.openxmlformats.org/officeDocument/2006/relationships/hyperlink" Target="https://www.cybenetics.com/d/cybenetics_P8d.pdf" TargetMode="External"/><Relationship Id="rId672" Type="http://schemas.openxmlformats.org/officeDocument/2006/relationships/hyperlink" Target="https://www.silverstonetek.com/en/product/info/power-supplies/sx1000r_pl/" TargetMode="External"/><Relationship Id="rId190" Type="http://schemas.openxmlformats.org/officeDocument/2006/relationships/hyperlink" Target="https://www.corsair.com/us/en/p/psu/cp-9020105-na/sf-series-sf600-600-watt-80-plus-gold-certified-high-performance-sfx-psu-cp-9020105-na" TargetMode="External"/><Relationship Id="rId194" Type="http://schemas.openxmlformats.org/officeDocument/2006/relationships/hyperlink" Target="https://www.corsair.com/us/en/p/psu/cp-9020182-na/sf-series-sf600-600-watt-80-plus-platinum-certified-high-performance-sfx-psu-cp-9020182-na" TargetMode="External"/><Relationship Id="rId193" Type="http://schemas.openxmlformats.org/officeDocument/2006/relationships/hyperlink" Target="https://www.tomshardware.com/reviews/corsair-sf600-power-supply,4537.html" TargetMode="External"/><Relationship Id="rId192" Type="http://schemas.openxmlformats.org/officeDocument/2006/relationships/hyperlink" Target="https://www.greatwall.com.cn/" TargetMode="External"/><Relationship Id="rId191" Type="http://schemas.openxmlformats.org/officeDocument/2006/relationships/hyperlink" Target="https://www.clearesult.com/80plus/sites/80plus/files/manufacturer-certificate/corsair-rps0026%28cp9020105%29%28sf600%29-4106.pdf" TargetMode="External"/><Relationship Id="rId187" Type="http://schemas.openxmlformats.org/officeDocument/2006/relationships/hyperlink" Target="https://www.cybenetics.com/d/cybenetics_r7x.pdf" TargetMode="External"/><Relationship Id="rId186" Type="http://schemas.openxmlformats.org/officeDocument/2006/relationships/hyperlink" Target="https://www.clearesult.com/80plus/sites/80plus/files/manufacturer-certificate/corsair-rps0111-%28cp9020181%29-%28sf450%29-2422.pdf" TargetMode="External"/><Relationship Id="rId185" Type="http://schemas.openxmlformats.org/officeDocument/2006/relationships/hyperlink" Target="https://www.corsair.com/us/en/p/psu/cp-9020181-na/sf-series-sf450-450-watt-80-plus-platinum-certified-high-performance-sfx-psu-cp-9020181-na" TargetMode="External"/><Relationship Id="rId184" Type="http://schemas.openxmlformats.org/officeDocument/2006/relationships/hyperlink" Target="https://www.tomshardware.com/reviews/corsair-sf450-power-supply,4512-2.html" TargetMode="External"/><Relationship Id="rId189" Type="http://schemas.openxmlformats.org/officeDocument/2006/relationships/hyperlink" Target="https://www.tomshardware.com/reviews/corsair-sf450-platinum-sfx-psu,5917.html" TargetMode="External"/><Relationship Id="rId188" Type="http://schemas.openxmlformats.org/officeDocument/2006/relationships/hyperlink" Target="https://www.greatwall.com.cn/" TargetMode="External"/><Relationship Id="rId183" Type="http://schemas.openxmlformats.org/officeDocument/2006/relationships/hyperlink" Target="https://www.greatwall.com.cn/" TargetMode="External"/><Relationship Id="rId182" Type="http://schemas.openxmlformats.org/officeDocument/2006/relationships/hyperlink" Target="https://www.clearesult.com/80plus/sites/80plus/files/manufacturer-certificate/corsair-rps0025-%28cp9020104%29-%28sf450%29-4197.pdf" TargetMode="External"/><Relationship Id="rId181" Type="http://schemas.openxmlformats.org/officeDocument/2006/relationships/hyperlink" Target="https://www.corsair.com/ww/en/p/psu/cp-9020104-na/sf-series-sf450-450-watt-80-plus-gold-certified-high-performance-sfx-psu-cp-9020104-na" TargetMode="External"/><Relationship Id="rId180" Type="http://schemas.openxmlformats.org/officeDocument/2006/relationships/hyperlink" Target="https://hwbusters.com/psus/cooler-master-v1300-sfx-platinum-the-strongest-sfx-psu/" TargetMode="External"/><Relationship Id="rId176" Type="http://schemas.openxmlformats.org/officeDocument/2006/relationships/hyperlink" Target="https://www.coolermaster.com/" TargetMode="External"/><Relationship Id="rId175" Type="http://schemas.openxmlformats.org/officeDocument/2006/relationships/hyperlink" Target="https://hwbusters.com/psus/cooler-master-v1100-sfx-platinum/" TargetMode="External"/><Relationship Id="rId174" Type="http://schemas.openxmlformats.org/officeDocument/2006/relationships/hyperlink" Target="https://www.sysgration.com/en/" TargetMode="External"/><Relationship Id="rId173" Type="http://schemas.openxmlformats.org/officeDocument/2006/relationships/hyperlink" Target="https://www.cybenetics.com/d/cybenetics_mBp.pdf" TargetMode="External"/><Relationship Id="rId179" Type="http://schemas.openxmlformats.org/officeDocument/2006/relationships/hyperlink" Target="https://www.sysgration.com/en/" TargetMode="External"/><Relationship Id="rId178" Type="http://schemas.openxmlformats.org/officeDocument/2006/relationships/hyperlink" Target="https://www.clearesult.com/80plus/sites/80plus/files/manufacturer-certificate/COOLER%20MASTER_MPZ-D001-SFBP_1300W_EU-906_Report.pdf" TargetMode="External"/><Relationship Id="rId177" Type="http://schemas.openxmlformats.org/officeDocument/2006/relationships/hyperlink" Target="https://www.coolermaster.com/catalog/power-supplies/v-series/v-sfx-platinum-1300/" TargetMode="External"/><Relationship Id="rId198" Type="http://schemas.openxmlformats.org/officeDocument/2006/relationships/hyperlink" Target="https://www.tomshardware.com/reviews/corsair-sf600-platinum-psu,5936.html" TargetMode="External"/><Relationship Id="rId197" Type="http://schemas.openxmlformats.org/officeDocument/2006/relationships/hyperlink" Target="https://www.greatwall.com.cn/" TargetMode="External"/><Relationship Id="rId196" Type="http://schemas.openxmlformats.org/officeDocument/2006/relationships/hyperlink" Target="https://www.cybenetics.com/d/cybenetics_cxE.pdf" TargetMode="External"/><Relationship Id="rId195" Type="http://schemas.openxmlformats.org/officeDocument/2006/relationships/hyperlink" Target="https://www.clearesult.com/80plus/sites/80plus/files/manufacturer-certificate/corsair-rps0112-%28cp9020182%29-%28sf600%29-2465.pdf" TargetMode="External"/><Relationship Id="rId199" Type="http://schemas.openxmlformats.org/officeDocument/2006/relationships/hyperlink" Target="https://www.corsair.com/us/en/p/psu/cp-9020186-na/sf-series-sf750-750-watt-80-plus-platinum-certified-high-performance-sfx-psu-cp-9020186-na" TargetMode="External"/><Relationship Id="rId150" Type="http://schemas.openxmlformats.org/officeDocument/2006/relationships/hyperlink" Target="https://www.clearesult.com/80plus/sites/80plus/files/manufacturer-certificate/cooler-master-mpy7501sfhagv-1461.pdf" TargetMode="External"/><Relationship Id="rId149" Type="http://schemas.openxmlformats.org/officeDocument/2006/relationships/hyperlink" Target="https://www.coolermaster.com/catalog/power-supplies/v-series/v-sfx-gold-750-atx-3-white-edition/" TargetMode="External"/><Relationship Id="rId148" Type="http://schemas.openxmlformats.org/officeDocument/2006/relationships/hyperlink" Target="https://www.coolermaster.com/" TargetMode="External"/><Relationship Id="rId143" Type="http://schemas.openxmlformats.org/officeDocument/2006/relationships/hyperlink" Target="http://www.gospower.com/" TargetMode="External"/><Relationship Id="rId142" Type="http://schemas.openxmlformats.org/officeDocument/2006/relationships/hyperlink" Target="https://www.cybenetics.com/d/cybenetics_VAT.pdf" TargetMode="External"/><Relationship Id="rId141" Type="http://schemas.openxmlformats.org/officeDocument/2006/relationships/hyperlink" Target="https://www.clearesult.com/80plus/sites/80plus/files/manufacturer-certificate/cooler-master-mpy7501sfhagv-1461.pdf" TargetMode="External"/><Relationship Id="rId140" Type="http://schemas.openxmlformats.org/officeDocument/2006/relationships/hyperlink" Target="https://www.coolermaster.com/catalog/power-supplies/v-series/v750-sfx-gold-white-edition/" TargetMode="External"/><Relationship Id="rId147" Type="http://schemas.openxmlformats.org/officeDocument/2006/relationships/hyperlink" Target="http://www.gospower.com/" TargetMode="External"/><Relationship Id="rId146" Type="http://schemas.openxmlformats.org/officeDocument/2006/relationships/hyperlink" Target="https://www.clearesult.com/80plus/sites/80plus/files/manufacturer-certificate/cooler-master-mpy7501sfhagv-1461.pdf" TargetMode="External"/><Relationship Id="rId145" Type="http://schemas.openxmlformats.org/officeDocument/2006/relationships/hyperlink" Target="https://www.coolermaster.com/catalog/power-supplies/v-series/v-sfx-gold-750-atx-3/" TargetMode="External"/><Relationship Id="rId144" Type="http://schemas.openxmlformats.org/officeDocument/2006/relationships/hyperlink" Target="https://www.coolermaster.com/" TargetMode="External"/><Relationship Id="rId139" Type="http://schemas.openxmlformats.org/officeDocument/2006/relationships/hyperlink" Target="https://www.coolermaster.com/" TargetMode="External"/><Relationship Id="rId138" Type="http://schemas.openxmlformats.org/officeDocument/2006/relationships/hyperlink" Target="http://www.gospower.com/" TargetMode="External"/><Relationship Id="rId137" Type="http://schemas.openxmlformats.org/officeDocument/2006/relationships/hyperlink" Target="https://www.cybenetics.com/d/cybenetics_VAT.pdf" TargetMode="External"/><Relationship Id="rId132" Type="http://schemas.openxmlformats.org/officeDocument/2006/relationships/hyperlink" Target="https://www.cybenetics.com/d/cybenetics_Ygl.pdf" TargetMode="External"/><Relationship Id="rId131" Type="http://schemas.openxmlformats.org/officeDocument/2006/relationships/hyperlink" Target="https://www.clearesult.com/80plus/sites/80plus/files/manufacturer-certificate/cooler-master-mpy6501sfhagv-1463.pdf" TargetMode="External"/><Relationship Id="rId130" Type="http://schemas.openxmlformats.org/officeDocument/2006/relationships/hyperlink" Target="https://www.coolermaster.com/catalog/power-supplies/v-series/v650-sfx-gold/" TargetMode="External"/><Relationship Id="rId136" Type="http://schemas.openxmlformats.org/officeDocument/2006/relationships/hyperlink" Target="https://www.clearesult.com/80plus/sites/80plus/files/manufacturer-certificate/cooler-master-mpy7501sfhagv-1461.pdf" TargetMode="External"/><Relationship Id="rId135" Type="http://schemas.openxmlformats.org/officeDocument/2006/relationships/hyperlink" Target="https://www.coolermaster.com/catalog/power-supplies/v-series/v750-sfx-gold/" TargetMode="External"/><Relationship Id="rId134" Type="http://schemas.openxmlformats.org/officeDocument/2006/relationships/hyperlink" Target="https://www.coolermaster.com/" TargetMode="External"/><Relationship Id="rId133" Type="http://schemas.openxmlformats.org/officeDocument/2006/relationships/hyperlink" Target="http://www.gospower.com/" TargetMode="External"/><Relationship Id="rId172" Type="http://schemas.openxmlformats.org/officeDocument/2006/relationships/hyperlink" Target="https://www.clearesult.com/80plus/sites/80plus/files/manufacturer-certificate/COOLER%20MASTER_MPZ-B001-SFAP_1100W_SOCE%206845_Report.pdf" TargetMode="External"/><Relationship Id="rId171" Type="http://schemas.openxmlformats.org/officeDocument/2006/relationships/hyperlink" Target="https://www.coolermaster.com/catalog/power-supplies/v-series/v-sfx-platinum-1100/" TargetMode="External"/><Relationship Id="rId170" Type="http://schemas.openxmlformats.org/officeDocument/2006/relationships/hyperlink" Target="https://www.coolermaster.com/" TargetMode="External"/><Relationship Id="rId165" Type="http://schemas.openxmlformats.org/officeDocument/2006/relationships/hyperlink" Target="http://www.gospower.com/" TargetMode="External"/><Relationship Id="rId164" Type="http://schemas.openxmlformats.org/officeDocument/2006/relationships/hyperlink" Target="https://www.clearesult.com/80plus/sites/80plus/files/manufacturer-certificate/cooler-master-mpy7501sfhagv-1461.pdf" TargetMode="External"/><Relationship Id="rId163" Type="http://schemas.openxmlformats.org/officeDocument/2006/relationships/hyperlink" Target="https://www.coolermaster.com/catalog/power-supplies/v-series/v-sfx-gold-850-atx-3/" TargetMode="External"/><Relationship Id="rId162" Type="http://schemas.openxmlformats.org/officeDocument/2006/relationships/hyperlink" Target="https://www.coolermaster.com/" TargetMode="External"/><Relationship Id="rId169" Type="http://schemas.openxmlformats.org/officeDocument/2006/relationships/hyperlink" Target="http://www.gospower.com/" TargetMode="External"/><Relationship Id="rId168" Type="http://schemas.openxmlformats.org/officeDocument/2006/relationships/hyperlink" Target="https://www.clearesult.com/80plus/sites/80plus/files/manufacturer-certificate/cooler-master-mpy7501sfhagv-1461.pdf" TargetMode="External"/><Relationship Id="rId167" Type="http://schemas.openxmlformats.org/officeDocument/2006/relationships/hyperlink" Target="https://www.coolermaster.com/catalog/power-supplies/v-series/v-sfx-gold-850-atx-3-white-edition/" TargetMode="External"/><Relationship Id="rId166" Type="http://schemas.openxmlformats.org/officeDocument/2006/relationships/hyperlink" Target="https://www.coolermaster.com/" TargetMode="External"/><Relationship Id="rId161" Type="http://schemas.openxmlformats.org/officeDocument/2006/relationships/hyperlink" Target="http://www.gospower.com/" TargetMode="External"/><Relationship Id="rId160" Type="http://schemas.openxmlformats.org/officeDocument/2006/relationships/hyperlink" Target="https://www.cybenetics.com/d/cybenetics_osd.pdf" TargetMode="External"/><Relationship Id="rId159" Type="http://schemas.openxmlformats.org/officeDocument/2006/relationships/hyperlink" Target="https://www.clearesult.com/80plus/sites/80plus/files/manufacturer-certificate/cooler-master-mpy8501sfhagv-1457.pdf" TargetMode="External"/><Relationship Id="rId154" Type="http://schemas.openxmlformats.org/officeDocument/2006/relationships/hyperlink" Target="https://www.clearesult.com/80plus/sites/80plus/files/manufacturer-certificate/cooler-master-mpy8501sfhagv-1457.pdf" TargetMode="External"/><Relationship Id="rId153" Type="http://schemas.openxmlformats.org/officeDocument/2006/relationships/hyperlink" Target="https://www.coolermaster.com/catalog/power-supplies/v-series/v850-sfx-gold/" TargetMode="External"/><Relationship Id="rId152" Type="http://schemas.openxmlformats.org/officeDocument/2006/relationships/hyperlink" Target="https://www.coolermaster.com/" TargetMode="External"/><Relationship Id="rId151" Type="http://schemas.openxmlformats.org/officeDocument/2006/relationships/hyperlink" Target="http://www.gospower.com/" TargetMode="External"/><Relationship Id="rId158" Type="http://schemas.openxmlformats.org/officeDocument/2006/relationships/hyperlink" Target="https://www.coolermaster.com/catalog/power-supplies/v-series/v850-sfx-gold-white-edition/" TargetMode="External"/><Relationship Id="rId157" Type="http://schemas.openxmlformats.org/officeDocument/2006/relationships/hyperlink" Target="https://www.coolermaster.com/" TargetMode="External"/><Relationship Id="rId156" Type="http://schemas.openxmlformats.org/officeDocument/2006/relationships/hyperlink" Target="http://www.gospower.com/" TargetMode="External"/><Relationship Id="rId155" Type="http://schemas.openxmlformats.org/officeDocument/2006/relationships/hyperlink" Target="https://www.cybenetics.com/d/cybenetics_osd.pdf" TargetMode="External"/><Relationship Id="rId107" Type="http://schemas.openxmlformats.org/officeDocument/2006/relationships/hyperlink" Target="https://www.clearesult.com/80plus/sites/80plus/files/manufacturer-certificate/be-quiet-sfx3300w-750.pdf" TargetMode="External"/><Relationship Id="rId106" Type="http://schemas.openxmlformats.org/officeDocument/2006/relationships/hyperlink" Target="https://www.bequiet.com/en/powersupply/2310" TargetMode="External"/><Relationship Id="rId105" Type="http://schemas.openxmlformats.org/officeDocument/2006/relationships/hyperlink" Target="https://www.bequiet.com/en/" TargetMode="External"/><Relationship Id="rId104" Type="http://schemas.openxmlformats.org/officeDocument/2006/relationships/hyperlink" Target="https://www.fsp-group.com/en/index.html" TargetMode="External"/><Relationship Id="rId109" Type="http://schemas.openxmlformats.org/officeDocument/2006/relationships/hyperlink" Target="https://www.bequiet.com/en/" TargetMode="External"/><Relationship Id="rId108" Type="http://schemas.openxmlformats.org/officeDocument/2006/relationships/hyperlink" Target="https://www.fsp-group.com/en/index.html" TargetMode="External"/><Relationship Id="rId103" Type="http://schemas.openxmlformats.org/officeDocument/2006/relationships/hyperlink" Target="https://www.clearesult.com/80plus/sites/80plus/files/manufacturer-certificate/be-quiet-sfx2400w-5627.pdf" TargetMode="External"/><Relationship Id="rId102" Type="http://schemas.openxmlformats.org/officeDocument/2006/relationships/hyperlink" Target="https://www.bequiet.com/en/" TargetMode="External"/><Relationship Id="rId101" Type="http://schemas.openxmlformats.org/officeDocument/2006/relationships/hyperlink" Target="https://www.fsp-group.com/en/index.html" TargetMode="External"/><Relationship Id="rId100" Type="http://schemas.openxmlformats.org/officeDocument/2006/relationships/hyperlink" Target="https://www.clearesult.com/80plus/sites/80plus/files/manufacturer-certificate/be-quiet-sfx2300w-8379.pdf" TargetMode="External"/><Relationship Id="rId129" Type="http://schemas.openxmlformats.org/officeDocument/2006/relationships/hyperlink" Target="https://www.coolermaster.com/" TargetMode="External"/><Relationship Id="rId128" Type="http://schemas.openxmlformats.org/officeDocument/2006/relationships/hyperlink" Target="http://www.gospower.com/" TargetMode="External"/><Relationship Id="rId127" Type="http://schemas.openxmlformats.org/officeDocument/2006/relationships/hyperlink" Target="https://www.cybenetics.com/d/cybenetics_PHg.pdf" TargetMode="External"/><Relationship Id="rId126" Type="http://schemas.openxmlformats.org/officeDocument/2006/relationships/hyperlink" Target="https://www.clearesult.com/80plus/sites/80plus/files/manufacturer-certificate/cooler-master-mpy5501sfhagv-1462.pdf" TargetMode="External"/><Relationship Id="rId121" Type="http://schemas.openxmlformats.org/officeDocument/2006/relationships/hyperlink" Target="https://www.cybenetics.com/d/cybenetics_wsc.pdf" TargetMode="External"/><Relationship Id="rId120" Type="http://schemas.openxmlformats.org/officeDocument/2006/relationships/hyperlink" Target="https://www.clearesult.com/80plus/sites/80plus/files/manufacturer-certificate/be-quiet-sfxl600w-3160.pdf" TargetMode="External"/><Relationship Id="rId125" Type="http://schemas.openxmlformats.org/officeDocument/2006/relationships/hyperlink" Target="https://www.coolermaster.com/catalog/power-supplies/v-series/v550-sfx-gold/" TargetMode="External"/><Relationship Id="rId124" Type="http://schemas.openxmlformats.org/officeDocument/2006/relationships/hyperlink" Target="https://www.coolermaster.com/" TargetMode="External"/><Relationship Id="rId123" Type="http://schemas.openxmlformats.org/officeDocument/2006/relationships/hyperlink" Target="https://www.tomshardware.com/reviews/be-quiet-sfx-l-power-600w-psu,5294.html" TargetMode="External"/><Relationship Id="rId122" Type="http://schemas.openxmlformats.org/officeDocument/2006/relationships/hyperlink" Target="http://www.highpower-tech.com/Global/" TargetMode="External"/><Relationship Id="rId118" Type="http://schemas.openxmlformats.org/officeDocument/2006/relationships/hyperlink" Target="https://www.bequiet.com/en/" TargetMode="External"/><Relationship Id="rId117" Type="http://schemas.openxmlformats.org/officeDocument/2006/relationships/hyperlink" Target="http://www.highpower-tech.com/Global/" TargetMode="External"/><Relationship Id="rId116" Type="http://schemas.openxmlformats.org/officeDocument/2006/relationships/hyperlink" Target="https://www.cybenetics.com/d/cybenetics_mbF.pdf" TargetMode="External"/><Relationship Id="rId115" Type="http://schemas.openxmlformats.org/officeDocument/2006/relationships/hyperlink" Target="https://www.clearesult.com/80plus/sites/80plus/files/manufacturer-certificate/be-quiet-sfxl500w-3159.pdf" TargetMode="External"/><Relationship Id="rId119" Type="http://schemas.openxmlformats.org/officeDocument/2006/relationships/hyperlink" Target="https://www.bequiet.com/en/powersupply/1553" TargetMode="External"/><Relationship Id="rId110" Type="http://schemas.openxmlformats.org/officeDocument/2006/relationships/hyperlink" Target="https://www.bequiet.com/en/powersupply/2309" TargetMode="External"/><Relationship Id="rId114" Type="http://schemas.openxmlformats.org/officeDocument/2006/relationships/hyperlink" Target="https://www.bequiet.com/en/powersupply/1555" TargetMode="External"/><Relationship Id="rId113" Type="http://schemas.openxmlformats.org/officeDocument/2006/relationships/hyperlink" Target="https://www.bequiet.com/en/" TargetMode="External"/><Relationship Id="rId112" Type="http://schemas.openxmlformats.org/officeDocument/2006/relationships/hyperlink" Target="https://www.fsp-group.com/en/index.html" TargetMode="External"/><Relationship Id="rId111" Type="http://schemas.openxmlformats.org/officeDocument/2006/relationships/hyperlink" Target="https://www.clearesult.com/80plus/sites/80plus/files/manufacturer-certificate/be-quiet-sfx3450w-749.pdf"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ww.amd.com/en/products/apu/amd-ryzen-5-4600g" TargetMode="External"/><Relationship Id="rId42" Type="http://schemas.openxmlformats.org/officeDocument/2006/relationships/hyperlink" Target="https://www.amd.com/en/products/apu/amd-ryzen-5-pro-4650g" TargetMode="External"/><Relationship Id="rId41" Type="http://schemas.openxmlformats.org/officeDocument/2006/relationships/hyperlink" Target="https://www.amd.com/en/products/apu/amd-ryzen-5-pro-4650ge" TargetMode="External"/><Relationship Id="rId44" Type="http://schemas.openxmlformats.org/officeDocument/2006/relationships/hyperlink" Target="https://www.amd.com/en/products/apu/amd-ryzen-7-4700g" TargetMode="External"/><Relationship Id="rId43" Type="http://schemas.openxmlformats.org/officeDocument/2006/relationships/hyperlink" Target="https://www.amd.com/en/products/apu/amd-ryzen-7-4700ge" TargetMode="External"/><Relationship Id="rId46" Type="http://schemas.openxmlformats.org/officeDocument/2006/relationships/hyperlink" Target="https://www.amd.com/en/products/apu/amd-ryzen-7-pro-4750g" TargetMode="External"/><Relationship Id="rId45" Type="http://schemas.openxmlformats.org/officeDocument/2006/relationships/hyperlink" Target="https://www.amd.com/en/products/apu/amd-ryzen-7-pro-4750ge" TargetMode="External"/><Relationship Id="rId48" Type="http://schemas.openxmlformats.org/officeDocument/2006/relationships/hyperlink" Target="https://www.amd.com/en/products/apu/amd-ryzen-3-5300g" TargetMode="External"/><Relationship Id="rId47" Type="http://schemas.openxmlformats.org/officeDocument/2006/relationships/hyperlink" Target="https://www.amd.com/en/products/apu/amd-ryzen-3-5300ge" TargetMode="External"/><Relationship Id="rId49" Type="http://schemas.openxmlformats.org/officeDocument/2006/relationships/hyperlink" Target="https://www.amd.com/en/products/apu/amd-ryzen-3-pro-5350ge" TargetMode="External"/><Relationship Id="rId31" Type="http://schemas.openxmlformats.org/officeDocument/2006/relationships/hyperlink" Target="https://www.amd.com/en/products/cpu/amd-ryzen-9-pro-3900" TargetMode="External"/><Relationship Id="rId30" Type="http://schemas.openxmlformats.org/officeDocument/2006/relationships/hyperlink" Target="https://www.amd.com/en/products/cpu/amd-ryzen-7-3800xt" TargetMode="External"/><Relationship Id="rId33" Type="http://schemas.openxmlformats.org/officeDocument/2006/relationships/hyperlink" Target="https://www.amd.com/en/product/11821" TargetMode="External"/><Relationship Id="rId32" Type="http://schemas.openxmlformats.org/officeDocument/2006/relationships/hyperlink" Target="https://www.amd.com/en/products/cpu/amd-ryzen-9-3900xt" TargetMode="External"/><Relationship Id="rId35" Type="http://schemas.openxmlformats.org/officeDocument/2006/relationships/hyperlink" Target="https://www.amd.com/en/products/apu/amd-ryzen-3-4300g" TargetMode="External"/><Relationship Id="rId34" Type="http://schemas.openxmlformats.org/officeDocument/2006/relationships/hyperlink" Target="https://www.amd.com/en/products/apu/amd-ryzen-3-4300ge" TargetMode="External"/><Relationship Id="rId37" Type="http://schemas.openxmlformats.org/officeDocument/2006/relationships/hyperlink" Target="https://www.amd.com/en/products/apu/amd-ryzen-3-pro-4350g" TargetMode="External"/><Relationship Id="rId36" Type="http://schemas.openxmlformats.org/officeDocument/2006/relationships/hyperlink" Target="https://www.amd.com/en/products/apu/amd-ryzen-3-pro-4350ge" TargetMode="External"/><Relationship Id="rId39" Type="http://schemas.openxmlformats.org/officeDocument/2006/relationships/hyperlink" Target="https://www.amd.com/en/products/apu/amd-ryzen-5-4600ge" TargetMode="External"/><Relationship Id="rId38" Type="http://schemas.openxmlformats.org/officeDocument/2006/relationships/hyperlink" Target="https://www.amd.com/en/product/11816" TargetMode="External"/><Relationship Id="rId20" Type="http://schemas.openxmlformats.org/officeDocument/2006/relationships/hyperlink" Target="https://www.amd.com/en/products/apu/amd-athlon-gold-3150g" TargetMode="External"/><Relationship Id="rId22" Type="http://schemas.openxmlformats.org/officeDocument/2006/relationships/hyperlink" Target="https://www.amd.com/en/products/apu/amd-ryzen-3-pro-3200g" TargetMode="External"/><Relationship Id="rId21" Type="http://schemas.openxmlformats.org/officeDocument/2006/relationships/hyperlink" Target="https://www.amd.com/en/products/apu/amd-ryzen-3-pro-3200ge" TargetMode="External"/><Relationship Id="rId24" Type="http://schemas.openxmlformats.org/officeDocument/2006/relationships/hyperlink" Target="https://www.amd.com/en/products/apu/amd-ryzen-5-pro-3400ge" TargetMode="External"/><Relationship Id="rId23" Type="http://schemas.openxmlformats.org/officeDocument/2006/relationships/hyperlink" Target="https://www.amd.com/en/products/apu/amd-ryzen-5-pro-3350g" TargetMode="External"/><Relationship Id="rId26" Type="http://schemas.openxmlformats.org/officeDocument/2006/relationships/hyperlink" Target="https://www.amd.com/en/product/8981" TargetMode="External"/><Relationship Id="rId25" Type="http://schemas.openxmlformats.org/officeDocument/2006/relationships/hyperlink" Target="https://www.amd.com/en/products/apu/amd-ryzen-5-pro-3400g" TargetMode="External"/><Relationship Id="rId28" Type="http://schemas.openxmlformats.org/officeDocument/2006/relationships/hyperlink" Target="https://www.amd.com/en/products/cpu/amd-ryzen-5-3600xt" TargetMode="External"/><Relationship Id="rId27" Type="http://schemas.openxmlformats.org/officeDocument/2006/relationships/hyperlink" Target="https://www.amd.com/en/products/cpu/amd-ryzen-5-pro-3600" TargetMode="External"/><Relationship Id="rId29" Type="http://schemas.openxmlformats.org/officeDocument/2006/relationships/hyperlink" Target="https://www.amd.com/en/products/cpu/amd-ryzen-7-pro-3700" TargetMode="External"/><Relationship Id="rId11" Type="http://schemas.openxmlformats.org/officeDocument/2006/relationships/hyperlink" Target="https://www.amd.com/en/product/1221" TargetMode="External"/><Relationship Id="rId10" Type="http://schemas.openxmlformats.org/officeDocument/2006/relationships/hyperlink" Target="https://www.amd.com/en/product/1226" TargetMode="External"/><Relationship Id="rId13" Type="http://schemas.openxmlformats.org/officeDocument/2006/relationships/hyperlink" Target="https://www.amd.com/en/product/7776" TargetMode="External"/><Relationship Id="rId12" Type="http://schemas.openxmlformats.org/officeDocument/2006/relationships/hyperlink" Target="https://www.amd.com/en/product/7781" TargetMode="External"/><Relationship Id="rId15" Type="http://schemas.openxmlformats.org/officeDocument/2006/relationships/hyperlink" Target="https://www.amd.com/en/product/7786" TargetMode="External"/><Relationship Id="rId14" Type="http://schemas.openxmlformats.org/officeDocument/2006/relationships/hyperlink" Target="https://www.amd.com/en/product/7226" TargetMode="External"/><Relationship Id="rId17" Type="http://schemas.openxmlformats.org/officeDocument/2006/relationships/hyperlink" Target="https://www.amd.com/en/product/7221" TargetMode="External"/><Relationship Id="rId16" Type="http://schemas.openxmlformats.org/officeDocument/2006/relationships/hyperlink" Target="https://www.amd.com/en/product/7771" TargetMode="External"/><Relationship Id="rId19" Type="http://schemas.openxmlformats.org/officeDocument/2006/relationships/hyperlink" Target="https://www.amd.com/en/products/apu/amd-athlon-gold-3150ge" TargetMode="External"/><Relationship Id="rId18" Type="http://schemas.openxmlformats.org/officeDocument/2006/relationships/hyperlink" Target="https://www.amd.com/en/products/apu/amd-athlon-silver-3050ge" TargetMode="External"/><Relationship Id="rId84" Type="http://schemas.openxmlformats.org/officeDocument/2006/relationships/hyperlink" Target="https://www.amd.com/en/product/14091" TargetMode="External"/><Relationship Id="rId83" Type="http://schemas.openxmlformats.org/officeDocument/2006/relationships/hyperlink" Target="https://www.amd.com/en/product/12741" TargetMode="External"/><Relationship Id="rId86" Type="http://schemas.openxmlformats.org/officeDocument/2006/relationships/hyperlink" Target="https://www.amd.com/en/product/14086" TargetMode="External"/><Relationship Id="rId85" Type="http://schemas.openxmlformats.org/officeDocument/2006/relationships/hyperlink" Target="https://www.amd.com/en/products/processors/desktops/ryzen/8000-series/amd-ryzen-5-8400f.html" TargetMode="External"/><Relationship Id="rId88" Type="http://schemas.openxmlformats.org/officeDocument/2006/relationships/hyperlink" Target="https://www.amd.com/en/products/processors/desktops/ryzen/8000-series/amd-ryzen-7-8700f.html" TargetMode="External"/><Relationship Id="rId87" Type="http://schemas.openxmlformats.org/officeDocument/2006/relationships/hyperlink" Target="https://www.amd.com/en/product/14071" TargetMode="External"/><Relationship Id="rId89" Type="http://schemas.openxmlformats.org/officeDocument/2006/relationships/hyperlink" Target="https://www.amd.com/en/product/14066" TargetMode="External"/><Relationship Id="rId80" Type="http://schemas.openxmlformats.org/officeDocument/2006/relationships/hyperlink" Target="https://www.amd.com/en/product/12736" TargetMode="External"/><Relationship Id="rId82" Type="http://schemas.openxmlformats.org/officeDocument/2006/relationships/hyperlink" Target="https://www.amd.com/en/products/cpu/amd-ryzen-9-7950x" TargetMode="External"/><Relationship Id="rId81" Type="http://schemas.openxmlformats.org/officeDocument/2006/relationships/hyperlink" Target="https://www.amd.com/en/product/13496" TargetMode="External"/><Relationship Id="rId73" Type="http://schemas.openxmlformats.org/officeDocument/2006/relationships/hyperlink" Target="https://www.amd.com/en/product/13506" TargetMode="External"/><Relationship Id="rId72" Type="http://schemas.openxmlformats.org/officeDocument/2006/relationships/hyperlink" Target="https://www.amd.com/en/products/cpu/amd-ryzen-5-7600x" TargetMode="External"/><Relationship Id="rId75" Type="http://schemas.openxmlformats.org/officeDocument/2006/relationships/hyperlink" Target="https://www.amd.com/en/products/cpu/amd-ryzen-7-7700x" TargetMode="External"/><Relationship Id="rId74" Type="http://schemas.openxmlformats.org/officeDocument/2006/relationships/hyperlink" Target="https://www.amd.com/en/product/12751" TargetMode="External"/><Relationship Id="rId77" Type="http://schemas.openxmlformats.org/officeDocument/2006/relationships/hyperlink" Target="https://www.amd.com/en/product/12731" TargetMode="External"/><Relationship Id="rId76" Type="http://schemas.openxmlformats.org/officeDocument/2006/relationships/hyperlink" Target="https://www.amd.com/en/product/13501" TargetMode="External"/><Relationship Id="rId79" Type="http://schemas.openxmlformats.org/officeDocument/2006/relationships/hyperlink" Target="https://www.amd.com/en/products/cpu/amd-ryzen-9-7900x" TargetMode="External"/><Relationship Id="rId78" Type="http://schemas.openxmlformats.org/officeDocument/2006/relationships/hyperlink" Target="https://www.amd.com/en/product/12746" TargetMode="External"/><Relationship Id="rId71" Type="http://schemas.openxmlformats.org/officeDocument/2006/relationships/hyperlink" Target="https://www.amd.com/en/product/12756" TargetMode="External"/><Relationship Id="rId70" Type="http://schemas.openxmlformats.org/officeDocument/2006/relationships/hyperlink" Target="https://www.amd.com/en/products/cpu/amd-ryzen-5-7500f" TargetMode="External"/><Relationship Id="rId62" Type="http://schemas.openxmlformats.org/officeDocument/2006/relationships/hyperlink" Target="https://www.amd.com/en/products/apu/amd-ryzen-7-pro-5750ge" TargetMode="External"/><Relationship Id="rId61" Type="http://schemas.openxmlformats.org/officeDocument/2006/relationships/hyperlink" Target="https://www.amd.com/en/product/11826" TargetMode="External"/><Relationship Id="rId64" Type="http://schemas.openxmlformats.org/officeDocument/2006/relationships/hyperlink" Target="https://www.amd.com/en/products/cpu/amd-ryzen-7-5800" TargetMode="External"/><Relationship Id="rId63" Type="http://schemas.openxmlformats.org/officeDocument/2006/relationships/hyperlink" Target="https://www.amd.com/en/products/apu/amd-ryzen-7-pro-5750g" TargetMode="External"/><Relationship Id="rId66" Type="http://schemas.openxmlformats.org/officeDocument/2006/relationships/hyperlink" Target="https://www.amd.com/en/product/11576" TargetMode="External"/><Relationship Id="rId65" Type="http://schemas.openxmlformats.org/officeDocument/2006/relationships/hyperlink" Target="https://www.amd.com/en/products/cpu/amd-ryzen-7-5800x" TargetMode="External"/><Relationship Id="rId68" Type="http://schemas.openxmlformats.org/officeDocument/2006/relationships/hyperlink" Target="https://www.amd.com/en/products/cpu/amd-ryzen-9-5900x" TargetMode="External"/><Relationship Id="rId67" Type="http://schemas.openxmlformats.org/officeDocument/2006/relationships/hyperlink" Target="https://www.amd.com/en/products/cpu/amd-ryzen-9-5900" TargetMode="External"/><Relationship Id="rId60" Type="http://schemas.openxmlformats.org/officeDocument/2006/relationships/hyperlink" Target="https://www.amd.com/en/products/apu/amd-ryzen-7-5700g" TargetMode="External"/><Relationship Id="rId69" Type="http://schemas.openxmlformats.org/officeDocument/2006/relationships/hyperlink" Target="https://www.amd.com/en/products/cpu/amd-ryzen-9-5950x" TargetMode="External"/><Relationship Id="rId51" Type="http://schemas.openxmlformats.org/officeDocument/2006/relationships/hyperlink" Target="https://www.amd.com/en/product/11811" TargetMode="External"/><Relationship Id="rId50" Type="http://schemas.openxmlformats.org/officeDocument/2006/relationships/hyperlink" Target="https://www.amd.com/en/products/apu/amd-ryzen-3-pro-5350g" TargetMode="External"/><Relationship Id="rId53" Type="http://schemas.openxmlformats.org/officeDocument/2006/relationships/hyperlink" Target="https://www.amd.com/en/products/apu/amd-ryzen-5-5600ge" TargetMode="External"/><Relationship Id="rId52" Type="http://schemas.openxmlformats.org/officeDocument/2006/relationships/hyperlink" Target="https://www.amd.com/en/product/11831" TargetMode="External"/><Relationship Id="rId55" Type="http://schemas.openxmlformats.org/officeDocument/2006/relationships/hyperlink" Target="https://www.amd.com/en/products/cpu/amd-ryzen-5-5600x" TargetMode="External"/><Relationship Id="rId54" Type="http://schemas.openxmlformats.org/officeDocument/2006/relationships/hyperlink" Target="https://www.amd.com/en/products/apu/amd-ryzen-5-5600g" TargetMode="External"/><Relationship Id="rId57" Type="http://schemas.openxmlformats.org/officeDocument/2006/relationships/hyperlink" Target="https://www.amd.com/en/products/apu/amd-ryzen-5-pro-5650ge" TargetMode="External"/><Relationship Id="rId56" Type="http://schemas.openxmlformats.org/officeDocument/2006/relationships/hyperlink" Target="https://www.amd.com/en/product/13541" TargetMode="External"/><Relationship Id="rId59" Type="http://schemas.openxmlformats.org/officeDocument/2006/relationships/hyperlink" Target="https://www.amd.com/en/products/apu/amd-ryzen-7-5700ge" TargetMode="External"/><Relationship Id="rId58" Type="http://schemas.openxmlformats.org/officeDocument/2006/relationships/hyperlink" Target="https://www.amd.com/en/products/apu/amd-ryzen-5-pro-5650g" TargetMode="External"/><Relationship Id="rId95" Type="http://schemas.openxmlformats.org/officeDocument/2006/relationships/hyperlink" Target="https://ark.intel.com/content/www/us/en/ark/products/201899/intel-celeron-processor-g5905-4m-cache-3-50-ghz.html" TargetMode="External"/><Relationship Id="rId94" Type="http://schemas.openxmlformats.org/officeDocument/2006/relationships/hyperlink" Target="https://ark.intel.com/content/www/us/en/ark/products/201886/intel-celeron-processor-g5905t-4m-cache-3-30-ghz.html" TargetMode="External"/><Relationship Id="rId97" Type="http://schemas.openxmlformats.org/officeDocument/2006/relationships/hyperlink" Target="https://ark.intel.com/content/www/us/en/ark/products/201900/intel-pentium-gold-g6405t-processor-4m-cache-3-50-ghz.html" TargetMode="External"/><Relationship Id="rId96" Type="http://schemas.openxmlformats.org/officeDocument/2006/relationships/hyperlink" Target="https://ark.intel.com/content/www/us/en/ark/products/201887/intel-celeron-processor-g5925-4m-cache-3-60-ghz.html" TargetMode="External"/><Relationship Id="rId99" Type="http://schemas.openxmlformats.org/officeDocument/2006/relationships/hyperlink" Target="https://ark.intel.com/content/www/us/en/ark/products/201903/intel-pentium-gold-g6505t-processor-4m-cache-3-60-ghz.html" TargetMode="External"/><Relationship Id="rId98" Type="http://schemas.openxmlformats.org/officeDocument/2006/relationships/hyperlink" Target="https://ark.intel.com/content/www/us/en/ark/products/201901/intel-pentium-gold-g6405-processor-4m-cache-4-10-ghz.html" TargetMode="External"/><Relationship Id="rId91" Type="http://schemas.openxmlformats.org/officeDocument/2006/relationships/hyperlink" Target="https://www.amd.com/en/products/processors/desktops/ryzen/9000-series/amd-ryzen-7-9700x.html" TargetMode="External"/><Relationship Id="rId90" Type="http://schemas.openxmlformats.org/officeDocument/2006/relationships/hyperlink" Target="https://www.amd.com/en/products/processors/desktops/ryzen/9000-series/amd-ryzen-5-9600x.html" TargetMode="External"/><Relationship Id="rId93" Type="http://schemas.openxmlformats.org/officeDocument/2006/relationships/hyperlink" Target="https://www.amd.com/en/products/processors/desktops/ryzen/9000-series/amd-ryzen-9-9950x.html" TargetMode="External"/><Relationship Id="rId92" Type="http://schemas.openxmlformats.org/officeDocument/2006/relationships/hyperlink" Target="https://www.amd.com/en/products/processors/desktops/ryzen/9000-series/amd-ryzen-9-9900x.html" TargetMode="External"/><Relationship Id="rId206" Type="http://schemas.openxmlformats.org/officeDocument/2006/relationships/hyperlink" Target="https://ark.intel.com/content/www/us/en/ark/products/237504/intel-core-i9-processor-14900ks-36m-cache-up-to-6-20-ghz.html" TargetMode="External"/><Relationship Id="rId205" Type="http://schemas.openxmlformats.org/officeDocument/2006/relationships/hyperlink" Target="https://ark.intel.com/content/www/us/en/ark/products/236773.html" TargetMode="External"/><Relationship Id="rId204" Type="http://schemas.openxmlformats.org/officeDocument/2006/relationships/hyperlink" Target="https://ark.intel.com/content/www/us/en/ark/products/236787.html" TargetMode="External"/><Relationship Id="rId203" Type="http://schemas.openxmlformats.org/officeDocument/2006/relationships/hyperlink" Target="https://ark.intel.com/content/www/us/en/ark/products/236793/intel-core-i9-processor-14900-36m-cache-up-to-5-80-ghz.html" TargetMode="External"/><Relationship Id="rId208" Type="http://schemas.openxmlformats.org/officeDocument/2006/relationships/vmlDrawing" Target="../drawings/vmlDrawing16.vml"/><Relationship Id="rId207" Type="http://schemas.openxmlformats.org/officeDocument/2006/relationships/drawing" Target="../drawings/drawing19.xml"/><Relationship Id="rId202" Type="http://schemas.openxmlformats.org/officeDocument/2006/relationships/hyperlink" Target="https://ark.intel.com/content/www/us/en/ark/products/236853/intel-core-i9-processor-14900f-36m-cache-up-to-5-80-ghz.html" TargetMode="External"/><Relationship Id="rId201" Type="http://schemas.openxmlformats.org/officeDocument/2006/relationships/hyperlink" Target="https://ark.intel.com/content/www/us/en/ark/products/236791/intel-core-i9-processor-14900t-36m-cache-up-to-5-50-ghz.html" TargetMode="External"/><Relationship Id="rId200" Type="http://schemas.openxmlformats.org/officeDocument/2006/relationships/hyperlink" Target="https://ark.intel.com/content/www/us/en/ark/products/236783.html" TargetMode="External"/><Relationship Id="rId1" Type="http://schemas.openxmlformats.org/officeDocument/2006/relationships/comments" Target="../comments16.xml"/><Relationship Id="rId2" Type="http://schemas.openxmlformats.org/officeDocument/2006/relationships/hyperlink" Target="https://www.amd.com/en/product/2046" TargetMode="External"/><Relationship Id="rId3" Type="http://schemas.openxmlformats.org/officeDocument/2006/relationships/hyperlink" Target="https://www.amd.com/en/product/2041" TargetMode="External"/><Relationship Id="rId4" Type="http://schemas.openxmlformats.org/officeDocument/2006/relationships/hyperlink" Target="https://www.amd.com/en/product/1231" TargetMode="External"/><Relationship Id="rId9" Type="http://schemas.openxmlformats.org/officeDocument/2006/relationships/hyperlink" Target="https://www.amd.com/en/product/1216" TargetMode="External"/><Relationship Id="rId5" Type="http://schemas.openxmlformats.org/officeDocument/2006/relationships/hyperlink" Target="https://www.amd.com/en/product/1236" TargetMode="External"/><Relationship Id="rId6" Type="http://schemas.openxmlformats.org/officeDocument/2006/relationships/hyperlink" Target="https://www.amd.com/en/product/1241" TargetMode="External"/><Relationship Id="rId7" Type="http://schemas.openxmlformats.org/officeDocument/2006/relationships/hyperlink" Target="https://www.amd.com/en/product/9121" TargetMode="External"/><Relationship Id="rId8" Type="http://schemas.openxmlformats.org/officeDocument/2006/relationships/hyperlink" Target="https://www.amd.com/en/product/1246" TargetMode="External"/><Relationship Id="rId190" Type="http://schemas.openxmlformats.org/officeDocument/2006/relationships/hyperlink" Target="https://ark.intel.com/content/www/us/en/ark/products/236780/intel-core-i5-processor-14500t-24m-cache-up-to-4-80-ghz.html" TargetMode="External"/><Relationship Id="rId194" Type="http://schemas.openxmlformats.org/officeDocument/2006/relationships/hyperlink" Target="https://ark.intel.com/content/www/us/en/ark/products/236778.html" TargetMode="External"/><Relationship Id="rId193" Type="http://schemas.openxmlformats.org/officeDocument/2006/relationships/hyperlink" Target="https://ark.intel.com/content/www/us/en/ark/products/236845/intel-core-i5-processor-14600-24m-cache-up-to-5-20-ghz.html" TargetMode="External"/><Relationship Id="rId192" Type="http://schemas.openxmlformats.org/officeDocument/2006/relationships/hyperlink" Target="https://ark.intel.com/content/www/us/en/ark/products/236782/intel-core-i5-processor-14600t-24m-cache-up-to-5-00-ghz.html" TargetMode="External"/><Relationship Id="rId191" Type="http://schemas.openxmlformats.org/officeDocument/2006/relationships/hyperlink" Target="https://ark.intel.com/content/www/us/en/ark/products/236784/intel-core-i5-processor-14500-24m-cache-up-to-5-00-ghz.html" TargetMode="External"/><Relationship Id="rId187" Type="http://schemas.openxmlformats.org/officeDocument/2006/relationships/hyperlink" Target="https://ark.intel.com/content/www/us/en/ark/products/236790/intel-core-i5-processor-14400t-20m-cache-up-to-4-50-ghz.html" TargetMode="External"/><Relationship Id="rId186" Type="http://schemas.openxmlformats.org/officeDocument/2006/relationships/hyperlink" Target="https://ark.intel.com/content/www/us/en/ark/products/236774/intel-core-i3-processor-14100-12m-cache-up-to-4-70-ghz.html" TargetMode="External"/><Relationship Id="rId185" Type="http://schemas.openxmlformats.org/officeDocument/2006/relationships/hyperlink" Target="https://ark.intel.com/content/www/us/en/ark/products/236786/intel-core-i3-processor-14100f-12m-cache-up-to-4-70-ghz.html" TargetMode="External"/><Relationship Id="rId184" Type="http://schemas.openxmlformats.org/officeDocument/2006/relationships/hyperlink" Target="https://ark.intel.com/content/www/us/en/ark/products/236775/intel-core-i3-processor-14100t-12m-cache-up-to-4-40-ghz.html" TargetMode="External"/><Relationship Id="rId189" Type="http://schemas.openxmlformats.org/officeDocument/2006/relationships/hyperlink" Target="https://ark.intel.com/content/www/us/en/ark/products/236788/intel-core-i5-processor-14400-20m-cache-up-to-4-70-ghz.html" TargetMode="External"/><Relationship Id="rId188" Type="http://schemas.openxmlformats.org/officeDocument/2006/relationships/hyperlink" Target="https://ark.intel.com/content/www/us/en/ark/products/236777/intel-core-i5-processor-14400f-20m-cache-up-to-4-70-ghz.html" TargetMode="External"/><Relationship Id="rId183" Type="http://schemas.openxmlformats.org/officeDocument/2006/relationships/hyperlink" Target="https://ark.intel.com/content/www/us/en/ark/products/236846/intel-processor-300-6m-cache-up-to-3-90-ghz.html" TargetMode="External"/><Relationship Id="rId182" Type="http://schemas.openxmlformats.org/officeDocument/2006/relationships/hyperlink" Target="https://ark.intel.com/content/www/us/en/ark/products/236852/intel-processor-300t-6m-cache-up-to-3-40-ghz.html" TargetMode="External"/><Relationship Id="rId181" Type="http://schemas.openxmlformats.org/officeDocument/2006/relationships/hyperlink" Target="https://ark.intel.com/content/www/us/en/ark/products/232167/intel-core-i913900ks-processor-36m-cache-up-to-6-00-ghz.html" TargetMode="External"/><Relationship Id="rId180" Type="http://schemas.openxmlformats.org/officeDocument/2006/relationships/hyperlink" Target="https://ark.intel.com/content/www/us/en/ark/products/230496/intel-core-i913900k-processor-36m-cache-up-to-5-80-ghz.html" TargetMode="External"/><Relationship Id="rId176" Type="http://schemas.openxmlformats.org/officeDocument/2006/relationships/hyperlink" Target="https://ark.intel.com/content/www/us/en/ark/products/230498/intel-core-i913900t-processor-36m-cache-up-to-5-30-ghz.html" TargetMode="External"/><Relationship Id="rId175" Type="http://schemas.openxmlformats.org/officeDocument/2006/relationships/hyperlink" Target="https://ark.intel.com/content/www/us/en/ark/products/230500/intel-core-i713700k-processor-30m-cache-up-to-5-40-ghz.html" TargetMode="External"/><Relationship Id="rId174" Type="http://schemas.openxmlformats.org/officeDocument/2006/relationships/hyperlink" Target="https://ark.intel.com/content/www/us/en/ark/products/230489/intel-core-i713700kf-processor-30m-cache-up-to-5-40-ghz.html" TargetMode="External"/><Relationship Id="rId173" Type="http://schemas.openxmlformats.org/officeDocument/2006/relationships/hyperlink" Target="https://ark.intel.com/content/www/us/en/ark/products/230490/intel-core-i713700-processor-30m-cache-up-to-5-20-ghz.html" TargetMode="External"/><Relationship Id="rId179" Type="http://schemas.openxmlformats.org/officeDocument/2006/relationships/hyperlink" Target="https://ark.intel.com/content/www/us/en/ark/products/230497/intel-core-i913900kf-processor-36m-cache-up-to-5-80-ghz.html" TargetMode="External"/><Relationship Id="rId178" Type="http://schemas.openxmlformats.org/officeDocument/2006/relationships/hyperlink" Target="https://ark.intel.com/content/www/us/en/ark/products/230499/intel-core-i913900-processor-36m-cache-up-to-5-60-ghz.html" TargetMode="External"/><Relationship Id="rId177" Type="http://schemas.openxmlformats.org/officeDocument/2006/relationships/hyperlink" Target="https://ark.intel.com/content/www/us/en/ark/products/230502/intel-core-i913900f-processor-36m-cache-up-to-5-60-ghz.html" TargetMode="External"/><Relationship Id="rId198" Type="http://schemas.openxmlformats.org/officeDocument/2006/relationships/hyperlink" Target="https://ark.intel.com/content/www/us/en/ark/products/236781/intel-core-i7-processor-14700-33m-cache-up-to-5-40-ghz.html" TargetMode="External"/><Relationship Id="rId197" Type="http://schemas.openxmlformats.org/officeDocument/2006/relationships/hyperlink" Target="https://ark.intel.com/content/www/us/en/ark/products/236854/intel-core-i7-processor-14700f-33m-cache-up-to-5-40-ghz.html" TargetMode="External"/><Relationship Id="rId196" Type="http://schemas.openxmlformats.org/officeDocument/2006/relationships/hyperlink" Target="https://ark.intel.com/content/www/us/en/ark/products/236794/intel-core-i7-processor-14700t-33m-cache-up-to-5-20-ghz.html" TargetMode="External"/><Relationship Id="rId195" Type="http://schemas.openxmlformats.org/officeDocument/2006/relationships/hyperlink" Target="https://ark.intel.com/content/www/us/en/ark/products/236799.html" TargetMode="External"/><Relationship Id="rId199" Type="http://schemas.openxmlformats.org/officeDocument/2006/relationships/hyperlink" Target="https://ark.intel.com/content/www/us/en/ark/products/236789.html" TargetMode="External"/><Relationship Id="rId150" Type="http://schemas.openxmlformats.org/officeDocument/2006/relationships/hyperlink" Target="https://ark.intel.com/content/www/us/en/ark/products/134591/intel-core-i712700-processor-25m-cache-up-to-4-90-ghz.html" TargetMode="External"/><Relationship Id="rId149" Type="http://schemas.openxmlformats.org/officeDocument/2006/relationships/hyperlink" Target="https://ark.intel.com/content/www/us/en/ark/products/134592/intel-core-i712700f-processor-25m-cache-up-to-4-90-ghz.html" TargetMode="External"/><Relationship Id="rId148" Type="http://schemas.openxmlformats.org/officeDocument/2006/relationships/hyperlink" Target="https://ark.intel.com/content/www/us/en/ark/products/134596/intel-core-i712700t-processor-25m-cache-up-to-4-70-ghz.html" TargetMode="External"/><Relationship Id="rId143" Type="http://schemas.openxmlformats.org/officeDocument/2006/relationships/hyperlink" Target="https://ark.intel.com/content/www/us/en/ark/products/96144/intel-core-i512500-processor-18m-cache-up-to-4-60-ghz.html" TargetMode="External"/><Relationship Id="rId142" Type="http://schemas.openxmlformats.org/officeDocument/2006/relationships/hyperlink" Target="https://ark.intel.com/content/www/us/en/ark/products/96140/intel-core-i512500t-processor-18m-cache-up-to-4-40-ghz.html" TargetMode="External"/><Relationship Id="rId141" Type="http://schemas.openxmlformats.org/officeDocument/2006/relationships/hyperlink" Target="https://ark.intel.com/content/www/us/en/ark/products/134586/intel-core-i512400-processor-18m-cache-up-to-4-40-ghz.html" TargetMode="External"/><Relationship Id="rId140" Type="http://schemas.openxmlformats.org/officeDocument/2006/relationships/hyperlink" Target="https://ark.intel.com/content/www/us/en/ark/products/134587/intel-core-i512400f-processor-18m-cache-up-to-4-40-ghz.html" TargetMode="External"/><Relationship Id="rId147" Type="http://schemas.openxmlformats.org/officeDocument/2006/relationships/hyperlink" Target="https://ark.intel.com/content/www/us/en/ark/products/134589/intel-core-i512600k-processor-20m-cache-up-to-4-90-ghz.html" TargetMode="External"/><Relationship Id="rId146" Type="http://schemas.openxmlformats.org/officeDocument/2006/relationships/hyperlink" Target="https://ark.intel.com/content/www/us/en/ark/products/134590/intel-core-i512600kf-processor-20m-cache-up-to-4-90-ghz.html" TargetMode="External"/><Relationship Id="rId145" Type="http://schemas.openxmlformats.org/officeDocument/2006/relationships/hyperlink" Target="https://ark.intel.com/content/www/us/en/ark/products/96149/intel-core-i512600-processor-18m-cache-up-to-4-80-ghz.html" TargetMode="External"/><Relationship Id="rId144" Type="http://schemas.openxmlformats.org/officeDocument/2006/relationships/hyperlink" Target="https://ark.intel.com/content/www/us/en/ark/products/96150/intel-core-i512600t-processor-18m-cache-up-to-4-60-ghz.html" TargetMode="External"/><Relationship Id="rId139" Type="http://schemas.openxmlformats.org/officeDocument/2006/relationships/hyperlink" Target="https://ark.intel.com/content/www/us/en/ark/products/223094/intel-core-i512400t-processor-18m-cache-up-to-4-20-ghz.html" TargetMode="External"/><Relationship Id="rId138" Type="http://schemas.openxmlformats.org/officeDocument/2006/relationships/hyperlink" Target="https://ark.intel.com/content/www/us/en/ark/products/223095/intel-core-i312300-processor-12m-cache-up-to-4-40-ghz.html" TargetMode="External"/><Relationship Id="rId137" Type="http://schemas.openxmlformats.org/officeDocument/2006/relationships/hyperlink" Target="https://ark.intel.com/content/www/us/en/ark/products/223096/intel-core-i312300t-processor-12m-cache-up-to-4-20-ghz.html" TargetMode="External"/><Relationship Id="rId132" Type="http://schemas.openxmlformats.org/officeDocument/2006/relationships/hyperlink" Target="https://ark.intel.com/content/www/us/en/ark/products/219436/intel-pentium-gold-g7400t-processor-6m-cache-3-10-ghz.html" TargetMode="External"/><Relationship Id="rId131" Type="http://schemas.openxmlformats.org/officeDocument/2006/relationships/hyperlink" Target="https://ark.intel.com/content/www/us/en/ark/products/96163/intel-celeron-processor-g6900-4m-cache-3-40-ghz.html" TargetMode="External"/><Relationship Id="rId130" Type="http://schemas.openxmlformats.org/officeDocument/2006/relationships/hyperlink" Target="https://ark.intel.com/content/www/us/en/ark/products/96164/intel-celeron-processor-g6900t-4m-cache-2-80-ghz.html" TargetMode="External"/><Relationship Id="rId136" Type="http://schemas.openxmlformats.org/officeDocument/2006/relationships/hyperlink" Target="https://ark.intel.com/content/www/us/en/ark/products/134584/intel-core-i312100-processor-12m-cache-up-to-4-30-ghz.html" TargetMode="External"/><Relationship Id="rId135" Type="http://schemas.openxmlformats.org/officeDocument/2006/relationships/hyperlink" Target="https://ark.intel.com/content/www/us/en/ark/products/132223/intel-core-i312100f-processor-12m-cache-up-to-4-30-ghz.html" TargetMode="External"/><Relationship Id="rId134" Type="http://schemas.openxmlformats.org/officeDocument/2006/relationships/hyperlink" Target="https://ark.intel.com/content/www/us/en/ark/products/223097/intel-core-i312100t-processor-12m-cache-up-to-4-10-ghz.html" TargetMode="External"/><Relationship Id="rId133" Type="http://schemas.openxmlformats.org/officeDocument/2006/relationships/hyperlink" Target="https://ark.intel.com/content/www/us/en/ark/products/219435/intel-pentium-gold-g7400-processor-6m-cache-3-70-ghz.html" TargetMode="External"/><Relationship Id="rId172" Type="http://schemas.openxmlformats.org/officeDocument/2006/relationships/hyperlink" Target="https://ark.intel.com/content/www/us/en/ark/products/230490/intel-core-i713700-processor-30m-cache-up-to-5-20-ghz.html" TargetMode="External"/><Relationship Id="rId171" Type="http://schemas.openxmlformats.org/officeDocument/2006/relationships/hyperlink" Target="https://ark.intel.com/content/www/us/en/ark/products/230492/intel-core-i713700t-processor-30m-cache-up-to-4-90-ghz.html" TargetMode="External"/><Relationship Id="rId170" Type="http://schemas.openxmlformats.org/officeDocument/2006/relationships/hyperlink" Target="https://ark.intel.com/content/www/us/en/ark/products/230493/intel-core-i513600k-processor-24m-cache-up-to-5-10-ghz.html" TargetMode="External"/><Relationship Id="rId165" Type="http://schemas.openxmlformats.org/officeDocument/2006/relationships/hyperlink" Target="https://ark.intel.com/content/www/us/en/ark/products/230578/intel-core-i513500t-processor-24m-cache-up-to-4-60-ghz.html" TargetMode="External"/><Relationship Id="rId164" Type="http://schemas.openxmlformats.org/officeDocument/2006/relationships/hyperlink" Target="https://ark.intel.com/content/www/us/en/ark/products/230495/intel-core-i513400-processor-20m-cache-up-to-4-60-ghz.html" TargetMode="External"/><Relationship Id="rId163" Type="http://schemas.openxmlformats.org/officeDocument/2006/relationships/hyperlink" Target="https://ark.intel.com/content/www/us/en/ark/products/230501/intel-core-i513400f-processor-20m-cache-up-to-4-60-ghz.html" TargetMode="External"/><Relationship Id="rId162" Type="http://schemas.openxmlformats.org/officeDocument/2006/relationships/hyperlink" Target="https://ark.intel.com/content/www/us/en/ark/products/230577/intel-core-i513400t-processor-20m-cache-up-to-4-40-ghz.html" TargetMode="External"/><Relationship Id="rId169" Type="http://schemas.openxmlformats.org/officeDocument/2006/relationships/hyperlink" Target="https://ark.intel.com/content/www/us/en/ark/products/230494/intel-core-i513600kf-processor-24m-cache-up-to-5-10-ghz.html'" TargetMode="External"/><Relationship Id="rId168" Type="http://schemas.openxmlformats.org/officeDocument/2006/relationships/hyperlink" Target="https://ark.intel.com/content/www/us/en/ark/products/230574/intel-core-i513600-processor-24m-cache-up-to-5-00-ghz.html" TargetMode="External"/><Relationship Id="rId167" Type="http://schemas.openxmlformats.org/officeDocument/2006/relationships/hyperlink" Target="https://ark.intel.com/content/www/us/en/ark/products/230573/intel-core-i513600t-processor-24m-cache-up-to-4-80-ghz.html" TargetMode="External"/><Relationship Id="rId166" Type="http://schemas.openxmlformats.org/officeDocument/2006/relationships/hyperlink" Target="https://ark.intel.com/content/www/us/en/ark/products/230580/intel-core-i513500-processor-24m-cache-up-to-4-80-ghz.html" TargetMode="External"/><Relationship Id="rId161" Type="http://schemas.openxmlformats.org/officeDocument/2006/relationships/hyperlink" Target="https://ark.intel.com/content/www/us/en/ark/products/230575/intel-core-i313100-processor-12m-cache-up-to-4-50-ghz.html" TargetMode="External"/><Relationship Id="rId160" Type="http://schemas.openxmlformats.org/officeDocument/2006/relationships/hyperlink" Target="https://ark.intel.com/content/www/us/en/ark/products/230576/intel-core-i313100f-processor-12m-cache-up-to-4-50-ghz.html" TargetMode="External"/><Relationship Id="rId159" Type="http://schemas.openxmlformats.org/officeDocument/2006/relationships/hyperlink" Target="https://ark.intel.com/content/www/us/en/ark/products/230579/intel-core-i313100t-processor-12m-cache-up-to-4-20-ghz.html" TargetMode="External"/><Relationship Id="rId154" Type="http://schemas.openxmlformats.org/officeDocument/2006/relationships/hyperlink" Target="https://ark.intel.com/content/www/us/en/ark/products/134598/intel-core-i912900f-processor-30m-cache-up-to-5-10-ghz.html" TargetMode="External"/><Relationship Id="rId153" Type="http://schemas.openxmlformats.org/officeDocument/2006/relationships/hyperlink" Target="https://ark.intel.com/content/www/us/en/ark/products/134601/intel-core-i912900t-processor-30m-cache-up-to-4-90-ghz.html" TargetMode="External"/><Relationship Id="rId152" Type="http://schemas.openxmlformats.org/officeDocument/2006/relationships/hyperlink" Target="https://ark.intel.com/content/www/us/en/ark/products/134594/intel-core-i712700k-processor-25m-cache-up-to-5-00-ghz.html" TargetMode="External"/><Relationship Id="rId151" Type="http://schemas.openxmlformats.org/officeDocument/2006/relationships/hyperlink" Target="https://ark.intel.com/content/www/us/en/ark/products/134595/intel-core-i712700kf-processor-25m-cache-up-to-5-00-ghz.html" TargetMode="External"/><Relationship Id="rId158" Type="http://schemas.openxmlformats.org/officeDocument/2006/relationships/hyperlink" Target="https://ark.intel.com/content/www/us/en/ark/products/225916/intel-core-i912900ks-processor-30m-cache-up-to-5-50-ghz.html" TargetMode="External"/><Relationship Id="rId157" Type="http://schemas.openxmlformats.org/officeDocument/2006/relationships/hyperlink" Target="https://ark.intel.com/content/www/us/en/ark/products/134599/intel-core-i912900k-processor-30m-cache-up-to-5-20-ghz.html" TargetMode="External"/><Relationship Id="rId156" Type="http://schemas.openxmlformats.org/officeDocument/2006/relationships/hyperlink" Target="https://ark.intel.com/content/www/us/en/ark/products/134600/intel-core-i912900kf-processor-30m-cache-up-to-5-20-ghz.html" TargetMode="External"/><Relationship Id="rId155" Type="http://schemas.openxmlformats.org/officeDocument/2006/relationships/hyperlink" Target="https://ark.intel.com/content/www/us/en/ark/products/134597/intel-core-i912900-processor-30m-cache-up-to-5-10-ghz.html" TargetMode="External"/><Relationship Id="rId107" Type="http://schemas.openxmlformats.org/officeDocument/2006/relationships/hyperlink" Target="https://ark.intel.com/content/www/us/en/ark/products/201893/intel-core-i3-10305-processor-8m-cache-up-to-4-50-ghz.html" TargetMode="External"/><Relationship Id="rId106" Type="http://schemas.openxmlformats.org/officeDocument/2006/relationships/hyperlink" Target="https://ark.intel.com/content/www/us/en/ark/products/201898/intel-core-i3-10305t-processor-8m-cache-up-to-4-00-ghz.html" TargetMode="External"/><Relationship Id="rId105" Type="http://schemas.openxmlformats.org/officeDocument/2006/relationships/hyperlink" Target="https://ark.intel.com/content/www/us/en/ark/products/201894/intel-core-i3-10105-processor-6m-cache-up-to-4-40-ghz.html" TargetMode="External"/><Relationship Id="rId104" Type="http://schemas.openxmlformats.org/officeDocument/2006/relationships/hyperlink" Target="https://ark.intel.com/content/www/us/en/ark/products/203474/intel-core-i3-10105f-processor-6m-cache-up-to-4-40-ghz.html" TargetMode="External"/><Relationship Id="rId109" Type="http://schemas.openxmlformats.org/officeDocument/2006/relationships/hyperlink" Target="https://ark.intel.com/content/www/us/en/ark/products/201891/intel-core-i510505-processor-12m-cache-up-to-4-60-ghz.html" TargetMode="External"/><Relationship Id="rId108" Type="http://schemas.openxmlformats.org/officeDocument/2006/relationships/hyperlink" Target="https://ark.intel.com/content/www/us/en/ark/products/201889/intel-core-i3-10325-processor-8m-cache-up-to-4-70-ghz.html" TargetMode="External"/><Relationship Id="rId103" Type="http://schemas.openxmlformats.org/officeDocument/2006/relationships/hyperlink" Target="https://ark.intel.com/content/www/us/en/ark/products/201890/intel-core-i3-10105t-processor-6m-cache-up-to-3-90-ghz.html" TargetMode="External"/><Relationship Id="rId102" Type="http://schemas.openxmlformats.org/officeDocument/2006/relationships/hyperlink" Target="https://ark.intel.com/content/www/us/en/ark/products/203473/intel-core-i3-10100f-processor-6m-cache-up-to-4-30-ghz.html" TargetMode="External"/><Relationship Id="rId101" Type="http://schemas.openxmlformats.org/officeDocument/2006/relationships/hyperlink" Target="https://ark.intel.com/content/www/us/en/ark/products/201904/intel-pentium-gold-g6605-processor-4m-cache-4-30-ghz.html" TargetMode="External"/><Relationship Id="rId100" Type="http://schemas.openxmlformats.org/officeDocument/2006/relationships/hyperlink" Target="https://ark.intel.com/content/www/us/en/ark/products/201902/intel-pentium-gold-g6505-processor-4m-cache-4-20-ghz.html" TargetMode="External"/><Relationship Id="rId129" Type="http://schemas.openxmlformats.org/officeDocument/2006/relationships/hyperlink" Target="https://ark.intel.com/content/www/us/en/ark/products/212325/intel-core-i9-11900k-processor-16m-cache-up-to-5-30-ghz.html" TargetMode="External"/><Relationship Id="rId128" Type="http://schemas.openxmlformats.org/officeDocument/2006/relationships/hyperlink" Target="https://ark.intel.com/content/www/us/en/ark/products/212321/intel-core-i9-11900kf-processor-16m-cache-up-to-5-30-ghz.html" TargetMode="External"/><Relationship Id="rId127" Type="http://schemas.openxmlformats.org/officeDocument/2006/relationships/hyperlink" Target="https://ark.intel.com/content/www/us/en/ark/products/212252/intel-core-i9-11900-processor-16m-cache-up-to-5-20-ghz.html" TargetMode="External"/><Relationship Id="rId126" Type="http://schemas.openxmlformats.org/officeDocument/2006/relationships/hyperlink" Target="https://ark.intel.com/content/www/us/en/ark/products/212254/intel-core-i9-11900f-processor-16m-cache-up-to-5-20-ghz.html" TargetMode="External"/><Relationship Id="rId121" Type="http://schemas.openxmlformats.org/officeDocument/2006/relationships/hyperlink" Target="https://ark.intel.com/content/www/us/en/ark/products/212280/intel-core-i7-11700f-processor-16m-cache-up-to-4-90-ghz.html" TargetMode="External"/><Relationship Id="rId120" Type="http://schemas.openxmlformats.org/officeDocument/2006/relationships/hyperlink" Target="https://ark.intel.com/content/www/us/en/ark/products/212251/intel-core-i7-11700t-processor-16m-cache-up-to-4-60-ghz.html" TargetMode="External"/><Relationship Id="rId125" Type="http://schemas.openxmlformats.org/officeDocument/2006/relationships/hyperlink" Target="https://ark.intel.com/content/www/us/en/ark/products/212256/intel-core-i9-11900t-processor-16m-cache-up-to-4-90-ghz.html" TargetMode="External"/><Relationship Id="rId124" Type="http://schemas.openxmlformats.org/officeDocument/2006/relationships/hyperlink" Target="https://ark.intel.com/content/www/us/en/ark/products/212047/intel-core-i7-11700k-processor-16m-cache-up-to-5-00-ghz.html" TargetMode="External"/><Relationship Id="rId123" Type="http://schemas.openxmlformats.org/officeDocument/2006/relationships/hyperlink" Target="https://ark.intel.com/content/www/us/en/ark/products/212048/intel-core-i7-11700kf-processor-16m-cache-up-to-5-00-ghz.html" TargetMode="External"/><Relationship Id="rId122" Type="http://schemas.openxmlformats.org/officeDocument/2006/relationships/hyperlink" Target="https://ark.intel.com/content/www/us/en/ark/products/212279/intel-core-i7-11700-processor-16m-cache-up-to-4-90-ghz.html" TargetMode="External"/><Relationship Id="rId118" Type="http://schemas.openxmlformats.org/officeDocument/2006/relationships/hyperlink" Target="https://ark.intel.com/content/www/us/en/ark/products/212276/intel-core-i5-11600kf-processor-12m-cache-up-to-4-90-ghz.html" TargetMode="External"/><Relationship Id="rId117" Type="http://schemas.openxmlformats.org/officeDocument/2006/relationships/hyperlink" Target="https://ark.intel.com/content/www/us/en/ark/products/212274/intel-core-i5-11600-processor-12m-cache-up-to-4-80-ghz.html" TargetMode="External"/><Relationship Id="rId116" Type="http://schemas.openxmlformats.org/officeDocument/2006/relationships/hyperlink" Target="https://ark.intel.com/content/www/us/en/ark/products/212278/intel-core-i5-11600t-processor-12m-cache-up-to-4-10-ghz.html" TargetMode="External"/><Relationship Id="rId115" Type="http://schemas.openxmlformats.org/officeDocument/2006/relationships/hyperlink" Target="https://ark.intel.com/content/www/us/en/ark/products/212277/intel-core-i5-11500-processor-12m-cache-up-to-4-60-ghz.html" TargetMode="External"/><Relationship Id="rId119" Type="http://schemas.openxmlformats.org/officeDocument/2006/relationships/hyperlink" Target="https://ark.intel.com/content/www/us/en/ark/products/212275/intel-core-i5-11600k-processor-12m-cache-up-to-4-90-ghz.html" TargetMode="External"/><Relationship Id="rId110" Type="http://schemas.openxmlformats.org/officeDocument/2006/relationships/hyperlink" Target="https://ark.intel.com/content/www/us/en/ark/products/205904/intel-core-i9-10850k-processor-20m-cache-up-to-5-20-ghz.html" TargetMode="External"/><Relationship Id="rId114" Type="http://schemas.openxmlformats.org/officeDocument/2006/relationships/hyperlink" Target="https://ark.intel.com/content/www/us/en/ark/products/212272/intel-core-i5-11500t-processor-12m-cache-up-to-3-90-ghz.html" TargetMode="External"/><Relationship Id="rId113" Type="http://schemas.openxmlformats.org/officeDocument/2006/relationships/hyperlink" Target="https://ark.intel.com/content/www/us/en/ark/products/212270/intel-core-i5-11400-processor-12m-cache-up-to-4-40-ghz.html" TargetMode="External"/><Relationship Id="rId112" Type="http://schemas.openxmlformats.org/officeDocument/2006/relationships/hyperlink" Target="https://ark.intel.com/content/www/us/en/ark/products/212271/intel-core-i5-11400f-processor-12m-cache-up-to-4-40-ghz.html" TargetMode="External"/><Relationship Id="rId111" Type="http://schemas.openxmlformats.org/officeDocument/2006/relationships/hyperlink" Target="https://ark.intel.com/content/www/us/en/ark/products/212273/intel-core-i5-11400t-processor-12m-cache-up-to-3-70-ghz.html"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ark.intel.com/content/www/us/en/ark/products/218831/intel-h670-chipset.html" TargetMode="External"/><Relationship Id="rId42" Type="http://schemas.openxmlformats.org/officeDocument/2006/relationships/hyperlink" Target="https://ark.intel.com/content/www/us/en/ark/products/229719/intel-b760-chipset.html" TargetMode="External"/><Relationship Id="rId41" Type="http://schemas.openxmlformats.org/officeDocument/2006/relationships/hyperlink" Target="https://ark.intel.com/content/www/us/en/ark/products/218833/intel-z690-chipset.html" TargetMode="External"/><Relationship Id="rId44" Type="http://schemas.openxmlformats.org/officeDocument/2006/relationships/hyperlink" Target="https://ark.intel.com/content/www/us/en/ark/products/229721/intel-z790-chipset.html" TargetMode="External"/><Relationship Id="rId43" Type="http://schemas.openxmlformats.org/officeDocument/2006/relationships/hyperlink" Target="https://ark.intel.com/content/www/us/en/ark/products/229720/intel-h770-chipset.html" TargetMode="External"/><Relationship Id="rId46" Type="http://schemas.openxmlformats.org/officeDocument/2006/relationships/vmlDrawing" Target="../drawings/vmlDrawing17.vml"/><Relationship Id="rId45" Type="http://schemas.openxmlformats.org/officeDocument/2006/relationships/drawing" Target="../drawings/drawing20.xml"/><Relationship Id="rId31" Type="http://schemas.openxmlformats.org/officeDocument/2006/relationships/hyperlink" Target="https://ark.intel.com/content/www/us/en/ark/products/201841/intel-b460-chipset.html" TargetMode="External"/><Relationship Id="rId30" Type="http://schemas.openxmlformats.org/officeDocument/2006/relationships/hyperlink" Target="https://ark.intel.com/content/www/us/en/ark/products/201842/intel-h410-chipset.html" TargetMode="External"/><Relationship Id="rId33" Type="http://schemas.openxmlformats.org/officeDocument/2006/relationships/hyperlink" Target="https://ark.intel.com/content/www/us/en/ark/products/201834/intel-z490-chipset.html" TargetMode="External"/><Relationship Id="rId32" Type="http://schemas.openxmlformats.org/officeDocument/2006/relationships/hyperlink" Target="https://ark.intel.com/content/www/us/en/ark/products/201835/intel-h470-chipset.html" TargetMode="External"/><Relationship Id="rId35" Type="http://schemas.openxmlformats.org/officeDocument/2006/relationships/hyperlink" Target="https://ark.intel.com/content/www/us/en/ark/products/196645/intel-b560-chipset.html" TargetMode="External"/><Relationship Id="rId34" Type="http://schemas.openxmlformats.org/officeDocument/2006/relationships/hyperlink" Target="https://ark.intel.com/content/www/us/en/ark/products/196646/intel-h510-chipset.html" TargetMode="External"/><Relationship Id="rId37" Type="http://schemas.openxmlformats.org/officeDocument/2006/relationships/hyperlink" Target="https://ark.intel.com/content/www/us/en/ark/products/196612/intel-z590-chipset.html" TargetMode="External"/><Relationship Id="rId36" Type="http://schemas.openxmlformats.org/officeDocument/2006/relationships/hyperlink" Target="https://ark.intel.com/content/www/us/en/ark/products/196613/intel-h570-chipset.html" TargetMode="External"/><Relationship Id="rId39" Type="http://schemas.openxmlformats.org/officeDocument/2006/relationships/hyperlink" Target="https://ark.intel.com/content/www/us/en/ark/products/218832/intel-b660-chipset.html" TargetMode="External"/><Relationship Id="rId38" Type="http://schemas.openxmlformats.org/officeDocument/2006/relationships/hyperlink" Target="https://ark.intel.com/content/www/us/en/ark/products/218829/intel-h610-chipset.html" TargetMode="External"/><Relationship Id="rId20" Type="http://schemas.openxmlformats.org/officeDocument/2006/relationships/hyperlink" Target="https://ark.intel.com/content/www/us/en/ark/products/90591/intel-z170-chipset.html" TargetMode="External"/><Relationship Id="rId22" Type="http://schemas.openxmlformats.org/officeDocument/2006/relationships/hyperlink" Target="https://ark.intel.com/content/www/us/en/ark/products/98090/intel-h270-chipset.html" TargetMode="External"/><Relationship Id="rId21" Type="http://schemas.openxmlformats.org/officeDocument/2006/relationships/hyperlink" Target="https://ark.intel.com/content/www/us/en/ark/products/98086/intel-b250-chipset.html" TargetMode="External"/><Relationship Id="rId24" Type="http://schemas.openxmlformats.org/officeDocument/2006/relationships/hyperlink" Target="https://ark.intel.com/content/www/us/en/ark/products/133348/intel-h310-chipset.html" TargetMode="External"/><Relationship Id="rId23" Type="http://schemas.openxmlformats.org/officeDocument/2006/relationships/hyperlink" Target="https://ark.intel.com/content/www/us/en/ark/products/98089/intel-z270-chipset.html" TargetMode="External"/><Relationship Id="rId26" Type="http://schemas.openxmlformats.org/officeDocument/2006/relationships/hyperlink" Target="https://ark.intel.com/content/www/us/en/ark/products/189763/intel-b365-chipset.html" TargetMode="External"/><Relationship Id="rId25" Type="http://schemas.openxmlformats.org/officeDocument/2006/relationships/hyperlink" Target="https://ark.intel.com/content/www/us/en/ark/products/133332/intel-b360-chipset.html" TargetMode="External"/><Relationship Id="rId28" Type="http://schemas.openxmlformats.org/officeDocument/2006/relationships/hyperlink" Target="https://ark.intel.com/content/www/us/en/ark/products/125903/intel-z370-chipset.html" TargetMode="External"/><Relationship Id="rId27" Type="http://schemas.openxmlformats.org/officeDocument/2006/relationships/hyperlink" Target="https://ark.intel.com/content/www/us/en/ark/products/133284/intel-h370-chipset.html" TargetMode="External"/><Relationship Id="rId29" Type="http://schemas.openxmlformats.org/officeDocument/2006/relationships/hyperlink" Target="https://ark.intel.com/content/www/us/en/ark/products/133293/intel-z390-chipset.html" TargetMode="External"/><Relationship Id="rId11" Type="http://schemas.openxmlformats.org/officeDocument/2006/relationships/hyperlink" Target="https://www.amd.com/en/products/processors/chipsets/am5.html" TargetMode="External"/><Relationship Id="rId10" Type="http://schemas.openxmlformats.org/officeDocument/2006/relationships/hyperlink" Target="https://www.amd.com/en/products/processors/chipsets/am5.html" TargetMode="External"/><Relationship Id="rId13" Type="http://schemas.openxmlformats.org/officeDocument/2006/relationships/hyperlink" Target="https://www.amd.com/en/products/processors/chipsets/am5.html" TargetMode="External"/><Relationship Id="rId12" Type="http://schemas.openxmlformats.org/officeDocument/2006/relationships/hyperlink" Target="https://www.amd.com/en/products/processors/chipsets/am5.html" TargetMode="External"/><Relationship Id="rId15" Type="http://schemas.openxmlformats.org/officeDocument/2006/relationships/hyperlink" Target="https://www.amd.com/en/products/processors/chipsets/am5.html" TargetMode="External"/><Relationship Id="rId14" Type="http://schemas.openxmlformats.org/officeDocument/2006/relationships/hyperlink" Target="https://www.amd.com/en/products/processors/chipsets/am5.html" TargetMode="External"/><Relationship Id="rId17" Type="http://schemas.openxmlformats.org/officeDocument/2006/relationships/hyperlink" Target="https://ark.intel.com/content/www/us/en/ark/products/90590/intel-h110-chipset.html" TargetMode="External"/><Relationship Id="rId16" Type="http://schemas.openxmlformats.org/officeDocument/2006/relationships/hyperlink" Target="https://www.amd.com/en/products/processors/chipsets/am5.html" TargetMode="External"/><Relationship Id="rId19" Type="http://schemas.openxmlformats.org/officeDocument/2006/relationships/hyperlink" Target="https://ark.intel.com/content/www/us/en/ark/products/90595/intel-h170-chipset.html" TargetMode="External"/><Relationship Id="rId18" Type="http://schemas.openxmlformats.org/officeDocument/2006/relationships/hyperlink" Target="https://ark.intel.com/content/www/us/en/ark/products/90592/intel-b150-chipset.html" TargetMode="External"/><Relationship Id="rId1" Type="http://schemas.openxmlformats.org/officeDocument/2006/relationships/comments" Target="../comments17.xml"/><Relationship Id="rId2" Type="http://schemas.openxmlformats.org/officeDocument/2006/relationships/hyperlink" Target="https://www.amd.com/en/products/chipsets-am4" TargetMode="External"/><Relationship Id="rId3" Type="http://schemas.openxmlformats.org/officeDocument/2006/relationships/hyperlink" Target="https://www.amd.com/en/products/chipsets-am4" TargetMode="External"/><Relationship Id="rId4" Type="http://schemas.openxmlformats.org/officeDocument/2006/relationships/hyperlink" Target="https://www.amd.com/en/products/chipsets-am4" TargetMode="External"/><Relationship Id="rId9" Type="http://schemas.openxmlformats.org/officeDocument/2006/relationships/hyperlink" Target="https://www.amd.com/en/chipsets/x570" TargetMode="External"/><Relationship Id="rId5" Type="http://schemas.openxmlformats.org/officeDocument/2006/relationships/hyperlink" Target="https://www.amd.com/en/products/chipsets-am4" TargetMode="External"/><Relationship Id="rId6" Type="http://schemas.openxmlformats.org/officeDocument/2006/relationships/hyperlink" Target="https://www.amd.com/en/products/chipsets-am4" TargetMode="External"/><Relationship Id="rId7" Type="http://schemas.openxmlformats.org/officeDocument/2006/relationships/hyperlink" Target="https://www.amd.com/en/chipsets/a520" TargetMode="External"/><Relationship Id="rId8" Type="http://schemas.openxmlformats.org/officeDocument/2006/relationships/hyperlink" Target="https://www.amd.com/en/chipsets/b550" TargetMode="Externa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5.0"/>
    <col customWidth="1" min="2" max="2" width="67.0"/>
    <col customWidth="1" min="4" max="4" width="7.75"/>
    <col customWidth="1" min="5" max="5" width="6.13"/>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4" t="s">
        <v>2</v>
      </c>
      <c r="B2" s="5" t="s">
        <v>3</v>
      </c>
      <c r="C2" s="3"/>
      <c r="D2" s="6" t="s">
        <v>4</v>
      </c>
      <c r="E2" s="6" t="s">
        <v>5</v>
      </c>
      <c r="F2" s="3"/>
      <c r="G2" s="3"/>
      <c r="H2" s="3"/>
      <c r="I2" s="3"/>
      <c r="J2" s="3"/>
      <c r="K2" s="3"/>
      <c r="L2" s="3"/>
      <c r="M2" s="3"/>
      <c r="N2" s="3"/>
      <c r="O2" s="3"/>
      <c r="P2" s="3"/>
      <c r="Q2" s="3"/>
      <c r="R2" s="3"/>
      <c r="S2" s="3"/>
      <c r="T2" s="3"/>
      <c r="U2" s="3"/>
      <c r="V2" s="3"/>
      <c r="W2" s="3"/>
      <c r="X2" s="3"/>
      <c r="Y2" s="3"/>
      <c r="Z2" s="3"/>
    </row>
    <row r="3">
      <c r="A3" s="7" t="s">
        <v>6</v>
      </c>
      <c r="B3" s="8" t="s">
        <v>7</v>
      </c>
      <c r="C3" s="3"/>
      <c r="D3" s="9" t="s">
        <v>8</v>
      </c>
      <c r="E3" s="10">
        <f>IFERROR(__xludf.DUMMYFUNCTION("GOOGLEFINANCE(""CURRENCY:CNYUSD"")"),0.13784549999999998)</f>
        <v>0.1378455</v>
      </c>
      <c r="F3" s="3"/>
      <c r="G3" s="3"/>
      <c r="H3" s="3"/>
      <c r="I3" s="3"/>
      <c r="J3" s="3"/>
      <c r="K3" s="3"/>
      <c r="L3" s="3"/>
      <c r="M3" s="3"/>
      <c r="N3" s="3"/>
      <c r="O3" s="3"/>
      <c r="P3" s="3"/>
      <c r="Q3" s="3"/>
      <c r="R3" s="3"/>
      <c r="S3" s="3"/>
      <c r="T3" s="3"/>
      <c r="U3" s="3"/>
      <c r="V3" s="3"/>
      <c r="W3" s="3"/>
      <c r="X3" s="3"/>
      <c r="Y3" s="3"/>
      <c r="Z3" s="3"/>
    </row>
    <row r="4">
      <c r="A4" s="11" t="s">
        <v>9</v>
      </c>
      <c r="B4" s="12" t="s">
        <v>10</v>
      </c>
      <c r="C4" s="3"/>
      <c r="D4" s="9" t="s">
        <v>11</v>
      </c>
      <c r="E4" s="10">
        <f>IFERROR(__xludf.DUMMYFUNCTION("GOOGLEFINANCE(""CURRENCY:CNYGBP"")"),0.1085092)</f>
        <v>0.1085092</v>
      </c>
      <c r="F4" s="3"/>
      <c r="G4" s="3"/>
      <c r="H4" s="3"/>
      <c r="I4" s="3"/>
      <c r="J4" s="3"/>
      <c r="K4" s="3"/>
      <c r="L4" s="3"/>
      <c r="M4" s="3"/>
      <c r="N4" s="3"/>
      <c r="O4" s="3"/>
      <c r="P4" s="3"/>
      <c r="Q4" s="3"/>
      <c r="R4" s="3"/>
      <c r="S4" s="3"/>
      <c r="T4" s="3"/>
      <c r="U4" s="3"/>
      <c r="V4" s="3"/>
      <c r="W4" s="3"/>
      <c r="X4" s="3"/>
      <c r="Y4" s="3"/>
      <c r="Z4" s="3"/>
    </row>
    <row r="5">
      <c r="A5" s="11" t="s">
        <v>12</v>
      </c>
      <c r="B5" s="12" t="s">
        <v>13</v>
      </c>
      <c r="C5" s="3"/>
      <c r="D5" s="9" t="s">
        <v>14</v>
      </c>
      <c r="E5" s="10">
        <f>IFERROR(__xludf.DUMMYFUNCTION("GOOGLEFINANCE(""CURRENCY:CNYEUR"")"),0.1284155)</f>
        <v>0.1284155</v>
      </c>
      <c r="F5" s="3"/>
      <c r="G5" s="3"/>
      <c r="H5" s="3"/>
      <c r="I5" s="3"/>
      <c r="J5" s="3"/>
      <c r="K5" s="3"/>
      <c r="L5" s="3"/>
      <c r="M5" s="3"/>
      <c r="N5" s="3"/>
      <c r="O5" s="3"/>
      <c r="P5" s="3"/>
      <c r="Q5" s="3"/>
      <c r="R5" s="3"/>
      <c r="S5" s="3"/>
      <c r="T5" s="3"/>
      <c r="U5" s="3"/>
      <c r="V5" s="3"/>
      <c r="W5" s="3"/>
      <c r="X5" s="3"/>
      <c r="Y5" s="3"/>
      <c r="Z5" s="3"/>
    </row>
    <row r="6">
      <c r="A6" s="11" t="s">
        <v>15</v>
      </c>
      <c r="B6" s="12" t="s">
        <v>16</v>
      </c>
      <c r="C6" s="3"/>
      <c r="D6" s="3"/>
      <c r="E6" s="3"/>
      <c r="F6" s="3"/>
      <c r="G6" s="3"/>
      <c r="H6" s="3"/>
      <c r="I6" s="3"/>
      <c r="J6" s="3"/>
      <c r="K6" s="3"/>
      <c r="L6" s="3"/>
      <c r="M6" s="3"/>
      <c r="N6" s="3"/>
      <c r="O6" s="3"/>
      <c r="P6" s="3"/>
      <c r="Q6" s="3"/>
      <c r="R6" s="3"/>
      <c r="S6" s="3"/>
      <c r="T6" s="3"/>
      <c r="U6" s="3"/>
      <c r="V6" s="3"/>
      <c r="W6" s="3"/>
      <c r="X6" s="3"/>
      <c r="Y6" s="3"/>
      <c r="Z6" s="3"/>
    </row>
    <row r="7">
      <c r="A7" s="11" t="s">
        <v>17</v>
      </c>
      <c r="B7" s="12" t="s">
        <v>18</v>
      </c>
      <c r="C7" s="3"/>
      <c r="D7" s="3"/>
      <c r="E7" s="3"/>
      <c r="F7" s="3"/>
      <c r="G7" s="3"/>
      <c r="H7" s="3"/>
      <c r="I7" s="3"/>
      <c r="J7" s="3"/>
      <c r="K7" s="3"/>
      <c r="L7" s="3"/>
      <c r="M7" s="3"/>
      <c r="N7" s="3"/>
      <c r="O7" s="3"/>
      <c r="P7" s="3"/>
      <c r="Q7" s="3"/>
      <c r="R7" s="3"/>
      <c r="S7" s="3"/>
      <c r="T7" s="3"/>
      <c r="U7" s="3"/>
      <c r="V7" s="3"/>
      <c r="W7" s="3"/>
      <c r="X7" s="3"/>
      <c r="Y7" s="3"/>
      <c r="Z7" s="3"/>
    </row>
    <row r="8">
      <c r="A8" s="11" t="s">
        <v>19</v>
      </c>
      <c r="B8" s="12" t="s">
        <v>20</v>
      </c>
      <c r="C8" s="3"/>
      <c r="D8" s="3"/>
      <c r="E8" s="3"/>
      <c r="F8" s="3"/>
      <c r="G8" s="3"/>
      <c r="H8" s="3"/>
      <c r="I8" s="3"/>
      <c r="J8" s="3"/>
      <c r="K8" s="3"/>
      <c r="L8" s="3"/>
      <c r="M8" s="3"/>
      <c r="N8" s="3"/>
      <c r="O8" s="3"/>
      <c r="P8" s="3"/>
      <c r="Q8" s="3"/>
      <c r="R8" s="3"/>
      <c r="S8" s="3"/>
      <c r="T8" s="3"/>
      <c r="U8" s="3"/>
      <c r="V8" s="3"/>
      <c r="W8" s="3"/>
      <c r="X8" s="3"/>
      <c r="Y8" s="3"/>
      <c r="Z8" s="3"/>
    </row>
    <row r="9">
      <c r="A9" s="11" t="s">
        <v>21</v>
      </c>
      <c r="B9" s="12" t="s">
        <v>22</v>
      </c>
      <c r="C9" s="3"/>
      <c r="D9" s="3"/>
      <c r="E9" s="3"/>
      <c r="F9" s="3"/>
      <c r="G9" s="3"/>
      <c r="H9" s="3"/>
      <c r="I9" s="3"/>
      <c r="J9" s="3"/>
      <c r="K9" s="3"/>
      <c r="L9" s="3"/>
      <c r="M9" s="3"/>
      <c r="N9" s="3"/>
      <c r="O9" s="3"/>
      <c r="P9" s="3"/>
      <c r="Q9" s="3"/>
      <c r="R9" s="3"/>
      <c r="S9" s="3"/>
      <c r="T9" s="3"/>
      <c r="U9" s="3"/>
      <c r="V9" s="3"/>
      <c r="W9" s="3"/>
      <c r="X9" s="3"/>
      <c r="Y9" s="3"/>
      <c r="Z9" s="3"/>
    </row>
    <row r="10">
      <c r="A10" s="11" t="s">
        <v>23</v>
      </c>
      <c r="B10" s="12" t="s">
        <v>24</v>
      </c>
      <c r="C10" s="3"/>
      <c r="D10" s="3"/>
      <c r="E10" s="3"/>
      <c r="F10" s="3"/>
      <c r="G10" s="3"/>
      <c r="H10" s="3"/>
      <c r="I10" s="3"/>
      <c r="J10" s="3"/>
      <c r="K10" s="3"/>
      <c r="L10" s="3"/>
      <c r="M10" s="3"/>
      <c r="N10" s="3"/>
      <c r="O10" s="3"/>
      <c r="P10" s="3"/>
      <c r="Q10" s="3"/>
      <c r="R10" s="3"/>
      <c r="S10" s="3"/>
      <c r="T10" s="3"/>
      <c r="U10" s="3"/>
      <c r="V10" s="3"/>
      <c r="W10" s="3"/>
      <c r="X10" s="3"/>
      <c r="Y10" s="3"/>
      <c r="Z10" s="3"/>
    </row>
    <row r="11">
      <c r="A11" s="11" t="s">
        <v>25</v>
      </c>
      <c r="B11" s="12" t="s">
        <v>26</v>
      </c>
      <c r="C11" s="3"/>
      <c r="D11" s="3"/>
      <c r="E11" s="3"/>
      <c r="F11" s="3"/>
      <c r="G11" s="3"/>
      <c r="H11" s="3"/>
      <c r="I11" s="3"/>
      <c r="J11" s="3"/>
      <c r="K11" s="3"/>
      <c r="L11" s="3"/>
      <c r="M11" s="3"/>
      <c r="N11" s="3"/>
      <c r="O11" s="3"/>
      <c r="P11" s="3"/>
      <c r="Q11" s="3"/>
      <c r="R11" s="3"/>
      <c r="S11" s="3"/>
      <c r="T11" s="3"/>
      <c r="U11" s="3"/>
      <c r="V11" s="3"/>
      <c r="W11" s="3"/>
      <c r="X11" s="3"/>
      <c r="Y11" s="3"/>
      <c r="Z11" s="3"/>
    </row>
    <row r="12">
      <c r="A12" s="11" t="s">
        <v>27</v>
      </c>
      <c r="B12" s="12" t="s">
        <v>28</v>
      </c>
      <c r="C12" s="3"/>
      <c r="D12" s="3"/>
      <c r="E12" s="3"/>
      <c r="F12" s="3"/>
      <c r="G12" s="3"/>
      <c r="H12" s="3"/>
      <c r="I12" s="3"/>
      <c r="J12" s="3"/>
      <c r="K12" s="3"/>
      <c r="L12" s="3"/>
      <c r="M12" s="3"/>
      <c r="N12" s="3"/>
      <c r="O12" s="3"/>
      <c r="P12" s="3"/>
      <c r="Q12" s="3"/>
      <c r="R12" s="3"/>
      <c r="S12" s="3"/>
      <c r="T12" s="3"/>
      <c r="U12" s="3"/>
      <c r="V12" s="3"/>
      <c r="W12" s="3"/>
      <c r="X12" s="3"/>
      <c r="Y12" s="3"/>
      <c r="Z12" s="3"/>
    </row>
    <row r="13">
      <c r="A13" s="11" t="s">
        <v>29</v>
      </c>
      <c r="B13" s="12" t="s">
        <v>30</v>
      </c>
      <c r="C13" s="3"/>
      <c r="D13" s="3"/>
      <c r="E13" s="3"/>
      <c r="F13" s="3"/>
      <c r="G13" s="3"/>
      <c r="H13" s="3"/>
      <c r="I13" s="3"/>
      <c r="J13" s="3"/>
      <c r="K13" s="3"/>
      <c r="L13" s="3"/>
      <c r="M13" s="3"/>
      <c r="N13" s="3"/>
      <c r="O13" s="3"/>
      <c r="P13" s="3"/>
      <c r="Q13" s="3"/>
      <c r="R13" s="3"/>
      <c r="S13" s="3"/>
      <c r="T13" s="3"/>
      <c r="U13" s="3"/>
      <c r="V13" s="3"/>
      <c r="W13" s="3"/>
      <c r="X13" s="3"/>
      <c r="Y13" s="3"/>
      <c r="Z13" s="3"/>
    </row>
    <row r="14">
      <c r="A14" s="11" t="s">
        <v>31</v>
      </c>
      <c r="B14" s="12" t="s">
        <v>32</v>
      </c>
      <c r="C14" s="3"/>
      <c r="D14" s="3"/>
      <c r="E14" s="3"/>
      <c r="F14" s="3"/>
      <c r="G14" s="3"/>
      <c r="H14" s="3"/>
      <c r="I14" s="3"/>
      <c r="J14" s="3"/>
      <c r="K14" s="3"/>
      <c r="L14" s="3"/>
      <c r="M14" s="3"/>
      <c r="N14" s="3"/>
      <c r="O14" s="3"/>
      <c r="P14" s="3"/>
      <c r="Q14" s="3"/>
      <c r="R14" s="3"/>
      <c r="S14" s="3"/>
      <c r="T14" s="3"/>
      <c r="U14" s="3"/>
      <c r="V14" s="3"/>
      <c r="W14" s="3"/>
      <c r="X14" s="3"/>
      <c r="Y14" s="3"/>
      <c r="Z14" s="3"/>
    </row>
    <row r="15">
      <c r="A15" s="11" t="s">
        <v>33</v>
      </c>
      <c r="B15" s="12" t="s">
        <v>34</v>
      </c>
      <c r="C15" s="3"/>
      <c r="D15" s="3"/>
      <c r="E15" s="3"/>
      <c r="F15" s="3"/>
      <c r="G15" s="3"/>
      <c r="H15" s="3"/>
      <c r="I15" s="3"/>
      <c r="J15" s="3"/>
      <c r="K15" s="3"/>
      <c r="L15" s="3"/>
      <c r="M15" s="3"/>
      <c r="N15" s="3"/>
      <c r="O15" s="3"/>
      <c r="P15" s="3"/>
      <c r="Q15" s="3"/>
      <c r="R15" s="3"/>
      <c r="S15" s="3"/>
      <c r="T15" s="3"/>
      <c r="U15" s="3"/>
      <c r="V15" s="3"/>
      <c r="W15" s="3"/>
      <c r="X15" s="3"/>
      <c r="Y15" s="3"/>
      <c r="Z15" s="3"/>
    </row>
    <row r="16">
      <c r="A16" s="11" t="s">
        <v>35</v>
      </c>
      <c r="B16" s="12" t="s">
        <v>36</v>
      </c>
      <c r="C16" s="3"/>
      <c r="D16" s="3"/>
      <c r="E16" s="3"/>
      <c r="F16" s="3"/>
      <c r="G16" s="3"/>
      <c r="H16" s="3"/>
      <c r="I16" s="3"/>
      <c r="J16" s="3"/>
      <c r="K16" s="3"/>
      <c r="L16" s="3"/>
      <c r="M16" s="3"/>
      <c r="N16" s="3"/>
      <c r="O16" s="3"/>
      <c r="P16" s="3"/>
      <c r="Q16" s="3"/>
      <c r="R16" s="3"/>
      <c r="S16" s="3"/>
      <c r="T16" s="3"/>
      <c r="U16" s="3"/>
      <c r="V16" s="3"/>
      <c r="W16" s="3"/>
      <c r="X16" s="3"/>
      <c r="Y16" s="3"/>
      <c r="Z16" s="3"/>
    </row>
    <row r="17">
      <c r="A17" s="11" t="s">
        <v>37</v>
      </c>
      <c r="B17" s="12" t="s">
        <v>38</v>
      </c>
      <c r="C17" s="3"/>
      <c r="D17" s="3"/>
      <c r="E17" s="3"/>
      <c r="F17" s="3"/>
      <c r="G17" s="13" t="s">
        <v>39</v>
      </c>
      <c r="H17" s="3"/>
      <c r="I17" s="3"/>
      <c r="J17" s="3"/>
      <c r="K17" s="3"/>
      <c r="L17" s="3"/>
      <c r="M17" s="3"/>
      <c r="N17" s="3"/>
      <c r="O17" s="3"/>
      <c r="P17" s="3"/>
      <c r="Q17" s="3"/>
      <c r="R17" s="3"/>
      <c r="S17" s="3"/>
      <c r="T17" s="3"/>
      <c r="U17" s="3"/>
      <c r="V17" s="3"/>
      <c r="W17" s="3"/>
      <c r="X17" s="3"/>
      <c r="Y17" s="3"/>
      <c r="Z17" s="3"/>
    </row>
    <row r="18">
      <c r="A18" s="14" t="s">
        <v>40</v>
      </c>
      <c r="B18" s="12" t="s">
        <v>41</v>
      </c>
      <c r="C18" s="3"/>
      <c r="D18" s="3"/>
      <c r="E18" s="3"/>
      <c r="F18" s="3"/>
      <c r="G18" s="3"/>
      <c r="H18" s="3"/>
      <c r="I18" s="3"/>
      <c r="J18" s="3"/>
      <c r="K18" s="3"/>
      <c r="L18" s="3"/>
      <c r="M18" s="3"/>
      <c r="N18" s="3"/>
      <c r="O18" s="3"/>
      <c r="P18" s="3"/>
      <c r="Q18" s="3"/>
      <c r="R18" s="3"/>
      <c r="S18" s="3"/>
      <c r="T18" s="3"/>
      <c r="U18" s="3"/>
      <c r="V18" s="3"/>
      <c r="W18" s="3"/>
      <c r="X18" s="3"/>
      <c r="Y18" s="3"/>
      <c r="Z18" s="3"/>
    </row>
    <row r="19">
      <c r="A19" s="11" t="s">
        <v>42</v>
      </c>
      <c r="B19" s="12" t="s">
        <v>43</v>
      </c>
      <c r="C19" s="3"/>
      <c r="D19" s="3"/>
      <c r="E19" s="3"/>
      <c r="F19" s="3"/>
      <c r="G19" s="3"/>
      <c r="H19" s="3"/>
      <c r="I19" s="3"/>
      <c r="J19" s="3"/>
      <c r="K19" s="3"/>
      <c r="L19" s="3"/>
      <c r="M19" s="3"/>
      <c r="N19" s="3"/>
      <c r="O19" s="3"/>
      <c r="P19" s="3"/>
      <c r="Q19" s="3"/>
      <c r="R19" s="3"/>
      <c r="S19" s="3"/>
      <c r="T19" s="3"/>
      <c r="U19" s="3"/>
      <c r="V19" s="3"/>
      <c r="W19" s="3"/>
      <c r="X19" s="3"/>
      <c r="Y19" s="3"/>
      <c r="Z19" s="3"/>
    </row>
    <row r="20">
      <c r="A20" s="11" t="s">
        <v>44</v>
      </c>
      <c r="B20" s="12" t="s">
        <v>45</v>
      </c>
      <c r="C20" s="3"/>
      <c r="D20" s="3"/>
      <c r="E20" s="3"/>
      <c r="F20" s="3"/>
      <c r="G20" s="3"/>
      <c r="H20" s="3"/>
      <c r="I20" s="3"/>
      <c r="J20" s="3"/>
      <c r="K20" s="3"/>
      <c r="L20" s="3"/>
      <c r="M20" s="3"/>
      <c r="N20" s="3"/>
      <c r="O20" s="3"/>
      <c r="P20" s="3"/>
      <c r="Q20" s="3"/>
      <c r="R20" s="3"/>
      <c r="S20" s="3"/>
      <c r="T20" s="3"/>
      <c r="U20" s="3"/>
      <c r="V20" s="3"/>
      <c r="W20" s="3"/>
      <c r="X20" s="3"/>
      <c r="Y20" s="3"/>
      <c r="Z20" s="3"/>
    </row>
    <row r="21">
      <c r="A21" s="11" t="s">
        <v>46</v>
      </c>
      <c r="B21" s="12" t="s">
        <v>47</v>
      </c>
      <c r="C21" s="3"/>
      <c r="D21" s="3"/>
      <c r="E21" s="3"/>
      <c r="F21" s="3"/>
      <c r="G21" s="3"/>
      <c r="H21" s="3"/>
      <c r="I21" s="3"/>
      <c r="J21" s="3"/>
      <c r="K21" s="3"/>
      <c r="L21" s="3"/>
      <c r="M21" s="3"/>
      <c r="N21" s="3"/>
      <c r="O21" s="3"/>
      <c r="P21" s="3"/>
      <c r="Q21" s="3"/>
      <c r="R21" s="3"/>
      <c r="S21" s="3"/>
      <c r="T21" s="3"/>
      <c r="U21" s="3"/>
      <c r="V21" s="3"/>
      <c r="W21" s="3"/>
      <c r="X21" s="3"/>
      <c r="Y21" s="3"/>
      <c r="Z21" s="3"/>
    </row>
    <row r="22">
      <c r="A22" s="15" t="s">
        <v>48</v>
      </c>
      <c r="B22" s="16" t="s">
        <v>49</v>
      </c>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17" t="s">
        <v>50</v>
      </c>
      <c r="B24" s="18"/>
      <c r="C24" s="3"/>
      <c r="D24" s="3"/>
      <c r="E24" s="3"/>
      <c r="F24" s="3"/>
      <c r="G24" s="3"/>
      <c r="H24" s="3"/>
      <c r="I24" s="3"/>
      <c r="J24" s="3"/>
      <c r="K24" s="3"/>
      <c r="L24" s="3"/>
      <c r="M24" s="3"/>
      <c r="N24" s="3"/>
      <c r="O24" s="3"/>
      <c r="P24" s="3"/>
      <c r="Q24" s="3"/>
      <c r="R24" s="3"/>
      <c r="S24" s="3"/>
      <c r="T24" s="3"/>
      <c r="U24" s="3"/>
      <c r="V24" s="3"/>
      <c r="W24" s="3"/>
      <c r="X24" s="3"/>
      <c r="Y24" s="3"/>
      <c r="Z24" s="3"/>
    </row>
    <row r="25">
      <c r="A25" s="19" t="s">
        <v>51</v>
      </c>
      <c r="B25" s="20"/>
    </row>
    <row r="26">
      <c r="A26" s="19" t="s">
        <v>52</v>
      </c>
      <c r="B26" s="20"/>
    </row>
    <row r="27">
      <c r="A27" s="21" t="s">
        <v>53</v>
      </c>
      <c r="B27" s="22"/>
      <c r="C27" s="3"/>
      <c r="D27" s="3"/>
      <c r="E27" s="3"/>
      <c r="F27" s="3"/>
      <c r="G27" s="3"/>
      <c r="H27" s="3"/>
      <c r="I27" s="3"/>
      <c r="J27" s="3"/>
      <c r="K27" s="3"/>
      <c r="L27" s="3"/>
      <c r="M27" s="3"/>
      <c r="N27" s="3"/>
      <c r="O27" s="3"/>
      <c r="P27" s="3"/>
      <c r="Q27" s="3"/>
      <c r="R27" s="3"/>
      <c r="S27" s="3"/>
      <c r="T27" s="3"/>
      <c r="U27" s="3"/>
      <c r="V27" s="3"/>
      <c r="W27" s="3"/>
      <c r="X27" s="3"/>
      <c r="Y27" s="3"/>
      <c r="Z27" s="3"/>
    </row>
    <row r="28">
      <c r="A28" s="23" t="s">
        <v>54</v>
      </c>
      <c r="B28" s="24"/>
      <c r="C28" s="3"/>
      <c r="D28" s="3"/>
      <c r="E28" s="3"/>
      <c r="F28" s="3"/>
      <c r="G28" s="3"/>
      <c r="H28" s="3"/>
      <c r="I28" s="3"/>
      <c r="J28" s="3"/>
      <c r="K28" s="3"/>
      <c r="L28" s="3"/>
      <c r="M28" s="3"/>
      <c r="N28" s="3"/>
      <c r="O28" s="3"/>
      <c r="P28" s="3"/>
      <c r="Q28" s="3"/>
      <c r="R28" s="3"/>
      <c r="S28" s="3"/>
      <c r="T28" s="3"/>
      <c r="U28" s="3"/>
      <c r="V28" s="3"/>
      <c r="W28" s="3"/>
      <c r="X28" s="3"/>
      <c r="Y28" s="3"/>
      <c r="Z28" s="3"/>
    </row>
    <row r="29">
      <c r="B29" s="3"/>
      <c r="C29" s="3"/>
      <c r="D29" s="3"/>
      <c r="E29" s="3"/>
      <c r="F29" s="3"/>
      <c r="G29" s="3"/>
      <c r="H29" s="3"/>
      <c r="I29" s="3"/>
      <c r="J29" s="3"/>
      <c r="K29" s="3"/>
      <c r="L29" s="3"/>
      <c r="M29" s="3"/>
      <c r="N29" s="3"/>
      <c r="O29" s="3"/>
      <c r="P29" s="3"/>
      <c r="Q29" s="3"/>
      <c r="R29" s="3"/>
      <c r="S29" s="3"/>
      <c r="T29" s="3"/>
      <c r="U29" s="3"/>
      <c r="V29" s="3"/>
      <c r="W29" s="3"/>
      <c r="X29" s="3"/>
      <c r="Y29" s="3"/>
      <c r="Z29" s="3"/>
    </row>
    <row r="30">
      <c r="A30" s="25" t="s">
        <v>55</v>
      </c>
      <c r="B30" s="26"/>
      <c r="C30" s="3"/>
      <c r="D30" s="3"/>
      <c r="E30" s="3"/>
      <c r="F30" s="3"/>
      <c r="G30" s="3"/>
      <c r="H30" s="3"/>
      <c r="I30" s="3"/>
      <c r="J30" s="3"/>
      <c r="K30" s="3"/>
      <c r="L30" s="3"/>
      <c r="M30" s="3"/>
      <c r="N30" s="3"/>
      <c r="O30" s="3"/>
      <c r="P30" s="3"/>
      <c r="Q30" s="3"/>
      <c r="R30" s="3"/>
      <c r="S30" s="3"/>
      <c r="T30" s="3"/>
      <c r="U30" s="3"/>
      <c r="V30" s="3"/>
      <c r="W30" s="3"/>
      <c r="X30" s="3"/>
      <c r="Y30" s="3"/>
      <c r="Z30" s="3"/>
    </row>
    <row r="31">
      <c r="A31" s="27"/>
      <c r="B31" s="3"/>
      <c r="C31" s="3"/>
      <c r="D31" s="3"/>
      <c r="E31" s="3"/>
      <c r="F31" s="3"/>
      <c r="G31" s="3"/>
      <c r="H31" s="3"/>
      <c r="I31" s="3"/>
      <c r="J31" s="3"/>
      <c r="K31" s="3"/>
      <c r="L31" s="3"/>
      <c r="M31" s="3"/>
      <c r="N31" s="3"/>
      <c r="O31" s="3"/>
      <c r="P31" s="3"/>
      <c r="Q31" s="3"/>
      <c r="R31" s="3"/>
      <c r="S31" s="3"/>
      <c r="T31" s="3"/>
      <c r="U31" s="3"/>
      <c r="V31" s="3"/>
      <c r="W31" s="3"/>
      <c r="X31" s="3"/>
      <c r="Y31" s="3"/>
      <c r="Z31" s="3"/>
    </row>
    <row r="32">
      <c r="A32" s="27" t="s">
        <v>56</v>
      </c>
      <c r="B32" s="3"/>
      <c r="C32" s="3"/>
      <c r="D32" s="3"/>
      <c r="E32" s="3"/>
      <c r="F32" s="3"/>
      <c r="G32" s="3"/>
      <c r="H32" s="3"/>
      <c r="I32" s="3"/>
      <c r="J32" s="3"/>
      <c r="K32" s="3"/>
      <c r="L32" s="3"/>
      <c r="M32" s="3"/>
      <c r="N32" s="3"/>
      <c r="O32" s="3"/>
      <c r="P32" s="3"/>
      <c r="Q32" s="3"/>
      <c r="R32" s="3"/>
      <c r="S32" s="3"/>
      <c r="T32" s="3"/>
      <c r="U32" s="3"/>
      <c r="V32" s="3"/>
      <c r="W32" s="3"/>
      <c r="X32" s="3"/>
      <c r="Y32" s="3"/>
      <c r="Z32" s="3"/>
    </row>
    <row r="33">
      <c r="A33" s="28" t="s">
        <v>57</v>
      </c>
      <c r="B33" s="29" t="s">
        <v>58</v>
      </c>
      <c r="C33" s="3"/>
      <c r="D33" s="3"/>
      <c r="E33" s="3"/>
      <c r="F33" s="3"/>
      <c r="G33" s="3"/>
      <c r="H33" s="3"/>
      <c r="I33" s="3"/>
      <c r="J33" s="3"/>
      <c r="K33" s="3"/>
      <c r="L33" s="3"/>
      <c r="M33" s="3"/>
      <c r="N33" s="3"/>
      <c r="O33" s="3"/>
      <c r="P33" s="3"/>
      <c r="Q33" s="3"/>
      <c r="R33" s="3"/>
      <c r="S33" s="3"/>
      <c r="T33" s="3"/>
      <c r="U33" s="3"/>
      <c r="V33" s="3"/>
      <c r="W33" s="3"/>
      <c r="X33" s="3"/>
      <c r="Y33" s="3"/>
      <c r="Z33" s="3"/>
    </row>
    <row r="34">
      <c r="A34" s="14" t="s">
        <v>59</v>
      </c>
      <c r="B34" s="30" t="s">
        <v>60</v>
      </c>
      <c r="C34" s="3"/>
      <c r="D34" s="3"/>
      <c r="E34" s="3"/>
      <c r="F34" s="3"/>
      <c r="G34" s="3"/>
      <c r="H34" s="3"/>
      <c r="I34" s="3"/>
      <c r="J34" s="3"/>
      <c r="K34" s="3"/>
      <c r="L34" s="3"/>
      <c r="M34" s="3"/>
      <c r="N34" s="3"/>
      <c r="O34" s="3"/>
      <c r="P34" s="3"/>
      <c r="Q34" s="3"/>
      <c r="R34" s="3"/>
      <c r="S34" s="3"/>
      <c r="T34" s="3"/>
      <c r="U34" s="3"/>
      <c r="V34" s="3"/>
      <c r="W34" s="3"/>
      <c r="X34" s="3"/>
      <c r="Y34" s="3"/>
      <c r="Z34" s="3"/>
    </row>
    <row r="35">
      <c r="A35" s="14" t="s">
        <v>61</v>
      </c>
      <c r="B35" s="30" t="s">
        <v>62</v>
      </c>
      <c r="C35" s="3"/>
      <c r="D35" s="3"/>
      <c r="E35" s="3"/>
      <c r="F35" s="3"/>
      <c r="G35" s="3"/>
      <c r="H35" s="3"/>
      <c r="I35" s="3"/>
      <c r="J35" s="3"/>
      <c r="K35" s="3"/>
      <c r="L35" s="3"/>
      <c r="M35" s="3"/>
      <c r="N35" s="3"/>
      <c r="O35" s="3"/>
      <c r="P35" s="3"/>
      <c r="Q35" s="3"/>
      <c r="R35" s="3"/>
      <c r="S35" s="3"/>
      <c r="T35" s="3"/>
      <c r="U35" s="3"/>
      <c r="V35" s="3"/>
      <c r="W35" s="3"/>
      <c r="X35" s="3"/>
      <c r="Y35" s="3"/>
      <c r="Z35" s="3"/>
    </row>
    <row r="36">
      <c r="A36" s="14" t="s">
        <v>63</v>
      </c>
      <c r="B36" s="30" t="s">
        <v>64</v>
      </c>
      <c r="C36" s="3"/>
      <c r="D36" s="3"/>
      <c r="E36" s="3"/>
      <c r="F36" s="3"/>
      <c r="G36" s="3"/>
      <c r="H36" s="3"/>
      <c r="I36" s="3"/>
      <c r="J36" s="3"/>
      <c r="K36" s="3"/>
      <c r="L36" s="3"/>
      <c r="M36" s="3"/>
      <c r="N36" s="3"/>
      <c r="O36" s="3"/>
      <c r="P36" s="3"/>
      <c r="Q36" s="3"/>
      <c r="R36" s="3"/>
      <c r="S36" s="3"/>
      <c r="T36" s="3"/>
      <c r="U36" s="3"/>
      <c r="V36" s="3"/>
      <c r="W36" s="3"/>
      <c r="X36" s="3"/>
      <c r="Y36" s="3"/>
      <c r="Z36" s="3"/>
    </row>
    <row r="37">
      <c r="A37" s="14" t="s">
        <v>65</v>
      </c>
      <c r="B37" s="30" t="s">
        <v>66</v>
      </c>
      <c r="C37" s="3"/>
      <c r="D37" s="3"/>
      <c r="E37" s="3"/>
      <c r="F37" s="3"/>
      <c r="G37" s="3"/>
      <c r="H37" s="3"/>
      <c r="I37" s="3"/>
      <c r="J37" s="3"/>
      <c r="K37" s="3"/>
      <c r="L37" s="3"/>
      <c r="M37" s="3"/>
      <c r="N37" s="3"/>
      <c r="O37" s="3"/>
      <c r="P37" s="3"/>
      <c r="Q37" s="3"/>
      <c r="R37" s="3"/>
      <c r="S37" s="3"/>
      <c r="T37" s="3"/>
      <c r="U37" s="3"/>
      <c r="V37" s="3"/>
      <c r="W37" s="3"/>
      <c r="X37" s="3"/>
      <c r="Y37" s="3"/>
      <c r="Z37" s="3"/>
    </row>
    <row r="38">
      <c r="A38" s="14" t="s">
        <v>67</v>
      </c>
      <c r="B38" s="30" t="s">
        <v>68</v>
      </c>
      <c r="C38" s="3"/>
      <c r="D38" s="3"/>
      <c r="E38" s="3"/>
      <c r="F38" s="3"/>
      <c r="G38" s="3"/>
      <c r="H38" s="3"/>
      <c r="I38" s="3"/>
      <c r="J38" s="3"/>
      <c r="K38" s="3"/>
      <c r="L38" s="3"/>
      <c r="M38" s="3"/>
      <c r="N38" s="3"/>
      <c r="O38" s="3"/>
      <c r="P38" s="3"/>
      <c r="Q38" s="3"/>
      <c r="R38" s="3"/>
      <c r="S38" s="3"/>
      <c r="T38" s="3"/>
      <c r="U38" s="3"/>
      <c r="V38" s="3"/>
      <c r="W38" s="3"/>
      <c r="X38" s="3"/>
      <c r="Y38" s="3"/>
      <c r="Z38" s="3"/>
    </row>
    <row r="39">
      <c r="A39" s="14" t="s">
        <v>69</v>
      </c>
      <c r="B39" s="30" t="s">
        <v>70</v>
      </c>
      <c r="C39" s="3"/>
      <c r="D39" s="3"/>
      <c r="E39" s="3"/>
      <c r="F39" s="3"/>
      <c r="G39" s="3"/>
      <c r="H39" s="3"/>
      <c r="I39" s="3"/>
      <c r="J39" s="3"/>
      <c r="K39" s="3"/>
      <c r="L39" s="3"/>
      <c r="M39" s="3"/>
      <c r="N39" s="3"/>
      <c r="O39" s="3"/>
      <c r="P39" s="3"/>
      <c r="Q39" s="3"/>
      <c r="R39" s="3"/>
      <c r="S39" s="3"/>
      <c r="T39" s="3"/>
      <c r="U39" s="3"/>
      <c r="V39" s="3"/>
      <c r="W39" s="3"/>
      <c r="X39" s="3"/>
      <c r="Y39" s="3"/>
      <c r="Z39" s="3"/>
    </row>
    <row r="40">
      <c r="A40" s="14" t="s">
        <v>71</v>
      </c>
      <c r="B40" s="30" t="s">
        <v>72</v>
      </c>
      <c r="C40" s="3"/>
      <c r="D40" s="3"/>
      <c r="E40" s="3"/>
      <c r="F40" s="3"/>
      <c r="G40" s="3"/>
      <c r="H40" s="3"/>
      <c r="I40" s="3"/>
      <c r="J40" s="3"/>
      <c r="K40" s="3"/>
      <c r="L40" s="3"/>
      <c r="M40" s="3"/>
      <c r="N40" s="3"/>
      <c r="O40" s="3"/>
      <c r="P40" s="3"/>
      <c r="Q40" s="3"/>
      <c r="R40" s="3"/>
      <c r="S40" s="3"/>
      <c r="T40" s="3"/>
      <c r="U40" s="3"/>
      <c r="V40" s="3"/>
      <c r="W40" s="3"/>
      <c r="X40" s="3"/>
      <c r="Y40" s="3"/>
      <c r="Z40" s="3"/>
    </row>
    <row r="41">
      <c r="A41" s="14" t="s">
        <v>73</v>
      </c>
      <c r="B41" s="30" t="s">
        <v>74</v>
      </c>
      <c r="C41" s="3"/>
      <c r="D41" s="3"/>
      <c r="E41" s="3"/>
      <c r="F41" s="3"/>
      <c r="G41" s="3"/>
      <c r="H41" s="3"/>
      <c r="I41" s="3"/>
      <c r="J41" s="3"/>
      <c r="K41" s="3"/>
      <c r="L41" s="3"/>
      <c r="M41" s="3"/>
      <c r="N41" s="3"/>
      <c r="O41" s="3"/>
      <c r="P41" s="3"/>
      <c r="Q41" s="3"/>
      <c r="R41" s="3"/>
      <c r="S41" s="3"/>
      <c r="T41" s="3"/>
      <c r="U41" s="3"/>
      <c r="V41" s="3"/>
      <c r="W41" s="3"/>
      <c r="X41" s="3"/>
      <c r="Y41" s="3"/>
      <c r="Z41" s="3"/>
    </row>
    <row r="42">
      <c r="A42" s="14" t="s">
        <v>75</v>
      </c>
      <c r="B42" s="30" t="s">
        <v>76</v>
      </c>
      <c r="C42" s="3"/>
      <c r="D42" s="3"/>
      <c r="E42" s="3"/>
      <c r="F42" s="3"/>
      <c r="G42" s="3"/>
      <c r="H42" s="3"/>
      <c r="I42" s="3"/>
      <c r="J42" s="3"/>
      <c r="K42" s="3"/>
      <c r="L42" s="3"/>
      <c r="M42" s="3"/>
      <c r="N42" s="3"/>
      <c r="O42" s="3"/>
      <c r="P42" s="3"/>
      <c r="Q42" s="3"/>
      <c r="R42" s="3"/>
      <c r="S42" s="3"/>
      <c r="T42" s="3"/>
      <c r="U42" s="3"/>
      <c r="V42" s="3"/>
      <c r="W42" s="3"/>
      <c r="X42" s="3"/>
      <c r="Y42" s="3"/>
      <c r="Z42" s="3"/>
    </row>
    <row r="43">
      <c r="A43" s="14" t="s">
        <v>77</v>
      </c>
      <c r="B43" s="30" t="s">
        <v>78</v>
      </c>
      <c r="C43" s="3"/>
      <c r="D43" s="3"/>
      <c r="E43" s="3"/>
      <c r="F43" s="3"/>
      <c r="G43" s="3"/>
      <c r="H43" s="3"/>
      <c r="I43" s="3"/>
      <c r="J43" s="3"/>
      <c r="K43" s="3"/>
      <c r="L43" s="3"/>
      <c r="M43" s="3"/>
      <c r="N43" s="3"/>
      <c r="O43" s="3"/>
      <c r="P43" s="3"/>
      <c r="Q43" s="3"/>
      <c r="R43" s="3"/>
      <c r="S43" s="3"/>
      <c r="T43" s="3"/>
      <c r="U43" s="3"/>
      <c r="V43" s="3"/>
      <c r="W43" s="3"/>
      <c r="X43" s="3"/>
      <c r="Y43" s="3"/>
      <c r="Z43" s="3"/>
    </row>
    <row r="44">
      <c r="A44" s="14" t="s">
        <v>79</v>
      </c>
      <c r="B44" s="30" t="s">
        <v>80</v>
      </c>
      <c r="C44" s="3"/>
      <c r="D44" s="3"/>
      <c r="E44" s="3"/>
      <c r="F44" s="3"/>
      <c r="G44" s="3"/>
      <c r="H44" s="3"/>
      <c r="I44" s="3"/>
      <c r="J44" s="3"/>
      <c r="K44" s="3"/>
      <c r="L44" s="3"/>
      <c r="M44" s="3"/>
      <c r="N44" s="3"/>
      <c r="O44" s="3"/>
      <c r="P44" s="3"/>
      <c r="Q44" s="3"/>
      <c r="R44" s="3"/>
      <c r="S44" s="3"/>
      <c r="T44" s="3"/>
      <c r="U44" s="3"/>
      <c r="V44" s="3"/>
      <c r="W44" s="3"/>
      <c r="X44" s="3"/>
      <c r="Y44" s="3"/>
      <c r="Z44" s="3"/>
    </row>
    <row r="45">
      <c r="A45" s="14" t="s">
        <v>81</v>
      </c>
      <c r="B45" s="30" t="s">
        <v>82</v>
      </c>
      <c r="C45" s="3"/>
      <c r="D45" s="3"/>
      <c r="E45" s="3"/>
      <c r="F45" s="3"/>
      <c r="G45" s="3"/>
      <c r="H45" s="3"/>
      <c r="I45" s="3"/>
      <c r="J45" s="3"/>
      <c r="K45" s="3"/>
      <c r="L45" s="3"/>
      <c r="M45" s="3"/>
      <c r="N45" s="3"/>
      <c r="O45" s="3"/>
      <c r="P45" s="3"/>
      <c r="Q45" s="3"/>
      <c r="R45" s="3"/>
      <c r="S45" s="3"/>
      <c r="T45" s="3"/>
      <c r="U45" s="3"/>
      <c r="V45" s="3"/>
      <c r="W45" s="3"/>
      <c r="X45" s="3"/>
      <c r="Y45" s="3"/>
      <c r="Z45" s="3"/>
    </row>
    <row r="46">
      <c r="A46" s="14" t="s">
        <v>83</v>
      </c>
      <c r="B46" s="30" t="s">
        <v>84</v>
      </c>
      <c r="C46" s="3"/>
      <c r="D46" s="3"/>
      <c r="E46" s="3"/>
      <c r="F46" s="3"/>
      <c r="G46" s="3"/>
      <c r="H46" s="3"/>
      <c r="I46" s="3"/>
      <c r="J46" s="3"/>
      <c r="K46" s="3"/>
      <c r="L46" s="3"/>
      <c r="M46" s="3"/>
      <c r="N46" s="3"/>
      <c r="O46" s="3"/>
      <c r="P46" s="3"/>
      <c r="Q46" s="3"/>
      <c r="R46" s="3"/>
      <c r="S46" s="3"/>
      <c r="T46" s="3"/>
      <c r="U46" s="3"/>
      <c r="V46" s="3"/>
      <c r="W46" s="3"/>
      <c r="X46" s="3"/>
      <c r="Y46" s="3"/>
      <c r="Z46" s="3"/>
    </row>
    <row r="47">
      <c r="A47" s="14" t="s">
        <v>85</v>
      </c>
      <c r="B47" s="30" t="s">
        <v>86</v>
      </c>
      <c r="C47" s="3"/>
      <c r="D47" s="3"/>
      <c r="E47" s="3"/>
      <c r="F47" s="3"/>
      <c r="G47" s="3"/>
      <c r="H47" s="3"/>
      <c r="I47" s="3"/>
      <c r="J47" s="3"/>
      <c r="K47" s="3"/>
      <c r="L47" s="3"/>
      <c r="M47" s="3"/>
      <c r="N47" s="3"/>
      <c r="O47" s="3"/>
      <c r="P47" s="3"/>
      <c r="Q47" s="3"/>
      <c r="R47" s="3"/>
      <c r="S47" s="3"/>
      <c r="T47" s="3"/>
      <c r="U47" s="3"/>
      <c r="V47" s="3"/>
      <c r="W47" s="3"/>
      <c r="X47" s="3"/>
      <c r="Y47" s="3"/>
      <c r="Z47" s="3"/>
    </row>
    <row r="48">
      <c r="A48" s="14" t="s">
        <v>87</v>
      </c>
      <c r="B48" s="30" t="s">
        <v>88</v>
      </c>
      <c r="C48" s="3"/>
      <c r="D48" s="3"/>
      <c r="E48" s="3"/>
      <c r="F48" s="3"/>
      <c r="G48" s="3"/>
      <c r="H48" s="3"/>
      <c r="I48" s="3"/>
      <c r="J48" s="3"/>
      <c r="K48" s="3"/>
      <c r="L48" s="3"/>
      <c r="M48" s="3"/>
      <c r="N48" s="3"/>
      <c r="O48" s="3"/>
      <c r="P48" s="3"/>
      <c r="Q48" s="3"/>
      <c r="R48" s="3"/>
      <c r="S48" s="3"/>
      <c r="T48" s="3"/>
      <c r="U48" s="3"/>
      <c r="V48" s="3"/>
      <c r="W48" s="3"/>
      <c r="X48" s="3"/>
      <c r="Y48" s="3"/>
      <c r="Z48" s="3"/>
    </row>
    <row r="49">
      <c r="A49" s="14" t="s">
        <v>89</v>
      </c>
      <c r="B49" s="30" t="s">
        <v>90</v>
      </c>
      <c r="C49" s="3"/>
      <c r="D49" s="3"/>
      <c r="E49" s="3"/>
      <c r="F49" s="3"/>
      <c r="G49" s="3"/>
      <c r="H49" s="3"/>
      <c r="I49" s="3"/>
      <c r="J49" s="3"/>
      <c r="K49" s="3"/>
      <c r="L49" s="3"/>
      <c r="M49" s="3"/>
      <c r="N49" s="3"/>
      <c r="O49" s="3"/>
      <c r="P49" s="3"/>
      <c r="Q49" s="3"/>
      <c r="R49" s="3"/>
      <c r="S49" s="3"/>
      <c r="T49" s="3"/>
      <c r="U49" s="3"/>
      <c r="V49" s="3"/>
      <c r="W49" s="3"/>
      <c r="X49" s="3"/>
      <c r="Y49" s="3"/>
      <c r="Z49" s="3"/>
    </row>
    <row r="50">
      <c r="A50" s="14" t="s">
        <v>91</v>
      </c>
      <c r="B50" s="30" t="s">
        <v>92</v>
      </c>
      <c r="C50" s="3"/>
      <c r="D50" s="3"/>
      <c r="E50" s="3"/>
      <c r="F50" s="3"/>
      <c r="G50" s="3"/>
      <c r="H50" s="3"/>
      <c r="I50" s="3"/>
      <c r="J50" s="3"/>
      <c r="K50" s="3"/>
      <c r="L50" s="3"/>
      <c r="M50" s="3"/>
      <c r="N50" s="3"/>
      <c r="O50" s="3"/>
      <c r="P50" s="3"/>
      <c r="Q50" s="3"/>
      <c r="R50" s="3"/>
      <c r="S50" s="3"/>
      <c r="T50" s="3"/>
      <c r="U50" s="3"/>
      <c r="V50" s="3"/>
      <c r="W50" s="3"/>
      <c r="X50" s="3"/>
      <c r="Y50" s="3"/>
      <c r="Z50" s="3"/>
    </row>
    <row r="51">
      <c r="A51" s="14" t="s">
        <v>93</v>
      </c>
      <c r="B51" s="30" t="s">
        <v>94</v>
      </c>
      <c r="C51" s="3"/>
      <c r="D51" s="3"/>
      <c r="E51" s="3"/>
      <c r="F51" s="3"/>
      <c r="G51" s="3"/>
      <c r="H51" s="3"/>
      <c r="I51" s="3"/>
      <c r="J51" s="3"/>
      <c r="K51" s="3"/>
      <c r="L51" s="3"/>
      <c r="M51" s="3"/>
      <c r="N51" s="3"/>
      <c r="O51" s="3"/>
      <c r="P51" s="3"/>
      <c r="Q51" s="3"/>
      <c r="R51" s="3"/>
      <c r="S51" s="3"/>
      <c r="T51" s="3"/>
      <c r="U51" s="3"/>
      <c r="V51" s="3"/>
      <c r="W51" s="3"/>
      <c r="X51" s="3"/>
      <c r="Y51" s="3"/>
      <c r="Z51" s="3"/>
    </row>
    <row r="52">
      <c r="A52" s="14" t="s">
        <v>95</v>
      </c>
      <c r="B52" s="30" t="s">
        <v>96</v>
      </c>
      <c r="C52" s="3"/>
      <c r="D52" s="3"/>
      <c r="E52" s="3"/>
      <c r="F52" s="3"/>
      <c r="G52" s="3"/>
      <c r="H52" s="3"/>
      <c r="I52" s="3"/>
      <c r="J52" s="3"/>
      <c r="K52" s="3"/>
      <c r="L52" s="3"/>
      <c r="M52" s="3"/>
      <c r="N52" s="3"/>
      <c r="O52" s="3"/>
      <c r="P52" s="3"/>
      <c r="Q52" s="3"/>
      <c r="R52" s="3"/>
      <c r="S52" s="3"/>
      <c r="T52" s="3"/>
      <c r="U52" s="3"/>
      <c r="V52" s="3"/>
      <c r="W52" s="3"/>
      <c r="X52" s="3"/>
      <c r="Y52" s="3"/>
      <c r="Z52" s="3"/>
    </row>
    <row r="53">
      <c r="A53" s="14" t="s">
        <v>97</v>
      </c>
      <c r="B53" s="30" t="s">
        <v>98</v>
      </c>
      <c r="C53" s="3"/>
      <c r="D53" s="3"/>
      <c r="E53" s="3"/>
      <c r="F53" s="3"/>
      <c r="G53" s="3"/>
      <c r="H53" s="3"/>
      <c r="I53" s="3"/>
      <c r="J53" s="3"/>
      <c r="K53" s="3"/>
      <c r="L53" s="3"/>
      <c r="M53" s="3"/>
      <c r="N53" s="3"/>
      <c r="O53" s="3"/>
      <c r="P53" s="3"/>
      <c r="Q53" s="3"/>
      <c r="R53" s="3"/>
      <c r="S53" s="3"/>
      <c r="T53" s="3"/>
      <c r="U53" s="3"/>
      <c r="V53" s="3"/>
      <c r="W53" s="3"/>
      <c r="X53" s="3"/>
      <c r="Y53" s="3"/>
      <c r="Z53" s="3"/>
    </row>
    <row r="54">
      <c r="A54" s="14" t="s">
        <v>99</v>
      </c>
      <c r="B54" s="30" t="s">
        <v>100</v>
      </c>
      <c r="C54" s="3"/>
      <c r="D54" s="3"/>
      <c r="E54" s="3"/>
      <c r="F54" s="3"/>
      <c r="G54" s="3"/>
      <c r="H54" s="3"/>
      <c r="I54" s="3"/>
      <c r="J54" s="3"/>
      <c r="K54" s="3"/>
      <c r="L54" s="3"/>
      <c r="M54" s="3"/>
      <c r="N54" s="3"/>
      <c r="O54" s="3"/>
      <c r="P54" s="3"/>
      <c r="Q54" s="3"/>
      <c r="R54" s="3"/>
      <c r="S54" s="3"/>
      <c r="T54" s="3"/>
      <c r="U54" s="3"/>
      <c r="V54" s="3"/>
      <c r="W54" s="3"/>
      <c r="X54" s="3"/>
      <c r="Y54" s="3"/>
      <c r="Z54" s="3"/>
    </row>
    <row r="55">
      <c r="A55" s="14" t="s">
        <v>101</v>
      </c>
      <c r="B55" s="30" t="s">
        <v>102</v>
      </c>
      <c r="C55" s="3"/>
      <c r="D55" s="3"/>
      <c r="E55" s="3"/>
      <c r="F55" s="3"/>
      <c r="G55" s="3"/>
      <c r="H55" s="3"/>
      <c r="I55" s="3"/>
      <c r="J55" s="3"/>
      <c r="K55" s="3"/>
      <c r="L55" s="3"/>
      <c r="M55" s="3"/>
      <c r="N55" s="3"/>
      <c r="O55" s="3"/>
      <c r="P55" s="3"/>
      <c r="Q55" s="3"/>
      <c r="R55" s="3"/>
      <c r="S55" s="3"/>
      <c r="T55" s="3"/>
      <c r="U55" s="3"/>
      <c r="V55" s="3"/>
      <c r="W55" s="3"/>
      <c r="X55" s="3"/>
      <c r="Y55" s="3"/>
      <c r="Z55" s="3"/>
    </row>
    <row r="56">
      <c r="A56" s="14" t="s">
        <v>103</v>
      </c>
      <c r="B56" s="12" t="s">
        <v>104</v>
      </c>
      <c r="C56" s="3"/>
      <c r="D56" s="3"/>
      <c r="E56" s="3"/>
      <c r="F56" s="3"/>
      <c r="G56" s="3"/>
      <c r="H56" s="3"/>
      <c r="I56" s="3"/>
      <c r="J56" s="3"/>
      <c r="K56" s="3"/>
      <c r="L56" s="3"/>
      <c r="M56" s="3"/>
      <c r="N56" s="3"/>
      <c r="O56" s="3"/>
      <c r="P56" s="3"/>
      <c r="Q56" s="3"/>
      <c r="R56" s="3"/>
      <c r="S56" s="3"/>
      <c r="T56" s="3"/>
      <c r="U56" s="3"/>
      <c r="V56" s="3"/>
      <c r="W56" s="3"/>
      <c r="X56" s="3"/>
      <c r="Y56" s="3"/>
      <c r="Z56" s="3"/>
    </row>
    <row r="57">
      <c r="A57" s="14" t="s">
        <v>105</v>
      </c>
      <c r="B57" s="30" t="s">
        <v>106</v>
      </c>
      <c r="C57" s="3"/>
      <c r="D57" s="3"/>
      <c r="E57" s="3"/>
      <c r="F57" s="3"/>
      <c r="G57" s="3"/>
      <c r="H57" s="3"/>
      <c r="I57" s="3"/>
      <c r="J57" s="3"/>
      <c r="K57" s="3"/>
      <c r="L57" s="3"/>
      <c r="M57" s="3"/>
      <c r="N57" s="3"/>
      <c r="O57" s="3"/>
      <c r="P57" s="3"/>
      <c r="Q57" s="3"/>
      <c r="R57" s="3"/>
      <c r="S57" s="3"/>
      <c r="T57" s="3"/>
      <c r="U57" s="3"/>
      <c r="V57" s="3"/>
      <c r="W57" s="3"/>
      <c r="X57" s="3"/>
      <c r="Y57" s="3"/>
      <c r="Z57" s="3"/>
    </row>
    <row r="58">
      <c r="A58" s="14" t="s">
        <v>107</v>
      </c>
      <c r="B58" s="30" t="s">
        <v>108</v>
      </c>
      <c r="C58" s="3"/>
      <c r="D58" s="3"/>
      <c r="E58" s="3"/>
      <c r="F58" s="3"/>
      <c r="G58" s="3"/>
      <c r="H58" s="3"/>
      <c r="I58" s="3"/>
      <c r="J58" s="3"/>
      <c r="K58" s="3"/>
      <c r="L58" s="3"/>
      <c r="M58" s="3"/>
      <c r="N58" s="3"/>
      <c r="O58" s="3"/>
      <c r="P58" s="3"/>
      <c r="Q58" s="3"/>
      <c r="R58" s="3"/>
      <c r="S58" s="3"/>
      <c r="T58" s="3"/>
      <c r="U58" s="3"/>
      <c r="V58" s="3"/>
      <c r="W58" s="3"/>
      <c r="X58" s="3"/>
      <c r="Y58" s="3"/>
      <c r="Z58" s="3"/>
    </row>
    <row r="59">
      <c r="A59" s="14" t="s">
        <v>109</v>
      </c>
      <c r="B59" s="30" t="s">
        <v>110</v>
      </c>
      <c r="C59" s="3"/>
      <c r="D59" s="3"/>
      <c r="E59" s="3"/>
      <c r="F59" s="3"/>
      <c r="G59" s="3"/>
      <c r="H59" s="3"/>
      <c r="I59" s="3"/>
      <c r="J59" s="3"/>
      <c r="K59" s="3"/>
      <c r="L59" s="3"/>
      <c r="M59" s="3"/>
      <c r="N59" s="3"/>
      <c r="O59" s="3"/>
      <c r="P59" s="3"/>
      <c r="Q59" s="3"/>
      <c r="R59" s="3"/>
      <c r="S59" s="3"/>
      <c r="T59" s="3"/>
      <c r="U59" s="3"/>
      <c r="V59" s="3"/>
      <c r="W59" s="3"/>
      <c r="X59" s="3"/>
      <c r="Y59" s="3"/>
      <c r="Z59" s="3"/>
    </row>
    <row r="60">
      <c r="A60" s="14" t="s">
        <v>111</v>
      </c>
      <c r="B60" s="30" t="s">
        <v>112</v>
      </c>
      <c r="C60" s="3"/>
      <c r="D60" s="3"/>
      <c r="E60" s="3"/>
      <c r="F60" s="3"/>
      <c r="G60" s="3"/>
      <c r="H60" s="3"/>
      <c r="I60" s="3"/>
      <c r="J60" s="3"/>
      <c r="K60" s="3"/>
      <c r="L60" s="3"/>
      <c r="M60" s="3"/>
      <c r="N60" s="3"/>
      <c r="O60" s="3"/>
      <c r="P60" s="3"/>
      <c r="Q60" s="3"/>
      <c r="R60" s="3"/>
      <c r="S60" s="3"/>
      <c r="T60" s="3"/>
      <c r="U60" s="3"/>
      <c r="V60" s="3"/>
      <c r="W60" s="3"/>
      <c r="X60" s="3"/>
      <c r="Y60" s="3"/>
      <c r="Z60" s="3"/>
    </row>
    <row r="61">
      <c r="A61" s="14" t="s">
        <v>113</v>
      </c>
      <c r="B61" s="30" t="s">
        <v>114</v>
      </c>
      <c r="C61" s="3"/>
      <c r="D61" s="3"/>
      <c r="E61" s="3"/>
      <c r="F61" s="3"/>
      <c r="G61" s="3"/>
      <c r="H61" s="3"/>
      <c r="I61" s="3"/>
      <c r="J61" s="3"/>
      <c r="K61" s="3"/>
      <c r="L61" s="3"/>
      <c r="M61" s="3"/>
      <c r="N61" s="3"/>
      <c r="O61" s="3"/>
      <c r="P61" s="3"/>
      <c r="Q61" s="3"/>
      <c r="R61" s="3"/>
      <c r="S61" s="3"/>
      <c r="T61" s="3"/>
      <c r="U61" s="3"/>
      <c r="V61" s="3"/>
      <c r="W61" s="3"/>
      <c r="X61" s="3"/>
      <c r="Y61" s="3"/>
      <c r="Z61" s="3"/>
    </row>
    <row r="62">
      <c r="A62" s="14" t="s">
        <v>115</v>
      </c>
      <c r="B62" s="30" t="s">
        <v>116</v>
      </c>
      <c r="C62" s="3"/>
      <c r="D62" s="3"/>
      <c r="E62" s="3"/>
      <c r="F62" s="3"/>
      <c r="G62" s="3"/>
      <c r="H62" s="3"/>
      <c r="I62" s="3"/>
      <c r="J62" s="3"/>
      <c r="K62" s="3"/>
      <c r="L62" s="3"/>
      <c r="M62" s="3"/>
      <c r="N62" s="3"/>
      <c r="O62" s="3"/>
      <c r="P62" s="3"/>
      <c r="Q62" s="3"/>
      <c r="R62" s="3"/>
      <c r="S62" s="3"/>
      <c r="T62" s="3"/>
      <c r="U62" s="3"/>
      <c r="V62" s="3"/>
      <c r="W62" s="3"/>
      <c r="X62" s="3"/>
      <c r="Y62" s="3"/>
      <c r="Z62" s="3"/>
    </row>
    <row r="63">
      <c r="A63" s="14" t="s">
        <v>117</v>
      </c>
      <c r="B63" s="30" t="s">
        <v>118</v>
      </c>
      <c r="C63" s="3"/>
      <c r="D63" s="3"/>
      <c r="E63" s="3"/>
      <c r="F63" s="3"/>
      <c r="G63" s="3"/>
      <c r="H63" s="3"/>
      <c r="I63" s="3"/>
      <c r="J63" s="3"/>
      <c r="K63" s="3"/>
      <c r="L63" s="3"/>
      <c r="M63" s="3"/>
      <c r="N63" s="3"/>
      <c r="O63" s="3"/>
      <c r="P63" s="3"/>
      <c r="Q63" s="3"/>
      <c r="R63" s="3"/>
      <c r="S63" s="3"/>
      <c r="T63" s="3"/>
      <c r="U63" s="3"/>
      <c r="V63" s="3"/>
      <c r="W63" s="3"/>
      <c r="X63" s="3"/>
      <c r="Y63" s="3"/>
      <c r="Z63" s="3"/>
    </row>
    <row r="64">
      <c r="A64" s="15" t="s">
        <v>119</v>
      </c>
      <c r="B64" s="31" t="s">
        <v>120</v>
      </c>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sheetData>
  <hyperlinks>
    <hyperlink display="SFF Case &lt;10L" location="'SFF Case &lt;10L'!A1" ref="A3"/>
    <hyperlink display="SFF Case 10L-20L" location="'SFF Case 10L-20L'!A1" ref="A4"/>
    <hyperlink display="MFF Case &gt;20L" location="'MFF Case &gt;20L'!A1" ref="A5"/>
    <hyperlink display="Taobao Agents" location="'Taobao Agents'!A1" ref="A6"/>
    <hyperlink display="CPU Cooler &lt;70mm" location="'CPU Cooler &lt;70mm'!A1" ref="A7"/>
    <hyperlink display="CPU Cooler &gt;70mm" location="'CPU Cooler &gt;70mm'!A1" ref="A8"/>
    <hyperlink display="AIO" location="AIO!A1" ref="A9"/>
    <hyperlink display="Slim Fan" location="'Slim Fan'!A1" ref="A10"/>
    <hyperlink display="Fans" location="Fans!A1" ref="A11"/>
    <hyperlink display="RAM Height" location="'RAM Height'!A1" ref="A12"/>
    <hyperlink display="PCIe Riser" location="'PCIe Riser'!A1" ref="A13"/>
    <hyperlink display="SFF GPU &lt;215mm" location="'SFF GPU &lt;215mm'!A1" ref="A14"/>
    <hyperlink display="GPU &gt;215mm" location="'GPU &gt;215mm'!A1" ref="A15"/>
    <hyperlink display="GPU Spec" location="'GPU Spec'!A1" ref="A16"/>
    <hyperlink display="mITX Boards" location="'mITX Boards'!A1" ref="A17"/>
    <hyperlink display="mDTX &amp; mATX Boards" location="'mDTX&amp;mATX Boards'!A1" ref="A18"/>
    <hyperlink display="PSU" location="PSU!A1" ref="A19"/>
    <hyperlink display="CPU" location="CPU!A1" ref="A20"/>
    <hyperlink display="Chipset" location="Chipset!A1" ref="A21"/>
    <hyperlink display="Console &amp; Pre-Built" location="'Console &amp; Pre-Built'!A1" ref="A22"/>
    <hyperlink r:id="rId1" ref="A33"/>
    <hyperlink r:id="rId2" ref="A34"/>
    <hyperlink r:id="rId3" ref="A35"/>
    <hyperlink r:id="rId4" ref="A36"/>
    <hyperlink r:id="rId5" ref="A37"/>
    <hyperlink r:id="rId6" ref="A38"/>
    <hyperlink r:id="rId7" ref="A39"/>
    <hyperlink r:id="rId8" ref="A40"/>
    <hyperlink r:id="rId9" ref="A41"/>
    <hyperlink r:id="rId10" ref="A42"/>
    <hyperlink r:id="rId11" ref="A43"/>
    <hyperlink r:id="rId12" ref="A44"/>
    <hyperlink r:id="rId13" ref="A45"/>
    <hyperlink r:id="rId14" ref="A46"/>
    <hyperlink r:id="rId15" ref="A47"/>
    <hyperlink r:id="rId16" ref="A48"/>
    <hyperlink r:id="rId17" ref="A49"/>
    <hyperlink r:id="rId18" ref="A50"/>
    <hyperlink r:id="rId19" ref="A51"/>
    <hyperlink r:id="rId20" ref="A52"/>
    <hyperlink r:id="rId21" ref="A53"/>
    <hyperlink r:id="rId22" ref="A54"/>
    <hyperlink r:id="rId23" ref="A55"/>
    <hyperlink r:id="rId24" ref="A56"/>
    <hyperlink r:id="rId25" location="gid=0" ref="A57"/>
    <hyperlink r:id="rId26" location="gid=586706726" ref="A58"/>
    <hyperlink r:id="rId27" ref="A59"/>
    <hyperlink r:id="rId28" ref="A60"/>
    <hyperlink r:id="rId29" location="gid=163658232" ref="A61"/>
    <hyperlink r:id="rId30" ref="A62"/>
    <hyperlink r:id="rId31" ref="A63"/>
    <hyperlink r:id="rId32" ref="A64"/>
  </hyperlinks>
  <drawing r:id="rId3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4.88"/>
    <col customWidth="1" min="2" max="2" width="14.0"/>
    <col customWidth="1" min="3" max="3" width="8.0"/>
    <col customWidth="1" min="4" max="5" width="7.13"/>
    <col customWidth="1" min="6" max="7" width="5.63"/>
    <col customWidth="1" min="8" max="8" width="7.0"/>
    <col customWidth="1" min="9" max="9" width="5.63"/>
    <col customWidth="1" min="10" max="10" width="9.75"/>
    <col customWidth="1" min="11" max="11" width="10.38"/>
    <col customWidth="1" min="12" max="13" width="8.0"/>
    <col customWidth="1" min="14" max="16" width="5.63"/>
    <col customWidth="1" min="17" max="17" width="6.5"/>
    <col customWidth="1" min="18" max="19" width="5.63"/>
    <col customWidth="1" min="20" max="20" width="9.13"/>
    <col customWidth="1" min="21" max="21" width="8.0"/>
    <col customWidth="1" min="22" max="22" width="6.0"/>
    <col customWidth="1" min="23" max="23" width="5.63"/>
    <col customWidth="1" min="24" max="24" width="6.5"/>
    <col customWidth="1" min="25" max="30" width="6.88"/>
    <col customWidth="1" min="31" max="36" width="5.63"/>
    <col customWidth="1" min="37" max="37" width="7.38"/>
    <col customWidth="1" min="38" max="38" width="6.0"/>
    <col customWidth="1" min="39" max="40" width="5.63"/>
    <col customWidth="1" min="41" max="42" width="11.63"/>
    <col customWidth="1" min="43" max="43" width="12.63"/>
  </cols>
  <sheetData>
    <row r="1" ht="72.75" customHeight="1">
      <c r="A1" s="32" t="s">
        <v>121</v>
      </c>
      <c r="B1" s="32" t="s">
        <v>122</v>
      </c>
      <c r="C1" s="33" t="s">
        <v>123</v>
      </c>
      <c r="D1" s="34" t="s">
        <v>124</v>
      </c>
      <c r="E1" s="34" t="s">
        <v>125</v>
      </c>
      <c r="F1" s="34" t="s">
        <v>126</v>
      </c>
      <c r="G1" s="34" t="s">
        <v>127</v>
      </c>
      <c r="H1" s="34" t="s">
        <v>128</v>
      </c>
      <c r="I1" s="34" t="s">
        <v>129</v>
      </c>
      <c r="J1" s="32" t="s">
        <v>130</v>
      </c>
      <c r="K1" s="35" t="s">
        <v>131</v>
      </c>
      <c r="L1" s="36" t="s">
        <v>132</v>
      </c>
      <c r="M1" s="37" t="s">
        <v>133</v>
      </c>
      <c r="N1" s="36" t="s">
        <v>134</v>
      </c>
      <c r="O1" s="34" t="s">
        <v>135</v>
      </c>
      <c r="P1" s="34" t="s">
        <v>136</v>
      </c>
      <c r="Q1" s="38" t="s">
        <v>137</v>
      </c>
      <c r="R1" s="34" t="s">
        <v>138</v>
      </c>
      <c r="S1" s="37" t="s">
        <v>139</v>
      </c>
      <c r="T1" s="39" t="s">
        <v>140</v>
      </c>
      <c r="U1" s="40" t="s">
        <v>42</v>
      </c>
      <c r="V1" s="36" t="s">
        <v>141</v>
      </c>
      <c r="W1" s="34" t="s">
        <v>142</v>
      </c>
      <c r="X1" s="37" t="s">
        <v>143</v>
      </c>
      <c r="Y1" s="36" t="s">
        <v>144</v>
      </c>
      <c r="Z1" s="34" t="s">
        <v>145</v>
      </c>
      <c r="AA1" s="34" t="s">
        <v>146</v>
      </c>
      <c r="AB1" s="34" t="s">
        <v>147</v>
      </c>
      <c r="AC1" s="34" t="s">
        <v>148</v>
      </c>
      <c r="AD1" s="34" t="s">
        <v>149</v>
      </c>
      <c r="AE1" s="34" t="s">
        <v>150</v>
      </c>
      <c r="AF1" s="37" t="s">
        <v>151</v>
      </c>
      <c r="AG1" s="36" t="s">
        <v>152</v>
      </c>
      <c r="AH1" s="36" t="s">
        <v>153</v>
      </c>
      <c r="AI1" s="34" t="s">
        <v>154</v>
      </c>
      <c r="AJ1" s="37" t="s">
        <v>155</v>
      </c>
      <c r="AK1" s="36" t="s">
        <v>156</v>
      </c>
      <c r="AL1" s="41" t="s">
        <v>157</v>
      </c>
      <c r="AM1" s="42" t="s">
        <v>158</v>
      </c>
      <c r="AN1" s="43" t="s">
        <v>159</v>
      </c>
      <c r="AO1" s="44" t="s">
        <v>160</v>
      </c>
      <c r="AP1" s="44" t="s">
        <v>161</v>
      </c>
      <c r="AQ1" s="45"/>
    </row>
    <row r="2">
      <c r="A2" s="46" t="str">
        <f>HYPERLINK("https://shop206098240.world.taobao.com/","LZmod")</f>
        <v>LZmod</v>
      </c>
      <c r="B2" s="46" t="s">
        <v>162</v>
      </c>
      <c r="C2" s="47" t="s">
        <v>163</v>
      </c>
      <c r="D2" s="48">
        <v>180.0</v>
      </c>
      <c r="E2" s="48">
        <v>190.0</v>
      </c>
      <c r="F2" s="48">
        <v>55.28</v>
      </c>
      <c r="G2" s="49">
        <f t="shared" ref="G2:G395" si="1">D2*E2*F2/1000000</f>
        <v>1.890576</v>
      </c>
      <c r="H2" s="49">
        <f t="shared" ref="H2:H395" si="2">D2*E2/100</f>
        <v>342</v>
      </c>
      <c r="I2" s="48">
        <v>1.3</v>
      </c>
      <c r="J2" s="48" t="s">
        <v>164</v>
      </c>
      <c r="K2" s="50" t="s">
        <v>165</v>
      </c>
      <c r="L2" s="51">
        <v>36.9</v>
      </c>
      <c r="M2" s="50" t="s">
        <v>166</v>
      </c>
      <c r="N2" s="51" t="s">
        <v>166</v>
      </c>
      <c r="O2" s="48" t="s">
        <v>166</v>
      </c>
      <c r="P2" s="48" t="s">
        <v>166</v>
      </c>
      <c r="Q2" s="48" t="s">
        <v>166</v>
      </c>
      <c r="R2" s="48" t="s">
        <v>166</v>
      </c>
      <c r="S2" s="50" t="s">
        <v>166</v>
      </c>
      <c r="T2" s="52" t="s">
        <v>167</v>
      </c>
      <c r="U2" s="53" t="s">
        <v>168</v>
      </c>
      <c r="V2" s="51" t="s">
        <v>166</v>
      </c>
      <c r="W2" s="48" t="s">
        <v>166</v>
      </c>
      <c r="X2" s="50" t="s">
        <v>166</v>
      </c>
      <c r="Y2" s="51" t="s">
        <v>166</v>
      </c>
      <c r="Z2" s="48" t="s">
        <v>166</v>
      </c>
      <c r="AA2" s="48" t="s">
        <v>166</v>
      </c>
      <c r="AB2" s="48" t="s">
        <v>166</v>
      </c>
      <c r="AC2" s="48" t="s">
        <v>166</v>
      </c>
      <c r="AD2" s="48" t="s">
        <v>166</v>
      </c>
      <c r="AE2" s="54" t="s">
        <v>166</v>
      </c>
      <c r="AF2" s="55" t="s">
        <v>166</v>
      </c>
      <c r="AG2" s="51" t="s">
        <v>166</v>
      </c>
      <c r="AH2" s="48" t="s">
        <v>166</v>
      </c>
      <c r="AI2" s="48" t="s">
        <v>166</v>
      </c>
      <c r="AJ2" s="50" t="s">
        <v>166</v>
      </c>
      <c r="AK2" s="56">
        <v>318.0</v>
      </c>
      <c r="AL2" s="57">
        <f>AK2*Sheets!$E$3</f>
        <v>43.834869</v>
      </c>
      <c r="AM2" s="58"/>
      <c r="AN2" s="59"/>
      <c r="AO2" s="60"/>
      <c r="AP2" s="60"/>
    </row>
    <row r="3">
      <c r="A3" s="61" t="s">
        <v>169</v>
      </c>
      <c r="B3" s="62" t="str">
        <f>HYPERLINK("https://www.asrock.com/nettop/AMD/DeskMini%20A300%20Series/#Overview","DeskMini A300")</f>
        <v>DeskMini A300</v>
      </c>
      <c r="C3" s="63" t="s">
        <v>163</v>
      </c>
      <c r="D3" s="48">
        <v>155.0</v>
      </c>
      <c r="E3" s="48">
        <v>80.0</v>
      </c>
      <c r="F3" s="48">
        <v>155.0</v>
      </c>
      <c r="G3" s="49">
        <f t="shared" si="1"/>
        <v>1.922</v>
      </c>
      <c r="H3" s="49">
        <f t="shared" si="2"/>
        <v>124</v>
      </c>
      <c r="I3" s="48" t="s">
        <v>170</v>
      </c>
      <c r="J3" s="48" t="s">
        <v>171</v>
      </c>
      <c r="K3" s="50" t="s">
        <v>171</v>
      </c>
      <c r="L3" s="51">
        <v>46.0</v>
      </c>
      <c r="M3" s="50" t="s">
        <v>166</v>
      </c>
      <c r="N3" s="51" t="s">
        <v>166</v>
      </c>
      <c r="O3" s="48" t="s">
        <v>166</v>
      </c>
      <c r="P3" s="48" t="s">
        <v>166</v>
      </c>
      <c r="Q3" s="48" t="s">
        <v>166</v>
      </c>
      <c r="R3" s="48" t="s">
        <v>166</v>
      </c>
      <c r="S3" s="50" t="s">
        <v>166</v>
      </c>
      <c r="T3" s="52" t="s">
        <v>172</v>
      </c>
      <c r="U3" s="52" t="s">
        <v>173</v>
      </c>
      <c r="V3" s="51">
        <v>2.0</v>
      </c>
      <c r="W3" s="48" t="s">
        <v>166</v>
      </c>
      <c r="X3" s="50" t="s">
        <v>166</v>
      </c>
      <c r="Y3" s="51" t="s">
        <v>166</v>
      </c>
      <c r="Z3" s="48" t="s">
        <v>166</v>
      </c>
      <c r="AA3" s="48" t="s">
        <v>166</v>
      </c>
      <c r="AB3" s="48" t="s">
        <v>166</v>
      </c>
      <c r="AC3" s="48" t="s">
        <v>166</v>
      </c>
      <c r="AD3" s="48" t="s">
        <v>166</v>
      </c>
      <c r="AE3" s="54" t="s">
        <v>166</v>
      </c>
      <c r="AF3" s="55" t="s">
        <v>166</v>
      </c>
      <c r="AG3" s="51" t="s">
        <v>166</v>
      </c>
      <c r="AH3" s="48">
        <v>1.0</v>
      </c>
      <c r="AI3" s="48">
        <v>1.0</v>
      </c>
      <c r="AJ3" s="50" t="s">
        <v>174</v>
      </c>
      <c r="AK3" s="56" t="s">
        <v>166</v>
      </c>
      <c r="AL3" s="57">
        <v>149.99</v>
      </c>
      <c r="AM3" s="64" t="str">
        <f>HYPERLINK("https://smallformfactor.net/forum/threads/sffn-asrocks-deskmini-a300-finally.10553/","Link")</f>
        <v>Link</v>
      </c>
      <c r="AN3" s="59"/>
      <c r="AO3" s="60"/>
      <c r="AP3" s="60"/>
    </row>
    <row r="4">
      <c r="A4" s="61" t="s">
        <v>169</v>
      </c>
      <c r="B4" s="62" t="s">
        <v>175</v>
      </c>
      <c r="C4" s="63" t="s">
        <v>163</v>
      </c>
      <c r="D4" s="48">
        <v>155.0</v>
      </c>
      <c r="E4" s="48">
        <v>80.0</v>
      </c>
      <c r="F4" s="48">
        <v>155.0</v>
      </c>
      <c r="G4" s="49">
        <f t="shared" si="1"/>
        <v>1.922</v>
      </c>
      <c r="H4" s="49">
        <f t="shared" si="2"/>
        <v>124</v>
      </c>
      <c r="I4" s="48" t="s">
        <v>170</v>
      </c>
      <c r="J4" s="48" t="s">
        <v>171</v>
      </c>
      <c r="K4" s="50" t="s">
        <v>171</v>
      </c>
      <c r="L4" s="51">
        <v>46.0</v>
      </c>
      <c r="M4" s="50" t="s">
        <v>166</v>
      </c>
      <c r="N4" s="51" t="s">
        <v>166</v>
      </c>
      <c r="O4" s="48" t="s">
        <v>166</v>
      </c>
      <c r="P4" s="48" t="s">
        <v>166</v>
      </c>
      <c r="Q4" s="48" t="s">
        <v>166</v>
      </c>
      <c r="R4" s="48" t="s">
        <v>166</v>
      </c>
      <c r="S4" s="50" t="s">
        <v>166</v>
      </c>
      <c r="T4" s="52" t="s">
        <v>172</v>
      </c>
      <c r="U4" s="52" t="s">
        <v>173</v>
      </c>
      <c r="V4" s="51">
        <v>2.0</v>
      </c>
      <c r="W4" s="48" t="s">
        <v>166</v>
      </c>
      <c r="X4" s="50" t="s">
        <v>166</v>
      </c>
      <c r="Y4" s="51" t="s">
        <v>166</v>
      </c>
      <c r="Z4" s="48" t="s">
        <v>166</v>
      </c>
      <c r="AA4" s="48" t="s">
        <v>166</v>
      </c>
      <c r="AB4" s="48" t="s">
        <v>166</v>
      </c>
      <c r="AC4" s="48" t="s">
        <v>166</v>
      </c>
      <c r="AD4" s="48" t="s">
        <v>166</v>
      </c>
      <c r="AE4" s="54" t="s">
        <v>166</v>
      </c>
      <c r="AF4" s="55" t="s">
        <v>166</v>
      </c>
      <c r="AG4" s="51" t="s">
        <v>166</v>
      </c>
      <c r="AH4" s="48">
        <v>1.0</v>
      </c>
      <c r="AI4" s="48">
        <v>1.0</v>
      </c>
      <c r="AJ4" s="50" t="s">
        <v>174</v>
      </c>
      <c r="AK4" s="56" t="s">
        <v>166</v>
      </c>
      <c r="AL4" s="57">
        <v>199.99</v>
      </c>
      <c r="AM4" s="58"/>
      <c r="AN4" s="59"/>
      <c r="AO4" s="60"/>
      <c r="AP4" s="65">
        <v>44695.500881458334</v>
      </c>
      <c r="AQ4" s="66"/>
    </row>
    <row r="5">
      <c r="A5" s="61" t="s">
        <v>169</v>
      </c>
      <c r="B5" s="62" t="s">
        <v>176</v>
      </c>
      <c r="C5" s="63" t="s">
        <v>163</v>
      </c>
      <c r="D5" s="48">
        <v>155.0</v>
      </c>
      <c r="E5" s="48">
        <v>80.0</v>
      </c>
      <c r="F5" s="48">
        <v>155.0</v>
      </c>
      <c r="G5" s="49">
        <f t="shared" si="1"/>
        <v>1.922</v>
      </c>
      <c r="H5" s="49">
        <f t="shared" si="2"/>
        <v>124</v>
      </c>
      <c r="I5" s="48" t="s">
        <v>170</v>
      </c>
      <c r="J5" s="48" t="s">
        <v>171</v>
      </c>
      <c r="K5" s="50" t="s">
        <v>171</v>
      </c>
      <c r="L5" s="51">
        <v>46.0</v>
      </c>
      <c r="M5" s="50" t="s">
        <v>166</v>
      </c>
      <c r="N5" s="51" t="s">
        <v>166</v>
      </c>
      <c r="O5" s="48" t="s">
        <v>166</v>
      </c>
      <c r="P5" s="48" t="s">
        <v>166</v>
      </c>
      <c r="Q5" s="48" t="s">
        <v>166</v>
      </c>
      <c r="R5" s="48" t="s">
        <v>166</v>
      </c>
      <c r="S5" s="50" t="s">
        <v>166</v>
      </c>
      <c r="T5" s="52" t="s">
        <v>172</v>
      </c>
      <c r="U5" s="52" t="s">
        <v>173</v>
      </c>
      <c r="V5" s="51">
        <v>2.0</v>
      </c>
      <c r="W5" s="48" t="s">
        <v>166</v>
      </c>
      <c r="X5" s="50" t="s">
        <v>166</v>
      </c>
      <c r="Y5" s="51" t="s">
        <v>166</v>
      </c>
      <c r="Z5" s="48" t="s">
        <v>166</v>
      </c>
      <c r="AA5" s="48" t="s">
        <v>166</v>
      </c>
      <c r="AB5" s="48" t="s">
        <v>166</v>
      </c>
      <c r="AC5" s="48" t="s">
        <v>166</v>
      </c>
      <c r="AD5" s="48" t="s">
        <v>166</v>
      </c>
      <c r="AE5" s="54" t="s">
        <v>166</v>
      </c>
      <c r="AF5" s="55" t="s">
        <v>166</v>
      </c>
      <c r="AG5" s="51" t="s">
        <v>166</v>
      </c>
      <c r="AH5" s="48">
        <v>1.0</v>
      </c>
      <c r="AI5" s="48">
        <v>1.0</v>
      </c>
      <c r="AJ5" s="50" t="s">
        <v>174</v>
      </c>
      <c r="AK5" s="56" t="s">
        <v>166</v>
      </c>
      <c r="AL5" s="57">
        <v>194.99</v>
      </c>
      <c r="AM5" s="58"/>
      <c r="AN5" s="59"/>
      <c r="AO5" s="60"/>
      <c r="AP5" s="65">
        <v>44609.611948969905</v>
      </c>
      <c r="AQ5" s="66"/>
    </row>
    <row r="6">
      <c r="A6" s="61" t="s">
        <v>169</v>
      </c>
      <c r="B6" s="62" t="s">
        <v>177</v>
      </c>
      <c r="C6" s="63" t="s">
        <v>163</v>
      </c>
      <c r="D6" s="48">
        <v>155.0</v>
      </c>
      <c r="E6" s="48">
        <v>80.0</v>
      </c>
      <c r="F6" s="48">
        <v>155.0</v>
      </c>
      <c r="G6" s="49">
        <f t="shared" si="1"/>
        <v>1.922</v>
      </c>
      <c r="H6" s="49">
        <f t="shared" si="2"/>
        <v>124</v>
      </c>
      <c r="I6" s="48" t="s">
        <v>170</v>
      </c>
      <c r="J6" s="48" t="s">
        <v>171</v>
      </c>
      <c r="K6" s="50" t="s">
        <v>171</v>
      </c>
      <c r="L6" s="51">
        <v>46.0</v>
      </c>
      <c r="M6" s="50" t="s">
        <v>166</v>
      </c>
      <c r="N6" s="51" t="s">
        <v>166</v>
      </c>
      <c r="O6" s="48" t="s">
        <v>166</v>
      </c>
      <c r="P6" s="48" t="s">
        <v>166</v>
      </c>
      <c r="Q6" s="48" t="s">
        <v>166</v>
      </c>
      <c r="R6" s="48" t="s">
        <v>166</v>
      </c>
      <c r="S6" s="50" t="s">
        <v>166</v>
      </c>
      <c r="T6" s="52" t="s">
        <v>172</v>
      </c>
      <c r="U6" s="52" t="s">
        <v>173</v>
      </c>
      <c r="V6" s="51">
        <v>2.0</v>
      </c>
      <c r="W6" s="48" t="s">
        <v>166</v>
      </c>
      <c r="X6" s="50" t="s">
        <v>166</v>
      </c>
      <c r="Y6" s="51" t="s">
        <v>166</v>
      </c>
      <c r="Z6" s="48" t="s">
        <v>166</v>
      </c>
      <c r="AA6" s="48" t="s">
        <v>166</v>
      </c>
      <c r="AB6" s="48" t="s">
        <v>166</v>
      </c>
      <c r="AC6" s="48" t="s">
        <v>166</v>
      </c>
      <c r="AD6" s="48" t="s">
        <v>166</v>
      </c>
      <c r="AE6" s="54" t="s">
        <v>166</v>
      </c>
      <c r="AF6" s="55" t="s">
        <v>166</v>
      </c>
      <c r="AG6" s="51" t="s">
        <v>166</v>
      </c>
      <c r="AH6" s="48">
        <v>1.0</v>
      </c>
      <c r="AI6" s="48">
        <v>1.0</v>
      </c>
      <c r="AJ6" s="50" t="s">
        <v>174</v>
      </c>
      <c r="AK6" s="56" t="s">
        <v>166</v>
      </c>
      <c r="AL6" s="57">
        <v>169.99</v>
      </c>
      <c r="AM6" s="58"/>
      <c r="AN6" s="59"/>
      <c r="AO6" s="60"/>
      <c r="AP6" s="60"/>
      <c r="AQ6" s="66"/>
    </row>
    <row r="7">
      <c r="A7" s="61" t="s">
        <v>178</v>
      </c>
      <c r="B7" s="67" t="s">
        <v>179</v>
      </c>
      <c r="C7" s="63" t="s">
        <v>163</v>
      </c>
      <c r="D7" s="48">
        <v>187.0</v>
      </c>
      <c r="E7" s="48">
        <v>190.0</v>
      </c>
      <c r="F7" s="48">
        <v>60.0</v>
      </c>
      <c r="G7" s="49">
        <f t="shared" si="1"/>
        <v>2.1318</v>
      </c>
      <c r="H7" s="49">
        <f t="shared" si="2"/>
        <v>355.3</v>
      </c>
      <c r="I7" s="48" t="s">
        <v>170</v>
      </c>
      <c r="J7" s="48" t="s">
        <v>171</v>
      </c>
      <c r="K7" s="50" t="s">
        <v>180</v>
      </c>
      <c r="L7" s="51">
        <v>43.0</v>
      </c>
      <c r="M7" s="50" t="s">
        <v>166</v>
      </c>
      <c r="N7" s="51" t="s">
        <v>166</v>
      </c>
      <c r="O7" s="48" t="s">
        <v>166</v>
      </c>
      <c r="P7" s="48" t="s">
        <v>166</v>
      </c>
      <c r="Q7" s="48" t="s">
        <v>166</v>
      </c>
      <c r="R7" s="48" t="s">
        <v>166</v>
      </c>
      <c r="S7" s="50" t="s">
        <v>166</v>
      </c>
      <c r="T7" s="52" t="s">
        <v>167</v>
      </c>
      <c r="U7" s="52" t="s">
        <v>168</v>
      </c>
      <c r="V7" s="51">
        <v>1.0</v>
      </c>
      <c r="W7" s="48" t="s">
        <v>166</v>
      </c>
      <c r="X7" s="50" t="s">
        <v>166</v>
      </c>
      <c r="Y7" s="51" t="s">
        <v>166</v>
      </c>
      <c r="Z7" s="48" t="s">
        <v>166</v>
      </c>
      <c r="AA7" s="48" t="s">
        <v>166</v>
      </c>
      <c r="AB7" s="48" t="s">
        <v>166</v>
      </c>
      <c r="AC7" s="48" t="s">
        <v>166</v>
      </c>
      <c r="AD7" s="48" t="s">
        <v>166</v>
      </c>
      <c r="AE7" s="54" t="s">
        <v>166</v>
      </c>
      <c r="AF7" s="55" t="s">
        <v>166</v>
      </c>
      <c r="AG7" s="51" t="s">
        <v>166</v>
      </c>
      <c r="AH7" s="48" t="s">
        <v>166</v>
      </c>
      <c r="AI7" s="48" t="s">
        <v>166</v>
      </c>
      <c r="AJ7" s="50" t="s">
        <v>166</v>
      </c>
      <c r="AK7" s="56" t="s">
        <v>166</v>
      </c>
      <c r="AL7" s="57">
        <v>42.0</v>
      </c>
      <c r="AM7" s="68"/>
      <c r="AN7" s="59"/>
      <c r="AO7" s="60" t="s">
        <v>181</v>
      </c>
      <c r="AP7" s="65">
        <v>45184.68353945602</v>
      </c>
      <c r="AQ7" s="66"/>
    </row>
    <row r="8">
      <c r="A8" s="69" t="s">
        <v>182</v>
      </c>
      <c r="B8" s="46" t="s">
        <v>183</v>
      </c>
      <c r="C8" s="63" t="s">
        <v>163</v>
      </c>
      <c r="D8" s="48">
        <v>181.0</v>
      </c>
      <c r="E8" s="48">
        <v>60.0</v>
      </c>
      <c r="F8" s="48">
        <v>198.0</v>
      </c>
      <c r="G8" s="49">
        <f t="shared" si="1"/>
        <v>2.15028</v>
      </c>
      <c r="H8" s="49">
        <f t="shared" si="2"/>
        <v>108.6</v>
      </c>
      <c r="I8" s="48" t="s">
        <v>170</v>
      </c>
      <c r="J8" s="48" t="s">
        <v>164</v>
      </c>
      <c r="K8" s="50" t="s">
        <v>165</v>
      </c>
      <c r="L8" s="51">
        <v>38.0</v>
      </c>
      <c r="M8" s="50" t="s">
        <v>166</v>
      </c>
      <c r="N8" s="51" t="s">
        <v>166</v>
      </c>
      <c r="O8" s="48" t="s">
        <v>166</v>
      </c>
      <c r="P8" s="48" t="s">
        <v>166</v>
      </c>
      <c r="Q8" s="48" t="s">
        <v>166</v>
      </c>
      <c r="R8" s="48" t="s">
        <v>166</v>
      </c>
      <c r="S8" s="50" t="s">
        <v>166</v>
      </c>
      <c r="T8" s="52" t="s">
        <v>167</v>
      </c>
      <c r="U8" s="52" t="s">
        <v>168</v>
      </c>
      <c r="V8" s="51" t="s">
        <v>166</v>
      </c>
      <c r="W8" s="48" t="s">
        <v>166</v>
      </c>
      <c r="X8" s="50" t="s">
        <v>166</v>
      </c>
      <c r="Y8" s="51" t="s">
        <v>166</v>
      </c>
      <c r="Z8" s="48" t="s">
        <v>166</v>
      </c>
      <c r="AA8" s="48" t="s">
        <v>166</v>
      </c>
      <c r="AB8" s="48" t="s">
        <v>166</v>
      </c>
      <c r="AC8" s="48" t="s">
        <v>166</v>
      </c>
      <c r="AD8" s="48" t="s">
        <v>166</v>
      </c>
      <c r="AE8" s="54" t="s">
        <v>166</v>
      </c>
      <c r="AF8" s="55" t="s">
        <v>166</v>
      </c>
      <c r="AG8" s="51" t="s">
        <v>166</v>
      </c>
      <c r="AH8" s="48" t="s">
        <v>166</v>
      </c>
      <c r="AI8" s="48" t="s">
        <v>166</v>
      </c>
      <c r="AJ8" s="50" t="s">
        <v>166</v>
      </c>
      <c r="AK8" s="56">
        <v>329.0</v>
      </c>
      <c r="AL8" s="57">
        <f>AK8*Sheets!$E$3</f>
        <v>45.3511695</v>
      </c>
      <c r="AM8" s="68"/>
      <c r="AN8" s="70"/>
      <c r="AO8" s="71"/>
      <c r="AP8" s="71"/>
      <c r="AQ8" s="66"/>
    </row>
    <row r="9">
      <c r="A9" s="61" t="s">
        <v>178</v>
      </c>
      <c r="B9" s="62" t="s">
        <v>184</v>
      </c>
      <c r="C9" s="63" t="s">
        <v>163</v>
      </c>
      <c r="D9" s="48">
        <v>190.0</v>
      </c>
      <c r="E9" s="48">
        <v>190.0</v>
      </c>
      <c r="F9" s="48">
        <v>60.0</v>
      </c>
      <c r="G9" s="49">
        <f t="shared" si="1"/>
        <v>2.166</v>
      </c>
      <c r="H9" s="49">
        <f t="shared" si="2"/>
        <v>361</v>
      </c>
      <c r="I9" s="48">
        <v>0.85</v>
      </c>
      <c r="J9" s="48" t="s">
        <v>171</v>
      </c>
      <c r="K9" s="50" t="s">
        <v>180</v>
      </c>
      <c r="L9" s="51">
        <v>43.0</v>
      </c>
      <c r="M9" s="50" t="s">
        <v>166</v>
      </c>
      <c r="N9" s="51" t="s">
        <v>166</v>
      </c>
      <c r="O9" s="48" t="s">
        <v>166</v>
      </c>
      <c r="P9" s="48" t="s">
        <v>166</v>
      </c>
      <c r="Q9" s="48" t="s">
        <v>166</v>
      </c>
      <c r="R9" s="48" t="s">
        <v>166</v>
      </c>
      <c r="S9" s="50" t="s">
        <v>166</v>
      </c>
      <c r="T9" s="52" t="s">
        <v>167</v>
      </c>
      <c r="U9" s="52" t="s">
        <v>168</v>
      </c>
      <c r="V9" s="51">
        <v>1.0</v>
      </c>
      <c r="W9" s="48" t="s">
        <v>166</v>
      </c>
      <c r="X9" s="50" t="s">
        <v>166</v>
      </c>
      <c r="Y9" s="51" t="s">
        <v>166</v>
      </c>
      <c r="Z9" s="48" t="s">
        <v>166</v>
      </c>
      <c r="AA9" s="48" t="s">
        <v>166</v>
      </c>
      <c r="AB9" s="48" t="s">
        <v>166</v>
      </c>
      <c r="AC9" s="48" t="s">
        <v>166</v>
      </c>
      <c r="AD9" s="48" t="s">
        <v>166</v>
      </c>
      <c r="AE9" s="54" t="s">
        <v>166</v>
      </c>
      <c r="AF9" s="55" t="s">
        <v>166</v>
      </c>
      <c r="AG9" s="51" t="s">
        <v>166</v>
      </c>
      <c r="AH9" s="48">
        <v>1.0</v>
      </c>
      <c r="AI9" s="48" t="s">
        <v>166</v>
      </c>
      <c r="AJ9" s="50" t="s">
        <v>166</v>
      </c>
      <c r="AK9" s="56" t="s">
        <v>166</v>
      </c>
      <c r="AL9" s="57">
        <v>42.19</v>
      </c>
      <c r="AM9" s="68"/>
      <c r="AN9" s="70"/>
      <c r="AO9" s="71"/>
      <c r="AP9" s="72">
        <v>45184.68433863426</v>
      </c>
      <c r="AQ9" s="66"/>
    </row>
    <row r="10">
      <c r="A10" s="69" t="str">
        <f>HYPERLINK("https://sgpc.world.taobao.com/","SGPC")</f>
        <v>SGPC</v>
      </c>
      <c r="B10" s="46" t="str">
        <f>HYPERLINK("https://item.taobao.com/item.htm?id=594065201019","K17")</f>
        <v>K17</v>
      </c>
      <c r="C10" s="63" t="s">
        <v>163</v>
      </c>
      <c r="D10" s="48">
        <v>179.0</v>
      </c>
      <c r="E10" s="48">
        <v>48.0</v>
      </c>
      <c r="F10" s="48">
        <v>258.0</v>
      </c>
      <c r="G10" s="49">
        <f t="shared" si="1"/>
        <v>2.216736</v>
      </c>
      <c r="H10" s="49">
        <f t="shared" si="2"/>
        <v>85.92</v>
      </c>
      <c r="I10" s="48">
        <v>0.4</v>
      </c>
      <c r="J10" s="48" t="s">
        <v>164</v>
      </c>
      <c r="K10" s="50" t="s">
        <v>185</v>
      </c>
      <c r="L10" s="51">
        <v>30.0</v>
      </c>
      <c r="M10" s="50" t="s">
        <v>166</v>
      </c>
      <c r="N10" s="51" t="s">
        <v>166</v>
      </c>
      <c r="O10" s="48" t="s">
        <v>166</v>
      </c>
      <c r="P10" s="48" t="s">
        <v>166</v>
      </c>
      <c r="Q10" s="48" t="s">
        <v>166</v>
      </c>
      <c r="R10" s="48" t="s">
        <v>166</v>
      </c>
      <c r="S10" s="50" t="s">
        <v>166</v>
      </c>
      <c r="T10" s="52" t="s">
        <v>167</v>
      </c>
      <c r="U10" s="52" t="s">
        <v>186</v>
      </c>
      <c r="V10" s="51" t="s">
        <v>166</v>
      </c>
      <c r="W10" s="48" t="s">
        <v>166</v>
      </c>
      <c r="X10" s="50" t="s">
        <v>166</v>
      </c>
      <c r="Y10" s="51" t="s">
        <v>166</v>
      </c>
      <c r="Z10" s="48" t="s">
        <v>166</v>
      </c>
      <c r="AA10" s="48" t="s">
        <v>166</v>
      </c>
      <c r="AB10" s="48" t="s">
        <v>166</v>
      </c>
      <c r="AC10" s="48" t="s">
        <v>166</v>
      </c>
      <c r="AD10" s="48" t="s">
        <v>166</v>
      </c>
      <c r="AE10" s="54" t="s">
        <v>166</v>
      </c>
      <c r="AF10" s="55" t="s">
        <v>166</v>
      </c>
      <c r="AG10" s="51" t="s">
        <v>166</v>
      </c>
      <c r="AH10" s="48" t="s">
        <v>166</v>
      </c>
      <c r="AI10" s="48" t="s">
        <v>166</v>
      </c>
      <c r="AJ10" s="50" t="s">
        <v>166</v>
      </c>
      <c r="AK10" s="56">
        <v>199.0</v>
      </c>
      <c r="AL10" s="57">
        <f>AK10*Sheets!$E$3</f>
        <v>27.4312545</v>
      </c>
      <c r="AM10" s="58"/>
      <c r="AN10" s="59"/>
      <c r="AO10" s="60" t="s">
        <v>181</v>
      </c>
      <c r="AP10" s="65">
        <v>44442.751151041666</v>
      </c>
      <c r="AQ10" s="66"/>
    </row>
    <row r="11">
      <c r="A11" s="46" t="str">
        <f>HYPERLINK("https://shop206098240.world.taobao.com/","LZmod")</f>
        <v>LZmod</v>
      </c>
      <c r="B11" s="73" t="s">
        <v>187</v>
      </c>
      <c r="C11" s="63" t="s">
        <v>163</v>
      </c>
      <c r="D11" s="48">
        <v>157.0</v>
      </c>
      <c r="E11" s="48">
        <v>157.0</v>
      </c>
      <c r="F11" s="48">
        <v>91.0</v>
      </c>
      <c r="G11" s="49">
        <f t="shared" si="1"/>
        <v>2.243059</v>
      </c>
      <c r="H11" s="49">
        <f t="shared" si="2"/>
        <v>246.49</v>
      </c>
      <c r="I11" s="48">
        <v>1.2</v>
      </c>
      <c r="J11" s="48" t="s">
        <v>164</v>
      </c>
      <c r="K11" s="50" t="s">
        <v>188</v>
      </c>
      <c r="L11" s="51">
        <v>48.0</v>
      </c>
      <c r="M11" s="50" t="s">
        <v>166</v>
      </c>
      <c r="N11" s="51" t="s">
        <v>166</v>
      </c>
      <c r="O11" s="48" t="s">
        <v>166</v>
      </c>
      <c r="P11" s="48" t="s">
        <v>166</v>
      </c>
      <c r="Q11" s="48" t="s">
        <v>166</v>
      </c>
      <c r="R11" s="48" t="s">
        <v>166</v>
      </c>
      <c r="S11" s="50" t="s">
        <v>166</v>
      </c>
      <c r="T11" s="52" t="s">
        <v>172</v>
      </c>
      <c r="U11" s="52" t="s">
        <v>173</v>
      </c>
      <c r="V11" s="51">
        <v>2.0</v>
      </c>
      <c r="W11" s="48" t="s">
        <v>166</v>
      </c>
      <c r="X11" s="50" t="s">
        <v>166</v>
      </c>
      <c r="Y11" s="51" t="s">
        <v>166</v>
      </c>
      <c r="Z11" s="48" t="s">
        <v>166</v>
      </c>
      <c r="AA11" s="48" t="s">
        <v>166</v>
      </c>
      <c r="AB11" s="48" t="s">
        <v>166</v>
      </c>
      <c r="AC11" s="48" t="s">
        <v>166</v>
      </c>
      <c r="AD11" s="48" t="s">
        <v>166</v>
      </c>
      <c r="AE11" s="54" t="s">
        <v>166</v>
      </c>
      <c r="AF11" s="55" t="s">
        <v>166</v>
      </c>
      <c r="AG11" s="51" t="s">
        <v>166</v>
      </c>
      <c r="AH11" s="48">
        <v>1.0</v>
      </c>
      <c r="AI11" s="48">
        <v>1.0</v>
      </c>
      <c r="AJ11" s="50" t="s">
        <v>174</v>
      </c>
      <c r="AK11" s="56">
        <v>1199.0</v>
      </c>
      <c r="AL11" s="57">
        <f>AK11*Sheets!$E$3</f>
        <v>165.2767545</v>
      </c>
      <c r="AM11" s="58"/>
      <c r="AN11" s="59"/>
      <c r="AO11" s="71" t="s">
        <v>181</v>
      </c>
      <c r="AP11" s="65">
        <v>44887.947539189816</v>
      </c>
      <c r="AQ11" s="66"/>
    </row>
    <row r="12">
      <c r="A12" s="62" t="s">
        <v>189</v>
      </c>
      <c r="B12" s="62" t="str">
        <f>HYPERLINK("https://www.onlogic.com/mc500/","MC500")</f>
        <v>MC500</v>
      </c>
      <c r="C12" s="63" t="s">
        <v>163</v>
      </c>
      <c r="D12" s="48">
        <v>198.1</v>
      </c>
      <c r="E12" s="48">
        <v>192.6</v>
      </c>
      <c r="F12" s="48">
        <v>59.3</v>
      </c>
      <c r="G12" s="49">
        <f t="shared" si="1"/>
        <v>2.262535758</v>
      </c>
      <c r="H12" s="49">
        <f t="shared" si="2"/>
        <v>381.5406</v>
      </c>
      <c r="I12" s="48" t="s">
        <v>170</v>
      </c>
      <c r="J12" s="48" t="s">
        <v>171</v>
      </c>
      <c r="K12" s="50" t="s">
        <v>171</v>
      </c>
      <c r="L12" s="51">
        <v>32.0</v>
      </c>
      <c r="M12" s="50" t="s">
        <v>166</v>
      </c>
      <c r="N12" s="51" t="s">
        <v>166</v>
      </c>
      <c r="O12" s="48" t="s">
        <v>166</v>
      </c>
      <c r="P12" s="48" t="s">
        <v>166</v>
      </c>
      <c r="Q12" s="48" t="s">
        <v>166</v>
      </c>
      <c r="R12" s="48" t="s">
        <v>166</v>
      </c>
      <c r="S12" s="50" t="s">
        <v>166</v>
      </c>
      <c r="T12" s="52" t="s">
        <v>167</v>
      </c>
      <c r="U12" s="52" t="s">
        <v>168</v>
      </c>
      <c r="V12" s="51">
        <v>4.0</v>
      </c>
      <c r="W12" s="48" t="s">
        <v>166</v>
      </c>
      <c r="X12" s="50" t="s">
        <v>166</v>
      </c>
      <c r="Y12" s="51" t="s">
        <v>166</v>
      </c>
      <c r="Z12" s="48" t="s">
        <v>166</v>
      </c>
      <c r="AA12" s="48" t="s">
        <v>166</v>
      </c>
      <c r="AB12" s="48" t="s">
        <v>166</v>
      </c>
      <c r="AC12" s="48" t="s">
        <v>166</v>
      </c>
      <c r="AD12" s="48" t="s">
        <v>166</v>
      </c>
      <c r="AE12" s="54" t="s">
        <v>166</v>
      </c>
      <c r="AF12" s="55" t="s">
        <v>166</v>
      </c>
      <c r="AG12" s="51" t="s">
        <v>166</v>
      </c>
      <c r="AH12" s="48">
        <v>2.0</v>
      </c>
      <c r="AI12" s="48" t="s">
        <v>166</v>
      </c>
      <c r="AJ12" s="50" t="s">
        <v>166</v>
      </c>
      <c r="AK12" s="56" t="s">
        <v>166</v>
      </c>
      <c r="AL12" s="57">
        <v>65.0</v>
      </c>
      <c r="AM12" s="58"/>
      <c r="AN12" s="59"/>
      <c r="AO12" s="60"/>
      <c r="AP12" s="65">
        <v>44959.73033017361</v>
      </c>
      <c r="AQ12" s="66"/>
    </row>
    <row r="13">
      <c r="A13" s="46" t="str">
        <f>HYPERLINK("https://shop115457374.world.taobao.com/","Sirius Case / 天狼星机箱")</f>
        <v>Sirius Case / 天狼星机箱</v>
      </c>
      <c r="B13" s="73" t="s">
        <v>190</v>
      </c>
      <c r="C13" s="63" t="s">
        <v>163</v>
      </c>
      <c r="D13" s="48">
        <v>186.0</v>
      </c>
      <c r="E13" s="48">
        <v>208.0</v>
      </c>
      <c r="F13" s="48">
        <v>61.0</v>
      </c>
      <c r="G13" s="49">
        <f t="shared" si="1"/>
        <v>2.359968</v>
      </c>
      <c r="H13" s="49">
        <f t="shared" si="2"/>
        <v>386.88</v>
      </c>
      <c r="I13" s="48">
        <v>0.83</v>
      </c>
      <c r="J13" s="48" t="s">
        <v>164</v>
      </c>
      <c r="K13" s="50" t="s">
        <v>191</v>
      </c>
      <c r="L13" s="51">
        <v>44.0</v>
      </c>
      <c r="M13" s="50" t="s">
        <v>166</v>
      </c>
      <c r="N13" s="51" t="s">
        <v>166</v>
      </c>
      <c r="O13" s="48" t="s">
        <v>166</v>
      </c>
      <c r="P13" s="48" t="s">
        <v>166</v>
      </c>
      <c r="Q13" s="48" t="s">
        <v>166</v>
      </c>
      <c r="R13" s="48" t="s">
        <v>166</v>
      </c>
      <c r="S13" s="50" t="s">
        <v>166</v>
      </c>
      <c r="T13" s="52" t="s">
        <v>167</v>
      </c>
      <c r="U13" s="52" t="s">
        <v>168</v>
      </c>
      <c r="V13" s="51" t="s">
        <v>166</v>
      </c>
      <c r="W13" s="48" t="s">
        <v>166</v>
      </c>
      <c r="X13" s="50" t="s">
        <v>166</v>
      </c>
      <c r="Y13" s="51" t="s">
        <v>166</v>
      </c>
      <c r="Z13" s="48" t="s">
        <v>166</v>
      </c>
      <c r="AA13" s="48" t="s">
        <v>166</v>
      </c>
      <c r="AB13" s="48" t="s">
        <v>166</v>
      </c>
      <c r="AC13" s="48" t="s">
        <v>166</v>
      </c>
      <c r="AD13" s="48" t="s">
        <v>166</v>
      </c>
      <c r="AE13" s="54" t="s">
        <v>166</v>
      </c>
      <c r="AF13" s="55" t="s">
        <v>166</v>
      </c>
      <c r="AG13" s="51" t="s">
        <v>166</v>
      </c>
      <c r="AH13" s="48" t="s">
        <v>166</v>
      </c>
      <c r="AI13" s="48" t="s">
        <v>166</v>
      </c>
      <c r="AJ13" s="50" t="s">
        <v>166</v>
      </c>
      <c r="AK13" s="56">
        <v>250.0</v>
      </c>
      <c r="AL13" s="57">
        <f>AK13*Sheets!$E$3</f>
        <v>34.461375</v>
      </c>
      <c r="AM13" s="68"/>
      <c r="AN13" s="70"/>
      <c r="AO13" s="71" t="s">
        <v>181</v>
      </c>
      <c r="AP13" s="71"/>
      <c r="AQ13" s="66"/>
    </row>
    <row r="14">
      <c r="A14" s="61" t="str">
        <f>HYPERLINK("http://www.minicase.net/index.html","Realan")</f>
        <v>Realan</v>
      </c>
      <c r="B14" s="62" t="str">
        <f>HYPERLINK("https://www.aliexpress.com/item/32765332053.html","E-H60")</f>
        <v>E-H60</v>
      </c>
      <c r="C14" s="63" t="s">
        <v>163</v>
      </c>
      <c r="D14" s="48">
        <v>200.0</v>
      </c>
      <c r="E14" s="48">
        <v>200.0</v>
      </c>
      <c r="F14" s="48">
        <v>60.0</v>
      </c>
      <c r="G14" s="49">
        <f t="shared" si="1"/>
        <v>2.4</v>
      </c>
      <c r="H14" s="49">
        <f t="shared" si="2"/>
        <v>400</v>
      </c>
      <c r="I14" s="48">
        <v>0.76</v>
      </c>
      <c r="J14" s="48" t="s">
        <v>164</v>
      </c>
      <c r="K14" s="50" t="s">
        <v>192</v>
      </c>
      <c r="L14" s="51">
        <v>34.0</v>
      </c>
      <c r="M14" s="50" t="s">
        <v>166</v>
      </c>
      <c r="N14" s="51" t="s">
        <v>166</v>
      </c>
      <c r="O14" s="48" t="s">
        <v>166</v>
      </c>
      <c r="P14" s="48" t="s">
        <v>166</v>
      </c>
      <c r="Q14" s="48" t="s">
        <v>166</v>
      </c>
      <c r="R14" s="48" t="s">
        <v>166</v>
      </c>
      <c r="S14" s="50" t="s">
        <v>166</v>
      </c>
      <c r="T14" s="52" t="s">
        <v>167</v>
      </c>
      <c r="U14" s="52" t="s">
        <v>168</v>
      </c>
      <c r="V14" s="51" t="s">
        <v>193</v>
      </c>
      <c r="W14" s="48" t="s">
        <v>194</v>
      </c>
      <c r="X14" s="50" t="s">
        <v>166</v>
      </c>
      <c r="Y14" s="51" t="s">
        <v>166</v>
      </c>
      <c r="Z14" s="48" t="s">
        <v>166</v>
      </c>
      <c r="AA14" s="48" t="s">
        <v>166</v>
      </c>
      <c r="AB14" s="48" t="s">
        <v>166</v>
      </c>
      <c r="AC14" s="48" t="s">
        <v>166</v>
      </c>
      <c r="AD14" s="48" t="s">
        <v>166</v>
      </c>
      <c r="AE14" s="54" t="s">
        <v>166</v>
      </c>
      <c r="AF14" s="55" t="s">
        <v>166</v>
      </c>
      <c r="AG14" s="51">
        <v>1.0</v>
      </c>
      <c r="AH14" s="48" t="s">
        <v>166</v>
      </c>
      <c r="AI14" s="48" t="s">
        <v>166</v>
      </c>
      <c r="AJ14" s="50" t="s">
        <v>166</v>
      </c>
      <c r="AK14" s="56" t="s">
        <v>166</v>
      </c>
      <c r="AL14" s="57">
        <v>51.99</v>
      </c>
      <c r="AM14" s="58"/>
      <c r="AN14" s="59"/>
      <c r="AO14" s="60"/>
      <c r="AP14" s="60"/>
      <c r="AQ14" s="66"/>
    </row>
    <row r="15">
      <c r="A15" s="61" t="str">
        <f>HYPERLINK("http://www.mini-box.com/","Mini-Box")</f>
        <v>Mini-Box</v>
      </c>
      <c r="B15" s="62" t="str">
        <f>HYPERLINK("http://www.mini-box.com/M350-universal-mini-itx-enclosure","M350")</f>
        <v>M350</v>
      </c>
      <c r="C15" s="47" t="s">
        <v>163</v>
      </c>
      <c r="D15" s="74">
        <v>210.0</v>
      </c>
      <c r="E15" s="74">
        <v>192.0</v>
      </c>
      <c r="F15" s="74">
        <v>62.0</v>
      </c>
      <c r="G15" s="49">
        <f t="shared" si="1"/>
        <v>2.49984</v>
      </c>
      <c r="H15" s="49">
        <f t="shared" si="2"/>
        <v>403.2</v>
      </c>
      <c r="I15" s="74" t="s">
        <v>170</v>
      </c>
      <c r="J15" s="48" t="s">
        <v>171</v>
      </c>
      <c r="K15" s="75" t="s">
        <v>171</v>
      </c>
      <c r="L15" s="76">
        <v>40.0</v>
      </c>
      <c r="M15" s="75" t="s">
        <v>166</v>
      </c>
      <c r="N15" s="77" t="s">
        <v>166</v>
      </c>
      <c r="O15" s="48" t="s">
        <v>166</v>
      </c>
      <c r="P15" s="48" t="s">
        <v>166</v>
      </c>
      <c r="Q15" s="48" t="s">
        <v>166</v>
      </c>
      <c r="R15" s="48" t="s">
        <v>166</v>
      </c>
      <c r="S15" s="50" t="s">
        <v>166</v>
      </c>
      <c r="T15" s="52" t="s">
        <v>167</v>
      </c>
      <c r="U15" s="53" t="s">
        <v>168</v>
      </c>
      <c r="V15" s="77" t="s">
        <v>193</v>
      </c>
      <c r="W15" s="74" t="s">
        <v>166</v>
      </c>
      <c r="X15" s="75" t="s">
        <v>166</v>
      </c>
      <c r="Y15" s="51" t="s">
        <v>195</v>
      </c>
      <c r="Z15" s="74" t="s">
        <v>166</v>
      </c>
      <c r="AA15" s="74" t="s">
        <v>166</v>
      </c>
      <c r="AB15" s="48" t="s">
        <v>166</v>
      </c>
      <c r="AC15" s="48" t="s">
        <v>166</v>
      </c>
      <c r="AD15" s="48" t="s">
        <v>166</v>
      </c>
      <c r="AE15" s="54" t="s">
        <v>166</v>
      </c>
      <c r="AF15" s="55" t="s">
        <v>166</v>
      </c>
      <c r="AG15" s="51" t="s">
        <v>166</v>
      </c>
      <c r="AH15" s="48">
        <v>2.0</v>
      </c>
      <c r="AI15" s="48" t="s">
        <v>166</v>
      </c>
      <c r="AJ15" s="50" t="s">
        <v>166</v>
      </c>
      <c r="AK15" s="56" t="s">
        <v>166</v>
      </c>
      <c r="AL15" s="57">
        <v>39.95</v>
      </c>
      <c r="AM15" s="68"/>
      <c r="AN15" s="59"/>
      <c r="AO15" s="60"/>
      <c r="AP15" s="60"/>
      <c r="AQ15" s="66"/>
    </row>
    <row r="16">
      <c r="A16" s="69" t="s">
        <v>196</v>
      </c>
      <c r="B16" s="73" t="s">
        <v>197</v>
      </c>
      <c r="C16" s="63" t="s">
        <v>163</v>
      </c>
      <c r="D16" s="48">
        <v>200.0</v>
      </c>
      <c r="E16" s="48">
        <v>60.0</v>
      </c>
      <c r="F16" s="48">
        <v>210.0</v>
      </c>
      <c r="G16" s="49">
        <f t="shared" si="1"/>
        <v>2.52</v>
      </c>
      <c r="H16" s="49">
        <f t="shared" si="2"/>
        <v>120</v>
      </c>
      <c r="I16" s="48">
        <v>0.79</v>
      </c>
      <c r="J16" s="48" t="s">
        <v>164</v>
      </c>
      <c r="K16" s="50" t="s">
        <v>198</v>
      </c>
      <c r="L16" s="51">
        <v>45.0</v>
      </c>
      <c r="M16" s="50" t="s">
        <v>166</v>
      </c>
      <c r="N16" s="51" t="s">
        <v>166</v>
      </c>
      <c r="O16" s="48" t="s">
        <v>166</v>
      </c>
      <c r="P16" s="48" t="s">
        <v>166</v>
      </c>
      <c r="Q16" s="48" t="s">
        <v>166</v>
      </c>
      <c r="R16" s="48" t="s">
        <v>166</v>
      </c>
      <c r="S16" s="50" t="s">
        <v>166</v>
      </c>
      <c r="T16" s="52" t="s">
        <v>167</v>
      </c>
      <c r="U16" s="52" t="s">
        <v>168</v>
      </c>
      <c r="V16" s="51">
        <v>1.0</v>
      </c>
      <c r="W16" s="48" t="s">
        <v>166</v>
      </c>
      <c r="X16" s="50" t="s">
        <v>166</v>
      </c>
      <c r="Y16" s="51">
        <v>4.0</v>
      </c>
      <c r="Z16" s="48" t="s">
        <v>166</v>
      </c>
      <c r="AA16" s="48" t="s">
        <v>166</v>
      </c>
      <c r="AB16" s="48" t="s">
        <v>166</v>
      </c>
      <c r="AC16" s="48" t="s">
        <v>166</v>
      </c>
      <c r="AD16" s="48" t="s">
        <v>166</v>
      </c>
      <c r="AE16" s="54" t="s">
        <v>166</v>
      </c>
      <c r="AF16" s="55" t="s">
        <v>166</v>
      </c>
      <c r="AG16" s="51">
        <v>2.0</v>
      </c>
      <c r="AH16" s="48" t="s">
        <v>166</v>
      </c>
      <c r="AI16" s="48" t="s">
        <v>166</v>
      </c>
      <c r="AJ16" s="50" t="s">
        <v>166</v>
      </c>
      <c r="AK16" s="56">
        <v>189.0</v>
      </c>
      <c r="AL16" s="57">
        <f>AK16*Sheets!$E$3</f>
        <v>26.0527995</v>
      </c>
      <c r="AM16" s="68"/>
      <c r="AN16" s="70"/>
      <c r="AO16" s="71" t="s">
        <v>181</v>
      </c>
      <c r="AP16" s="72">
        <v>45128.00829576389</v>
      </c>
      <c r="AQ16" s="66"/>
    </row>
    <row r="17">
      <c r="A17" s="61" t="str">
        <f>HYPERLINK("https://rgeek.aliexpress.com/store/2089059","RGeek")</f>
        <v>RGeek</v>
      </c>
      <c r="B17" s="62" t="s">
        <v>199</v>
      </c>
      <c r="C17" s="63" t="s">
        <v>163</v>
      </c>
      <c r="D17" s="78">
        <v>200.0</v>
      </c>
      <c r="E17" s="78">
        <v>60.0</v>
      </c>
      <c r="F17" s="78">
        <v>210.0</v>
      </c>
      <c r="G17" s="79">
        <f t="shared" si="1"/>
        <v>2.52</v>
      </c>
      <c r="H17" s="80">
        <f t="shared" si="2"/>
        <v>120</v>
      </c>
      <c r="I17" s="48" t="s">
        <v>170</v>
      </c>
      <c r="J17" s="48" t="s">
        <v>164</v>
      </c>
      <c r="K17" s="50" t="s">
        <v>192</v>
      </c>
      <c r="L17" s="51">
        <v>45.0</v>
      </c>
      <c r="M17" s="50" t="s">
        <v>166</v>
      </c>
      <c r="N17" s="51" t="s">
        <v>166</v>
      </c>
      <c r="O17" s="48" t="s">
        <v>166</v>
      </c>
      <c r="P17" s="48" t="s">
        <v>166</v>
      </c>
      <c r="Q17" s="48" t="s">
        <v>166</v>
      </c>
      <c r="R17" s="48" t="s">
        <v>166</v>
      </c>
      <c r="S17" s="50" t="s">
        <v>166</v>
      </c>
      <c r="T17" s="52" t="s">
        <v>167</v>
      </c>
      <c r="U17" s="52" t="s">
        <v>168</v>
      </c>
      <c r="V17" s="51" t="s">
        <v>193</v>
      </c>
      <c r="W17" s="48" t="s">
        <v>194</v>
      </c>
      <c r="X17" s="50" t="s">
        <v>166</v>
      </c>
      <c r="Y17" s="51">
        <v>2.0</v>
      </c>
      <c r="Z17" s="48" t="s">
        <v>166</v>
      </c>
      <c r="AA17" s="48" t="s">
        <v>166</v>
      </c>
      <c r="AB17" s="48" t="s">
        <v>166</v>
      </c>
      <c r="AC17" s="48" t="s">
        <v>166</v>
      </c>
      <c r="AD17" s="48" t="s">
        <v>166</v>
      </c>
      <c r="AE17" s="54" t="s">
        <v>166</v>
      </c>
      <c r="AF17" s="55" t="s">
        <v>166</v>
      </c>
      <c r="AG17" s="51">
        <v>2.0</v>
      </c>
      <c r="AH17" s="48" t="s">
        <v>166</v>
      </c>
      <c r="AI17" s="48" t="s">
        <v>166</v>
      </c>
      <c r="AJ17" s="50" t="s">
        <v>166</v>
      </c>
      <c r="AK17" s="56" t="s">
        <v>166</v>
      </c>
      <c r="AL17" s="57">
        <v>45.0</v>
      </c>
      <c r="AM17" s="68"/>
      <c r="AN17" s="59"/>
      <c r="AO17" s="60"/>
      <c r="AP17" s="60"/>
      <c r="AQ17" s="66"/>
    </row>
    <row r="18">
      <c r="A18" s="69" t="str">
        <f>HYPERLINK("https://jwmdn.world.taobao.com/","长沙精五门电脑")</f>
        <v>长沙精五门电脑</v>
      </c>
      <c r="B18" s="46" t="str">
        <f>HYPERLINK("https://item.taobao.com/item.htm?id=578826676813","联达L65")</f>
        <v>联达L65</v>
      </c>
      <c r="C18" s="63" t="s">
        <v>163</v>
      </c>
      <c r="D18" s="48">
        <v>197.0</v>
      </c>
      <c r="E18" s="51">
        <v>197.0</v>
      </c>
      <c r="F18" s="51">
        <v>65.0</v>
      </c>
      <c r="G18" s="81">
        <f t="shared" si="1"/>
        <v>2.522585</v>
      </c>
      <c r="H18" s="81">
        <f t="shared" si="2"/>
        <v>388.09</v>
      </c>
      <c r="I18" s="48">
        <v>0.86</v>
      </c>
      <c r="J18" s="48" t="s">
        <v>164</v>
      </c>
      <c r="K18" s="50" t="s">
        <v>200</v>
      </c>
      <c r="L18" s="51">
        <v>36.0</v>
      </c>
      <c r="M18" s="50" t="s">
        <v>166</v>
      </c>
      <c r="N18" s="51" t="s">
        <v>166</v>
      </c>
      <c r="O18" s="48" t="s">
        <v>166</v>
      </c>
      <c r="P18" s="48" t="s">
        <v>166</v>
      </c>
      <c r="Q18" s="48" t="s">
        <v>166</v>
      </c>
      <c r="R18" s="48" t="s">
        <v>166</v>
      </c>
      <c r="S18" s="50" t="s">
        <v>166</v>
      </c>
      <c r="T18" s="52" t="s">
        <v>167</v>
      </c>
      <c r="U18" s="52" t="s">
        <v>168</v>
      </c>
      <c r="V18" s="51" t="s">
        <v>193</v>
      </c>
      <c r="W18" s="51" t="s">
        <v>194</v>
      </c>
      <c r="X18" s="50" t="s">
        <v>166</v>
      </c>
      <c r="Y18" s="51" t="s">
        <v>166</v>
      </c>
      <c r="Z18" s="48" t="s">
        <v>166</v>
      </c>
      <c r="AA18" s="48" t="s">
        <v>166</v>
      </c>
      <c r="AB18" s="48" t="s">
        <v>166</v>
      </c>
      <c r="AC18" s="48" t="s">
        <v>166</v>
      </c>
      <c r="AD18" s="48" t="s">
        <v>166</v>
      </c>
      <c r="AE18" s="54" t="s">
        <v>166</v>
      </c>
      <c r="AF18" s="55" t="s">
        <v>166</v>
      </c>
      <c r="AG18" s="51">
        <v>2.0</v>
      </c>
      <c r="AH18" s="48" t="s">
        <v>166</v>
      </c>
      <c r="AI18" s="48" t="s">
        <v>166</v>
      </c>
      <c r="AJ18" s="50" t="s">
        <v>166</v>
      </c>
      <c r="AK18" s="56">
        <v>120.0</v>
      </c>
      <c r="AL18" s="57">
        <f>AK18*Sheets!$E$3</f>
        <v>16.54146</v>
      </c>
      <c r="AM18" s="58"/>
      <c r="AN18" s="59"/>
      <c r="AO18" s="65"/>
      <c r="AP18" s="65">
        <v>44442.88087094907</v>
      </c>
      <c r="AQ18" s="66"/>
    </row>
    <row r="19">
      <c r="A19" s="61" t="str">
        <f>HYPERLINK("https://rgeek.aliexpress.com/store/2089059","RGeek")</f>
        <v>RGeek</v>
      </c>
      <c r="B19" s="62" t="str">
        <f>HYPERLINK("https://www.aliexpress.com/item/32956914935.html","L65")</f>
        <v>L65</v>
      </c>
      <c r="C19" s="63" t="s">
        <v>163</v>
      </c>
      <c r="D19" s="48">
        <v>197.0</v>
      </c>
      <c r="E19" s="48">
        <v>197.0</v>
      </c>
      <c r="F19" s="48">
        <v>65.0</v>
      </c>
      <c r="G19" s="49">
        <f t="shared" si="1"/>
        <v>2.522585</v>
      </c>
      <c r="H19" s="49">
        <f t="shared" si="2"/>
        <v>388.09</v>
      </c>
      <c r="I19" s="48">
        <v>0.86</v>
      </c>
      <c r="J19" s="48" t="s">
        <v>164</v>
      </c>
      <c r="K19" s="50" t="s">
        <v>200</v>
      </c>
      <c r="L19" s="51">
        <v>36.0</v>
      </c>
      <c r="M19" s="50" t="s">
        <v>166</v>
      </c>
      <c r="N19" s="51" t="s">
        <v>166</v>
      </c>
      <c r="O19" s="48" t="s">
        <v>166</v>
      </c>
      <c r="P19" s="48" t="s">
        <v>166</v>
      </c>
      <c r="Q19" s="48" t="s">
        <v>166</v>
      </c>
      <c r="R19" s="48" t="s">
        <v>166</v>
      </c>
      <c r="S19" s="50" t="s">
        <v>166</v>
      </c>
      <c r="T19" s="52" t="s">
        <v>167</v>
      </c>
      <c r="U19" s="52" t="s">
        <v>168</v>
      </c>
      <c r="V19" s="51" t="s">
        <v>193</v>
      </c>
      <c r="W19" s="48" t="s">
        <v>194</v>
      </c>
      <c r="X19" s="50" t="s">
        <v>166</v>
      </c>
      <c r="Y19" s="51" t="s">
        <v>166</v>
      </c>
      <c r="Z19" s="48" t="s">
        <v>166</v>
      </c>
      <c r="AA19" s="48" t="s">
        <v>166</v>
      </c>
      <c r="AB19" s="48" t="s">
        <v>166</v>
      </c>
      <c r="AC19" s="48" t="s">
        <v>166</v>
      </c>
      <c r="AD19" s="48" t="s">
        <v>166</v>
      </c>
      <c r="AE19" s="54" t="s">
        <v>166</v>
      </c>
      <c r="AF19" s="55" t="s">
        <v>166</v>
      </c>
      <c r="AG19" s="51">
        <v>2.0</v>
      </c>
      <c r="AH19" s="48" t="s">
        <v>166</v>
      </c>
      <c r="AI19" s="48" t="s">
        <v>166</v>
      </c>
      <c r="AJ19" s="50" t="s">
        <v>166</v>
      </c>
      <c r="AK19" s="56" t="s">
        <v>166</v>
      </c>
      <c r="AL19" s="57">
        <v>46.23</v>
      </c>
      <c r="AM19" s="68"/>
      <c r="AN19" s="59"/>
      <c r="AO19" s="60"/>
      <c r="AP19" s="60"/>
      <c r="AQ19" s="66"/>
    </row>
    <row r="20">
      <c r="A20" s="61" t="str">
        <f>HYPERLINK("http://www.mini-box.com/","Mini-Box")</f>
        <v>Mini-Box</v>
      </c>
      <c r="B20" s="62" t="s">
        <v>201</v>
      </c>
      <c r="C20" s="47" t="s">
        <v>163</v>
      </c>
      <c r="D20" s="74">
        <v>240.0</v>
      </c>
      <c r="E20" s="74">
        <v>200.0</v>
      </c>
      <c r="F20" s="74">
        <v>54.0</v>
      </c>
      <c r="G20" s="49">
        <f t="shared" si="1"/>
        <v>2.592</v>
      </c>
      <c r="H20" s="49">
        <f t="shared" si="2"/>
        <v>480</v>
      </c>
      <c r="I20" s="74" t="s">
        <v>170</v>
      </c>
      <c r="J20" s="48" t="s">
        <v>164</v>
      </c>
      <c r="K20" s="75" t="s">
        <v>164</v>
      </c>
      <c r="L20" s="77" t="s">
        <v>170</v>
      </c>
      <c r="M20" s="75" t="s">
        <v>166</v>
      </c>
      <c r="N20" s="77" t="s">
        <v>166</v>
      </c>
      <c r="O20" s="48" t="s">
        <v>166</v>
      </c>
      <c r="P20" s="48" t="s">
        <v>166</v>
      </c>
      <c r="Q20" s="48" t="s">
        <v>166</v>
      </c>
      <c r="R20" s="48" t="s">
        <v>166</v>
      </c>
      <c r="S20" s="50" t="s">
        <v>166</v>
      </c>
      <c r="T20" s="52" t="s">
        <v>167</v>
      </c>
      <c r="U20" s="53" t="s">
        <v>168</v>
      </c>
      <c r="V20" s="77">
        <v>2.0</v>
      </c>
      <c r="W20" s="74" t="s">
        <v>166</v>
      </c>
      <c r="X20" s="75" t="s">
        <v>166</v>
      </c>
      <c r="Y20" s="51" t="s">
        <v>166</v>
      </c>
      <c r="Z20" s="74" t="s">
        <v>166</v>
      </c>
      <c r="AA20" s="74" t="s">
        <v>166</v>
      </c>
      <c r="AB20" s="48" t="s">
        <v>166</v>
      </c>
      <c r="AC20" s="48" t="s">
        <v>166</v>
      </c>
      <c r="AD20" s="48" t="s">
        <v>166</v>
      </c>
      <c r="AE20" s="54" t="s">
        <v>166</v>
      </c>
      <c r="AF20" s="55" t="s">
        <v>166</v>
      </c>
      <c r="AG20" s="51">
        <v>2.0</v>
      </c>
      <c r="AH20" s="48" t="s">
        <v>166</v>
      </c>
      <c r="AI20" s="48" t="s">
        <v>166</v>
      </c>
      <c r="AJ20" s="50" t="s">
        <v>166</v>
      </c>
      <c r="AK20" s="56" t="s">
        <v>166</v>
      </c>
      <c r="AL20" s="57">
        <v>25.0</v>
      </c>
      <c r="AM20" s="68"/>
      <c r="AN20" s="59"/>
      <c r="AO20" s="60"/>
      <c r="AP20" s="60"/>
      <c r="AQ20" s="66"/>
    </row>
    <row r="21">
      <c r="A21" s="46" t="str">
        <f>HYPERLINK("https://shop206098240.world.taobao.com/","LZmod")</f>
        <v>LZmod</v>
      </c>
      <c r="B21" s="46" t="s">
        <v>202</v>
      </c>
      <c r="C21" s="63" t="s">
        <v>163</v>
      </c>
      <c r="D21" s="48">
        <v>200.0</v>
      </c>
      <c r="E21" s="48">
        <v>190.0</v>
      </c>
      <c r="F21" s="48">
        <v>71.0</v>
      </c>
      <c r="G21" s="49">
        <f t="shared" si="1"/>
        <v>2.698</v>
      </c>
      <c r="H21" s="49">
        <f t="shared" si="2"/>
        <v>380</v>
      </c>
      <c r="I21" s="48" t="s">
        <v>170</v>
      </c>
      <c r="J21" s="48" t="s">
        <v>164</v>
      </c>
      <c r="K21" s="50" t="s">
        <v>165</v>
      </c>
      <c r="L21" s="51">
        <v>43.0</v>
      </c>
      <c r="M21" s="50" t="s">
        <v>166</v>
      </c>
      <c r="N21" s="51" t="s">
        <v>166</v>
      </c>
      <c r="O21" s="48" t="s">
        <v>166</v>
      </c>
      <c r="P21" s="48" t="s">
        <v>166</v>
      </c>
      <c r="Q21" s="48" t="s">
        <v>166</v>
      </c>
      <c r="R21" s="48" t="s">
        <v>166</v>
      </c>
      <c r="S21" s="50" t="s">
        <v>166</v>
      </c>
      <c r="T21" s="52" t="s">
        <v>167</v>
      </c>
      <c r="U21" s="52" t="s">
        <v>168</v>
      </c>
      <c r="V21" s="51">
        <v>2.0</v>
      </c>
      <c r="W21" s="48" t="s">
        <v>166</v>
      </c>
      <c r="X21" s="50" t="s">
        <v>166</v>
      </c>
      <c r="Y21" s="51" t="s">
        <v>166</v>
      </c>
      <c r="Z21" s="48">
        <v>2.0</v>
      </c>
      <c r="AA21" s="48" t="s">
        <v>166</v>
      </c>
      <c r="AB21" s="48" t="s">
        <v>166</v>
      </c>
      <c r="AC21" s="48" t="s">
        <v>166</v>
      </c>
      <c r="AD21" s="48" t="s">
        <v>166</v>
      </c>
      <c r="AE21" s="54" t="s">
        <v>166</v>
      </c>
      <c r="AF21" s="55" t="s">
        <v>166</v>
      </c>
      <c r="AG21" s="51" t="s">
        <v>166</v>
      </c>
      <c r="AH21" s="48">
        <v>1.0</v>
      </c>
      <c r="AI21" s="48" t="s">
        <v>166</v>
      </c>
      <c r="AJ21" s="50" t="s">
        <v>166</v>
      </c>
      <c r="AK21" s="56">
        <v>288.0</v>
      </c>
      <c r="AL21" s="57">
        <f>AK21*Sheets!$E$3</f>
        <v>39.699504</v>
      </c>
      <c r="AM21" s="58"/>
      <c r="AN21" s="59"/>
      <c r="AO21" s="60"/>
      <c r="AP21" s="60"/>
      <c r="AQ21" s="66"/>
    </row>
    <row r="22">
      <c r="A22" s="61" t="s">
        <v>178</v>
      </c>
      <c r="B22" s="62" t="s">
        <v>203</v>
      </c>
      <c r="C22" s="63" t="s">
        <v>163</v>
      </c>
      <c r="D22" s="48">
        <v>193.0</v>
      </c>
      <c r="E22" s="48">
        <v>67.0</v>
      </c>
      <c r="F22" s="48">
        <v>210.0</v>
      </c>
      <c r="G22" s="49">
        <f t="shared" si="1"/>
        <v>2.71551</v>
      </c>
      <c r="H22" s="49">
        <f t="shared" si="2"/>
        <v>129.31</v>
      </c>
      <c r="I22" s="48">
        <v>0.7</v>
      </c>
      <c r="J22" s="48" t="s">
        <v>164</v>
      </c>
      <c r="K22" s="50" t="s">
        <v>204</v>
      </c>
      <c r="L22" s="51">
        <v>48.0</v>
      </c>
      <c r="M22" s="50" t="s">
        <v>166</v>
      </c>
      <c r="N22" s="51" t="s">
        <v>166</v>
      </c>
      <c r="O22" s="48" t="s">
        <v>166</v>
      </c>
      <c r="P22" s="48" t="s">
        <v>166</v>
      </c>
      <c r="Q22" s="48" t="s">
        <v>166</v>
      </c>
      <c r="R22" s="48" t="s">
        <v>166</v>
      </c>
      <c r="S22" s="50" t="s">
        <v>166</v>
      </c>
      <c r="T22" s="52" t="s">
        <v>167</v>
      </c>
      <c r="U22" s="52" t="s">
        <v>168</v>
      </c>
      <c r="V22" s="51">
        <v>1.0</v>
      </c>
      <c r="W22" s="48" t="s">
        <v>166</v>
      </c>
      <c r="X22" s="50" t="s">
        <v>166</v>
      </c>
      <c r="Y22" s="51" t="s">
        <v>166</v>
      </c>
      <c r="Z22" s="48" t="s">
        <v>166</v>
      </c>
      <c r="AA22" s="48" t="s">
        <v>166</v>
      </c>
      <c r="AB22" s="48" t="s">
        <v>166</v>
      </c>
      <c r="AC22" s="48" t="s">
        <v>166</v>
      </c>
      <c r="AD22" s="48" t="s">
        <v>166</v>
      </c>
      <c r="AE22" s="54" t="s">
        <v>166</v>
      </c>
      <c r="AF22" s="55" t="s">
        <v>166</v>
      </c>
      <c r="AG22" s="51" t="s">
        <v>166</v>
      </c>
      <c r="AH22" s="48" t="s">
        <v>166</v>
      </c>
      <c r="AI22" s="48" t="s">
        <v>166</v>
      </c>
      <c r="AJ22" s="50" t="s">
        <v>166</v>
      </c>
      <c r="AK22" s="56" t="s">
        <v>166</v>
      </c>
      <c r="AL22" s="57">
        <v>99.34</v>
      </c>
      <c r="AM22" s="58"/>
      <c r="AN22" s="59"/>
      <c r="AO22" s="60"/>
      <c r="AP22" s="65"/>
      <c r="AQ22" s="66"/>
    </row>
    <row r="23">
      <c r="A23" s="61" t="s">
        <v>205</v>
      </c>
      <c r="B23" s="62" t="str">
        <f>HYPERLINK("https://www.chieftec.eu/en/chassis/itx/compact-series/ix-01b.html","IX-01B")</f>
        <v>IX-01B</v>
      </c>
      <c r="C23" s="47" t="s">
        <v>163</v>
      </c>
      <c r="D23" s="74">
        <v>220.0</v>
      </c>
      <c r="E23" s="74">
        <v>197.0</v>
      </c>
      <c r="F23" s="74">
        <v>63.0</v>
      </c>
      <c r="G23" s="49">
        <f t="shared" si="1"/>
        <v>2.73042</v>
      </c>
      <c r="H23" s="49">
        <f t="shared" si="2"/>
        <v>433.4</v>
      </c>
      <c r="I23" s="74">
        <v>1.5</v>
      </c>
      <c r="J23" s="48" t="s">
        <v>171</v>
      </c>
      <c r="K23" s="75" t="s">
        <v>206</v>
      </c>
      <c r="L23" s="76">
        <v>30.0</v>
      </c>
      <c r="M23" s="75" t="s">
        <v>166</v>
      </c>
      <c r="N23" s="77" t="s">
        <v>166</v>
      </c>
      <c r="O23" s="48" t="s">
        <v>166</v>
      </c>
      <c r="P23" s="48" t="s">
        <v>166</v>
      </c>
      <c r="Q23" s="48" t="s">
        <v>166</v>
      </c>
      <c r="R23" s="48" t="s">
        <v>166</v>
      </c>
      <c r="S23" s="50" t="s">
        <v>166</v>
      </c>
      <c r="T23" s="52" t="s">
        <v>167</v>
      </c>
      <c r="U23" s="53" t="s">
        <v>168</v>
      </c>
      <c r="V23" s="77" t="s">
        <v>207</v>
      </c>
      <c r="W23" s="74" t="s">
        <v>194</v>
      </c>
      <c r="X23" s="75" t="s">
        <v>208</v>
      </c>
      <c r="Y23" s="51" t="s">
        <v>166</v>
      </c>
      <c r="Z23" s="74" t="s">
        <v>166</v>
      </c>
      <c r="AA23" s="74" t="s">
        <v>166</v>
      </c>
      <c r="AB23" s="48" t="s">
        <v>166</v>
      </c>
      <c r="AC23" s="48" t="s">
        <v>166</v>
      </c>
      <c r="AD23" s="48" t="s">
        <v>166</v>
      </c>
      <c r="AE23" s="54" t="s">
        <v>166</v>
      </c>
      <c r="AF23" s="55" t="s">
        <v>166</v>
      </c>
      <c r="AG23" s="51" t="s">
        <v>166</v>
      </c>
      <c r="AH23" s="48" t="s">
        <v>166</v>
      </c>
      <c r="AI23" s="48" t="s">
        <v>166</v>
      </c>
      <c r="AJ23" s="50" t="s">
        <v>166</v>
      </c>
      <c r="AK23" s="56" t="s">
        <v>166</v>
      </c>
      <c r="AL23" s="57">
        <v>38.05</v>
      </c>
      <c r="AM23" s="68"/>
      <c r="AN23" s="59"/>
      <c r="AO23" s="60"/>
      <c r="AP23" s="60"/>
      <c r="AQ23" s="66"/>
    </row>
    <row r="24">
      <c r="A24" s="61" t="s">
        <v>205</v>
      </c>
      <c r="B24" s="62" t="str">
        <f>HYPERLINK("https://www.chieftec.eu/en/chassis/itx/compact-series/ix-03b.html","IX-03B")</f>
        <v>IX-03B</v>
      </c>
      <c r="C24" s="47" t="s">
        <v>163</v>
      </c>
      <c r="D24" s="74">
        <v>220.0</v>
      </c>
      <c r="E24" s="74">
        <v>197.0</v>
      </c>
      <c r="F24" s="74">
        <v>63.0</v>
      </c>
      <c r="G24" s="49">
        <f t="shared" si="1"/>
        <v>2.73042</v>
      </c>
      <c r="H24" s="49">
        <f t="shared" si="2"/>
        <v>433.4</v>
      </c>
      <c r="I24" s="74">
        <v>1.5</v>
      </c>
      <c r="J24" s="48" t="s">
        <v>171</v>
      </c>
      <c r="K24" s="75" t="s">
        <v>206</v>
      </c>
      <c r="L24" s="76">
        <v>30.0</v>
      </c>
      <c r="M24" s="75" t="s">
        <v>166</v>
      </c>
      <c r="N24" s="77" t="s">
        <v>166</v>
      </c>
      <c r="O24" s="48" t="s">
        <v>166</v>
      </c>
      <c r="P24" s="48" t="s">
        <v>166</v>
      </c>
      <c r="Q24" s="48" t="s">
        <v>166</v>
      </c>
      <c r="R24" s="48" t="s">
        <v>166</v>
      </c>
      <c r="S24" s="50" t="s">
        <v>166</v>
      </c>
      <c r="T24" s="52" t="s">
        <v>167</v>
      </c>
      <c r="U24" s="53" t="s">
        <v>168</v>
      </c>
      <c r="V24" s="77" t="s">
        <v>207</v>
      </c>
      <c r="W24" s="74" t="s">
        <v>194</v>
      </c>
      <c r="X24" s="75" t="s">
        <v>208</v>
      </c>
      <c r="Y24" s="51" t="s">
        <v>166</v>
      </c>
      <c r="Z24" s="74" t="s">
        <v>166</v>
      </c>
      <c r="AA24" s="74" t="s">
        <v>166</v>
      </c>
      <c r="AB24" s="48" t="s">
        <v>166</v>
      </c>
      <c r="AC24" s="48" t="s">
        <v>166</v>
      </c>
      <c r="AD24" s="48" t="s">
        <v>166</v>
      </c>
      <c r="AE24" s="54" t="s">
        <v>166</v>
      </c>
      <c r="AF24" s="55" t="s">
        <v>166</v>
      </c>
      <c r="AG24" s="51" t="s">
        <v>166</v>
      </c>
      <c r="AH24" s="48" t="s">
        <v>166</v>
      </c>
      <c r="AI24" s="48" t="s">
        <v>166</v>
      </c>
      <c r="AJ24" s="50" t="s">
        <v>166</v>
      </c>
      <c r="AK24" s="56" t="s">
        <v>166</v>
      </c>
      <c r="AL24" s="57" t="s">
        <v>170</v>
      </c>
      <c r="AM24" s="68"/>
      <c r="AN24" s="70"/>
      <c r="AO24" s="71"/>
      <c r="AP24" s="72">
        <v>44717.939799050924</v>
      </c>
      <c r="AQ24" s="66"/>
    </row>
    <row r="25">
      <c r="A25" s="61" t="s">
        <v>209</v>
      </c>
      <c r="B25" s="62" t="s">
        <v>210</v>
      </c>
      <c r="C25" s="47" t="s">
        <v>163</v>
      </c>
      <c r="D25" s="74">
        <v>227.0</v>
      </c>
      <c r="E25" s="74">
        <v>196.0</v>
      </c>
      <c r="F25" s="74">
        <v>63.0</v>
      </c>
      <c r="G25" s="49">
        <f t="shared" si="1"/>
        <v>2.802996</v>
      </c>
      <c r="H25" s="49">
        <f t="shared" si="2"/>
        <v>444.92</v>
      </c>
      <c r="I25" s="74">
        <v>1.4</v>
      </c>
      <c r="J25" s="74" t="s">
        <v>171</v>
      </c>
      <c r="K25" s="75" t="s">
        <v>211</v>
      </c>
      <c r="L25" s="76">
        <v>48.0</v>
      </c>
      <c r="M25" s="75" t="s">
        <v>166</v>
      </c>
      <c r="N25" s="77" t="s">
        <v>166</v>
      </c>
      <c r="O25" s="48" t="s">
        <v>166</v>
      </c>
      <c r="P25" s="48" t="s">
        <v>166</v>
      </c>
      <c r="Q25" s="48" t="s">
        <v>166</v>
      </c>
      <c r="R25" s="48" t="s">
        <v>166</v>
      </c>
      <c r="S25" s="50" t="s">
        <v>166</v>
      </c>
      <c r="T25" s="52" t="s">
        <v>167</v>
      </c>
      <c r="U25" s="53" t="s">
        <v>168</v>
      </c>
      <c r="V25" s="77" t="s">
        <v>193</v>
      </c>
      <c r="W25" s="74" t="s">
        <v>166</v>
      </c>
      <c r="X25" s="75" t="s">
        <v>166</v>
      </c>
      <c r="Y25" s="51" t="s">
        <v>166</v>
      </c>
      <c r="Z25" s="74" t="s">
        <v>166</v>
      </c>
      <c r="AA25" s="74" t="s">
        <v>166</v>
      </c>
      <c r="AB25" s="48" t="s">
        <v>166</v>
      </c>
      <c r="AC25" s="48" t="s">
        <v>166</v>
      </c>
      <c r="AD25" s="48" t="s">
        <v>166</v>
      </c>
      <c r="AE25" s="54" t="s">
        <v>166</v>
      </c>
      <c r="AF25" s="55" t="s">
        <v>166</v>
      </c>
      <c r="AG25" s="51" t="s">
        <v>166</v>
      </c>
      <c r="AH25" s="48">
        <v>2.0</v>
      </c>
      <c r="AI25" s="48" t="s">
        <v>166</v>
      </c>
      <c r="AJ25" s="50" t="s">
        <v>166</v>
      </c>
      <c r="AK25" s="56" t="s">
        <v>166</v>
      </c>
      <c r="AL25" s="57">
        <v>59.99</v>
      </c>
      <c r="AM25" s="68"/>
      <c r="AN25" s="70"/>
      <c r="AO25" s="71"/>
      <c r="AP25" s="72">
        <v>45190.015323761574</v>
      </c>
      <c r="AQ25" s="66"/>
    </row>
    <row r="26">
      <c r="A26" s="69" t="s">
        <v>212</v>
      </c>
      <c r="B26" s="46" t="str">
        <f>HYPERLINK("https://item.taobao.com/item.htm?id=592847329173","ZS-D1")</f>
        <v>ZS-D1</v>
      </c>
      <c r="C26" s="63" t="s">
        <v>163</v>
      </c>
      <c r="D26" s="48">
        <v>188.0</v>
      </c>
      <c r="E26" s="48">
        <v>81.0</v>
      </c>
      <c r="F26" s="48">
        <v>191.0</v>
      </c>
      <c r="G26" s="49">
        <f t="shared" si="1"/>
        <v>2.908548</v>
      </c>
      <c r="H26" s="49">
        <f t="shared" si="2"/>
        <v>152.28</v>
      </c>
      <c r="I26" s="48">
        <v>0.5</v>
      </c>
      <c r="J26" s="48" t="s">
        <v>164</v>
      </c>
      <c r="K26" s="50" t="s">
        <v>213</v>
      </c>
      <c r="L26" s="51">
        <v>48.0</v>
      </c>
      <c r="M26" s="50" t="s">
        <v>166</v>
      </c>
      <c r="N26" s="51" t="s">
        <v>166</v>
      </c>
      <c r="O26" s="48" t="s">
        <v>166</v>
      </c>
      <c r="P26" s="48" t="s">
        <v>166</v>
      </c>
      <c r="Q26" s="48" t="s">
        <v>166</v>
      </c>
      <c r="R26" s="48" t="s">
        <v>166</v>
      </c>
      <c r="S26" s="50" t="s">
        <v>166</v>
      </c>
      <c r="T26" s="52" t="s">
        <v>167</v>
      </c>
      <c r="U26" s="52" t="s">
        <v>168</v>
      </c>
      <c r="V26" s="51">
        <v>2.0</v>
      </c>
      <c r="W26" s="48" t="s">
        <v>166</v>
      </c>
      <c r="X26" s="50" t="s">
        <v>166</v>
      </c>
      <c r="Y26" s="51" t="s">
        <v>166</v>
      </c>
      <c r="Z26" s="48" t="s">
        <v>166</v>
      </c>
      <c r="AA26" s="48" t="s">
        <v>166</v>
      </c>
      <c r="AB26" s="48" t="s">
        <v>166</v>
      </c>
      <c r="AC26" s="48" t="s">
        <v>166</v>
      </c>
      <c r="AD26" s="48" t="s">
        <v>166</v>
      </c>
      <c r="AE26" s="54" t="s">
        <v>166</v>
      </c>
      <c r="AF26" s="55" t="s">
        <v>166</v>
      </c>
      <c r="AG26" s="51" t="s">
        <v>166</v>
      </c>
      <c r="AH26" s="48">
        <v>1.0</v>
      </c>
      <c r="AI26" s="48" t="s">
        <v>166</v>
      </c>
      <c r="AJ26" s="50" t="s">
        <v>166</v>
      </c>
      <c r="AK26" s="56">
        <v>330.0</v>
      </c>
      <c r="AL26" s="57">
        <f>AK26*Sheets!$E$3</f>
        <v>45.489015</v>
      </c>
      <c r="AM26" s="68"/>
      <c r="AN26" s="64" t="s">
        <v>214</v>
      </c>
      <c r="AO26" s="71"/>
      <c r="AP26" s="72">
        <v>44681.591244826384</v>
      </c>
      <c r="AQ26" s="66"/>
    </row>
    <row r="27">
      <c r="A27" s="69" t="s">
        <v>182</v>
      </c>
      <c r="B27" s="46" t="s">
        <v>215</v>
      </c>
      <c r="C27" s="63" t="s">
        <v>163</v>
      </c>
      <c r="D27" s="48">
        <v>186.0</v>
      </c>
      <c r="E27" s="48">
        <v>78.0</v>
      </c>
      <c r="F27" s="48">
        <v>201.0</v>
      </c>
      <c r="G27" s="49">
        <f t="shared" si="1"/>
        <v>2.916108</v>
      </c>
      <c r="H27" s="49">
        <f t="shared" si="2"/>
        <v>145.08</v>
      </c>
      <c r="I27" s="48" t="s">
        <v>170</v>
      </c>
      <c r="J27" s="48" t="s">
        <v>164</v>
      </c>
      <c r="K27" s="50" t="s">
        <v>165</v>
      </c>
      <c r="L27" s="51">
        <v>57.0</v>
      </c>
      <c r="M27" s="50" t="s">
        <v>166</v>
      </c>
      <c r="N27" s="51" t="s">
        <v>166</v>
      </c>
      <c r="O27" s="48" t="s">
        <v>166</v>
      </c>
      <c r="P27" s="48" t="s">
        <v>166</v>
      </c>
      <c r="Q27" s="48" t="s">
        <v>166</v>
      </c>
      <c r="R27" s="48" t="s">
        <v>166</v>
      </c>
      <c r="S27" s="50" t="s">
        <v>166</v>
      </c>
      <c r="T27" s="52" t="s">
        <v>167</v>
      </c>
      <c r="U27" s="52" t="s">
        <v>168</v>
      </c>
      <c r="V27" s="51">
        <v>1.0</v>
      </c>
      <c r="W27" s="48" t="s">
        <v>166</v>
      </c>
      <c r="X27" s="50" t="s">
        <v>166</v>
      </c>
      <c r="Y27" s="51">
        <v>2.0</v>
      </c>
      <c r="Z27" s="48" t="s">
        <v>166</v>
      </c>
      <c r="AA27" s="48" t="s">
        <v>166</v>
      </c>
      <c r="AB27" s="48" t="s">
        <v>166</v>
      </c>
      <c r="AC27" s="48" t="s">
        <v>166</v>
      </c>
      <c r="AD27" s="48" t="s">
        <v>166</v>
      </c>
      <c r="AE27" s="54" t="s">
        <v>166</v>
      </c>
      <c r="AF27" s="55" t="s">
        <v>166</v>
      </c>
      <c r="AG27" s="51" t="s">
        <v>166</v>
      </c>
      <c r="AH27" s="48" t="s">
        <v>166</v>
      </c>
      <c r="AI27" s="48" t="s">
        <v>166</v>
      </c>
      <c r="AJ27" s="50" t="s">
        <v>166</v>
      </c>
      <c r="AK27" s="56">
        <v>369.0</v>
      </c>
      <c r="AL27" s="57">
        <f>AK27*Sheets!$E$3</f>
        <v>50.8649895</v>
      </c>
      <c r="AM27" s="68"/>
      <c r="AN27" s="70"/>
      <c r="AO27" s="71"/>
      <c r="AP27" s="71"/>
      <c r="AQ27" s="66"/>
    </row>
    <row r="28">
      <c r="A28" s="69" t="str">
        <f>HYPERLINK("https://sktcase.world.taobao.com/","SKTC")</f>
        <v>SKTC</v>
      </c>
      <c r="B28" s="46" t="s">
        <v>216</v>
      </c>
      <c r="C28" s="63" t="s">
        <v>163</v>
      </c>
      <c r="D28" s="48">
        <v>211.0</v>
      </c>
      <c r="E28" s="48">
        <v>52.0</v>
      </c>
      <c r="F28" s="48">
        <v>269.0</v>
      </c>
      <c r="G28" s="49">
        <f t="shared" si="1"/>
        <v>2.951468</v>
      </c>
      <c r="H28" s="49">
        <f t="shared" si="2"/>
        <v>109.72</v>
      </c>
      <c r="I28" s="48" t="s">
        <v>170</v>
      </c>
      <c r="J28" s="48" t="s">
        <v>171</v>
      </c>
      <c r="K28" s="50" t="s">
        <v>217</v>
      </c>
      <c r="L28" s="51">
        <v>30.0</v>
      </c>
      <c r="M28" s="50" t="s">
        <v>166</v>
      </c>
      <c r="N28" s="51" t="s">
        <v>166</v>
      </c>
      <c r="O28" s="48" t="s">
        <v>166</v>
      </c>
      <c r="P28" s="48" t="s">
        <v>166</v>
      </c>
      <c r="Q28" s="48" t="s">
        <v>166</v>
      </c>
      <c r="R28" s="48" t="s">
        <v>166</v>
      </c>
      <c r="S28" s="50" t="s">
        <v>166</v>
      </c>
      <c r="T28" s="52" t="s">
        <v>167</v>
      </c>
      <c r="U28" s="52" t="s">
        <v>186</v>
      </c>
      <c r="V28" s="51">
        <v>2.0</v>
      </c>
      <c r="W28" s="48" t="s">
        <v>166</v>
      </c>
      <c r="X28" s="50" t="s">
        <v>166</v>
      </c>
      <c r="Y28" s="51" t="s">
        <v>166</v>
      </c>
      <c r="Z28" s="48" t="s">
        <v>166</v>
      </c>
      <c r="AA28" s="48" t="s">
        <v>166</v>
      </c>
      <c r="AB28" s="48" t="s">
        <v>166</v>
      </c>
      <c r="AC28" s="48" t="s">
        <v>166</v>
      </c>
      <c r="AD28" s="48" t="s">
        <v>166</v>
      </c>
      <c r="AE28" s="54" t="s">
        <v>166</v>
      </c>
      <c r="AF28" s="55" t="s">
        <v>166</v>
      </c>
      <c r="AG28" s="51">
        <v>1.0</v>
      </c>
      <c r="AH28" s="48">
        <v>1.0</v>
      </c>
      <c r="AI28" s="48" t="s">
        <v>166</v>
      </c>
      <c r="AJ28" s="50" t="s">
        <v>174</v>
      </c>
      <c r="AK28" s="56">
        <v>99.0</v>
      </c>
      <c r="AL28" s="57">
        <f>AK28*Sheets!$E$3</f>
        <v>13.6467045</v>
      </c>
      <c r="AM28" s="68"/>
      <c r="AN28" s="59"/>
      <c r="AO28" s="60"/>
      <c r="AP28" s="65">
        <v>44681.59157827546</v>
      </c>
      <c r="AQ28" s="66"/>
    </row>
    <row r="29">
      <c r="A29" s="82" t="str">
        <f>HYPERLINK("https://streacom.com/","Streacom")</f>
        <v>Streacom</v>
      </c>
      <c r="B29" s="62" t="str">
        <f>HYPERLINK("https://streacom.com/products/f1c-evo-chassis/","F1C Evo")</f>
        <v>F1C Evo</v>
      </c>
      <c r="C29" s="63" t="s">
        <v>163</v>
      </c>
      <c r="D29" s="48">
        <v>197.0</v>
      </c>
      <c r="E29" s="48">
        <v>197.0</v>
      </c>
      <c r="F29" s="48">
        <v>77.0</v>
      </c>
      <c r="G29" s="49">
        <f t="shared" si="1"/>
        <v>2.988293</v>
      </c>
      <c r="H29" s="49">
        <f t="shared" si="2"/>
        <v>388.09</v>
      </c>
      <c r="I29" s="48">
        <v>1.6</v>
      </c>
      <c r="J29" s="48" t="s">
        <v>164</v>
      </c>
      <c r="K29" s="50" t="s">
        <v>192</v>
      </c>
      <c r="L29" s="51">
        <v>34.0</v>
      </c>
      <c r="M29" s="50" t="s">
        <v>166</v>
      </c>
      <c r="N29" s="51" t="s">
        <v>166</v>
      </c>
      <c r="O29" s="48" t="s">
        <v>166</v>
      </c>
      <c r="P29" s="48" t="s">
        <v>166</v>
      </c>
      <c r="Q29" s="48" t="s">
        <v>166</v>
      </c>
      <c r="R29" s="48" t="s">
        <v>166</v>
      </c>
      <c r="S29" s="50" t="s">
        <v>166</v>
      </c>
      <c r="T29" s="52" t="s">
        <v>167</v>
      </c>
      <c r="U29" s="52" t="s">
        <v>168</v>
      </c>
      <c r="V29" s="51">
        <v>3.0</v>
      </c>
      <c r="W29" s="48" t="s">
        <v>166</v>
      </c>
      <c r="X29" s="50" t="s">
        <v>218</v>
      </c>
      <c r="Y29" s="51" t="s">
        <v>194</v>
      </c>
      <c r="Z29" s="48" t="s">
        <v>194</v>
      </c>
      <c r="AA29" s="48" t="s">
        <v>166</v>
      </c>
      <c r="AB29" s="48" t="s">
        <v>166</v>
      </c>
      <c r="AC29" s="48" t="s">
        <v>166</v>
      </c>
      <c r="AD29" s="48" t="s">
        <v>166</v>
      </c>
      <c r="AE29" s="54" t="s">
        <v>166</v>
      </c>
      <c r="AF29" s="55" t="s">
        <v>166</v>
      </c>
      <c r="AG29" s="51" t="s">
        <v>166</v>
      </c>
      <c r="AH29" s="48" t="s">
        <v>166</v>
      </c>
      <c r="AI29" s="48" t="s">
        <v>166</v>
      </c>
      <c r="AJ29" s="50" t="s">
        <v>166</v>
      </c>
      <c r="AK29" s="56" t="s">
        <v>166</v>
      </c>
      <c r="AL29" s="57">
        <v>88.17</v>
      </c>
      <c r="AM29" s="58"/>
      <c r="AN29" s="59"/>
      <c r="AO29" s="60"/>
      <c r="AP29" s="60"/>
      <c r="AQ29" s="66"/>
    </row>
    <row r="30">
      <c r="A30" s="61" t="str">
        <f>HYPERLINK("https://j-hackcompany.com/","J-HACK")</f>
        <v>J-HACK</v>
      </c>
      <c r="B30" s="62" t="s">
        <v>219</v>
      </c>
      <c r="C30" s="63" t="s">
        <v>163</v>
      </c>
      <c r="D30" s="48">
        <v>193.0</v>
      </c>
      <c r="E30" s="48">
        <v>225.0</v>
      </c>
      <c r="F30" s="48">
        <v>69.0</v>
      </c>
      <c r="G30" s="49">
        <f t="shared" si="1"/>
        <v>2.996325</v>
      </c>
      <c r="H30" s="49">
        <f t="shared" si="2"/>
        <v>434.25</v>
      </c>
      <c r="I30" s="48" t="s">
        <v>170</v>
      </c>
      <c r="J30" s="48" t="s">
        <v>164</v>
      </c>
      <c r="K30" s="50" t="s">
        <v>164</v>
      </c>
      <c r="L30" s="51">
        <v>48.0</v>
      </c>
      <c r="M30" s="50" t="s">
        <v>166</v>
      </c>
      <c r="N30" s="51" t="s">
        <v>166</v>
      </c>
      <c r="O30" s="48" t="s">
        <v>166</v>
      </c>
      <c r="P30" s="48" t="s">
        <v>166</v>
      </c>
      <c r="Q30" s="48" t="s">
        <v>166</v>
      </c>
      <c r="R30" s="48" t="s">
        <v>166</v>
      </c>
      <c r="S30" s="50" t="s">
        <v>166</v>
      </c>
      <c r="T30" s="52" t="s">
        <v>167</v>
      </c>
      <c r="U30" s="52" t="s">
        <v>168</v>
      </c>
      <c r="V30" s="51" t="s">
        <v>220</v>
      </c>
      <c r="W30" s="48" t="s">
        <v>166</v>
      </c>
      <c r="X30" s="50" t="s">
        <v>166</v>
      </c>
      <c r="Y30" s="51" t="s">
        <v>166</v>
      </c>
      <c r="Z30" s="48" t="s">
        <v>193</v>
      </c>
      <c r="AA30" s="48" t="s">
        <v>166</v>
      </c>
      <c r="AB30" s="48" t="s">
        <v>166</v>
      </c>
      <c r="AC30" s="48" t="s">
        <v>166</v>
      </c>
      <c r="AD30" s="48" t="s">
        <v>166</v>
      </c>
      <c r="AE30" s="54" t="s">
        <v>166</v>
      </c>
      <c r="AF30" s="55" t="s">
        <v>166</v>
      </c>
      <c r="AG30" s="51" t="s">
        <v>166</v>
      </c>
      <c r="AH30" s="48" t="s">
        <v>166</v>
      </c>
      <c r="AI30" s="48" t="s">
        <v>166</v>
      </c>
      <c r="AJ30" s="50" t="s">
        <v>166</v>
      </c>
      <c r="AK30" s="56" t="s">
        <v>166</v>
      </c>
      <c r="AL30" s="57">
        <v>79.95</v>
      </c>
      <c r="AM30" s="58"/>
      <c r="AN30" s="59"/>
      <c r="AO30" s="60" t="s">
        <v>181</v>
      </c>
      <c r="AP30" s="60"/>
      <c r="AQ30" s="66"/>
    </row>
    <row r="31">
      <c r="A31" s="46" t="str">
        <f>HYPERLINK("https://shop206098240.world.taobao.com/","LZmod")</f>
        <v>LZmod</v>
      </c>
      <c r="B31" s="46" t="s">
        <v>221</v>
      </c>
      <c r="C31" s="63" t="s">
        <v>163</v>
      </c>
      <c r="D31" s="48">
        <v>261.0</v>
      </c>
      <c r="E31" s="74">
        <v>197.0</v>
      </c>
      <c r="F31" s="48">
        <v>58.28</v>
      </c>
      <c r="G31" s="49">
        <f t="shared" si="1"/>
        <v>2.99658276</v>
      </c>
      <c r="H31" s="49">
        <f t="shared" si="2"/>
        <v>514.17</v>
      </c>
      <c r="I31" s="48">
        <v>1.6</v>
      </c>
      <c r="J31" s="48" t="s">
        <v>164</v>
      </c>
      <c r="K31" s="50" t="s">
        <v>165</v>
      </c>
      <c r="L31" s="51">
        <v>36.9</v>
      </c>
      <c r="M31" s="50" t="s">
        <v>166</v>
      </c>
      <c r="N31" s="51" t="s">
        <v>174</v>
      </c>
      <c r="O31" s="48" t="s">
        <v>170</v>
      </c>
      <c r="P31" s="48" t="s">
        <v>170</v>
      </c>
      <c r="Q31" s="48">
        <v>20.0</v>
      </c>
      <c r="R31" s="48" t="s">
        <v>166</v>
      </c>
      <c r="S31" s="50">
        <v>1.0</v>
      </c>
      <c r="T31" s="52" t="s">
        <v>167</v>
      </c>
      <c r="U31" s="53" t="s">
        <v>168</v>
      </c>
      <c r="V31" s="51">
        <v>3.0</v>
      </c>
      <c r="W31" s="48" t="s">
        <v>166</v>
      </c>
      <c r="X31" s="50" t="s">
        <v>166</v>
      </c>
      <c r="Y31" s="51">
        <v>4.0</v>
      </c>
      <c r="Z31" s="48" t="s">
        <v>166</v>
      </c>
      <c r="AA31" s="48" t="s">
        <v>166</v>
      </c>
      <c r="AB31" s="48" t="s">
        <v>166</v>
      </c>
      <c r="AC31" s="48" t="s">
        <v>166</v>
      </c>
      <c r="AD31" s="48" t="s">
        <v>166</v>
      </c>
      <c r="AE31" s="54" t="s">
        <v>166</v>
      </c>
      <c r="AF31" s="55" t="s">
        <v>166</v>
      </c>
      <c r="AG31" s="51" t="s">
        <v>166</v>
      </c>
      <c r="AH31" s="48" t="s">
        <v>166</v>
      </c>
      <c r="AI31" s="48" t="s">
        <v>166</v>
      </c>
      <c r="AJ31" s="50" t="s">
        <v>166</v>
      </c>
      <c r="AK31" s="56">
        <v>383.0</v>
      </c>
      <c r="AL31" s="57">
        <f>AK31*Sheets!$E$3</f>
        <v>52.7948265</v>
      </c>
      <c r="AM31" s="58"/>
      <c r="AN31" s="59"/>
      <c r="AO31" s="60"/>
      <c r="AP31" s="65">
        <v>44690.666744456015</v>
      </c>
      <c r="AQ31" s="66"/>
    </row>
    <row r="32">
      <c r="A32" s="69" t="s">
        <v>222</v>
      </c>
      <c r="B32" s="46" t="s">
        <v>223</v>
      </c>
      <c r="C32" s="63" t="s">
        <v>163</v>
      </c>
      <c r="D32" s="48">
        <v>190.0</v>
      </c>
      <c r="E32" s="48">
        <v>61.0</v>
      </c>
      <c r="F32" s="48">
        <v>260.0</v>
      </c>
      <c r="G32" s="49">
        <f t="shared" si="1"/>
        <v>3.0134</v>
      </c>
      <c r="H32" s="49">
        <f t="shared" si="2"/>
        <v>115.9</v>
      </c>
      <c r="I32" s="48">
        <v>0.36</v>
      </c>
      <c r="J32" s="48" t="s">
        <v>171</v>
      </c>
      <c r="K32" s="50" t="s">
        <v>171</v>
      </c>
      <c r="L32" s="51">
        <v>45.0</v>
      </c>
      <c r="M32" s="50" t="s">
        <v>166</v>
      </c>
      <c r="N32" s="51" t="s">
        <v>166</v>
      </c>
      <c r="O32" s="48" t="s">
        <v>166</v>
      </c>
      <c r="P32" s="48" t="s">
        <v>166</v>
      </c>
      <c r="Q32" s="48" t="s">
        <v>166</v>
      </c>
      <c r="R32" s="48" t="s">
        <v>166</v>
      </c>
      <c r="S32" s="50" t="s">
        <v>166</v>
      </c>
      <c r="T32" s="52" t="s">
        <v>167</v>
      </c>
      <c r="U32" s="52" t="s">
        <v>186</v>
      </c>
      <c r="V32" s="51">
        <v>2.0</v>
      </c>
      <c r="W32" s="48" t="s">
        <v>166</v>
      </c>
      <c r="X32" s="50" t="s">
        <v>166</v>
      </c>
      <c r="Y32" s="51" t="s">
        <v>166</v>
      </c>
      <c r="Z32" s="48" t="s">
        <v>166</v>
      </c>
      <c r="AA32" s="48" t="s">
        <v>166</v>
      </c>
      <c r="AB32" s="48" t="s">
        <v>166</v>
      </c>
      <c r="AC32" s="48" t="s">
        <v>166</v>
      </c>
      <c r="AD32" s="48" t="s">
        <v>166</v>
      </c>
      <c r="AE32" s="54" t="s">
        <v>166</v>
      </c>
      <c r="AF32" s="55" t="s">
        <v>166</v>
      </c>
      <c r="AG32" s="51" t="s">
        <v>166</v>
      </c>
      <c r="AH32" s="48">
        <v>1.0</v>
      </c>
      <c r="AI32" s="48" t="s">
        <v>166</v>
      </c>
      <c r="AJ32" s="50" t="s">
        <v>174</v>
      </c>
      <c r="AK32" s="56">
        <v>68.0</v>
      </c>
      <c r="AL32" s="57">
        <f>AK32*Sheets!$E$3</f>
        <v>9.373494</v>
      </c>
      <c r="AM32" s="68"/>
      <c r="AN32" s="70"/>
      <c r="AO32" s="71"/>
      <c r="AP32" s="72">
        <v>44755.85716237269</v>
      </c>
      <c r="AQ32" s="66"/>
    </row>
    <row r="33">
      <c r="A33" s="69" t="str">
        <f>HYPERLINK("https://jwmdn.world.taobao.com/","长沙精五门电脑")</f>
        <v>长沙精五门电脑</v>
      </c>
      <c r="B33" s="46" t="str">
        <f>HYPERLINK("https://item.taobao.com/item.htm?id=578826676813","联达L80")</f>
        <v>联达L80</v>
      </c>
      <c r="C33" s="63" t="s">
        <v>163</v>
      </c>
      <c r="D33" s="48">
        <v>197.0</v>
      </c>
      <c r="E33" s="48">
        <v>197.0</v>
      </c>
      <c r="F33" s="48">
        <v>80.0</v>
      </c>
      <c r="G33" s="49">
        <f t="shared" si="1"/>
        <v>3.10472</v>
      </c>
      <c r="H33" s="49">
        <f t="shared" si="2"/>
        <v>388.09</v>
      </c>
      <c r="I33" s="48">
        <v>1.0</v>
      </c>
      <c r="J33" s="48" t="s">
        <v>164</v>
      </c>
      <c r="K33" s="50" t="s">
        <v>200</v>
      </c>
      <c r="L33" s="51">
        <v>52.0</v>
      </c>
      <c r="M33" s="50" t="s">
        <v>166</v>
      </c>
      <c r="N33" s="51" t="s">
        <v>166</v>
      </c>
      <c r="O33" s="48" t="s">
        <v>166</v>
      </c>
      <c r="P33" s="48" t="s">
        <v>166</v>
      </c>
      <c r="Q33" s="48" t="s">
        <v>166</v>
      </c>
      <c r="R33" s="48" t="s">
        <v>166</v>
      </c>
      <c r="S33" s="50" t="s">
        <v>166</v>
      </c>
      <c r="T33" s="52" t="s">
        <v>167</v>
      </c>
      <c r="U33" s="52" t="s">
        <v>168</v>
      </c>
      <c r="V33" s="51" t="s">
        <v>193</v>
      </c>
      <c r="W33" s="48" t="s">
        <v>194</v>
      </c>
      <c r="X33" s="50" t="s">
        <v>166</v>
      </c>
      <c r="Y33" s="51" t="s">
        <v>166</v>
      </c>
      <c r="Z33" s="48" t="s">
        <v>166</v>
      </c>
      <c r="AA33" s="48" t="s">
        <v>166</v>
      </c>
      <c r="AB33" s="48" t="s">
        <v>166</v>
      </c>
      <c r="AC33" s="48" t="s">
        <v>166</v>
      </c>
      <c r="AD33" s="48" t="s">
        <v>166</v>
      </c>
      <c r="AE33" s="54" t="s">
        <v>166</v>
      </c>
      <c r="AF33" s="55" t="s">
        <v>166</v>
      </c>
      <c r="AG33" s="51">
        <v>2.0</v>
      </c>
      <c r="AH33" s="48" t="s">
        <v>166</v>
      </c>
      <c r="AI33" s="48" t="s">
        <v>166</v>
      </c>
      <c r="AJ33" s="50" t="s">
        <v>166</v>
      </c>
      <c r="AK33" s="56">
        <v>135.0</v>
      </c>
      <c r="AL33" s="57">
        <f>AK33*Sheets!$E$3</f>
        <v>18.6091425</v>
      </c>
      <c r="AM33" s="58"/>
      <c r="AN33" s="59"/>
      <c r="AO33" s="60"/>
      <c r="AP33" s="65">
        <v>44681.59177209491</v>
      </c>
      <c r="AQ33" s="66"/>
    </row>
    <row r="34">
      <c r="A34" s="61" t="str">
        <f>HYPERLINK("https://rgeek.aliexpress.com/store/2089059","RGeek")</f>
        <v>RGeek</v>
      </c>
      <c r="B34" s="62" t="str">
        <f>HYPERLINK("https://www.aliexpress.com/item/32957653510.html","L80")</f>
        <v>L80</v>
      </c>
      <c r="C34" s="63" t="s">
        <v>163</v>
      </c>
      <c r="D34" s="48">
        <v>197.0</v>
      </c>
      <c r="E34" s="48">
        <v>197.0</v>
      </c>
      <c r="F34" s="48">
        <v>80.0</v>
      </c>
      <c r="G34" s="49">
        <f t="shared" si="1"/>
        <v>3.10472</v>
      </c>
      <c r="H34" s="49">
        <f t="shared" si="2"/>
        <v>388.09</v>
      </c>
      <c r="I34" s="48" t="s">
        <v>170</v>
      </c>
      <c r="J34" s="48" t="s">
        <v>164</v>
      </c>
      <c r="K34" s="50" t="s">
        <v>200</v>
      </c>
      <c r="L34" s="51">
        <v>52.0</v>
      </c>
      <c r="M34" s="50" t="s">
        <v>166</v>
      </c>
      <c r="N34" s="51" t="s">
        <v>166</v>
      </c>
      <c r="O34" s="48" t="s">
        <v>166</v>
      </c>
      <c r="P34" s="48" t="s">
        <v>166</v>
      </c>
      <c r="Q34" s="48" t="s">
        <v>166</v>
      </c>
      <c r="R34" s="48" t="s">
        <v>166</v>
      </c>
      <c r="S34" s="50" t="s">
        <v>166</v>
      </c>
      <c r="T34" s="52" t="s">
        <v>167</v>
      </c>
      <c r="U34" s="52" t="s">
        <v>168</v>
      </c>
      <c r="V34" s="51" t="s">
        <v>193</v>
      </c>
      <c r="W34" s="48" t="s">
        <v>194</v>
      </c>
      <c r="X34" s="50" t="s">
        <v>166</v>
      </c>
      <c r="Y34" s="51" t="s">
        <v>166</v>
      </c>
      <c r="Z34" s="48" t="s">
        <v>166</v>
      </c>
      <c r="AA34" s="48" t="s">
        <v>166</v>
      </c>
      <c r="AB34" s="48" t="s">
        <v>166</v>
      </c>
      <c r="AC34" s="48" t="s">
        <v>166</v>
      </c>
      <c r="AD34" s="48" t="s">
        <v>166</v>
      </c>
      <c r="AE34" s="54" t="s">
        <v>166</v>
      </c>
      <c r="AF34" s="55" t="s">
        <v>166</v>
      </c>
      <c r="AG34" s="51">
        <v>2.0</v>
      </c>
      <c r="AH34" s="48" t="s">
        <v>166</v>
      </c>
      <c r="AI34" s="48" t="s">
        <v>166</v>
      </c>
      <c r="AJ34" s="50" t="s">
        <v>166</v>
      </c>
      <c r="AK34" s="56" t="s">
        <v>166</v>
      </c>
      <c r="AL34" s="57">
        <v>133.74</v>
      </c>
      <c r="AM34" s="58"/>
      <c r="AN34" s="59"/>
      <c r="AO34" s="60"/>
      <c r="AP34" s="60"/>
      <c r="AQ34" s="66"/>
    </row>
    <row r="35">
      <c r="A35" s="61" t="str">
        <f>HYPERLINK("http://www.minicase.net/index.html","Realan")</f>
        <v>Realan</v>
      </c>
      <c r="B35" s="62" t="str">
        <f>HYPERLINK("https://www.aliexpress.com/item/32347936709.html","E-I3S")</f>
        <v>E-I3S</v>
      </c>
      <c r="C35" s="63" t="s">
        <v>163</v>
      </c>
      <c r="D35" s="48">
        <v>236.0</v>
      </c>
      <c r="E35" s="48">
        <v>200.0</v>
      </c>
      <c r="F35" s="48">
        <v>66.0</v>
      </c>
      <c r="G35" s="49">
        <f t="shared" si="1"/>
        <v>3.1152</v>
      </c>
      <c r="H35" s="49">
        <f t="shared" si="2"/>
        <v>472</v>
      </c>
      <c r="I35" s="48">
        <v>1.05</v>
      </c>
      <c r="J35" s="48" t="s">
        <v>164</v>
      </c>
      <c r="K35" s="50" t="s">
        <v>192</v>
      </c>
      <c r="L35" s="51">
        <v>42.0</v>
      </c>
      <c r="M35" s="50" t="s">
        <v>166</v>
      </c>
      <c r="N35" s="51" t="s">
        <v>166</v>
      </c>
      <c r="O35" s="48" t="s">
        <v>166</v>
      </c>
      <c r="P35" s="48" t="s">
        <v>166</v>
      </c>
      <c r="Q35" s="48" t="s">
        <v>166</v>
      </c>
      <c r="R35" s="48" t="s">
        <v>166</v>
      </c>
      <c r="S35" s="50" t="s">
        <v>166</v>
      </c>
      <c r="T35" s="52" t="s">
        <v>167</v>
      </c>
      <c r="U35" s="52" t="s">
        <v>168</v>
      </c>
      <c r="V35" s="51" t="s">
        <v>193</v>
      </c>
      <c r="W35" s="48" t="s">
        <v>194</v>
      </c>
      <c r="X35" s="50" t="s">
        <v>166</v>
      </c>
      <c r="Y35" s="51" t="s">
        <v>166</v>
      </c>
      <c r="Z35" s="48" t="s">
        <v>166</v>
      </c>
      <c r="AA35" s="48" t="s">
        <v>166</v>
      </c>
      <c r="AB35" s="48" t="s">
        <v>166</v>
      </c>
      <c r="AC35" s="48" t="s">
        <v>166</v>
      </c>
      <c r="AD35" s="48" t="s">
        <v>166</v>
      </c>
      <c r="AE35" s="54" t="s">
        <v>166</v>
      </c>
      <c r="AF35" s="55" t="s">
        <v>166</v>
      </c>
      <c r="AG35" s="51">
        <v>2.0</v>
      </c>
      <c r="AH35" s="48" t="s">
        <v>166</v>
      </c>
      <c r="AI35" s="48" t="s">
        <v>166</v>
      </c>
      <c r="AJ35" s="50" t="s">
        <v>166</v>
      </c>
      <c r="AK35" s="56" t="s">
        <v>166</v>
      </c>
      <c r="AL35" s="57">
        <v>28.0</v>
      </c>
      <c r="AM35" s="58"/>
      <c r="AN35" s="59"/>
      <c r="AO35" s="60"/>
      <c r="AP35" s="60"/>
      <c r="AQ35" s="66"/>
    </row>
    <row r="36">
      <c r="A36" s="61" t="str">
        <f>HYPERLINK("https://j-hackcompany.com/","J-HACK")</f>
        <v>J-HACK</v>
      </c>
      <c r="B36" s="62" t="s">
        <v>224</v>
      </c>
      <c r="C36" s="63" t="s">
        <v>225</v>
      </c>
      <c r="D36" s="48">
        <v>190.0</v>
      </c>
      <c r="E36" s="48">
        <v>250.5</v>
      </c>
      <c r="F36" s="48">
        <v>66.0</v>
      </c>
      <c r="G36" s="49">
        <f t="shared" si="1"/>
        <v>3.14127</v>
      </c>
      <c r="H36" s="49">
        <f t="shared" si="2"/>
        <v>475.95</v>
      </c>
      <c r="I36" s="48" t="s">
        <v>170</v>
      </c>
      <c r="J36" s="48" t="s">
        <v>164</v>
      </c>
      <c r="K36" s="50" t="s">
        <v>226</v>
      </c>
      <c r="L36" s="51">
        <v>47.0</v>
      </c>
      <c r="M36" s="50" t="s">
        <v>166</v>
      </c>
      <c r="N36" s="51" t="s">
        <v>174</v>
      </c>
      <c r="O36" s="48">
        <v>190.0</v>
      </c>
      <c r="P36" s="48">
        <v>70.0</v>
      </c>
      <c r="Q36" s="48">
        <v>40.0</v>
      </c>
      <c r="R36" s="48" t="s">
        <v>166</v>
      </c>
      <c r="S36" s="50">
        <v>2.0</v>
      </c>
      <c r="T36" s="52" t="s">
        <v>227</v>
      </c>
      <c r="U36" s="52" t="s">
        <v>168</v>
      </c>
      <c r="V36" s="51" t="s">
        <v>193</v>
      </c>
      <c r="W36" s="48" t="s">
        <v>166</v>
      </c>
      <c r="X36" s="50" t="s">
        <v>166</v>
      </c>
      <c r="Y36" s="51" t="s">
        <v>166</v>
      </c>
      <c r="Z36" s="48" t="s">
        <v>166</v>
      </c>
      <c r="AA36" s="48" t="s">
        <v>166</v>
      </c>
      <c r="AB36" s="48" t="s">
        <v>166</v>
      </c>
      <c r="AC36" s="48" t="s">
        <v>166</v>
      </c>
      <c r="AD36" s="48" t="s">
        <v>166</v>
      </c>
      <c r="AE36" s="54" t="s">
        <v>166</v>
      </c>
      <c r="AF36" s="55" t="s">
        <v>166</v>
      </c>
      <c r="AG36" s="51" t="s">
        <v>166</v>
      </c>
      <c r="AH36" s="48" t="s">
        <v>166</v>
      </c>
      <c r="AI36" s="48" t="s">
        <v>166</v>
      </c>
      <c r="AJ36" s="50" t="s">
        <v>166</v>
      </c>
      <c r="AK36" s="56" t="s">
        <v>166</v>
      </c>
      <c r="AL36" s="57">
        <v>97.79</v>
      </c>
      <c r="AM36" s="58"/>
      <c r="AN36" s="59"/>
      <c r="AO36" s="60"/>
      <c r="AP36" s="65">
        <v>44945.531065497686</v>
      </c>
      <c r="AQ36" s="66"/>
    </row>
    <row r="37">
      <c r="A37" s="61" t="str">
        <f>HYPERLINK("http://www.minicase.net/index.html","Realan")</f>
        <v>Realan</v>
      </c>
      <c r="B37" s="62" t="str">
        <f>HYPERLINK("https://www.aliexpress.com/item/32719449939.html","E-H80")</f>
        <v>E-H80</v>
      </c>
      <c r="C37" s="63" t="s">
        <v>163</v>
      </c>
      <c r="D37" s="48">
        <v>200.0</v>
      </c>
      <c r="E37" s="48">
        <v>200.0</v>
      </c>
      <c r="F37" s="48">
        <v>80.0</v>
      </c>
      <c r="G37" s="49">
        <f t="shared" si="1"/>
        <v>3.2</v>
      </c>
      <c r="H37" s="49">
        <f t="shared" si="2"/>
        <v>400</v>
      </c>
      <c r="I37" s="48">
        <v>0.87</v>
      </c>
      <c r="J37" s="48" t="s">
        <v>164</v>
      </c>
      <c r="K37" s="50" t="s">
        <v>192</v>
      </c>
      <c r="L37" s="51">
        <v>54.0</v>
      </c>
      <c r="M37" s="50" t="s">
        <v>166</v>
      </c>
      <c r="N37" s="51" t="s">
        <v>166</v>
      </c>
      <c r="O37" s="48" t="s">
        <v>166</v>
      </c>
      <c r="P37" s="48" t="s">
        <v>166</v>
      </c>
      <c r="Q37" s="48" t="s">
        <v>166</v>
      </c>
      <c r="R37" s="48" t="s">
        <v>166</v>
      </c>
      <c r="S37" s="50" t="s">
        <v>166</v>
      </c>
      <c r="T37" s="52" t="s">
        <v>167</v>
      </c>
      <c r="U37" s="52" t="s">
        <v>168</v>
      </c>
      <c r="V37" s="51" t="s">
        <v>193</v>
      </c>
      <c r="W37" s="48" t="s">
        <v>194</v>
      </c>
      <c r="X37" s="50" t="s">
        <v>166</v>
      </c>
      <c r="Y37" s="51" t="s">
        <v>166</v>
      </c>
      <c r="Z37" s="48">
        <v>1.0</v>
      </c>
      <c r="AA37" s="48" t="s">
        <v>166</v>
      </c>
      <c r="AB37" s="48" t="s">
        <v>166</v>
      </c>
      <c r="AC37" s="48" t="s">
        <v>166</v>
      </c>
      <c r="AD37" s="48" t="s">
        <v>166</v>
      </c>
      <c r="AE37" s="54" t="s">
        <v>166</v>
      </c>
      <c r="AF37" s="55" t="s">
        <v>166</v>
      </c>
      <c r="AG37" s="51">
        <v>1.0</v>
      </c>
      <c r="AH37" s="48" t="s">
        <v>166</v>
      </c>
      <c r="AI37" s="48" t="s">
        <v>166</v>
      </c>
      <c r="AJ37" s="50" t="s">
        <v>166</v>
      </c>
      <c r="AK37" s="56" t="s">
        <v>166</v>
      </c>
      <c r="AL37" s="57">
        <v>32.99</v>
      </c>
      <c r="AM37" s="58"/>
      <c r="AN37" s="59"/>
      <c r="AO37" s="60"/>
      <c r="AP37" s="60"/>
      <c r="AQ37" s="66"/>
    </row>
    <row r="38">
      <c r="A38" s="61" t="s">
        <v>178</v>
      </c>
      <c r="B38" s="67" t="s">
        <v>228</v>
      </c>
      <c r="C38" s="63" t="s">
        <v>163</v>
      </c>
      <c r="D38" s="48">
        <v>185.0</v>
      </c>
      <c r="E38" s="48">
        <v>265.0</v>
      </c>
      <c r="F38" s="48">
        <v>67.0</v>
      </c>
      <c r="G38" s="49">
        <f t="shared" si="1"/>
        <v>3.284675</v>
      </c>
      <c r="H38" s="49">
        <f t="shared" si="2"/>
        <v>490.25</v>
      </c>
      <c r="I38" s="48">
        <v>1.0</v>
      </c>
      <c r="J38" s="48" t="s">
        <v>171</v>
      </c>
      <c r="K38" s="50" t="s">
        <v>229</v>
      </c>
      <c r="L38" s="51">
        <v>48.0</v>
      </c>
      <c r="M38" s="50" t="s">
        <v>166</v>
      </c>
      <c r="N38" s="51" t="s">
        <v>166</v>
      </c>
      <c r="O38" s="48" t="s">
        <v>166</v>
      </c>
      <c r="P38" s="48" t="s">
        <v>166</v>
      </c>
      <c r="Q38" s="48" t="s">
        <v>166</v>
      </c>
      <c r="R38" s="48" t="s">
        <v>166</v>
      </c>
      <c r="S38" s="50" t="s">
        <v>166</v>
      </c>
      <c r="T38" s="52" t="s">
        <v>167</v>
      </c>
      <c r="U38" s="52" t="s">
        <v>186</v>
      </c>
      <c r="V38" s="51">
        <v>2.0</v>
      </c>
      <c r="W38" s="48" t="s">
        <v>166</v>
      </c>
      <c r="X38" s="50" t="s">
        <v>166</v>
      </c>
      <c r="Y38" s="51" t="s">
        <v>166</v>
      </c>
      <c r="Z38" s="48" t="s">
        <v>166</v>
      </c>
      <c r="AA38" s="48" t="s">
        <v>166</v>
      </c>
      <c r="AB38" s="48" t="s">
        <v>166</v>
      </c>
      <c r="AC38" s="48" t="s">
        <v>166</v>
      </c>
      <c r="AD38" s="48" t="s">
        <v>166</v>
      </c>
      <c r="AE38" s="54" t="s">
        <v>166</v>
      </c>
      <c r="AF38" s="55" t="s">
        <v>166</v>
      </c>
      <c r="AG38" s="51" t="s">
        <v>166</v>
      </c>
      <c r="AH38" s="48">
        <v>1.0</v>
      </c>
      <c r="AI38" s="48" t="s">
        <v>166</v>
      </c>
      <c r="AJ38" s="50" t="s">
        <v>166</v>
      </c>
      <c r="AK38" s="56" t="s">
        <v>166</v>
      </c>
      <c r="AL38" s="57">
        <v>79.0</v>
      </c>
      <c r="AM38" s="64" t="str">
        <f>HYPERLINK("https://smallformfactor.net/forum/threads/cases-sl-itx-produced-by-custom_mod.7525/","Link")</f>
        <v>Link</v>
      </c>
      <c r="AN38" s="59"/>
      <c r="AO38" s="60" t="s">
        <v>181</v>
      </c>
      <c r="AP38" s="65">
        <v>45184.68641664352</v>
      </c>
      <c r="AQ38" s="66"/>
    </row>
    <row r="39">
      <c r="A39" s="83" t="str">
        <f>HYPERLINK("https://nfc-systems.com/","NFC")</f>
        <v>NFC</v>
      </c>
      <c r="B39" s="62" t="s">
        <v>230</v>
      </c>
      <c r="C39" s="63" t="s">
        <v>163</v>
      </c>
      <c r="D39" s="48">
        <v>239.0</v>
      </c>
      <c r="E39" s="48">
        <v>69.0</v>
      </c>
      <c r="F39" s="48">
        <v>200.0</v>
      </c>
      <c r="G39" s="49">
        <f t="shared" si="1"/>
        <v>3.2982</v>
      </c>
      <c r="H39" s="49">
        <f t="shared" si="2"/>
        <v>164.91</v>
      </c>
      <c r="I39" s="48">
        <v>0.6</v>
      </c>
      <c r="J39" s="48" t="s">
        <v>164</v>
      </c>
      <c r="K39" s="50" t="s">
        <v>231</v>
      </c>
      <c r="L39" s="51">
        <v>47.0</v>
      </c>
      <c r="M39" s="50" t="s">
        <v>166</v>
      </c>
      <c r="N39" s="51" t="s">
        <v>232</v>
      </c>
      <c r="O39" s="48" t="s">
        <v>166</v>
      </c>
      <c r="P39" s="48" t="s">
        <v>166</v>
      </c>
      <c r="Q39" s="48" t="s">
        <v>166</v>
      </c>
      <c r="R39" s="48" t="s">
        <v>166</v>
      </c>
      <c r="S39" s="50" t="s">
        <v>166</v>
      </c>
      <c r="T39" s="52" t="s">
        <v>167</v>
      </c>
      <c r="U39" s="52" t="s">
        <v>168</v>
      </c>
      <c r="V39" s="51" t="s">
        <v>166</v>
      </c>
      <c r="W39" s="48" t="s">
        <v>166</v>
      </c>
      <c r="X39" s="50" t="s">
        <v>166</v>
      </c>
      <c r="Y39" s="51" t="s">
        <v>166</v>
      </c>
      <c r="Z39" s="48" t="s">
        <v>166</v>
      </c>
      <c r="AA39" s="48" t="s">
        <v>166</v>
      </c>
      <c r="AB39" s="48" t="s">
        <v>166</v>
      </c>
      <c r="AC39" s="48" t="s">
        <v>166</v>
      </c>
      <c r="AD39" s="48" t="s">
        <v>166</v>
      </c>
      <c r="AE39" s="54" t="s">
        <v>166</v>
      </c>
      <c r="AF39" s="55" t="s">
        <v>166</v>
      </c>
      <c r="AG39" s="51" t="s">
        <v>166</v>
      </c>
      <c r="AH39" s="48" t="s">
        <v>166</v>
      </c>
      <c r="AI39" s="48" t="s">
        <v>166</v>
      </c>
      <c r="AJ39" s="50" t="s">
        <v>166</v>
      </c>
      <c r="AK39" s="56" t="s">
        <v>166</v>
      </c>
      <c r="AL39" s="57">
        <v>165.0</v>
      </c>
      <c r="AM39" s="58"/>
      <c r="AN39" s="59"/>
      <c r="AO39" s="60"/>
      <c r="AP39" s="60"/>
      <c r="AQ39" s="66"/>
    </row>
    <row r="40">
      <c r="A40" s="61" t="s">
        <v>178</v>
      </c>
      <c r="B40" s="62" t="s">
        <v>233</v>
      </c>
      <c r="C40" s="63" t="s">
        <v>163</v>
      </c>
      <c r="D40" s="48">
        <v>185.0</v>
      </c>
      <c r="E40" s="48">
        <v>273.0</v>
      </c>
      <c r="F40" s="48">
        <v>67.0</v>
      </c>
      <c r="G40" s="49">
        <f t="shared" si="1"/>
        <v>3.383835</v>
      </c>
      <c r="H40" s="49">
        <f t="shared" si="2"/>
        <v>505.05</v>
      </c>
      <c r="I40" s="48">
        <v>1.3</v>
      </c>
      <c r="J40" s="48" t="s">
        <v>171</v>
      </c>
      <c r="K40" s="50" t="s">
        <v>229</v>
      </c>
      <c r="L40" s="51">
        <v>50.0</v>
      </c>
      <c r="M40" s="50" t="s">
        <v>166</v>
      </c>
      <c r="N40" s="51" t="s">
        <v>166</v>
      </c>
      <c r="O40" s="48" t="s">
        <v>166</v>
      </c>
      <c r="P40" s="48" t="s">
        <v>166</v>
      </c>
      <c r="Q40" s="48" t="s">
        <v>166</v>
      </c>
      <c r="R40" s="48" t="s">
        <v>166</v>
      </c>
      <c r="S40" s="50" t="s">
        <v>166</v>
      </c>
      <c r="T40" s="52" t="s">
        <v>167</v>
      </c>
      <c r="U40" s="52" t="s">
        <v>186</v>
      </c>
      <c r="V40" s="51">
        <v>2.0</v>
      </c>
      <c r="W40" s="48" t="s">
        <v>166</v>
      </c>
      <c r="X40" s="50" t="s">
        <v>166</v>
      </c>
      <c r="Y40" s="51" t="s">
        <v>166</v>
      </c>
      <c r="Z40" s="48" t="s">
        <v>166</v>
      </c>
      <c r="AA40" s="48" t="s">
        <v>166</v>
      </c>
      <c r="AB40" s="48" t="s">
        <v>166</v>
      </c>
      <c r="AC40" s="48" t="s">
        <v>166</v>
      </c>
      <c r="AD40" s="48" t="s">
        <v>166</v>
      </c>
      <c r="AE40" s="54" t="s">
        <v>166</v>
      </c>
      <c r="AF40" s="55" t="s">
        <v>166</v>
      </c>
      <c r="AG40" s="51" t="s">
        <v>166</v>
      </c>
      <c r="AH40" s="48" t="s">
        <v>166</v>
      </c>
      <c r="AI40" s="48" t="s">
        <v>166</v>
      </c>
      <c r="AJ40" s="50" t="s">
        <v>166</v>
      </c>
      <c r="AK40" s="56" t="s">
        <v>166</v>
      </c>
      <c r="AL40" s="57">
        <v>53.89</v>
      </c>
      <c r="AM40" s="58"/>
      <c r="AN40" s="59"/>
      <c r="AO40" s="60"/>
      <c r="AP40" s="65">
        <v>45184.686867627315</v>
      </c>
      <c r="AQ40" s="66"/>
    </row>
    <row r="41">
      <c r="A41" s="84" t="s">
        <v>234</v>
      </c>
      <c r="B41" s="62" t="str">
        <f>HYPERLINK("https://www.amazon.com/Goodisory-Aluminum-Mini-ITX-Computer-Tempered/dp/B07GYLS2J8","A01")</f>
        <v>A01</v>
      </c>
      <c r="C41" s="63" t="s">
        <v>163</v>
      </c>
      <c r="D41" s="48">
        <v>200.0</v>
      </c>
      <c r="E41" s="48">
        <v>200.0</v>
      </c>
      <c r="F41" s="48">
        <v>85.0</v>
      </c>
      <c r="G41" s="49">
        <f t="shared" si="1"/>
        <v>3.4</v>
      </c>
      <c r="H41" s="49">
        <f t="shared" si="2"/>
        <v>400</v>
      </c>
      <c r="I41" s="48" t="s">
        <v>170</v>
      </c>
      <c r="J41" s="48" t="s">
        <v>235</v>
      </c>
      <c r="K41" s="50" t="s">
        <v>236</v>
      </c>
      <c r="L41" s="51">
        <v>55.0</v>
      </c>
      <c r="M41" s="50" t="s">
        <v>166</v>
      </c>
      <c r="N41" s="51" t="s">
        <v>166</v>
      </c>
      <c r="O41" s="48" t="s">
        <v>166</v>
      </c>
      <c r="P41" s="48" t="s">
        <v>166</v>
      </c>
      <c r="Q41" s="48" t="s">
        <v>166</v>
      </c>
      <c r="R41" s="48" t="s">
        <v>166</v>
      </c>
      <c r="S41" s="50" t="s">
        <v>166</v>
      </c>
      <c r="T41" s="52" t="s">
        <v>167</v>
      </c>
      <c r="U41" s="52" t="s">
        <v>168</v>
      </c>
      <c r="V41" s="51" t="s">
        <v>207</v>
      </c>
      <c r="W41" s="48" t="s">
        <v>194</v>
      </c>
      <c r="X41" s="50" t="s">
        <v>166</v>
      </c>
      <c r="Y41" s="51" t="s">
        <v>166</v>
      </c>
      <c r="Z41" s="48" t="s">
        <v>166</v>
      </c>
      <c r="AA41" s="48" t="s">
        <v>166</v>
      </c>
      <c r="AB41" s="48" t="s">
        <v>166</v>
      </c>
      <c r="AC41" s="48" t="s">
        <v>166</v>
      </c>
      <c r="AD41" s="48" t="s">
        <v>166</v>
      </c>
      <c r="AE41" s="54" t="s">
        <v>166</v>
      </c>
      <c r="AF41" s="55" t="s">
        <v>166</v>
      </c>
      <c r="AG41" s="51" t="s">
        <v>166</v>
      </c>
      <c r="AH41" s="48">
        <v>2.0</v>
      </c>
      <c r="AI41" s="48" t="s">
        <v>166</v>
      </c>
      <c r="AJ41" s="50" t="s">
        <v>166</v>
      </c>
      <c r="AK41" s="56" t="s">
        <v>166</v>
      </c>
      <c r="AL41" s="57">
        <v>49.9</v>
      </c>
      <c r="AM41" s="58"/>
      <c r="AN41" s="59"/>
      <c r="AO41" s="60"/>
      <c r="AP41" s="60"/>
      <c r="AQ41" s="66"/>
    </row>
    <row r="42">
      <c r="A42" s="69" t="str">
        <f>HYPERLINK("https://sktcase.world.taobao.com/","SKTC")</f>
        <v>SKTC</v>
      </c>
      <c r="B42" s="46" t="str">
        <f>HYPERLINK("https://item.taobao.com/item.htm?id=559940475032","A01")</f>
        <v>A01</v>
      </c>
      <c r="C42" s="63" t="s">
        <v>163</v>
      </c>
      <c r="D42" s="48">
        <v>200.0</v>
      </c>
      <c r="E42" s="48">
        <v>200.0</v>
      </c>
      <c r="F42" s="48">
        <v>85.0</v>
      </c>
      <c r="G42" s="49">
        <f t="shared" si="1"/>
        <v>3.4</v>
      </c>
      <c r="H42" s="49">
        <f t="shared" si="2"/>
        <v>400</v>
      </c>
      <c r="I42" s="48" t="s">
        <v>170</v>
      </c>
      <c r="J42" s="48" t="s">
        <v>235</v>
      </c>
      <c r="K42" s="50" t="s">
        <v>236</v>
      </c>
      <c r="L42" s="51">
        <v>55.0</v>
      </c>
      <c r="M42" s="50" t="s">
        <v>166</v>
      </c>
      <c r="N42" s="51" t="s">
        <v>166</v>
      </c>
      <c r="O42" s="48" t="s">
        <v>166</v>
      </c>
      <c r="P42" s="48" t="s">
        <v>166</v>
      </c>
      <c r="Q42" s="48" t="s">
        <v>166</v>
      </c>
      <c r="R42" s="48" t="s">
        <v>166</v>
      </c>
      <c r="S42" s="50" t="s">
        <v>166</v>
      </c>
      <c r="T42" s="52" t="s">
        <v>167</v>
      </c>
      <c r="U42" s="52" t="s">
        <v>168</v>
      </c>
      <c r="V42" s="51" t="s">
        <v>207</v>
      </c>
      <c r="W42" s="48" t="s">
        <v>194</v>
      </c>
      <c r="X42" s="50" t="s">
        <v>166</v>
      </c>
      <c r="Y42" s="51" t="s">
        <v>166</v>
      </c>
      <c r="Z42" s="48" t="s">
        <v>166</v>
      </c>
      <c r="AA42" s="48" t="s">
        <v>166</v>
      </c>
      <c r="AB42" s="48" t="s">
        <v>166</v>
      </c>
      <c r="AC42" s="48" t="s">
        <v>166</v>
      </c>
      <c r="AD42" s="48" t="s">
        <v>166</v>
      </c>
      <c r="AE42" s="54" t="s">
        <v>166</v>
      </c>
      <c r="AF42" s="55" t="s">
        <v>166</v>
      </c>
      <c r="AG42" s="51" t="s">
        <v>166</v>
      </c>
      <c r="AH42" s="48">
        <v>2.0</v>
      </c>
      <c r="AI42" s="48" t="s">
        <v>166</v>
      </c>
      <c r="AJ42" s="50" t="s">
        <v>166</v>
      </c>
      <c r="AK42" s="56">
        <v>159.0</v>
      </c>
      <c r="AL42" s="57">
        <f>AK42*Sheets!$E$3</f>
        <v>21.9174345</v>
      </c>
      <c r="AM42" s="68"/>
      <c r="AN42" s="59"/>
      <c r="AO42" s="60"/>
      <c r="AP42" s="65">
        <v>44442.76192601852</v>
      </c>
      <c r="AQ42" s="66"/>
    </row>
    <row r="43">
      <c r="A43" s="69" t="s">
        <v>182</v>
      </c>
      <c r="B43" s="46" t="s">
        <v>237</v>
      </c>
      <c r="C43" s="63" t="s">
        <v>163</v>
      </c>
      <c r="D43" s="48">
        <v>188.0</v>
      </c>
      <c r="E43" s="48">
        <v>87.0</v>
      </c>
      <c r="F43" s="48">
        <v>209.0</v>
      </c>
      <c r="G43" s="49">
        <f t="shared" si="1"/>
        <v>3.418404</v>
      </c>
      <c r="H43" s="49">
        <f t="shared" si="2"/>
        <v>163.56</v>
      </c>
      <c r="I43" s="48">
        <v>1.0</v>
      </c>
      <c r="J43" s="48" t="s">
        <v>164</v>
      </c>
      <c r="K43" s="50" t="s">
        <v>165</v>
      </c>
      <c r="L43" s="51">
        <v>65.0</v>
      </c>
      <c r="M43" s="50" t="s">
        <v>166</v>
      </c>
      <c r="N43" s="51" t="s">
        <v>166</v>
      </c>
      <c r="O43" s="48" t="s">
        <v>170</v>
      </c>
      <c r="P43" s="48">
        <v>70.0</v>
      </c>
      <c r="Q43" s="48">
        <v>20.0</v>
      </c>
      <c r="R43" s="48" t="s">
        <v>166</v>
      </c>
      <c r="S43" s="50">
        <v>1.0</v>
      </c>
      <c r="T43" s="52" t="s">
        <v>167</v>
      </c>
      <c r="U43" s="52" t="s">
        <v>168</v>
      </c>
      <c r="V43" s="51">
        <v>2.0</v>
      </c>
      <c r="W43" s="48" t="s">
        <v>166</v>
      </c>
      <c r="X43" s="50" t="s">
        <v>166</v>
      </c>
      <c r="Y43" s="51" t="s">
        <v>166</v>
      </c>
      <c r="Z43" s="48">
        <v>1.0</v>
      </c>
      <c r="AA43" s="48">
        <v>2.0</v>
      </c>
      <c r="AB43" s="48" t="s">
        <v>166</v>
      </c>
      <c r="AC43" s="48" t="s">
        <v>166</v>
      </c>
      <c r="AD43" s="48" t="s">
        <v>166</v>
      </c>
      <c r="AE43" s="54" t="s">
        <v>166</v>
      </c>
      <c r="AF43" s="55" t="s">
        <v>166</v>
      </c>
      <c r="AG43" s="51" t="s">
        <v>166</v>
      </c>
      <c r="AH43" s="48" t="s">
        <v>166</v>
      </c>
      <c r="AI43" s="48" t="s">
        <v>166</v>
      </c>
      <c r="AJ43" s="50" t="s">
        <v>166</v>
      </c>
      <c r="AK43" s="56">
        <v>449.0</v>
      </c>
      <c r="AL43" s="57">
        <f>AK43*Sheets!$E$3</f>
        <v>61.8926295</v>
      </c>
      <c r="AM43" s="68"/>
      <c r="AN43" s="70"/>
      <c r="AO43" s="71"/>
      <c r="AP43" s="72">
        <v>44681.59197445602</v>
      </c>
      <c r="AQ43" s="66"/>
    </row>
    <row r="44">
      <c r="A44" s="69" t="str">
        <f>HYPERLINK("https://metalfish.world.taobao.com/","Metalfish")</f>
        <v>Metalfish</v>
      </c>
      <c r="B44" s="46" t="str">
        <f>HYPERLINK("https://item.taobao.com/item.htm?id=14222391182","Metal Gear Plus")</f>
        <v>Metal Gear Plus</v>
      </c>
      <c r="C44" s="63" t="s">
        <v>163</v>
      </c>
      <c r="D44" s="48">
        <v>210.0</v>
      </c>
      <c r="E44" s="48">
        <v>200.0</v>
      </c>
      <c r="F44" s="48">
        <v>85.0</v>
      </c>
      <c r="G44" s="49">
        <f t="shared" si="1"/>
        <v>3.57</v>
      </c>
      <c r="H44" s="49">
        <f t="shared" si="2"/>
        <v>420</v>
      </c>
      <c r="I44" s="48">
        <v>2.0</v>
      </c>
      <c r="J44" s="48" t="s">
        <v>164</v>
      </c>
      <c r="K44" s="50" t="s">
        <v>213</v>
      </c>
      <c r="L44" s="51">
        <v>40.0</v>
      </c>
      <c r="M44" s="50" t="s">
        <v>166</v>
      </c>
      <c r="N44" s="51" t="s">
        <v>166</v>
      </c>
      <c r="O44" s="48" t="s">
        <v>166</v>
      </c>
      <c r="P44" s="48" t="s">
        <v>166</v>
      </c>
      <c r="Q44" s="48" t="s">
        <v>166</v>
      </c>
      <c r="R44" s="48" t="s">
        <v>166</v>
      </c>
      <c r="S44" s="50" t="s">
        <v>166</v>
      </c>
      <c r="T44" s="52" t="s">
        <v>167</v>
      </c>
      <c r="U44" s="52" t="s">
        <v>168</v>
      </c>
      <c r="V44" s="51">
        <v>2.0</v>
      </c>
      <c r="W44" s="48" t="s">
        <v>166</v>
      </c>
      <c r="X44" s="50" t="s">
        <v>166</v>
      </c>
      <c r="Y44" s="51" t="s">
        <v>166</v>
      </c>
      <c r="Z44" s="48" t="s">
        <v>166</v>
      </c>
      <c r="AA44" s="48" t="s">
        <v>166</v>
      </c>
      <c r="AB44" s="48" t="s">
        <v>166</v>
      </c>
      <c r="AC44" s="48" t="s">
        <v>166</v>
      </c>
      <c r="AD44" s="48" t="s">
        <v>166</v>
      </c>
      <c r="AE44" s="54" t="s">
        <v>166</v>
      </c>
      <c r="AF44" s="55" t="s">
        <v>166</v>
      </c>
      <c r="AG44" s="51" t="s">
        <v>166</v>
      </c>
      <c r="AH44" s="48" t="s">
        <v>166</v>
      </c>
      <c r="AI44" s="48" t="s">
        <v>166</v>
      </c>
      <c r="AJ44" s="50" t="s">
        <v>166</v>
      </c>
      <c r="AK44" s="56">
        <v>249.0</v>
      </c>
      <c r="AL44" s="57">
        <f>AK44*Sheets!$E$3</f>
        <v>34.3235295</v>
      </c>
      <c r="AM44" s="68"/>
      <c r="AN44" s="70"/>
      <c r="AO44" s="71"/>
      <c r="AP44" s="72">
        <v>44681.592076875</v>
      </c>
      <c r="AQ44" s="66"/>
    </row>
    <row r="45">
      <c r="A45" s="61" t="s">
        <v>238</v>
      </c>
      <c r="B45" s="62" t="s">
        <v>239</v>
      </c>
      <c r="C45" s="63" t="s">
        <v>225</v>
      </c>
      <c r="D45" s="74">
        <v>210.0</v>
      </c>
      <c r="E45" s="74">
        <v>250.0</v>
      </c>
      <c r="F45" s="74">
        <v>68.0</v>
      </c>
      <c r="G45" s="49">
        <f t="shared" si="1"/>
        <v>3.57</v>
      </c>
      <c r="H45" s="49">
        <f t="shared" si="2"/>
        <v>525</v>
      </c>
      <c r="I45" s="74" t="s">
        <v>170</v>
      </c>
      <c r="J45" s="48" t="s">
        <v>240</v>
      </c>
      <c r="K45" s="75" t="s">
        <v>241</v>
      </c>
      <c r="L45" s="77">
        <v>40.0</v>
      </c>
      <c r="M45" s="75" t="s">
        <v>166</v>
      </c>
      <c r="N45" s="77" t="s">
        <v>174</v>
      </c>
      <c r="O45" s="48">
        <v>185.0</v>
      </c>
      <c r="P45" s="48">
        <v>70.0</v>
      </c>
      <c r="Q45" s="48">
        <v>40.0</v>
      </c>
      <c r="R45" s="48" t="s">
        <v>166</v>
      </c>
      <c r="S45" s="50">
        <v>2.0</v>
      </c>
      <c r="T45" s="52" t="s">
        <v>167</v>
      </c>
      <c r="U45" s="53" t="s">
        <v>168</v>
      </c>
      <c r="V45" s="77" t="s">
        <v>166</v>
      </c>
      <c r="W45" s="74" t="s">
        <v>166</v>
      </c>
      <c r="X45" s="75" t="s">
        <v>166</v>
      </c>
      <c r="Y45" s="51" t="s">
        <v>166</v>
      </c>
      <c r="Z45" s="74">
        <v>2.0</v>
      </c>
      <c r="AA45" s="74" t="s">
        <v>166</v>
      </c>
      <c r="AB45" s="48" t="s">
        <v>166</v>
      </c>
      <c r="AC45" s="48" t="s">
        <v>166</v>
      </c>
      <c r="AD45" s="48" t="s">
        <v>166</v>
      </c>
      <c r="AE45" s="54" t="s">
        <v>166</v>
      </c>
      <c r="AF45" s="55" t="s">
        <v>166</v>
      </c>
      <c r="AG45" s="51" t="s">
        <v>166</v>
      </c>
      <c r="AH45" s="48" t="s">
        <v>166</v>
      </c>
      <c r="AI45" s="48">
        <v>1.0</v>
      </c>
      <c r="AJ45" s="50" t="s">
        <v>166</v>
      </c>
      <c r="AK45" s="56" t="s">
        <v>166</v>
      </c>
      <c r="AL45" s="57">
        <f>150*1.09</f>
        <v>163.5</v>
      </c>
      <c r="AM45" s="64" t="s">
        <v>214</v>
      </c>
      <c r="AN45" s="59"/>
      <c r="AO45" s="60"/>
      <c r="AP45" s="65">
        <v>44955.04266365741</v>
      </c>
      <c r="AQ45" s="66"/>
    </row>
    <row r="46">
      <c r="A46" s="69" t="str">
        <f>HYPERLINK("https://shop167805560.world.taobao.com/","机械核芯")</f>
        <v>机械核芯</v>
      </c>
      <c r="B46" s="73" t="s">
        <v>242</v>
      </c>
      <c r="C46" s="63" t="s">
        <v>225</v>
      </c>
      <c r="D46" s="48">
        <v>186.0</v>
      </c>
      <c r="E46" s="48">
        <v>61.0</v>
      </c>
      <c r="F46" s="48">
        <v>315.0</v>
      </c>
      <c r="G46" s="49">
        <f t="shared" si="1"/>
        <v>3.57399</v>
      </c>
      <c r="H46" s="49">
        <f t="shared" si="2"/>
        <v>113.46</v>
      </c>
      <c r="I46" s="48" t="s">
        <v>170</v>
      </c>
      <c r="J46" s="48" t="s">
        <v>164</v>
      </c>
      <c r="K46" s="50" t="s">
        <v>243</v>
      </c>
      <c r="L46" s="51">
        <v>41.0</v>
      </c>
      <c r="M46" s="50" t="s">
        <v>166</v>
      </c>
      <c r="N46" s="51" t="s">
        <v>174</v>
      </c>
      <c r="O46" s="48">
        <v>179.0</v>
      </c>
      <c r="P46" s="48" t="s">
        <v>170</v>
      </c>
      <c r="Q46" s="48">
        <v>40.0</v>
      </c>
      <c r="R46" s="48">
        <v>2.0</v>
      </c>
      <c r="S46" s="50" t="s">
        <v>166</v>
      </c>
      <c r="T46" s="52" t="s">
        <v>167</v>
      </c>
      <c r="U46" s="52" t="s">
        <v>168</v>
      </c>
      <c r="V46" s="51">
        <v>2.0</v>
      </c>
      <c r="W46" s="48" t="s">
        <v>166</v>
      </c>
      <c r="X46" s="50" t="s">
        <v>166</v>
      </c>
      <c r="Y46" s="51" t="s">
        <v>166</v>
      </c>
      <c r="Z46" s="48" t="s">
        <v>166</v>
      </c>
      <c r="AA46" s="48" t="s">
        <v>166</v>
      </c>
      <c r="AB46" s="48" t="s">
        <v>166</v>
      </c>
      <c r="AC46" s="48" t="s">
        <v>166</v>
      </c>
      <c r="AD46" s="48" t="s">
        <v>166</v>
      </c>
      <c r="AE46" s="54" t="s">
        <v>166</v>
      </c>
      <c r="AF46" s="55" t="s">
        <v>166</v>
      </c>
      <c r="AG46" s="51" t="s">
        <v>166</v>
      </c>
      <c r="AH46" s="48" t="s">
        <v>166</v>
      </c>
      <c r="AI46" s="48" t="s">
        <v>166</v>
      </c>
      <c r="AJ46" s="50" t="s">
        <v>166</v>
      </c>
      <c r="AK46" s="56">
        <v>468.0</v>
      </c>
      <c r="AL46" s="57">
        <f>AK46*Sheets!$E$3</f>
        <v>64.511694</v>
      </c>
      <c r="AM46" s="58"/>
      <c r="AN46" s="59"/>
      <c r="AO46" s="71" t="s">
        <v>181</v>
      </c>
      <c r="AP46" s="65">
        <v>44563.98615229166</v>
      </c>
      <c r="AQ46" s="66"/>
    </row>
    <row r="47">
      <c r="A47" s="69" t="str">
        <f>HYPERLINK("https://sgpc.world.taobao.com/","SGPC")</f>
        <v>SGPC</v>
      </c>
      <c r="B47" s="73" t="s">
        <v>244</v>
      </c>
      <c r="C47" s="63" t="s">
        <v>163</v>
      </c>
      <c r="D47" s="48">
        <v>205.0</v>
      </c>
      <c r="E47" s="48">
        <v>68.0</v>
      </c>
      <c r="F47" s="48">
        <v>258.0</v>
      </c>
      <c r="G47" s="49">
        <f t="shared" si="1"/>
        <v>3.59652</v>
      </c>
      <c r="H47" s="49">
        <f t="shared" si="2"/>
        <v>139.4</v>
      </c>
      <c r="I47" s="48">
        <v>0.6</v>
      </c>
      <c r="J47" s="48" t="s">
        <v>245</v>
      </c>
      <c r="K47" s="50" t="s">
        <v>185</v>
      </c>
      <c r="L47" s="51">
        <v>47.0</v>
      </c>
      <c r="M47" s="50" t="s">
        <v>166</v>
      </c>
      <c r="N47" s="51" t="s">
        <v>166</v>
      </c>
      <c r="O47" s="48" t="s">
        <v>166</v>
      </c>
      <c r="P47" s="48" t="s">
        <v>166</v>
      </c>
      <c r="Q47" s="48" t="s">
        <v>166</v>
      </c>
      <c r="R47" s="48" t="s">
        <v>166</v>
      </c>
      <c r="S47" s="50" t="s">
        <v>166</v>
      </c>
      <c r="T47" s="52" t="s">
        <v>246</v>
      </c>
      <c r="U47" s="52" t="s">
        <v>186</v>
      </c>
      <c r="V47" s="51" t="s">
        <v>166</v>
      </c>
      <c r="W47" s="48" t="s">
        <v>166</v>
      </c>
      <c r="X47" s="50" t="s">
        <v>166</v>
      </c>
      <c r="Y47" s="51" t="s">
        <v>166</v>
      </c>
      <c r="Z47" s="48" t="s">
        <v>166</v>
      </c>
      <c r="AA47" s="48" t="s">
        <v>166</v>
      </c>
      <c r="AB47" s="48" t="s">
        <v>166</v>
      </c>
      <c r="AC47" s="48" t="s">
        <v>166</v>
      </c>
      <c r="AD47" s="48" t="s">
        <v>166</v>
      </c>
      <c r="AE47" s="54" t="s">
        <v>166</v>
      </c>
      <c r="AF47" s="55" t="s">
        <v>166</v>
      </c>
      <c r="AG47" s="51" t="s">
        <v>166</v>
      </c>
      <c r="AH47" s="48" t="s">
        <v>166</v>
      </c>
      <c r="AI47" s="48" t="s">
        <v>166</v>
      </c>
      <c r="AJ47" s="50" t="s">
        <v>166</v>
      </c>
      <c r="AK47" s="56">
        <v>159.0</v>
      </c>
      <c r="AL47" s="57">
        <f>AK47*Sheets!$E$3</f>
        <v>21.9174345</v>
      </c>
      <c r="AM47" s="58"/>
      <c r="AN47" s="70"/>
      <c r="AO47" s="71" t="s">
        <v>181</v>
      </c>
      <c r="AP47" s="72">
        <v>44556.563260462965</v>
      </c>
      <c r="AQ47" s="66"/>
    </row>
    <row r="48">
      <c r="A48" s="61" t="s">
        <v>178</v>
      </c>
      <c r="B48" s="67" t="s">
        <v>247</v>
      </c>
      <c r="C48" s="63" t="s">
        <v>248</v>
      </c>
      <c r="D48" s="48">
        <v>183.0</v>
      </c>
      <c r="E48" s="48">
        <v>107.0</v>
      </c>
      <c r="F48" s="48">
        <v>186.0</v>
      </c>
      <c r="G48" s="49">
        <f t="shared" si="1"/>
        <v>3.642066</v>
      </c>
      <c r="H48" s="49">
        <f t="shared" si="2"/>
        <v>195.81</v>
      </c>
      <c r="I48" s="48" t="s">
        <v>170</v>
      </c>
      <c r="J48" s="48" t="s">
        <v>164</v>
      </c>
      <c r="K48" s="50" t="s">
        <v>249</v>
      </c>
      <c r="L48" s="51">
        <v>40.0</v>
      </c>
      <c r="M48" s="50" t="s">
        <v>166</v>
      </c>
      <c r="N48" s="51" t="s">
        <v>174</v>
      </c>
      <c r="O48" s="48">
        <v>178.0</v>
      </c>
      <c r="P48" s="48" t="s">
        <v>170</v>
      </c>
      <c r="Q48" s="48">
        <v>40.0</v>
      </c>
      <c r="R48" s="48">
        <v>2.0</v>
      </c>
      <c r="S48" s="50" t="s">
        <v>166</v>
      </c>
      <c r="T48" s="52" t="s">
        <v>167</v>
      </c>
      <c r="U48" s="52" t="s">
        <v>168</v>
      </c>
      <c r="V48" s="51" t="s">
        <v>166</v>
      </c>
      <c r="W48" s="48" t="s">
        <v>166</v>
      </c>
      <c r="X48" s="50" t="s">
        <v>166</v>
      </c>
      <c r="Y48" s="51" t="s">
        <v>166</v>
      </c>
      <c r="Z48" s="48" t="s">
        <v>166</v>
      </c>
      <c r="AA48" s="48" t="s">
        <v>166</v>
      </c>
      <c r="AB48" s="48" t="s">
        <v>166</v>
      </c>
      <c r="AC48" s="48" t="s">
        <v>166</v>
      </c>
      <c r="AD48" s="48" t="s">
        <v>166</v>
      </c>
      <c r="AE48" s="54" t="s">
        <v>166</v>
      </c>
      <c r="AF48" s="55" t="s">
        <v>166</v>
      </c>
      <c r="AG48" s="51" t="s">
        <v>166</v>
      </c>
      <c r="AH48" s="48" t="s">
        <v>166</v>
      </c>
      <c r="AI48" s="48" t="s">
        <v>166</v>
      </c>
      <c r="AJ48" s="50" t="s">
        <v>166</v>
      </c>
      <c r="AK48" s="56" t="s">
        <v>166</v>
      </c>
      <c r="AL48" s="57">
        <v>89.0</v>
      </c>
      <c r="AM48" s="68"/>
      <c r="AN48" s="59"/>
      <c r="AO48" s="71" t="s">
        <v>181</v>
      </c>
      <c r="AP48" s="60"/>
      <c r="AQ48" s="66"/>
    </row>
    <row r="49">
      <c r="A49" s="61" t="s">
        <v>250</v>
      </c>
      <c r="B49" s="62" t="s">
        <v>251</v>
      </c>
      <c r="C49" s="63" t="s">
        <v>163</v>
      </c>
      <c r="D49" s="48">
        <v>188.0</v>
      </c>
      <c r="E49" s="48">
        <v>66.0</v>
      </c>
      <c r="F49" s="48">
        <v>295.0</v>
      </c>
      <c r="G49" s="49">
        <f t="shared" si="1"/>
        <v>3.66036</v>
      </c>
      <c r="H49" s="49">
        <f t="shared" si="2"/>
        <v>124.08</v>
      </c>
      <c r="I49" s="48" t="s">
        <v>170</v>
      </c>
      <c r="J49" s="48" t="s">
        <v>240</v>
      </c>
      <c r="K49" s="50" t="s">
        <v>252</v>
      </c>
      <c r="L49" s="51">
        <v>45.0</v>
      </c>
      <c r="M49" s="50" t="s">
        <v>166</v>
      </c>
      <c r="N49" s="51" t="s">
        <v>166</v>
      </c>
      <c r="O49" s="48" t="s">
        <v>166</v>
      </c>
      <c r="P49" s="48" t="s">
        <v>166</v>
      </c>
      <c r="Q49" s="48" t="s">
        <v>166</v>
      </c>
      <c r="R49" s="48" t="s">
        <v>166</v>
      </c>
      <c r="S49" s="50" t="s">
        <v>166</v>
      </c>
      <c r="T49" s="52" t="s">
        <v>167</v>
      </c>
      <c r="U49" s="52" t="s">
        <v>186</v>
      </c>
      <c r="V49" s="51" t="s">
        <v>166</v>
      </c>
      <c r="W49" s="48" t="s">
        <v>166</v>
      </c>
      <c r="X49" s="50" t="s">
        <v>166</v>
      </c>
      <c r="Y49" s="51" t="s">
        <v>166</v>
      </c>
      <c r="Z49" s="48" t="s">
        <v>166</v>
      </c>
      <c r="AA49" s="48" t="s">
        <v>166</v>
      </c>
      <c r="AB49" s="48" t="s">
        <v>166</v>
      </c>
      <c r="AC49" s="48" t="s">
        <v>166</v>
      </c>
      <c r="AD49" s="48" t="s">
        <v>166</v>
      </c>
      <c r="AE49" s="54" t="s">
        <v>166</v>
      </c>
      <c r="AF49" s="55" t="s">
        <v>166</v>
      </c>
      <c r="AG49" s="51" t="s">
        <v>166</v>
      </c>
      <c r="AH49" s="48" t="s">
        <v>166</v>
      </c>
      <c r="AI49" s="48" t="s">
        <v>166</v>
      </c>
      <c r="AJ49" s="50" t="s">
        <v>166</v>
      </c>
      <c r="AK49" s="56">
        <v>375.0</v>
      </c>
      <c r="AL49" s="57">
        <f>AK49*Sheets!$E$3</f>
        <v>51.6920625</v>
      </c>
      <c r="AM49" s="58"/>
      <c r="AN49" s="85"/>
      <c r="AO49" s="86"/>
      <c r="AP49" s="65">
        <v>44735.870428344904</v>
      </c>
      <c r="AQ49" s="66"/>
    </row>
    <row r="50">
      <c r="A50" s="61" t="s">
        <v>178</v>
      </c>
      <c r="B50" s="62" t="s">
        <v>253</v>
      </c>
      <c r="C50" s="63" t="s">
        <v>163</v>
      </c>
      <c r="D50" s="48">
        <v>183.0</v>
      </c>
      <c r="E50" s="48">
        <v>88.0</v>
      </c>
      <c r="F50" s="48">
        <v>228.0</v>
      </c>
      <c r="G50" s="49">
        <f t="shared" si="1"/>
        <v>3.671712</v>
      </c>
      <c r="H50" s="49">
        <f t="shared" si="2"/>
        <v>161.04</v>
      </c>
      <c r="I50" s="48">
        <v>1.4</v>
      </c>
      <c r="J50" s="48" t="s">
        <v>171</v>
      </c>
      <c r="K50" s="50" t="s">
        <v>229</v>
      </c>
      <c r="L50" s="51">
        <v>70.0</v>
      </c>
      <c r="M50" s="50" t="s">
        <v>166</v>
      </c>
      <c r="N50" s="51" t="s">
        <v>166</v>
      </c>
      <c r="O50" s="48" t="s">
        <v>166</v>
      </c>
      <c r="P50" s="48" t="s">
        <v>166</v>
      </c>
      <c r="Q50" s="48" t="s">
        <v>166</v>
      </c>
      <c r="R50" s="48" t="s">
        <v>166</v>
      </c>
      <c r="S50" s="50" t="s">
        <v>166</v>
      </c>
      <c r="T50" s="52" t="s">
        <v>167</v>
      </c>
      <c r="U50" s="52" t="s">
        <v>186</v>
      </c>
      <c r="V50" s="51">
        <v>2.0</v>
      </c>
      <c r="W50" s="48" t="s">
        <v>166</v>
      </c>
      <c r="X50" s="50" t="s">
        <v>166</v>
      </c>
      <c r="Y50" s="51" t="s">
        <v>166</v>
      </c>
      <c r="Z50" s="48" t="s">
        <v>166</v>
      </c>
      <c r="AA50" s="48" t="s">
        <v>166</v>
      </c>
      <c r="AB50" s="48" t="s">
        <v>166</v>
      </c>
      <c r="AC50" s="48" t="s">
        <v>166</v>
      </c>
      <c r="AD50" s="48" t="s">
        <v>166</v>
      </c>
      <c r="AE50" s="54" t="s">
        <v>166</v>
      </c>
      <c r="AF50" s="55" t="s">
        <v>166</v>
      </c>
      <c r="AG50" s="51" t="s">
        <v>166</v>
      </c>
      <c r="AH50" s="48" t="s">
        <v>166</v>
      </c>
      <c r="AI50" s="48" t="s">
        <v>166</v>
      </c>
      <c r="AJ50" s="50" t="s">
        <v>166</v>
      </c>
      <c r="AK50" s="56" t="s">
        <v>166</v>
      </c>
      <c r="AL50" s="57">
        <v>63.96</v>
      </c>
      <c r="AM50" s="58"/>
      <c r="AN50" s="59"/>
      <c r="AO50" s="60"/>
      <c r="AP50" s="60"/>
      <c r="AQ50" s="66"/>
    </row>
    <row r="51">
      <c r="A51" s="61" t="s">
        <v>254</v>
      </c>
      <c r="B51" s="62" t="str">
        <f>HYPERLINK("https://www.geeekstore.com/shop/a1-mini-itx-case/","A1")</f>
        <v>A1</v>
      </c>
      <c r="C51" s="63" t="s">
        <v>163</v>
      </c>
      <c r="D51" s="48">
        <v>206.0</v>
      </c>
      <c r="E51" s="48">
        <v>87.0</v>
      </c>
      <c r="F51" s="48">
        <v>208.0</v>
      </c>
      <c r="G51" s="49">
        <f t="shared" si="1"/>
        <v>3.727776</v>
      </c>
      <c r="H51" s="49">
        <f t="shared" si="2"/>
        <v>179.22</v>
      </c>
      <c r="I51" s="48" t="s">
        <v>170</v>
      </c>
      <c r="J51" s="48" t="s">
        <v>245</v>
      </c>
      <c r="K51" s="50" t="s">
        <v>255</v>
      </c>
      <c r="L51" s="51">
        <v>50.0</v>
      </c>
      <c r="M51" s="50" t="s">
        <v>166</v>
      </c>
      <c r="N51" s="51" t="s">
        <v>166</v>
      </c>
      <c r="O51" s="48" t="s">
        <v>166</v>
      </c>
      <c r="P51" s="48" t="s">
        <v>166</v>
      </c>
      <c r="Q51" s="48" t="s">
        <v>166</v>
      </c>
      <c r="R51" s="48" t="s">
        <v>166</v>
      </c>
      <c r="S51" s="50" t="s">
        <v>166</v>
      </c>
      <c r="T51" s="52" t="s">
        <v>167</v>
      </c>
      <c r="U51" s="52" t="s">
        <v>168</v>
      </c>
      <c r="V51" s="51">
        <v>2.0</v>
      </c>
      <c r="W51" s="48" t="s">
        <v>166</v>
      </c>
      <c r="X51" s="50" t="s">
        <v>166</v>
      </c>
      <c r="Y51" s="51">
        <v>4.0</v>
      </c>
      <c r="Z51" s="48" t="s">
        <v>166</v>
      </c>
      <c r="AA51" s="48" t="s">
        <v>166</v>
      </c>
      <c r="AB51" s="48">
        <v>1.0</v>
      </c>
      <c r="AC51" s="48" t="s">
        <v>166</v>
      </c>
      <c r="AD51" s="48" t="s">
        <v>166</v>
      </c>
      <c r="AE51" s="54" t="s">
        <v>166</v>
      </c>
      <c r="AF51" s="55" t="s">
        <v>166</v>
      </c>
      <c r="AG51" s="51" t="s">
        <v>166</v>
      </c>
      <c r="AH51" s="48" t="s">
        <v>166</v>
      </c>
      <c r="AI51" s="48" t="s">
        <v>166</v>
      </c>
      <c r="AJ51" s="50" t="s">
        <v>166</v>
      </c>
      <c r="AK51" s="56" t="s">
        <v>166</v>
      </c>
      <c r="AL51" s="57">
        <v>29.9</v>
      </c>
      <c r="AM51" s="58"/>
      <c r="AN51" s="70"/>
      <c r="AO51" s="71" t="s">
        <v>181</v>
      </c>
      <c r="AP51" s="71"/>
      <c r="AQ51" s="66"/>
    </row>
    <row r="52">
      <c r="A52" s="61" t="s">
        <v>209</v>
      </c>
      <c r="B52" s="62" t="s">
        <v>256</v>
      </c>
      <c r="C52" s="47" t="s">
        <v>163</v>
      </c>
      <c r="D52" s="74">
        <v>227.0</v>
      </c>
      <c r="E52" s="74">
        <v>196.0</v>
      </c>
      <c r="F52" s="74">
        <v>84.0</v>
      </c>
      <c r="G52" s="49">
        <f t="shared" si="1"/>
        <v>3.737328</v>
      </c>
      <c r="H52" s="49">
        <f t="shared" si="2"/>
        <v>444.92</v>
      </c>
      <c r="I52" s="74">
        <v>1.4</v>
      </c>
      <c r="J52" s="74" t="s">
        <v>171</v>
      </c>
      <c r="K52" s="75" t="s">
        <v>211</v>
      </c>
      <c r="L52" s="76">
        <v>63.0</v>
      </c>
      <c r="M52" s="75" t="s">
        <v>166</v>
      </c>
      <c r="N52" s="77" t="s">
        <v>166</v>
      </c>
      <c r="O52" s="48" t="s">
        <v>166</v>
      </c>
      <c r="P52" s="48" t="s">
        <v>166</v>
      </c>
      <c r="Q52" s="48" t="s">
        <v>166</v>
      </c>
      <c r="R52" s="48" t="s">
        <v>166</v>
      </c>
      <c r="S52" s="50" t="s">
        <v>166</v>
      </c>
      <c r="T52" s="52" t="s">
        <v>167</v>
      </c>
      <c r="U52" s="53" t="s">
        <v>168</v>
      </c>
      <c r="V52" s="77" t="s">
        <v>193</v>
      </c>
      <c r="W52" s="74" t="s">
        <v>194</v>
      </c>
      <c r="X52" s="75" t="s">
        <v>257</v>
      </c>
      <c r="Y52" s="51" t="s">
        <v>166</v>
      </c>
      <c r="Z52" s="74" t="s">
        <v>166</v>
      </c>
      <c r="AA52" s="74" t="s">
        <v>166</v>
      </c>
      <c r="AB52" s="48" t="s">
        <v>166</v>
      </c>
      <c r="AC52" s="48" t="s">
        <v>194</v>
      </c>
      <c r="AD52" s="48" t="s">
        <v>194</v>
      </c>
      <c r="AE52" s="54" t="s">
        <v>166</v>
      </c>
      <c r="AF52" s="55" t="s">
        <v>166</v>
      </c>
      <c r="AG52" s="51" t="s">
        <v>166</v>
      </c>
      <c r="AH52" s="48">
        <v>2.0</v>
      </c>
      <c r="AI52" s="48" t="s">
        <v>166</v>
      </c>
      <c r="AJ52" s="50" t="s">
        <v>166</v>
      </c>
      <c r="AK52" s="56" t="s">
        <v>166</v>
      </c>
      <c r="AL52" s="57">
        <v>59.99</v>
      </c>
      <c r="AM52" s="68"/>
      <c r="AN52" s="70"/>
      <c r="AO52" s="71"/>
      <c r="AP52" s="71"/>
      <c r="AQ52" s="66"/>
    </row>
    <row r="53">
      <c r="A53" s="61" t="str">
        <f>HYPERLINK("http://www.mini-box.com/","Mini-Box")</f>
        <v>Mini-Box</v>
      </c>
      <c r="B53" s="62" t="s">
        <v>258</v>
      </c>
      <c r="C53" s="47" t="s">
        <v>163</v>
      </c>
      <c r="D53" s="74">
        <v>240.0</v>
      </c>
      <c r="E53" s="74">
        <v>200.0</v>
      </c>
      <c r="F53" s="74">
        <v>78.0</v>
      </c>
      <c r="G53" s="49">
        <f t="shared" si="1"/>
        <v>3.744</v>
      </c>
      <c r="H53" s="49">
        <f t="shared" si="2"/>
        <v>480</v>
      </c>
      <c r="I53" s="74" t="s">
        <v>170</v>
      </c>
      <c r="J53" s="48" t="s">
        <v>164</v>
      </c>
      <c r="K53" s="75" t="s">
        <v>164</v>
      </c>
      <c r="L53" s="77" t="s">
        <v>170</v>
      </c>
      <c r="M53" s="75" t="s">
        <v>166</v>
      </c>
      <c r="N53" s="77" t="s">
        <v>174</v>
      </c>
      <c r="O53" s="48" t="s">
        <v>170</v>
      </c>
      <c r="P53" s="48" t="s">
        <v>170</v>
      </c>
      <c r="Q53" s="48">
        <v>20.0</v>
      </c>
      <c r="R53" s="48">
        <v>1.0</v>
      </c>
      <c r="S53" s="50" t="s">
        <v>166</v>
      </c>
      <c r="T53" s="52" t="s">
        <v>167</v>
      </c>
      <c r="U53" s="53" t="s">
        <v>168</v>
      </c>
      <c r="V53" s="77">
        <v>2.0</v>
      </c>
      <c r="W53" s="74" t="s">
        <v>166</v>
      </c>
      <c r="X53" s="75" t="s">
        <v>166</v>
      </c>
      <c r="Y53" s="51" t="s">
        <v>166</v>
      </c>
      <c r="Z53" s="74" t="s">
        <v>166</v>
      </c>
      <c r="AA53" s="74" t="s">
        <v>166</v>
      </c>
      <c r="AB53" s="48" t="s">
        <v>166</v>
      </c>
      <c r="AC53" s="48" t="s">
        <v>166</v>
      </c>
      <c r="AD53" s="48" t="s">
        <v>166</v>
      </c>
      <c r="AE53" s="54" t="s">
        <v>166</v>
      </c>
      <c r="AF53" s="55" t="s">
        <v>166</v>
      </c>
      <c r="AG53" s="51">
        <v>2.0</v>
      </c>
      <c r="AH53" s="48" t="s">
        <v>166</v>
      </c>
      <c r="AI53" s="48" t="s">
        <v>166</v>
      </c>
      <c r="AJ53" s="50" t="s">
        <v>166</v>
      </c>
      <c r="AK53" s="56" t="s">
        <v>166</v>
      </c>
      <c r="AL53" s="57">
        <v>29.0</v>
      </c>
      <c r="AM53" s="68"/>
      <c r="AN53" s="59"/>
      <c r="AO53" s="60"/>
      <c r="AP53" s="65">
        <v>44604.98942428241</v>
      </c>
      <c r="AQ53" s="66"/>
    </row>
    <row r="54">
      <c r="A54" s="61" t="str">
        <f>HYPERLINK("https://j-hackcompany.com/","J-HACK")</f>
        <v>J-HACK</v>
      </c>
      <c r="B54" s="62" t="s">
        <v>259</v>
      </c>
      <c r="C54" s="63" t="s">
        <v>225</v>
      </c>
      <c r="D54" s="48">
        <v>197.5</v>
      </c>
      <c r="E54" s="48">
        <v>261.5</v>
      </c>
      <c r="F54" s="48">
        <v>72.5</v>
      </c>
      <c r="G54" s="49">
        <f t="shared" si="1"/>
        <v>3.744353125</v>
      </c>
      <c r="H54" s="49">
        <f t="shared" si="2"/>
        <v>516.4625</v>
      </c>
      <c r="I54" s="48" t="s">
        <v>170</v>
      </c>
      <c r="J54" s="48" t="s">
        <v>245</v>
      </c>
      <c r="K54" s="50" t="s">
        <v>245</v>
      </c>
      <c r="L54" s="51">
        <v>51.0</v>
      </c>
      <c r="M54" s="50" t="s">
        <v>166</v>
      </c>
      <c r="N54" s="51" t="s">
        <v>174</v>
      </c>
      <c r="O54" s="48">
        <v>175.0</v>
      </c>
      <c r="P54" s="48">
        <v>70.0</v>
      </c>
      <c r="Q54" s="48">
        <v>40.0</v>
      </c>
      <c r="R54" s="48" t="s">
        <v>166</v>
      </c>
      <c r="S54" s="50">
        <v>2.0</v>
      </c>
      <c r="T54" s="52" t="s">
        <v>167</v>
      </c>
      <c r="U54" s="52" t="s">
        <v>168</v>
      </c>
      <c r="V54" s="51" t="s">
        <v>166</v>
      </c>
      <c r="W54" s="48" t="s">
        <v>166</v>
      </c>
      <c r="X54" s="50" t="s">
        <v>166</v>
      </c>
      <c r="Y54" s="51" t="s">
        <v>166</v>
      </c>
      <c r="Z54" s="48">
        <v>4.0</v>
      </c>
      <c r="AA54" s="48" t="s">
        <v>166</v>
      </c>
      <c r="AB54" s="48" t="s">
        <v>166</v>
      </c>
      <c r="AC54" s="48" t="s">
        <v>193</v>
      </c>
      <c r="AD54" s="48" t="s">
        <v>166</v>
      </c>
      <c r="AE54" s="54" t="s">
        <v>166</v>
      </c>
      <c r="AF54" s="55" t="s">
        <v>166</v>
      </c>
      <c r="AG54" s="51" t="s">
        <v>166</v>
      </c>
      <c r="AH54" s="48" t="s">
        <v>166</v>
      </c>
      <c r="AI54" s="48" t="s">
        <v>194</v>
      </c>
      <c r="AJ54" s="50" t="s">
        <v>166</v>
      </c>
      <c r="AK54" s="56" t="s">
        <v>166</v>
      </c>
      <c r="AL54" s="57">
        <v>82.0</v>
      </c>
      <c r="AM54" s="58"/>
      <c r="AN54" s="59"/>
      <c r="AO54" s="60"/>
      <c r="AP54" s="65">
        <v>45146.65796106482</v>
      </c>
      <c r="AQ54" s="66"/>
    </row>
    <row r="55">
      <c r="A55" s="61" t="s">
        <v>254</v>
      </c>
      <c r="B55" s="62" t="s">
        <v>260</v>
      </c>
      <c r="C55" s="63" t="s">
        <v>163</v>
      </c>
      <c r="D55" s="48">
        <v>213.0</v>
      </c>
      <c r="E55" s="48">
        <v>85.0</v>
      </c>
      <c r="F55" s="48">
        <v>208.0</v>
      </c>
      <c r="G55" s="49">
        <f t="shared" si="1"/>
        <v>3.76584</v>
      </c>
      <c r="H55" s="49">
        <f t="shared" si="2"/>
        <v>181.05</v>
      </c>
      <c r="I55" s="48" t="s">
        <v>170</v>
      </c>
      <c r="J55" s="48" t="s">
        <v>245</v>
      </c>
      <c r="K55" s="50" t="s">
        <v>255</v>
      </c>
      <c r="L55" s="51">
        <v>55.0</v>
      </c>
      <c r="M55" s="50" t="s">
        <v>166</v>
      </c>
      <c r="N55" s="51" t="s">
        <v>166</v>
      </c>
      <c r="O55" s="48" t="s">
        <v>166</v>
      </c>
      <c r="P55" s="48" t="s">
        <v>166</v>
      </c>
      <c r="Q55" s="48" t="s">
        <v>166</v>
      </c>
      <c r="R55" s="48" t="s">
        <v>166</v>
      </c>
      <c r="S55" s="50" t="s">
        <v>166</v>
      </c>
      <c r="T55" s="52" t="s">
        <v>167</v>
      </c>
      <c r="U55" s="52" t="s">
        <v>168</v>
      </c>
      <c r="V55" s="51">
        <v>2.0</v>
      </c>
      <c r="W55" s="48" t="s">
        <v>166</v>
      </c>
      <c r="X55" s="50" t="s">
        <v>166</v>
      </c>
      <c r="Y55" s="51" t="s">
        <v>166</v>
      </c>
      <c r="Z55" s="48" t="s">
        <v>166</v>
      </c>
      <c r="AA55" s="48" t="s">
        <v>166</v>
      </c>
      <c r="AB55" s="48" t="s">
        <v>166</v>
      </c>
      <c r="AC55" s="48" t="s">
        <v>166</v>
      </c>
      <c r="AD55" s="48" t="s">
        <v>166</v>
      </c>
      <c r="AE55" s="54" t="s">
        <v>166</v>
      </c>
      <c r="AF55" s="55" t="s">
        <v>166</v>
      </c>
      <c r="AG55" s="51" t="s">
        <v>166</v>
      </c>
      <c r="AH55" s="48" t="s">
        <v>166</v>
      </c>
      <c r="AI55" s="48" t="s">
        <v>166</v>
      </c>
      <c r="AJ55" s="50" t="s">
        <v>166</v>
      </c>
      <c r="AK55" s="56" t="s">
        <v>166</v>
      </c>
      <c r="AL55" s="57">
        <v>39.9</v>
      </c>
      <c r="AM55" s="58"/>
      <c r="AN55" s="70"/>
      <c r="AO55" s="71"/>
      <c r="AP55" s="72">
        <v>44604.566272094904</v>
      </c>
      <c r="AQ55" s="66"/>
    </row>
    <row r="56">
      <c r="A56" s="69" t="s">
        <v>182</v>
      </c>
      <c r="B56" s="46" t="s">
        <v>261</v>
      </c>
      <c r="C56" s="63" t="s">
        <v>262</v>
      </c>
      <c r="D56" s="48">
        <v>188.0</v>
      </c>
      <c r="E56" s="48">
        <v>88.0</v>
      </c>
      <c r="F56" s="48">
        <v>229.0</v>
      </c>
      <c r="G56" s="49">
        <f t="shared" si="1"/>
        <v>3.788576</v>
      </c>
      <c r="H56" s="49">
        <f t="shared" si="2"/>
        <v>165.44</v>
      </c>
      <c r="I56" s="48" t="s">
        <v>170</v>
      </c>
      <c r="J56" s="48" t="s">
        <v>164</v>
      </c>
      <c r="K56" s="50" t="s">
        <v>165</v>
      </c>
      <c r="L56" s="51">
        <v>67.0</v>
      </c>
      <c r="M56" s="50" t="s">
        <v>166</v>
      </c>
      <c r="N56" s="51" t="s">
        <v>166</v>
      </c>
      <c r="O56" s="48">
        <v>170.0</v>
      </c>
      <c r="P56" s="48">
        <v>70.0</v>
      </c>
      <c r="Q56" s="48">
        <v>40.0</v>
      </c>
      <c r="R56" s="48" t="s">
        <v>166</v>
      </c>
      <c r="S56" s="50">
        <v>2.0</v>
      </c>
      <c r="T56" s="52" t="s">
        <v>167</v>
      </c>
      <c r="U56" s="52" t="s">
        <v>168</v>
      </c>
      <c r="V56" s="51">
        <v>2.0</v>
      </c>
      <c r="W56" s="48" t="s">
        <v>166</v>
      </c>
      <c r="X56" s="50" t="s">
        <v>166</v>
      </c>
      <c r="Y56" s="51" t="s">
        <v>166</v>
      </c>
      <c r="Z56" s="48" t="s">
        <v>166</v>
      </c>
      <c r="AA56" s="48">
        <v>2.0</v>
      </c>
      <c r="AB56" s="48" t="s">
        <v>166</v>
      </c>
      <c r="AC56" s="48" t="s">
        <v>166</v>
      </c>
      <c r="AD56" s="48" t="s">
        <v>166</v>
      </c>
      <c r="AE56" s="54" t="s">
        <v>166</v>
      </c>
      <c r="AF56" s="55" t="s">
        <v>166</v>
      </c>
      <c r="AG56" s="51" t="s">
        <v>166</v>
      </c>
      <c r="AH56" s="48">
        <v>1.0</v>
      </c>
      <c r="AI56" s="48" t="s">
        <v>166</v>
      </c>
      <c r="AJ56" s="50" t="s">
        <v>166</v>
      </c>
      <c r="AK56" s="56">
        <v>389.0</v>
      </c>
      <c r="AL56" s="57">
        <f>AK56*Sheets!$E$3</f>
        <v>53.6218995</v>
      </c>
      <c r="AM56" s="68"/>
      <c r="AN56" s="70"/>
      <c r="AO56" s="71"/>
      <c r="AP56" s="72"/>
      <c r="AQ56" s="66"/>
    </row>
    <row r="57">
      <c r="A57" s="69" t="str">
        <f>HYPERLINK("https://sktcase.world.taobao.com/","SKTC")</f>
        <v>SKTC</v>
      </c>
      <c r="B57" s="46" t="s">
        <v>263</v>
      </c>
      <c r="C57" s="63" t="s">
        <v>163</v>
      </c>
      <c r="D57" s="48">
        <v>187.0</v>
      </c>
      <c r="E57" s="48">
        <v>89.0</v>
      </c>
      <c r="F57" s="48">
        <v>228.0</v>
      </c>
      <c r="G57" s="49">
        <f t="shared" si="1"/>
        <v>3.794604</v>
      </c>
      <c r="H57" s="49">
        <f t="shared" si="2"/>
        <v>166.43</v>
      </c>
      <c r="I57" s="48">
        <v>1.1</v>
      </c>
      <c r="J57" s="48" t="s">
        <v>171</v>
      </c>
      <c r="K57" s="50" t="s">
        <v>217</v>
      </c>
      <c r="L57" s="51">
        <v>63.0</v>
      </c>
      <c r="M57" s="50" t="s">
        <v>166</v>
      </c>
      <c r="N57" s="51" t="s">
        <v>174</v>
      </c>
      <c r="O57" s="48" t="s">
        <v>170</v>
      </c>
      <c r="P57" s="48" t="s">
        <v>170</v>
      </c>
      <c r="Q57" s="48">
        <v>20.0</v>
      </c>
      <c r="R57" s="48">
        <v>1.0</v>
      </c>
      <c r="S57" s="50" t="s">
        <v>166</v>
      </c>
      <c r="T57" s="52" t="s">
        <v>167</v>
      </c>
      <c r="U57" s="52" t="s">
        <v>186</v>
      </c>
      <c r="V57" s="51" t="s">
        <v>194</v>
      </c>
      <c r="W57" s="48" t="s">
        <v>194</v>
      </c>
      <c r="X57" s="50" t="s">
        <v>166</v>
      </c>
      <c r="Y57" s="51" t="s">
        <v>166</v>
      </c>
      <c r="Z57" s="48" t="s">
        <v>166</v>
      </c>
      <c r="AA57" s="48" t="s">
        <v>166</v>
      </c>
      <c r="AB57" s="48" t="s">
        <v>166</v>
      </c>
      <c r="AC57" s="48" t="s">
        <v>166</v>
      </c>
      <c r="AD57" s="48" t="s">
        <v>166</v>
      </c>
      <c r="AE57" s="54" t="s">
        <v>166</v>
      </c>
      <c r="AF57" s="55" t="s">
        <v>166</v>
      </c>
      <c r="AG57" s="51" t="s">
        <v>193</v>
      </c>
      <c r="AH57" s="48" t="s">
        <v>193</v>
      </c>
      <c r="AI57" s="48" t="s">
        <v>166</v>
      </c>
      <c r="AJ57" s="50" t="s">
        <v>174</v>
      </c>
      <c r="AK57" s="56">
        <v>99.0</v>
      </c>
      <c r="AL57" s="57">
        <f>AK57*Sheets!$E$3</f>
        <v>13.6467045</v>
      </c>
      <c r="AM57" s="68"/>
      <c r="AN57" s="59"/>
      <c r="AO57" s="60"/>
      <c r="AP57" s="65">
        <v>44796.66076010416</v>
      </c>
      <c r="AQ57" s="66"/>
    </row>
    <row r="58">
      <c r="A58" s="61" t="s">
        <v>178</v>
      </c>
      <c r="B58" s="67" t="s">
        <v>264</v>
      </c>
      <c r="C58" s="63" t="s">
        <v>248</v>
      </c>
      <c r="D58" s="48">
        <v>187.0</v>
      </c>
      <c r="E58" s="48">
        <v>108.0</v>
      </c>
      <c r="F58" s="48">
        <v>188.0</v>
      </c>
      <c r="G58" s="49">
        <f t="shared" si="1"/>
        <v>3.796848</v>
      </c>
      <c r="H58" s="49">
        <f t="shared" si="2"/>
        <v>201.96</v>
      </c>
      <c r="I58" s="48" t="s">
        <v>170</v>
      </c>
      <c r="J58" s="48" t="s">
        <v>164</v>
      </c>
      <c r="K58" s="50" t="s">
        <v>265</v>
      </c>
      <c r="L58" s="51">
        <v>40.0</v>
      </c>
      <c r="M58" s="50" t="s">
        <v>166</v>
      </c>
      <c r="N58" s="51" t="s">
        <v>174</v>
      </c>
      <c r="O58" s="48">
        <v>178.0</v>
      </c>
      <c r="P58" s="48" t="s">
        <v>170</v>
      </c>
      <c r="Q58" s="48">
        <v>40.0</v>
      </c>
      <c r="R58" s="48">
        <v>2.0</v>
      </c>
      <c r="S58" s="50" t="s">
        <v>166</v>
      </c>
      <c r="T58" s="52" t="s">
        <v>167</v>
      </c>
      <c r="U58" s="52" t="s">
        <v>168</v>
      </c>
      <c r="V58" s="51">
        <v>1.0</v>
      </c>
      <c r="W58" s="48" t="s">
        <v>166</v>
      </c>
      <c r="X58" s="50" t="s">
        <v>166</v>
      </c>
      <c r="Y58" s="51" t="s">
        <v>166</v>
      </c>
      <c r="Z58" s="48" t="s">
        <v>166</v>
      </c>
      <c r="AA58" s="48" t="s">
        <v>166</v>
      </c>
      <c r="AB58" s="48" t="s">
        <v>166</v>
      </c>
      <c r="AC58" s="48" t="s">
        <v>166</v>
      </c>
      <c r="AD58" s="48" t="s">
        <v>166</v>
      </c>
      <c r="AE58" s="54" t="s">
        <v>166</v>
      </c>
      <c r="AF58" s="55" t="s">
        <v>166</v>
      </c>
      <c r="AG58" s="51" t="s">
        <v>166</v>
      </c>
      <c r="AH58" s="48" t="s">
        <v>166</v>
      </c>
      <c r="AI58" s="48" t="s">
        <v>166</v>
      </c>
      <c r="AJ58" s="50" t="s">
        <v>166</v>
      </c>
      <c r="AK58" s="56" t="s">
        <v>166</v>
      </c>
      <c r="AL58" s="57">
        <v>56.0</v>
      </c>
      <c r="AM58" s="68"/>
      <c r="AN58" s="59"/>
      <c r="AO58" s="60" t="s">
        <v>181</v>
      </c>
      <c r="AP58" s="65">
        <v>44615.848920868055</v>
      </c>
      <c r="AQ58" s="66"/>
    </row>
    <row r="59">
      <c r="A59" s="61" t="s">
        <v>178</v>
      </c>
      <c r="B59" s="67" t="s">
        <v>266</v>
      </c>
      <c r="C59" s="63" t="s">
        <v>163</v>
      </c>
      <c r="D59" s="48">
        <v>191.0</v>
      </c>
      <c r="E59" s="48">
        <v>221.0</v>
      </c>
      <c r="F59" s="48">
        <v>90.0</v>
      </c>
      <c r="G59" s="49">
        <f t="shared" si="1"/>
        <v>3.79899</v>
      </c>
      <c r="H59" s="49">
        <f t="shared" si="2"/>
        <v>422.11</v>
      </c>
      <c r="I59" s="48" t="s">
        <v>170</v>
      </c>
      <c r="J59" s="48" t="s">
        <v>267</v>
      </c>
      <c r="K59" s="50" t="s">
        <v>268</v>
      </c>
      <c r="L59" s="51">
        <v>65.0</v>
      </c>
      <c r="M59" s="50" t="s">
        <v>166</v>
      </c>
      <c r="N59" s="51" t="s">
        <v>166</v>
      </c>
      <c r="O59" s="48" t="s">
        <v>166</v>
      </c>
      <c r="P59" s="48" t="s">
        <v>166</v>
      </c>
      <c r="Q59" s="48" t="s">
        <v>166</v>
      </c>
      <c r="R59" s="48" t="s">
        <v>166</v>
      </c>
      <c r="S59" s="50" t="s">
        <v>166</v>
      </c>
      <c r="T59" s="52" t="s">
        <v>167</v>
      </c>
      <c r="U59" s="52" t="s">
        <v>186</v>
      </c>
      <c r="V59" s="51">
        <v>1.0</v>
      </c>
      <c r="W59" s="48" t="s">
        <v>166</v>
      </c>
      <c r="X59" s="50" t="s">
        <v>166</v>
      </c>
      <c r="Y59" s="51" t="s">
        <v>166</v>
      </c>
      <c r="Z59" s="48" t="s">
        <v>166</v>
      </c>
      <c r="AA59" s="48" t="s">
        <v>166</v>
      </c>
      <c r="AB59" s="48" t="s">
        <v>166</v>
      </c>
      <c r="AC59" s="48" t="s">
        <v>166</v>
      </c>
      <c r="AD59" s="48" t="s">
        <v>166</v>
      </c>
      <c r="AE59" s="54" t="s">
        <v>166</v>
      </c>
      <c r="AF59" s="55" t="s">
        <v>166</v>
      </c>
      <c r="AG59" s="51" t="s">
        <v>166</v>
      </c>
      <c r="AH59" s="48" t="s">
        <v>166</v>
      </c>
      <c r="AI59" s="48" t="s">
        <v>166</v>
      </c>
      <c r="AJ59" s="50" t="s">
        <v>166</v>
      </c>
      <c r="AK59" s="56" t="s">
        <v>166</v>
      </c>
      <c r="AL59" s="57">
        <v>56.0</v>
      </c>
      <c r="AM59" s="64" t="str">
        <f>HYPERLINK("https://smallformfactor.net/forum/threads/cases-sl-itx-produced-by-custom_mod.7525/","Link")</f>
        <v>Link</v>
      </c>
      <c r="AN59" s="59"/>
      <c r="AO59" s="60" t="s">
        <v>181</v>
      </c>
      <c r="AP59" s="60"/>
      <c r="AQ59" s="66"/>
    </row>
    <row r="60">
      <c r="A60" s="61" t="str">
        <f>HYPERLINK("http://www.minicase.net/index.html","Realan")</f>
        <v>Realan</v>
      </c>
      <c r="B60" s="62" t="str">
        <f>HYPERLINK("https://www.aliexpress.com/item/32345969244.html","E-I5S")</f>
        <v>E-I5S</v>
      </c>
      <c r="C60" s="63" t="s">
        <v>163</v>
      </c>
      <c r="D60" s="48">
        <v>236.0</v>
      </c>
      <c r="E60" s="48">
        <v>200.0</v>
      </c>
      <c r="F60" s="48">
        <v>81.0</v>
      </c>
      <c r="G60" s="49">
        <f t="shared" si="1"/>
        <v>3.8232</v>
      </c>
      <c r="H60" s="49">
        <f t="shared" si="2"/>
        <v>472</v>
      </c>
      <c r="I60" s="48">
        <v>1.25</v>
      </c>
      <c r="J60" s="48" t="s">
        <v>164</v>
      </c>
      <c r="K60" s="50" t="s">
        <v>192</v>
      </c>
      <c r="L60" s="51">
        <v>56.0</v>
      </c>
      <c r="M60" s="50" t="s">
        <v>166</v>
      </c>
      <c r="N60" s="51" t="s">
        <v>166</v>
      </c>
      <c r="O60" s="48" t="s">
        <v>166</v>
      </c>
      <c r="P60" s="48" t="s">
        <v>166</v>
      </c>
      <c r="Q60" s="48" t="s">
        <v>166</v>
      </c>
      <c r="R60" s="48" t="s">
        <v>166</v>
      </c>
      <c r="S60" s="50" t="s">
        <v>166</v>
      </c>
      <c r="T60" s="52" t="s">
        <v>167</v>
      </c>
      <c r="U60" s="52" t="s">
        <v>168</v>
      </c>
      <c r="V60" s="51" t="s">
        <v>193</v>
      </c>
      <c r="W60" s="48" t="s">
        <v>194</v>
      </c>
      <c r="X60" s="50" t="s">
        <v>166</v>
      </c>
      <c r="Y60" s="51" t="s">
        <v>166</v>
      </c>
      <c r="Z60" s="48">
        <v>2.0</v>
      </c>
      <c r="AA60" s="48" t="s">
        <v>166</v>
      </c>
      <c r="AB60" s="48" t="s">
        <v>166</v>
      </c>
      <c r="AC60" s="48" t="s">
        <v>166</v>
      </c>
      <c r="AD60" s="48" t="s">
        <v>166</v>
      </c>
      <c r="AE60" s="54" t="s">
        <v>166</v>
      </c>
      <c r="AF60" s="55" t="s">
        <v>166</v>
      </c>
      <c r="AG60" s="51">
        <v>2.0</v>
      </c>
      <c r="AH60" s="48" t="s">
        <v>166</v>
      </c>
      <c r="AI60" s="48" t="s">
        <v>166</v>
      </c>
      <c r="AJ60" s="50" t="s">
        <v>166</v>
      </c>
      <c r="AK60" s="56" t="s">
        <v>166</v>
      </c>
      <c r="AL60" s="57">
        <v>32.99</v>
      </c>
      <c r="AM60" s="58"/>
      <c r="AN60" s="59"/>
      <c r="AO60" s="60"/>
      <c r="AP60" s="60"/>
      <c r="AQ60" s="66"/>
    </row>
    <row r="61">
      <c r="A61" s="61" t="s">
        <v>178</v>
      </c>
      <c r="B61" s="62" t="s">
        <v>269</v>
      </c>
      <c r="C61" s="63" t="s">
        <v>248</v>
      </c>
      <c r="D61" s="48">
        <v>185.0</v>
      </c>
      <c r="E61" s="48">
        <v>110.0</v>
      </c>
      <c r="F61" s="48">
        <v>189.0</v>
      </c>
      <c r="G61" s="49">
        <f t="shared" si="1"/>
        <v>3.84615</v>
      </c>
      <c r="H61" s="49">
        <f t="shared" si="2"/>
        <v>203.5</v>
      </c>
      <c r="I61" s="48">
        <v>0.7</v>
      </c>
      <c r="J61" s="48" t="s">
        <v>164</v>
      </c>
      <c r="K61" s="50" t="s">
        <v>270</v>
      </c>
      <c r="L61" s="51">
        <v>43.0</v>
      </c>
      <c r="M61" s="50" t="s">
        <v>166</v>
      </c>
      <c r="N61" s="51" t="s">
        <v>174</v>
      </c>
      <c r="O61" s="48">
        <v>180.0</v>
      </c>
      <c r="P61" s="48" t="s">
        <v>170</v>
      </c>
      <c r="Q61" s="48">
        <v>42.0</v>
      </c>
      <c r="R61" s="48">
        <v>2.0</v>
      </c>
      <c r="S61" s="50" t="s">
        <v>166</v>
      </c>
      <c r="T61" s="52" t="s">
        <v>167</v>
      </c>
      <c r="U61" s="52" t="s">
        <v>168</v>
      </c>
      <c r="V61" s="51" t="s">
        <v>166</v>
      </c>
      <c r="W61" s="48" t="s">
        <v>166</v>
      </c>
      <c r="X61" s="50" t="s">
        <v>166</v>
      </c>
      <c r="Y61" s="51" t="s">
        <v>166</v>
      </c>
      <c r="Z61" s="48" t="s">
        <v>166</v>
      </c>
      <c r="AA61" s="48" t="s">
        <v>166</v>
      </c>
      <c r="AB61" s="48" t="s">
        <v>166</v>
      </c>
      <c r="AC61" s="48" t="s">
        <v>166</v>
      </c>
      <c r="AD61" s="48" t="s">
        <v>166</v>
      </c>
      <c r="AE61" s="54" t="s">
        <v>166</v>
      </c>
      <c r="AF61" s="55" t="s">
        <v>166</v>
      </c>
      <c r="AG61" s="51" t="s">
        <v>166</v>
      </c>
      <c r="AH61" s="48" t="s">
        <v>166</v>
      </c>
      <c r="AI61" s="48" t="s">
        <v>166</v>
      </c>
      <c r="AJ61" s="50" t="s">
        <v>166</v>
      </c>
      <c r="AK61" s="56" t="s">
        <v>166</v>
      </c>
      <c r="AL61" s="57">
        <v>102.06</v>
      </c>
      <c r="AM61" s="68"/>
      <c r="AN61" s="59"/>
      <c r="AO61" s="71"/>
      <c r="AP61" s="60"/>
      <c r="AQ61" s="66"/>
    </row>
    <row r="62">
      <c r="A62" s="73" t="s">
        <v>271</v>
      </c>
      <c r="B62" s="73" t="s">
        <v>272</v>
      </c>
      <c r="C62" s="63" t="s">
        <v>248</v>
      </c>
      <c r="D62" s="48">
        <v>180.0</v>
      </c>
      <c r="E62" s="48">
        <v>100.0</v>
      </c>
      <c r="F62" s="48">
        <v>215.0</v>
      </c>
      <c r="G62" s="49">
        <f t="shared" si="1"/>
        <v>3.87</v>
      </c>
      <c r="H62" s="49">
        <f t="shared" si="2"/>
        <v>180</v>
      </c>
      <c r="I62" s="48" t="s">
        <v>170</v>
      </c>
      <c r="J62" s="48" t="s">
        <v>164</v>
      </c>
      <c r="K62" s="50" t="s">
        <v>164</v>
      </c>
      <c r="L62" s="51">
        <v>40.0</v>
      </c>
      <c r="M62" s="50" t="s">
        <v>166</v>
      </c>
      <c r="N62" s="51" t="s">
        <v>174</v>
      </c>
      <c r="O62" s="48">
        <v>175.0</v>
      </c>
      <c r="P62" s="48" t="s">
        <v>170</v>
      </c>
      <c r="Q62" s="48">
        <v>40.0</v>
      </c>
      <c r="R62" s="48">
        <v>2.0</v>
      </c>
      <c r="S62" s="50" t="s">
        <v>166</v>
      </c>
      <c r="T62" s="52" t="s">
        <v>167</v>
      </c>
      <c r="U62" s="52" t="s">
        <v>186</v>
      </c>
      <c r="V62" s="51">
        <v>2.0</v>
      </c>
      <c r="W62" s="48" t="s">
        <v>166</v>
      </c>
      <c r="X62" s="50" t="s">
        <v>166</v>
      </c>
      <c r="Y62" s="51" t="s">
        <v>166</v>
      </c>
      <c r="Z62" s="48" t="s">
        <v>166</v>
      </c>
      <c r="AA62" s="48" t="s">
        <v>166</v>
      </c>
      <c r="AB62" s="48" t="s">
        <v>166</v>
      </c>
      <c r="AC62" s="48" t="s">
        <v>166</v>
      </c>
      <c r="AD62" s="48" t="s">
        <v>166</v>
      </c>
      <c r="AE62" s="54" t="s">
        <v>166</v>
      </c>
      <c r="AF62" s="55" t="s">
        <v>166</v>
      </c>
      <c r="AG62" s="51" t="s">
        <v>166</v>
      </c>
      <c r="AH62" s="48" t="s">
        <v>166</v>
      </c>
      <c r="AI62" s="48" t="s">
        <v>166</v>
      </c>
      <c r="AJ62" s="50" t="s">
        <v>166</v>
      </c>
      <c r="AK62" s="56">
        <v>369.0</v>
      </c>
      <c r="AL62" s="57">
        <f>AK62*Sheets!$E$3</f>
        <v>50.8649895</v>
      </c>
      <c r="AM62" s="68"/>
      <c r="AN62" s="59"/>
      <c r="AO62" s="60" t="s">
        <v>181</v>
      </c>
      <c r="AP62" s="72">
        <v>44442.87089832176</v>
      </c>
      <c r="AQ62" s="66"/>
    </row>
    <row r="63">
      <c r="A63" s="46" t="str">
        <f>HYPERLINK("https://shop199084424.world.taobao.com/","Geeklab")</f>
        <v>Geeklab</v>
      </c>
      <c r="B63" s="73" t="s">
        <v>273</v>
      </c>
      <c r="C63" s="63" t="s">
        <v>248</v>
      </c>
      <c r="D63" s="48">
        <v>176.0</v>
      </c>
      <c r="E63" s="48">
        <v>100.0</v>
      </c>
      <c r="F63" s="48">
        <v>220.0</v>
      </c>
      <c r="G63" s="49">
        <f t="shared" si="1"/>
        <v>3.872</v>
      </c>
      <c r="H63" s="49">
        <f t="shared" si="2"/>
        <v>176</v>
      </c>
      <c r="I63" s="48" t="s">
        <v>170</v>
      </c>
      <c r="J63" s="48" t="s">
        <v>274</v>
      </c>
      <c r="K63" s="50" t="s">
        <v>275</v>
      </c>
      <c r="L63" s="51">
        <v>40.0</v>
      </c>
      <c r="M63" s="50" t="s">
        <v>166</v>
      </c>
      <c r="N63" s="51" t="s">
        <v>174</v>
      </c>
      <c r="O63" s="48">
        <v>175.0</v>
      </c>
      <c r="P63" s="48" t="s">
        <v>170</v>
      </c>
      <c r="Q63" s="48">
        <v>40.0</v>
      </c>
      <c r="R63" s="48">
        <v>2.0</v>
      </c>
      <c r="S63" s="50" t="s">
        <v>166</v>
      </c>
      <c r="T63" s="52" t="s">
        <v>167</v>
      </c>
      <c r="U63" s="52" t="s">
        <v>186</v>
      </c>
      <c r="V63" s="51">
        <v>2.0</v>
      </c>
      <c r="W63" s="48" t="s">
        <v>166</v>
      </c>
      <c r="X63" s="50" t="s">
        <v>166</v>
      </c>
      <c r="Y63" s="51">
        <v>1.0</v>
      </c>
      <c r="Z63" s="48" t="s">
        <v>166</v>
      </c>
      <c r="AA63" s="48" t="s">
        <v>166</v>
      </c>
      <c r="AB63" s="48" t="s">
        <v>166</v>
      </c>
      <c r="AC63" s="48" t="s">
        <v>166</v>
      </c>
      <c r="AD63" s="48" t="s">
        <v>166</v>
      </c>
      <c r="AE63" s="54" t="s">
        <v>166</v>
      </c>
      <c r="AF63" s="55" t="s">
        <v>166</v>
      </c>
      <c r="AG63" s="51" t="s">
        <v>166</v>
      </c>
      <c r="AH63" s="48" t="s">
        <v>166</v>
      </c>
      <c r="AI63" s="48" t="s">
        <v>166</v>
      </c>
      <c r="AJ63" s="50" t="s">
        <v>166</v>
      </c>
      <c r="AK63" s="56">
        <v>527.0</v>
      </c>
      <c r="AL63" s="57">
        <f>AK63*Sheets!$E$3</f>
        <v>72.6445785</v>
      </c>
      <c r="AM63" s="68"/>
      <c r="AN63" s="70"/>
      <c r="AO63" s="71" t="s">
        <v>181</v>
      </c>
      <c r="AP63" s="71"/>
      <c r="AQ63" s="66"/>
    </row>
    <row r="64">
      <c r="A64" s="69" t="str">
        <f>HYPERLINK("https://sgpc.world.taobao.com/","SGPC")</f>
        <v>SGPC</v>
      </c>
      <c r="B64" s="46" t="s">
        <v>276</v>
      </c>
      <c r="C64" s="63" t="s">
        <v>225</v>
      </c>
      <c r="D64" s="48">
        <v>198.0</v>
      </c>
      <c r="E64" s="48">
        <v>48.0</v>
      </c>
      <c r="F64" s="48">
        <v>408.0</v>
      </c>
      <c r="G64" s="49">
        <f t="shared" si="1"/>
        <v>3.877632</v>
      </c>
      <c r="H64" s="49">
        <f t="shared" si="2"/>
        <v>95.04</v>
      </c>
      <c r="I64" s="48">
        <v>0.7</v>
      </c>
      <c r="J64" s="48" t="s">
        <v>164</v>
      </c>
      <c r="K64" s="50" t="s">
        <v>185</v>
      </c>
      <c r="L64" s="51">
        <v>30.0</v>
      </c>
      <c r="M64" s="50" t="s">
        <v>166</v>
      </c>
      <c r="N64" s="51" t="s">
        <v>174</v>
      </c>
      <c r="O64" s="48">
        <v>180.0</v>
      </c>
      <c r="P64" s="48" t="s">
        <v>170</v>
      </c>
      <c r="Q64" s="48">
        <v>43.0</v>
      </c>
      <c r="R64" s="48">
        <v>2.0</v>
      </c>
      <c r="S64" s="50" t="s">
        <v>166</v>
      </c>
      <c r="T64" s="52" t="s">
        <v>277</v>
      </c>
      <c r="U64" s="52" t="s">
        <v>186</v>
      </c>
      <c r="V64" s="51" t="s">
        <v>278</v>
      </c>
      <c r="W64" s="48" t="s">
        <v>166</v>
      </c>
      <c r="X64" s="50" t="s">
        <v>166</v>
      </c>
      <c r="Y64" s="51" t="s">
        <v>166</v>
      </c>
      <c r="Z64" s="48" t="s">
        <v>166</v>
      </c>
      <c r="AA64" s="48" t="s">
        <v>166</v>
      </c>
      <c r="AB64" s="48" t="s">
        <v>166</v>
      </c>
      <c r="AC64" s="48" t="s">
        <v>166</v>
      </c>
      <c r="AD64" s="48" t="s">
        <v>166</v>
      </c>
      <c r="AE64" s="54" t="s">
        <v>166</v>
      </c>
      <c r="AF64" s="55" t="s">
        <v>166</v>
      </c>
      <c r="AG64" s="51" t="s">
        <v>166</v>
      </c>
      <c r="AH64" s="48" t="s">
        <v>166</v>
      </c>
      <c r="AI64" s="48" t="s">
        <v>166</v>
      </c>
      <c r="AJ64" s="50" t="s">
        <v>166</v>
      </c>
      <c r="AK64" s="56">
        <v>199.0</v>
      </c>
      <c r="AL64" s="57">
        <f>AK64*Sheets!$E$3</f>
        <v>27.4312545</v>
      </c>
      <c r="AM64" s="68"/>
      <c r="AN64" s="59"/>
      <c r="AO64" s="60"/>
      <c r="AP64" s="65">
        <v>44610.79878726852</v>
      </c>
      <c r="AQ64" s="66"/>
    </row>
    <row r="65">
      <c r="A65" s="69" t="s">
        <v>222</v>
      </c>
      <c r="B65" s="46" t="s">
        <v>279</v>
      </c>
      <c r="C65" s="63" t="s">
        <v>163</v>
      </c>
      <c r="D65" s="48">
        <v>190.0</v>
      </c>
      <c r="E65" s="48">
        <v>113.0</v>
      </c>
      <c r="F65" s="48">
        <v>182.0</v>
      </c>
      <c r="G65" s="49">
        <f t="shared" si="1"/>
        <v>3.90754</v>
      </c>
      <c r="H65" s="49">
        <f t="shared" si="2"/>
        <v>214.7</v>
      </c>
      <c r="I65" s="48">
        <v>0.57</v>
      </c>
      <c r="J65" s="48" t="s">
        <v>171</v>
      </c>
      <c r="K65" s="50" t="s">
        <v>171</v>
      </c>
      <c r="L65" s="51">
        <v>44.0</v>
      </c>
      <c r="M65" s="50" t="s">
        <v>166</v>
      </c>
      <c r="N65" s="51" t="s">
        <v>166</v>
      </c>
      <c r="O65" s="48" t="s">
        <v>166</v>
      </c>
      <c r="P65" s="48" t="s">
        <v>166</v>
      </c>
      <c r="Q65" s="48" t="s">
        <v>166</v>
      </c>
      <c r="R65" s="48" t="s">
        <v>166</v>
      </c>
      <c r="S65" s="50" t="s">
        <v>166</v>
      </c>
      <c r="T65" s="52" t="s">
        <v>167</v>
      </c>
      <c r="U65" s="52" t="s">
        <v>186</v>
      </c>
      <c r="V65" s="51">
        <v>4.0</v>
      </c>
      <c r="W65" s="48" t="s">
        <v>166</v>
      </c>
      <c r="X65" s="50" t="s">
        <v>166</v>
      </c>
      <c r="Y65" s="51" t="s">
        <v>166</v>
      </c>
      <c r="Z65" s="48" t="s">
        <v>166</v>
      </c>
      <c r="AA65" s="48" t="s">
        <v>166</v>
      </c>
      <c r="AB65" s="48" t="s">
        <v>166</v>
      </c>
      <c r="AC65" s="48" t="s">
        <v>166</v>
      </c>
      <c r="AD65" s="48" t="s">
        <v>166</v>
      </c>
      <c r="AE65" s="54" t="s">
        <v>166</v>
      </c>
      <c r="AF65" s="55" t="s">
        <v>166</v>
      </c>
      <c r="AG65" s="51" t="s">
        <v>166</v>
      </c>
      <c r="AH65" s="48">
        <v>1.0</v>
      </c>
      <c r="AI65" s="48" t="s">
        <v>166</v>
      </c>
      <c r="AJ65" s="50" t="s">
        <v>174</v>
      </c>
      <c r="AK65" s="56">
        <v>78.0</v>
      </c>
      <c r="AL65" s="57">
        <f>AK65*Sheets!$E$3</f>
        <v>10.751949</v>
      </c>
      <c r="AM65" s="68"/>
      <c r="AN65" s="70"/>
      <c r="AO65" s="71"/>
      <c r="AP65" s="72">
        <v>44735.033317407404</v>
      </c>
      <c r="AQ65" s="66"/>
    </row>
    <row r="66">
      <c r="A66" s="61" t="s">
        <v>280</v>
      </c>
      <c r="B66" s="62" t="s">
        <v>281</v>
      </c>
      <c r="C66" s="63" t="s">
        <v>282</v>
      </c>
      <c r="D66" s="48">
        <v>175.0</v>
      </c>
      <c r="E66" s="48">
        <v>110.0</v>
      </c>
      <c r="F66" s="48">
        <v>205.0</v>
      </c>
      <c r="G66" s="49">
        <f t="shared" si="1"/>
        <v>3.94625</v>
      </c>
      <c r="H66" s="49">
        <f t="shared" si="2"/>
        <v>192.5</v>
      </c>
      <c r="I66" s="48">
        <v>1.2</v>
      </c>
      <c r="J66" s="48" t="s">
        <v>282</v>
      </c>
      <c r="K66" s="50" t="s">
        <v>283</v>
      </c>
      <c r="L66" s="51" t="s">
        <v>282</v>
      </c>
      <c r="M66" s="50" t="s">
        <v>166</v>
      </c>
      <c r="N66" s="51" t="s">
        <v>174</v>
      </c>
      <c r="O66" s="48" t="s">
        <v>282</v>
      </c>
      <c r="P66" s="48" t="s">
        <v>282</v>
      </c>
      <c r="Q66" s="48" t="s">
        <v>282</v>
      </c>
      <c r="R66" s="48" t="s">
        <v>282</v>
      </c>
      <c r="S66" s="50" t="s">
        <v>166</v>
      </c>
      <c r="T66" s="52" t="s">
        <v>167</v>
      </c>
      <c r="U66" s="52" t="s">
        <v>186</v>
      </c>
      <c r="V66" s="51">
        <v>1.0</v>
      </c>
      <c r="W66" s="48" t="s">
        <v>166</v>
      </c>
      <c r="X66" s="50" t="s">
        <v>166</v>
      </c>
      <c r="Y66" s="51" t="s">
        <v>166</v>
      </c>
      <c r="Z66" s="48" t="s">
        <v>166</v>
      </c>
      <c r="AA66" s="48" t="s">
        <v>166</v>
      </c>
      <c r="AB66" s="48" t="s">
        <v>166</v>
      </c>
      <c r="AC66" s="48" t="s">
        <v>166</v>
      </c>
      <c r="AD66" s="48" t="s">
        <v>166</v>
      </c>
      <c r="AE66" s="54" t="s">
        <v>166</v>
      </c>
      <c r="AF66" s="55" t="s">
        <v>166</v>
      </c>
      <c r="AG66" s="51" t="s">
        <v>166</v>
      </c>
      <c r="AH66" s="48" t="s">
        <v>166</v>
      </c>
      <c r="AI66" s="48" t="s">
        <v>166</v>
      </c>
      <c r="AJ66" s="50" t="s">
        <v>166</v>
      </c>
      <c r="AK66" s="56" t="s">
        <v>166</v>
      </c>
      <c r="AL66" s="57">
        <v>179.0</v>
      </c>
      <c r="AM66" s="58"/>
      <c r="AN66" s="59"/>
      <c r="AO66" s="60"/>
      <c r="AP66" s="65">
        <v>44610.80049846065</v>
      </c>
      <c r="AQ66" s="66"/>
    </row>
    <row r="67">
      <c r="A67" s="82" t="str">
        <f>HYPERLINK("https://www.velkase.com/","Velkase")</f>
        <v>Velkase</v>
      </c>
      <c r="B67" s="62" t="s">
        <v>284</v>
      </c>
      <c r="C67" s="63" t="s">
        <v>248</v>
      </c>
      <c r="D67" s="48">
        <v>189.0</v>
      </c>
      <c r="E67" s="48">
        <v>96.0</v>
      </c>
      <c r="F67" s="48">
        <v>218.0</v>
      </c>
      <c r="G67" s="49">
        <f t="shared" si="1"/>
        <v>3.955392</v>
      </c>
      <c r="H67" s="49">
        <f t="shared" si="2"/>
        <v>181.44</v>
      </c>
      <c r="I67" s="48">
        <v>1.5</v>
      </c>
      <c r="J67" s="48" t="s">
        <v>171</v>
      </c>
      <c r="K67" s="50" t="s">
        <v>285</v>
      </c>
      <c r="L67" s="51">
        <v>37.0</v>
      </c>
      <c r="M67" s="50" t="s">
        <v>166</v>
      </c>
      <c r="N67" s="51" t="s">
        <v>174</v>
      </c>
      <c r="O67" s="48">
        <v>175.0</v>
      </c>
      <c r="P67" s="48">
        <v>139.0</v>
      </c>
      <c r="Q67" s="48">
        <v>43.0</v>
      </c>
      <c r="R67" s="48">
        <v>2.0</v>
      </c>
      <c r="S67" s="50" t="s">
        <v>166</v>
      </c>
      <c r="T67" s="52" t="s">
        <v>167</v>
      </c>
      <c r="U67" s="52" t="s">
        <v>186</v>
      </c>
      <c r="V67" s="51">
        <v>1.0</v>
      </c>
      <c r="W67" s="48" t="s">
        <v>166</v>
      </c>
      <c r="X67" s="50" t="s">
        <v>166</v>
      </c>
      <c r="Y67" s="51" t="s">
        <v>166</v>
      </c>
      <c r="Z67" s="48" t="s">
        <v>166</v>
      </c>
      <c r="AA67" s="48" t="s">
        <v>166</v>
      </c>
      <c r="AB67" s="48" t="s">
        <v>166</v>
      </c>
      <c r="AC67" s="48" t="s">
        <v>166</v>
      </c>
      <c r="AD67" s="48" t="s">
        <v>166</v>
      </c>
      <c r="AE67" s="54" t="s">
        <v>166</v>
      </c>
      <c r="AF67" s="55" t="s">
        <v>166</v>
      </c>
      <c r="AG67" s="51" t="s">
        <v>166</v>
      </c>
      <c r="AH67" s="48" t="s">
        <v>166</v>
      </c>
      <c r="AI67" s="48" t="s">
        <v>166</v>
      </c>
      <c r="AJ67" s="50" t="s">
        <v>166</v>
      </c>
      <c r="AK67" s="56" t="s">
        <v>166</v>
      </c>
      <c r="AL67" s="57">
        <v>159.0</v>
      </c>
      <c r="AM67" s="64" t="str">
        <f>HYPERLINK("https://smallformfactor.net/forum/threads/velka-series-cases-for-ultra-compact-and-portable-desktops.9681","Link")</f>
        <v>Link</v>
      </c>
      <c r="AN67" s="87" t="s">
        <v>214</v>
      </c>
      <c r="AO67" s="86"/>
      <c r="AP67" s="86"/>
      <c r="AQ67" s="66"/>
    </row>
    <row r="68">
      <c r="A68" s="69" t="s">
        <v>286</v>
      </c>
      <c r="B68" s="46" t="s">
        <v>287</v>
      </c>
      <c r="C68" s="63" t="s">
        <v>163</v>
      </c>
      <c r="D68" s="48">
        <v>210.0</v>
      </c>
      <c r="E68" s="48">
        <v>92.0</v>
      </c>
      <c r="F68" s="48">
        <v>206.0</v>
      </c>
      <c r="G68" s="49">
        <f t="shared" si="1"/>
        <v>3.97992</v>
      </c>
      <c r="H68" s="49">
        <f t="shared" si="2"/>
        <v>193.2</v>
      </c>
      <c r="I68" s="48" t="s">
        <v>170</v>
      </c>
      <c r="J68" s="48" t="s">
        <v>164</v>
      </c>
      <c r="K68" s="50" t="s">
        <v>288</v>
      </c>
      <c r="L68" s="51">
        <v>72.0</v>
      </c>
      <c r="M68" s="50" t="s">
        <v>166</v>
      </c>
      <c r="N68" s="51" t="s">
        <v>166</v>
      </c>
      <c r="O68" s="48" t="s">
        <v>170</v>
      </c>
      <c r="P68" s="48">
        <v>70.0</v>
      </c>
      <c r="Q68" s="48">
        <v>20.0</v>
      </c>
      <c r="R68" s="48" t="s">
        <v>166</v>
      </c>
      <c r="S68" s="50">
        <v>1.0</v>
      </c>
      <c r="T68" s="52" t="s">
        <v>167</v>
      </c>
      <c r="U68" s="52" t="s">
        <v>168</v>
      </c>
      <c r="V68" s="51">
        <v>1.0</v>
      </c>
      <c r="W68" s="48" t="s">
        <v>166</v>
      </c>
      <c r="X68" s="50" t="s">
        <v>166</v>
      </c>
      <c r="Y68" s="51" t="s">
        <v>166</v>
      </c>
      <c r="Z68" s="48" t="s">
        <v>166</v>
      </c>
      <c r="AA68" s="48">
        <v>2.0</v>
      </c>
      <c r="AB68" s="48" t="s">
        <v>166</v>
      </c>
      <c r="AC68" s="48" t="s">
        <v>166</v>
      </c>
      <c r="AD68" s="48" t="s">
        <v>166</v>
      </c>
      <c r="AE68" s="54" t="s">
        <v>166</v>
      </c>
      <c r="AF68" s="55" t="s">
        <v>166</v>
      </c>
      <c r="AG68" s="51" t="s">
        <v>166</v>
      </c>
      <c r="AH68" s="48" t="s">
        <v>166</v>
      </c>
      <c r="AI68" s="48" t="s">
        <v>166</v>
      </c>
      <c r="AJ68" s="50" t="s">
        <v>166</v>
      </c>
      <c r="AK68" s="56">
        <v>399.0</v>
      </c>
      <c r="AL68" s="57">
        <f>AK68*Sheets!$E$3</f>
        <v>55.0003545</v>
      </c>
      <c r="AM68" s="68"/>
      <c r="AN68" s="70"/>
      <c r="AO68" s="71"/>
      <c r="AP68" s="72">
        <v>44519.75148006945</v>
      </c>
      <c r="AQ68" s="66"/>
    </row>
    <row r="69">
      <c r="A69" s="82" t="str">
        <f>HYPERLINK("https://www.velkase.com/","Velkase")</f>
        <v>Velkase</v>
      </c>
      <c r="B69" s="88" t="s">
        <v>289</v>
      </c>
      <c r="C69" s="63" t="s">
        <v>248</v>
      </c>
      <c r="D69" s="48">
        <v>184.0</v>
      </c>
      <c r="E69" s="48">
        <v>99.0</v>
      </c>
      <c r="F69" s="48">
        <v>219.0</v>
      </c>
      <c r="G69" s="49">
        <f t="shared" si="1"/>
        <v>3.989304</v>
      </c>
      <c r="H69" s="49">
        <f t="shared" si="2"/>
        <v>182.16</v>
      </c>
      <c r="I69" s="48">
        <v>1.4</v>
      </c>
      <c r="J69" s="48" t="s">
        <v>171</v>
      </c>
      <c r="K69" s="50" t="s">
        <v>290</v>
      </c>
      <c r="L69" s="51">
        <v>37.0</v>
      </c>
      <c r="M69" s="50" t="s">
        <v>166</v>
      </c>
      <c r="N69" s="51" t="s">
        <v>174</v>
      </c>
      <c r="O69" s="48">
        <v>175.0</v>
      </c>
      <c r="P69" s="48">
        <v>148.0</v>
      </c>
      <c r="Q69" s="48">
        <v>43.0</v>
      </c>
      <c r="R69" s="48">
        <v>2.0</v>
      </c>
      <c r="S69" s="50" t="s">
        <v>166</v>
      </c>
      <c r="T69" s="52" t="s">
        <v>167</v>
      </c>
      <c r="U69" s="52" t="s">
        <v>186</v>
      </c>
      <c r="V69" s="51">
        <v>1.0</v>
      </c>
      <c r="W69" s="48" t="s">
        <v>166</v>
      </c>
      <c r="X69" s="50" t="s">
        <v>166</v>
      </c>
      <c r="Y69" s="51" t="s">
        <v>166</v>
      </c>
      <c r="Z69" s="48" t="s">
        <v>166</v>
      </c>
      <c r="AA69" s="48" t="s">
        <v>166</v>
      </c>
      <c r="AB69" s="48" t="s">
        <v>166</v>
      </c>
      <c r="AC69" s="48" t="s">
        <v>166</v>
      </c>
      <c r="AD69" s="48" t="s">
        <v>166</v>
      </c>
      <c r="AE69" s="54" t="s">
        <v>166</v>
      </c>
      <c r="AF69" s="55" t="s">
        <v>166</v>
      </c>
      <c r="AG69" s="51" t="s">
        <v>166</v>
      </c>
      <c r="AH69" s="48" t="s">
        <v>166</v>
      </c>
      <c r="AI69" s="48" t="s">
        <v>166</v>
      </c>
      <c r="AJ69" s="50" t="s">
        <v>166</v>
      </c>
      <c r="AK69" s="56" t="s">
        <v>166</v>
      </c>
      <c r="AL69" s="57">
        <v>159.99</v>
      </c>
      <c r="AM69" s="64" t="str">
        <f>HYPERLINK("https://smallformfactor.net/forum/threads/velka-series-cases-for-ultra-compact-and-portable-desktops.9681","Link")</f>
        <v>Link</v>
      </c>
      <c r="AN69" s="87"/>
      <c r="AO69" s="86"/>
      <c r="AP69" s="65">
        <v>45208.754935590274</v>
      </c>
      <c r="AQ69" s="66"/>
    </row>
    <row r="70">
      <c r="A70" s="61" t="s">
        <v>238</v>
      </c>
      <c r="B70" s="62" t="s">
        <v>291</v>
      </c>
      <c r="C70" s="63" t="s">
        <v>225</v>
      </c>
      <c r="D70" s="74">
        <v>210.0</v>
      </c>
      <c r="E70" s="74">
        <v>250.0</v>
      </c>
      <c r="F70" s="74">
        <v>76.0</v>
      </c>
      <c r="G70" s="49">
        <f t="shared" si="1"/>
        <v>3.99</v>
      </c>
      <c r="H70" s="49">
        <f t="shared" si="2"/>
        <v>525</v>
      </c>
      <c r="I70" s="74" t="s">
        <v>170</v>
      </c>
      <c r="J70" s="48" t="s">
        <v>240</v>
      </c>
      <c r="K70" s="75" t="s">
        <v>241</v>
      </c>
      <c r="L70" s="77">
        <v>48.0</v>
      </c>
      <c r="M70" s="75" t="s">
        <v>166</v>
      </c>
      <c r="N70" s="77" t="s">
        <v>174</v>
      </c>
      <c r="O70" s="48">
        <v>185.0</v>
      </c>
      <c r="P70" s="48">
        <v>70.0</v>
      </c>
      <c r="Q70" s="48">
        <v>40.0</v>
      </c>
      <c r="R70" s="48" t="s">
        <v>166</v>
      </c>
      <c r="S70" s="50">
        <v>2.0</v>
      </c>
      <c r="T70" s="52" t="s">
        <v>167</v>
      </c>
      <c r="U70" s="53" t="s">
        <v>168</v>
      </c>
      <c r="V70" s="77">
        <v>1.0</v>
      </c>
      <c r="W70" s="74" t="s">
        <v>166</v>
      </c>
      <c r="X70" s="75" t="s">
        <v>166</v>
      </c>
      <c r="Y70" s="51" t="s">
        <v>166</v>
      </c>
      <c r="Z70" s="74">
        <v>2.0</v>
      </c>
      <c r="AA70" s="74" t="s">
        <v>166</v>
      </c>
      <c r="AB70" s="48" t="s">
        <v>166</v>
      </c>
      <c r="AC70" s="48" t="s">
        <v>166</v>
      </c>
      <c r="AD70" s="48" t="s">
        <v>166</v>
      </c>
      <c r="AE70" s="54" t="s">
        <v>166</v>
      </c>
      <c r="AF70" s="55" t="s">
        <v>166</v>
      </c>
      <c r="AG70" s="51" t="s">
        <v>166</v>
      </c>
      <c r="AH70" s="48" t="s">
        <v>166</v>
      </c>
      <c r="AI70" s="48">
        <v>1.0</v>
      </c>
      <c r="AJ70" s="50" t="s">
        <v>166</v>
      </c>
      <c r="AK70" s="56" t="s">
        <v>166</v>
      </c>
      <c r="AL70" s="57">
        <f>155*1.09</f>
        <v>168.95</v>
      </c>
      <c r="AM70" s="64" t="s">
        <v>214</v>
      </c>
      <c r="AN70" s="59"/>
      <c r="AO70" s="60"/>
      <c r="AP70" s="65">
        <v>45141.422273495366</v>
      </c>
      <c r="AQ70" s="66"/>
    </row>
    <row r="71">
      <c r="A71" s="62" t="s">
        <v>292</v>
      </c>
      <c r="B71" s="67" t="s">
        <v>293</v>
      </c>
      <c r="C71" s="63" t="s">
        <v>225</v>
      </c>
      <c r="D71" s="74">
        <v>225.0</v>
      </c>
      <c r="E71" s="74">
        <v>70.0</v>
      </c>
      <c r="F71" s="74">
        <v>254.0</v>
      </c>
      <c r="G71" s="49">
        <f t="shared" si="1"/>
        <v>4.0005</v>
      </c>
      <c r="H71" s="49">
        <f t="shared" si="2"/>
        <v>157.5</v>
      </c>
      <c r="I71" s="74" t="s">
        <v>170</v>
      </c>
      <c r="J71" s="48" t="s">
        <v>164</v>
      </c>
      <c r="K71" s="50" t="s">
        <v>164</v>
      </c>
      <c r="L71" s="76">
        <v>41.0</v>
      </c>
      <c r="M71" s="75" t="s">
        <v>166</v>
      </c>
      <c r="N71" s="77" t="s">
        <v>174</v>
      </c>
      <c r="O71" s="74" t="s">
        <v>170</v>
      </c>
      <c r="P71" s="74">
        <v>70.0</v>
      </c>
      <c r="Q71" s="89">
        <v>40.0</v>
      </c>
      <c r="R71" s="74" t="s">
        <v>166</v>
      </c>
      <c r="S71" s="50">
        <v>2.0</v>
      </c>
      <c r="T71" s="52" t="s">
        <v>167</v>
      </c>
      <c r="U71" s="52" t="s">
        <v>168</v>
      </c>
      <c r="V71" s="77">
        <v>3.0</v>
      </c>
      <c r="W71" s="74" t="s">
        <v>166</v>
      </c>
      <c r="X71" s="75" t="s">
        <v>166</v>
      </c>
      <c r="Y71" s="51" t="s">
        <v>166</v>
      </c>
      <c r="Z71" s="74">
        <v>2.0</v>
      </c>
      <c r="AA71" s="74" t="s">
        <v>166</v>
      </c>
      <c r="AB71" s="48" t="s">
        <v>166</v>
      </c>
      <c r="AC71" s="48" t="s">
        <v>166</v>
      </c>
      <c r="AD71" s="48" t="s">
        <v>166</v>
      </c>
      <c r="AE71" s="54" t="s">
        <v>166</v>
      </c>
      <c r="AF71" s="55" t="s">
        <v>166</v>
      </c>
      <c r="AG71" s="51" t="s">
        <v>166</v>
      </c>
      <c r="AH71" s="48" t="s">
        <v>166</v>
      </c>
      <c r="AI71" s="48" t="s">
        <v>166</v>
      </c>
      <c r="AJ71" s="50" t="s">
        <v>166</v>
      </c>
      <c r="AK71" s="56" t="s">
        <v>166</v>
      </c>
      <c r="AL71" s="57">
        <f>85*1.19</f>
        <v>101.15</v>
      </c>
      <c r="AM71" s="64" t="s">
        <v>214</v>
      </c>
      <c r="AN71" s="59"/>
      <c r="AO71" s="60" t="s">
        <v>181</v>
      </c>
      <c r="AP71" s="65">
        <v>44887.95550091435</v>
      </c>
      <c r="AQ71" s="66"/>
    </row>
    <row r="72">
      <c r="A72" s="69" t="s">
        <v>294</v>
      </c>
      <c r="B72" s="73" t="s">
        <v>295</v>
      </c>
      <c r="C72" s="63" t="s">
        <v>248</v>
      </c>
      <c r="D72" s="48">
        <v>181.0</v>
      </c>
      <c r="E72" s="48">
        <v>102.0</v>
      </c>
      <c r="F72" s="48">
        <v>217.0</v>
      </c>
      <c r="G72" s="49">
        <f t="shared" si="1"/>
        <v>4.006254</v>
      </c>
      <c r="H72" s="49">
        <f t="shared" si="2"/>
        <v>184.62</v>
      </c>
      <c r="I72" s="48">
        <v>0.4</v>
      </c>
      <c r="J72" s="48" t="s">
        <v>296</v>
      </c>
      <c r="K72" s="50" t="s">
        <v>296</v>
      </c>
      <c r="L72" s="51">
        <v>40.0</v>
      </c>
      <c r="M72" s="50" t="s">
        <v>166</v>
      </c>
      <c r="N72" s="51" t="s">
        <v>174</v>
      </c>
      <c r="O72" s="48">
        <v>175.0</v>
      </c>
      <c r="P72" s="48">
        <v>126.0</v>
      </c>
      <c r="Q72" s="48">
        <v>40.0</v>
      </c>
      <c r="R72" s="48">
        <v>2.0</v>
      </c>
      <c r="S72" s="50" t="s">
        <v>166</v>
      </c>
      <c r="T72" s="52" t="s">
        <v>167</v>
      </c>
      <c r="U72" s="52" t="s">
        <v>186</v>
      </c>
      <c r="V72" s="51">
        <v>1.0</v>
      </c>
      <c r="W72" s="48" t="s">
        <v>166</v>
      </c>
      <c r="X72" s="50" t="s">
        <v>166</v>
      </c>
      <c r="Y72" s="51" t="s">
        <v>166</v>
      </c>
      <c r="Z72" s="48" t="s">
        <v>166</v>
      </c>
      <c r="AA72" s="48" t="s">
        <v>166</v>
      </c>
      <c r="AB72" s="48" t="s">
        <v>166</v>
      </c>
      <c r="AC72" s="48" t="s">
        <v>166</v>
      </c>
      <c r="AD72" s="48" t="s">
        <v>166</v>
      </c>
      <c r="AE72" s="54" t="s">
        <v>166</v>
      </c>
      <c r="AF72" s="55" t="s">
        <v>166</v>
      </c>
      <c r="AG72" s="51" t="s">
        <v>166</v>
      </c>
      <c r="AH72" s="48" t="s">
        <v>166</v>
      </c>
      <c r="AI72" s="48" t="s">
        <v>166</v>
      </c>
      <c r="AJ72" s="50" t="s">
        <v>166</v>
      </c>
      <c r="AK72" s="56">
        <v>875.0</v>
      </c>
      <c r="AL72" s="57">
        <f>AK72*Sheets!$E$3</f>
        <v>120.6148125</v>
      </c>
      <c r="AM72" s="58"/>
      <c r="AN72" s="59"/>
      <c r="AO72" s="71" t="s">
        <v>181</v>
      </c>
      <c r="AP72" s="60"/>
      <c r="AQ72" s="66"/>
    </row>
    <row r="73">
      <c r="A73" s="82" t="str">
        <f>HYPERLINK("https://www.velkase.com/","Velkase")</f>
        <v>Velkase</v>
      </c>
      <c r="B73" s="67" t="s">
        <v>297</v>
      </c>
      <c r="C73" s="63" t="s">
        <v>248</v>
      </c>
      <c r="D73" s="48">
        <v>185.0</v>
      </c>
      <c r="E73" s="48">
        <v>97.0</v>
      </c>
      <c r="F73" s="48">
        <v>225.0</v>
      </c>
      <c r="G73" s="49">
        <f t="shared" si="1"/>
        <v>4.037625</v>
      </c>
      <c r="H73" s="49">
        <f t="shared" si="2"/>
        <v>179.45</v>
      </c>
      <c r="I73" s="48">
        <v>0.6</v>
      </c>
      <c r="J73" s="48" t="s">
        <v>164</v>
      </c>
      <c r="K73" s="50" t="s">
        <v>298</v>
      </c>
      <c r="L73" s="51">
        <v>37.0</v>
      </c>
      <c r="M73" s="50" t="s">
        <v>166</v>
      </c>
      <c r="N73" s="51" t="s">
        <v>174</v>
      </c>
      <c r="O73" s="48">
        <v>183.0</v>
      </c>
      <c r="P73" s="48">
        <v>142.0</v>
      </c>
      <c r="Q73" s="48">
        <v>43.0</v>
      </c>
      <c r="R73" s="48">
        <v>2.0</v>
      </c>
      <c r="S73" s="50" t="s">
        <v>166</v>
      </c>
      <c r="T73" s="52" t="s">
        <v>167</v>
      </c>
      <c r="U73" s="52" t="s">
        <v>299</v>
      </c>
      <c r="V73" s="51" t="s">
        <v>300</v>
      </c>
      <c r="W73" s="48" t="s">
        <v>166</v>
      </c>
      <c r="X73" s="50" t="s">
        <v>166</v>
      </c>
      <c r="Y73" s="51" t="s">
        <v>166</v>
      </c>
      <c r="Z73" s="48" t="s">
        <v>166</v>
      </c>
      <c r="AA73" s="48" t="s">
        <v>193</v>
      </c>
      <c r="AB73" s="48" t="s">
        <v>166</v>
      </c>
      <c r="AC73" s="48" t="s">
        <v>166</v>
      </c>
      <c r="AD73" s="48" t="s">
        <v>166</v>
      </c>
      <c r="AE73" s="54" t="s">
        <v>166</v>
      </c>
      <c r="AF73" s="55" t="s">
        <v>166</v>
      </c>
      <c r="AG73" s="51" t="s">
        <v>166</v>
      </c>
      <c r="AH73" s="48" t="s">
        <v>166</v>
      </c>
      <c r="AI73" s="48" t="s">
        <v>166</v>
      </c>
      <c r="AJ73" s="50" t="s">
        <v>166</v>
      </c>
      <c r="AK73" s="56" t="s">
        <v>166</v>
      </c>
      <c r="AL73" s="57">
        <v>139.99</v>
      </c>
      <c r="AM73" s="64" t="str">
        <f>HYPERLINK("https://smallformfactor.net/forum/threads/velka-series-cases-for-ultra-compact-and-portable-desktops.9681","Link")</f>
        <v>Link</v>
      </c>
      <c r="AN73" s="87" t="s">
        <v>214</v>
      </c>
      <c r="AO73" s="60" t="s">
        <v>181</v>
      </c>
      <c r="AP73" s="60"/>
      <c r="AQ73" s="66"/>
    </row>
    <row r="74">
      <c r="A74" s="61" t="s">
        <v>301</v>
      </c>
      <c r="B74" s="62" t="s">
        <v>302</v>
      </c>
      <c r="C74" s="63" t="s">
        <v>163</v>
      </c>
      <c r="D74" s="48">
        <v>197.0</v>
      </c>
      <c r="E74" s="48">
        <v>91.0</v>
      </c>
      <c r="F74" s="48">
        <v>226.0</v>
      </c>
      <c r="G74" s="49">
        <f t="shared" si="1"/>
        <v>4.051502</v>
      </c>
      <c r="H74" s="49">
        <f t="shared" si="2"/>
        <v>179.27</v>
      </c>
      <c r="I74" s="48" t="s">
        <v>170</v>
      </c>
      <c r="J74" s="48" t="s">
        <v>164</v>
      </c>
      <c r="K74" s="50" t="s">
        <v>303</v>
      </c>
      <c r="L74" s="51">
        <v>67.0</v>
      </c>
      <c r="M74" s="50" t="s">
        <v>166</v>
      </c>
      <c r="N74" s="51" t="s">
        <v>166</v>
      </c>
      <c r="O74" s="48" t="s">
        <v>170</v>
      </c>
      <c r="P74" s="48">
        <v>70.0</v>
      </c>
      <c r="Q74" s="48">
        <v>20.0</v>
      </c>
      <c r="R74" s="48" t="s">
        <v>166</v>
      </c>
      <c r="S74" s="50">
        <v>1.0</v>
      </c>
      <c r="T74" s="52" t="s">
        <v>167</v>
      </c>
      <c r="U74" s="52" t="s">
        <v>299</v>
      </c>
      <c r="V74" s="51" t="s">
        <v>166</v>
      </c>
      <c r="W74" s="48" t="s">
        <v>166</v>
      </c>
      <c r="X74" s="50" t="s">
        <v>166</v>
      </c>
      <c r="Y74" s="51" t="s">
        <v>166</v>
      </c>
      <c r="Z74" s="48" t="s">
        <v>166</v>
      </c>
      <c r="AA74" s="48" t="s">
        <v>166</v>
      </c>
      <c r="AB74" s="48" t="s">
        <v>166</v>
      </c>
      <c r="AC74" s="48" t="s">
        <v>166</v>
      </c>
      <c r="AD74" s="48" t="s">
        <v>166</v>
      </c>
      <c r="AE74" s="54" t="s">
        <v>166</v>
      </c>
      <c r="AF74" s="55" t="s">
        <v>166</v>
      </c>
      <c r="AG74" s="51" t="s">
        <v>166</v>
      </c>
      <c r="AH74" s="48" t="s">
        <v>166</v>
      </c>
      <c r="AI74" s="48">
        <v>1.0</v>
      </c>
      <c r="AJ74" s="50" t="s">
        <v>166</v>
      </c>
      <c r="AK74" s="56" t="s">
        <v>166</v>
      </c>
      <c r="AL74" s="57">
        <f>139.99*1.25</f>
        <v>174.9875</v>
      </c>
      <c r="AM74" s="64" t="s">
        <v>214</v>
      </c>
      <c r="AN74" s="85"/>
      <c r="AO74" s="90"/>
      <c r="AP74" s="65">
        <v>45063.388345995365</v>
      </c>
      <c r="AQ74" s="66"/>
    </row>
    <row r="75">
      <c r="A75" s="61" t="s">
        <v>178</v>
      </c>
      <c r="B75" s="62" t="s">
        <v>304</v>
      </c>
      <c r="C75" s="63" t="s">
        <v>225</v>
      </c>
      <c r="D75" s="48">
        <v>192.0</v>
      </c>
      <c r="E75" s="48">
        <v>65.0</v>
      </c>
      <c r="F75" s="48">
        <v>325.0</v>
      </c>
      <c r="G75" s="49">
        <f t="shared" si="1"/>
        <v>4.056</v>
      </c>
      <c r="H75" s="49">
        <f t="shared" si="2"/>
        <v>124.8</v>
      </c>
      <c r="I75" s="48">
        <v>1.0</v>
      </c>
      <c r="J75" s="48" t="s">
        <v>164</v>
      </c>
      <c r="K75" s="50" t="s">
        <v>305</v>
      </c>
      <c r="L75" s="51">
        <v>40.0</v>
      </c>
      <c r="M75" s="50" t="s">
        <v>166</v>
      </c>
      <c r="N75" s="51" t="s">
        <v>174</v>
      </c>
      <c r="O75" s="48">
        <v>178.0</v>
      </c>
      <c r="P75" s="48">
        <v>130.0</v>
      </c>
      <c r="Q75" s="48">
        <v>44.0</v>
      </c>
      <c r="R75" s="48">
        <v>2.0</v>
      </c>
      <c r="S75" s="50" t="s">
        <v>166</v>
      </c>
      <c r="T75" s="52" t="s">
        <v>167</v>
      </c>
      <c r="U75" s="52" t="s">
        <v>168</v>
      </c>
      <c r="V75" s="51">
        <v>1.0</v>
      </c>
      <c r="W75" s="48" t="s">
        <v>166</v>
      </c>
      <c r="X75" s="50" t="s">
        <v>166</v>
      </c>
      <c r="Y75" s="51" t="s">
        <v>166</v>
      </c>
      <c r="Z75" s="48" t="s">
        <v>166</v>
      </c>
      <c r="AA75" s="48" t="s">
        <v>166</v>
      </c>
      <c r="AB75" s="48" t="s">
        <v>166</v>
      </c>
      <c r="AC75" s="48" t="s">
        <v>166</v>
      </c>
      <c r="AD75" s="48" t="s">
        <v>166</v>
      </c>
      <c r="AE75" s="54" t="s">
        <v>166</v>
      </c>
      <c r="AF75" s="55" t="s">
        <v>166</v>
      </c>
      <c r="AG75" s="51" t="s">
        <v>166</v>
      </c>
      <c r="AH75" s="48" t="s">
        <v>166</v>
      </c>
      <c r="AI75" s="48">
        <v>1.0</v>
      </c>
      <c r="AJ75" s="50" t="s">
        <v>166</v>
      </c>
      <c r="AK75" s="56" t="s">
        <v>166</v>
      </c>
      <c r="AL75" s="57">
        <v>115.67</v>
      </c>
      <c r="AM75" s="64" t="str">
        <f>HYPERLINK("https://smallformfactor.net/forum/threads/custom_mod-case-slm1-lm-4l.1633/","Link")</f>
        <v>Link</v>
      </c>
      <c r="AN75" s="59"/>
      <c r="AO75" s="60"/>
      <c r="AP75" s="65">
        <v>45184.681850740744</v>
      </c>
      <c r="AQ75" s="66"/>
    </row>
    <row r="76">
      <c r="A76" s="46" t="str">
        <f>HYPERLINK("https://shop206098240.world.taobao.com/","LZmod")</f>
        <v>LZmod</v>
      </c>
      <c r="B76" s="73" t="s">
        <v>306</v>
      </c>
      <c r="C76" s="63" t="s">
        <v>163</v>
      </c>
      <c r="D76" s="48">
        <v>194.0</v>
      </c>
      <c r="E76" s="48">
        <v>88.0</v>
      </c>
      <c r="F76" s="48">
        <v>239.0</v>
      </c>
      <c r="G76" s="49">
        <f t="shared" si="1"/>
        <v>4.080208</v>
      </c>
      <c r="H76" s="49">
        <f t="shared" si="2"/>
        <v>170.72</v>
      </c>
      <c r="I76" s="48" t="s">
        <v>170</v>
      </c>
      <c r="J76" s="48" t="s">
        <v>164</v>
      </c>
      <c r="K76" s="50" t="s">
        <v>165</v>
      </c>
      <c r="L76" s="51">
        <v>66.62</v>
      </c>
      <c r="M76" s="50" t="s">
        <v>166</v>
      </c>
      <c r="N76" s="51" t="s">
        <v>166</v>
      </c>
      <c r="O76" s="48" t="s">
        <v>166</v>
      </c>
      <c r="P76" s="48" t="s">
        <v>166</v>
      </c>
      <c r="Q76" s="48" t="s">
        <v>166</v>
      </c>
      <c r="R76" s="48" t="s">
        <v>166</v>
      </c>
      <c r="S76" s="50" t="s">
        <v>166</v>
      </c>
      <c r="T76" s="52" t="s">
        <v>167</v>
      </c>
      <c r="U76" s="52" t="s">
        <v>186</v>
      </c>
      <c r="V76" s="51">
        <v>2.0</v>
      </c>
      <c r="W76" s="48" t="s">
        <v>166</v>
      </c>
      <c r="X76" s="50" t="s">
        <v>166</v>
      </c>
      <c r="Y76" s="51" t="s">
        <v>166</v>
      </c>
      <c r="Z76" s="48" t="s">
        <v>166</v>
      </c>
      <c r="AA76" s="48">
        <v>2.0</v>
      </c>
      <c r="AB76" s="48" t="s">
        <v>166</v>
      </c>
      <c r="AC76" s="48" t="s">
        <v>166</v>
      </c>
      <c r="AD76" s="48" t="s">
        <v>166</v>
      </c>
      <c r="AE76" s="54" t="s">
        <v>166</v>
      </c>
      <c r="AF76" s="55" t="s">
        <v>166</v>
      </c>
      <c r="AG76" s="51" t="s">
        <v>166</v>
      </c>
      <c r="AH76" s="48">
        <v>1.0</v>
      </c>
      <c r="AI76" s="48" t="s">
        <v>166</v>
      </c>
      <c r="AJ76" s="50" t="s">
        <v>166</v>
      </c>
      <c r="AK76" s="56">
        <v>350.0</v>
      </c>
      <c r="AL76" s="57">
        <f>AK76*Sheets!$E$3</f>
        <v>48.245925</v>
      </c>
      <c r="AM76" s="58"/>
      <c r="AN76" s="59"/>
      <c r="AO76" s="90" t="s">
        <v>181</v>
      </c>
      <c r="AP76" s="60"/>
      <c r="AQ76" s="66"/>
    </row>
    <row r="77">
      <c r="A77" s="91" t="s">
        <v>307</v>
      </c>
      <c r="B77" s="67" t="s">
        <v>308</v>
      </c>
      <c r="C77" s="63" t="s">
        <v>248</v>
      </c>
      <c r="D77" s="48">
        <v>190.0</v>
      </c>
      <c r="E77" s="48">
        <v>98.0</v>
      </c>
      <c r="F77" s="48">
        <v>220.0</v>
      </c>
      <c r="G77" s="49">
        <f t="shared" si="1"/>
        <v>4.0964</v>
      </c>
      <c r="H77" s="49">
        <f t="shared" si="2"/>
        <v>186.2</v>
      </c>
      <c r="I77" s="48" t="s">
        <v>170</v>
      </c>
      <c r="J77" s="48" t="s">
        <v>171</v>
      </c>
      <c r="K77" s="50" t="s">
        <v>309</v>
      </c>
      <c r="L77" s="51">
        <v>39.0</v>
      </c>
      <c r="M77" s="50" t="s">
        <v>166</v>
      </c>
      <c r="N77" s="51" t="s">
        <v>174</v>
      </c>
      <c r="O77" s="48">
        <v>180.0</v>
      </c>
      <c r="P77" s="48" t="s">
        <v>170</v>
      </c>
      <c r="Q77" s="48">
        <v>43.0</v>
      </c>
      <c r="R77" s="48">
        <v>2.0</v>
      </c>
      <c r="S77" s="50" t="s">
        <v>166</v>
      </c>
      <c r="T77" s="52" t="s">
        <v>167</v>
      </c>
      <c r="U77" s="52" t="s">
        <v>186</v>
      </c>
      <c r="V77" s="51">
        <v>1.0</v>
      </c>
      <c r="W77" s="48" t="s">
        <v>166</v>
      </c>
      <c r="X77" s="50" t="s">
        <v>166</v>
      </c>
      <c r="Y77" s="51" t="s">
        <v>166</v>
      </c>
      <c r="Z77" s="48" t="s">
        <v>166</v>
      </c>
      <c r="AA77" s="48" t="s">
        <v>166</v>
      </c>
      <c r="AB77" s="48" t="s">
        <v>166</v>
      </c>
      <c r="AC77" s="48" t="s">
        <v>166</v>
      </c>
      <c r="AD77" s="48" t="s">
        <v>166</v>
      </c>
      <c r="AE77" s="54" t="s">
        <v>166</v>
      </c>
      <c r="AF77" s="55" t="s">
        <v>166</v>
      </c>
      <c r="AG77" s="51" t="s">
        <v>166</v>
      </c>
      <c r="AH77" s="48" t="s">
        <v>166</v>
      </c>
      <c r="AI77" s="48" t="s">
        <v>166</v>
      </c>
      <c r="AJ77" s="50" t="s">
        <v>166</v>
      </c>
      <c r="AK77" s="56" t="s">
        <v>166</v>
      </c>
      <c r="AL77" s="57">
        <v>123.99</v>
      </c>
      <c r="AM77" s="64" t="s">
        <v>214</v>
      </c>
      <c r="AN77" s="85"/>
      <c r="AO77" s="90" t="s">
        <v>181</v>
      </c>
      <c r="AP77" s="65">
        <v>44735.57463876157</v>
      </c>
      <c r="AQ77" s="66"/>
    </row>
    <row r="78">
      <c r="A78" s="69" t="s">
        <v>212</v>
      </c>
      <c r="B78" s="46" t="s">
        <v>310</v>
      </c>
      <c r="C78" s="63" t="s">
        <v>163</v>
      </c>
      <c r="D78" s="48">
        <v>187.0</v>
      </c>
      <c r="E78" s="48">
        <v>97.0</v>
      </c>
      <c r="F78" s="48">
        <v>230.0</v>
      </c>
      <c r="G78" s="49">
        <f t="shared" si="1"/>
        <v>4.17197</v>
      </c>
      <c r="H78" s="49">
        <f t="shared" si="2"/>
        <v>181.39</v>
      </c>
      <c r="I78" s="48" t="s">
        <v>170</v>
      </c>
      <c r="J78" s="48" t="s">
        <v>164</v>
      </c>
      <c r="K78" s="50" t="s">
        <v>164</v>
      </c>
      <c r="L78" s="51">
        <v>75.0</v>
      </c>
      <c r="M78" s="50" t="s">
        <v>166</v>
      </c>
      <c r="N78" s="51" t="s">
        <v>166</v>
      </c>
      <c r="O78" s="48" t="s">
        <v>166</v>
      </c>
      <c r="P78" s="48" t="s">
        <v>166</v>
      </c>
      <c r="Q78" s="48" t="s">
        <v>166</v>
      </c>
      <c r="R78" s="48" t="s">
        <v>166</v>
      </c>
      <c r="S78" s="50" t="s">
        <v>166</v>
      </c>
      <c r="T78" s="52" t="s">
        <v>167</v>
      </c>
      <c r="U78" s="52" t="s">
        <v>186</v>
      </c>
      <c r="V78" s="51">
        <v>1.0</v>
      </c>
      <c r="W78" s="48" t="s">
        <v>166</v>
      </c>
      <c r="X78" s="50" t="s">
        <v>166</v>
      </c>
      <c r="Y78" s="51" t="s">
        <v>166</v>
      </c>
      <c r="Z78" s="48" t="s">
        <v>166</v>
      </c>
      <c r="AA78" s="48" t="s">
        <v>166</v>
      </c>
      <c r="AB78" s="48" t="s">
        <v>166</v>
      </c>
      <c r="AC78" s="48" t="s">
        <v>166</v>
      </c>
      <c r="AD78" s="48" t="s">
        <v>166</v>
      </c>
      <c r="AE78" s="54" t="s">
        <v>166</v>
      </c>
      <c r="AF78" s="55" t="s">
        <v>166</v>
      </c>
      <c r="AG78" s="51" t="s">
        <v>166</v>
      </c>
      <c r="AH78" s="48">
        <v>1.0</v>
      </c>
      <c r="AI78" s="48" t="s">
        <v>166</v>
      </c>
      <c r="AJ78" s="50" t="s">
        <v>166</v>
      </c>
      <c r="AK78" s="56">
        <v>330.0</v>
      </c>
      <c r="AL78" s="57">
        <f>AK78*Sheets!$E$3</f>
        <v>45.489015</v>
      </c>
      <c r="AM78" s="68"/>
      <c r="AN78" s="64"/>
      <c r="AO78" s="71"/>
      <c r="AP78" s="71"/>
      <c r="AQ78" s="66"/>
    </row>
    <row r="79">
      <c r="A79" s="69" t="s">
        <v>212</v>
      </c>
      <c r="B79" s="46" t="s">
        <v>311</v>
      </c>
      <c r="C79" s="63" t="s">
        <v>163</v>
      </c>
      <c r="D79" s="48">
        <v>187.0</v>
      </c>
      <c r="E79" s="48">
        <v>97.0</v>
      </c>
      <c r="F79" s="48">
        <v>230.0</v>
      </c>
      <c r="G79" s="49">
        <f t="shared" si="1"/>
        <v>4.17197</v>
      </c>
      <c r="H79" s="49">
        <f t="shared" si="2"/>
        <v>181.39</v>
      </c>
      <c r="I79" s="48" t="s">
        <v>170</v>
      </c>
      <c r="J79" s="48" t="s">
        <v>164</v>
      </c>
      <c r="K79" s="50" t="s">
        <v>164</v>
      </c>
      <c r="L79" s="51">
        <v>48.0</v>
      </c>
      <c r="M79" s="50" t="s">
        <v>166</v>
      </c>
      <c r="N79" s="51" t="s">
        <v>174</v>
      </c>
      <c r="O79" s="48">
        <v>180.0</v>
      </c>
      <c r="P79" s="48" t="s">
        <v>170</v>
      </c>
      <c r="Q79" s="48">
        <v>20.0</v>
      </c>
      <c r="R79" s="48">
        <v>1.0</v>
      </c>
      <c r="S79" s="50" t="s">
        <v>166</v>
      </c>
      <c r="T79" s="52" t="s">
        <v>167</v>
      </c>
      <c r="U79" s="52" t="s">
        <v>186</v>
      </c>
      <c r="V79" s="51">
        <v>1.0</v>
      </c>
      <c r="W79" s="48" t="s">
        <v>166</v>
      </c>
      <c r="X79" s="50" t="s">
        <v>166</v>
      </c>
      <c r="Y79" s="51" t="s">
        <v>166</v>
      </c>
      <c r="Z79" s="48" t="s">
        <v>166</v>
      </c>
      <c r="AA79" s="48" t="s">
        <v>166</v>
      </c>
      <c r="AB79" s="48" t="s">
        <v>166</v>
      </c>
      <c r="AC79" s="48" t="s">
        <v>166</v>
      </c>
      <c r="AD79" s="48" t="s">
        <v>166</v>
      </c>
      <c r="AE79" s="54" t="s">
        <v>166</v>
      </c>
      <c r="AF79" s="55" t="s">
        <v>166</v>
      </c>
      <c r="AG79" s="51" t="s">
        <v>166</v>
      </c>
      <c r="AH79" s="48">
        <v>1.0</v>
      </c>
      <c r="AI79" s="48" t="s">
        <v>166</v>
      </c>
      <c r="AJ79" s="50" t="s">
        <v>166</v>
      </c>
      <c r="AK79" s="56">
        <v>380.0</v>
      </c>
      <c r="AL79" s="57">
        <f>AK79*Sheets!$E$3</f>
        <v>52.38129</v>
      </c>
      <c r="AM79" s="58"/>
      <c r="AN79" s="70"/>
      <c r="AO79" s="71"/>
      <c r="AP79" s="72">
        <v>44610.79290396991</v>
      </c>
      <c r="AQ79" s="66"/>
    </row>
    <row r="80">
      <c r="A80" s="69" t="s">
        <v>212</v>
      </c>
      <c r="B80" s="46" t="s">
        <v>312</v>
      </c>
      <c r="C80" s="63" t="s">
        <v>163</v>
      </c>
      <c r="D80" s="48">
        <v>187.0</v>
      </c>
      <c r="E80" s="48">
        <v>97.0</v>
      </c>
      <c r="F80" s="48">
        <v>230.0</v>
      </c>
      <c r="G80" s="49">
        <f t="shared" si="1"/>
        <v>4.17197</v>
      </c>
      <c r="H80" s="49">
        <f t="shared" si="2"/>
        <v>181.39</v>
      </c>
      <c r="I80" s="48" t="s">
        <v>170</v>
      </c>
      <c r="J80" s="48" t="s">
        <v>164</v>
      </c>
      <c r="K80" s="50" t="s">
        <v>164</v>
      </c>
      <c r="L80" s="51">
        <v>48.0</v>
      </c>
      <c r="M80" s="50" t="s">
        <v>166</v>
      </c>
      <c r="N80" s="51" t="s">
        <v>166</v>
      </c>
      <c r="O80" s="48" t="s">
        <v>166</v>
      </c>
      <c r="P80" s="48" t="s">
        <v>166</v>
      </c>
      <c r="Q80" s="48" t="s">
        <v>166</v>
      </c>
      <c r="R80" s="48" t="s">
        <v>166</v>
      </c>
      <c r="S80" s="50" t="s">
        <v>166</v>
      </c>
      <c r="T80" s="52" t="s">
        <v>167</v>
      </c>
      <c r="U80" s="52" t="s">
        <v>186</v>
      </c>
      <c r="V80" s="51">
        <v>1.0</v>
      </c>
      <c r="W80" s="48">
        <v>1.0</v>
      </c>
      <c r="X80" s="50" t="s">
        <v>166</v>
      </c>
      <c r="Y80" s="51" t="s">
        <v>166</v>
      </c>
      <c r="Z80" s="48" t="s">
        <v>166</v>
      </c>
      <c r="AA80" s="48" t="s">
        <v>166</v>
      </c>
      <c r="AB80" s="48" t="s">
        <v>166</v>
      </c>
      <c r="AC80" s="48" t="s">
        <v>166</v>
      </c>
      <c r="AD80" s="48" t="s">
        <v>166</v>
      </c>
      <c r="AE80" s="54" t="s">
        <v>166</v>
      </c>
      <c r="AF80" s="55" t="s">
        <v>166</v>
      </c>
      <c r="AG80" s="51" t="s">
        <v>166</v>
      </c>
      <c r="AH80" s="48">
        <v>1.0</v>
      </c>
      <c r="AI80" s="48" t="s">
        <v>166</v>
      </c>
      <c r="AJ80" s="50" t="s">
        <v>166</v>
      </c>
      <c r="AK80" s="56">
        <v>345.0</v>
      </c>
      <c r="AL80" s="57">
        <f>AK80*Sheets!$E$3</f>
        <v>47.5566975</v>
      </c>
      <c r="AM80" s="58"/>
      <c r="AN80" s="70"/>
      <c r="AO80" s="71"/>
      <c r="AP80" s="72"/>
      <c r="AQ80" s="66"/>
    </row>
    <row r="81">
      <c r="A81" s="69" t="s">
        <v>212</v>
      </c>
      <c r="B81" s="46" t="s">
        <v>313</v>
      </c>
      <c r="C81" s="63" t="s">
        <v>262</v>
      </c>
      <c r="D81" s="48">
        <v>187.0</v>
      </c>
      <c r="E81" s="48">
        <v>97.0</v>
      </c>
      <c r="F81" s="48">
        <v>230.0</v>
      </c>
      <c r="G81" s="49">
        <f t="shared" si="1"/>
        <v>4.17197</v>
      </c>
      <c r="H81" s="49">
        <f t="shared" si="2"/>
        <v>181.39</v>
      </c>
      <c r="I81" s="48" t="s">
        <v>170</v>
      </c>
      <c r="J81" s="48" t="s">
        <v>164</v>
      </c>
      <c r="K81" s="50" t="s">
        <v>164</v>
      </c>
      <c r="L81" s="51">
        <v>75.0</v>
      </c>
      <c r="M81" s="50" t="s">
        <v>166</v>
      </c>
      <c r="N81" s="51" t="s">
        <v>166</v>
      </c>
      <c r="O81" s="48">
        <v>182.0</v>
      </c>
      <c r="P81" s="48">
        <v>70.0</v>
      </c>
      <c r="Q81" s="48">
        <v>40.0</v>
      </c>
      <c r="R81" s="48" t="s">
        <v>166</v>
      </c>
      <c r="S81" s="50">
        <v>2.0</v>
      </c>
      <c r="T81" s="52" t="s">
        <v>167</v>
      </c>
      <c r="U81" s="52" t="s">
        <v>168</v>
      </c>
      <c r="V81" s="51">
        <v>1.0</v>
      </c>
      <c r="W81" s="48" t="s">
        <v>166</v>
      </c>
      <c r="X81" s="50" t="s">
        <v>166</v>
      </c>
      <c r="Y81" s="51" t="s">
        <v>166</v>
      </c>
      <c r="Z81" s="48" t="s">
        <v>166</v>
      </c>
      <c r="AA81" s="48" t="s">
        <v>166</v>
      </c>
      <c r="AB81" s="48" t="s">
        <v>166</v>
      </c>
      <c r="AC81" s="48" t="s">
        <v>166</v>
      </c>
      <c r="AD81" s="48" t="s">
        <v>166</v>
      </c>
      <c r="AE81" s="54" t="s">
        <v>166</v>
      </c>
      <c r="AF81" s="55" t="s">
        <v>166</v>
      </c>
      <c r="AG81" s="51" t="s">
        <v>166</v>
      </c>
      <c r="AH81" s="48">
        <v>1.0</v>
      </c>
      <c r="AI81" s="48" t="s">
        <v>166</v>
      </c>
      <c r="AJ81" s="50" t="s">
        <v>166</v>
      </c>
      <c r="AK81" s="56">
        <v>330.0</v>
      </c>
      <c r="AL81" s="57">
        <f>AK81*Sheets!$E$3</f>
        <v>45.489015</v>
      </c>
      <c r="AM81" s="58"/>
      <c r="AN81" s="70"/>
      <c r="AO81" s="71"/>
      <c r="AP81" s="72"/>
      <c r="AQ81" s="66"/>
    </row>
    <row r="82">
      <c r="A82" s="69" t="str">
        <f>HYPERLINK("https://sktcase.world.taobao.com/","SKTC")</f>
        <v>SKTC</v>
      </c>
      <c r="B82" s="46" t="s">
        <v>314</v>
      </c>
      <c r="C82" s="63" t="s">
        <v>163</v>
      </c>
      <c r="D82" s="48">
        <v>206.0</v>
      </c>
      <c r="E82" s="48">
        <v>89.0</v>
      </c>
      <c r="F82" s="48">
        <v>228.0</v>
      </c>
      <c r="G82" s="49">
        <f t="shared" si="1"/>
        <v>4.180152</v>
      </c>
      <c r="H82" s="49">
        <f t="shared" si="2"/>
        <v>183.34</v>
      </c>
      <c r="I82" s="48">
        <v>1.13</v>
      </c>
      <c r="J82" s="48" t="s">
        <v>171</v>
      </c>
      <c r="K82" s="50" t="s">
        <v>217</v>
      </c>
      <c r="L82" s="51">
        <v>75.0</v>
      </c>
      <c r="M82" s="50" t="s">
        <v>166</v>
      </c>
      <c r="N82" s="51" t="s">
        <v>174</v>
      </c>
      <c r="O82" s="48">
        <v>160.0</v>
      </c>
      <c r="P82" s="48" t="s">
        <v>170</v>
      </c>
      <c r="Q82" s="48">
        <v>20.0</v>
      </c>
      <c r="R82" s="48">
        <v>1.0</v>
      </c>
      <c r="S82" s="50" t="s">
        <v>166</v>
      </c>
      <c r="T82" s="52" t="s">
        <v>167</v>
      </c>
      <c r="U82" s="52" t="s">
        <v>186</v>
      </c>
      <c r="V82" s="51" t="s">
        <v>194</v>
      </c>
      <c r="W82" s="48" t="s">
        <v>194</v>
      </c>
      <c r="X82" s="50" t="s">
        <v>166</v>
      </c>
      <c r="Y82" s="51" t="s">
        <v>166</v>
      </c>
      <c r="Z82" s="48" t="s">
        <v>166</v>
      </c>
      <c r="AA82" s="48" t="s">
        <v>166</v>
      </c>
      <c r="AB82" s="48" t="s">
        <v>166</v>
      </c>
      <c r="AC82" s="48" t="s">
        <v>166</v>
      </c>
      <c r="AD82" s="48" t="s">
        <v>166</v>
      </c>
      <c r="AE82" s="54" t="s">
        <v>166</v>
      </c>
      <c r="AF82" s="55" t="s">
        <v>166</v>
      </c>
      <c r="AG82" s="51">
        <v>2.0</v>
      </c>
      <c r="AH82" s="48">
        <v>2.0</v>
      </c>
      <c r="AI82" s="48" t="s">
        <v>166</v>
      </c>
      <c r="AJ82" s="50" t="s">
        <v>174</v>
      </c>
      <c r="AK82" s="56">
        <v>99.0</v>
      </c>
      <c r="AL82" s="57">
        <f>AK82*Sheets!$E$3</f>
        <v>13.6467045</v>
      </c>
      <c r="AM82" s="68"/>
      <c r="AN82" s="59"/>
      <c r="AO82" s="60"/>
      <c r="AP82" s="65">
        <v>44663.91213265047</v>
      </c>
      <c r="AQ82" s="66"/>
    </row>
    <row r="83">
      <c r="A83" s="69" t="str">
        <f>HYPERLINK("https://sgpc.world.taobao.com/","SGPC")</f>
        <v>SGPC</v>
      </c>
      <c r="B83" s="92" t="s">
        <v>315</v>
      </c>
      <c r="C83" s="63" t="s">
        <v>163</v>
      </c>
      <c r="D83" s="48">
        <v>225.0</v>
      </c>
      <c r="E83" s="48">
        <v>75.0</v>
      </c>
      <c r="F83" s="48">
        <v>248.0</v>
      </c>
      <c r="G83" s="49">
        <f t="shared" si="1"/>
        <v>4.185</v>
      </c>
      <c r="H83" s="49">
        <f t="shared" si="2"/>
        <v>168.75</v>
      </c>
      <c r="I83" s="48">
        <v>0.87</v>
      </c>
      <c r="J83" s="48" t="s">
        <v>245</v>
      </c>
      <c r="K83" s="50" t="s">
        <v>316</v>
      </c>
      <c r="L83" s="51">
        <v>56.0</v>
      </c>
      <c r="M83" s="50" t="s">
        <v>166</v>
      </c>
      <c r="N83" s="51" t="s">
        <v>166</v>
      </c>
      <c r="O83" s="48" t="s">
        <v>166</v>
      </c>
      <c r="P83" s="48" t="s">
        <v>166</v>
      </c>
      <c r="Q83" s="48" t="s">
        <v>166</v>
      </c>
      <c r="R83" s="48" t="s">
        <v>166</v>
      </c>
      <c r="S83" s="50" t="s">
        <v>166</v>
      </c>
      <c r="T83" s="52" t="s">
        <v>317</v>
      </c>
      <c r="U83" s="52" t="s">
        <v>186</v>
      </c>
      <c r="V83" s="51" t="s">
        <v>166</v>
      </c>
      <c r="W83" s="48" t="s">
        <v>166</v>
      </c>
      <c r="X83" s="50" t="s">
        <v>166</v>
      </c>
      <c r="Y83" s="51" t="s">
        <v>166</v>
      </c>
      <c r="Z83" s="48" t="s">
        <v>166</v>
      </c>
      <c r="AA83" s="48" t="s">
        <v>166</v>
      </c>
      <c r="AB83" s="48" t="s">
        <v>166</v>
      </c>
      <c r="AC83" s="48" t="s">
        <v>166</v>
      </c>
      <c r="AD83" s="48" t="s">
        <v>166</v>
      </c>
      <c r="AE83" s="54" t="s">
        <v>166</v>
      </c>
      <c r="AF83" s="55" t="s">
        <v>166</v>
      </c>
      <c r="AG83" s="51" t="s">
        <v>166</v>
      </c>
      <c r="AH83" s="48">
        <v>1.0</v>
      </c>
      <c r="AI83" s="48">
        <v>1.0</v>
      </c>
      <c r="AJ83" s="50" t="s">
        <v>166</v>
      </c>
      <c r="AK83" s="56">
        <v>219.0</v>
      </c>
      <c r="AL83" s="57">
        <f>AK83*Sheets!$E$3</f>
        <v>30.1881645</v>
      </c>
      <c r="AM83" s="58"/>
      <c r="AN83" s="70"/>
      <c r="AO83" s="71"/>
      <c r="AP83" s="72">
        <v>44681.59257125</v>
      </c>
      <c r="AQ83" s="66"/>
    </row>
    <row r="84">
      <c r="A84" s="62" t="s">
        <v>189</v>
      </c>
      <c r="B84" s="62" t="str">
        <f>HYPERLINK("https://www.onlogic.com/mc600/","MC600")</f>
        <v>MC600</v>
      </c>
      <c r="C84" s="63" t="s">
        <v>225</v>
      </c>
      <c r="D84" s="48">
        <v>198.0</v>
      </c>
      <c r="E84" s="48">
        <v>334.0</v>
      </c>
      <c r="F84" s="48">
        <v>64.0</v>
      </c>
      <c r="G84" s="49">
        <f t="shared" si="1"/>
        <v>4.232448</v>
      </c>
      <c r="H84" s="49">
        <f t="shared" si="2"/>
        <v>661.32</v>
      </c>
      <c r="I84" s="48" t="s">
        <v>170</v>
      </c>
      <c r="J84" s="48" t="s">
        <v>171</v>
      </c>
      <c r="K84" s="50" t="s">
        <v>171</v>
      </c>
      <c r="L84" s="51">
        <v>45.0</v>
      </c>
      <c r="M84" s="50" t="s">
        <v>166</v>
      </c>
      <c r="N84" s="51" t="s">
        <v>174</v>
      </c>
      <c r="O84" s="48">
        <v>197.0</v>
      </c>
      <c r="P84" s="48" t="s">
        <v>170</v>
      </c>
      <c r="Q84" s="48">
        <v>40.0</v>
      </c>
      <c r="R84" s="48">
        <v>2.0</v>
      </c>
      <c r="S84" s="50" t="s">
        <v>166</v>
      </c>
      <c r="T84" s="52" t="s">
        <v>167</v>
      </c>
      <c r="U84" s="52" t="s">
        <v>168</v>
      </c>
      <c r="V84" s="51" t="s">
        <v>278</v>
      </c>
      <c r="W84" s="48" t="s">
        <v>193</v>
      </c>
      <c r="X84" s="50" t="s">
        <v>166</v>
      </c>
      <c r="Y84" s="51" t="s">
        <v>166</v>
      </c>
      <c r="Z84" s="48">
        <v>2.0</v>
      </c>
      <c r="AA84" s="48" t="s">
        <v>166</v>
      </c>
      <c r="AB84" s="48" t="s">
        <v>166</v>
      </c>
      <c r="AC84" s="48" t="s">
        <v>166</v>
      </c>
      <c r="AD84" s="48" t="s">
        <v>166</v>
      </c>
      <c r="AE84" s="54" t="s">
        <v>166</v>
      </c>
      <c r="AF84" s="55" t="s">
        <v>166</v>
      </c>
      <c r="AG84" s="51">
        <v>2.0</v>
      </c>
      <c r="AH84" s="48" t="s">
        <v>166</v>
      </c>
      <c r="AI84" s="48" t="s">
        <v>166</v>
      </c>
      <c r="AJ84" s="50" t="s">
        <v>166</v>
      </c>
      <c r="AK84" s="56" t="s">
        <v>166</v>
      </c>
      <c r="AL84" s="57">
        <v>100.0</v>
      </c>
      <c r="AM84" s="58"/>
      <c r="AN84" s="59"/>
      <c r="AO84" s="60"/>
      <c r="AP84" s="65">
        <v>44959.73052524305</v>
      </c>
      <c r="AQ84" s="66"/>
    </row>
    <row r="85">
      <c r="A85" s="69" t="str">
        <f>HYPERLINK("https://tbox.world.taobao.com/","TBOX")</f>
        <v>TBOX</v>
      </c>
      <c r="B85" s="73" t="s">
        <v>318</v>
      </c>
      <c r="C85" s="63" t="s">
        <v>248</v>
      </c>
      <c r="D85" s="48">
        <v>184.0</v>
      </c>
      <c r="E85" s="48">
        <v>105.0</v>
      </c>
      <c r="F85" s="48">
        <v>220.0</v>
      </c>
      <c r="G85" s="49">
        <f t="shared" si="1"/>
        <v>4.2504</v>
      </c>
      <c r="H85" s="49">
        <f t="shared" si="2"/>
        <v>193.2</v>
      </c>
      <c r="I85" s="48" t="s">
        <v>170</v>
      </c>
      <c r="J85" s="48" t="s">
        <v>164</v>
      </c>
      <c r="K85" s="50" t="s">
        <v>164</v>
      </c>
      <c r="L85" s="51">
        <v>39.0</v>
      </c>
      <c r="M85" s="50" t="s">
        <v>166</v>
      </c>
      <c r="N85" s="51" t="s">
        <v>174</v>
      </c>
      <c r="O85" s="48">
        <v>180.0</v>
      </c>
      <c r="P85" s="48">
        <v>131.0</v>
      </c>
      <c r="Q85" s="48">
        <v>40.0</v>
      </c>
      <c r="R85" s="48">
        <v>2.0</v>
      </c>
      <c r="S85" s="50" t="s">
        <v>166</v>
      </c>
      <c r="T85" s="52" t="s">
        <v>167</v>
      </c>
      <c r="U85" s="52" t="s">
        <v>186</v>
      </c>
      <c r="V85" s="51">
        <v>2.0</v>
      </c>
      <c r="W85" s="48" t="s">
        <v>166</v>
      </c>
      <c r="X85" s="50" t="s">
        <v>166</v>
      </c>
      <c r="Y85" s="51" t="s">
        <v>166</v>
      </c>
      <c r="Z85" s="48" t="s">
        <v>166</v>
      </c>
      <c r="AA85" s="48" t="s">
        <v>166</v>
      </c>
      <c r="AB85" s="48" t="s">
        <v>166</v>
      </c>
      <c r="AC85" s="48" t="s">
        <v>166</v>
      </c>
      <c r="AD85" s="48" t="s">
        <v>166</v>
      </c>
      <c r="AE85" s="54" t="s">
        <v>166</v>
      </c>
      <c r="AF85" s="55" t="s">
        <v>166</v>
      </c>
      <c r="AG85" s="51" t="s">
        <v>166</v>
      </c>
      <c r="AH85" s="48" t="s">
        <v>166</v>
      </c>
      <c r="AI85" s="48" t="s">
        <v>166</v>
      </c>
      <c r="AJ85" s="50" t="s">
        <v>166</v>
      </c>
      <c r="AK85" s="56">
        <v>248.0</v>
      </c>
      <c r="AL85" s="57">
        <f>AK85*Sheets!$E$3</f>
        <v>34.185684</v>
      </c>
      <c r="AM85" s="58"/>
      <c r="AN85" s="59"/>
      <c r="AO85" s="60" t="s">
        <v>181</v>
      </c>
      <c r="AP85" s="60"/>
      <c r="AQ85" s="66"/>
    </row>
    <row r="86">
      <c r="A86" s="69" t="str">
        <f>HYPERLINK("https://shop162335681.world.taobao.com/","柏越科技")</f>
        <v>柏越科技</v>
      </c>
      <c r="B86" s="46" t="str">
        <f>HYPERLINK("https://item.taobao.com/item.htm?id=584108091649","M24 (Aluminium)")</f>
        <v>M24 (Aluminium)</v>
      </c>
      <c r="C86" s="63" t="s">
        <v>248</v>
      </c>
      <c r="D86" s="48">
        <v>185.0</v>
      </c>
      <c r="E86" s="48">
        <v>104.0</v>
      </c>
      <c r="F86" s="48">
        <v>221.0</v>
      </c>
      <c r="G86" s="49">
        <f t="shared" si="1"/>
        <v>4.25204</v>
      </c>
      <c r="H86" s="49">
        <f t="shared" si="2"/>
        <v>192.4</v>
      </c>
      <c r="I86" s="48">
        <v>0.6</v>
      </c>
      <c r="J86" s="48" t="s">
        <v>274</v>
      </c>
      <c r="K86" s="50" t="s">
        <v>319</v>
      </c>
      <c r="L86" s="51">
        <v>40.0</v>
      </c>
      <c r="M86" s="50" t="s">
        <v>166</v>
      </c>
      <c r="N86" s="51" t="s">
        <v>174</v>
      </c>
      <c r="O86" s="48">
        <v>180.0</v>
      </c>
      <c r="P86" s="48" t="s">
        <v>170</v>
      </c>
      <c r="Q86" s="48">
        <v>40.0</v>
      </c>
      <c r="R86" s="48">
        <v>2.0</v>
      </c>
      <c r="S86" s="50" t="s">
        <v>166</v>
      </c>
      <c r="T86" s="52" t="s">
        <v>167</v>
      </c>
      <c r="U86" s="52" t="s">
        <v>186</v>
      </c>
      <c r="V86" s="51">
        <v>1.0</v>
      </c>
      <c r="W86" s="48" t="s">
        <v>166</v>
      </c>
      <c r="X86" s="50" t="s">
        <v>166</v>
      </c>
      <c r="Y86" s="51" t="s">
        <v>166</v>
      </c>
      <c r="Z86" s="48" t="s">
        <v>166</v>
      </c>
      <c r="AA86" s="48" t="s">
        <v>166</v>
      </c>
      <c r="AB86" s="48" t="s">
        <v>166</v>
      </c>
      <c r="AC86" s="48" t="s">
        <v>166</v>
      </c>
      <c r="AD86" s="48" t="s">
        <v>166</v>
      </c>
      <c r="AE86" s="54" t="s">
        <v>166</v>
      </c>
      <c r="AF86" s="55" t="s">
        <v>166</v>
      </c>
      <c r="AG86" s="51" t="s">
        <v>166</v>
      </c>
      <c r="AH86" s="48">
        <v>1.0</v>
      </c>
      <c r="AI86" s="48" t="s">
        <v>166</v>
      </c>
      <c r="AJ86" s="50" t="s">
        <v>174</v>
      </c>
      <c r="AK86" s="56">
        <v>169.0</v>
      </c>
      <c r="AL86" s="57">
        <f>AK86*Sheets!$E$3</f>
        <v>23.2958895</v>
      </c>
      <c r="AM86" s="68"/>
      <c r="AN86" s="70"/>
      <c r="AO86" s="71"/>
      <c r="AP86" s="72">
        <v>44442.875447349536</v>
      </c>
      <c r="AQ86" s="66"/>
    </row>
    <row r="87">
      <c r="A87" s="69" t="str">
        <f t="shared" ref="A87:A88" si="3">HYPERLINK("https://sktcase.world.taobao.com/","SKTC")</f>
        <v>SKTC</v>
      </c>
      <c r="B87" s="46" t="s">
        <v>320</v>
      </c>
      <c r="C87" s="63" t="s">
        <v>163</v>
      </c>
      <c r="D87" s="48">
        <v>184.0</v>
      </c>
      <c r="E87" s="48">
        <v>104.0</v>
      </c>
      <c r="F87" s="48">
        <v>223.0</v>
      </c>
      <c r="G87" s="49">
        <f t="shared" si="1"/>
        <v>4.267328</v>
      </c>
      <c r="H87" s="49">
        <f t="shared" si="2"/>
        <v>191.36</v>
      </c>
      <c r="I87" s="48">
        <v>0.9</v>
      </c>
      <c r="J87" s="48" t="s">
        <v>164</v>
      </c>
      <c r="K87" s="50" t="s">
        <v>305</v>
      </c>
      <c r="L87" s="51">
        <v>65.0</v>
      </c>
      <c r="M87" s="50" t="s">
        <v>166</v>
      </c>
      <c r="N87" s="51" t="s">
        <v>174</v>
      </c>
      <c r="O87" s="48" t="s">
        <v>170</v>
      </c>
      <c r="P87" s="48" t="s">
        <v>170</v>
      </c>
      <c r="Q87" s="48" t="s">
        <v>170</v>
      </c>
      <c r="R87" s="48">
        <v>1.0</v>
      </c>
      <c r="S87" s="50" t="s">
        <v>166</v>
      </c>
      <c r="T87" s="52" t="s">
        <v>167</v>
      </c>
      <c r="U87" s="52" t="s">
        <v>186</v>
      </c>
      <c r="V87" s="51">
        <v>2.0</v>
      </c>
      <c r="W87" s="48" t="s">
        <v>166</v>
      </c>
      <c r="X87" s="50" t="s">
        <v>218</v>
      </c>
      <c r="Y87" s="51" t="s">
        <v>166</v>
      </c>
      <c r="Z87" s="48" t="s">
        <v>166</v>
      </c>
      <c r="AA87" s="48" t="s">
        <v>166</v>
      </c>
      <c r="AB87" s="48" t="s">
        <v>166</v>
      </c>
      <c r="AC87" s="48" t="s">
        <v>166</v>
      </c>
      <c r="AD87" s="48" t="s">
        <v>166</v>
      </c>
      <c r="AE87" s="54" t="s">
        <v>166</v>
      </c>
      <c r="AF87" s="55" t="s">
        <v>166</v>
      </c>
      <c r="AG87" s="51" t="s">
        <v>166</v>
      </c>
      <c r="AH87" s="48">
        <v>1.0</v>
      </c>
      <c r="AI87" s="48" t="s">
        <v>166</v>
      </c>
      <c r="AJ87" s="50" t="s">
        <v>166</v>
      </c>
      <c r="AK87" s="56">
        <v>159.0</v>
      </c>
      <c r="AL87" s="57">
        <f>AK87*Sheets!$E$3</f>
        <v>21.9174345</v>
      </c>
      <c r="AM87" s="68"/>
      <c r="AN87" s="59"/>
      <c r="AO87" s="60"/>
      <c r="AP87" s="65">
        <v>44681.59103388889</v>
      </c>
      <c r="AQ87" s="66"/>
    </row>
    <row r="88">
      <c r="A88" s="69" t="str">
        <f t="shared" si="3"/>
        <v>SKTC</v>
      </c>
      <c r="B88" s="46" t="s">
        <v>321</v>
      </c>
      <c r="C88" s="63" t="s">
        <v>248</v>
      </c>
      <c r="D88" s="48">
        <v>184.0</v>
      </c>
      <c r="E88" s="48">
        <v>104.0</v>
      </c>
      <c r="F88" s="48">
        <v>223.0</v>
      </c>
      <c r="G88" s="49">
        <f t="shared" si="1"/>
        <v>4.267328</v>
      </c>
      <c r="H88" s="49">
        <f t="shared" si="2"/>
        <v>191.36</v>
      </c>
      <c r="I88" s="48" t="s">
        <v>170</v>
      </c>
      <c r="J88" s="48" t="s">
        <v>164</v>
      </c>
      <c r="K88" s="50" t="s">
        <v>305</v>
      </c>
      <c r="L88" s="51">
        <v>37.0</v>
      </c>
      <c r="M88" s="50" t="s">
        <v>166</v>
      </c>
      <c r="N88" s="51" t="s">
        <v>174</v>
      </c>
      <c r="O88" s="48">
        <v>170.0</v>
      </c>
      <c r="P88" s="48" t="s">
        <v>170</v>
      </c>
      <c r="Q88" s="48">
        <v>40.0</v>
      </c>
      <c r="R88" s="48">
        <v>2.0</v>
      </c>
      <c r="S88" s="50" t="s">
        <v>166</v>
      </c>
      <c r="T88" s="52" t="s">
        <v>167</v>
      </c>
      <c r="U88" s="52" t="s">
        <v>186</v>
      </c>
      <c r="V88" s="51">
        <v>2.0</v>
      </c>
      <c r="W88" s="48" t="s">
        <v>166</v>
      </c>
      <c r="X88" s="50" t="s">
        <v>166</v>
      </c>
      <c r="Y88" s="51" t="s">
        <v>166</v>
      </c>
      <c r="Z88" s="48" t="s">
        <v>166</v>
      </c>
      <c r="AA88" s="48" t="s">
        <v>166</v>
      </c>
      <c r="AB88" s="48" t="s">
        <v>166</v>
      </c>
      <c r="AC88" s="48" t="s">
        <v>166</v>
      </c>
      <c r="AD88" s="48" t="s">
        <v>166</v>
      </c>
      <c r="AE88" s="54" t="s">
        <v>166</v>
      </c>
      <c r="AF88" s="55" t="s">
        <v>166</v>
      </c>
      <c r="AG88" s="51" t="s">
        <v>166</v>
      </c>
      <c r="AH88" s="48">
        <v>1.0</v>
      </c>
      <c r="AI88" s="48" t="s">
        <v>166</v>
      </c>
      <c r="AJ88" s="50" t="s">
        <v>166</v>
      </c>
      <c r="AK88" s="56">
        <v>189.0</v>
      </c>
      <c r="AL88" s="57">
        <f>AK88*Sheets!$E$3</f>
        <v>26.0527995</v>
      </c>
      <c r="AM88" s="68"/>
      <c r="AN88" s="59"/>
      <c r="AO88" s="60"/>
      <c r="AP88" s="65">
        <v>44801.82721145834</v>
      </c>
      <c r="AQ88" s="66"/>
    </row>
    <row r="89">
      <c r="A89" s="61" t="str">
        <f>HYPERLINK("https://j-hackcompany.com/","J-HACK")</f>
        <v>J-HACK</v>
      </c>
      <c r="B89" s="62" t="str">
        <f>HYPERLINK("https://j-hackcompany.com/?product=j-hack-pure-x","Pure X")</f>
        <v>Pure X</v>
      </c>
      <c r="C89" s="63" t="s">
        <v>262</v>
      </c>
      <c r="D89" s="48">
        <v>191.0</v>
      </c>
      <c r="E89" s="48">
        <v>258.0</v>
      </c>
      <c r="F89" s="48">
        <v>87.0</v>
      </c>
      <c r="G89" s="49">
        <f t="shared" si="1"/>
        <v>4.287186</v>
      </c>
      <c r="H89" s="49">
        <f t="shared" si="2"/>
        <v>492.78</v>
      </c>
      <c r="I89" s="48" t="s">
        <v>170</v>
      </c>
      <c r="J89" s="48" t="s">
        <v>164</v>
      </c>
      <c r="K89" s="50" t="s">
        <v>226</v>
      </c>
      <c r="L89" s="51">
        <v>67.0</v>
      </c>
      <c r="M89" s="50" t="s">
        <v>166</v>
      </c>
      <c r="N89" s="51" t="s">
        <v>166</v>
      </c>
      <c r="O89" s="48">
        <v>175.0</v>
      </c>
      <c r="P89" s="48">
        <v>70.0</v>
      </c>
      <c r="Q89" s="48">
        <v>40.0</v>
      </c>
      <c r="R89" s="48" t="s">
        <v>166</v>
      </c>
      <c r="S89" s="50">
        <v>2.0</v>
      </c>
      <c r="T89" s="52" t="s">
        <v>227</v>
      </c>
      <c r="U89" s="52" t="s">
        <v>186</v>
      </c>
      <c r="V89" s="51" t="s">
        <v>170</v>
      </c>
      <c r="W89" s="48" t="s">
        <v>166</v>
      </c>
      <c r="X89" s="50" t="s">
        <v>166</v>
      </c>
      <c r="Y89" s="51" t="s">
        <v>166</v>
      </c>
      <c r="Z89" s="48" t="s">
        <v>166</v>
      </c>
      <c r="AA89" s="48">
        <v>2.0</v>
      </c>
      <c r="AB89" s="48" t="s">
        <v>166</v>
      </c>
      <c r="AC89" s="48" t="s">
        <v>166</v>
      </c>
      <c r="AD89" s="48" t="s">
        <v>166</v>
      </c>
      <c r="AE89" s="54" t="s">
        <v>166</v>
      </c>
      <c r="AF89" s="55" t="s">
        <v>166</v>
      </c>
      <c r="AG89" s="51" t="s">
        <v>166</v>
      </c>
      <c r="AH89" s="48" t="s">
        <v>166</v>
      </c>
      <c r="AI89" s="48" t="s">
        <v>166</v>
      </c>
      <c r="AJ89" s="50" t="s">
        <v>166</v>
      </c>
      <c r="AK89" s="56" t="s">
        <v>166</v>
      </c>
      <c r="AL89" s="57">
        <v>114.95</v>
      </c>
      <c r="AM89" s="64" t="str">
        <f>HYPERLINK("https://smallformfactor.net/forum/threads/j-hack-pure-x-4-3l-lp-gpu-chassis-with-flex-support.9997","Link")</f>
        <v>Link</v>
      </c>
      <c r="AN89" s="59"/>
      <c r="AO89" s="60"/>
      <c r="AP89" s="65">
        <v>44740.97095423611</v>
      </c>
      <c r="AQ89" s="66"/>
    </row>
    <row r="90">
      <c r="A90" s="69" t="str">
        <f>HYPERLINK("https://jixieku.world.taobao.com/","机械库")</f>
        <v>机械库</v>
      </c>
      <c r="B90" s="46" t="s">
        <v>322</v>
      </c>
      <c r="C90" s="63" t="s">
        <v>163</v>
      </c>
      <c r="D90" s="48">
        <v>185.0</v>
      </c>
      <c r="E90" s="48">
        <v>75.0</v>
      </c>
      <c r="F90" s="48">
        <v>310.0</v>
      </c>
      <c r="G90" s="49">
        <f t="shared" si="1"/>
        <v>4.30125</v>
      </c>
      <c r="H90" s="49">
        <f t="shared" si="2"/>
        <v>138.75</v>
      </c>
      <c r="I90" s="48">
        <v>1.0</v>
      </c>
      <c r="J90" s="48" t="s">
        <v>164</v>
      </c>
      <c r="K90" s="50" t="s">
        <v>323</v>
      </c>
      <c r="L90" s="51">
        <v>55.0</v>
      </c>
      <c r="M90" s="50" t="s">
        <v>166</v>
      </c>
      <c r="N90" s="51" t="s">
        <v>166</v>
      </c>
      <c r="O90" s="48" t="s">
        <v>166</v>
      </c>
      <c r="P90" s="48" t="s">
        <v>166</v>
      </c>
      <c r="Q90" s="48" t="s">
        <v>166</v>
      </c>
      <c r="R90" s="48" t="s">
        <v>166</v>
      </c>
      <c r="S90" s="50" t="s">
        <v>166</v>
      </c>
      <c r="T90" s="52" t="s">
        <v>167</v>
      </c>
      <c r="U90" s="52" t="s">
        <v>324</v>
      </c>
      <c r="V90" s="51">
        <v>2.0</v>
      </c>
      <c r="W90" s="48" t="s">
        <v>166</v>
      </c>
      <c r="X90" s="50" t="s">
        <v>166</v>
      </c>
      <c r="Y90" s="51" t="s">
        <v>166</v>
      </c>
      <c r="Z90" s="48" t="s">
        <v>166</v>
      </c>
      <c r="AA90" s="48" t="s">
        <v>166</v>
      </c>
      <c r="AB90" s="48" t="s">
        <v>166</v>
      </c>
      <c r="AC90" s="48" t="s">
        <v>166</v>
      </c>
      <c r="AD90" s="48" t="s">
        <v>166</v>
      </c>
      <c r="AE90" s="54" t="s">
        <v>166</v>
      </c>
      <c r="AF90" s="55" t="s">
        <v>166</v>
      </c>
      <c r="AG90" s="51" t="s">
        <v>166</v>
      </c>
      <c r="AH90" s="48">
        <v>2.0</v>
      </c>
      <c r="AI90" s="48" t="s">
        <v>166</v>
      </c>
      <c r="AJ90" s="50" t="s">
        <v>166</v>
      </c>
      <c r="AK90" s="56">
        <v>199.0</v>
      </c>
      <c r="AL90" s="57">
        <f>AK90*Sheets!$E$3</f>
        <v>27.4312545</v>
      </c>
      <c r="AM90" s="58"/>
      <c r="AN90" s="59"/>
      <c r="AO90" s="60"/>
      <c r="AP90" s="65">
        <v>44681.59280270833</v>
      </c>
      <c r="AQ90" s="66"/>
    </row>
    <row r="91">
      <c r="A91" s="61" t="s">
        <v>212</v>
      </c>
      <c r="B91" s="62" t="s">
        <v>325</v>
      </c>
      <c r="C91" s="63" t="s">
        <v>248</v>
      </c>
      <c r="D91" s="48">
        <v>198.0</v>
      </c>
      <c r="E91" s="48">
        <v>114.0</v>
      </c>
      <c r="F91" s="48">
        <v>191.0</v>
      </c>
      <c r="G91" s="49">
        <f t="shared" si="1"/>
        <v>4.311252</v>
      </c>
      <c r="H91" s="49">
        <f t="shared" si="2"/>
        <v>225.72</v>
      </c>
      <c r="I91" s="48">
        <v>1.1</v>
      </c>
      <c r="J91" s="48" t="s">
        <v>164</v>
      </c>
      <c r="K91" s="50" t="s">
        <v>165</v>
      </c>
      <c r="L91" s="51">
        <v>48.0</v>
      </c>
      <c r="M91" s="50" t="s">
        <v>166</v>
      </c>
      <c r="N91" s="51" t="s">
        <v>174</v>
      </c>
      <c r="O91" s="48">
        <v>182.0</v>
      </c>
      <c r="P91" s="48">
        <v>75.0</v>
      </c>
      <c r="Q91" s="48">
        <v>42.0</v>
      </c>
      <c r="R91" s="48" t="s">
        <v>166</v>
      </c>
      <c r="S91" s="50">
        <v>2.0</v>
      </c>
      <c r="T91" s="52" t="s">
        <v>167</v>
      </c>
      <c r="U91" s="52" t="s">
        <v>186</v>
      </c>
      <c r="V91" s="51">
        <v>1.0</v>
      </c>
      <c r="W91" s="48" t="s">
        <v>166</v>
      </c>
      <c r="X91" s="50" t="s">
        <v>166</v>
      </c>
      <c r="Y91" s="51" t="s">
        <v>166</v>
      </c>
      <c r="Z91" s="48" t="s">
        <v>166</v>
      </c>
      <c r="AA91" s="48" t="s">
        <v>166</v>
      </c>
      <c r="AB91" s="48">
        <v>2.0</v>
      </c>
      <c r="AC91" s="48" t="s">
        <v>166</v>
      </c>
      <c r="AD91" s="48" t="s">
        <v>166</v>
      </c>
      <c r="AE91" s="54" t="s">
        <v>166</v>
      </c>
      <c r="AF91" s="55" t="s">
        <v>166</v>
      </c>
      <c r="AG91" s="51" t="s">
        <v>166</v>
      </c>
      <c r="AH91" s="48">
        <v>1.0</v>
      </c>
      <c r="AI91" s="48" t="s">
        <v>166</v>
      </c>
      <c r="AJ91" s="50" t="s">
        <v>166</v>
      </c>
      <c r="AK91" s="56">
        <v>599.0</v>
      </c>
      <c r="AL91" s="57">
        <f>AK91*Sheets!$E$3</f>
        <v>82.5694545</v>
      </c>
      <c r="AM91" s="58"/>
      <c r="AN91" s="64" t="s">
        <v>214</v>
      </c>
      <c r="AO91" s="60"/>
      <c r="AP91" s="65">
        <v>44765.54373666667</v>
      </c>
      <c r="AQ91" s="66"/>
    </row>
    <row r="92">
      <c r="A92" s="46" t="str">
        <f>HYPERLINK("https://shop224033016.world.taobao.com/","魔神科技电脑机箱城")</f>
        <v>魔神科技电脑机箱城</v>
      </c>
      <c r="B92" s="46" t="s">
        <v>326</v>
      </c>
      <c r="C92" s="63" t="s">
        <v>163</v>
      </c>
      <c r="D92" s="48">
        <v>200.0</v>
      </c>
      <c r="E92" s="48">
        <v>90.0</v>
      </c>
      <c r="F92" s="48">
        <v>240.0</v>
      </c>
      <c r="G92" s="49">
        <f t="shared" si="1"/>
        <v>4.32</v>
      </c>
      <c r="H92" s="49">
        <f t="shared" si="2"/>
        <v>180</v>
      </c>
      <c r="I92" s="48">
        <v>1.5</v>
      </c>
      <c r="J92" s="48" t="s">
        <v>164</v>
      </c>
      <c r="K92" s="50" t="s">
        <v>164</v>
      </c>
      <c r="L92" s="51">
        <v>66.0</v>
      </c>
      <c r="M92" s="50" t="s">
        <v>166</v>
      </c>
      <c r="N92" s="51" t="s">
        <v>166</v>
      </c>
      <c r="O92" s="48" t="s">
        <v>166</v>
      </c>
      <c r="P92" s="48" t="s">
        <v>166</v>
      </c>
      <c r="Q92" s="48" t="s">
        <v>166</v>
      </c>
      <c r="R92" s="48" t="s">
        <v>166</v>
      </c>
      <c r="S92" s="50" t="s">
        <v>166</v>
      </c>
      <c r="T92" s="52" t="s">
        <v>167</v>
      </c>
      <c r="U92" s="52" t="s">
        <v>186</v>
      </c>
      <c r="V92" s="51">
        <v>2.0</v>
      </c>
      <c r="W92" s="51" t="s">
        <v>166</v>
      </c>
      <c r="X92" s="50" t="s">
        <v>166</v>
      </c>
      <c r="Y92" s="51" t="s">
        <v>166</v>
      </c>
      <c r="Z92" s="48" t="s">
        <v>166</v>
      </c>
      <c r="AA92" s="48">
        <v>2.0</v>
      </c>
      <c r="AB92" s="48" t="s">
        <v>166</v>
      </c>
      <c r="AC92" s="48" t="s">
        <v>166</v>
      </c>
      <c r="AD92" s="48" t="s">
        <v>166</v>
      </c>
      <c r="AE92" s="54" t="s">
        <v>166</v>
      </c>
      <c r="AF92" s="55" t="s">
        <v>166</v>
      </c>
      <c r="AG92" s="51" t="s">
        <v>166</v>
      </c>
      <c r="AH92" s="51" t="s">
        <v>166</v>
      </c>
      <c r="AI92" s="48" t="s">
        <v>166</v>
      </c>
      <c r="AJ92" s="50" t="s">
        <v>166</v>
      </c>
      <c r="AK92" s="56">
        <v>280.0</v>
      </c>
      <c r="AL92" s="57">
        <f>AK92*Sheets!$E$3</f>
        <v>38.59674</v>
      </c>
      <c r="AM92" s="68"/>
      <c r="AN92" s="70"/>
      <c r="AO92" s="71"/>
      <c r="AP92" s="72">
        <v>44442.88595221065</v>
      </c>
      <c r="AQ92" s="66"/>
    </row>
    <row r="93">
      <c r="A93" s="69" t="s">
        <v>286</v>
      </c>
      <c r="B93" s="46" t="s">
        <v>327</v>
      </c>
      <c r="C93" s="63" t="s">
        <v>262</v>
      </c>
      <c r="D93" s="48">
        <v>188.0</v>
      </c>
      <c r="E93" s="48">
        <v>98.0</v>
      </c>
      <c r="F93" s="48">
        <v>235.0</v>
      </c>
      <c r="G93" s="49">
        <f t="shared" si="1"/>
        <v>4.32964</v>
      </c>
      <c r="H93" s="49">
        <f t="shared" si="2"/>
        <v>184.24</v>
      </c>
      <c r="I93" s="48" t="s">
        <v>170</v>
      </c>
      <c r="J93" s="48" t="s">
        <v>235</v>
      </c>
      <c r="K93" s="50" t="s">
        <v>328</v>
      </c>
      <c r="L93" s="51">
        <v>75.0</v>
      </c>
      <c r="M93" s="50" t="s">
        <v>166</v>
      </c>
      <c r="N93" s="51" t="s">
        <v>166</v>
      </c>
      <c r="O93" s="48">
        <v>180.0</v>
      </c>
      <c r="P93" s="48">
        <v>70.0</v>
      </c>
      <c r="Q93" s="48">
        <v>20.0</v>
      </c>
      <c r="R93" s="48" t="s">
        <v>166</v>
      </c>
      <c r="S93" s="50">
        <v>1.0</v>
      </c>
      <c r="T93" s="52" t="s">
        <v>167</v>
      </c>
      <c r="U93" s="52" t="s">
        <v>186</v>
      </c>
      <c r="V93" s="51">
        <v>1.0</v>
      </c>
      <c r="W93" s="51" t="s">
        <v>166</v>
      </c>
      <c r="X93" s="50" t="s">
        <v>166</v>
      </c>
      <c r="Y93" s="51" t="s">
        <v>166</v>
      </c>
      <c r="Z93" s="48" t="s">
        <v>166</v>
      </c>
      <c r="AA93" s="48" t="s">
        <v>166</v>
      </c>
      <c r="AB93" s="48" t="s">
        <v>166</v>
      </c>
      <c r="AC93" s="48" t="s">
        <v>166</v>
      </c>
      <c r="AD93" s="48" t="s">
        <v>166</v>
      </c>
      <c r="AE93" s="54" t="s">
        <v>166</v>
      </c>
      <c r="AF93" s="55" t="s">
        <v>166</v>
      </c>
      <c r="AG93" s="51" t="s">
        <v>166</v>
      </c>
      <c r="AH93" s="51" t="s">
        <v>166</v>
      </c>
      <c r="AI93" s="48" t="s">
        <v>166</v>
      </c>
      <c r="AJ93" s="50" t="s">
        <v>166</v>
      </c>
      <c r="AK93" s="56">
        <v>488.0</v>
      </c>
      <c r="AL93" s="57">
        <f>AK93*Sheets!$E$3</f>
        <v>67.268604</v>
      </c>
      <c r="AM93" s="68"/>
      <c r="AN93" s="70"/>
      <c r="AO93" s="71"/>
      <c r="AP93" s="72">
        <v>44467.94921506944</v>
      </c>
      <c r="AQ93" s="66"/>
    </row>
    <row r="94">
      <c r="A94" s="69" t="str">
        <f>HYPERLINK("https://shop445541697.world.taobao.com/","Kyle's Studio")</f>
        <v>Kyle's Studio</v>
      </c>
      <c r="B94" s="46" t="str">
        <f>HYPERLINK("https://item.taobao.com/item.htm?id=586976355807","Nano S1")</f>
        <v>Nano S1</v>
      </c>
      <c r="C94" s="63" t="s">
        <v>248</v>
      </c>
      <c r="D94" s="48">
        <v>182.0</v>
      </c>
      <c r="E94" s="48">
        <v>101.0</v>
      </c>
      <c r="F94" s="48">
        <v>236.0</v>
      </c>
      <c r="G94" s="49">
        <f t="shared" si="1"/>
        <v>4.338152</v>
      </c>
      <c r="H94" s="49">
        <f t="shared" si="2"/>
        <v>183.82</v>
      </c>
      <c r="I94" s="48">
        <v>0.5</v>
      </c>
      <c r="J94" s="48" t="s">
        <v>164</v>
      </c>
      <c r="K94" s="50" t="s">
        <v>329</v>
      </c>
      <c r="L94" s="51">
        <v>39.0</v>
      </c>
      <c r="M94" s="50" t="s">
        <v>166</v>
      </c>
      <c r="N94" s="51" t="s">
        <v>174</v>
      </c>
      <c r="O94" s="48">
        <v>175.0</v>
      </c>
      <c r="P94" s="48" t="s">
        <v>170</v>
      </c>
      <c r="Q94" s="48">
        <v>40.0</v>
      </c>
      <c r="R94" s="48">
        <v>2.0</v>
      </c>
      <c r="S94" s="50" t="s">
        <v>166</v>
      </c>
      <c r="T94" s="52" t="s">
        <v>167</v>
      </c>
      <c r="U94" s="52" t="s">
        <v>186</v>
      </c>
      <c r="V94" s="51">
        <v>2.0</v>
      </c>
      <c r="W94" s="51" t="s">
        <v>166</v>
      </c>
      <c r="X94" s="50" t="s">
        <v>166</v>
      </c>
      <c r="Y94" s="51" t="s">
        <v>166</v>
      </c>
      <c r="Z94" s="48" t="s">
        <v>166</v>
      </c>
      <c r="AA94" s="48">
        <v>2.0</v>
      </c>
      <c r="AB94" s="48" t="s">
        <v>166</v>
      </c>
      <c r="AC94" s="48" t="s">
        <v>166</v>
      </c>
      <c r="AD94" s="48" t="s">
        <v>166</v>
      </c>
      <c r="AE94" s="54" t="s">
        <v>166</v>
      </c>
      <c r="AF94" s="55" t="s">
        <v>166</v>
      </c>
      <c r="AG94" s="51" t="s">
        <v>166</v>
      </c>
      <c r="AH94" s="51" t="s">
        <v>166</v>
      </c>
      <c r="AI94" s="48" t="s">
        <v>166</v>
      </c>
      <c r="AJ94" s="50" t="s">
        <v>166</v>
      </c>
      <c r="AK94" s="56">
        <v>588.0</v>
      </c>
      <c r="AL94" s="57">
        <f>AK94*Sheets!$E$3</f>
        <v>81.053154</v>
      </c>
      <c r="AM94" s="68"/>
      <c r="AN94" s="70"/>
      <c r="AO94" s="71"/>
      <c r="AP94" s="72">
        <v>44681.59292476852</v>
      </c>
      <c r="AQ94" s="66"/>
    </row>
    <row r="95">
      <c r="A95" s="82" t="str">
        <f>HYPERLINK("https://www.velkase.com/","Velkase")</f>
        <v>Velkase</v>
      </c>
      <c r="B95" s="67" t="s">
        <v>330</v>
      </c>
      <c r="C95" s="63" t="s">
        <v>163</v>
      </c>
      <c r="D95" s="48">
        <v>198.0</v>
      </c>
      <c r="E95" s="48">
        <v>91.0</v>
      </c>
      <c r="F95" s="48">
        <v>241.0</v>
      </c>
      <c r="G95" s="49">
        <f t="shared" si="1"/>
        <v>4.342338</v>
      </c>
      <c r="H95" s="49">
        <f t="shared" si="2"/>
        <v>180.18</v>
      </c>
      <c r="I95" s="48">
        <v>0.7</v>
      </c>
      <c r="J95" s="48" t="s">
        <v>164</v>
      </c>
      <c r="K95" s="50" t="s">
        <v>204</v>
      </c>
      <c r="L95" s="51">
        <v>70.0</v>
      </c>
      <c r="M95" s="50" t="s">
        <v>166</v>
      </c>
      <c r="N95" s="51" t="s">
        <v>166</v>
      </c>
      <c r="O95" s="48" t="s">
        <v>166</v>
      </c>
      <c r="P95" s="48" t="s">
        <v>166</v>
      </c>
      <c r="Q95" s="48" t="s">
        <v>166</v>
      </c>
      <c r="R95" s="48" t="s">
        <v>166</v>
      </c>
      <c r="S95" s="50" t="s">
        <v>166</v>
      </c>
      <c r="T95" s="52" t="s">
        <v>167</v>
      </c>
      <c r="U95" s="52" t="s">
        <v>186</v>
      </c>
      <c r="V95" s="51">
        <v>1.0</v>
      </c>
      <c r="W95" s="48" t="s">
        <v>166</v>
      </c>
      <c r="X95" s="50" t="s">
        <v>166</v>
      </c>
      <c r="Y95" s="51" t="s">
        <v>166</v>
      </c>
      <c r="Z95" s="48" t="s">
        <v>166</v>
      </c>
      <c r="AA95" s="48" t="s">
        <v>166</v>
      </c>
      <c r="AB95" s="48" t="s">
        <v>166</v>
      </c>
      <c r="AC95" s="48" t="s">
        <v>166</v>
      </c>
      <c r="AD95" s="48" t="s">
        <v>166</v>
      </c>
      <c r="AE95" s="54" t="s">
        <v>166</v>
      </c>
      <c r="AF95" s="55" t="s">
        <v>166</v>
      </c>
      <c r="AG95" s="51" t="s">
        <v>166</v>
      </c>
      <c r="AH95" s="48" t="s">
        <v>166</v>
      </c>
      <c r="AI95" s="48" t="s">
        <v>166</v>
      </c>
      <c r="AJ95" s="50" t="s">
        <v>166</v>
      </c>
      <c r="AK95" s="56" t="s">
        <v>166</v>
      </c>
      <c r="AL95" s="57">
        <v>79.99</v>
      </c>
      <c r="AM95" s="64" t="str">
        <f>HYPERLINK("https://smallformfactor.net/forum/threads/velka-series-cases-for-ultra-compact-and-portable-desktops.9681","Link")</f>
        <v>Link</v>
      </c>
      <c r="AN95" s="87" t="s">
        <v>214</v>
      </c>
      <c r="AO95" s="60" t="s">
        <v>181</v>
      </c>
      <c r="AP95" s="65">
        <v>44602.88279505787</v>
      </c>
      <c r="AQ95" s="66"/>
    </row>
    <row r="96">
      <c r="A96" s="69" t="str">
        <f>HYPERLINK("https://sgpc.world.taobao.com/","SGPC")</f>
        <v>SGPC</v>
      </c>
      <c r="B96" s="73" t="s">
        <v>331</v>
      </c>
      <c r="C96" s="63" t="s">
        <v>248</v>
      </c>
      <c r="D96" s="48">
        <v>184.0</v>
      </c>
      <c r="E96" s="48">
        <v>108.0</v>
      </c>
      <c r="F96" s="48">
        <v>219.0</v>
      </c>
      <c r="G96" s="49">
        <f t="shared" si="1"/>
        <v>4.351968</v>
      </c>
      <c r="H96" s="49">
        <f t="shared" si="2"/>
        <v>198.72</v>
      </c>
      <c r="I96" s="48">
        <v>0.5</v>
      </c>
      <c r="J96" s="48" t="s">
        <v>274</v>
      </c>
      <c r="K96" s="50" t="s">
        <v>185</v>
      </c>
      <c r="L96" s="51">
        <v>47.0</v>
      </c>
      <c r="M96" s="50" t="s">
        <v>166</v>
      </c>
      <c r="N96" s="51" t="s">
        <v>174</v>
      </c>
      <c r="O96" s="48">
        <v>180.0</v>
      </c>
      <c r="P96" s="48" t="s">
        <v>170</v>
      </c>
      <c r="Q96" s="48">
        <v>43.0</v>
      </c>
      <c r="R96" s="48">
        <v>2.0</v>
      </c>
      <c r="S96" s="50" t="s">
        <v>166</v>
      </c>
      <c r="T96" s="52" t="s">
        <v>167</v>
      </c>
      <c r="U96" s="52" t="s">
        <v>186</v>
      </c>
      <c r="V96" s="51" t="s">
        <v>207</v>
      </c>
      <c r="W96" s="48" t="s">
        <v>166</v>
      </c>
      <c r="X96" s="50" t="s">
        <v>166</v>
      </c>
      <c r="Y96" s="51" t="s">
        <v>166</v>
      </c>
      <c r="Z96" s="48" t="s">
        <v>166</v>
      </c>
      <c r="AA96" s="48" t="s">
        <v>166</v>
      </c>
      <c r="AB96" s="48" t="s">
        <v>166</v>
      </c>
      <c r="AC96" s="48" t="s">
        <v>166</v>
      </c>
      <c r="AD96" s="48" t="s">
        <v>166</v>
      </c>
      <c r="AE96" s="54" t="s">
        <v>166</v>
      </c>
      <c r="AF96" s="55" t="s">
        <v>166</v>
      </c>
      <c r="AG96" s="51" t="s">
        <v>166</v>
      </c>
      <c r="AH96" s="48" t="s">
        <v>166</v>
      </c>
      <c r="AI96" s="48" t="s">
        <v>166</v>
      </c>
      <c r="AJ96" s="50" t="s">
        <v>166</v>
      </c>
      <c r="AK96" s="56">
        <v>159.0</v>
      </c>
      <c r="AL96" s="57">
        <f>AK96*Sheets!$E$3</f>
        <v>21.9174345</v>
      </c>
      <c r="AM96" s="68"/>
      <c r="AN96" s="59"/>
      <c r="AO96" s="60" t="s">
        <v>181</v>
      </c>
      <c r="AP96" s="60"/>
      <c r="AQ96" s="66"/>
    </row>
    <row r="97">
      <c r="A97" s="69" t="str">
        <f>HYPERLINK("https://metalfish.world.taobao.com/","Metalfish")</f>
        <v>Metalfish</v>
      </c>
      <c r="B97" s="46" t="str">
        <f>HYPERLINK("https://item.taobao.com/item.htm?id=522846590007","Metal Book")</f>
        <v>Metal Book</v>
      </c>
      <c r="C97" s="63" t="s">
        <v>163</v>
      </c>
      <c r="D97" s="48">
        <v>210.0</v>
      </c>
      <c r="E97" s="48">
        <v>76.0</v>
      </c>
      <c r="F97" s="48">
        <v>275.0</v>
      </c>
      <c r="G97" s="49">
        <f t="shared" si="1"/>
        <v>4.389</v>
      </c>
      <c r="H97" s="49">
        <f t="shared" si="2"/>
        <v>159.6</v>
      </c>
      <c r="I97" s="48">
        <v>2.0</v>
      </c>
      <c r="J97" s="48" t="s">
        <v>164</v>
      </c>
      <c r="K97" s="50" t="s">
        <v>213</v>
      </c>
      <c r="L97" s="51">
        <v>40.0</v>
      </c>
      <c r="M97" s="50" t="s">
        <v>166</v>
      </c>
      <c r="N97" s="51" t="s">
        <v>166</v>
      </c>
      <c r="O97" s="48" t="s">
        <v>166</v>
      </c>
      <c r="P97" s="48" t="s">
        <v>166</v>
      </c>
      <c r="Q97" s="48" t="s">
        <v>166</v>
      </c>
      <c r="R97" s="48" t="s">
        <v>166</v>
      </c>
      <c r="S97" s="50" t="s">
        <v>166</v>
      </c>
      <c r="T97" s="52" t="s">
        <v>332</v>
      </c>
      <c r="U97" s="52" t="s">
        <v>168</v>
      </c>
      <c r="V97" s="51">
        <v>2.0</v>
      </c>
      <c r="W97" s="48" t="s">
        <v>166</v>
      </c>
      <c r="X97" s="50" t="s">
        <v>166</v>
      </c>
      <c r="Y97" s="51" t="s">
        <v>166</v>
      </c>
      <c r="Z97" s="48">
        <v>2.0</v>
      </c>
      <c r="AA97" s="48" t="s">
        <v>166</v>
      </c>
      <c r="AB97" s="48" t="s">
        <v>166</v>
      </c>
      <c r="AC97" s="48" t="s">
        <v>166</v>
      </c>
      <c r="AD97" s="48" t="s">
        <v>166</v>
      </c>
      <c r="AE97" s="54" t="s">
        <v>166</v>
      </c>
      <c r="AF97" s="55" t="s">
        <v>166</v>
      </c>
      <c r="AG97" s="51" t="s">
        <v>166</v>
      </c>
      <c r="AH97" s="48">
        <v>1.0</v>
      </c>
      <c r="AI97" s="48" t="s">
        <v>166</v>
      </c>
      <c r="AJ97" s="50" t="s">
        <v>166</v>
      </c>
      <c r="AK97" s="56">
        <v>199.0</v>
      </c>
      <c r="AL97" s="57">
        <f>AK97*Sheets!$E$3</f>
        <v>27.4312545</v>
      </c>
      <c r="AM97" s="68"/>
      <c r="AN97" s="70"/>
      <c r="AO97" s="71"/>
      <c r="AP97" s="72">
        <v>44681.59299326389</v>
      </c>
      <c r="AQ97" s="66"/>
    </row>
    <row r="98">
      <c r="A98" s="69" t="s">
        <v>212</v>
      </c>
      <c r="B98" s="73" t="s">
        <v>333</v>
      </c>
      <c r="C98" s="63" t="s">
        <v>248</v>
      </c>
      <c r="D98" s="48">
        <v>189.0</v>
      </c>
      <c r="E98" s="48">
        <v>114.0</v>
      </c>
      <c r="F98" s="48">
        <v>204.0</v>
      </c>
      <c r="G98" s="49">
        <f t="shared" si="1"/>
        <v>4.395384</v>
      </c>
      <c r="H98" s="49">
        <f t="shared" si="2"/>
        <v>215.46</v>
      </c>
      <c r="I98" s="48" t="s">
        <v>170</v>
      </c>
      <c r="J98" s="48" t="s">
        <v>164</v>
      </c>
      <c r="K98" s="50" t="s">
        <v>334</v>
      </c>
      <c r="L98" s="51">
        <v>49.0</v>
      </c>
      <c r="M98" s="50" t="s">
        <v>166</v>
      </c>
      <c r="N98" s="51" t="s">
        <v>174</v>
      </c>
      <c r="O98" s="48">
        <v>182.0</v>
      </c>
      <c r="P98" s="48">
        <v>75.0</v>
      </c>
      <c r="Q98" s="48">
        <v>42.0</v>
      </c>
      <c r="R98" s="48" t="s">
        <v>166</v>
      </c>
      <c r="S98" s="50">
        <v>2.0</v>
      </c>
      <c r="T98" s="52" t="s">
        <v>167</v>
      </c>
      <c r="U98" s="52" t="s">
        <v>186</v>
      </c>
      <c r="V98" s="51">
        <v>1.0</v>
      </c>
      <c r="W98" s="48" t="s">
        <v>166</v>
      </c>
      <c r="X98" s="50" t="s">
        <v>166</v>
      </c>
      <c r="Y98" s="51" t="s">
        <v>166</v>
      </c>
      <c r="Z98" s="48" t="s">
        <v>166</v>
      </c>
      <c r="AA98" s="48">
        <v>2.0</v>
      </c>
      <c r="AB98" s="48" t="s">
        <v>166</v>
      </c>
      <c r="AC98" s="48" t="s">
        <v>166</v>
      </c>
      <c r="AD98" s="48" t="s">
        <v>166</v>
      </c>
      <c r="AE98" s="54" t="s">
        <v>166</v>
      </c>
      <c r="AF98" s="55" t="s">
        <v>166</v>
      </c>
      <c r="AG98" s="51" t="s">
        <v>166</v>
      </c>
      <c r="AH98" s="48" t="s">
        <v>166</v>
      </c>
      <c r="AI98" s="48">
        <v>1.0</v>
      </c>
      <c r="AJ98" s="50" t="s">
        <v>166</v>
      </c>
      <c r="AK98" s="56">
        <v>550.0</v>
      </c>
      <c r="AL98" s="57">
        <f>AK98*Sheets!$E$3</f>
        <v>75.815025</v>
      </c>
      <c r="AM98" s="58"/>
      <c r="AN98" s="64" t="s">
        <v>214</v>
      </c>
      <c r="AO98" s="60" t="s">
        <v>181</v>
      </c>
      <c r="AP98" s="65">
        <v>45108.69082686343</v>
      </c>
      <c r="AQ98" s="66"/>
    </row>
    <row r="99">
      <c r="A99" s="69" t="str">
        <f>HYPERLINK("https://shop162335681.world.taobao.com/","柏越科技")</f>
        <v>柏越科技</v>
      </c>
      <c r="B99" s="46" t="s">
        <v>335</v>
      </c>
      <c r="C99" s="63" t="s">
        <v>248</v>
      </c>
      <c r="D99" s="48">
        <v>183.0</v>
      </c>
      <c r="E99" s="48">
        <v>109.0</v>
      </c>
      <c r="F99" s="48">
        <v>222.0</v>
      </c>
      <c r="G99" s="49">
        <f t="shared" si="1"/>
        <v>4.428234</v>
      </c>
      <c r="H99" s="49">
        <f t="shared" si="2"/>
        <v>199.47</v>
      </c>
      <c r="I99" s="48">
        <v>0.7</v>
      </c>
      <c r="J99" s="48" t="s">
        <v>336</v>
      </c>
      <c r="K99" s="50" t="s">
        <v>171</v>
      </c>
      <c r="L99" s="51">
        <v>47.0</v>
      </c>
      <c r="M99" s="50" t="s">
        <v>166</v>
      </c>
      <c r="N99" s="51" t="s">
        <v>174</v>
      </c>
      <c r="O99" s="48">
        <v>180.0</v>
      </c>
      <c r="P99" s="48" t="s">
        <v>170</v>
      </c>
      <c r="Q99" s="48">
        <v>40.0</v>
      </c>
      <c r="R99" s="48">
        <v>2.0</v>
      </c>
      <c r="S99" s="50" t="s">
        <v>166</v>
      </c>
      <c r="T99" s="52" t="s">
        <v>167</v>
      </c>
      <c r="U99" s="52" t="s">
        <v>186</v>
      </c>
      <c r="V99" s="51">
        <v>2.0</v>
      </c>
      <c r="W99" s="48" t="s">
        <v>166</v>
      </c>
      <c r="X99" s="50" t="s">
        <v>166</v>
      </c>
      <c r="Y99" s="51" t="s">
        <v>166</v>
      </c>
      <c r="Z99" s="48" t="s">
        <v>166</v>
      </c>
      <c r="AA99" s="48" t="s">
        <v>166</v>
      </c>
      <c r="AB99" s="48" t="s">
        <v>166</v>
      </c>
      <c r="AC99" s="48" t="s">
        <v>166</v>
      </c>
      <c r="AD99" s="48" t="s">
        <v>166</v>
      </c>
      <c r="AE99" s="54" t="s">
        <v>166</v>
      </c>
      <c r="AF99" s="55" t="s">
        <v>166</v>
      </c>
      <c r="AG99" s="51" t="s">
        <v>166</v>
      </c>
      <c r="AH99" s="48" t="s">
        <v>166</v>
      </c>
      <c r="AI99" s="48" t="s">
        <v>166</v>
      </c>
      <c r="AJ99" s="50" t="s">
        <v>166</v>
      </c>
      <c r="AK99" s="56">
        <v>99.0</v>
      </c>
      <c r="AL99" s="57">
        <f>AK99*Sheets!$E$3</f>
        <v>13.6467045</v>
      </c>
      <c r="AM99" s="68"/>
      <c r="AN99" s="70"/>
      <c r="AO99" s="71"/>
      <c r="AP99" s="71"/>
      <c r="AQ99" s="66"/>
    </row>
    <row r="100">
      <c r="A100" s="82" t="str">
        <f t="shared" ref="A100:A102" si="4">HYPERLINK("https://www.in-win.com/","InWin")</f>
        <v>InWin</v>
      </c>
      <c r="B100" s="62" t="str">
        <f>HYPERLINK("https://www.in-win.com/en/gaming-chassis/Chopin/","Chopin")</f>
        <v>Chopin</v>
      </c>
      <c r="C100" s="63" t="s">
        <v>163</v>
      </c>
      <c r="D100" s="48">
        <v>217.0</v>
      </c>
      <c r="E100" s="48">
        <v>84.0</v>
      </c>
      <c r="F100" s="48">
        <v>244.0</v>
      </c>
      <c r="G100" s="49">
        <f t="shared" si="1"/>
        <v>4.447632</v>
      </c>
      <c r="H100" s="49">
        <f t="shared" si="2"/>
        <v>182.28</v>
      </c>
      <c r="I100" s="48">
        <v>2.2</v>
      </c>
      <c r="J100" s="48" t="s">
        <v>240</v>
      </c>
      <c r="K100" s="50" t="s">
        <v>337</v>
      </c>
      <c r="L100" s="51">
        <v>43.0</v>
      </c>
      <c r="M100" s="50" t="s">
        <v>166</v>
      </c>
      <c r="N100" s="51" t="s">
        <v>166</v>
      </c>
      <c r="O100" s="48" t="s">
        <v>166</v>
      </c>
      <c r="P100" s="48" t="s">
        <v>166</v>
      </c>
      <c r="Q100" s="48" t="s">
        <v>166</v>
      </c>
      <c r="R100" s="48" t="s">
        <v>166</v>
      </c>
      <c r="S100" s="50" t="s">
        <v>166</v>
      </c>
      <c r="T100" s="52" t="s">
        <v>167</v>
      </c>
      <c r="U100" s="52" t="s">
        <v>338</v>
      </c>
      <c r="V100" s="51">
        <v>2.0</v>
      </c>
      <c r="W100" s="48" t="s">
        <v>166</v>
      </c>
      <c r="X100" s="50" t="s">
        <v>166</v>
      </c>
      <c r="Y100" s="51" t="s">
        <v>166</v>
      </c>
      <c r="Z100" s="48" t="s">
        <v>166</v>
      </c>
      <c r="AA100" s="48" t="s">
        <v>166</v>
      </c>
      <c r="AB100" s="48" t="s">
        <v>166</v>
      </c>
      <c r="AC100" s="48" t="s">
        <v>166</v>
      </c>
      <c r="AD100" s="48" t="s">
        <v>166</v>
      </c>
      <c r="AE100" s="54" t="s">
        <v>166</v>
      </c>
      <c r="AF100" s="55" t="s">
        <v>166</v>
      </c>
      <c r="AG100" s="51" t="s">
        <v>166</v>
      </c>
      <c r="AH100" s="48">
        <v>2.0</v>
      </c>
      <c r="AI100" s="48" t="s">
        <v>166</v>
      </c>
      <c r="AJ100" s="50" t="s">
        <v>174</v>
      </c>
      <c r="AK100" s="56" t="s">
        <v>166</v>
      </c>
      <c r="AL100" s="57">
        <v>97.49</v>
      </c>
      <c r="AM100" s="58"/>
      <c r="AN100" s="64" t="s">
        <v>214</v>
      </c>
      <c r="AO100" s="60"/>
      <c r="AP100" s="65">
        <v>44718.975937152776</v>
      </c>
      <c r="AQ100" s="66"/>
    </row>
    <row r="101">
      <c r="A101" s="82" t="str">
        <f t="shared" si="4"/>
        <v>InWin</v>
      </c>
      <c r="B101" s="62" t="s">
        <v>339</v>
      </c>
      <c r="C101" s="63" t="s">
        <v>163</v>
      </c>
      <c r="D101" s="48">
        <v>217.0</v>
      </c>
      <c r="E101" s="48">
        <v>84.0</v>
      </c>
      <c r="F101" s="48">
        <v>244.0</v>
      </c>
      <c r="G101" s="49">
        <f t="shared" si="1"/>
        <v>4.447632</v>
      </c>
      <c r="H101" s="49">
        <f t="shared" si="2"/>
        <v>182.28</v>
      </c>
      <c r="I101" s="48">
        <v>2.2</v>
      </c>
      <c r="J101" s="48" t="s">
        <v>240</v>
      </c>
      <c r="K101" s="50" t="s">
        <v>337</v>
      </c>
      <c r="L101" s="51">
        <v>54.0</v>
      </c>
      <c r="M101" s="50" t="s">
        <v>166</v>
      </c>
      <c r="N101" s="51" t="s">
        <v>166</v>
      </c>
      <c r="O101" s="48" t="s">
        <v>166</v>
      </c>
      <c r="P101" s="48" t="s">
        <v>166</v>
      </c>
      <c r="Q101" s="48" t="s">
        <v>166</v>
      </c>
      <c r="R101" s="48" t="s">
        <v>166</v>
      </c>
      <c r="S101" s="50" t="s">
        <v>166</v>
      </c>
      <c r="T101" s="52" t="s">
        <v>167</v>
      </c>
      <c r="U101" s="52" t="s">
        <v>338</v>
      </c>
      <c r="V101" s="51">
        <v>2.0</v>
      </c>
      <c r="W101" s="48" t="s">
        <v>166</v>
      </c>
      <c r="X101" s="50" t="s">
        <v>166</v>
      </c>
      <c r="Y101" s="51" t="s">
        <v>166</v>
      </c>
      <c r="Z101" s="48" t="s">
        <v>166</v>
      </c>
      <c r="AA101" s="48" t="s">
        <v>166</v>
      </c>
      <c r="AB101" s="48" t="s">
        <v>166</v>
      </c>
      <c r="AC101" s="48" t="s">
        <v>166</v>
      </c>
      <c r="AD101" s="48" t="s">
        <v>166</v>
      </c>
      <c r="AE101" s="54" t="s">
        <v>166</v>
      </c>
      <c r="AF101" s="55" t="s">
        <v>166</v>
      </c>
      <c r="AG101" s="51" t="s">
        <v>166</v>
      </c>
      <c r="AH101" s="48">
        <v>2.0</v>
      </c>
      <c r="AI101" s="48">
        <v>1.0</v>
      </c>
      <c r="AJ101" s="50" t="s">
        <v>174</v>
      </c>
      <c r="AK101" s="56" t="s">
        <v>166</v>
      </c>
      <c r="AL101" s="57">
        <v>129.99</v>
      </c>
      <c r="AM101" s="58"/>
      <c r="AN101" s="59"/>
      <c r="AO101" s="60"/>
      <c r="AP101" s="65">
        <v>44865.460176469904</v>
      </c>
      <c r="AQ101" s="66"/>
    </row>
    <row r="102">
      <c r="A102" s="82" t="str">
        <f t="shared" si="4"/>
        <v>InWin</v>
      </c>
      <c r="B102" s="62" t="s">
        <v>340</v>
      </c>
      <c r="C102" s="63" t="s">
        <v>163</v>
      </c>
      <c r="D102" s="48">
        <v>217.0</v>
      </c>
      <c r="E102" s="48">
        <v>84.0</v>
      </c>
      <c r="F102" s="48">
        <v>244.0</v>
      </c>
      <c r="G102" s="49">
        <f t="shared" si="1"/>
        <v>4.447632</v>
      </c>
      <c r="H102" s="49">
        <f t="shared" si="2"/>
        <v>182.28</v>
      </c>
      <c r="I102" s="48">
        <v>2.2</v>
      </c>
      <c r="J102" s="48" t="s">
        <v>240</v>
      </c>
      <c r="K102" s="50" t="s">
        <v>337</v>
      </c>
      <c r="L102" s="51">
        <v>43.0</v>
      </c>
      <c r="M102" s="50" t="s">
        <v>166</v>
      </c>
      <c r="N102" s="51" t="s">
        <v>166</v>
      </c>
      <c r="O102" s="48" t="s">
        <v>166</v>
      </c>
      <c r="P102" s="48" t="s">
        <v>166</v>
      </c>
      <c r="Q102" s="48" t="s">
        <v>166</v>
      </c>
      <c r="R102" s="48" t="s">
        <v>166</v>
      </c>
      <c r="S102" s="50" t="s">
        <v>166</v>
      </c>
      <c r="T102" s="52" t="s">
        <v>167</v>
      </c>
      <c r="U102" s="52" t="s">
        <v>338</v>
      </c>
      <c r="V102" s="51">
        <v>2.0</v>
      </c>
      <c r="W102" s="48" t="s">
        <v>166</v>
      </c>
      <c r="X102" s="50" t="s">
        <v>166</v>
      </c>
      <c r="Y102" s="51" t="s">
        <v>166</v>
      </c>
      <c r="Z102" s="48" t="s">
        <v>166</v>
      </c>
      <c r="AA102" s="48" t="s">
        <v>166</v>
      </c>
      <c r="AB102" s="48" t="s">
        <v>166</v>
      </c>
      <c r="AC102" s="48" t="s">
        <v>166</v>
      </c>
      <c r="AD102" s="48" t="s">
        <v>166</v>
      </c>
      <c r="AE102" s="54" t="s">
        <v>166</v>
      </c>
      <c r="AF102" s="55" t="s">
        <v>166</v>
      </c>
      <c r="AG102" s="51" t="s">
        <v>166</v>
      </c>
      <c r="AH102" s="48">
        <v>2.0</v>
      </c>
      <c r="AI102" s="48" t="s">
        <v>166</v>
      </c>
      <c r="AJ102" s="50" t="s">
        <v>174</v>
      </c>
      <c r="AK102" s="56" t="s">
        <v>166</v>
      </c>
      <c r="AL102" s="57">
        <v>120.0</v>
      </c>
      <c r="AM102" s="58"/>
      <c r="AN102" s="59"/>
      <c r="AO102" s="60"/>
      <c r="AP102" s="65">
        <v>44518.497886377314</v>
      </c>
      <c r="AQ102" s="66"/>
    </row>
    <row r="103">
      <c r="A103" s="83" t="str">
        <f>HYPERLINK("https://nfc-systems.com/","NFC")</f>
        <v>NFC</v>
      </c>
      <c r="B103" s="62" t="str">
        <f>HYPERLINK("https://nfc-systems.com/s4-mini/","S4 Mini Classic")</f>
        <v>S4 Mini Classic</v>
      </c>
      <c r="C103" s="63" t="s">
        <v>225</v>
      </c>
      <c r="D103" s="48">
        <v>215.0</v>
      </c>
      <c r="E103" s="48">
        <v>63.0</v>
      </c>
      <c r="F103" s="48">
        <v>330.0</v>
      </c>
      <c r="G103" s="49">
        <f t="shared" si="1"/>
        <v>4.46985</v>
      </c>
      <c r="H103" s="49">
        <f t="shared" si="2"/>
        <v>135.45</v>
      </c>
      <c r="I103" s="48" t="s">
        <v>170</v>
      </c>
      <c r="J103" s="48" t="s">
        <v>164</v>
      </c>
      <c r="K103" s="50" t="s">
        <v>341</v>
      </c>
      <c r="L103" s="51">
        <v>45.0</v>
      </c>
      <c r="M103" s="50" t="s">
        <v>166</v>
      </c>
      <c r="N103" s="51" t="s">
        <v>174</v>
      </c>
      <c r="O103" s="48">
        <v>203.0</v>
      </c>
      <c r="P103" s="48" t="s">
        <v>170</v>
      </c>
      <c r="Q103" s="48">
        <v>40.0</v>
      </c>
      <c r="R103" s="48">
        <v>2.0</v>
      </c>
      <c r="S103" s="50" t="s">
        <v>166</v>
      </c>
      <c r="T103" s="52" t="s">
        <v>167</v>
      </c>
      <c r="U103" s="52" t="s">
        <v>168</v>
      </c>
      <c r="V103" s="51">
        <v>2.0</v>
      </c>
      <c r="W103" s="48" t="s">
        <v>166</v>
      </c>
      <c r="X103" s="50" t="s">
        <v>166</v>
      </c>
      <c r="Y103" s="51" t="s">
        <v>166</v>
      </c>
      <c r="Z103" s="48" t="s">
        <v>166</v>
      </c>
      <c r="AA103" s="48" t="s">
        <v>166</v>
      </c>
      <c r="AB103" s="48" t="s">
        <v>166</v>
      </c>
      <c r="AC103" s="48" t="s">
        <v>194</v>
      </c>
      <c r="AD103" s="48" t="s">
        <v>166</v>
      </c>
      <c r="AE103" s="54" t="s">
        <v>166</v>
      </c>
      <c r="AF103" s="55" t="s">
        <v>166</v>
      </c>
      <c r="AG103" s="51" t="s">
        <v>166</v>
      </c>
      <c r="AH103" s="48" t="s">
        <v>166</v>
      </c>
      <c r="AI103" s="48" t="s">
        <v>166</v>
      </c>
      <c r="AJ103" s="50" t="s">
        <v>166</v>
      </c>
      <c r="AK103" s="56" t="s">
        <v>166</v>
      </c>
      <c r="AL103" s="57">
        <v>250.0</v>
      </c>
      <c r="AM103" s="58"/>
      <c r="AN103" s="59"/>
      <c r="AO103" s="60" t="s">
        <v>181</v>
      </c>
      <c r="AP103" s="60"/>
      <c r="AQ103" s="66"/>
    </row>
    <row r="104">
      <c r="A104" s="91" t="s">
        <v>307</v>
      </c>
      <c r="B104" s="67" t="s">
        <v>342</v>
      </c>
      <c r="C104" s="63" t="s">
        <v>248</v>
      </c>
      <c r="D104" s="48">
        <v>193.0</v>
      </c>
      <c r="E104" s="48">
        <v>103.0</v>
      </c>
      <c r="F104" s="48">
        <v>225.0</v>
      </c>
      <c r="G104" s="49">
        <f t="shared" si="1"/>
        <v>4.472775</v>
      </c>
      <c r="H104" s="49">
        <f t="shared" si="2"/>
        <v>198.79</v>
      </c>
      <c r="I104" s="48" t="s">
        <v>170</v>
      </c>
      <c r="J104" s="48" t="s">
        <v>171</v>
      </c>
      <c r="K104" s="50" t="s">
        <v>343</v>
      </c>
      <c r="L104" s="51">
        <v>39.0</v>
      </c>
      <c r="M104" s="50" t="s">
        <v>166</v>
      </c>
      <c r="N104" s="51" t="s">
        <v>174</v>
      </c>
      <c r="O104" s="48">
        <v>175.0</v>
      </c>
      <c r="P104" s="48" t="s">
        <v>170</v>
      </c>
      <c r="Q104" s="48">
        <v>40.0</v>
      </c>
      <c r="R104" s="48">
        <v>2.0</v>
      </c>
      <c r="S104" s="50" t="s">
        <v>166</v>
      </c>
      <c r="T104" s="52" t="s">
        <v>167</v>
      </c>
      <c r="U104" s="52" t="s">
        <v>186</v>
      </c>
      <c r="V104" s="51" t="s">
        <v>194</v>
      </c>
      <c r="W104" s="48" t="s">
        <v>166</v>
      </c>
      <c r="X104" s="50" t="s">
        <v>166</v>
      </c>
      <c r="Y104" s="51" t="s">
        <v>166</v>
      </c>
      <c r="Z104" s="48" t="s">
        <v>166</v>
      </c>
      <c r="AA104" s="48" t="s">
        <v>166</v>
      </c>
      <c r="AB104" s="48" t="s">
        <v>166</v>
      </c>
      <c r="AC104" s="48" t="s">
        <v>166</v>
      </c>
      <c r="AD104" s="48" t="s">
        <v>166</v>
      </c>
      <c r="AE104" s="54" t="s">
        <v>166</v>
      </c>
      <c r="AF104" s="55" t="s">
        <v>166</v>
      </c>
      <c r="AG104" s="51" t="s">
        <v>166</v>
      </c>
      <c r="AH104" s="48" t="s">
        <v>166</v>
      </c>
      <c r="AI104" s="48">
        <v>1.0</v>
      </c>
      <c r="AJ104" s="50" t="s">
        <v>166</v>
      </c>
      <c r="AK104" s="56" t="s">
        <v>166</v>
      </c>
      <c r="AL104" s="57">
        <v>160.0</v>
      </c>
      <c r="AM104" s="64" t="s">
        <v>214</v>
      </c>
      <c r="AN104" s="85"/>
      <c r="AO104" s="60" t="s">
        <v>181</v>
      </c>
      <c r="AP104" s="65">
        <v>44833.75735645833</v>
      </c>
      <c r="AQ104" s="66"/>
    </row>
    <row r="105">
      <c r="A105" s="61" t="s">
        <v>178</v>
      </c>
      <c r="B105" s="62" t="s">
        <v>344</v>
      </c>
      <c r="C105" s="63" t="s">
        <v>248</v>
      </c>
      <c r="D105" s="48">
        <v>190.0</v>
      </c>
      <c r="E105" s="48">
        <v>105.0</v>
      </c>
      <c r="F105" s="48">
        <v>225.0</v>
      </c>
      <c r="G105" s="49">
        <f t="shared" si="1"/>
        <v>4.48875</v>
      </c>
      <c r="H105" s="49">
        <f t="shared" si="2"/>
        <v>199.5</v>
      </c>
      <c r="I105" s="48">
        <v>0.8</v>
      </c>
      <c r="J105" s="48" t="s">
        <v>274</v>
      </c>
      <c r="K105" s="50" t="s">
        <v>270</v>
      </c>
      <c r="L105" s="51">
        <v>43.0</v>
      </c>
      <c r="M105" s="50" t="s">
        <v>166</v>
      </c>
      <c r="N105" s="51" t="s">
        <v>174</v>
      </c>
      <c r="O105" s="48">
        <v>180.0</v>
      </c>
      <c r="P105" s="48" t="s">
        <v>170</v>
      </c>
      <c r="Q105" s="48">
        <v>40.0</v>
      </c>
      <c r="R105" s="48">
        <v>2.0</v>
      </c>
      <c r="S105" s="50" t="s">
        <v>166</v>
      </c>
      <c r="T105" s="52" t="s">
        <v>167</v>
      </c>
      <c r="U105" s="52" t="s">
        <v>186</v>
      </c>
      <c r="V105" s="51">
        <v>1.0</v>
      </c>
      <c r="W105" s="48" t="s">
        <v>166</v>
      </c>
      <c r="X105" s="50" t="s">
        <v>166</v>
      </c>
      <c r="Y105" s="51" t="s">
        <v>166</v>
      </c>
      <c r="Z105" s="48" t="s">
        <v>166</v>
      </c>
      <c r="AA105" s="48" t="s">
        <v>166</v>
      </c>
      <c r="AB105" s="48" t="s">
        <v>166</v>
      </c>
      <c r="AC105" s="48" t="s">
        <v>166</v>
      </c>
      <c r="AD105" s="48" t="s">
        <v>166</v>
      </c>
      <c r="AE105" s="54" t="s">
        <v>166</v>
      </c>
      <c r="AF105" s="55" t="s">
        <v>166</v>
      </c>
      <c r="AG105" s="51" t="s">
        <v>166</v>
      </c>
      <c r="AH105" s="48" t="s">
        <v>166</v>
      </c>
      <c r="AI105" s="48" t="s">
        <v>166</v>
      </c>
      <c r="AJ105" s="50" t="s">
        <v>166</v>
      </c>
      <c r="AK105" s="56" t="s">
        <v>166</v>
      </c>
      <c r="AL105" s="57">
        <v>104.78</v>
      </c>
      <c r="AM105" s="58"/>
      <c r="AN105" s="59"/>
      <c r="AO105" s="60"/>
      <c r="AP105" s="65">
        <v>45184.6941459838</v>
      </c>
      <c r="AQ105" s="66"/>
    </row>
    <row r="106">
      <c r="A106" s="46" t="str">
        <f>HYPERLINK("https://shop206098240.world.taobao.com/","LZmod")</f>
        <v>LZmod</v>
      </c>
      <c r="B106" s="73" t="s">
        <v>345</v>
      </c>
      <c r="C106" s="63" t="s">
        <v>163</v>
      </c>
      <c r="D106" s="48">
        <v>190.0</v>
      </c>
      <c r="E106" s="48">
        <v>326.0</v>
      </c>
      <c r="F106" s="48">
        <v>73.0</v>
      </c>
      <c r="G106" s="49">
        <f t="shared" si="1"/>
        <v>4.52162</v>
      </c>
      <c r="H106" s="49">
        <f t="shared" si="2"/>
        <v>619.4</v>
      </c>
      <c r="I106" s="48" t="s">
        <v>170</v>
      </c>
      <c r="J106" s="48" t="s">
        <v>164</v>
      </c>
      <c r="K106" s="50" t="s">
        <v>328</v>
      </c>
      <c r="L106" s="51">
        <v>49.0</v>
      </c>
      <c r="M106" s="50" t="s">
        <v>166</v>
      </c>
      <c r="N106" s="51" t="s">
        <v>166</v>
      </c>
      <c r="O106" s="48" t="s">
        <v>166</v>
      </c>
      <c r="P106" s="48" t="s">
        <v>166</v>
      </c>
      <c r="Q106" s="48" t="s">
        <v>166</v>
      </c>
      <c r="R106" s="48" t="s">
        <v>166</v>
      </c>
      <c r="S106" s="50" t="s">
        <v>166</v>
      </c>
      <c r="T106" s="52" t="s">
        <v>167</v>
      </c>
      <c r="U106" s="52" t="s">
        <v>346</v>
      </c>
      <c r="V106" s="51">
        <v>3.0</v>
      </c>
      <c r="W106" s="48" t="s">
        <v>166</v>
      </c>
      <c r="X106" s="50" t="s">
        <v>166</v>
      </c>
      <c r="Y106" s="51" t="s">
        <v>166</v>
      </c>
      <c r="Z106" s="48">
        <v>3.0</v>
      </c>
      <c r="AA106" s="48" t="s">
        <v>166</v>
      </c>
      <c r="AB106" s="48" t="s">
        <v>166</v>
      </c>
      <c r="AC106" s="48" t="s">
        <v>166</v>
      </c>
      <c r="AD106" s="48" t="s">
        <v>166</v>
      </c>
      <c r="AE106" s="54" t="s">
        <v>166</v>
      </c>
      <c r="AF106" s="55" t="s">
        <v>166</v>
      </c>
      <c r="AG106" s="51" t="s">
        <v>166</v>
      </c>
      <c r="AH106" s="48">
        <v>1.0</v>
      </c>
      <c r="AI106" s="48" t="s">
        <v>166</v>
      </c>
      <c r="AJ106" s="50" t="s">
        <v>166</v>
      </c>
      <c r="AK106" s="56">
        <v>389.0</v>
      </c>
      <c r="AL106" s="57">
        <f>AK106*Sheets!$E$3</f>
        <v>53.6218995</v>
      </c>
      <c r="AM106" s="58"/>
      <c r="AN106" s="59"/>
      <c r="AO106" s="71" t="s">
        <v>181</v>
      </c>
      <c r="AP106" s="65">
        <v>45128.01181065972</v>
      </c>
      <c r="AQ106" s="66"/>
    </row>
    <row r="107">
      <c r="A107" s="61" t="str">
        <f t="shared" ref="A107:A108" si="5">HYPERLINK("https://hdplex.com/","HDPLEX")</f>
        <v>HDPLEX</v>
      </c>
      <c r="B107" s="62" t="str">
        <f>HYPERLINK("https://hdplex.com/hdplex-h1-v3-fanless-computer-case.html","H1 V3")</f>
        <v>H1 V3</v>
      </c>
      <c r="C107" s="63" t="s">
        <v>163</v>
      </c>
      <c r="D107" s="48">
        <v>270.0</v>
      </c>
      <c r="E107" s="48">
        <v>264.0</v>
      </c>
      <c r="F107" s="48">
        <v>63.5</v>
      </c>
      <c r="G107" s="49">
        <f t="shared" si="1"/>
        <v>4.52628</v>
      </c>
      <c r="H107" s="49">
        <f t="shared" si="2"/>
        <v>712.8</v>
      </c>
      <c r="I107" s="48">
        <v>3.5</v>
      </c>
      <c r="J107" s="48" t="s">
        <v>164</v>
      </c>
      <c r="K107" s="50" t="s">
        <v>347</v>
      </c>
      <c r="L107" s="51" t="s">
        <v>348</v>
      </c>
      <c r="M107" s="50" t="s">
        <v>166</v>
      </c>
      <c r="N107" s="51" t="s">
        <v>166</v>
      </c>
      <c r="O107" s="48" t="s">
        <v>166</v>
      </c>
      <c r="P107" s="48" t="s">
        <v>166</v>
      </c>
      <c r="Q107" s="48" t="s">
        <v>166</v>
      </c>
      <c r="R107" s="48" t="s">
        <v>166</v>
      </c>
      <c r="S107" s="50" t="s">
        <v>166</v>
      </c>
      <c r="T107" s="52" t="s">
        <v>167</v>
      </c>
      <c r="U107" s="52" t="s">
        <v>168</v>
      </c>
      <c r="V107" s="51">
        <v>4.0</v>
      </c>
      <c r="W107" s="48" t="s">
        <v>166</v>
      </c>
      <c r="X107" s="50" t="s">
        <v>166</v>
      </c>
      <c r="Y107" s="51" t="s">
        <v>166</v>
      </c>
      <c r="Z107" s="48" t="s">
        <v>166</v>
      </c>
      <c r="AA107" s="48" t="s">
        <v>166</v>
      </c>
      <c r="AB107" s="48" t="s">
        <v>166</v>
      </c>
      <c r="AC107" s="48" t="s">
        <v>166</v>
      </c>
      <c r="AD107" s="48" t="s">
        <v>166</v>
      </c>
      <c r="AE107" s="54" t="s">
        <v>166</v>
      </c>
      <c r="AF107" s="55" t="s">
        <v>166</v>
      </c>
      <c r="AG107" s="51" t="s">
        <v>166</v>
      </c>
      <c r="AH107" s="48" t="s">
        <v>166</v>
      </c>
      <c r="AI107" s="48" t="s">
        <v>166</v>
      </c>
      <c r="AJ107" s="50" t="s">
        <v>166</v>
      </c>
      <c r="AK107" s="51" t="s">
        <v>166</v>
      </c>
      <c r="AL107" s="57">
        <v>215.0</v>
      </c>
      <c r="AM107" s="58"/>
      <c r="AN107" s="59"/>
      <c r="AO107" s="60"/>
      <c r="AP107" s="60"/>
      <c r="AQ107" s="66"/>
    </row>
    <row r="108">
      <c r="A108" s="61" t="str">
        <f t="shared" si="5"/>
        <v>HDPLEX</v>
      </c>
      <c r="B108" s="62" t="str">
        <f>HYPERLINK("https://hdplex.com/hdplex-h1-todd-fanless-computer-case.html","H1.TODD")</f>
        <v>H1.TODD</v>
      </c>
      <c r="C108" s="63" t="s">
        <v>163</v>
      </c>
      <c r="D108" s="48">
        <v>270.0</v>
      </c>
      <c r="E108" s="48">
        <v>264.0</v>
      </c>
      <c r="F108" s="48">
        <v>63.5</v>
      </c>
      <c r="G108" s="49">
        <f t="shared" si="1"/>
        <v>4.52628</v>
      </c>
      <c r="H108" s="49">
        <f t="shared" si="2"/>
        <v>712.8</v>
      </c>
      <c r="I108" s="48">
        <v>4.0</v>
      </c>
      <c r="J108" s="48" t="s">
        <v>164</v>
      </c>
      <c r="K108" s="50" t="s">
        <v>347</v>
      </c>
      <c r="L108" s="51" t="s">
        <v>348</v>
      </c>
      <c r="M108" s="50" t="s">
        <v>166</v>
      </c>
      <c r="N108" s="51" t="s">
        <v>166</v>
      </c>
      <c r="O108" s="48" t="s">
        <v>166</v>
      </c>
      <c r="P108" s="48" t="s">
        <v>166</v>
      </c>
      <c r="Q108" s="48" t="s">
        <v>166</v>
      </c>
      <c r="R108" s="48" t="s">
        <v>166</v>
      </c>
      <c r="S108" s="50" t="s">
        <v>166</v>
      </c>
      <c r="T108" s="52" t="s">
        <v>167</v>
      </c>
      <c r="U108" s="52" t="s">
        <v>168</v>
      </c>
      <c r="V108" s="51">
        <v>2.0</v>
      </c>
      <c r="W108" s="48" t="s">
        <v>166</v>
      </c>
      <c r="X108" s="50" t="s">
        <v>208</v>
      </c>
      <c r="Y108" s="51" t="s">
        <v>166</v>
      </c>
      <c r="Z108" s="48" t="s">
        <v>166</v>
      </c>
      <c r="AA108" s="48" t="s">
        <v>166</v>
      </c>
      <c r="AB108" s="48" t="s">
        <v>166</v>
      </c>
      <c r="AC108" s="48" t="s">
        <v>166</v>
      </c>
      <c r="AD108" s="48" t="s">
        <v>166</v>
      </c>
      <c r="AE108" s="54" t="s">
        <v>166</v>
      </c>
      <c r="AF108" s="55" t="s">
        <v>166</v>
      </c>
      <c r="AG108" s="51" t="s">
        <v>166</v>
      </c>
      <c r="AH108" s="48" t="s">
        <v>166</v>
      </c>
      <c r="AI108" s="48" t="s">
        <v>166</v>
      </c>
      <c r="AJ108" s="50" t="s">
        <v>166</v>
      </c>
      <c r="AK108" s="51" t="s">
        <v>166</v>
      </c>
      <c r="AL108" s="57" t="s">
        <v>170</v>
      </c>
      <c r="AM108" s="58"/>
      <c r="AN108" s="59"/>
      <c r="AO108" s="60"/>
      <c r="AP108" s="65">
        <v>44518.49809327546</v>
      </c>
      <c r="AQ108" s="66"/>
    </row>
    <row r="109">
      <c r="A109" s="46" t="str">
        <f>HYPERLINK("https://shop199084424.world.taobao.com/","Geeklab")</f>
        <v>Geeklab</v>
      </c>
      <c r="B109" s="73" t="s">
        <v>349</v>
      </c>
      <c r="C109" s="63" t="s">
        <v>248</v>
      </c>
      <c r="D109" s="48">
        <v>186.0</v>
      </c>
      <c r="E109" s="48">
        <v>104.0</v>
      </c>
      <c r="F109" s="48">
        <v>235.0</v>
      </c>
      <c r="G109" s="49">
        <f t="shared" si="1"/>
        <v>4.54584</v>
      </c>
      <c r="H109" s="49">
        <f t="shared" si="2"/>
        <v>193.44</v>
      </c>
      <c r="I109" s="48" t="s">
        <v>170</v>
      </c>
      <c r="J109" s="48" t="s">
        <v>274</v>
      </c>
      <c r="K109" s="50" t="s">
        <v>275</v>
      </c>
      <c r="L109" s="51">
        <v>42.0</v>
      </c>
      <c r="M109" s="50" t="s">
        <v>166</v>
      </c>
      <c r="N109" s="51" t="s">
        <v>174</v>
      </c>
      <c r="O109" s="48">
        <v>180.0</v>
      </c>
      <c r="P109" s="48" t="s">
        <v>170</v>
      </c>
      <c r="Q109" s="48">
        <v>40.0</v>
      </c>
      <c r="R109" s="48">
        <v>2.0</v>
      </c>
      <c r="S109" s="50" t="s">
        <v>166</v>
      </c>
      <c r="T109" s="52" t="s">
        <v>167</v>
      </c>
      <c r="U109" s="52" t="s">
        <v>186</v>
      </c>
      <c r="V109" s="51">
        <v>2.0</v>
      </c>
      <c r="W109" s="48" t="s">
        <v>166</v>
      </c>
      <c r="X109" s="50" t="s">
        <v>166</v>
      </c>
      <c r="Y109" s="51" t="s">
        <v>166</v>
      </c>
      <c r="Z109" s="48" t="s">
        <v>166</v>
      </c>
      <c r="AA109" s="48">
        <v>2.0</v>
      </c>
      <c r="AB109" s="48" t="s">
        <v>166</v>
      </c>
      <c r="AC109" s="48" t="s">
        <v>166</v>
      </c>
      <c r="AD109" s="48" t="s">
        <v>166</v>
      </c>
      <c r="AE109" s="54" t="s">
        <v>166</v>
      </c>
      <c r="AF109" s="55" t="s">
        <v>166</v>
      </c>
      <c r="AG109" s="51" t="s">
        <v>166</v>
      </c>
      <c r="AH109" s="48" t="s">
        <v>166</v>
      </c>
      <c r="AI109" s="48" t="s">
        <v>166</v>
      </c>
      <c r="AJ109" s="50" t="s">
        <v>166</v>
      </c>
      <c r="AK109" s="56">
        <v>387.0</v>
      </c>
      <c r="AL109" s="57">
        <f>AK109*Sheets!$E$3</f>
        <v>53.3462085</v>
      </c>
      <c r="AM109" s="68"/>
      <c r="AN109" s="70"/>
      <c r="AO109" s="71" t="s">
        <v>181</v>
      </c>
      <c r="AP109" s="71"/>
      <c r="AQ109" s="66"/>
    </row>
    <row r="110">
      <c r="A110" s="69" t="str">
        <f>HYPERLINK("https://metalfish.world.taobao.com/","Metalfish")</f>
        <v>Metalfish</v>
      </c>
      <c r="B110" s="73" t="s">
        <v>350</v>
      </c>
      <c r="C110" s="63" t="s">
        <v>163</v>
      </c>
      <c r="D110" s="48">
        <v>230.0</v>
      </c>
      <c r="E110" s="48">
        <v>86.0</v>
      </c>
      <c r="F110" s="48">
        <v>230.0</v>
      </c>
      <c r="G110" s="49">
        <f t="shared" si="1"/>
        <v>4.5494</v>
      </c>
      <c r="H110" s="49">
        <f t="shared" si="2"/>
        <v>197.8</v>
      </c>
      <c r="I110" s="48" t="s">
        <v>170</v>
      </c>
      <c r="J110" s="48" t="s">
        <v>164</v>
      </c>
      <c r="K110" s="50" t="s">
        <v>213</v>
      </c>
      <c r="L110" s="51">
        <v>40.0</v>
      </c>
      <c r="M110" s="50" t="s">
        <v>166</v>
      </c>
      <c r="N110" s="51" t="s">
        <v>166</v>
      </c>
      <c r="O110" s="48" t="s">
        <v>166</v>
      </c>
      <c r="P110" s="48" t="s">
        <v>166</v>
      </c>
      <c r="Q110" s="48" t="s">
        <v>166</v>
      </c>
      <c r="R110" s="48" t="s">
        <v>166</v>
      </c>
      <c r="S110" s="50" t="s">
        <v>166</v>
      </c>
      <c r="T110" s="52" t="s">
        <v>167</v>
      </c>
      <c r="U110" s="52" t="s">
        <v>168</v>
      </c>
      <c r="V110" s="51">
        <v>2.0</v>
      </c>
      <c r="W110" s="48" t="s">
        <v>166</v>
      </c>
      <c r="X110" s="50" t="s">
        <v>166</v>
      </c>
      <c r="Y110" s="51" t="s">
        <v>166</v>
      </c>
      <c r="Z110" s="48" t="s">
        <v>166</v>
      </c>
      <c r="AA110" s="48" t="s">
        <v>166</v>
      </c>
      <c r="AB110" s="48" t="s">
        <v>166</v>
      </c>
      <c r="AC110" s="48" t="s">
        <v>166</v>
      </c>
      <c r="AD110" s="48" t="s">
        <v>166</v>
      </c>
      <c r="AE110" s="54" t="s">
        <v>166</v>
      </c>
      <c r="AF110" s="55" t="s">
        <v>166</v>
      </c>
      <c r="AG110" s="51" t="s">
        <v>166</v>
      </c>
      <c r="AH110" s="48">
        <v>2.0</v>
      </c>
      <c r="AI110" s="48" t="s">
        <v>166</v>
      </c>
      <c r="AJ110" s="50" t="s">
        <v>166</v>
      </c>
      <c r="AK110" s="56">
        <v>279.0</v>
      </c>
      <c r="AL110" s="57">
        <f>AK110*Sheets!$E$3</f>
        <v>38.4588945</v>
      </c>
      <c r="AM110" s="68"/>
      <c r="AN110" s="70"/>
      <c r="AO110" s="71" t="s">
        <v>181</v>
      </c>
      <c r="AP110" s="72">
        <v>44442.74009869213</v>
      </c>
      <c r="AQ110" s="66"/>
    </row>
    <row r="111">
      <c r="A111" s="69" t="s">
        <v>196</v>
      </c>
      <c r="B111" s="73" t="s">
        <v>351</v>
      </c>
      <c r="C111" s="63" t="s">
        <v>248</v>
      </c>
      <c r="D111" s="48">
        <v>189.0</v>
      </c>
      <c r="E111" s="48">
        <v>110.0</v>
      </c>
      <c r="F111" s="48">
        <v>219.0</v>
      </c>
      <c r="G111" s="49">
        <f t="shared" si="1"/>
        <v>4.55301</v>
      </c>
      <c r="H111" s="49">
        <f t="shared" si="2"/>
        <v>207.9</v>
      </c>
      <c r="I111" s="48" t="s">
        <v>170</v>
      </c>
      <c r="J111" s="48" t="s">
        <v>164</v>
      </c>
      <c r="K111" s="50" t="s">
        <v>226</v>
      </c>
      <c r="L111" s="51">
        <v>47.0</v>
      </c>
      <c r="M111" s="50" t="s">
        <v>166</v>
      </c>
      <c r="N111" s="51" t="s">
        <v>174</v>
      </c>
      <c r="O111" s="48">
        <v>180.0</v>
      </c>
      <c r="P111" s="48" t="s">
        <v>170</v>
      </c>
      <c r="Q111" s="48">
        <v>43.0</v>
      </c>
      <c r="R111" s="48">
        <v>2.0</v>
      </c>
      <c r="S111" s="50" t="s">
        <v>166</v>
      </c>
      <c r="T111" s="52" t="s">
        <v>167</v>
      </c>
      <c r="U111" s="52" t="s">
        <v>186</v>
      </c>
      <c r="V111" s="51">
        <v>2.0</v>
      </c>
      <c r="W111" s="48" t="s">
        <v>166</v>
      </c>
      <c r="X111" s="50" t="s">
        <v>166</v>
      </c>
      <c r="Y111" s="51" t="s">
        <v>166</v>
      </c>
      <c r="Z111" s="48" t="s">
        <v>166</v>
      </c>
      <c r="AA111" s="48" t="s">
        <v>166</v>
      </c>
      <c r="AB111" s="48" t="s">
        <v>166</v>
      </c>
      <c r="AC111" s="48" t="s">
        <v>166</v>
      </c>
      <c r="AD111" s="48" t="s">
        <v>166</v>
      </c>
      <c r="AE111" s="54" t="s">
        <v>166</v>
      </c>
      <c r="AF111" s="55" t="s">
        <v>166</v>
      </c>
      <c r="AG111" s="51" t="s">
        <v>166</v>
      </c>
      <c r="AH111" s="48" t="s">
        <v>166</v>
      </c>
      <c r="AI111" s="48" t="s">
        <v>166</v>
      </c>
      <c r="AJ111" s="50" t="s">
        <v>166</v>
      </c>
      <c r="AK111" s="56">
        <v>109.0</v>
      </c>
      <c r="AL111" s="57">
        <f>AK111*Sheets!$E$3</f>
        <v>15.0251595</v>
      </c>
      <c r="AM111" s="68"/>
      <c r="AN111" s="70"/>
      <c r="AO111" s="71" t="s">
        <v>181</v>
      </c>
      <c r="AP111" s="72">
        <v>45128.0085234375</v>
      </c>
      <c r="AQ111" s="66"/>
    </row>
    <row r="112">
      <c r="A112" s="46" t="s">
        <v>352</v>
      </c>
      <c r="B112" s="46" t="s">
        <v>353</v>
      </c>
      <c r="C112" s="63" t="s">
        <v>248</v>
      </c>
      <c r="D112" s="48">
        <v>185.0</v>
      </c>
      <c r="E112" s="48">
        <v>112.0</v>
      </c>
      <c r="F112" s="48">
        <v>220.0</v>
      </c>
      <c r="G112" s="49">
        <f t="shared" si="1"/>
        <v>4.5584</v>
      </c>
      <c r="H112" s="49">
        <f t="shared" si="2"/>
        <v>207.2</v>
      </c>
      <c r="I112" s="48">
        <v>1.5</v>
      </c>
      <c r="J112" s="48" t="s">
        <v>171</v>
      </c>
      <c r="K112" s="50" t="s">
        <v>354</v>
      </c>
      <c r="L112" s="51">
        <v>40.0</v>
      </c>
      <c r="M112" s="50" t="s">
        <v>166</v>
      </c>
      <c r="N112" s="51" t="s">
        <v>174</v>
      </c>
      <c r="O112" s="48">
        <v>180.0</v>
      </c>
      <c r="P112" s="48" t="s">
        <v>170</v>
      </c>
      <c r="Q112" s="48">
        <v>40.0</v>
      </c>
      <c r="R112" s="48">
        <v>2.0</v>
      </c>
      <c r="S112" s="50" t="s">
        <v>166</v>
      </c>
      <c r="T112" s="52" t="s">
        <v>167</v>
      </c>
      <c r="U112" s="52" t="s">
        <v>186</v>
      </c>
      <c r="V112" s="51">
        <v>2.0</v>
      </c>
      <c r="W112" s="48" t="s">
        <v>166</v>
      </c>
      <c r="X112" s="50" t="s">
        <v>166</v>
      </c>
      <c r="Y112" s="51" t="s">
        <v>166</v>
      </c>
      <c r="Z112" s="48" t="s">
        <v>166</v>
      </c>
      <c r="AA112" s="48" t="s">
        <v>166</v>
      </c>
      <c r="AB112" s="48" t="s">
        <v>166</v>
      </c>
      <c r="AC112" s="48" t="s">
        <v>166</v>
      </c>
      <c r="AD112" s="48" t="s">
        <v>166</v>
      </c>
      <c r="AE112" s="54" t="s">
        <v>166</v>
      </c>
      <c r="AF112" s="55" t="s">
        <v>166</v>
      </c>
      <c r="AG112" s="51" t="s">
        <v>166</v>
      </c>
      <c r="AH112" s="48" t="s">
        <v>166</v>
      </c>
      <c r="AI112" s="48" t="s">
        <v>166</v>
      </c>
      <c r="AJ112" s="50" t="s">
        <v>166</v>
      </c>
      <c r="AK112" s="56">
        <v>89.0</v>
      </c>
      <c r="AL112" s="57">
        <f>AK112*Sheets!$E$3</f>
        <v>12.2682495</v>
      </c>
      <c r="AM112" s="68"/>
      <c r="AN112" s="70"/>
      <c r="AO112" s="71"/>
      <c r="AP112" s="72">
        <v>44758.55884597222</v>
      </c>
      <c r="AQ112" s="66"/>
    </row>
    <row r="113">
      <c r="A113" s="62" t="str">
        <f>HYPERLINK("https://loneindustries.com/","Lone Industries")</f>
        <v>Lone Industries</v>
      </c>
      <c r="B113" s="62" t="str">
        <f>HYPERLINK("https://loneindustries.com/products/5","L5")</f>
        <v>L5</v>
      </c>
      <c r="C113" s="63" t="s">
        <v>262</v>
      </c>
      <c r="D113" s="48">
        <v>216.0</v>
      </c>
      <c r="E113" s="48">
        <v>94.0</v>
      </c>
      <c r="F113" s="48">
        <v>225.0</v>
      </c>
      <c r="G113" s="49">
        <f t="shared" si="1"/>
        <v>4.5684</v>
      </c>
      <c r="H113" s="49">
        <f t="shared" si="2"/>
        <v>203.04</v>
      </c>
      <c r="I113" s="48">
        <v>0.89</v>
      </c>
      <c r="J113" s="48" t="s">
        <v>164</v>
      </c>
      <c r="K113" s="50" t="s">
        <v>204</v>
      </c>
      <c r="L113" s="51">
        <v>70.0</v>
      </c>
      <c r="M113" s="50" t="s">
        <v>166</v>
      </c>
      <c r="N113" s="51" t="s">
        <v>166</v>
      </c>
      <c r="O113" s="48">
        <v>185.0</v>
      </c>
      <c r="P113" s="48">
        <v>70.0</v>
      </c>
      <c r="Q113" s="48">
        <v>40.0</v>
      </c>
      <c r="R113" s="48" t="s">
        <v>166</v>
      </c>
      <c r="S113" s="50">
        <v>2.0</v>
      </c>
      <c r="T113" s="52" t="s">
        <v>167</v>
      </c>
      <c r="U113" s="52" t="s">
        <v>168</v>
      </c>
      <c r="V113" s="51" t="s">
        <v>355</v>
      </c>
      <c r="W113" s="48" t="s">
        <v>166</v>
      </c>
      <c r="X113" s="50" t="s">
        <v>166</v>
      </c>
      <c r="Y113" s="51" t="s">
        <v>166</v>
      </c>
      <c r="Z113" s="48" t="s">
        <v>166</v>
      </c>
      <c r="AA113" s="48" t="s">
        <v>193</v>
      </c>
      <c r="AB113" s="48" t="s">
        <v>166</v>
      </c>
      <c r="AC113" s="48" t="s">
        <v>166</v>
      </c>
      <c r="AD113" s="48" t="s">
        <v>166</v>
      </c>
      <c r="AE113" s="54" t="s">
        <v>166</v>
      </c>
      <c r="AF113" s="55" t="s">
        <v>166</v>
      </c>
      <c r="AG113" s="51" t="s">
        <v>166</v>
      </c>
      <c r="AH113" s="48" t="s">
        <v>166</v>
      </c>
      <c r="AI113" s="48" t="s">
        <v>166</v>
      </c>
      <c r="AJ113" s="50" t="s">
        <v>166</v>
      </c>
      <c r="AK113" s="56" t="s">
        <v>166</v>
      </c>
      <c r="AL113" s="57">
        <v>129.0</v>
      </c>
      <c r="AM113" s="64" t="str">
        <f>HYPERLINK("https://smallformfactor.net/forum/threads/lone-industries-l5-4-6l-mini-itx.9637/","Link")</f>
        <v>Link</v>
      </c>
      <c r="AN113" s="59"/>
      <c r="AO113" s="60" t="s">
        <v>181</v>
      </c>
      <c r="AP113" s="65">
        <v>44563.98697935185</v>
      </c>
      <c r="AQ113" s="66"/>
    </row>
    <row r="114">
      <c r="A114" s="69" t="str">
        <f>HYPERLINK("https://tbox.world.taobao.com/","TBOX")</f>
        <v>TBOX</v>
      </c>
      <c r="B114" s="73" t="s">
        <v>356</v>
      </c>
      <c r="C114" s="63" t="s">
        <v>248</v>
      </c>
      <c r="D114" s="48">
        <v>184.0</v>
      </c>
      <c r="E114" s="48">
        <v>113.0</v>
      </c>
      <c r="F114" s="48">
        <v>220.0</v>
      </c>
      <c r="G114" s="49">
        <f t="shared" si="1"/>
        <v>4.57424</v>
      </c>
      <c r="H114" s="49">
        <f t="shared" si="2"/>
        <v>207.92</v>
      </c>
      <c r="I114" s="48" t="s">
        <v>170</v>
      </c>
      <c r="J114" s="48" t="s">
        <v>164</v>
      </c>
      <c r="K114" s="50" t="s">
        <v>164</v>
      </c>
      <c r="L114" s="51">
        <v>50.0</v>
      </c>
      <c r="M114" s="50" t="s">
        <v>166</v>
      </c>
      <c r="N114" s="51" t="s">
        <v>174</v>
      </c>
      <c r="O114" s="48">
        <v>180.0</v>
      </c>
      <c r="P114" s="48">
        <v>131.0</v>
      </c>
      <c r="Q114" s="48">
        <v>40.0</v>
      </c>
      <c r="R114" s="48">
        <v>2.0</v>
      </c>
      <c r="S114" s="50" t="s">
        <v>166</v>
      </c>
      <c r="T114" s="52" t="s">
        <v>167</v>
      </c>
      <c r="U114" s="52" t="s">
        <v>186</v>
      </c>
      <c r="V114" s="51">
        <v>3.0</v>
      </c>
      <c r="W114" s="48" t="s">
        <v>166</v>
      </c>
      <c r="X114" s="50" t="s">
        <v>166</v>
      </c>
      <c r="Y114" s="51" t="s">
        <v>166</v>
      </c>
      <c r="Z114" s="48" t="s">
        <v>166</v>
      </c>
      <c r="AA114" s="48" t="s">
        <v>166</v>
      </c>
      <c r="AB114" s="48" t="s">
        <v>166</v>
      </c>
      <c r="AC114" s="48" t="s">
        <v>166</v>
      </c>
      <c r="AD114" s="48" t="s">
        <v>166</v>
      </c>
      <c r="AE114" s="54" t="s">
        <v>166</v>
      </c>
      <c r="AF114" s="55" t="s">
        <v>166</v>
      </c>
      <c r="AG114" s="51" t="s">
        <v>166</v>
      </c>
      <c r="AH114" s="48" t="s">
        <v>166</v>
      </c>
      <c r="AI114" s="48" t="s">
        <v>166</v>
      </c>
      <c r="AJ114" s="50" t="s">
        <v>166</v>
      </c>
      <c r="AK114" s="56">
        <v>258.0</v>
      </c>
      <c r="AL114" s="57">
        <f>AK114*Sheets!$E$3</f>
        <v>35.564139</v>
      </c>
      <c r="AM114" s="58"/>
      <c r="AN114" s="59"/>
      <c r="AO114" s="60" t="s">
        <v>181</v>
      </c>
      <c r="AP114" s="60"/>
      <c r="AQ114" s="66"/>
    </row>
    <row r="115">
      <c r="A115" s="46" t="s">
        <v>357</v>
      </c>
      <c r="B115" s="73" t="s">
        <v>358</v>
      </c>
      <c r="C115" s="63" t="s">
        <v>248</v>
      </c>
      <c r="D115" s="48">
        <v>182.0</v>
      </c>
      <c r="E115" s="48">
        <v>114.5</v>
      </c>
      <c r="F115" s="48">
        <v>220.0</v>
      </c>
      <c r="G115" s="49">
        <f t="shared" si="1"/>
        <v>4.58458</v>
      </c>
      <c r="H115" s="49">
        <f t="shared" si="2"/>
        <v>208.39</v>
      </c>
      <c r="I115" s="48" t="s">
        <v>170</v>
      </c>
      <c r="J115" s="48" t="s">
        <v>164</v>
      </c>
      <c r="K115" s="50" t="s">
        <v>359</v>
      </c>
      <c r="L115" s="51">
        <v>48.0</v>
      </c>
      <c r="M115" s="50" t="s">
        <v>166</v>
      </c>
      <c r="N115" s="51" t="s">
        <v>174</v>
      </c>
      <c r="O115" s="48">
        <v>181.0</v>
      </c>
      <c r="P115" s="48">
        <v>130.0</v>
      </c>
      <c r="Q115" s="48">
        <v>42.0</v>
      </c>
      <c r="R115" s="48">
        <v>2.0</v>
      </c>
      <c r="S115" s="50" t="s">
        <v>166</v>
      </c>
      <c r="T115" s="52" t="s">
        <v>167</v>
      </c>
      <c r="U115" s="52" t="s">
        <v>186</v>
      </c>
      <c r="V115" s="51">
        <v>3.0</v>
      </c>
      <c r="W115" s="48" t="s">
        <v>166</v>
      </c>
      <c r="X115" s="50" t="s">
        <v>166</v>
      </c>
      <c r="Y115" s="51" t="s">
        <v>166</v>
      </c>
      <c r="Z115" s="48" t="s">
        <v>166</v>
      </c>
      <c r="AA115" s="48" t="s">
        <v>166</v>
      </c>
      <c r="AB115" s="48" t="s">
        <v>166</v>
      </c>
      <c r="AC115" s="48" t="s">
        <v>166</v>
      </c>
      <c r="AD115" s="48" t="s">
        <v>166</v>
      </c>
      <c r="AE115" s="54" t="s">
        <v>166</v>
      </c>
      <c r="AF115" s="55" t="s">
        <v>166</v>
      </c>
      <c r="AG115" s="51" t="s">
        <v>166</v>
      </c>
      <c r="AH115" s="48" t="s">
        <v>166</v>
      </c>
      <c r="AI115" s="48" t="s">
        <v>166</v>
      </c>
      <c r="AJ115" s="50" t="s">
        <v>166</v>
      </c>
      <c r="AK115" s="56">
        <v>1233.0</v>
      </c>
      <c r="AL115" s="57">
        <f>AK115*Sheets!$E$3</f>
        <v>169.9635015</v>
      </c>
      <c r="AM115" s="68"/>
      <c r="AN115" s="70"/>
      <c r="AO115" s="71" t="s">
        <v>181</v>
      </c>
      <c r="AP115" s="71"/>
      <c r="AQ115" s="66"/>
    </row>
    <row r="116">
      <c r="A116" s="46" t="str">
        <f>HYPERLINK("https://shop159524301.world.taobao.com/","Warhead Design")</f>
        <v>Warhead Design</v>
      </c>
      <c r="B116" s="73" t="s">
        <v>360</v>
      </c>
      <c r="C116" s="63" t="s">
        <v>248</v>
      </c>
      <c r="D116" s="48">
        <v>185.0</v>
      </c>
      <c r="E116" s="48">
        <v>100.0</v>
      </c>
      <c r="F116" s="48">
        <v>250.0</v>
      </c>
      <c r="G116" s="49">
        <f t="shared" si="1"/>
        <v>4.625</v>
      </c>
      <c r="H116" s="49">
        <f t="shared" si="2"/>
        <v>185</v>
      </c>
      <c r="I116" s="48" t="s">
        <v>170</v>
      </c>
      <c r="J116" s="48" t="s">
        <v>164</v>
      </c>
      <c r="K116" s="50" t="s">
        <v>164</v>
      </c>
      <c r="L116" s="51">
        <v>85.0</v>
      </c>
      <c r="M116" s="50" t="s">
        <v>166</v>
      </c>
      <c r="N116" s="51" t="s">
        <v>174</v>
      </c>
      <c r="O116" s="48">
        <v>180.0</v>
      </c>
      <c r="P116" s="48" t="s">
        <v>170</v>
      </c>
      <c r="Q116" s="48">
        <v>40.0</v>
      </c>
      <c r="R116" s="48">
        <v>2.0</v>
      </c>
      <c r="S116" s="50" t="s">
        <v>166</v>
      </c>
      <c r="T116" s="52" t="s">
        <v>167</v>
      </c>
      <c r="U116" s="52" t="s">
        <v>186</v>
      </c>
      <c r="V116" s="51">
        <v>2.0</v>
      </c>
      <c r="W116" s="48" t="s">
        <v>166</v>
      </c>
      <c r="X116" s="50" t="s">
        <v>166</v>
      </c>
      <c r="Y116" s="51" t="s">
        <v>166</v>
      </c>
      <c r="Z116" s="48" t="s">
        <v>166</v>
      </c>
      <c r="AA116" s="48" t="s">
        <v>166</v>
      </c>
      <c r="AB116" s="48" t="s">
        <v>166</v>
      </c>
      <c r="AC116" s="48" t="s">
        <v>166</v>
      </c>
      <c r="AD116" s="48" t="s">
        <v>166</v>
      </c>
      <c r="AE116" s="54" t="s">
        <v>166</v>
      </c>
      <c r="AF116" s="55" t="s">
        <v>166</v>
      </c>
      <c r="AG116" s="51" t="s">
        <v>166</v>
      </c>
      <c r="AH116" s="48">
        <v>1.0</v>
      </c>
      <c r="AI116" s="48" t="s">
        <v>166</v>
      </c>
      <c r="AJ116" s="50" t="s">
        <v>166</v>
      </c>
      <c r="AK116" s="56">
        <v>499.0</v>
      </c>
      <c r="AL116" s="57">
        <f>AK116*Sheets!$E$3</f>
        <v>68.7849045</v>
      </c>
      <c r="AM116" s="58"/>
      <c r="AN116" s="59"/>
      <c r="AO116" s="60" t="s">
        <v>181</v>
      </c>
      <c r="AP116" s="60"/>
      <c r="AQ116" s="66"/>
    </row>
    <row r="117">
      <c r="A117" s="61" t="s">
        <v>361</v>
      </c>
      <c r="B117" s="62" t="s">
        <v>362</v>
      </c>
      <c r="C117" s="63" t="s">
        <v>163</v>
      </c>
      <c r="D117" s="48">
        <v>256.0</v>
      </c>
      <c r="E117" s="48">
        <v>65.0</v>
      </c>
      <c r="F117" s="48">
        <v>279.0</v>
      </c>
      <c r="G117" s="49">
        <f t="shared" si="1"/>
        <v>4.64256</v>
      </c>
      <c r="H117" s="49">
        <f t="shared" si="2"/>
        <v>166.4</v>
      </c>
      <c r="I117" s="48">
        <v>2.1</v>
      </c>
      <c r="J117" s="48" t="s">
        <v>171</v>
      </c>
      <c r="K117" s="50" t="s">
        <v>363</v>
      </c>
      <c r="L117" s="51">
        <v>45.0</v>
      </c>
      <c r="M117" s="50" t="s">
        <v>166</v>
      </c>
      <c r="N117" s="51" t="s">
        <v>166</v>
      </c>
      <c r="O117" s="48" t="s">
        <v>166</v>
      </c>
      <c r="P117" s="48" t="s">
        <v>166</v>
      </c>
      <c r="Q117" s="48" t="s">
        <v>166</v>
      </c>
      <c r="R117" s="48" t="s">
        <v>166</v>
      </c>
      <c r="S117" s="50" t="s">
        <v>166</v>
      </c>
      <c r="T117" s="52" t="s">
        <v>167</v>
      </c>
      <c r="U117" s="52" t="s">
        <v>186</v>
      </c>
      <c r="V117" s="51">
        <v>1.0</v>
      </c>
      <c r="W117" s="48" t="s">
        <v>166</v>
      </c>
      <c r="X117" s="50" t="s">
        <v>208</v>
      </c>
      <c r="Y117" s="51" t="s">
        <v>166</v>
      </c>
      <c r="Z117" s="48" t="s">
        <v>166</v>
      </c>
      <c r="AA117" s="48" t="s">
        <v>166</v>
      </c>
      <c r="AB117" s="48" t="s">
        <v>166</v>
      </c>
      <c r="AC117" s="48" t="s">
        <v>166</v>
      </c>
      <c r="AD117" s="48" t="s">
        <v>166</v>
      </c>
      <c r="AE117" s="54" t="s">
        <v>166</v>
      </c>
      <c r="AF117" s="55" t="s">
        <v>166</v>
      </c>
      <c r="AG117" s="51">
        <v>2.0</v>
      </c>
      <c r="AH117" s="48" t="s">
        <v>166</v>
      </c>
      <c r="AI117" s="48" t="s">
        <v>166</v>
      </c>
      <c r="AJ117" s="50" t="s">
        <v>174</v>
      </c>
      <c r="AK117" s="56" t="s">
        <v>166</v>
      </c>
      <c r="AL117" s="57">
        <f>28.26*1.32</f>
        <v>37.3032</v>
      </c>
      <c r="AM117" s="58"/>
      <c r="AN117" s="59"/>
      <c r="AO117" s="60"/>
      <c r="AP117" s="60"/>
      <c r="AQ117" s="66"/>
    </row>
    <row r="118">
      <c r="A118" s="46" t="str">
        <f>HYPERLINK("https://shop199084424.world.taobao.com/","Geeklab")</f>
        <v>Geeklab</v>
      </c>
      <c r="B118" s="73" t="s">
        <v>364</v>
      </c>
      <c r="C118" s="63" t="s">
        <v>248</v>
      </c>
      <c r="D118" s="48">
        <v>186.0</v>
      </c>
      <c r="E118" s="48">
        <v>106.0</v>
      </c>
      <c r="F118" s="48">
        <v>236.0</v>
      </c>
      <c r="G118" s="49">
        <f t="shared" si="1"/>
        <v>4.652976</v>
      </c>
      <c r="H118" s="49">
        <f t="shared" si="2"/>
        <v>197.16</v>
      </c>
      <c r="I118" s="48">
        <v>0.25</v>
      </c>
      <c r="J118" s="48" t="s">
        <v>365</v>
      </c>
      <c r="K118" s="50" t="s">
        <v>366</v>
      </c>
      <c r="L118" s="51">
        <v>43.5</v>
      </c>
      <c r="M118" s="50" t="s">
        <v>166</v>
      </c>
      <c r="N118" s="51" t="s">
        <v>174</v>
      </c>
      <c r="O118" s="48">
        <v>180.0</v>
      </c>
      <c r="P118" s="48" t="s">
        <v>170</v>
      </c>
      <c r="Q118" s="48">
        <v>40.0</v>
      </c>
      <c r="R118" s="48">
        <v>2.0</v>
      </c>
      <c r="S118" s="50" t="s">
        <v>166</v>
      </c>
      <c r="T118" s="52" t="s">
        <v>167</v>
      </c>
      <c r="U118" s="52" t="s">
        <v>186</v>
      </c>
      <c r="V118" s="51">
        <v>2.0</v>
      </c>
      <c r="W118" s="48" t="s">
        <v>166</v>
      </c>
      <c r="X118" s="50" t="s">
        <v>166</v>
      </c>
      <c r="Y118" s="51" t="s">
        <v>166</v>
      </c>
      <c r="Z118" s="48" t="s">
        <v>166</v>
      </c>
      <c r="AA118" s="48">
        <v>2.0</v>
      </c>
      <c r="AB118" s="48" t="s">
        <v>166</v>
      </c>
      <c r="AC118" s="48" t="s">
        <v>166</v>
      </c>
      <c r="AD118" s="48" t="s">
        <v>166</v>
      </c>
      <c r="AE118" s="54" t="s">
        <v>166</v>
      </c>
      <c r="AF118" s="55" t="s">
        <v>166</v>
      </c>
      <c r="AG118" s="51" t="s">
        <v>166</v>
      </c>
      <c r="AH118" s="48" t="s">
        <v>166</v>
      </c>
      <c r="AI118" s="48" t="s">
        <v>166</v>
      </c>
      <c r="AJ118" s="50" t="s">
        <v>166</v>
      </c>
      <c r="AK118" s="56">
        <v>109.0</v>
      </c>
      <c r="AL118" s="57">
        <f>AK118*Sheets!$E$3</f>
        <v>15.0251595</v>
      </c>
      <c r="AM118" s="68"/>
      <c r="AN118" s="70"/>
      <c r="AO118" s="71" t="s">
        <v>181</v>
      </c>
      <c r="AP118" s="72">
        <v>44569.46028972222</v>
      </c>
      <c r="AQ118" s="66"/>
    </row>
    <row r="119">
      <c r="A119" s="61" t="str">
        <f>HYPERLINK("https://j-hackcompany.com/","J-HACK")</f>
        <v>J-HACK</v>
      </c>
      <c r="B119" s="62" t="s">
        <v>367</v>
      </c>
      <c r="C119" s="63" t="s">
        <v>262</v>
      </c>
      <c r="D119" s="48">
        <v>216.6</v>
      </c>
      <c r="E119" s="48">
        <v>91.37</v>
      </c>
      <c r="F119" s="48">
        <v>235.4</v>
      </c>
      <c r="G119" s="49">
        <f t="shared" si="1"/>
        <v>4.658740667</v>
      </c>
      <c r="H119" s="49">
        <f t="shared" si="2"/>
        <v>197.90742</v>
      </c>
      <c r="I119" s="48" t="s">
        <v>170</v>
      </c>
      <c r="J119" s="48" t="s">
        <v>245</v>
      </c>
      <c r="K119" s="50" t="s">
        <v>245</v>
      </c>
      <c r="L119" s="51">
        <v>69.0</v>
      </c>
      <c r="M119" s="50" t="s">
        <v>166</v>
      </c>
      <c r="N119" s="51" t="s">
        <v>166</v>
      </c>
      <c r="O119" s="48">
        <v>175.0</v>
      </c>
      <c r="P119" s="48">
        <v>70.0</v>
      </c>
      <c r="Q119" s="48">
        <v>40.0</v>
      </c>
      <c r="R119" s="48" t="s">
        <v>166</v>
      </c>
      <c r="S119" s="50">
        <v>2.0</v>
      </c>
      <c r="T119" s="52" t="s">
        <v>167</v>
      </c>
      <c r="U119" s="52" t="s">
        <v>168</v>
      </c>
      <c r="V119" s="51" t="s">
        <v>166</v>
      </c>
      <c r="W119" s="48" t="s">
        <v>166</v>
      </c>
      <c r="X119" s="50" t="s">
        <v>166</v>
      </c>
      <c r="Y119" s="51" t="s">
        <v>166</v>
      </c>
      <c r="Z119" s="48" t="s">
        <v>166</v>
      </c>
      <c r="AA119" s="48">
        <v>4.0</v>
      </c>
      <c r="AB119" s="48" t="s">
        <v>166</v>
      </c>
      <c r="AC119" s="48" t="s">
        <v>166</v>
      </c>
      <c r="AD119" s="48" t="s">
        <v>166</v>
      </c>
      <c r="AE119" s="54" t="s">
        <v>166</v>
      </c>
      <c r="AF119" s="55" t="s">
        <v>166</v>
      </c>
      <c r="AG119" s="51" t="s">
        <v>166</v>
      </c>
      <c r="AH119" s="48" t="s">
        <v>166</v>
      </c>
      <c r="AI119" s="48">
        <v>1.0</v>
      </c>
      <c r="AJ119" s="50" t="s">
        <v>166</v>
      </c>
      <c r="AK119" s="56" t="s">
        <v>166</v>
      </c>
      <c r="AL119" s="57">
        <v>75.0</v>
      </c>
      <c r="AM119" s="58"/>
      <c r="AN119" s="59"/>
      <c r="AO119" s="60"/>
      <c r="AP119" s="60"/>
      <c r="AQ119" s="66"/>
    </row>
    <row r="120">
      <c r="A120" s="61" t="s">
        <v>178</v>
      </c>
      <c r="B120" s="67" t="s">
        <v>368</v>
      </c>
      <c r="C120" s="63" t="s">
        <v>248</v>
      </c>
      <c r="D120" s="48">
        <v>190.0</v>
      </c>
      <c r="E120" s="48">
        <v>110.0</v>
      </c>
      <c r="F120" s="48">
        <v>225.0</v>
      </c>
      <c r="G120" s="49">
        <f t="shared" si="1"/>
        <v>4.7025</v>
      </c>
      <c r="H120" s="49">
        <f t="shared" si="2"/>
        <v>209</v>
      </c>
      <c r="I120" s="48" t="s">
        <v>170</v>
      </c>
      <c r="J120" s="48" t="s">
        <v>274</v>
      </c>
      <c r="K120" s="50" t="s">
        <v>204</v>
      </c>
      <c r="L120" s="51">
        <v>48.0</v>
      </c>
      <c r="M120" s="50" t="s">
        <v>166</v>
      </c>
      <c r="N120" s="51" t="s">
        <v>174</v>
      </c>
      <c r="O120" s="48">
        <v>183.0</v>
      </c>
      <c r="P120" s="48" t="s">
        <v>170</v>
      </c>
      <c r="Q120" s="48">
        <v>40.0</v>
      </c>
      <c r="R120" s="48">
        <v>2.0</v>
      </c>
      <c r="S120" s="50" t="s">
        <v>166</v>
      </c>
      <c r="T120" s="52" t="s">
        <v>167</v>
      </c>
      <c r="U120" s="52" t="s">
        <v>186</v>
      </c>
      <c r="V120" s="51">
        <v>1.0</v>
      </c>
      <c r="W120" s="48" t="s">
        <v>166</v>
      </c>
      <c r="X120" s="50" t="s">
        <v>166</v>
      </c>
      <c r="Y120" s="51" t="s">
        <v>166</v>
      </c>
      <c r="Z120" s="48" t="s">
        <v>166</v>
      </c>
      <c r="AA120" s="48" t="s">
        <v>166</v>
      </c>
      <c r="AB120" s="48" t="s">
        <v>166</v>
      </c>
      <c r="AC120" s="48" t="s">
        <v>166</v>
      </c>
      <c r="AD120" s="48" t="s">
        <v>166</v>
      </c>
      <c r="AE120" s="54" t="s">
        <v>166</v>
      </c>
      <c r="AF120" s="55" t="s">
        <v>166</v>
      </c>
      <c r="AG120" s="51" t="s">
        <v>166</v>
      </c>
      <c r="AH120" s="48" t="s">
        <v>166</v>
      </c>
      <c r="AI120" s="48" t="s">
        <v>166</v>
      </c>
      <c r="AJ120" s="50" t="s">
        <v>166</v>
      </c>
      <c r="AK120" s="56" t="s">
        <v>166</v>
      </c>
      <c r="AL120" s="57">
        <v>69.0</v>
      </c>
      <c r="AM120" s="64" t="str">
        <f>HYPERLINK("https://smallformfactor.net/forum/threads/custom_mod-cases-fx-mini.1771/","Link")</f>
        <v>Link</v>
      </c>
      <c r="AN120" s="59"/>
      <c r="AO120" s="71" t="s">
        <v>181</v>
      </c>
      <c r="AP120" s="65">
        <v>44735.03408496528</v>
      </c>
      <c r="AQ120" s="66"/>
    </row>
    <row r="121">
      <c r="A121" s="69" t="s">
        <v>222</v>
      </c>
      <c r="B121" s="46" t="s">
        <v>369</v>
      </c>
      <c r="C121" s="63" t="s">
        <v>248</v>
      </c>
      <c r="D121" s="48">
        <v>190.0</v>
      </c>
      <c r="E121" s="48">
        <v>113.0</v>
      </c>
      <c r="F121" s="48">
        <v>222.0</v>
      </c>
      <c r="G121" s="49">
        <f t="shared" si="1"/>
        <v>4.76634</v>
      </c>
      <c r="H121" s="49">
        <f t="shared" si="2"/>
        <v>214.7</v>
      </c>
      <c r="I121" s="48">
        <v>0.68</v>
      </c>
      <c r="J121" s="48" t="s">
        <v>171</v>
      </c>
      <c r="K121" s="50" t="s">
        <v>171</v>
      </c>
      <c r="L121" s="51">
        <v>44.0</v>
      </c>
      <c r="M121" s="50" t="s">
        <v>166</v>
      </c>
      <c r="N121" s="51" t="s">
        <v>174</v>
      </c>
      <c r="O121" s="48">
        <v>188.0</v>
      </c>
      <c r="P121" s="48">
        <v>150.0</v>
      </c>
      <c r="Q121" s="48">
        <v>44.0</v>
      </c>
      <c r="R121" s="48">
        <v>2.0</v>
      </c>
      <c r="S121" s="50" t="s">
        <v>166</v>
      </c>
      <c r="T121" s="52" t="s">
        <v>167</v>
      </c>
      <c r="U121" s="52" t="s">
        <v>186</v>
      </c>
      <c r="V121" s="51">
        <v>4.0</v>
      </c>
      <c r="W121" s="48" t="s">
        <v>166</v>
      </c>
      <c r="X121" s="50" t="s">
        <v>166</v>
      </c>
      <c r="Y121" s="51" t="s">
        <v>166</v>
      </c>
      <c r="Z121" s="48" t="s">
        <v>166</v>
      </c>
      <c r="AA121" s="48" t="s">
        <v>166</v>
      </c>
      <c r="AB121" s="48" t="s">
        <v>166</v>
      </c>
      <c r="AC121" s="48" t="s">
        <v>166</v>
      </c>
      <c r="AD121" s="48" t="s">
        <v>166</v>
      </c>
      <c r="AE121" s="54" t="s">
        <v>166</v>
      </c>
      <c r="AF121" s="55" t="s">
        <v>166</v>
      </c>
      <c r="AG121" s="51" t="s">
        <v>166</v>
      </c>
      <c r="AH121" s="48">
        <v>1.0</v>
      </c>
      <c r="AI121" s="48" t="s">
        <v>166</v>
      </c>
      <c r="AJ121" s="50" t="s">
        <v>174</v>
      </c>
      <c r="AK121" s="56">
        <v>89.0</v>
      </c>
      <c r="AL121" s="57">
        <f>AK121*Sheets!$E$3</f>
        <v>12.2682495</v>
      </c>
      <c r="AM121" s="68"/>
      <c r="AN121" s="70"/>
      <c r="AO121" s="71"/>
      <c r="AP121" s="72">
        <v>44735.03189324074</v>
      </c>
      <c r="AQ121" s="66"/>
    </row>
    <row r="122">
      <c r="A122" s="69" t="s">
        <v>222</v>
      </c>
      <c r="B122" s="73" t="s">
        <v>370</v>
      </c>
      <c r="C122" s="63" t="s">
        <v>163</v>
      </c>
      <c r="D122" s="48">
        <v>190.0</v>
      </c>
      <c r="E122" s="48">
        <v>113.0</v>
      </c>
      <c r="F122" s="48">
        <v>222.0</v>
      </c>
      <c r="G122" s="49">
        <f t="shared" si="1"/>
        <v>4.76634</v>
      </c>
      <c r="H122" s="49">
        <f t="shared" si="2"/>
        <v>214.7</v>
      </c>
      <c r="I122" s="48">
        <v>0.68</v>
      </c>
      <c r="J122" s="48" t="s">
        <v>171</v>
      </c>
      <c r="K122" s="50" t="s">
        <v>171</v>
      </c>
      <c r="L122" s="51">
        <v>84.0</v>
      </c>
      <c r="M122" s="50" t="s">
        <v>166</v>
      </c>
      <c r="N122" s="51" t="s">
        <v>166</v>
      </c>
      <c r="O122" s="48" t="s">
        <v>166</v>
      </c>
      <c r="P122" s="48" t="s">
        <v>166</v>
      </c>
      <c r="Q122" s="48" t="s">
        <v>166</v>
      </c>
      <c r="R122" s="48" t="s">
        <v>166</v>
      </c>
      <c r="S122" s="50" t="s">
        <v>166</v>
      </c>
      <c r="T122" s="52" t="s">
        <v>167</v>
      </c>
      <c r="U122" s="52" t="s">
        <v>186</v>
      </c>
      <c r="V122" s="51">
        <v>2.0</v>
      </c>
      <c r="W122" s="48" t="s">
        <v>166</v>
      </c>
      <c r="X122" s="50" t="s">
        <v>166</v>
      </c>
      <c r="Y122" s="51" t="s">
        <v>166</v>
      </c>
      <c r="Z122" s="48" t="s">
        <v>166</v>
      </c>
      <c r="AA122" s="48" t="s">
        <v>166</v>
      </c>
      <c r="AB122" s="48" t="s">
        <v>166</v>
      </c>
      <c r="AC122" s="48" t="s">
        <v>166</v>
      </c>
      <c r="AD122" s="48" t="s">
        <v>166</v>
      </c>
      <c r="AE122" s="54" t="s">
        <v>166</v>
      </c>
      <c r="AF122" s="55" t="s">
        <v>166</v>
      </c>
      <c r="AG122" s="51" t="s">
        <v>166</v>
      </c>
      <c r="AH122" s="48" t="s">
        <v>166</v>
      </c>
      <c r="AI122" s="48" t="s">
        <v>166</v>
      </c>
      <c r="AJ122" s="50" t="s">
        <v>166</v>
      </c>
      <c r="AK122" s="56">
        <v>72.0</v>
      </c>
      <c r="AL122" s="57">
        <f>AK122*Sheets!$E$3</f>
        <v>9.924876</v>
      </c>
      <c r="AM122" s="68"/>
      <c r="AN122" s="70"/>
      <c r="AO122" s="71" t="s">
        <v>181</v>
      </c>
      <c r="AP122" s="72">
        <v>44735.032453912034</v>
      </c>
      <c r="AQ122" s="66"/>
    </row>
    <row r="123">
      <c r="A123" s="61" t="s">
        <v>178</v>
      </c>
      <c r="B123" s="67" t="s">
        <v>371</v>
      </c>
      <c r="C123" s="63" t="s">
        <v>262</v>
      </c>
      <c r="D123" s="48">
        <v>194.0</v>
      </c>
      <c r="E123" s="48">
        <v>273.0</v>
      </c>
      <c r="F123" s="48">
        <v>90.0</v>
      </c>
      <c r="G123" s="49">
        <f t="shared" si="1"/>
        <v>4.76658</v>
      </c>
      <c r="H123" s="49">
        <f t="shared" si="2"/>
        <v>529.62</v>
      </c>
      <c r="I123" s="48" t="s">
        <v>170</v>
      </c>
      <c r="J123" s="48" t="s">
        <v>171</v>
      </c>
      <c r="K123" s="50" t="s">
        <v>229</v>
      </c>
      <c r="L123" s="51">
        <v>65.0</v>
      </c>
      <c r="M123" s="50" t="s">
        <v>166</v>
      </c>
      <c r="N123" s="51" t="s">
        <v>166</v>
      </c>
      <c r="O123" s="48">
        <v>185.0</v>
      </c>
      <c r="P123" s="48">
        <v>69.0</v>
      </c>
      <c r="Q123" s="48">
        <v>42.0</v>
      </c>
      <c r="R123" s="48" t="s">
        <v>166</v>
      </c>
      <c r="S123" s="50">
        <v>2.0</v>
      </c>
      <c r="T123" s="52" t="s">
        <v>167</v>
      </c>
      <c r="U123" s="52" t="s">
        <v>372</v>
      </c>
      <c r="V123" s="51">
        <v>1.0</v>
      </c>
      <c r="W123" s="48" t="s">
        <v>166</v>
      </c>
      <c r="X123" s="50" t="s">
        <v>166</v>
      </c>
      <c r="Y123" s="51" t="s">
        <v>166</v>
      </c>
      <c r="Z123" s="48" t="s">
        <v>166</v>
      </c>
      <c r="AA123" s="48" t="s">
        <v>166</v>
      </c>
      <c r="AB123" s="48" t="s">
        <v>166</v>
      </c>
      <c r="AC123" s="48" t="s">
        <v>166</v>
      </c>
      <c r="AD123" s="48" t="s">
        <v>166</v>
      </c>
      <c r="AE123" s="54" t="s">
        <v>166</v>
      </c>
      <c r="AF123" s="55" t="s">
        <v>166</v>
      </c>
      <c r="AG123" s="51" t="s">
        <v>166</v>
      </c>
      <c r="AH123" s="48" t="s">
        <v>166</v>
      </c>
      <c r="AI123" s="48" t="s">
        <v>166</v>
      </c>
      <c r="AJ123" s="50" t="s">
        <v>166</v>
      </c>
      <c r="AK123" s="56" t="s">
        <v>166</v>
      </c>
      <c r="AL123" s="57">
        <v>119.0</v>
      </c>
      <c r="AM123" s="64" t="str">
        <f>HYPERLINK("https://smallformfactor.net/forum/threads/cases-sl-itx-produced-by-custom_mod.7525/","Link")</f>
        <v>Link</v>
      </c>
      <c r="AN123" s="59"/>
      <c r="AO123" s="71" t="s">
        <v>181</v>
      </c>
      <c r="AP123" s="65">
        <v>45184.67775364583</v>
      </c>
      <c r="AQ123" s="66"/>
    </row>
    <row r="124">
      <c r="A124" s="61" t="s">
        <v>250</v>
      </c>
      <c r="B124" s="88" t="s">
        <v>373</v>
      </c>
      <c r="C124" s="63" t="s">
        <v>225</v>
      </c>
      <c r="D124" s="48">
        <v>188.0</v>
      </c>
      <c r="E124" s="48">
        <v>86.0</v>
      </c>
      <c r="F124" s="48">
        <v>295.0</v>
      </c>
      <c r="G124" s="49">
        <f t="shared" si="1"/>
        <v>4.76956</v>
      </c>
      <c r="H124" s="49">
        <f t="shared" si="2"/>
        <v>161.68</v>
      </c>
      <c r="I124" s="48" t="s">
        <v>170</v>
      </c>
      <c r="J124" s="48" t="s">
        <v>240</v>
      </c>
      <c r="K124" s="50" t="s">
        <v>252</v>
      </c>
      <c r="L124" s="51">
        <v>65.0</v>
      </c>
      <c r="M124" s="50" t="s">
        <v>166</v>
      </c>
      <c r="N124" s="51" t="s">
        <v>174</v>
      </c>
      <c r="O124" s="48">
        <v>173.0</v>
      </c>
      <c r="P124" s="48">
        <v>140.0</v>
      </c>
      <c r="Q124" s="48">
        <v>25.0</v>
      </c>
      <c r="R124" s="48">
        <v>1.0</v>
      </c>
      <c r="S124" s="50" t="s">
        <v>166</v>
      </c>
      <c r="T124" s="52" t="s">
        <v>167</v>
      </c>
      <c r="U124" s="52" t="s">
        <v>186</v>
      </c>
      <c r="V124" s="51" t="s">
        <v>166</v>
      </c>
      <c r="W124" s="48" t="s">
        <v>166</v>
      </c>
      <c r="X124" s="50" t="s">
        <v>166</v>
      </c>
      <c r="Y124" s="51" t="s">
        <v>166</v>
      </c>
      <c r="Z124" s="48" t="s">
        <v>166</v>
      </c>
      <c r="AA124" s="48" t="s">
        <v>166</v>
      </c>
      <c r="AB124" s="48" t="s">
        <v>166</v>
      </c>
      <c r="AC124" s="48" t="s">
        <v>166</v>
      </c>
      <c r="AD124" s="48" t="s">
        <v>166</v>
      </c>
      <c r="AE124" s="54" t="s">
        <v>166</v>
      </c>
      <c r="AF124" s="55" t="s">
        <v>166</v>
      </c>
      <c r="AG124" s="51" t="s">
        <v>166</v>
      </c>
      <c r="AH124" s="48" t="s">
        <v>166</v>
      </c>
      <c r="AI124" s="48" t="s">
        <v>166</v>
      </c>
      <c r="AJ124" s="50" t="s">
        <v>166</v>
      </c>
      <c r="AK124" s="56">
        <v>375.0</v>
      </c>
      <c r="AL124" s="57">
        <f>AK124*Sheets!$E$3</f>
        <v>51.6920625</v>
      </c>
      <c r="AM124" s="58"/>
      <c r="AN124" s="85"/>
      <c r="AO124" s="86"/>
      <c r="AP124" s="65">
        <v>44735.87071621528</v>
      </c>
      <c r="AQ124" s="66"/>
    </row>
    <row r="125">
      <c r="A125" s="61" t="s">
        <v>254</v>
      </c>
      <c r="B125" s="88" t="s">
        <v>374</v>
      </c>
      <c r="C125" s="63" t="s">
        <v>163</v>
      </c>
      <c r="D125" s="48">
        <v>225.0</v>
      </c>
      <c r="E125" s="48">
        <v>100.0</v>
      </c>
      <c r="F125" s="48">
        <v>215.0</v>
      </c>
      <c r="G125" s="49">
        <f t="shared" si="1"/>
        <v>4.8375</v>
      </c>
      <c r="H125" s="49">
        <f t="shared" si="2"/>
        <v>225</v>
      </c>
      <c r="I125" s="48">
        <v>1.6</v>
      </c>
      <c r="J125" s="48" t="s">
        <v>164</v>
      </c>
      <c r="K125" s="50" t="s">
        <v>375</v>
      </c>
      <c r="L125" s="51">
        <v>52.0</v>
      </c>
      <c r="M125" s="50" t="s">
        <v>166</v>
      </c>
      <c r="N125" s="51" t="s">
        <v>166</v>
      </c>
      <c r="O125" s="48" t="s">
        <v>166</v>
      </c>
      <c r="P125" s="48" t="s">
        <v>166</v>
      </c>
      <c r="Q125" s="48" t="s">
        <v>166</v>
      </c>
      <c r="R125" s="48" t="s">
        <v>166</v>
      </c>
      <c r="S125" s="50" t="s">
        <v>166</v>
      </c>
      <c r="T125" s="52" t="s">
        <v>167</v>
      </c>
      <c r="U125" s="52" t="s">
        <v>186</v>
      </c>
      <c r="V125" s="51">
        <v>1.0</v>
      </c>
      <c r="W125" s="48">
        <v>1.0</v>
      </c>
      <c r="X125" s="50" t="s">
        <v>166</v>
      </c>
      <c r="Y125" s="51" t="s">
        <v>166</v>
      </c>
      <c r="Z125" s="48" t="s">
        <v>166</v>
      </c>
      <c r="AA125" s="48" t="s">
        <v>166</v>
      </c>
      <c r="AB125" s="48">
        <v>2.0</v>
      </c>
      <c r="AC125" s="48" t="s">
        <v>166</v>
      </c>
      <c r="AD125" s="48" t="s">
        <v>166</v>
      </c>
      <c r="AE125" s="54" t="s">
        <v>166</v>
      </c>
      <c r="AF125" s="55" t="s">
        <v>166</v>
      </c>
      <c r="AG125" s="51" t="s">
        <v>166</v>
      </c>
      <c r="AH125" s="48" t="s">
        <v>166</v>
      </c>
      <c r="AI125" s="48" t="s">
        <v>166</v>
      </c>
      <c r="AJ125" s="50" t="s">
        <v>166</v>
      </c>
      <c r="AK125" s="56" t="s">
        <v>166</v>
      </c>
      <c r="AL125" s="57">
        <v>79.0</v>
      </c>
      <c r="AM125" s="58"/>
      <c r="AN125" s="59"/>
      <c r="AO125" s="60"/>
      <c r="AP125" s="65">
        <v>44637.7263508912</v>
      </c>
      <c r="AQ125" s="66"/>
    </row>
    <row r="126">
      <c r="A126" s="61" t="s">
        <v>376</v>
      </c>
      <c r="B126" s="62" t="s">
        <v>377</v>
      </c>
      <c r="C126" s="63" t="s">
        <v>248</v>
      </c>
      <c r="D126" s="48">
        <v>180.0</v>
      </c>
      <c r="E126" s="48">
        <v>100.0</v>
      </c>
      <c r="F126" s="48">
        <v>270.0</v>
      </c>
      <c r="G126" s="49">
        <f t="shared" si="1"/>
        <v>4.86</v>
      </c>
      <c r="H126" s="49">
        <f t="shared" si="2"/>
        <v>180</v>
      </c>
      <c r="I126" s="48" t="s">
        <v>170</v>
      </c>
      <c r="J126" s="48" t="s">
        <v>171</v>
      </c>
      <c r="K126" s="50" t="s">
        <v>171</v>
      </c>
      <c r="L126" s="51">
        <v>37.0</v>
      </c>
      <c r="M126" s="50" t="s">
        <v>166</v>
      </c>
      <c r="N126" s="51" t="s">
        <v>174</v>
      </c>
      <c r="O126" s="48">
        <v>257.0</v>
      </c>
      <c r="P126" s="48">
        <v>143.0</v>
      </c>
      <c r="Q126" s="48">
        <v>44.0</v>
      </c>
      <c r="R126" s="93">
        <v>2.0</v>
      </c>
      <c r="S126" s="94" t="s">
        <v>166</v>
      </c>
      <c r="T126" s="52" t="s">
        <v>167</v>
      </c>
      <c r="U126" s="52" t="s">
        <v>186</v>
      </c>
      <c r="V126" s="51" t="s">
        <v>166</v>
      </c>
      <c r="W126" s="48" t="s">
        <v>166</v>
      </c>
      <c r="X126" s="50" t="s">
        <v>166</v>
      </c>
      <c r="Y126" s="51" t="s">
        <v>166</v>
      </c>
      <c r="Z126" s="48" t="s">
        <v>166</v>
      </c>
      <c r="AA126" s="48" t="s">
        <v>166</v>
      </c>
      <c r="AB126" s="48" t="s">
        <v>166</v>
      </c>
      <c r="AC126" s="48" t="s">
        <v>166</v>
      </c>
      <c r="AD126" s="48" t="s">
        <v>166</v>
      </c>
      <c r="AE126" s="54" t="s">
        <v>166</v>
      </c>
      <c r="AF126" s="55" t="s">
        <v>166</v>
      </c>
      <c r="AG126" s="51">
        <v>2.0</v>
      </c>
      <c r="AH126" s="48">
        <v>2.0</v>
      </c>
      <c r="AI126" s="48" t="s">
        <v>166</v>
      </c>
      <c r="AJ126" s="50" t="s">
        <v>174</v>
      </c>
      <c r="AK126" s="56" t="s">
        <v>166</v>
      </c>
      <c r="AL126" s="57">
        <f>9800*0.0071</f>
        <v>69.58</v>
      </c>
      <c r="AM126" s="58"/>
      <c r="AN126" s="87"/>
      <c r="AO126" s="71" t="s">
        <v>181</v>
      </c>
      <c r="AP126" s="65">
        <v>45097.49549630787</v>
      </c>
      <c r="AQ126" s="66"/>
    </row>
    <row r="127">
      <c r="A127" s="61" t="s">
        <v>178</v>
      </c>
      <c r="B127" s="62" t="s">
        <v>378</v>
      </c>
      <c r="C127" s="63" t="s">
        <v>248</v>
      </c>
      <c r="D127" s="48">
        <v>190.0</v>
      </c>
      <c r="E127" s="48">
        <v>115.0</v>
      </c>
      <c r="F127" s="48">
        <v>225.0</v>
      </c>
      <c r="G127" s="49">
        <f t="shared" si="1"/>
        <v>4.91625</v>
      </c>
      <c r="H127" s="49">
        <f t="shared" si="2"/>
        <v>218.5</v>
      </c>
      <c r="I127" s="48">
        <v>0.9</v>
      </c>
      <c r="J127" s="48" t="s">
        <v>274</v>
      </c>
      <c r="K127" s="50" t="s">
        <v>270</v>
      </c>
      <c r="L127" s="51">
        <v>48.0</v>
      </c>
      <c r="M127" s="50" t="s">
        <v>166</v>
      </c>
      <c r="N127" s="51" t="s">
        <v>174</v>
      </c>
      <c r="O127" s="48">
        <v>180.0</v>
      </c>
      <c r="P127" s="48" t="s">
        <v>170</v>
      </c>
      <c r="Q127" s="48">
        <v>42.0</v>
      </c>
      <c r="R127" s="48">
        <v>2.0</v>
      </c>
      <c r="S127" s="50" t="s">
        <v>166</v>
      </c>
      <c r="T127" s="52" t="s">
        <v>167</v>
      </c>
      <c r="U127" s="52" t="s">
        <v>186</v>
      </c>
      <c r="V127" s="51">
        <v>1.0</v>
      </c>
      <c r="W127" s="48" t="s">
        <v>166</v>
      </c>
      <c r="X127" s="50" t="s">
        <v>166</v>
      </c>
      <c r="Y127" s="51" t="s">
        <v>166</v>
      </c>
      <c r="Z127" s="48" t="s">
        <v>166</v>
      </c>
      <c r="AA127" s="48" t="s">
        <v>166</v>
      </c>
      <c r="AB127" s="48" t="s">
        <v>166</v>
      </c>
      <c r="AC127" s="48" t="s">
        <v>166</v>
      </c>
      <c r="AD127" s="48" t="s">
        <v>166</v>
      </c>
      <c r="AE127" s="54" t="s">
        <v>166</v>
      </c>
      <c r="AF127" s="55" t="s">
        <v>166</v>
      </c>
      <c r="AG127" s="51" t="s">
        <v>166</v>
      </c>
      <c r="AH127" s="48" t="s">
        <v>166</v>
      </c>
      <c r="AI127" s="48" t="s">
        <v>166</v>
      </c>
      <c r="AJ127" s="50" t="s">
        <v>166</v>
      </c>
      <c r="AK127" s="56" t="s">
        <v>166</v>
      </c>
      <c r="AL127" s="57">
        <v>123.83</v>
      </c>
      <c r="AM127" s="58"/>
      <c r="AN127" s="59"/>
      <c r="AO127" s="60"/>
      <c r="AP127" s="65"/>
      <c r="AQ127" s="66"/>
    </row>
    <row r="128">
      <c r="A128" s="61" t="s">
        <v>379</v>
      </c>
      <c r="B128" s="62" t="s">
        <v>380</v>
      </c>
      <c r="C128" s="63" t="s">
        <v>163</v>
      </c>
      <c r="D128" s="48">
        <v>235.0</v>
      </c>
      <c r="E128" s="48">
        <v>100.0</v>
      </c>
      <c r="F128" s="48">
        <v>210.0</v>
      </c>
      <c r="G128" s="49">
        <f t="shared" si="1"/>
        <v>4.935</v>
      </c>
      <c r="H128" s="49">
        <f t="shared" si="2"/>
        <v>235</v>
      </c>
      <c r="I128" s="48" t="s">
        <v>170</v>
      </c>
      <c r="J128" s="48" t="s">
        <v>267</v>
      </c>
      <c r="K128" s="50" t="s">
        <v>164</v>
      </c>
      <c r="L128" s="51">
        <v>69.0</v>
      </c>
      <c r="M128" s="50" t="s">
        <v>166</v>
      </c>
      <c r="N128" s="51" t="s">
        <v>166</v>
      </c>
      <c r="O128" s="48" t="s">
        <v>166</v>
      </c>
      <c r="P128" s="48" t="s">
        <v>166</v>
      </c>
      <c r="Q128" s="48" t="s">
        <v>166</v>
      </c>
      <c r="R128" s="48" t="s">
        <v>166</v>
      </c>
      <c r="S128" s="50" t="s">
        <v>166</v>
      </c>
      <c r="T128" s="52" t="s">
        <v>167</v>
      </c>
      <c r="U128" s="52" t="s">
        <v>186</v>
      </c>
      <c r="V128" s="51">
        <v>3.0</v>
      </c>
      <c r="W128" s="48" t="s">
        <v>166</v>
      </c>
      <c r="X128" s="50" t="s">
        <v>166</v>
      </c>
      <c r="Y128" s="51" t="s">
        <v>166</v>
      </c>
      <c r="Z128" s="48" t="s">
        <v>166</v>
      </c>
      <c r="AA128" s="48">
        <v>2.0</v>
      </c>
      <c r="AB128" s="48" t="s">
        <v>166</v>
      </c>
      <c r="AC128" s="48" t="s">
        <v>166</v>
      </c>
      <c r="AD128" s="48" t="s">
        <v>166</v>
      </c>
      <c r="AE128" s="54" t="s">
        <v>166</v>
      </c>
      <c r="AF128" s="55" t="s">
        <v>166</v>
      </c>
      <c r="AG128" s="51" t="s">
        <v>166</v>
      </c>
      <c r="AH128" s="48" t="s">
        <v>166</v>
      </c>
      <c r="AI128" s="48" t="s">
        <v>166</v>
      </c>
      <c r="AJ128" s="50" t="s">
        <v>166</v>
      </c>
      <c r="AK128" s="56">
        <v>899.0</v>
      </c>
      <c r="AL128" s="57">
        <v>169.0</v>
      </c>
      <c r="AM128" s="64"/>
      <c r="AN128" s="70"/>
      <c r="AO128" s="71"/>
      <c r="AP128" s="72">
        <v>44719.41744483796</v>
      </c>
      <c r="AQ128" s="66"/>
    </row>
    <row r="129">
      <c r="A129" s="69" t="s">
        <v>381</v>
      </c>
      <c r="B129" s="46" t="s">
        <v>382</v>
      </c>
      <c r="C129" s="63" t="s">
        <v>248</v>
      </c>
      <c r="D129" s="48">
        <v>186.0</v>
      </c>
      <c r="E129" s="48">
        <v>119.0</v>
      </c>
      <c r="F129" s="48">
        <v>223.0</v>
      </c>
      <c r="G129" s="49">
        <f t="shared" si="1"/>
        <v>4.935882</v>
      </c>
      <c r="H129" s="49">
        <f t="shared" si="2"/>
        <v>221.34</v>
      </c>
      <c r="I129" s="48" t="s">
        <v>170</v>
      </c>
      <c r="J129" s="48" t="s">
        <v>245</v>
      </c>
      <c r="K129" s="50" t="s">
        <v>213</v>
      </c>
      <c r="L129" s="51">
        <v>48.0</v>
      </c>
      <c r="M129" s="50" t="s">
        <v>166</v>
      </c>
      <c r="N129" s="51" t="s">
        <v>174</v>
      </c>
      <c r="O129" s="48">
        <v>181.0</v>
      </c>
      <c r="P129" s="48" t="s">
        <v>170</v>
      </c>
      <c r="Q129" s="48">
        <v>44.0</v>
      </c>
      <c r="R129" s="48">
        <v>2.0</v>
      </c>
      <c r="S129" s="50" t="s">
        <v>166</v>
      </c>
      <c r="T129" s="52" t="s">
        <v>167</v>
      </c>
      <c r="U129" s="52" t="s">
        <v>186</v>
      </c>
      <c r="V129" s="51">
        <v>2.0</v>
      </c>
      <c r="W129" s="48" t="s">
        <v>166</v>
      </c>
      <c r="X129" s="50" t="s">
        <v>166</v>
      </c>
      <c r="Y129" s="51" t="s">
        <v>166</v>
      </c>
      <c r="Z129" s="48" t="s">
        <v>166</v>
      </c>
      <c r="AA129" s="48" t="s">
        <v>166</v>
      </c>
      <c r="AB129" s="48" t="s">
        <v>166</v>
      </c>
      <c r="AC129" s="48" t="s">
        <v>166</v>
      </c>
      <c r="AD129" s="48" t="s">
        <v>166</v>
      </c>
      <c r="AE129" s="54" t="s">
        <v>166</v>
      </c>
      <c r="AF129" s="55" t="s">
        <v>166</v>
      </c>
      <c r="AG129" s="51" t="s">
        <v>166</v>
      </c>
      <c r="AH129" s="48" t="s">
        <v>166</v>
      </c>
      <c r="AI129" s="48" t="s">
        <v>166</v>
      </c>
      <c r="AJ129" s="50" t="s">
        <v>166</v>
      </c>
      <c r="AK129" s="56">
        <v>247.0</v>
      </c>
      <c r="AL129" s="57">
        <f>AK129*Sheets!$E$3</f>
        <v>34.0478385</v>
      </c>
      <c r="AM129" s="68"/>
      <c r="AN129" s="70"/>
      <c r="AO129" s="71"/>
      <c r="AP129" s="72"/>
      <c r="AQ129" s="66"/>
    </row>
    <row r="130">
      <c r="A130" s="82" t="str">
        <f>HYPERLINK("https://www.velkase.com/","Velkase")</f>
        <v>Velkase</v>
      </c>
      <c r="B130" s="62" t="s">
        <v>383</v>
      </c>
      <c r="C130" s="63" t="s">
        <v>248</v>
      </c>
      <c r="D130" s="48">
        <v>177.0</v>
      </c>
      <c r="E130" s="48">
        <v>98.0</v>
      </c>
      <c r="F130" s="48">
        <v>285.0</v>
      </c>
      <c r="G130" s="49">
        <f t="shared" si="1"/>
        <v>4.94361</v>
      </c>
      <c r="H130" s="49">
        <f t="shared" si="2"/>
        <v>173.46</v>
      </c>
      <c r="I130" s="48">
        <v>2.0</v>
      </c>
      <c r="J130" s="48" t="s">
        <v>171</v>
      </c>
      <c r="K130" s="50" t="s">
        <v>285</v>
      </c>
      <c r="L130" s="51">
        <v>37.0</v>
      </c>
      <c r="M130" s="50" t="s">
        <v>166</v>
      </c>
      <c r="N130" s="51" t="s">
        <v>174</v>
      </c>
      <c r="O130" s="48">
        <v>270.0</v>
      </c>
      <c r="P130" s="48">
        <v>135.0</v>
      </c>
      <c r="Q130" s="48">
        <v>43.0</v>
      </c>
      <c r="R130" s="93">
        <v>2.0</v>
      </c>
      <c r="S130" s="94" t="s">
        <v>166</v>
      </c>
      <c r="T130" s="52" t="s">
        <v>167</v>
      </c>
      <c r="U130" s="52" t="s">
        <v>186</v>
      </c>
      <c r="V130" s="51" t="s">
        <v>220</v>
      </c>
      <c r="W130" s="48" t="s">
        <v>166</v>
      </c>
      <c r="X130" s="50" t="s">
        <v>166</v>
      </c>
      <c r="Y130" s="51" t="s">
        <v>166</v>
      </c>
      <c r="Z130" s="48" t="s">
        <v>166</v>
      </c>
      <c r="AA130" s="48" t="s">
        <v>166</v>
      </c>
      <c r="AB130" s="48" t="s">
        <v>166</v>
      </c>
      <c r="AC130" s="48" t="s">
        <v>166</v>
      </c>
      <c r="AD130" s="48" t="s">
        <v>166</v>
      </c>
      <c r="AE130" s="54" t="s">
        <v>166</v>
      </c>
      <c r="AF130" s="55" t="s">
        <v>166</v>
      </c>
      <c r="AG130" s="51" t="s">
        <v>166</v>
      </c>
      <c r="AH130" s="48" t="s">
        <v>166</v>
      </c>
      <c r="AI130" s="48" t="s">
        <v>166</v>
      </c>
      <c r="AJ130" s="50" t="s">
        <v>166</v>
      </c>
      <c r="AK130" s="56" t="s">
        <v>166</v>
      </c>
      <c r="AL130" s="57">
        <v>179.0</v>
      </c>
      <c r="AM130" s="64" t="str">
        <f>HYPERLINK("https://smallformfactor.net/forum/threads/velka-series-cases-for-ultra-compact-and-portable-desktops.9681","Link")</f>
        <v>Link</v>
      </c>
      <c r="AN130" s="87" t="s">
        <v>214</v>
      </c>
      <c r="AO130" s="86"/>
      <c r="AP130" s="65">
        <v>45097.50802020833</v>
      </c>
      <c r="AQ130" s="66"/>
    </row>
    <row r="131">
      <c r="A131" s="69" t="str">
        <f>HYPERLINK("https://shop162335681.world.taobao.com/","柏越科技")</f>
        <v>柏越科技</v>
      </c>
      <c r="B131" s="46" t="s">
        <v>384</v>
      </c>
      <c r="C131" s="63" t="s">
        <v>248</v>
      </c>
      <c r="D131" s="48">
        <v>190.0</v>
      </c>
      <c r="E131" s="48">
        <v>111.0</v>
      </c>
      <c r="F131" s="48">
        <v>235.0</v>
      </c>
      <c r="G131" s="49">
        <f t="shared" si="1"/>
        <v>4.95615</v>
      </c>
      <c r="H131" s="49">
        <f t="shared" si="2"/>
        <v>210.9</v>
      </c>
      <c r="I131" s="48">
        <v>1.0</v>
      </c>
      <c r="J131" s="48" t="s">
        <v>171</v>
      </c>
      <c r="K131" s="50" t="s">
        <v>171</v>
      </c>
      <c r="L131" s="51">
        <v>47.0</v>
      </c>
      <c r="M131" s="50" t="s">
        <v>166</v>
      </c>
      <c r="N131" s="51" t="s">
        <v>174</v>
      </c>
      <c r="O131" s="48">
        <v>190.0</v>
      </c>
      <c r="P131" s="48" t="s">
        <v>170</v>
      </c>
      <c r="Q131" s="48">
        <v>40.0</v>
      </c>
      <c r="R131" s="48">
        <v>2.0</v>
      </c>
      <c r="S131" s="50" t="s">
        <v>166</v>
      </c>
      <c r="T131" s="52" t="s">
        <v>167</v>
      </c>
      <c r="U131" s="52" t="s">
        <v>186</v>
      </c>
      <c r="V131" s="51">
        <v>2.0</v>
      </c>
      <c r="W131" s="48" t="s">
        <v>166</v>
      </c>
      <c r="X131" s="50" t="s">
        <v>166</v>
      </c>
      <c r="Y131" s="51" t="s">
        <v>166</v>
      </c>
      <c r="Z131" s="48" t="s">
        <v>166</v>
      </c>
      <c r="AA131" s="48" t="s">
        <v>166</v>
      </c>
      <c r="AB131" s="48">
        <v>2.0</v>
      </c>
      <c r="AC131" s="48" t="s">
        <v>166</v>
      </c>
      <c r="AD131" s="48" t="s">
        <v>166</v>
      </c>
      <c r="AE131" s="54" t="s">
        <v>166</v>
      </c>
      <c r="AF131" s="55" t="s">
        <v>166</v>
      </c>
      <c r="AG131" s="51" t="s">
        <v>166</v>
      </c>
      <c r="AH131" s="48" t="s">
        <v>166</v>
      </c>
      <c r="AI131" s="48">
        <v>1.0</v>
      </c>
      <c r="AJ131" s="50" t="s">
        <v>166</v>
      </c>
      <c r="AK131" s="56">
        <v>179.0</v>
      </c>
      <c r="AL131" s="57">
        <f>AK131*Sheets!$E$3</f>
        <v>24.6743445</v>
      </c>
      <c r="AM131" s="68"/>
      <c r="AN131" s="70"/>
      <c r="AO131" s="71"/>
      <c r="AP131" s="72">
        <v>44718.97372055556</v>
      </c>
      <c r="AQ131" s="66"/>
    </row>
    <row r="132">
      <c r="A132" s="69" t="s">
        <v>381</v>
      </c>
      <c r="B132" s="73" t="s">
        <v>385</v>
      </c>
      <c r="C132" s="63" t="s">
        <v>248</v>
      </c>
      <c r="D132" s="48">
        <v>187.0</v>
      </c>
      <c r="E132" s="48">
        <v>119.0</v>
      </c>
      <c r="F132" s="48">
        <v>223.0</v>
      </c>
      <c r="G132" s="49">
        <f t="shared" si="1"/>
        <v>4.962419</v>
      </c>
      <c r="H132" s="49">
        <f t="shared" si="2"/>
        <v>222.53</v>
      </c>
      <c r="I132" s="48" t="s">
        <v>170</v>
      </c>
      <c r="J132" s="48" t="s">
        <v>164</v>
      </c>
      <c r="K132" s="50" t="s">
        <v>213</v>
      </c>
      <c r="L132" s="51">
        <v>48.0</v>
      </c>
      <c r="M132" s="50" t="s">
        <v>166</v>
      </c>
      <c r="N132" s="51" t="s">
        <v>174</v>
      </c>
      <c r="O132" s="48">
        <v>181.0</v>
      </c>
      <c r="P132" s="48" t="s">
        <v>170</v>
      </c>
      <c r="Q132" s="48">
        <v>42.0</v>
      </c>
      <c r="R132" s="48">
        <v>2.0</v>
      </c>
      <c r="S132" s="50" t="s">
        <v>166</v>
      </c>
      <c r="T132" s="52" t="s">
        <v>167</v>
      </c>
      <c r="U132" s="52" t="s">
        <v>186</v>
      </c>
      <c r="V132" s="51">
        <v>2.0</v>
      </c>
      <c r="W132" s="48" t="s">
        <v>166</v>
      </c>
      <c r="X132" s="50" t="s">
        <v>166</v>
      </c>
      <c r="Y132" s="51" t="s">
        <v>166</v>
      </c>
      <c r="Z132" s="48" t="s">
        <v>166</v>
      </c>
      <c r="AA132" s="48" t="s">
        <v>166</v>
      </c>
      <c r="AB132" s="48" t="s">
        <v>166</v>
      </c>
      <c r="AC132" s="48" t="s">
        <v>166</v>
      </c>
      <c r="AD132" s="48" t="s">
        <v>166</v>
      </c>
      <c r="AE132" s="54" t="s">
        <v>166</v>
      </c>
      <c r="AF132" s="55" t="s">
        <v>166</v>
      </c>
      <c r="AG132" s="51" t="s">
        <v>166</v>
      </c>
      <c r="AH132" s="48" t="s">
        <v>166</v>
      </c>
      <c r="AI132" s="48" t="s">
        <v>166</v>
      </c>
      <c r="AJ132" s="50" t="s">
        <v>166</v>
      </c>
      <c r="AK132" s="56">
        <v>399.0</v>
      </c>
      <c r="AL132" s="57">
        <f>AK132*Sheets!$E$3</f>
        <v>55.0003545</v>
      </c>
      <c r="AM132" s="68"/>
      <c r="AN132" s="70"/>
      <c r="AO132" s="71" t="s">
        <v>181</v>
      </c>
      <c r="AP132" s="72">
        <v>44604.54897181713</v>
      </c>
      <c r="AQ132" s="66"/>
    </row>
    <row r="133">
      <c r="A133" s="82" t="str">
        <f>HYPERLINK("https://streacom.com/","Streacom")</f>
        <v>Streacom</v>
      </c>
      <c r="B133" s="62" t="s">
        <v>386</v>
      </c>
      <c r="C133" s="63" t="s">
        <v>163</v>
      </c>
      <c r="D133" s="48">
        <v>222.0</v>
      </c>
      <c r="E133" s="48">
        <v>101.0</v>
      </c>
      <c r="F133" s="48">
        <v>222.0</v>
      </c>
      <c r="G133" s="49">
        <f t="shared" si="1"/>
        <v>4.977684</v>
      </c>
      <c r="H133" s="49">
        <f t="shared" si="2"/>
        <v>224.22</v>
      </c>
      <c r="I133" s="48">
        <v>1.8</v>
      </c>
      <c r="J133" s="48" t="s">
        <v>164</v>
      </c>
      <c r="K133" s="50" t="s">
        <v>387</v>
      </c>
      <c r="L133" s="51" t="s">
        <v>348</v>
      </c>
      <c r="M133" s="50" t="s">
        <v>166</v>
      </c>
      <c r="N133" s="51" t="s">
        <v>166</v>
      </c>
      <c r="O133" s="48" t="s">
        <v>166</v>
      </c>
      <c r="P133" s="48" t="s">
        <v>166</v>
      </c>
      <c r="Q133" s="48" t="s">
        <v>166</v>
      </c>
      <c r="R133" s="93" t="s">
        <v>166</v>
      </c>
      <c r="S133" s="94" t="s">
        <v>166</v>
      </c>
      <c r="T133" s="52" t="s">
        <v>167</v>
      </c>
      <c r="U133" s="52" t="s">
        <v>168</v>
      </c>
      <c r="V133" s="51">
        <v>1.0</v>
      </c>
      <c r="W133" s="48" t="s">
        <v>166</v>
      </c>
      <c r="X133" s="50" t="s">
        <v>166</v>
      </c>
      <c r="Y133" s="51" t="s">
        <v>166</v>
      </c>
      <c r="Z133" s="48" t="s">
        <v>166</v>
      </c>
      <c r="AA133" s="48" t="s">
        <v>166</v>
      </c>
      <c r="AB133" s="48" t="s">
        <v>166</v>
      </c>
      <c r="AC133" s="48" t="s">
        <v>166</v>
      </c>
      <c r="AD133" s="48" t="s">
        <v>166</v>
      </c>
      <c r="AE133" s="54" t="s">
        <v>166</v>
      </c>
      <c r="AF133" s="55" t="s">
        <v>166</v>
      </c>
      <c r="AG133" s="51" t="s">
        <v>166</v>
      </c>
      <c r="AH133" s="48" t="s">
        <v>194</v>
      </c>
      <c r="AI133" s="48" t="s">
        <v>194</v>
      </c>
      <c r="AJ133" s="50" t="s">
        <v>166</v>
      </c>
      <c r="AK133" s="56" t="s">
        <v>166</v>
      </c>
      <c r="AL133" s="57">
        <v>129.0</v>
      </c>
      <c r="AM133" s="58"/>
      <c r="AN133" s="85"/>
      <c r="AO133" s="86"/>
      <c r="AP133" s="65">
        <v>44441.95664059027</v>
      </c>
      <c r="AQ133" s="66"/>
    </row>
    <row r="134">
      <c r="A134" s="91" t="s">
        <v>307</v>
      </c>
      <c r="B134" s="67" t="s">
        <v>388</v>
      </c>
      <c r="C134" s="63" t="s">
        <v>248</v>
      </c>
      <c r="D134" s="48">
        <v>231.0</v>
      </c>
      <c r="E134" s="48">
        <v>98.0</v>
      </c>
      <c r="F134" s="48">
        <v>220.0</v>
      </c>
      <c r="G134" s="49">
        <f t="shared" si="1"/>
        <v>4.98036</v>
      </c>
      <c r="H134" s="49">
        <f t="shared" si="2"/>
        <v>226.38</v>
      </c>
      <c r="I134" s="48" t="s">
        <v>170</v>
      </c>
      <c r="J134" s="48" t="s">
        <v>171</v>
      </c>
      <c r="K134" s="50" t="s">
        <v>309</v>
      </c>
      <c r="L134" s="51">
        <v>39.0</v>
      </c>
      <c r="M134" s="50" t="s">
        <v>166</v>
      </c>
      <c r="N134" s="51" t="s">
        <v>174</v>
      </c>
      <c r="O134" s="48">
        <v>220.0</v>
      </c>
      <c r="P134" s="48" t="s">
        <v>170</v>
      </c>
      <c r="Q134" s="48">
        <v>43.0</v>
      </c>
      <c r="R134" s="48">
        <v>2.0</v>
      </c>
      <c r="S134" s="50" t="s">
        <v>166</v>
      </c>
      <c r="T134" s="52" t="s">
        <v>167</v>
      </c>
      <c r="U134" s="52" t="s">
        <v>186</v>
      </c>
      <c r="V134" s="51">
        <v>1.0</v>
      </c>
      <c r="W134" s="48" t="s">
        <v>166</v>
      </c>
      <c r="X134" s="50" t="s">
        <v>166</v>
      </c>
      <c r="Y134" s="51" t="s">
        <v>166</v>
      </c>
      <c r="Z134" s="48" t="s">
        <v>166</v>
      </c>
      <c r="AA134" s="48" t="s">
        <v>166</v>
      </c>
      <c r="AB134" s="48" t="s">
        <v>166</v>
      </c>
      <c r="AC134" s="48" t="s">
        <v>166</v>
      </c>
      <c r="AD134" s="48" t="s">
        <v>166</v>
      </c>
      <c r="AE134" s="54" t="s">
        <v>166</v>
      </c>
      <c r="AF134" s="55" t="s">
        <v>166</v>
      </c>
      <c r="AG134" s="51" t="s">
        <v>166</v>
      </c>
      <c r="AH134" s="48" t="s">
        <v>166</v>
      </c>
      <c r="AI134" s="48" t="s">
        <v>166</v>
      </c>
      <c r="AJ134" s="50" t="s">
        <v>166</v>
      </c>
      <c r="AK134" s="56" t="s">
        <v>166</v>
      </c>
      <c r="AL134" s="57">
        <v>129.99</v>
      </c>
      <c r="AM134" s="64" t="s">
        <v>214</v>
      </c>
      <c r="AN134" s="85"/>
      <c r="AO134" s="71" t="s">
        <v>181</v>
      </c>
      <c r="AP134" s="65">
        <v>44809.99341971065</v>
      </c>
      <c r="AQ134" s="66"/>
    </row>
    <row r="135">
      <c r="A135" s="69" t="str">
        <f>HYPERLINK("https://sgpc.world.taobao.com/","SGPC")</f>
        <v>SGPC</v>
      </c>
      <c r="B135" s="46" t="s">
        <v>389</v>
      </c>
      <c r="C135" s="63" t="s">
        <v>248</v>
      </c>
      <c r="D135" s="48">
        <v>196.0</v>
      </c>
      <c r="E135" s="48">
        <v>117.0</v>
      </c>
      <c r="F135" s="48">
        <v>218.0</v>
      </c>
      <c r="G135" s="49">
        <f t="shared" si="1"/>
        <v>4.999176</v>
      </c>
      <c r="H135" s="49">
        <f t="shared" si="2"/>
        <v>229.32</v>
      </c>
      <c r="I135" s="48">
        <v>3.0</v>
      </c>
      <c r="J135" s="48" t="s">
        <v>336</v>
      </c>
      <c r="K135" s="50" t="s">
        <v>316</v>
      </c>
      <c r="L135" s="51">
        <v>56.0</v>
      </c>
      <c r="M135" s="50" t="s">
        <v>166</v>
      </c>
      <c r="N135" s="51" t="s">
        <v>174</v>
      </c>
      <c r="O135" s="48">
        <v>185.0</v>
      </c>
      <c r="P135" s="48" t="s">
        <v>170</v>
      </c>
      <c r="Q135" s="48">
        <v>43.0</v>
      </c>
      <c r="R135" s="48">
        <v>2.0</v>
      </c>
      <c r="S135" s="50" t="s">
        <v>166</v>
      </c>
      <c r="T135" s="52" t="s">
        <v>167</v>
      </c>
      <c r="U135" s="52" t="s">
        <v>186</v>
      </c>
      <c r="V135" s="51">
        <v>2.0</v>
      </c>
      <c r="W135" s="48" t="s">
        <v>166</v>
      </c>
      <c r="X135" s="50" t="s">
        <v>166</v>
      </c>
      <c r="Y135" s="51" t="s">
        <v>166</v>
      </c>
      <c r="Z135" s="48" t="s">
        <v>166</v>
      </c>
      <c r="AA135" s="48" t="s">
        <v>166</v>
      </c>
      <c r="AB135" s="48" t="s">
        <v>166</v>
      </c>
      <c r="AC135" s="48" t="s">
        <v>166</v>
      </c>
      <c r="AD135" s="48" t="s">
        <v>166</v>
      </c>
      <c r="AE135" s="54" t="s">
        <v>166</v>
      </c>
      <c r="AF135" s="55" t="s">
        <v>166</v>
      </c>
      <c r="AG135" s="51" t="s">
        <v>166</v>
      </c>
      <c r="AH135" s="48">
        <v>1.0</v>
      </c>
      <c r="AI135" s="48">
        <v>1.0</v>
      </c>
      <c r="AJ135" s="50" t="s">
        <v>166</v>
      </c>
      <c r="AK135" s="56">
        <v>179.0</v>
      </c>
      <c r="AL135" s="57">
        <f>AK135*Sheets!$E$3</f>
        <v>24.6743445</v>
      </c>
      <c r="AM135" s="68"/>
      <c r="AN135" s="59"/>
      <c r="AO135" s="60"/>
      <c r="AP135" s="65">
        <v>44681.59336425926</v>
      </c>
      <c r="AQ135" s="66"/>
    </row>
    <row r="136">
      <c r="A136" s="69" t="s">
        <v>390</v>
      </c>
      <c r="B136" s="46" t="s">
        <v>391</v>
      </c>
      <c r="C136" s="63" t="s">
        <v>248</v>
      </c>
      <c r="D136" s="48">
        <v>185.0</v>
      </c>
      <c r="E136" s="48">
        <v>115.0</v>
      </c>
      <c r="F136" s="48">
        <v>235.0</v>
      </c>
      <c r="G136" s="49">
        <f t="shared" si="1"/>
        <v>4.999625</v>
      </c>
      <c r="H136" s="49">
        <f t="shared" si="2"/>
        <v>212.75</v>
      </c>
      <c r="I136" s="48">
        <v>1.1</v>
      </c>
      <c r="J136" s="48" t="s">
        <v>171</v>
      </c>
      <c r="K136" s="50" t="s">
        <v>171</v>
      </c>
      <c r="L136" s="51">
        <v>42.0</v>
      </c>
      <c r="M136" s="50" t="s">
        <v>166</v>
      </c>
      <c r="N136" s="51" t="s">
        <v>174</v>
      </c>
      <c r="O136" s="48">
        <v>175.0</v>
      </c>
      <c r="P136" s="48" t="s">
        <v>170</v>
      </c>
      <c r="Q136" s="48">
        <v>40.0</v>
      </c>
      <c r="R136" s="48">
        <v>2.0</v>
      </c>
      <c r="S136" s="50" t="s">
        <v>166</v>
      </c>
      <c r="T136" s="52" t="s">
        <v>167</v>
      </c>
      <c r="U136" s="52" t="s">
        <v>186</v>
      </c>
      <c r="V136" s="51">
        <v>2.0</v>
      </c>
      <c r="W136" s="48" t="s">
        <v>166</v>
      </c>
      <c r="X136" s="50" t="s">
        <v>166</v>
      </c>
      <c r="Y136" s="51" t="s">
        <v>166</v>
      </c>
      <c r="Z136" s="48" t="s">
        <v>166</v>
      </c>
      <c r="AA136" s="48" t="s">
        <v>166</v>
      </c>
      <c r="AB136" s="48" t="s">
        <v>166</v>
      </c>
      <c r="AC136" s="48" t="s">
        <v>166</v>
      </c>
      <c r="AD136" s="48" t="s">
        <v>166</v>
      </c>
      <c r="AE136" s="54" t="s">
        <v>166</v>
      </c>
      <c r="AF136" s="55" t="s">
        <v>166</v>
      </c>
      <c r="AG136" s="51" t="s">
        <v>166</v>
      </c>
      <c r="AH136" s="48" t="s">
        <v>166</v>
      </c>
      <c r="AI136" s="48" t="s">
        <v>166</v>
      </c>
      <c r="AJ136" s="50" t="s">
        <v>166</v>
      </c>
      <c r="AK136" s="56">
        <v>79.0</v>
      </c>
      <c r="AL136" s="57">
        <f>AK136*Sheets!$E$3</f>
        <v>10.8897945</v>
      </c>
      <c r="AM136" s="68"/>
      <c r="AN136" s="70"/>
      <c r="AO136" s="71"/>
      <c r="AP136" s="72">
        <v>45258.95384357639</v>
      </c>
      <c r="AQ136" s="66"/>
    </row>
    <row r="137">
      <c r="A137" s="83" t="str">
        <f>HYPERLINK("https://nfc-systems.com/","NFC")</f>
        <v>NFC</v>
      </c>
      <c r="B137" s="62" t="s">
        <v>392</v>
      </c>
      <c r="C137" s="63" t="s">
        <v>225</v>
      </c>
      <c r="D137" s="48">
        <v>225.0</v>
      </c>
      <c r="E137" s="48">
        <v>64.0</v>
      </c>
      <c r="F137" s="48">
        <v>348.0</v>
      </c>
      <c r="G137" s="49">
        <f t="shared" si="1"/>
        <v>5.0112</v>
      </c>
      <c r="H137" s="49">
        <f t="shared" si="2"/>
        <v>144</v>
      </c>
      <c r="I137" s="48">
        <v>1.13</v>
      </c>
      <c r="J137" s="48" t="s">
        <v>164</v>
      </c>
      <c r="K137" s="50" t="s">
        <v>204</v>
      </c>
      <c r="L137" s="51">
        <v>45.0</v>
      </c>
      <c r="M137" s="50" t="s">
        <v>166</v>
      </c>
      <c r="N137" s="51" t="s">
        <v>174</v>
      </c>
      <c r="O137" s="48">
        <v>215.0</v>
      </c>
      <c r="P137" s="48" t="s">
        <v>170</v>
      </c>
      <c r="Q137" s="48">
        <v>40.0</v>
      </c>
      <c r="R137" s="48">
        <v>2.0</v>
      </c>
      <c r="S137" s="50" t="s">
        <v>166</v>
      </c>
      <c r="T137" s="52" t="s">
        <v>167</v>
      </c>
      <c r="U137" s="52" t="s">
        <v>168</v>
      </c>
      <c r="V137" s="51" t="s">
        <v>193</v>
      </c>
      <c r="W137" s="48" t="s">
        <v>166</v>
      </c>
      <c r="X137" s="50" t="s">
        <v>166</v>
      </c>
      <c r="Y137" s="51" t="s">
        <v>166</v>
      </c>
      <c r="Z137" s="48" t="s">
        <v>166</v>
      </c>
      <c r="AA137" s="48" t="s">
        <v>166</v>
      </c>
      <c r="AB137" s="48" t="s">
        <v>193</v>
      </c>
      <c r="AC137" s="48" t="s">
        <v>194</v>
      </c>
      <c r="AD137" s="48" t="s">
        <v>166</v>
      </c>
      <c r="AE137" s="54" t="s">
        <v>166</v>
      </c>
      <c r="AF137" s="55" t="s">
        <v>166</v>
      </c>
      <c r="AG137" s="51" t="s">
        <v>166</v>
      </c>
      <c r="AH137" s="48" t="s">
        <v>166</v>
      </c>
      <c r="AI137" s="48" t="s">
        <v>166</v>
      </c>
      <c r="AJ137" s="50" t="s">
        <v>166</v>
      </c>
      <c r="AK137" s="56" t="s">
        <v>166</v>
      </c>
      <c r="AL137" s="57">
        <v>199.0</v>
      </c>
      <c r="AM137" s="64" t="s">
        <v>214</v>
      </c>
      <c r="AN137" s="64" t="s">
        <v>214</v>
      </c>
      <c r="AO137" s="71" t="s">
        <v>181</v>
      </c>
      <c r="AP137" s="65">
        <v>44564.01405517361</v>
      </c>
      <c r="AQ137" s="66"/>
    </row>
    <row r="138">
      <c r="A138" s="61" t="s">
        <v>393</v>
      </c>
      <c r="B138" s="62" t="s">
        <v>394</v>
      </c>
      <c r="C138" s="63" t="s">
        <v>163</v>
      </c>
      <c r="D138" s="48">
        <v>182.0</v>
      </c>
      <c r="E138" s="48">
        <v>137.0</v>
      </c>
      <c r="F138" s="48">
        <v>201.0</v>
      </c>
      <c r="G138" s="49">
        <f t="shared" si="1"/>
        <v>5.011734</v>
      </c>
      <c r="H138" s="49">
        <f t="shared" si="2"/>
        <v>249.34</v>
      </c>
      <c r="I138" s="48">
        <v>0.63</v>
      </c>
      <c r="J138" s="48" t="s">
        <v>245</v>
      </c>
      <c r="K138" s="50" t="s">
        <v>245</v>
      </c>
      <c r="L138" s="51">
        <v>49.0</v>
      </c>
      <c r="M138" s="50" t="s">
        <v>166</v>
      </c>
      <c r="N138" s="51" t="s">
        <v>166</v>
      </c>
      <c r="O138" s="48" t="s">
        <v>166</v>
      </c>
      <c r="P138" s="48" t="s">
        <v>166</v>
      </c>
      <c r="Q138" s="48" t="s">
        <v>166</v>
      </c>
      <c r="R138" s="93" t="s">
        <v>166</v>
      </c>
      <c r="S138" s="94" t="s">
        <v>166</v>
      </c>
      <c r="T138" s="52" t="s">
        <v>167</v>
      </c>
      <c r="U138" s="52" t="s">
        <v>324</v>
      </c>
      <c r="V138" s="51" t="s">
        <v>166</v>
      </c>
      <c r="W138" s="48" t="s">
        <v>166</v>
      </c>
      <c r="X138" s="50" t="s">
        <v>166</v>
      </c>
      <c r="Y138" s="51" t="s">
        <v>166</v>
      </c>
      <c r="Z138" s="48" t="s">
        <v>166</v>
      </c>
      <c r="AA138" s="48" t="s">
        <v>166</v>
      </c>
      <c r="AB138" s="48">
        <v>1.0</v>
      </c>
      <c r="AC138" s="48" t="s">
        <v>166</v>
      </c>
      <c r="AD138" s="48" t="s">
        <v>166</v>
      </c>
      <c r="AE138" s="54" t="s">
        <v>166</v>
      </c>
      <c r="AF138" s="55" t="s">
        <v>166</v>
      </c>
      <c r="AG138" s="51" t="s">
        <v>166</v>
      </c>
      <c r="AH138" s="48" t="s">
        <v>166</v>
      </c>
      <c r="AI138" s="48" t="s">
        <v>166</v>
      </c>
      <c r="AJ138" s="50" t="s">
        <v>166</v>
      </c>
      <c r="AK138" s="56" t="s">
        <v>166</v>
      </c>
      <c r="AL138" s="57">
        <f>67.99*1.22</f>
        <v>82.9478</v>
      </c>
      <c r="AM138" s="58"/>
      <c r="AN138" s="87"/>
      <c r="AO138" s="86"/>
      <c r="AP138" s="65">
        <v>44901.91479263889</v>
      </c>
      <c r="AQ138" s="66"/>
    </row>
    <row r="139">
      <c r="A139" s="46" t="str">
        <f>HYPERLINK("https://shop206098240.world.taobao.com/","LZmod")</f>
        <v>LZmod</v>
      </c>
      <c r="B139" s="46" t="s">
        <v>395</v>
      </c>
      <c r="C139" s="63" t="s">
        <v>262</v>
      </c>
      <c r="D139" s="48">
        <v>240.0</v>
      </c>
      <c r="E139" s="48">
        <v>91.0</v>
      </c>
      <c r="F139" s="48">
        <v>231.0</v>
      </c>
      <c r="G139" s="49">
        <f t="shared" si="1"/>
        <v>5.04504</v>
      </c>
      <c r="H139" s="49">
        <f t="shared" si="2"/>
        <v>218.4</v>
      </c>
      <c r="I139" s="48" t="s">
        <v>170</v>
      </c>
      <c r="J139" s="48" t="s">
        <v>164</v>
      </c>
      <c r="K139" s="50" t="s">
        <v>165</v>
      </c>
      <c r="L139" s="51">
        <v>69.7</v>
      </c>
      <c r="M139" s="50" t="s">
        <v>166</v>
      </c>
      <c r="N139" s="51" t="s">
        <v>166</v>
      </c>
      <c r="O139" s="48">
        <v>180.0</v>
      </c>
      <c r="P139" s="48">
        <v>70.0</v>
      </c>
      <c r="Q139" s="48">
        <v>40.0</v>
      </c>
      <c r="R139" s="48" t="s">
        <v>166</v>
      </c>
      <c r="S139" s="50">
        <v>2.0</v>
      </c>
      <c r="T139" s="52" t="s">
        <v>167</v>
      </c>
      <c r="U139" s="52" t="s">
        <v>186</v>
      </c>
      <c r="V139" s="51">
        <v>2.0</v>
      </c>
      <c r="W139" s="48" t="s">
        <v>166</v>
      </c>
      <c r="X139" s="50" t="s">
        <v>166</v>
      </c>
      <c r="Y139" s="51" t="s">
        <v>166</v>
      </c>
      <c r="Z139" s="48" t="s">
        <v>166</v>
      </c>
      <c r="AA139" s="48">
        <v>2.0</v>
      </c>
      <c r="AB139" s="48" t="s">
        <v>166</v>
      </c>
      <c r="AC139" s="48" t="s">
        <v>166</v>
      </c>
      <c r="AD139" s="48" t="s">
        <v>166</v>
      </c>
      <c r="AE139" s="54" t="s">
        <v>166</v>
      </c>
      <c r="AF139" s="55" t="s">
        <v>166</v>
      </c>
      <c r="AG139" s="51" t="s">
        <v>166</v>
      </c>
      <c r="AH139" s="48">
        <v>1.0</v>
      </c>
      <c r="AI139" s="48" t="s">
        <v>166</v>
      </c>
      <c r="AJ139" s="50" t="s">
        <v>166</v>
      </c>
      <c r="AK139" s="56">
        <v>399.0</v>
      </c>
      <c r="AL139" s="57">
        <f>AK139*Sheets!$E$3</f>
        <v>55.0003545</v>
      </c>
      <c r="AM139" s="58"/>
      <c r="AN139" s="59"/>
      <c r="AO139" s="90"/>
      <c r="AP139" s="65">
        <v>45013.746452997686</v>
      </c>
      <c r="AQ139" s="66"/>
    </row>
    <row r="140">
      <c r="A140" s="69" t="s">
        <v>212</v>
      </c>
      <c r="B140" s="73" t="s">
        <v>396</v>
      </c>
      <c r="C140" s="63" t="s">
        <v>248</v>
      </c>
      <c r="D140" s="48">
        <v>189.0</v>
      </c>
      <c r="E140" s="48">
        <v>114.0</v>
      </c>
      <c r="F140" s="48">
        <v>235.0</v>
      </c>
      <c r="G140" s="49">
        <f t="shared" si="1"/>
        <v>5.06331</v>
      </c>
      <c r="H140" s="49">
        <f t="shared" si="2"/>
        <v>215.46</v>
      </c>
      <c r="I140" s="48" t="s">
        <v>170</v>
      </c>
      <c r="J140" s="48" t="s">
        <v>164</v>
      </c>
      <c r="K140" s="50" t="s">
        <v>334</v>
      </c>
      <c r="L140" s="51">
        <v>49.0</v>
      </c>
      <c r="M140" s="50" t="s">
        <v>166</v>
      </c>
      <c r="N140" s="51" t="s">
        <v>174</v>
      </c>
      <c r="O140" s="48">
        <v>182.0</v>
      </c>
      <c r="P140" s="48">
        <v>150.0</v>
      </c>
      <c r="Q140" s="48">
        <v>42.0</v>
      </c>
      <c r="R140" s="48">
        <v>2.0</v>
      </c>
      <c r="S140" s="50" t="s">
        <v>166</v>
      </c>
      <c r="T140" s="52" t="s">
        <v>167</v>
      </c>
      <c r="U140" s="52" t="s">
        <v>186</v>
      </c>
      <c r="V140" s="51">
        <v>2.0</v>
      </c>
      <c r="W140" s="48" t="s">
        <v>166</v>
      </c>
      <c r="X140" s="50" t="s">
        <v>166</v>
      </c>
      <c r="Y140" s="51" t="s">
        <v>166</v>
      </c>
      <c r="Z140" s="48" t="s">
        <v>166</v>
      </c>
      <c r="AA140" s="48">
        <v>2.0</v>
      </c>
      <c r="AB140" s="48" t="s">
        <v>166</v>
      </c>
      <c r="AC140" s="48" t="s">
        <v>166</v>
      </c>
      <c r="AD140" s="48" t="s">
        <v>166</v>
      </c>
      <c r="AE140" s="54" t="s">
        <v>166</v>
      </c>
      <c r="AF140" s="55" t="s">
        <v>166</v>
      </c>
      <c r="AG140" s="51" t="s">
        <v>166</v>
      </c>
      <c r="AH140" s="48" t="s">
        <v>194</v>
      </c>
      <c r="AI140" s="48" t="s">
        <v>194</v>
      </c>
      <c r="AJ140" s="50" t="s">
        <v>166</v>
      </c>
      <c r="AK140" s="56">
        <v>700.0</v>
      </c>
      <c r="AL140" s="57">
        <f>AK140*Sheets!$E$3</f>
        <v>96.49185</v>
      </c>
      <c r="AM140" s="58"/>
      <c r="AN140" s="64" t="s">
        <v>214</v>
      </c>
      <c r="AO140" s="60" t="s">
        <v>181</v>
      </c>
      <c r="AP140" s="65">
        <v>44442.770896064816</v>
      </c>
      <c r="AQ140" s="66"/>
    </row>
    <row r="141">
      <c r="A141" s="82" t="str">
        <f>HYPERLINK("https://www.velkase.com/","Velkase")</f>
        <v>Velkase</v>
      </c>
      <c r="B141" s="88" t="s">
        <v>397</v>
      </c>
      <c r="C141" s="63" t="s">
        <v>248</v>
      </c>
      <c r="D141" s="48">
        <v>178.0</v>
      </c>
      <c r="E141" s="48">
        <v>102.0</v>
      </c>
      <c r="F141" s="48">
        <v>283.0</v>
      </c>
      <c r="G141" s="49">
        <f t="shared" si="1"/>
        <v>5.138148</v>
      </c>
      <c r="H141" s="49">
        <f t="shared" si="2"/>
        <v>181.56</v>
      </c>
      <c r="I141" s="48">
        <v>1.4</v>
      </c>
      <c r="J141" s="48" t="s">
        <v>171</v>
      </c>
      <c r="K141" s="50" t="s">
        <v>290</v>
      </c>
      <c r="L141" s="51">
        <v>37.0</v>
      </c>
      <c r="M141" s="50" t="s">
        <v>166</v>
      </c>
      <c r="N141" s="51" t="s">
        <v>174</v>
      </c>
      <c r="O141" s="48">
        <v>270.0</v>
      </c>
      <c r="P141" s="48">
        <v>143.0</v>
      </c>
      <c r="Q141" s="48">
        <v>43.0</v>
      </c>
      <c r="R141" s="93">
        <v>2.0</v>
      </c>
      <c r="S141" s="94" t="s">
        <v>166</v>
      </c>
      <c r="T141" s="52" t="s">
        <v>167</v>
      </c>
      <c r="U141" s="52" t="s">
        <v>186</v>
      </c>
      <c r="V141" s="51" t="s">
        <v>220</v>
      </c>
      <c r="W141" s="48" t="s">
        <v>166</v>
      </c>
      <c r="X141" s="50" t="s">
        <v>166</v>
      </c>
      <c r="Y141" s="51">
        <v>2.0</v>
      </c>
      <c r="Z141" s="48" t="s">
        <v>166</v>
      </c>
      <c r="AA141" s="48" t="s">
        <v>166</v>
      </c>
      <c r="AB141" s="48" t="s">
        <v>166</v>
      </c>
      <c r="AC141" s="48" t="s">
        <v>166</v>
      </c>
      <c r="AD141" s="48" t="s">
        <v>166</v>
      </c>
      <c r="AE141" s="54" t="s">
        <v>166</v>
      </c>
      <c r="AF141" s="55" t="s">
        <v>166</v>
      </c>
      <c r="AG141" s="51" t="s">
        <v>166</v>
      </c>
      <c r="AH141" s="48" t="s">
        <v>166</v>
      </c>
      <c r="AI141" s="48" t="s">
        <v>166</v>
      </c>
      <c r="AJ141" s="50" t="s">
        <v>166</v>
      </c>
      <c r="AK141" s="56" t="s">
        <v>166</v>
      </c>
      <c r="AL141" s="57">
        <v>179.99</v>
      </c>
      <c r="AM141" s="64" t="str">
        <f>HYPERLINK("https://smallformfactor.net/forum/threads/velka-series-cases-for-ultra-compact-and-portable-desktops.9681","Link")</f>
        <v>Link</v>
      </c>
      <c r="AN141" s="87"/>
      <c r="AO141" s="86"/>
      <c r="AP141" s="65">
        <v>45208.754840625</v>
      </c>
      <c r="AQ141" s="66"/>
    </row>
    <row r="142">
      <c r="A142" s="61" t="s">
        <v>398</v>
      </c>
      <c r="B142" s="62" t="s">
        <v>399</v>
      </c>
      <c r="C142" s="63" t="s">
        <v>163</v>
      </c>
      <c r="D142" s="48">
        <v>228.0</v>
      </c>
      <c r="E142" s="48">
        <v>90.0</v>
      </c>
      <c r="F142" s="48">
        <v>251.0</v>
      </c>
      <c r="G142" s="49">
        <f t="shared" si="1"/>
        <v>5.15052</v>
      </c>
      <c r="H142" s="49">
        <f t="shared" si="2"/>
        <v>205.2</v>
      </c>
      <c r="I142" s="48">
        <v>1.9</v>
      </c>
      <c r="J142" s="48" t="s">
        <v>240</v>
      </c>
      <c r="K142" s="50" t="s">
        <v>400</v>
      </c>
      <c r="L142" s="51">
        <v>43.0</v>
      </c>
      <c r="M142" s="50" t="s">
        <v>166</v>
      </c>
      <c r="N142" s="51" t="s">
        <v>166</v>
      </c>
      <c r="O142" s="48" t="s">
        <v>166</v>
      </c>
      <c r="P142" s="48" t="s">
        <v>166</v>
      </c>
      <c r="Q142" s="48" t="s">
        <v>166</v>
      </c>
      <c r="R142" s="48" t="s">
        <v>166</v>
      </c>
      <c r="S142" s="50" t="s">
        <v>166</v>
      </c>
      <c r="T142" s="52" t="s">
        <v>167</v>
      </c>
      <c r="U142" s="52" t="s">
        <v>338</v>
      </c>
      <c r="V142" s="51">
        <v>2.0</v>
      </c>
      <c r="W142" s="48" t="s">
        <v>166</v>
      </c>
      <c r="X142" s="50" t="s">
        <v>166</v>
      </c>
      <c r="Y142" s="51" t="s">
        <v>166</v>
      </c>
      <c r="Z142" s="48" t="s">
        <v>166</v>
      </c>
      <c r="AA142" s="48" t="s">
        <v>166</v>
      </c>
      <c r="AB142" s="48" t="s">
        <v>166</v>
      </c>
      <c r="AC142" s="48" t="s">
        <v>166</v>
      </c>
      <c r="AD142" s="48" t="s">
        <v>166</v>
      </c>
      <c r="AE142" s="54" t="s">
        <v>166</v>
      </c>
      <c r="AF142" s="55" t="s">
        <v>166</v>
      </c>
      <c r="AG142" s="51">
        <v>1.0</v>
      </c>
      <c r="AH142" s="48">
        <v>1.0</v>
      </c>
      <c r="AI142" s="48">
        <v>1.0</v>
      </c>
      <c r="AJ142" s="50" t="s">
        <v>174</v>
      </c>
      <c r="AK142" s="56" t="s">
        <v>166</v>
      </c>
      <c r="AL142" s="57" t="s">
        <v>170</v>
      </c>
      <c r="AM142" s="58"/>
      <c r="AN142" s="64"/>
      <c r="AO142" s="60"/>
      <c r="AP142" s="65">
        <v>45042.86505126157</v>
      </c>
      <c r="AQ142" s="66"/>
    </row>
    <row r="143">
      <c r="A143" s="62" t="s">
        <v>401</v>
      </c>
      <c r="B143" s="62" t="s">
        <v>402</v>
      </c>
      <c r="C143" s="63" t="s">
        <v>163</v>
      </c>
      <c r="D143" s="48">
        <v>200.0</v>
      </c>
      <c r="E143" s="48">
        <v>79.0</v>
      </c>
      <c r="F143" s="48">
        <v>326.0</v>
      </c>
      <c r="G143" s="49">
        <f t="shared" si="1"/>
        <v>5.1508</v>
      </c>
      <c r="H143" s="49">
        <f t="shared" si="2"/>
        <v>158</v>
      </c>
      <c r="I143" s="48">
        <v>1.2</v>
      </c>
      <c r="J143" s="48" t="s">
        <v>365</v>
      </c>
      <c r="K143" s="50" t="s">
        <v>403</v>
      </c>
      <c r="L143" s="51">
        <v>57.0</v>
      </c>
      <c r="M143" s="50" t="s">
        <v>166</v>
      </c>
      <c r="N143" s="51" t="s">
        <v>166</v>
      </c>
      <c r="O143" s="48" t="s">
        <v>166</v>
      </c>
      <c r="P143" s="48" t="s">
        <v>166</v>
      </c>
      <c r="Q143" s="48" t="s">
        <v>166</v>
      </c>
      <c r="R143" s="48" t="s">
        <v>166</v>
      </c>
      <c r="S143" s="50" t="s">
        <v>166</v>
      </c>
      <c r="T143" s="52" t="s">
        <v>167</v>
      </c>
      <c r="U143" s="52" t="s">
        <v>346</v>
      </c>
      <c r="V143" s="51" t="s">
        <v>166</v>
      </c>
      <c r="W143" s="48" t="s">
        <v>166</v>
      </c>
      <c r="X143" s="50" t="s">
        <v>166</v>
      </c>
      <c r="Y143" s="51" t="s">
        <v>166</v>
      </c>
      <c r="Z143" s="48" t="s">
        <v>166</v>
      </c>
      <c r="AA143" s="48" t="s">
        <v>166</v>
      </c>
      <c r="AB143" s="48" t="s">
        <v>166</v>
      </c>
      <c r="AC143" s="48" t="s">
        <v>166</v>
      </c>
      <c r="AD143" s="48" t="s">
        <v>166</v>
      </c>
      <c r="AE143" s="54" t="s">
        <v>166</v>
      </c>
      <c r="AF143" s="55" t="s">
        <v>166</v>
      </c>
      <c r="AG143" s="51" t="s">
        <v>166</v>
      </c>
      <c r="AH143" s="48" t="s">
        <v>166</v>
      </c>
      <c r="AI143" s="48" t="s">
        <v>166</v>
      </c>
      <c r="AJ143" s="50" t="s">
        <v>166</v>
      </c>
      <c r="AK143" s="56" t="s">
        <v>166</v>
      </c>
      <c r="AL143" s="57">
        <f>109.5*1.14</f>
        <v>124.83</v>
      </c>
      <c r="AM143" s="64"/>
      <c r="AN143" s="59"/>
      <c r="AO143" s="60"/>
      <c r="AP143" s="65">
        <v>44609.45688880787</v>
      </c>
      <c r="AQ143" s="66"/>
    </row>
    <row r="144">
      <c r="A144" s="69" t="str">
        <f>HYPERLINK("https://shop162335681.world.taobao.com/","柏越科技")</f>
        <v>柏越科技</v>
      </c>
      <c r="B144" s="46" t="str">
        <f>HYPERLINK("https://item.taobao.com/item.htm?id=591485140674","M34")</f>
        <v>M34</v>
      </c>
      <c r="C144" s="63" t="s">
        <v>248</v>
      </c>
      <c r="D144" s="48">
        <v>205.0</v>
      </c>
      <c r="E144" s="48">
        <v>105.0</v>
      </c>
      <c r="F144" s="48">
        <v>240.0</v>
      </c>
      <c r="G144" s="49">
        <f t="shared" si="1"/>
        <v>5.166</v>
      </c>
      <c r="H144" s="49">
        <f t="shared" si="2"/>
        <v>215.25</v>
      </c>
      <c r="I144" s="48">
        <v>0.7</v>
      </c>
      <c r="J144" s="48" t="s">
        <v>274</v>
      </c>
      <c r="K144" s="50" t="s">
        <v>319</v>
      </c>
      <c r="L144" s="51">
        <v>45.0</v>
      </c>
      <c r="M144" s="50" t="s">
        <v>166</v>
      </c>
      <c r="N144" s="51" t="s">
        <v>174</v>
      </c>
      <c r="O144" s="48">
        <v>205.0</v>
      </c>
      <c r="P144" s="48" t="s">
        <v>170</v>
      </c>
      <c r="Q144" s="48">
        <v>45.0</v>
      </c>
      <c r="R144" s="48">
        <v>2.0</v>
      </c>
      <c r="S144" s="50" t="s">
        <v>166</v>
      </c>
      <c r="T144" s="52" t="s">
        <v>167</v>
      </c>
      <c r="U144" s="52" t="s">
        <v>186</v>
      </c>
      <c r="V144" s="51">
        <v>2.0</v>
      </c>
      <c r="W144" s="48" t="s">
        <v>166</v>
      </c>
      <c r="X144" s="50" t="s">
        <v>166</v>
      </c>
      <c r="Y144" s="51" t="s">
        <v>166</v>
      </c>
      <c r="Z144" s="48" t="s">
        <v>166</v>
      </c>
      <c r="AA144" s="48" t="s">
        <v>193</v>
      </c>
      <c r="AB144" s="48" t="s">
        <v>193</v>
      </c>
      <c r="AC144" s="48" t="s">
        <v>166</v>
      </c>
      <c r="AD144" s="48" t="s">
        <v>166</v>
      </c>
      <c r="AE144" s="54" t="s">
        <v>166</v>
      </c>
      <c r="AF144" s="55" t="s">
        <v>166</v>
      </c>
      <c r="AG144" s="51" t="s">
        <v>166</v>
      </c>
      <c r="AH144" s="48">
        <v>1.0</v>
      </c>
      <c r="AI144" s="48" t="s">
        <v>166</v>
      </c>
      <c r="AJ144" s="50" t="s">
        <v>166</v>
      </c>
      <c r="AK144" s="56">
        <v>199.0</v>
      </c>
      <c r="AL144" s="57">
        <f>AK144*Sheets!$E$3</f>
        <v>27.4312545</v>
      </c>
      <c r="AM144" s="68"/>
      <c r="AN144" s="70"/>
      <c r="AO144" s="71"/>
      <c r="AP144" s="72">
        <v>44600.47477392361</v>
      </c>
      <c r="AQ144" s="66"/>
    </row>
    <row r="145">
      <c r="A145" s="46" t="s">
        <v>404</v>
      </c>
      <c r="B145" s="73" t="s">
        <v>405</v>
      </c>
      <c r="C145" s="63" t="s">
        <v>248</v>
      </c>
      <c r="D145" s="48">
        <v>191.0</v>
      </c>
      <c r="E145" s="48">
        <v>116.0</v>
      </c>
      <c r="F145" s="48">
        <v>234.0</v>
      </c>
      <c r="G145" s="49">
        <f t="shared" si="1"/>
        <v>5.184504</v>
      </c>
      <c r="H145" s="49">
        <f t="shared" si="2"/>
        <v>221.56</v>
      </c>
      <c r="I145" s="48">
        <v>1.8</v>
      </c>
      <c r="J145" s="48" t="s">
        <v>164</v>
      </c>
      <c r="K145" s="50" t="s">
        <v>406</v>
      </c>
      <c r="L145" s="51">
        <v>49.0</v>
      </c>
      <c r="M145" s="50" t="s">
        <v>166</v>
      </c>
      <c r="N145" s="51" t="s">
        <v>174</v>
      </c>
      <c r="O145" s="48">
        <v>185.0</v>
      </c>
      <c r="P145" s="48" t="s">
        <v>170</v>
      </c>
      <c r="Q145" s="48">
        <v>44.0</v>
      </c>
      <c r="R145" s="48">
        <v>2.0</v>
      </c>
      <c r="S145" s="50" t="s">
        <v>166</v>
      </c>
      <c r="T145" s="52" t="s">
        <v>167</v>
      </c>
      <c r="U145" s="52" t="s">
        <v>186</v>
      </c>
      <c r="V145" s="51">
        <v>4.0</v>
      </c>
      <c r="W145" s="48" t="s">
        <v>194</v>
      </c>
      <c r="X145" s="50" t="s">
        <v>166</v>
      </c>
      <c r="Y145" s="51" t="s">
        <v>166</v>
      </c>
      <c r="Z145" s="48" t="s">
        <v>166</v>
      </c>
      <c r="AA145" s="48" t="s">
        <v>166</v>
      </c>
      <c r="AB145" s="48">
        <v>2.0</v>
      </c>
      <c r="AC145" s="48" t="s">
        <v>166</v>
      </c>
      <c r="AD145" s="48" t="s">
        <v>166</v>
      </c>
      <c r="AE145" s="54" t="s">
        <v>166</v>
      </c>
      <c r="AF145" s="55" t="s">
        <v>166</v>
      </c>
      <c r="AG145" s="51" t="s">
        <v>166</v>
      </c>
      <c r="AH145" s="48" t="s">
        <v>166</v>
      </c>
      <c r="AI145" s="48" t="s">
        <v>166</v>
      </c>
      <c r="AJ145" s="50" t="s">
        <v>166</v>
      </c>
      <c r="AK145" s="56">
        <v>598.0</v>
      </c>
      <c r="AL145" s="57">
        <f>AK145*Sheets!$E$3</f>
        <v>82.431609</v>
      </c>
      <c r="AM145" s="68"/>
      <c r="AN145" s="70"/>
      <c r="AO145" s="60" t="s">
        <v>181</v>
      </c>
      <c r="AP145" s="72">
        <v>44723.778926921295</v>
      </c>
      <c r="AQ145" s="66"/>
    </row>
    <row r="146">
      <c r="A146" s="46" t="s">
        <v>404</v>
      </c>
      <c r="B146" s="46" t="s">
        <v>407</v>
      </c>
      <c r="C146" s="63" t="s">
        <v>248</v>
      </c>
      <c r="D146" s="48">
        <v>191.0</v>
      </c>
      <c r="E146" s="48">
        <v>116.0</v>
      </c>
      <c r="F146" s="48">
        <v>234.0</v>
      </c>
      <c r="G146" s="49">
        <f t="shared" si="1"/>
        <v>5.184504</v>
      </c>
      <c r="H146" s="49">
        <f t="shared" si="2"/>
        <v>221.56</v>
      </c>
      <c r="I146" s="48">
        <v>1.8</v>
      </c>
      <c r="J146" s="48" t="s">
        <v>164</v>
      </c>
      <c r="K146" s="50" t="s">
        <v>406</v>
      </c>
      <c r="L146" s="51">
        <v>49.5</v>
      </c>
      <c r="M146" s="50" t="s">
        <v>166</v>
      </c>
      <c r="N146" s="51" t="s">
        <v>174</v>
      </c>
      <c r="O146" s="48">
        <v>187.0</v>
      </c>
      <c r="P146" s="48" t="s">
        <v>170</v>
      </c>
      <c r="Q146" s="48">
        <v>44.5</v>
      </c>
      <c r="R146" s="48">
        <v>2.0</v>
      </c>
      <c r="S146" s="50" t="s">
        <v>166</v>
      </c>
      <c r="T146" s="52" t="s">
        <v>167</v>
      </c>
      <c r="U146" s="52" t="s">
        <v>186</v>
      </c>
      <c r="V146" s="51">
        <v>4.0</v>
      </c>
      <c r="W146" s="48" t="s">
        <v>166</v>
      </c>
      <c r="X146" s="50" t="s">
        <v>166</v>
      </c>
      <c r="Y146" s="51" t="s">
        <v>166</v>
      </c>
      <c r="Z146" s="48" t="s">
        <v>166</v>
      </c>
      <c r="AA146" s="48" t="s">
        <v>166</v>
      </c>
      <c r="AB146" s="48">
        <v>2.0</v>
      </c>
      <c r="AC146" s="48" t="s">
        <v>166</v>
      </c>
      <c r="AD146" s="48" t="s">
        <v>166</v>
      </c>
      <c r="AE146" s="54" t="s">
        <v>166</v>
      </c>
      <c r="AF146" s="55" t="s">
        <v>166</v>
      </c>
      <c r="AG146" s="51" t="s">
        <v>166</v>
      </c>
      <c r="AH146" s="48" t="s">
        <v>166</v>
      </c>
      <c r="AI146" s="48" t="s">
        <v>166</v>
      </c>
      <c r="AJ146" s="50" t="s">
        <v>166</v>
      </c>
      <c r="AK146" s="56">
        <v>598.0</v>
      </c>
      <c r="AL146" s="57">
        <f>AK146*Sheets!$E$3</f>
        <v>82.431609</v>
      </c>
      <c r="AM146" s="68"/>
      <c r="AN146" s="70"/>
      <c r="AO146" s="71"/>
      <c r="AP146" s="72">
        <v>44723.779059803244</v>
      </c>
      <c r="AQ146" s="66"/>
    </row>
    <row r="147">
      <c r="A147" s="62" t="s">
        <v>292</v>
      </c>
      <c r="B147" s="62" t="s">
        <v>408</v>
      </c>
      <c r="C147" s="63" t="s">
        <v>225</v>
      </c>
      <c r="D147" s="48">
        <v>277.0</v>
      </c>
      <c r="E147" s="48">
        <v>60.0</v>
      </c>
      <c r="F147" s="48">
        <v>313.0</v>
      </c>
      <c r="G147" s="49">
        <f t="shared" si="1"/>
        <v>5.20206</v>
      </c>
      <c r="H147" s="49">
        <f t="shared" si="2"/>
        <v>166.2</v>
      </c>
      <c r="I147" s="48" t="s">
        <v>170</v>
      </c>
      <c r="J147" s="48" t="s">
        <v>240</v>
      </c>
      <c r="K147" s="50" t="s">
        <v>164</v>
      </c>
      <c r="L147" s="51">
        <v>38.0</v>
      </c>
      <c r="M147" s="50" t="s">
        <v>166</v>
      </c>
      <c r="N147" s="51" t="s">
        <v>174</v>
      </c>
      <c r="O147" s="48">
        <v>273.0</v>
      </c>
      <c r="P147" s="48">
        <v>122.0</v>
      </c>
      <c r="Q147" s="48">
        <v>40.0</v>
      </c>
      <c r="R147" s="48">
        <v>2.0</v>
      </c>
      <c r="S147" s="50" t="s">
        <v>166</v>
      </c>
      <c r="T147" s="52" t="s">
        <v>167</v>
      </c>
      <c r="U147" s="52" t="s">
        <v>186</v>
      </c>
      <c r="V147" s="51" t="s">
        <v>166</v>
      </c>
      <c r="W147" s="48" t="s">
        <v>166</v>
      </c>
      <c r="X147" s="50" t="s">
        <v>166</v>
      </c>
      <c r="Y147" s="51" t="s">
        <v>166</v>
      </c>
      <c r="Z147" s="48" t="s">
        <v>166</v>
      </c>
      <c r="AA147" s="48" t="s">
        <v>166</v>
      </c>
      <c r="AB147" s="48" t="s">
        <v>166</v>
      </c>
      <c r="AC147" s="48" t="s">
        <v>166</v>
      </c>
      <c r="AD147" s="48" t="s">
        <v>166</v>
      </c>
      <c r="AE147" s="54" t="s">
        <v>166</v>
      </c>
      <c r="AF147" s="55" t="s">
        <v>166</v>
      </c>
      <c r="AG147" s="51" t="s">
        <v>166</v>
      </c>
      <c r="AH147" s="48" t="s">
        <v>166</v>
      </c>
      <c r="AI147" s="48" t="s">
        <v>166</v>
      </c>
      <c r="AJ147" s="50" t="s">
        <v>166</v>
      </c>
      <c r="AK147" s="56" t="s">
        <v>166</v>
      </c>
      <c r="AL147" s="57" t="s">
        <v>166</v>
      </c>
      <c r="AM147" s="64" t="s">
        <v>214</v>
      </c>
      <c r="AN147" s="59"/>
      <c r="AO147" s="60" t="s">
        <v>409</v>
      </c>
      <c r="AP147" s="65">
        <v>44717.94001027777</v>
      </c>
      <c r="AQ147" s="66"/>
    </row>
    <row r="148">
      <c r="A148" s="46" t="str">
        <f>HYPERLINK("https://shop199084424.world.taobao.com/","Geeklab")</f>
        <v>Geeklab</v>
      </c>
      <c r="B148" s="73" t="s">
        <v>410</v>
      </c>
      <c r="C148" s="63" t="s">
        <v>248</v>
      </c>
      <c r="D148" s="48">
        <v>191.0</v>
      </c>
      <c r="E148" s="48">
        <v>113.0</v>
      </c>
      <c r="F148" s="48">
        <v>243.0</v>
      </c>
      <c r="G148" s="49">
        <f t="shared" si="1"/>
        <v>5.244669</v>
      </c>
      <c r="H148" s="49">
        <f t="shared" si="2"/>
        <v>215.83</v>
      </c>
      <c r="I148" s="48" t="s">
        <v>170</v>
      </c>
      <c r="J148" s="48" t="s">
        <v>274</v>
      </c>
      <c r="K148" s="50" t="s">
        <v>275</v>
      </c>
      <c r="L148" s="51">
        <v>49.0</v>
      </c>
      <c r="M148" s="50" t="s">
        <v>166</v>
      </c>
      <c r="N148" s="51" t="s">
        <v>174</v>
      </c>
      <c r="O148" s="48">
        <v>185.0</v>
      </c>
      <c r="P148" s="48" t="s">
        <v>170</v>
      </c>
      <c r="Q148" s="48">
        <v>40.0</v>
      </c>
      <c r="R148" s="48">
        <v>2.0</v>
      </c>
      <c r="S148" s="50" t="s">
        <v>166</v>
      </c>
      <c r="T148" s="52" t="s">
        <v>167</v>
      </c>
      <c r="U148" s="52" t="s">
        <v>186</v>
      </c>
      <c r="V148" s="51">
        <v>2.0</v>
      </c>
      <c r="W148" s="48" t="s">
        <v>166</v>
      </c>
      <c r="X148" s="50" t="s">
        <v>166</v>
      </c>
      <c r="Y148" s="51" t="s">
        <v>166</v>
      </c>
      <c r="Z148" s="48" t="s">
        <v>166</v>
      </c>
      <c r="AA148" s="48" t="s">
        <v>193</v>
      </c>
      <c r="AB148" s="48" t="s">
        <v>193</v>
      </c>
      <c r="AC148" s="48" t="s">
        <v>166</v>
      </c>
      <c r="AD148" s="48" t="s">
        <v>166</v>
      </c>
      <c r="AE148" s="54" t="s">
        <v>166</v>
      </c>
      <c r="AF148" s="55" t="s">
        <v>166</v>
      </c>
      <c r="AG148" s="51" t="s">
        <v>166</v>
      </c>
      <c r="AH148" s="48" t="s">
        <v>166</v>
      </c>
      <c r="AI148" s="48" t="s">
        <v>166</v>
      </c>
      <c r="AJ148" s="50" t="s">
        <v>166</v>
      </c>
      <c r="AK148" s="56">
        <v>427.0</v>
      </c>
      <c r="AL148" s="57">
        <f>AK148*Sheets!$E$3</f>
        <v>58.8600285</v>
      </c>
      <c r="AM148" s="68"/>
      <c r="AN148" s="70"/>
      <c r="AO148" s="71" t="s">
        <v>181</v>
      </c>
      <c r="AP148" s="71"/>
      <c r="AQ148" s="66"/>
    </row>
    <row r="149">
      <c r="A149" s="69" t="str">
        <f>HYPERLINK("https://metalfish.world.taobao.com/","Metalfish")</f>
        <v>Metalfish</v>
      </c>
      <c r="B149" s="46" t="str">
        <f>HYPERLINK("https://item.taobao.com/item.htm?id=581805409959","S3")</f>
        <v>S3</v>
      </c>
      <c r="C149" s="63" t="s">
        <v>248</v>
      </c>
      <c r="D149" s="48">
        <v>200.0</v>
      </c>
      <c r="E149" s="48">
        <v>105.0</v>
      </c>
      <c r="F149" s="48">
        <v>250.0</v>
      </c>
      <c r="G149" s="49">
        <f t="shared" si="1"/>
        <v>5.25</v>
      </c>
      <c r="H149" s="49">
        <f t="shared" si="2"/>
        <v>210</v>
      </c>
      <c r="I149" s="48">
        <v>1.0</v>
      </c>
      <c r="J149" s="48" t="s">
        <v>411</v>
      </c>
      <c r="K149" s="50" t="s">
        <v>305</v>
      </c>
      <c r="L149" s="51">
        <v>40.0</v>
      </c>
      <c r="M149" s="50" t="s">
        <v>166</v>
      </c>
      <c r="N149" s="51" t="s">
        <v>174</v>
      </c>
      <c r="O149" s="48">
        <v>195.0</v>
      </c>
      <c r="P149" s="48" t="s">
        <v>170</v>
      </c>
      <c r="Q149" s="48">
        <v>40.0</v>
      </c>
      <c r="R149" s="48">
        <v>2.0</v>
      </c>
      <c r="S149" s="50" t="s">
        <v>166</v>
      </c>
      <c r="T149" s="52" t="s">
        <v>167</v>
      </c>
      <c r="U149" s="52" t="s">
        <v>186</v>
      </c>
      <c r="V149" s="51" t="s">
        <v>412</v>
      </c>
      <c r="W149" s="48" t="s">
        <v>194</v>
      </c>
      <c r="X149" s="50" t="s">
        <v>166</v>
      </c>
      <c r="Y149" s="51" t="s">
        <v>166</v>
      </c>
      <c r="Z149" s="48" t="s">
        <v>166</v>
      </c>
      <c r="AA149" s="48">
        <v>1.0</v>
      </c>
      <c r="AB149" s="48" t="s">
        <v>166</v>
      </c>
      <c r="AC149" s="48" t="s">
        <v>166</v>
      </c>
      <c r="AD149" s="48" t="s">
        <v>166</v>
      </c>
      <c r="AE149" s="54" t="s">
        <v>166</v>
      </c>
      <c r="AF149" s="55" t="s">
        <v>166</v>
      </c>
      <c r="AG149" s="51" t="s">
        <v>166</v>
      </c>
      <c r="AH149" s="48">
        <v>1.0</v>
      </c>
      <c r="AI149" s="48" t="s">
        <v>166</v>
      </c>
      <c r="AJ149" s="50" t="s">
        <v>166</v>
      </c>
      <c r="AK149" s="56">
        <v>299.0</v>
      </c>
      <c r="AL149" s="57">
        <f>AK149*Sheets!$E$3</f>
        <v>41.2158045</v>
      </c>
      <c r="AM149" s="68"/>
      <c r="AN149" s="70"/>
      <c r="AO149" s="71"/>
      <c r="AP149" s="71"/>
      <c r="AQ149" s="66"/>
    </row>
    <row r="150">
      <c r="A150" s="69" t="s">
        <v>222</v>
      </c>
      <c r="B150" s="73" t="s">
        <v>413</v>
      </c>
      <c r="C150" s="63" t="s">
        <v>248</v>
      </c>
      <c r="D150" s="48">
        <v>200.0</v>
      </c>
      <c r="E150" s="48">
        <v>110.0</v>
      </c>
      <c r="F150" s="48">
        <v>240.0</v>
      </c>
      <c r="G150" s="49">
        <f t="shared" si="1"/>
        <v>5.28</v>
      </c>
      <c r="H150" s="49">
        <f t="shared" si="2"/>
        <v>220</v>
      </c>
      <c r="I150" s="48" t="s">
        <v>170</v>
      </c>
      <c r="J150" s="48" t="s">
        <v>336</v>
      </c>
      <c r="K150" s="50" t="s">
        <v>414</v>
      </c>
      <c r="L150" s="51">
        <v>38.0</v>
      </c>
      <c r="M150" s="50" t="s">
        <v>166</v>
      </c>
      <c r="N150" s="51" t="s">
        <v>174</v>
      </c>
      <c r="O150" s="48">
        <v>200.0</v>
      </c>
      <c r="P150" s="48" t="s">
        <v>170</v>
      </c>
      <c r="Q150" s="48">
        <v>47.0</v>
      </c>
      <c r="R150" s="48">
        <v>2.0</v>
      </c>
      <c r="S150" s="50" t="s">
        <v>166</v>
      </c>
      <c r="T150" s="52" t="s">
        <v>227</v>
      </c>
      <c r="U150" s="52" t="s">
        <v>186</v>
      </c>
      <c r="V150" s="51">
        <v>2.0</v>
      </c>
      <c r="W150" s="48" t="s">
        <v>166</v>
      </c>
      <c r="X150" s="50" t="s">
        <v>166</v>
      </c>
      <c r="Y150" s="51" t="s">
        <v>166</v>
      </c>
      <c r="Z150" s="48" t="s">
        <v>166</v>
      </c>
      <c r="AA150" s="48">
        <v>2.0</v>
      </c>
      <c r="AB150" s="48" t="s">
        <v>166</v>
      </c>
      <c r="AC150" s="48" t="s">
        <v>166</v>
      </c>
      <c r="AD150" s="48" t="s">
        <v>166</v>
      </c>
      <c r="AE150" s="54" t="s">
        <v>166</v>
      </c>
      <c r="AF150" s="55" t="s">
        <v>166</v>
      </c>
      <c r="AG150" s="51" t="s">
        <v>166</v>
      </c>
      <c r="AH150" s="48" t="s">
        <v>166</v>
      </c>
      <c r="AI150" s="48" t="s">
        <v>166</v>
      </c>
      <c r="AJ150" s="50" t="s">
        <v>166</v>
      </c>
      <c r="AK150" s="56">
        <v>188.0</v>
      </c>
      <c r="AL150" s="57">
        <f>AK150*Sheets!$E$3</f>
        <v>25.914954</v>
      </c>
      <c r="AM150" s="68"/>
      <c r="AN150" s="70"/>
      <c r="AO150" s="71" t="s">
        <v>181</v>
      </c>
      <c r="AP150" s="71"/>
      <c r="AQ150" s="66"/>
    </row>
    <row r="151">
      <c r="A151" s="46" t="str">
        <f>HYPERLINK("https://shop309038390.world.taobao.com/","ZZAW")</f>
        <v>ZZAW</v>
      </c>
      <c r="B151" s="73" t="s">
        <v>415</v>
      </c>
      <c r="C151" s="63" t="s">
        <v>248</v>
      </c>
      <c r="D151" s="48">
        <v>200.0</v>
      </c>
      <c r="E151" s="48">
        <v>109.0</v>
      </c>
      <c r="F151" s="48">
        <v>243.0</v>
      </c>
      <c r="G151" s="49">
        <f t="shared" si="1"/>
        <v>5.2974</v>
      </c>
      <c r="H151" s="49">
        <f t="shared" si="2"/>
        <v>218</v>
      </c>
      <c r="I151" s="48">
        <v>1.1</v>
      </c>
      <c r="J151" s="48" t="s">
        <v>164</v>
      </c>
      <c r="K151" s="50" t="s">
        <v>185</v>
      </c>
      <c r="L151" s="51">
        <v>43.0</v>
      </c>
      <c r="M151" s="50" t="s">
        <v>166</v>
      </c>
      <c r="N151" s="51" t="s">
        <v>174</v>
      </c>
      <c r="O151" s="48">
        <v>195.0</v>
      </c>
      <c r="P151" s="48">
        <v>146.0</v>
      </c>
      <c r="Q151" s="48">
        <v>44.0</v>
      </c>
      <c r="R151" s="48">
        <v>2.0</v>
      </c>
      <c r="S151" s="50" t="s">
        <v>166</v>
      </c>
      <c r="T151" s="52" t="s">
        <v>167</v>
      </c>
      <c r="U151" s="52" t="s">
        <v>186</v>
      </c>
      <c r="V151" s="51" t="s">
        <v>416</v>
      </c>
      <c r="W151" s="48" t="s">
        <v>194</v>
      </c>
      <c r="X151" s="50" t="s">
        <v>166</v>
      </c>
      <c r="Y151" s="51" t="s">
        <v>166</v>
      </c>
      <c r="Z151" s="48" t="s">
        <v>166</v>
      </c>
      <c r="AA151" s="48" t="s">
        <v>194</v>
      </c>
      <c r="AB151" s="48" t="s">
        <v>194</v>
      </c>
      <c r="AC151" s="48" t="s">
        <v>166</v>
      </c>
      <c r="AD151" s="48" t="s">
        <v>166</v>
      </c>
      <c r="AE151" s="54" t="s">
        <v>166</v>
      </c>
      <c r="AF151" s="55" t="s">
        <v>166</v>
      </c>
      <c r="AG151" s="51" t="s">
        <v>166</v>
      </c>
      <c r="AH151" s="48">
        <v>1.0</v>
      </c>
      <c r="AI151" s="48" t="s">
        <v>166</v>
      </c>
      <c r="AJ151" s="50" t="s">
        <v>166</v>
      </c>
      <c r="AK151" s="56">
        <v>298.0</v>
      </c>
      <c r="AL151" s="57">
        <f>AK151*Sheets!$E$3</f>
        <v>41.077959</v>
      </c>
      <c r="AM151" s="58"/>
      <c r="AN151" s="59"/>
      <c r="AO151" s="60" t="s">
        <v>181</v>
      </c>
      <c r="AP151" s="65">
        <v>44718.97245489583</v>
      </c>
      <c r="AQ151" s="66"/>
    </row>
    <row r="152">
      <c r="A152" s="46" t="str">
        <f>HYPERLINK("https://shop206098240.world.taobao.com/","LZmod")</f>
        <v>LZmod</v>
      </c>
      <c r="B152" s="73" t="s">
        <v>417</v>
      </c>
      <c r="C152" s="63" t="s">
        <v>248</v>
      </c>
      <c r="D152" s="48">
        <v>186.0</v>
      </c>
      <c r="E152" s="48">
        <v>119.0</v>
      </c>
      <c r="F152" s="48">
        <v>240.0</v>
      </c>
      <c r="G152" s="49">
        <f t="shared" si="1"/>
        <v>5.31216</v>
      </c>
      <c r="H152" s="49">
        <f t="shared" si="2"/>
        <v>221.34</v>
      </c>
      <c r="I152" s="48" t="s">
        <v>170</v>
      </c>
      <c r="J152" s="48" t="s">
        <v>164</v>
      </c>
      <c r="K152" s="50" t="s">
        <v>418</v>
      </c>
      <c r="L152" s="51">
        <v>49.62</v>
      </c>
      <c r="M152" s="50" t="s">
        <v>166</v>
      </c>
      <c r="N152" s="51" t="s">
        <v>174</v>
      </c>
      <c r="O152" s="48">
        <v>180.0</v>
      </c>
      <c r="P152" s="48">
        <v>139.0</v>
      </c>
      <c r="Q152" s="48">
        <v>40.0</v>
      </c>
      <c r="R152" s="48">
        <v>2.0</v>
      </c>
      <c r="S152" s="50" t="s">
        <v>166</v>
      </c>
      <c r="T152" s="52" t="s">
        <v>167</v>
      </c>
      <c r="U152" s="52" t="s">
        <v>186</v>
      </c>
      <c r="V152" s="51">
        <v>3.0</v>
      </c>
      <c r="W152" s="48" t="s">
        <v>166</v>
      </c>
      <c r="X152" s="50" t="s">
        <v>166</v>
      </c>
      <c r="Y152" s="51" t="s">
        <v>166</v>
      </c>
      <c r="Z152" s="48" t="s">
        <v>166</v>
      </c>
      <c r="AA152" s="48">
        <v>2.0</v>
      </c>
      <c r="AB152" s="48" t="s">
        <v>166</v>
      </c>
      <c r="AC152" s="48" t="s">
        <v>166</v>
      </c>
      <c r="AD152" s="48" t="s">
        <v>166</v>
      </c>
      <c r="AE152" s="54" t="s">
        <v>166</v>
      </c>
      <c r="AF152" s="55" t="s">
        <v>166</v>
      </c>
      <c r="AG152" s="51" t="s">
        <v>166</v>
      </c>
      <c r="AH152" s="48" t="s">
        <v>166</v>
      </c>
      <c r="AI152" s="48" t="s">
        <v>166</v>
      </c>
      <c r="AJ152" s="50" t="s">
        <v>166</v>
      </c>
      <c r="AK152" s="56">
        <v>588.0</v>
      </c>
      <c r="AL152" s="57">
        <f>AK152*Sheets!$E$3</f>
        <v>81.053154</v>
      </c>
      <c r="AM152" s="68"/>
      <c r="AN152" s="70"/>
      <c r="AO152" s="71" t="s">
        <v>181</v>
      </c>
      <c r="AP152" s="71"/>
      <c r="AQ152" s="66"/>
    </row>
    <row r="153">
      <c r="A153" s="95" t="s">
        <v>419</v>
      </c>
      <c r="B153" s="67" t="s">
        <v>420</v>
      </c>
      <c r="C153" s="63" t="s">
        <v>225</v>
      </c>
      <c r="D153" s="48">
        <v>205.0</v>
      </c>
      <c r="E153" s="48">
        <v>72.0</v>
      </c>
      <c r="F153" s="48">
        <v>360.0</v>
      </c>
      <c r="G153" s="49">
        <f t="shared" si="1"/>
        <v>5.3136</v>
      </c>
      <c r="H153" s="49">
        <f t="shared" si="2"/>
        <v>147.6</v>
      </c>
      <c r="I153" s="48">
        <v>0.8</v>
      </c>
      <c r="J153" s="48" t="s">
        <v>245</v>
      </c>
      <c r="K153" s="50" t="s">
        <v>421</v>
      </c>
      <c r="L153" s="51">
        <v>47.0</v>
      </c>
      <c r="M153" s="50" t="s">
        <v>166</v>
      </c>
      <c r="N153" s="51" t="s">
        <v>174</v>
      </c>
      <c r="O153" s="48">
        <v>175.0</v>
      </c>
      <c r="P153" s="48">
        <v>120.0</v>
      </c>
      <c r="Q153" s="48">
        <v>46.0</v>
      </c>
      <c r="R153" s="48">
        <v>2.0</v>
      </c>
      <c r="S153" s="50" t="s">
        <v>166</v>
      </c>
      <c r="T153" s="52" t="s">
        <v>167</v>
      </c>
      <c r="U153" s="52" t="s">
        <v>168</v>
      </c>
      <c r="V153" s="51">
        <v>2.0</v>
      </c>
      <c r="W153" s="48" t="s">
        <v>166</v>
      </c>
      <c r="X153" s="50" t="s">
        <v>166</v>
      </c>
      <c r="Y153" s="51" t="s">
        <v>166</v>
      </c>
      <c r="Z153" s="48">
        <v>4.0</v>
      </c>
      <c r="AA153" s="48" t="s">
        <v>166</v>
      </c>
      <c r="AB153" s="48" t="s">
        <v>166</v>
      </c>
      <c r="AC153" s="48" t="s">
        <v>166</v>
      </c>
      <c r="AD153" s="48" t="s">
        <v>166</v>
      </c>
      <c r="AE153" s="54" t="s">
        <v>166</v>
      </c>
      <c r="AF153" s="55" t="s">
        <v>166</v>
      </c>
      <c r="AG153" s="51" t="s">
        <v>166</v>
      </c>
      <c r="AH153" s="48" t="s">
        <v>166</v>
      </c>
      <c r="AI153" s="48" t="s">
        <v>166</v>
      </c>
      <c r="AJ153" s="50" t="s">
        <v>166</v>
      </c>
      <c r="AK153" s="56" t="s">
        <v>166</v>
      </c>
      <c r="AL153" s="57">
        <v>99.0</v>
      </c>
      <c r="AM153" s="64" t="str">
        <f>HYPERLINK("https://smallformfactor.net/forum/threads/modivio-xcase-customizable-console-style-case.2732/","Link")</f>
        <v>Link</v>
      </c>
      <c r="AN153" s="70"/>
      <c r="AO153" s="71" t="s">
        <v>181</v>
      </c>
      <c r="AP153" s="65">
        <v>44563.9876472801</v>
      </c>
      <c r="AQ153" s="66"/>
    </row>
    <row r="154">
      <c r="A154" s="69" t="s">
        <v>222</v>
      </c>
      <c r="B154" s="46" t="s">
        <v>422</v>
      </c>
      <c r="C154" s="63" t="s">
        <v>163</v>
      </c>
      <c r="D154" s="48">
        <v>260.0</v>
      </c>
      <c r="E154" s="48">
        <v>79.0</v>
      </c>
      <c r="F154" s="48">
        <v>260.0</v>
      </c>
      <c r="G154" s="49">
        <f t="shared" si="1"/>
        <v>5.3404</v>
      </c>
      <c r="H154" s="49">
        <f t="shared" si="2"/>
        <v>205.4</v>
      </c>
      <c r="I154" s="48">
        <v>0.88</v>
      </c>
      <c r="J154" s="48" t="s">
        <v>171</v>
      </c>
      <c r="K154" s="50" t="s">
        <v>171</v>
      </c>
      <c r="L154" s="51">
        <v>75.0</v>
      </c>
      <c r="M154" s="50" t="s">
        <v>166</v>
      </c>
      <c r="N154" s="51" t="s">
        <v>166</v>
      </c>
      <c r="O154" s="48" t="s">
        <v>166</v>
      </c>
      <c r="P154" s="48" t="s">
        <v>166</v>
      </c>
      <c r="Q154" s="48" t="s">
        <v>166</v>
      </c>
      <c r="R154" s="48" t="s">
        <v>166</v>
      </c>
      <c r="S154" s="50" t="s">
        <v>166</v>
      </c>
      <c r="T154" s="52" t="s">
        <v>423</v>
      </c>
      <c r="U154" s="52" t="s">
        <v>186</v>
      </c>
      <c r="V154" s="51">
        <v>2.0</v>
      </c>
      <c r="W154" s="48" t="s">
        <v>166</v>
      </c>
      <c r="X154" s="50" t="s">
        <v>166</v>
      </c>
      <c r="Y154" s="51" t="s">
        <v>166</v>
      </c>
      <c r="Z154" s="48" t="s">
        <v>166</v>
      </c>
      <c r="AA154" s="48" t="s">
        <v>166</v>
      </c>
      <c r="AB154" s="48" t="s">
        <v>166</v>
      </c>
      <c r="AC154" s="48" t="s">
        <v>166</v>
      </c>
      <c r="AD154" s="48" t="s">
        <v>166</v>
      </c>
      <c r="AE154" s="54" t="s">
        <v>166</v>
      </c>
      <c r="AF154" s="55" t="s">
        <v>166</v>
      </c>
      <c r="AG154" s="51" t="s">
        <v>166</v>
      </c>
      <c r="AH154" s="48">
        <v>1.0</v>
      </c>
      <c r="AI154" s="48" t="s">
        <v>166</v>
      </c>
      <c r="AJ154" s="50" t="s">
        <v>174</v>
      </c>
      <c r="AK154" s="56">
        <v>86.0</v>
      </c>
      <c r="AL154" s="57">
        <f>AK154*Sheets!$E$3</f>
        <v>11.854713</v>
      </c>
      <c r="AM154" s="68"/>
      <c r="AN154" s="70"/>
      <c r="AO154" s="71"/>
      <c r="AP154" s="72"/>
      <c r="AQ154" s="66"/>
    </row>
    <row r="155">
      <c r="A155" s="82" t="str">
        <f>HYPERLINK("http://lazer3d.com/","Lazer3D")</f>
        <v>Lazer3D</v>
      </c>
      <c r="B155" s="62" t="s">
        <v>424</v>
      </c>
      <c r="C155" s="63" t="s">
        <v>163</v>
      </c>
      <c r="D155" s="48">
        <v>210.0</v>
      </c>
      <c r="E155" s="48">
        <v>96.0</v>
      </c>
      <c r="F155" s="48">
        <v>265.0</v>
      </c>
      <c r="G155" s="49">
        <f t="shared" si="1"/>
        <v>5.3424</v>
      </c>
      <c r="H155" s="49">
        <f t="shared" si="2"/>
        <v>201.6</v>
      </c>
      <c r="I155" s="48" t="s">
        <v>170</v>
      </c>
      <c r="J155" s="48" t="s">
        <v>245</v>
      </c>
      <c r="K155" s="50" t="s">
        <v>425</v>
      </c>
      <c r="L155" s="51">
        <v>72.0</v>
      </c>
      <c r="M155" s="50" t="s">
        <v>166</v>
      </c>
      <c r="N155" s="51" t="s">
        <v>166</v>
      </c>
      <c r="O155" s="48">
        <v>195.0</v>
      </c>
      <c r="P155" s="48">
        <v>70.0</v>
      </c>
      <c r="Q155" s="48">
        <v>40.0</v>
      </c>
      <c r="R155" s="48" t="s">
        <v>166</v>
      </c>
      <c r="S155" s="50">
        <v>2.0</v>
      </c>
      <c r="T155" s="52" t="s">
        <v>167</v>
      </c>
      <c r="U155" s="52" t="s">
        <v>168</v>
      </c>
      <c r="V155" s="51" t="s">
        <v>426</v>
      </c>
      <c r="W155" s="48" t="s">
        <v>166</v>
      </c>
      <c r="X155" s="50" t="s">
        <v>166</v>
      </c>
      <c r="Y155" s="51" t="s">
        <v>166</v>
      </c>
      <c r="Z155" s="48" t="s">
        <v>166</v>
      </c>
      <c r="AA155" s="48" t="s">
        <v>278</v>
      </c>
      <c r="AB155" s="48" t="s">
        <v>166</v>
      </c>
      <c r="AC155" s="48" t="s">
        <v>166</v>
      </c>
      <c r="AD155" s="48" t="s">
        <v>166</v>
      </c>
      <c r="AE155" s="54" t="s">
        <v>166</v>
      </c>
      <c r="AF155" s="55" t="s">
        <v>166</v>
      </c>
      <c r="AG155" s="51" t="s">
        <v>166</v>
      </c>
      <c r="AH155" s="48" t="s">
        <v>166</v>
      </c>
      <c r="AI155" s="48" t="s">
        <v>166</v>
      </c>
      <c r="AJ155" s="50" t="s">
        <v>166</v>
      </c>
      <c r="AK155" s="56" t="s">
        <v>166</v>
      </c>
      <c r="AL155" s="57">
        <f>89*1.36</f>
        <v>121.04</v>
      </c>
      <c r="AM155" s="58"/>
      <c r="AN155" s="59"/>
      <c r="AO155" s="60"/>
      <c r="AP155" s="60"/>
      <c r="AQ155" s="66"/>
    </row>
    <row r="156">
      <c r="A156" s="46" t="str">
        <f>HYPERLINK("https://shop34132006.world.taobao.com/","YTC")</f>
        <v>YTC</v>
      </c>
      <c r="B156" s="96" t="s">
        <v>427</v>
      </c>
      <c r="C156" s="63" t="s">
        <v>248</v>
      </c>
      <c r="D156" s="48">
        <v>213.0</v>
      </c>
      <c r="E156" s="48">
        <v>115.0</v>
      </c>
      <c r="F156" s="48">
        <v>219.0</v>
      </c>
      <c r="G156" s="49">
        <f t="shared" si="1"/>
        <v>5.364405</v>
      </c>
      <c r="H156" s="49">
        <f t="shared" si="2"/>
        <v>244.95</v>
      </c>
      <c r="I156" s="48" t="s">
        <v>170</v>
      </c>
      <c r="J156" s="48" t="s">
        <v>164</v>
      </c>
      <c r="K156" s="50" t="s">
        <v>164</v>
      </c>
      <c r="L156" s="51">
        <v>50.0</v>
      </c>
      <c r="M156" s="50" t="s">
        <v>166</v>
      </c>
      <c r="N156" s="51" t="s">
        <v>174</v>
      </c>
      <c r="O156" s="48">
        <v>210.0</v>
      </c>
      <c r="P156" s="48" t="s">
        <v>170</v>
      </c>
      <c r="Q156" s="48">
        <v>40.0</v>
      </c>
      <c r="R156" s="48">
        <v>2.0</v>
      </c>
      <c r="S156" s="50" t="s">
        <v>166</v>
      </c>
      <c r="T156" s="52" t="s">
        <v>167</v>
      </c>
      <c r="U156" s="52" t="s">
        <v>186</v>
      </c>
      <c r="V156" s="51" t="s">
        <v>207</v>
      </c>
      <c r="W156" s="48" t="s">
        <v>194</v>
      </c>
      <c r="X156" s="50" t="s">
        <v>166</v>
      </c>
      <c r="Y156" s="51" t="s">
        <v>166</v>
      </c>
      <c r="Z156" s="48" t="s">
        <v>166</v>
      </c>
      <c r="AA156" s="48" t="s">
        <v>166</v>
      </c>
      <c r="AB156" s="48" t="s">
        <v>166</v>
      </c>
      <c r="AC156" s="48" t="s">
        <v>166</v>
      </c>
      <c r="AD156" s="48" t="s">
        <v>166</v>
      </c>
      <c r="AE156" s="54" t="s">
        <v>166</v>
      </c>
      <c r="AF156" s="55" t="s">
        <v>166</v>
      </c>
      <c r="AG156" s="51" t="s">
        <v>166</v>
      </c>
      <c r="AH156" s="48" t="s">
        <v>166</v>
      </c>
      <c r="AI156" s="48" t="s">
        <v>166</v>
      </c>
      <c r="AJ156" s="50" t="s">
        <v>166</v>
      </c>
      <c r="AK156" s="56">
        <v>299.0</v>
      </c>
      <c r="AL156" s="57">
        <f>AK156*Sheets!$E$3</f>
        <v>41.2158045</v>
      </c>
      <c r="AM156" s="97"/>
      <c r="AN156" s="59"/>
      <c r="AO156" s="60" t="s">
        <v>181</v>
      </c>
      <c r="AP156" s="65">
        <v>44563.98796825232</v>
      </c>
      <c r="AQ156" s="66"/>
    </row>
    <row r="157">
      <c r="A157" s="69" t="s">
        <v>286</v>
      </c>
      <c r="B157" s="46" t="s">
        <v>428</v>
      </c>
      <c r="C157" s="63" t="s">
        <v>262</v>
      </c>
      <c r="D157" s="48">
        <v>208.0</v>
      </c>
      <c r="E157" s="48">
        <v>99.0</v>
      </c>
      <c r="F157" s="48">
        <v>261.0</v>
      </c>
      <c r="G157" s="49">
        <f t="shared" si="1"/>
        <v>5.374512</v>
      </c>
      <c r="H157" s="49">
        <f t="shared" si="2"/>
        <v>205.92</v>
      </c>
      <c r="I157" s="48" t="s">
        <v>170</v>
      </c>
      <c r="J157" s="48" t="s">
        <v>235</v>
      </c>
      <c r="K157" s="50" t="s">
        <v>328</v>
      </c>
      <c r="L157" s="51">
        <v>75.0</v>
      </c>
      <c r="M157" s="50" t="s">
        <v>166</v>
      </c>
      <c r="N157" s="51" t="s">
        <v>166</v>
      </c>
      <c r="O157" s="48">
        <v>208.0</v>
      </c>
      <c r="P157" s="48">
        <v>70.0</v>
      </c>
      <c r="Q157" s="48">
        <v>40.0</v>
      </c>
      <c r="R157" s="48" t="s">
        <v>166</v>
      </c>
      <c r="S157" s="50">
        <v>2.0</v>
      </c>
      <c r="T157" s="52" t="s">
        <v>167</v>
      </c>
      <c r="U157" s="52" t="s">
        <v>186</v>
      </c>
      <c r="V157" s="51" t="s">
        <v>166</v>
      </c>
      <c r="W157" s="48" t="s">
        <v>166</v>
      </c>
      <c r="X157" s="50" t="s">
        <v>166</v>
      </c>
      <c r="Y157" s="51" t="s">
        <v>166</v>
      </c>
      <c r="Z157" s="48" t="s">
        <v>166</v>
      </c>
      <c r="AA157" s="48">
        <v>3.0</v>
      </c>
      <c r="AB157" s="48" t="s">
        <v>166</v>
      </c>
      <c r="AC157" s="48" t="s">
        <v>166</v>
      </c>
      <c r="AD157" s="48" t="s">
        <v>166</v>
      </c>
      <c r="AE157" s="54" t="s">
        <v>166</v>
      </c>
      <c r="AF157" s="55" t="s">
        <v>166</v>
      </c>
      <c r="AG157" s="51" t="s">
        <v>166</v>
      </c>
      <c r="AH157" s="48" t="s">
        <v>166</v>
      </c>
      <c r="AI157" s="48" t="s">
        <v>166</v>
      </c>
      <c r="AJ157" s="50" t="s">
        <v>166</v>
      </c>
      <c r="AK157" s="56">
        <v>519.0</v>
      </c>
      <c r="AL157" s="57">
        <f>AK157*Sheets!$E$3</f>
        <v>71.5418145</v>
      </c>
      <c r="AM157" s="68"/>
      <c r="AN157" s="70"/>
      <c r="AO157" s="71"/>
      <c r="AP157" s="72"/>
      <c r="AQ157" s="66"/>
    </row>
    <row r="158">
      <c r="A158" s="69" t="s">
        <v>429</v>
      </c>
      <c r="B158" s="73" t="s">
        <v>430</v>
      </c>
      <c r="C158" s="63" t="s">
        <v>248</v>
      </c>
      <c r="D158" s="48">
        <v>230.0</v>
      </c>
      <c r="E158" s="48">
        <v>117.0</v>
      </c>
      <c r="F158" s="48">
        <v>200.0</v>
      </c>
      <c r="G158" s="49">
        <f t="shared" si="1"/>
        <v>5.382</v>
      </c>
      <c r="H158" s="49">
        <f t="shared" si="2"/>
        <v>269.1</v>
      </c>
      <c r="I158" s="48" t="s">
        <v>170</v>
      </c>
      <c r="J158" s="48" t="s">
        <v>240</v>
      </c>
      <c r="K158" s="50" t="s">
        <v>319</v>
      </c>
      <c r="L158" s="51">
        <v>48.0</v>
      </c>
      <c r="M158" s="50" t="s">
        <v>166</v>
      </c>
      <c r="N158" s="51" t="s">
        <v>174</v>
      </c>
      <c r="O158" s="48">
        <v>175.0</v>
      </c>
      <c r="P158" s="48" t="s">
        <v>170</v>
      </c>
      <c r="Q158" s="48">
        <v>43.0</v>
      </c>
      <c r="R158" s="48">
        <v>2.0</v>
      </c>
      <c r="S158" s="50" t="s">
        <v>166</v>
      </c>
      <c r="T158" s="52" t="s">
        <v>167</v>
      </c>
      <c r="U158" s="52" t="s">
        <v>186</v>
      </c>
      <c r="V158" s="51">
        <v>1.0</v>
      </c>
      <c r="W158" s="48" t="s">
        <v>166</v>
      </c>
      <c r="X158" s="50" t="s">
        <v>166</v>
      </c>
      <c r="Y158" s="51" t="s">
        <v>166</v>
      </c>
      <c r="Z158" s="48" t="s">
        <v>166</v>
      </c>
      <c r="AA158" s="48" t="s">
        <v>166</v>
      </c>
      <c r="AB158" s="48">
        <v>2.0</v>
      </c>
      <c r="AC158" s="48" t="s">
        <v>166</v>
      </c>
      <c r="AD158" s="48" t="s">
        <v>166</v>
      </c>
      <c r="AE158" s="54" t="s">
        <v>166</v>
      </c>
      <c r="AF158" s="55" t="s">
        <v>166</v>
      </c>
      <c r="AG158" s="51" t="s">
        <v>166</v>
      </c>
      <c r="AH158" s="48" t="s">
        <v>166</v>
      </c>
      <c r="AI158" s="48" t="s">
        <v>166</v>
      </c>
      <c r="AJ158" s="50" t="s">
        <v>166</v>
      </c>
      <c r="AK158" s="56">
        <v>1149.0</v>
      </c>
      <c r="AL158" s="57">
        <f>AK158*Sheets!$E$3</f>
        <v>158.3844795</v>
      </c>
      <c r="AM158" s="58"/>
      <c r="AN158" s="59"/>
      <c r="AO158" s="60" t="s">
        <v>181</v>
      </c>
      <c r="AP158" s="65">
        <v>44694.88153605324</v>
      </c>
      <c r="AQ158" s="66"/>
    </row>
    <row r="159">
      <c r="A159" s="61" t="s">
        <v>376</v>
      </c>
      <c r="B159" s="62" t="s">
        <v>431</v>
      </c>
      <c r="C159" s="63" t="s">
        <v>248</v>
      </c>
      <c r="D159" s="48">
        <v>266.0</v>
      </c>
      <c r="E159" s="48">
        <v>103.0</v>
      </c>
      <c r="F159" s="48">
        <v>197.0</v>
      </c>
      <c r="G159" s="49">
        <f t="shared" si="1"/>
        <v>5.397406</v>
      </c>
      <c r="H159" s="49">
        <f t="shared" si="2"/>
        <v>273.98</v>
      </c>
      <c r="I159" s="48" t="s">
        <v>170</v>
      </c>
      <c r="J159" s="48" t="s">
        <v>164</v>
      </c>
      <c r="K159" s="50" t="s">
        <v>164</v>
      </c>
      <c r="L159" s="51">
        <v>37.0</v>
      </c>
      <c r="M159" s="50" t="s">
        <v>166</v>
      </c>
      <c r="N159" s="51" t="s">
        <v>174</v>
      </c>
      <c r="O159" s="48">
        <v>261.0</v>
      </c>
      <c r="P159" s="48">
        <v>131.0</v>
      </c>
      <c r="Q159" s="48">
        <v>43.0</v>
      </c>
      <c r="R159" s="93">
        <v>2.0</v>
      </c>
      <c r="S159" s="94" t="s">
        <v>166</v>
      </c>
      <c r="T159" s="52" t="s">
        <v>167</v>
      </c>
      <c r="U159" s="52" t="s">
        <v>186</v>
      </c>
      <c r="V159" s="51">
        <v>1.0</v>
      </c>
      <c r="W159" s="48" t="s">
        <v>166</v>
      </c>
      <c r="X159" s="50" t="s">
        <v>166</v>
      </c>
      <c r="Y159" s="51" t="s">
        <v>166</v>
      </c>
      <c r="Z159" s="48" t="s">
        <v>166</v>
      </c>
      <c r="AA159" s="48" t="s">
        <v>166</v>
      </c>
      <c r="AB159" s="48">
        <v>2.0</v>
      </c>
      <c r="AC159" s="48" t="s">
        <v>166</v>
      </c>
      <c r="AD159" s="48" t="s">
        <v>166</v>
      </c>
      <c r="AE159" s="54" t="s">
        <v>166</v>
      </c>
      <c r="AF159" s="55" t="s">
        <v>166</v>
      </c>
      <c r="AG159" s="51" t="s">
        <v>166</v>
      </c>
      <c r="AH159" s="48" t="s">
        <v>166</v>
      </c>
      <c r="AI159" s="48" t="s">
        <v>166</v>
      </c>
      <c r="AJ159" s="50" t="s">
        <v>166</v>
      </c>
      <c r="AK159" s="56" t="s">
        <v>166</v>
      </c>
      <c r="AL159" s="57">
        <f>13800*0.007</f>
        <v>96.6</v>
      </c>
      <c r="AM159" s="58"/>
      <c r="AN159" s="87"/>
      <c r="AO159" s="86"/>
      <c r="AP159" s="65"/>
      <c r="AQ159" s="66"/>
    </row>
    <row r="160">
      <c r="A160" s="69" t="s">
        <v>212</v>
      </c>
      <c r="B160" s="73" t="s">
        <v>432</v>
      </c>
      <c r="C160" s="63" t="s">
        <v>248</v>
      </c>
      <c r="D160" s="48">
        <v>240.0</v>
      </c>
      <c r="E160" s="48">
        <v>114.9</v>
      </c>
      <c r="F160" s="48">
        <v>197.5</v>
      </c>
      <c r="G160" s="49">
        <f t="shared" si="1"/>
        <v>5.44626</v>
      </c>
      <c r="H160" s="49">
        <f t="shared" si="2"/>
        <v>275.76</v>
      </c>
      <c r="I160" s="48">
        <v>1.4</v>
      </c>
      <c r="J160" s="48" t="s">
        <v>164</v>
      </c>
      <c r="K160" s="50" t="s">
        <v>165</v>
      </c>
      <c r="L160" s="51">
        <v>48.0</v>
      </c>
      <c r="M160" s="50" t="s">
        <v>166</v>
      </c>
      <c r="N160" s="51" t="s">
        <v>174</v>
      </c>
      <c r="O160" s="48">
        <v>190.0</v>
      </c>
      <c r="P160" s="48">
        <v>130.0</v>
      </c>
      <c r="Q160" s="48">
        <v>42.0</v>
      </c>
      <c r="R160" s="48">
        <v>2.0</v>
      </c>
      <c r="S160" s="50" t="s">
        <v>166</v>
      </c>
      <c r="T160" s="52" t="s">
        <v>167</v>
      </c>
      <c r="U160" s="52" t="s">
        <v>186</v>
      </c>
      <c r="V160" s="51">
        <v>2.0</v>
      </c>
      <c r="W160" s="48" t="s">
        <v>166</v>
      </c>
      <c r="X160" s="50" t="s">
        <v>166</v>
      </c>
      <c r="Y160" s="51" t="s">
        <v>166</v>
      </c>
      <c r="Z160" s="48" t="s">
        <v>166</v>
      </c>
      <c r="AA160" s="48" t="s">
        <v>166</v>
      </c>
      <c r="AB160" s="48">
        <v>2.0</v>
      </c>
      <c r="AC160" s="48" t="s">
        <v>166</v>
      </c>
      <c r="AD160" s="48" t="s">
        <v>166</v>
      </c>
      <c r="AE160" s="54" t="s">
        <v>166</v>
      </c>
      <c r="AF160" s="55" t="s">
        <v>166</v>
      </c>
      <c r="AG160" s="51" t="s">
        <v>166</v>
      </c>
      <c r="AH160" s="48">
        <v>1.0</v>
      </c>
      <c r="AI160" s="48" t="s">
        <v>166</v>
      </c>
      <c r="AJ160" s="50" t="s">
        <v>166</v>
      </c>
      <c r="AK160" s="56">
        <v>630.0</v>
      </c>
      <c r="AL160" s="57">
        <f>AK160*Sheets!$E$3</f>
        <v>86.842665</v>
      </c>
      <c r="AM160" s="58"/>
      <c r="AN160" s="64" t="s">
        <v>214</v>
      </c>
      <c r="AO160" s="60" t="s">
        <v>181</v>
      </c>
      <c r="AP160" s="65">
        <v>44442.77102438657</v>
      </c>
      <c r="AQ160" s="66"/>
    </row>
    <row r="161">
      <c r="A161" s="69" t="s">
        <v>429</v>
      </c>
      <c r="B161" s="73" t="s">
        <v>433</v>
      </c>
      <c r="C161" s="63" t="s">
        <v>248</v>
      </c>
      <c r="D161" s="48">
        <v>234.0</v>
      </c>
      <c r="E161" s="48">
        <v>117.0</v>
      </c>
      <c r="F161" s="48">
        <v>200.0</v>
      </c>
      <c r="G161" s="49">
        <f t="shared" si="1"/>
        <v>5.4756</v>
      </c>
      <c r="H161" s="49">
        <f t="shared" si="2"/>
        <v>273.78</v>
      </c>
      <c r="I161" s="48" t="s">
        <v>170</v>
      </c>
      <c r="J161" s="48" t="s">
        <v>240</v>
      </c>
      <c r="K161" s="50" t="s">
        <v>319</v>
      </c>
      <c r="L161" s="51">
        <v>48.0</v>
      </c>
      <c r="M161" s="50" t="s">
        <v>166</v>
      </c>
      <c r="N161" s="51" t="s">
        <v>174</v>
      </c>
      <c r="O161" s="48">
        <v>181.0</v>
      </c>
      <c r="P161" s="48" t="s">
        <v>170</v>
      </c>
      <c r="Q161" s="48">
        <v>43.0</v>
      </c>
      <c r="R161" s="48">
        <v>2.0</v>
      </c>
      <c r="S161" s="50" t="s">
        <v>166</v>
      </c>
      <c r="T161" s="52" t="s">
        <v>167</v>
      </c>
      <c r="U161" s="52" t="s">
        <v>186</v>
      </c>
      <c r="V161" s="51">
        <v>1.0</v>
      </c>
      <c r="W161" s="48" t="s">
        <v>166</v>
      </c>
      <c r="X161" s="50" t="s">
        <v>166</v>
      </c>
      <c r="Y161" s="51" t="s">
        <v>166</v>
      </c>
      <c r="Z161" s="48" t="s">
        <v>166</v>
      </c>
      <c r="AA161" s="48" t="s">
        <v>166</v>
      </c>
      <c r="AB161" s="48">
        <v>2.0</v>
      </c>
      <c r="AC161" s="48" t="s">
        <v>166</v>
      </c>
      <c r="AD161" s="48" t="s">
        <v>166</v>
      </c>
      <c r="AE161" s="54" t="s">
        <v>166</v>
      </c>
      <c r="AF161" s="55" t="s">
        <v>166</v>
      </c>
      <c r="AG161" s="51" t="s">
        <v>166</v>
      </c>
      <c r="AH161" s="48" t="s">
        <v>166</v>
      </c>
      <c r="AI161" s="48" t="s">
        <v>166</v>
      </c>
      <c r="AJ161" s="50" t="s">
        <v>166</v>
      </c>
      <c r="AK161" s="56">
        <v>1148.0</v>
      </c>
      <c r="AL161" s="57">
        <f>AK161*Sheets!$E$3</f>
        <v>158.246634</v>
      </c>
      <c r="AM161" s="58"/>
      <c r="AN161" s="59"/>
      <c r="AO161" s="60"/>
      <c r="AP161" s="65">
        <v>45128.0077065625</v>
      </c>
      <c r="AQ161" s="66"/>
    </row>
    <row r="162">
      <c r="A162" s="46" t="str">
        <f>HYPERLINK("https://shop199084424.world.taobao.com/","Geeklab")</f>
        <v>Geeklab</v>
      </c>
      <c r="B162" s="73" t="s">
        <v>434</v>
      </c>
      <c r="C162" s="63" t="s">
        <v>248</v>
      </c>
      <c r="D162" s="48">
        <v>204.0</v>
      </c>
      <c r="E162" s="48">
        <v>114.0</v>
      </c>
      <c r="F162" s="48">
        <v>236.0</v>
      </c>
      <c r="G162" s="49">
        <f t="shared" si="1"/>
        <v>5.488416</v>
      </c>
      <c r="H162" s="49">
        <f t="shared" si="2"/>
        <v>232.56</v>
      </c>
      <c r="I162" s="48">
        <v>1.6</v>
      </c>
      <c r="J162" s="48" t="s">
        <v>164</v>
      </c>
      <c r="K162" s="50" t="s">
        <v>243</v>
      </c>
      <c r="L162" s="51">
        <v>50.5</v>
      </c>
      <c r="M162" s="50" t="s">
        <v>166</v>
      </c>
      <c r="N162" s="51" t="s">
        <v>174</v>
      </c>
      <c r="O162" s="48">
        <v>198.0</v>
      </c>
      <c r="P162" s="48" t="s">
        <v>170</v>
      </c>
      <c r="Q162" s="48">
        <v>40.0</v>
      </c>
      <c r="R162" s="48">
        <v>2.0</v>
      </c>
      <c r="S162" s="50" t="s">
        <v>166</v>
      </c>
      <c r="T162" s="52" t="s">
        <v>167</v>
      </c>
      <c r="U162" s="52" t="s">
        <v>186</v>
      </c>
      <c r="V162" s="51" t="s">
        <v>435</v>
      </c>
      <c r="W162" s="48" t="s">
        <v>166</v>
      </c>
      <c r="X162" s="50" t="s">
        <v>166</v>
      </c>
      <c r="Y162" s="51" t="s">
        <v>193</v>
      </c>
      <c r="Z162" s="48" t="s">
        <v>166</v>
      </c>
      <c r="AA162" s="48" t="s">
        <v>193</v>
      </c>
      <c r="AB162" s="48" t="s">
        <v>193</v>
      </c>
      <c r="AC162" s="48" t="s">
        <v>166</v>
      </c>
      <c r="AD162" s="48" t="s">
        <v>166</v>
      </c>
      <c r="AE162" s="54" t="s">
        <v>166</v>
      </c>
      <c r="AF162" s="55" t="s">
        <v>166</v>
      </c>
      <c r="AG162" s="51" t="s">
        <v>166</v>
      </c>
      <c r="AH162" s="48" t="s">
        <v>166</v>
      </c>
      <c r="AI162" s="48" t="s">
        <v>166</v>
      </c>
      <c r="AJ162" s="50" t="s">
        <v>166</v>
      </c>
      <c r="AK162" s="56">
        <v>568.0</v>
      </c>
      <c r="AL162" s="57">
        <f>AK162*Sheets!$E$3</f>
        <v>78.296244</v>
      </c>
      <c r="AM162" s="68"/>
      <c r="AN162" s="70"/>
      <c r="AO162" s="71" t="s">
        <v>181</v>
      </c>
      <c r="AP162" s="72">
        <v>44569.460465254626</v>
      </c>
      <c r="AQ162" s="66"/>
    </row>
    <row r="163">
      <c r="A163" s="61" t="s">
        <v>301</v>
      </c>
      <c r="B163" s="62" t="s">
        <v>436</v>
      </c>
      <c r="C163" s="63" t="s">
        <v>248</v>
      </c>
      <c r="D163" s="48">
        <v>237.0</v>
      </c>
      <c r="E163" s="48">
        <v>103.0</v>
      </c>
      <c r="F163" s="48">
        <v>225.0</v>
      </c>
      <c r="G163" s="49">
        <f t="shared" si="1"/>
        <v>5.492475</v>
      </c>
      <c r="H163" s="49">
        <f t="shared" si="2"/>
        <v>244.11</v>
      </c>
      <c r="I163" s="48" t="s">
        <v>170</v>
      </c>
      <c r="J163" s="48" t="s">
        <v>171</v>
      </c>
      <c r="K163" s="50" t="s">
        <v>343</v>
      </c>
      <c r="L163" s="51">
        <v>39.0</v>
      </c>
      <c r="M163" s="50" t="s">
        <v>166</v>
      </c>
      <c r="N163" s="51" t="s">
        <v>174</v>
      </c>
      <c r="O163" s="48">
        <v>222.0</v>
      </c>
      <c r="P163" s="48" t="s">
        <v>170</v>
      </c>
      <c r="Q163" s="48">
        <v>40.0</v>
      </c>
      <c r="R163" s="48">
        <v>2.0</v>
      </c>
      <c r="S163" s="50" t="s">
        <v>166</v>
      </c>
      <c r="T163" s="52" t="s">
        <v>167</v>
      </c>
      <c r="U163" s="52" t="s">
        <v>186</v>
      </c>
      <c r="V163" s="51" t="s">
        <v>194</v>
      </c>
      <c r="W163" s="48" t="s">
        <v>166</v>
      </c>
      <c r="X163" s="50" t="s">
        <v>166</v>
      </c>
      <c r="Y163" s="51" t="s">
        <v>166</v>
      </c>
      <c r="Z163" s="48" t="s">
        <v>166</v>
      </c>
      <c r="AA163" s="48" t="s">
        <v>166</v>
      </c>
      <c r="AB163" s="48" t="s">
        <v>166</v>
      </c>
      <c r="AC163" s="48" t="s">
        <v>166</v>
      </c>
      <c r="AD163" s="48" t="s">
        <v>166</v>
      </c>
      <c r="AE163" s="54" t="s">
        <v>166</v>
      </c>
      <c r="AF163" s="55" t="s">
        <v>166</v>
      </c>
      <c r="AG163" s="51" t="s">
        <v>166</v>
      </c>
      <c r="AH163" s="48" t="s">
        <v>166</v>
      </c>
      <c r="AI163" s="48">
        <v>1.0</v>
      </c>
      <c r="AJ163" s="50" t="s">
        <v>166</v>
      </c>
      <c r="AK163" s="56" t="s">
        <v>166</v>
      </c>
      <c r="AL163" s="57">
        <v>165.0</v>
      </c>
      <c r="AM163" s="64" t="s">
        <v>214</v>
      </c>
      <c r="AN163" s="85"/>
      <c r="AO163" s="86"/>
      <c r="AP163" s="65">
        <v>44833.75722951389</v>
      </c>
      <c r="AQ163" s="66"/>
    </row>
    <row r="164">
      <c r="A164" s="46" t="s">
        <v>357</v>
      </c>
      <c r="B164" s="46" t="s">
        <v>437</v>
      </c>
      <c r="C164" s="63" t="s">
        <v>248</v>
      </c>
      <c r="D164" s="48">
        <v>197.0</v>
      </c>
      <c r="E164" s="48">
        <v>117.0</v>
      </c>
      <c r="F164" s="48">
        <v>239.0</v>
      </c>
      <c r="G164" s="49">
        <f t="shared" si="1"/>
        <v>5.508711</v>
      </c>
      <c r="H164" s="49">
        <f t="shared" si="2"/>
        <v>230.49</v>
      </c>
      <c r="I164" s="48">
        <v>1.8</v>
      </c>
      <c r="J164" s="48" t="s">
        <v>274</v>
      </c>
      <c r="K164" s="50" t="s">
        <v>334</v>
      </c>
      <c r="L164" s="51">
        <v>48.0</v>
      </c>
      <c r="M164" s="50" t="s">
        <v>166</v>
      </c>
      <c r="N164" s="51" t="s">
        <v>174</v>
      </c>
      <c r="O164" s="48">
        <v>188.0</v>
      </c>
      <c r="P164" s="48">
        <v>130.0</v>
      </c>
      <c r="Q164" s="48">
        <v>42.0</v>
      </c>
      <c r="R164" s="48">
        <v>2.0</v>
      </c>
      <c r="S164" s="50" t="s">
        <v>166</v>
      </c>
      <c r="T164" s="52" t="s">
        <v>167</v>
      </c>
      <c r="U164" s="52" t="s">
        <v>186</v>
      </c>
      <c r="V164" s="51">
        <v>3.0</v>
      </c>
      <c r="W164" s="48" t="s">
        <v>166</v>
      </c>
      <c r="X164" s="50" t="s">
        <v>166</v>
      </c>
      <c r="Y164" s="51" t="s">
        <v>166</v>
      </c>
      <c r="Z164" s="48" t="s">
        <v>166</v>
      </c>
      <c r="AA164" s="48" t="s">
        <v>166</v>
      </c>
      <c r="AB164" s="48">
        <v>2.0</v>
      </c>
      <c r="AC164" s="48" t="s">
        <v>166</v>
      </c>
      <c r="AD164" s="48" t="s">
        <v>166</v>
      </c>
      <c r="AE164" s="54" t="s">
        <v>166</v>
      </c>
      <c r="AF164" s="55" t="s">
        <v>166</v>
      </c>
      <c r="AG164" s="51" t="s">
        <v>166</v>
      </c>
      <c r="AH164" s="48">
        <v>1.0</v>
      </c>
      <c r="AI164" s="48" t="s">
        <v>166</v>
      </c>
      <c r="AJ164" s="50" t="s">
        <v>166</v>
      </c>
      <c r="AK164" s="56">
        <v>397.0</v>
      </c>
      <c r="AL164" s="57">
        <f>AK164*Sheets!$E$3</f>
        <v>54.7246635</v>
      </c>
      <c r="AM164" s="68"/>
      <c r="AN164" s="70"/>
      <c r="AO164" s="71"/>
      <c r="AP164" s="71"/>
      <c r="AQ164" s="66"/>
    </row>
    <row r="165">
      <c r="A165" s="61" t="s">
        <v>438</v>
      </c>
      <c r="B165" s="62" t="s">
        <v>439</v>
      </c>
      <c r="C165" s="63" t="s">
        <v>163</v>
      </c>
      <c r="D165" s="48">
        <v>234.0</v>
      </c>
      <c r="E165" s="48">
        <v>113.0</v>
      </c>
      <c r="F165" s="48">
        <v>210.0</v>
      </c>
      <c r="G165" s="49">
        <f t="shared" si="1"/>
        <v>5.55282</v>
      </c>
      <c r="H165" s="49">
        <f t="shared" si="2"/>
        <v>264.42</v>
      </c>
      <c r="I165" s="48">
        <v>2.2</v>
      </c>
      <c r="J165" s="48" t="s">
        <v>164</v>
      </c>
      <c r="K165" s="50" t="s">
        <v>213</v>
      </c>
      <c r="L165" s="51">
        <v>54.0</v>
      </c>
      <c r="M165" s="50" t="s">
        <v>166</v>
      </c>
      <c r="N165" s="51" t="s">
        <v>166</v>
      </c>
      <c r="O165" s="48" t="s">
        <v>166</v>
      </c>
      <c r="P165" s="48" t="s">
        <v>166</v>
      </c>
      <c r="Q165" s="48" t="s">
        <v>166</v>
      </c>
      <c r="R165" s="48" t="s">
        <v>166</v>
      </c>
      <c r="S165" s="50" t="s">
        <v>166</v>
      </c>
      <c r="T165" s="52" t="s">
        <v>167</v>
      </c>
      <c r="U165" s="52" t="s">
        <v>168</v>
      </c>
      <c r="V165" s="51">
        <v>1.0</v>
      </c>
      <c r="W165" s="48" t="s">
        <v>194</v>
      </c>
      <c r="X165" s="50" t="s">
        <v>166</v>
      </c>
      <c r="Y165" s="51" t="s">
        <v>166</v>
      </c>
      <c r="Z165" s="48" t="s">
        <v>166</v>
      </c>
      <c r="AA165" s="48" t="s">
        <v>166</v>
      </c>
      <c r="AB165" s="48" t="s">
        <v>166</v>
      </c>
      <c r="AC165" s="48" t="s">
        <v>166</v>
      </c>
      <c r="AD165" s="48" t="s">
        <v>166</v>
      </c>
      <c r="AE165" s="54" t="s">
        <v>166</v>
      </c>
      <c r="AF165" s="55" t="s">
        <v>166</v>
      </c>
      <c r="AG165" s="51" t="s">
        <v>166</v>
      </c>
      <c r="AH165" s="48">
        <v>2.0</v>
      </c>
      <c r="AI165" s="48" t="s">
        <v>166</v>
      </c>
      <c r="AJ165" s="50" t="s">
        <v>166</v>
      </c>
      <c r="AK165" s="56" t="s">
        <v>166</v>
      </c>
      <c r="AL165" s="57">
        <f>3690*0.03</f>
        <v>110.7</v>
      </c>
      <c r="AM165" s="58"/>
      <c r="AN165" s="59"/>
      <c r="AO165" s="60"/>
      <c r="AP165" s="60"/>
      <c r="AQ165" s="66"/>
    </row>
    <row r="166">
      <c r="A166" s="69" t="str">
        <f>HYPERLINK("https://sktcase.world.taobao.com/","SKTC")</f>
        <v>SKTC</v>
      </c>
      <c r="B166" s="46" t="str">
        <f>HYPERLINK("https://item.taobao.com/item.htm?id=564497967775","XQBOX A02")</f>
        <v>XQBOX A02</v>
      </c>
      <c r="C166" s="63" t="s">
        <v>225</v>
      </c>
      <c r="D166" s="48">
        <v>210.0</v>
      </c>
      <c r="E166" s="48">
        <v>285.0</v>
      </c>
      <c r="F166" s="48">
        <v>93.0</v>
      </c>
      <c r="G166" s="49">
        <f t="shared" si="1"/>
        <v>5.56605</v>
      </c>
      <c r="H166" s="49">
        <f t="shared" si="2"/>
        <v>598.5</v>
      </c>
      <c r="I166" s="48">
        <v>2.2</v>
      </c>
      <c r="J166" s="48" t="s">
        <v>171</v>
      </c>
      <c r="K166" s="50" t="s">
        <v>440</v>
      </c>
      <c r="L166" s="51">
        <v>60.0</v>
      </c>
      <c r="M166" s="50" t="s">
        <v>166</v>
      </c>
      <c r="N166" s="51" t="s">
        <v>166</v>
      </c>
      <c r="O166" s="48">
        <v>175.0</v>
      </c>
      <c r="P166" s="48">
        <v>70.0</v>
      </c>
      <c r="Q166" s="48">
        <v>40.0</v>
      </c>
      <c r="R166" s="48" t="s">
        <v>166</v>
      </c>
      <c r="S166" s="50">
        <v>2.0</v>
      </c>
      <c r="T166" s="52" t="s">
        <v>441</v>
      </c>
      <c r="U166" s="52" t="s">
        <v>186</v>
      </c>
      <c r="V166" s="51" t="s">
        <v>207</v>
      </c>
      <c r="W166" s="48" t="s">
        <v>194</v>
      </c>
      <c r="X166" s="50" t="s">
        <v>166</v>
      </c>
      <c r="Y166" s="51" t="s">
        <v>166</v>
      </c>
      <c r="Z166" s="48" t="s">
        <v>166</v>
      </c>
      <c r="AA166" s="48">
        <v>2.0</v>
      </c>
      <c r="AB166" s="48" t="s">
        <v>166</v>
      </c>
      <c r="AC166" s="48" t="s">
        <v>166</v>
      </c>
      <c r="AD166" s="48" t="s">
        <v>166</v>
      </c>
      <c r="AE166" s="54" t="s">
        <v>166</v>
      </c>
      <c r="AF166" s="55" t="s">
        <v>166</v>
      </c>
      <c r="AG166" s="51" t="s">
        <v>166</v>
      </c>
      <c r="AH166" s="48">
        <v>2.0</v>
      </c>
      <c r="AI166" s="48" t="s">
        <v>166</v>
      </c>
      <c r="AJ166" s="50" t="s">
        <v>174</v>
      </c>
      <c r="AK166" s="56">
        <v>239.0</v>
      </c>
      <c r="AL166" s="57">
        <f>AK166*Sheets!$E$3</f>
        <v>32.9450745</v>
      </c>
      <c r="AM166" s="68"/>
      <c r="AN166" s="59"/>
      <c r="AO166" s="60"/>
      <c r="AP166" s="65">
        <v>44442.76229886574</v>
      </c>
      <c r="AQ166" s="66"/>
    </row>
    <row r="167">
      <c r="A167" s="46" t="str">
        <f>HYPERLINK("https://shop309038390.world.taobao.com/","ZZAW")</f>
        <v>ZZAW</v>
      </c>
      <c r="B167" s="46" t="s">
        <v>442</v>
      </c>
      <c r="C167" s="63" t="s">
        <v>248</v>
      </c>
      <c r="D167" s="48">
        <v>201.0</v>
      </c>
      <c r="E167" s="48">
        <v>114.0</v>
      </c>
      <c r="F167" s="48">
        <v>243.0</v>
      </c>
      <c r="G167" s="49">
        <f t="shared" si="1"/>
        <v>5.568102</v>
      </c>
      <c r="H167" s="49">
        <f t="shared" si="2"/>
        <v>229.14</v>
      </c>
      <c r="I167" s="48">
        <v>1.0</v>
      </c>
      <c r="J167" s="48" t="s">
        <v>164</v>
      </c>
      <c r="K167" s="50" t="s">
        <v>185</v>
      </c>
      <c r="L167" s="51">
        <v>48.0</v>
      </c>
      <c r="M167" s="50" t="s">
        <v>166</v>
      </c>
      <c r="N167" s="51" t="s">
        <v>174</v>
      </c>
      <c r="O167" s="48">
        <v>195.0</v>
      </c>
      <c r="P167" s="48">
        <v>146.0</v>
      </c>
      <c r="Q167" s="48">
        <v>44.0</v>
      </c>
      <c r="R167" s="48">
        <v>2.0</v>
      </c>
      <c r="S167" s="50" t="s">
        <v>166</v>
      </c>
      <c r="T167" s="52" t="s">
        <v>167</v>
      </c>
      <c r="U167" s="52" t="s">
        <v>186</v>
      </c>
      <c r="V167" s="51" t="s">
        <v>416</v>
      </c>
      <c r="W167" s="48" t="s">
        <v>194</v>
      </c>
      <c r="X167" s="50" t="s">
        <v>166</v>
      </c>
      <c r="Y167" s="51" t="s">
        <v>166</v>
      </c>
      <c r="Z167" s="48" t="s">
        <v>166</v>
      </c>
      <c r="AA167" s="48" t="s">
        <v>166</v>
      </c>
      <c r="AB167" s="48" t="s">
        <v>194</v>
      </c>
      <c r="AC167" s="48" t="s">
        <v>166</v>
      </c>
      <c r="AD167" s="48" t="s">
        <v>166</v>
      </c>
      <c r="AE167" s="54" t="s">
        <v>166</v>
      </c>
      <c r="AF167" s="55" t="s">
        <v>166</v>
      </c>
      <c r="AG167" s="51" t="s">
        <v>166</v>
      </c>
      <c r="AH167" s="48">
        <v>1.0</v>
      </c>
      <c r="AI167" s="48" t="s">
        <v>166</v>
      </c>
      <c r="AJ167" s="50" t="s">
        <v>166</v>
      </c>
      <c r="AK167" s="56">
        <v>238.0</v>
      </c>
      <c r="AL167" s="57">
        <f>AK167*Sheets!$E$3</f>
        <v>32.807229</v>
      </c>
      <c r="AM167" s="58"/>
      <c r="AN167" s="59"/>
      <c r="AO167" s="60"/>
      <c r="AP167" s="65">
        <v>44718.971732569444</v>
      </c>
      <c r="AQ167" s="66"/>
    </row>
    <row r="168">
      <c r="A168" s="69" t="s">
        <v>294</v>
      </c>
      <c r="B168" s="73" t="s">
        <v>443</v>
      </c>
      <c r="C168" s="63" t="s">
        <v>248</v>
      </c>
      <c r="D168" s="48">
        <v>179.0</v>
      </c>
      <c r="E168" s="48">
        <v>125.0</v>
      </c>
      <c r="F168" s="48">
        <v>249.0</v>
      </c>
      <c r="G168" s="49">
        <f t="shared" si="1"/>
        <v>5.571375</v>
      </c>
      <c r="H168" s="49">
        <f t="shared" si="2"/>
        <v>223.75</v>
      </c>
      <c r="I168" s="48">
        <v>0.59</v>
      </c>
      <c r="J168" s="48" t="s">
        <v>296</v>
      </c>
      <c r="K168" s="50" t="s">
        <v>296</v>
      </c>
      <c r="L168" s="51">
        <v>60.0</v>
      </c>
      <c r="M168" s="50" t="s">
        <v>166</v>
      </c>
      <c r="N168" s="51" t="s">
        <v>174</v>
      </c>
      <c r="O168" s="48">
        <v>175.0</v>
      </c>
      <c r="P168" s="48">
        <v>126.0</v>
      </c>
      <c r="Q168" s="48">
        <v>40.0</v>
      </c>
      <c r="R168" s="48">
        <v>2.0</v>
      </c>
      <c r="S168" s="50" t="s">
        <v>166</v>
      </c>
      <c r="T168" s="52" t="s">
        <v>167</v>
      </c>
      <c r="U168" s="52" t="s">
        <v>324</v>
      </c>
      <c r="V168" s="51">
        <v>2.0</v>
      </c>
      <c r="W168" s="48" t="s">
        <v>166</v>
      </c>
      <c r="X168" s="50" t="s">
        <v>166</v>
      </c>
      <c r="Y168" s="51" t="s">
        <v>166</v>
      </c>
      <c r="Z168" s="48" t="s">
        <v>166</v>
      </c>
      <c r="AA168" s="48" t="s">
        <v>166</v>
      </c>
      <c r="AB168" s="48" t="s">
        <v>166</v>
      </c>
      <c r="AC168" s="48" t="s">
        <v>166</v>
      </c>
      <c r="AD168" s="48" t="s">
        <v>166</v>
      </c>
      <c r="AE168" s="54" t="s">
        <v>166</v>
      </c>
      <c r="AF168" s="55" t="s">
        <v>166</v>
      </c>
      <c r="AG168" s="51" t="s">
        <v>166</v>
      </c>
      <c r="AH168" s="48">
        <v>1.0</v>
      </c>
      <c r="AI168" s="48" t="s">
        <v>166</v>
      </c>
      <c r="AJ168" s="50" t="s">
        <v>166</v>
      </c>
      <c r="AK168" s="56">
        <v>1568.0</v>
      </c>
      <c r="AL168" s="57">
        <f>AK168*Sheets!$E$3</f>
        <v>216.141744</v>
      </c>
      <c r="AM168" s="58"/>
      <c r="AN168" s="59"/>
      <c r="AO168" s="71" t="s">
        <v>181</v>
      </c>
      <c r="AP168" s="60"/>
      <c r="AQ168" s="66"/>
    </row>
    <row r="169">
      <c r="A169" s="46" t="str">
        <f>HYPERLINK("https://shop206098240.world.taobao.com/","LZmod")</f>
        <v>LZmod</v>
      </c>
      <c r="B169" s="46" t="s">
        <v>444</v>
      </c>
      <c r="C169" s="63" t="s">
        <v>248</v>
      </c>
      <c r="D169" s="48">
        <v>188.0</v>
      </c>
      <c r="E169" s="48">
        <v>122.0</v>
      </c>
      <c r="F169" s="48">
        <v>243.0</v>
      </c>
      <c r="G169" s="49">
        <f t="shared" si="1"/>
        <v>5.573448</v>
      </c>
      <c r="H169" s="49">
        <f t="shared" si="2"/>
        <v>229.36</v>
      </c>
      <c r="I169" s="48">
        <v>0.5</v>
      </c>
      <c r="J169" s="48" t="s">
        <v>164</v>
      </c>
      <c r="K169" s="50" t="s">
        <v>252</v>
      </c>
      <c r="L169" s="51">
        <v>49.0</v>
      </c>
      <c r="M169" s="50" t="s">
        <v>166</v>
      </c>
      <c r="N169" s="51" t="s">
        <v>174</v>
      </c>
      <c r="O169" s="48">
        <v>180.0</v>
      </c>
      <c r="P169" s="48" t="s">
        <v>170</v>
      </c>
      <c r="Q169" s="48">
        <v>40.0</v>
      </c>
      <c r="R169" s="48">
        <v>2.0</v>
      </c>
      <c r="S169" s="50" t="s">
        <v>166</v>
      </c>
      <c r="T169" s="52" t="s">
        <v>167</v>
      </c>
      <c r="U169" s="52" t="s">
        <v>186</v>
      </c>
      <c r="V169" s="51">
        <v>2.0</v>
      </c>
      <c r="W169" s="48" t="s">
        <v>166</v>
      </c>
      <c r="X169" s="50" t="s">
        <v>166</v>
      </c>
      <c r="Y169" s="51" t="s">
        <v>166</v>
      </c>
      <c r="Z169" s="48" t="s">
        <v>166</v>
      </c>
      <c r="AA169" s="48" t="s">
        <v>166</v>
      </c>
      <c r="AB169" s="48">
        <v>2.0</v>
      </c>
      <c r="AC169" s="48" t="s">
        <v>166</v>
      </c>
      <c r="AD169" s="48" t="s">
        <v>166</v>
      </c>
      <c r="AE169" s="54" t="s">
        <v>166</v>
      </c>
      <c r="AF169" s="55" t="s">
        <v>166</v>
      </c>
      <c r="AG169" s="51" t="s">
        <v>166</v>
      </c>
      <c r="AH169" s="48">
        <v>2.0</v>
      </c>
      <c r="AI169" s="48" t="s">
        <v>166</v>
      </c>
      <c r="AJ169" s="50" t="s">
        <v>166</v>
      </c>
      <c r="AK169" s="56">
        <v>638.0</v>
      </c>
      <c r="AL169" s="57">
        <f>AK169*Sheets!$E$3</f>
        <v>87.945429</v>
      </c>
      <c r="AM169" s="68"/>
      <c r="AN169" s="70"/>
      <c r="AO169" s="71"/>
      <c r="AP169" s="72">
        <v>44681.59376967592</v>
      </c>
      <c r="AQ169" s="66"/>
    </row>
    <row r="170">
      <c r="A170" s="69" t="s">
        <v>445</v>
      </c>
      <c r="B170" s="46" t="s">
        <v>446</v>
      </c>
      <c r="C170" s="63" t="s">
        <v>163</v>
      </c>
      <c r="D170" s="48">
        <v>270.0</v>
      </c>
      <c r="E170" s="48">
        <v>80.0</v>
      </c>
      <c r="F170" s="48">
        <v>260.0</v>
      </c>
      <c r="G170" s="49">
        <f t="shared" si="1"/>
        <v>5.616</v>
      </c>
      <c r="H170" s="49">
        <f t="shared" si="2"/>
        <v>216</v>
      </c>
      <c r="I170" s="48" t="s">
        <v>170</v>
      </c>
      <c r="J170" s="48" t="s">
        <v>336</v>
      </c>
      <c r="K170" s="50" t="s">
        <v>447</v>
      </c>
      <c r="L170" s="51">
        <v>60.0</v>
      </c>
      <c r="M170" s="50" t="s">
        <v>166</v>
      </c>
      <c r="N170" s="51" t="s">
        <v>166</v>
      </c>
      <c r="O170" s="48" t="s">
        <v>166</v>
      </c>
      <c r="P170" s="48" t="s">
        <v>166</v>
      </c>
      <c r="Q170" s="48" t="s">
        <v>166</v>
      </c>
      <c r="R170" s="48" t="s">
        <v>166</v>
      </c>
      <c r="S170" s="50" t="s">
        <v>166</v>
      </c>
      <c r="T170" s="52" t="s">
        <v>423</v>
      </c>
      <c r="U170" s="52" t="s">
        <v>186</v>
      </c>
      <c r="V170" s="51">
        <v>1.0</v>
      </c>
      <c r="W170" s="48">
        <v>1.0</v>
      </c>
      <c r="X170" s="50" t="s">
        <v>166</v>
      </c>
      <c r="Y170" s="51" t="s">
        <v>166</v>
      </c>
      <c r="Z170" s="48" t="s">
        <v>166</v>
      </c>
      <c r="AA170" s="48" t="s">
        <v>166</v>
      </c>
      <c r="AB170" s="48" t="s">
        <v>166</v>
      </c>
      <c r="AC170" s="48" t="s">
        <v>166</v>
      </c>
      <c r="AD170" s="48" t="s">
        <v>166</v>
      </c>
      <c r="AE170" s="54" t="s">
        <v>166</v>
      </c>
      <c r="AF170" s="55" t="s">
        <v>166</v>
      </c>
      <c r="AG170" s="51" t="s">
        <v>194</v>
      </c>
      <c r="AH170" s="48" t="s">
        <v>194</v>
      </c>
      <c r="AI170" s="48" t="s">
        <v>166</v>
      </c>
      <c r="AJ170" s="50" t="s">
        <v>166</v>
      </c>
      <c r="AK170" s="56">
        <v>149.0</v>
      </c>
      <c r="AL170" s="57">
        <f>AK170*Sheets!$E$3</f>
        <v>20.5389795</v>
      </c>
      <c r="AM170" s="68"/>
      <c r="AN170" s="59"/>
      <c r="AO170" s="60"/>
      <c r="AP170" s="65">
        <v>45100.43382690972</v>
      </c>
      <c r="AQ170" s="66"/>
    </row>
    <row r="171">
      <c r="A171" s="61" t="s">
        <v>448</v>
      </c>
      <c r="B171" s="62" t="s">
        <v>448</v>
      </c>
      <c r="C171" s="63" t="s">
        <v>163</v>
      </c>
      <c r="D171" s="48">
        <v>189.5</v>
      </c>
      <c r="E171" s="48">
        <v>200.0</v>
      </c>
      <c r="F171" s="48">
        <v>148.6</v>
      </c>
      <c r="G171" s="49">
        <f t="shared" si="1"/>
        <v>5.63194</v>
      </c>
      <c r="H171" s="49">
        <f t="shared" si="2"/>
        <v>379</v>
      </c>
      <c r="I171" s="48" t="s">
        <v>170</v>
      </c>
      <c r="J171" s="48" t="s">
        <v>449</v>
      </c>
      <c r="K171" s="50" t="s">
        <v>449</v>
      </c>
      <c r="L171" s="51">
        <v>125.0</v>
      </c>
      <c r="M171" s="50" t="s">
        <v>166</v>
      </c>
      <c r="N171" s="51" t="s">
        <v>166</v>
      </c>
      <c r="O171" s="48" t="s">
        <v>166</v>
      </c>
      <c r="P171" s="48" t="s">
        <v>166</v>
      </c>
      <c r="Q171" s="48" t="s">
        <v>166</v>
      </c>
      <c r="R171" s="48" t="s">
        <v>166</v>
      </c>
      <c r="S171" s="50" t="s">
        <v>166</v>
      </c>
      <c r="T171" s="52" t="s">
        <v>167</v>
      </c>
      <c r="U171" s="52" t="s">
        <v>186</v>
      </c>
      <c r="V171" s="51" t="s">
        <v>166</v>
      </c>
      <c r="W171" s="48" t="s">
        <v>166</v>
      </c>
      <c r="X171" s="50" t="s">
        <v>166</v>
      </c>
      <c r="Y171" s="51" t="s">
        <v>166</v>
      </c>
      <c r="Z171" s="48" t="s">
        <v>166</v>
      </c>
      <c r="AA171" s="48" t="s">
        <v>166</v>
      </c>
      <c r="AB171" s="48" t="s">
        <v>166</v>
      </c>
      <c r="AC171" s="48" t="s">
        <v>166</v>
      </c>
      <c r="AD171" s="48" t="s">
        <v>166</v>
      </c>
      <c r="AE171" s="54" t="s">
        <v>166</v>
      </c>
      <c r="AF171" s="55" t="s">
        <v>166</v>
      </c>
      <c r="AG171" s="51" t="s">
        <v>166</v>
      </c>
      <c r="AH171" s="48" t="s">
        <v>166</v>
      </c>
      <c r="AI171" s="48" t="s">
        <v>166</v>
      </c>
      <c r="AJ171" s="50" t="s">
        <v>166</v>
      </c>
      <c r="AK171" s="56" t="s">
        <v>166</v>
      </c>
      <c r="AL171" s="57" t="s">
        <v>166</v>
      </c>
      <c r="AM171" s="58"/>
      <c r="AN171" s="59"/>
      <c r="AO171" s="60" t="s">
        <v>450</v>
      </c>
      <c r="AP171" s="65">
        <v>44717.93999672454</v>
      </c>
      <c r="AQ171" s="66"/>
    </row>
    <row r="172">
      <c r="A172" s="46" t="s">
        <v>451</v>
      </c>
      <c r="B172" s="46" t="s">
        <v>415</v>
      </c>
      <c r="C172" s="63" t="s">
        <v>163</v>
      </c>
      <c r="D172" s="48">
        <v>220.0</v>
      </c>
      <c r="E172" s="48">
        <v>110.0</v>
      </c>
      <c r="F172" s="48">
        <v>233.0</v>
      </c>
      <c r="G172" s="98">
        <f t="shared" si="1"/>
        <v>5.6386</v>
      </c>
      <c r="H172" s="49">
        <f t="shared" si="2"/>
        <v>242</v>
      </c>
      <c r="I172" s="48">
        <v>2.0</v>
      </c>
      <c r="J172" s="48" t="s">
        <v>164</v>
      </c>
      <c r="K172" s="50" t="s">
        <v>452</v>
      </c>
      <c r="L172" s="51">
        <v>90.0</v>
      </c>
      <c r="M172" s="50" t="s">
        <v>166</v>
      </c>
      <c r="N172" s="51" t="s">
        <v>166</v>
      </c>
      <c r="O172" s="48">
        <v>200.0</v>
      </c>
      <c r="P172" s="48">
        <v>70.0</v>
      </c>
      <c r="Q172" s="48">
        <v>20.0</v>
      </c>
      <c r="R172" s="48" t="s">
        <v>166</v>
      </c>
      <c r="S172" s="50">
        <v>1.0</v>
      </c>
      <c r="T172" s="52" t="s">
        <v>167</v>
      </c>
      <c r="U172" s="52" t="s">
        <v>186</v>
      </c>
      <c r="V172" s="51" t="s">
        <v>416</v>
      </c>
      <c r="W172" s="48" t="s">
        <v>193</v>
      </c>
      <c r="X172" s="50" t="s">
        <v>166</v>
      </c>
      <c r="Y172" s="51" t="s">
        <v>166</v>
      </c>
      <c r="Z172" s="48" t="s">
        <v>166</v>
      </c>
      <c r="AA172" s="48" t="s">
        <v>278</v>
      </c>
      <c r="AB172" s="48" t="s">
        <v>193</v>
      </c>
      <c r="AC172" s="48" t="s">
        <v>166</v>
      </c>
      <c r="AD172" s="48" t="s">
        <v>166</v>
      </c>
      <c r="AE172" s="54" t="s">
        <v>166</v>
      </c>
      <c r="AF172" s="55" t="s">
        <v>166</v>
      </c>
      <c r="AG172" s="51" t="s">
        <v>166</v>
      </c>
      <c r="AH172" s="48" t="s">
        <v>166</v>
      </c>
      <c r="AI172" s="48" t="s">
        <v>194</v>
      </c>
      <c r="AJ172" s="50" t="s">
        <v>166</v>
      </c>
      <c r="AK172" s="56">
        <v>499.0</v>
      </c>
      <c r="AL172" s="57">
        <f>AK172*Sheets!$E$3</f>
        <v>68.7849045</v>
      </c>
      <c r="AM172" s="68"/>
      <c r="AN172" s="70"/>
      <c r="AO172" s="71"/>
      <c r="AP172" s="72">
        <v>45026.452769537034</v>
      </c>
      <c r="AQ172" s="66"/>
    </row>
    <row r="173">
      <c r="A173" s="61" t="s">
        <v>178</v>
      </c>
      <c r="B173" s="62" t="s">
        <v>453</v>
      </c>
      <c r="C173" s="63" t="s">
        <v>225</v>
      </c>
      <c r="D173" s="48">
        <v>220.0</v>
      </c>
      <c r="E173" s="48">
        <v>70.0</v>
      </c>
      <c r="F173" s="48">
        <v>370.0</v>
      </c>
      <c r="G173" s="49">
        <f t="shared" si="1"/>
        <v>5.698</v>
      </c>
      <c r="H173" s="49">
        <f t="shared" si="2"/>
        <v>154</v>
      </c>
      <c r="I173" s="48">
        <v>1.2</v>
      </c>
      <c r="J173" s="48" t="s">
        <v>164</v>
      </c>
      <c r="K173" s="50" t="s">
        <v>185</v>
      </c>
      <c r="L173" s="51">
        <v>48.0</v>
      </c>
      <c r="M173" s="50" t="s">
        <v>166</v>
      </c>
      <c r="N173" s="51" t="s">
        <v>174</v>
      </c>
      <c r="O173" s="48">
        <v>210.0</v>
      </c>
      <c r="P173" s="48">
        <v>135.0</v>
      </c>
      <c r="Q173" s="48">
        <v>40.0</v>
      </c>
      <c r="R173" s="48">
        <v>2.0</v>
      </c>
      <c r="S173" s="50" t="s">
        <v>166</v>
      </c>
      <c r="T173" s="52" t="s">
        <v>167</v>
      </c>
      <c r="U173" s="52" t="s">
        <v>168</v>
      </c>
      <c r="V173" s="51">
        <v>2.0</v>
      </c>
      <c r="W173" s="48" t="s">
        <v>166</v>
      </c>
      <c r="X173" s="50" t="s">
        <v>166</v>
      </c>
      <c r="Y173" s="51" t="s">
        <v>166</v>
      </c>
      <c r="Z173" s="48" t="s">
        <v>166</v>
      </c>
      <c r="AA173" s="48" t="s">
        <v>166</v>
      </c>
      <c r="AB173" s="48" t="s">
        <v>166</v>
      </c>
      <c r="AC173" s="48" t="s">
        <v>166</v>
      </c>
      <c r="AD173" s="48" t="s">
        <v>166</v>
      </c>
      <c r="AE173" s="54" t="s">
        <v>166</v>
      </c>
      <c r="AF173" s="55" t="s">
        <v>166</v>
      </c>
      <c r="AG173" s="51" t="s">
        <v>166</v>
      </c>
      <c r="AH173" s="48" t="s">
        <v>166</v>
      </c>
      <c r="AI173" s="48">
        <v>1.0</v>
      </c>
      <c r="AJ173" s="50" t="s">
        <v>166</v>
      </c>
      <c r="AK173" s="56" t="s">
        <v>166</v>
      </c>
      <c r="AL173" s="57">
        <v>132.0</v>
      </c>
      <c r="AM173" s="58"/>
      <c r="AN173" s="59"/>
      <c r="AO173" s="60"/>
      <c r="AP173" s="60"/>
      <c r="AQ173" s="66"/>
    </row>
    <row r="174">
      <c r="A174" s="69" t="s">
        <v>445</v>
      </c>
      <c r="B174" s="46" t="s">
        <v>454</v>
      </c>
      <c r="C174" s="63" t="s">
        <v>248</v>
      </c>
      <c r="D174" s="48">
        <v>198.0</v>
      </c>
      <c r="E174" s="48">
        <v>124.0</v>
      </c>
      <c r="F174" s="48">
        <v>233.0</v>
      </c>
      <c r="G174" s="49">
        <f t="shared" si="1"/>
        <v>5.720616</v>
      </c>
      <c r="H174" s="49">
        <f t="shared" si="2"/>
        <v>245.52</v>
      </c>
      <c r="I174" s="48" t="s">
        <v>170</v>
      </c>
      <c r="J174" s="48" t="s">
        <v>336</v>
      </c>
      <c r="K174" s="50" t="s">
        <v>171</v>
      </c>
      <c r="L174" s="51">
        <v>50.0</v>
      </c>
      <c r="M174" s="50" t="s">
        <v>166</v>
      </c>
      <c r="N174" s="51" t="s">
        <v>174</v>
      </c>
      <c r="O174" s="48">
        <v>195.0</v>
      </c>
      <c r="P174" s="48" t="s">
        <v>170</v>
      </c>
      <c r="Q174" s="48">
        <v>40.0</v>
      </c>
      <c r="R174" s="48">
        <v>2.0</v>
      </c>
      <c r="S174" s="50" t="s">
        <v>166</v>
      </c>
      <c r="T174" s="52" t="s">
        <v>167</v>
      </c>
      <c r="U174" s="52" t="s">
        <v>186</v>
      </c>
      <c r="V174" s="51" t="s">
        <v>194</v>
      </c>
      <c r="W174" s="48" t="s">
        <v>194</v>
      </c>
      <c r="X174" s="50" t="s">
        <v>166</v>
      </c>
      <c r="Y174" s="51" t="s">
        <v>166</v>
      </c>
      <c r="Z174" s="48" t="s">
        <v>166</v>
      </c>
      <c r="AA174" s="48" t="s">
        <v>166</v>
      </c>
      <c r="AB174" s="48" t="s">
        <v>166</v>
      </c>
      <c r="AC174" s="48" t="s">
        <v>166</v>
      </c>
      <c r="AD174" s="48" t="s">
        <v>166</v>
      </c>
      <c r="AE174" s="54" t="s">
        <v>166</v>
      </c>
      <c r="AF174" s="55" t="s">
        <v>166</v>
      </c>
      <c r="AG174" s="51" t="s">
        <v>166</v>
      </c>
      <c r="AH174" s="48">
        <v>1.0</v>
      </c>
      <c r="AI174" s="48" t="s">
        <v>166</v>
      </c>
      <c r="AJ174" s="50" t="s">
        <v>166</v>
      </c>
      <c r="AK174" s="56">
        <v>109.0</v>
      </c>
      <c r="AL174" s="57">
        <f>AK174*Sheets!$E$3</f>
        <v>15.0251595</v>
      </c>
      <c r="AM174" s="68"/>
      <c r="AN174" s="59"/>
      <c r="AO174" s="60"/>
      <c r="AP174" s="65"/>
      <c r="AQ174" s="66"/>
    </row>
    <row r="175">
      <c r="A175" s="82" t="str">
        <f>HYPERLINK("https://www.velkase.com/","Velkase")</f>
        <v>Velkase</v>
      </c>
      <c r="B175" s="67" t="s">
        <v>455</v>
      </c>
      <c r="C175" s="63" t="s">
        <v>248</v>
      </c>
      <c r="D175" s="48">
        <v>174.0</v>
      </c>
      <c r="E175" s="48">
        <v>109.0</v>
      </c>
      <c r="F175" s="48">
        <v>303.0</v>
      </c>
      <c r="G175" s="49">
        <f t="shared" si="1"/>
        <v>5.746698</v>
      </c>
      <c r="H175" s="49">
        <f t="shared" si="2"/>
        <v>189.66</v>
      </c>
      <c r="I175" s="48">
        <v>1.0</v>
      </c>
      <c r="J175" s="48" t="s">
        <v>164</v>
      </c>
      <c r="K175" s="50" t="s">
        <v>456</v>
      </c>
      <c r="L175" s="51">
        <v>48.0</v>
      </c>
      <c r="M175" s="50" t="s">
        <v>166</v>
      </c>
      <c r="N175" s="51" t="s">
        <v>174</v>
      </c>
      <c r="O175" s="48">
        <v>296.0</v>
      </c>
      <c r="P175" s="48">
        <v>142.0</v>
      </c>
      <c r="Q175" s="48">
        <v>43.0</v>
      </c>
      <c r="R175" s="93">
        <v>2.0</v>
      </c>
      <c r="S175" s="94" t="s">
        <v>166</v>
      </c>
      <c r="T175" s="52" t="s">
        <v>167</v>
      </c>
      <c r="U175" s="52" t="s">
        <v>346</v>
      </c>
      <c r="V175" s="51" t="s">
        <v>193</v>
      </c>
      <c r="W175" s="48" t="s">
        <v>194</v>
      </c>
      <c r="X175" s="50" t="s">
        <v>166</v>
      </c>
      <c r="Y175" s="51" t="s">
        <v>166</v>
      </c>
      <c r="Z175" s="48" t="s">
        <v>166</v>
      </c>
      <c r="AA175" s="48" t="s">
        <v>166</v>
      </c>
      <c r="AB175" s="48" t="s">
        <v>166</v>
      </c>
      <c r="AC175" s="48" t="s">
        <v>166</v>
      </c>
      <c r="AD175" s="48" t="s">
        <v>166</v>
      </c>
      <c r="AE175" s="54" t="s">
        <v>166</v>
      </c>
      <c r="AF175" s="55" t="s">
        <v>166</v>
      </c>
      <c r="AG175" s="51" t="s">
        <v>166</v>
      </c>
      <c r="AH175" s="48" t="s">
        <v>166</v>
      </c>
      <c r="AI175" s="48" t="s">
        <v>166</v>
      </c>
      <c r="AJ175" s="50" t="s">
        <v>166</v>
      </c>
      <c r="AK175" s="56" t="s">
        <v>166</v>
      </c>
      <c r="AL175" s="57">
        <v>139.99</v>
      </c>
      <c r="AM175" s="64" t="str">
        <f>HYPERLINK("https://smallformfactor.net/forum/threads/velka-series-cases-for-ultra-compact-and-portable-desktops.9681","Link")</f>
        <v>Link</v>
      </c>
      <c r="AN175" s="87" t="s">
        <v>214</v>
      </c>
      <c r="AO175" s="60" t="s">
        <v>181</v>
      </c>
      <c r="AP175" s="60"/>
      <c r="AQ175" s="66"/>
    </row>
    <row r="176">
      <c r="A176" s="69" t="s">
        <v>286</v>
      </c>
      <c r="B176" s="46" t="s">
        <v>457</v>
      </c>
      <c r="C176" s="63" t="s">
        <v>248</v>
      </c>
      <c r="D176" s="48">
        <v>197.0</v>
      </c>
      <c r="E176" s="48">
        <v>121.0</v>
      </c>
      <c r="F176" s="48">
        <v>242.0</v>
      </c>
      <c r="G176" s="49">
        <f t="shared" si="1"/>
        <v>5.768554</v>
      </c>
      <c r="H176" s="49">
        <f t="shared" si="2"/>
        <v>238.37</v>
      </c>
      <c r="I176" s="48" t="s">
        <v>170</v>
      </c>
      <c r="J176" s="48" t="s">
        <v>274</v>
      </c>
      <c r="K176" s="50" t="s">
        <v>328</v>
      </c>
      <c r="L176" s="51">
        <v>50.0</v>
      </c>
      <c r="M176" s="50" t="s">
        <v>166</v>
      </c>
      <c r="N176" s="51" t="s">
        <v>174</v>
      </c>
      <c r="O176" s="48">
        <v>189.0</v>
      </c>
      <c r="P176" s="48" t="s">
        <v>170</v>
      </c>
      <c r="Q176" s="48">
        <v>40.0</v>
      </c>
      <c r="R176" s="48">
        <v>2.0</v>
      </c>
      <c r="S176" s="50" t="s">
        <v>166</v>
      </c>
      <c r="T176" s="52" t="s">
        <v>167</v>
      </c>
      <c r="U176" s="52" t="s">
        <v>186</v>
      </c>
      <c r="V176" s="51">
        <v>2.0</v>
      </c>
      <c r="W176" s="48" t="s">
        <v>166</v>
      </c>
      <c r="X176" s="50" t="s">
        <v>166</v>
      </c>
      <c r="Y176" s="51" t="s">
        <v>166</v>
      </c>
      <c r="Z176" s="48" t="s">
        <v>166</v>
      </c>
      <c r="AA176" s="48" t="s">
        <v>166</v>
      </c>
      <c r="AB176" s="48">
        <v>1.0</v>
      </c>
      <c r="AC176" s="48" t="s">
        <v>166</v>
      </c>
      <c r="AD176" s="48" t="s">
        <v>166</v>
      </c>
      <c r="AE176" s="54" t="s">
        <v>166</v>
      </c>
      <c r="AF176" s="55" t="s">
        <v>166</v>
      </c>
      <c r="AG176" s="51" t="s">
        <v>166</v>
      </c>
      <c r="AH176" s="48" t="s">
        <v>166</v>
      </c>
      <c r="AI176" s="48" t="s">
        <v>166</v>
      </c>
      <c r="AJ176" s="50" t="s">
        <v>166</v>
      </c>
      <c r="AK176" s="56">
        <v>459.0</v>
      </c>
      <c r="AL176" s="57">
        <f>AK176*Sheets!$E$3</f>
        <v>63.2710845</v>
      </c>
      <c r="AM176" s="68"/>
      <c r="AN176" s="70"/>
      <c r="AO176" s="71"/>
      <c r="AP176" s="71"/>
      <c r="AQ176" s="66"/>
    </row>
    <row r="177">
      <c r="A177" s="61" t="s">
        <v>379</v>
      </c>
      <c r="B177" s="62" t="s">
        <v>458</v>
      </c>
      <c r="C177" s="63" t="s">
        <v>248</v>
      </c>
      <c r="D177" s="48">
        <v>235.0</v>
      </c>
      <c r="E177" s="48">
        <v>117.0</v>
      </c>
      <c r="F177" s="48">
        <v>210.0</v>
      </c>
      <c r="G177" s="49">
        <f t="shared" si="1"/>
        <v>5.77395</v>
      </c>
      <c r="H177" s="49">
        <f t="shared" si="2"/>
        <v>274.95</v>
      </c>
      <c r="I177" s="48">
        <v>2.2</v>
      </c>
      <c r="J177" s="48" t="s">
        <v>267</v>
      </c>
      <c r="K177" s="50" t="s">
        <v>164</v>
      </c>
      <c r="L177" s="51">
        <v>48.0</v>
      </c>
      <c r="M177" s="50" t="s">
        <v>166</v>
      </c>
      <c r="N177" s="51" t="s">
        <v>174</v>
      </c>
      <c r="O177" s="48">
        <v>178.0</v>
      </c>
      <c r="P177" s="48">
        <v>125.0</v>
      </c>
      <c r="Q177" s="48">
        <v>43.0</v>
      </c>
      <c r="R177" s="48">
        <v>2.0</v>
      </c>
      <c r="S177" s="50" t="s">
        <v>166</v>
      </c>
      <c r="T177" s="52" t="s">
        <v>167</v>
      </c>
      <c r="U177" s="52" t="s">
        <v>186</v>
      </c>
      <c r="V177" s="51">
        <v>2.0</v>
      </c>
      <c r="W177" s="48" t="s">
        <v>166</v>
      </c>
      <c r="X177" s="50" t="s">
        <v>166</v>
      </c>
      <c r="Y177" s="51" t="s">
        <v>166</v>
      </c>
      <c r="Z177" s="48" t="s">
        <v>166</v>
      </c>
      <c r="AA177" s="48" t="s">
        <v>166</v>
      </c>
      <c r="AB177" s="48">
        <v>1.0</v>
      </c>
      <c r="AC177" s="48" t="s">
        <v>166</v>
      </c>
      <c r="AD177" s="48" t="s">
        <v>166</v>
      </c>
      <c r="AE177" s="54" t="s">
        <v>166</v>
      </c>
      <c r="AF177" s="55" t="s">
        <v>166</v>
      </c>
      <c r="AG177" s="51" t="s">
        <v>166</v>
      </c>
      <c r="AH177" s="48" t="s">
        <v>166</v>
      </c>
      <c r="AI177" s="48" t="s">
        <v>166</v>
      </c>
      <c r="AJ177" s="50" t="s">
        <v>166</v>
      </c>
      <c r="AK177" s="56">
        <v>1099.0</v>
      </c>
      <c r="AL177" s="57">
        <v>199.0</v>
      </c>
      <c r="AM177" s="64" t="s">
        <v>214</v>
      </c>
      <c r="AN177" s="70"/>
      <c r="AO177" s="71"/>
      <c r="AP177" s="71"/>
      <c r="AQ177" s="66"/>
    </row>
    <row r="178">
      <c r="A178" s="69" t="str">
        <f>HYPERLINK("https://metalfish.world.taobao.com/","Metalfish")</f>
        <v>Metalfish</v>
      </c>
      <c r="B178" s="73" t="s">
        <v>459</v>
      </c>
      <c r="C178" s="63" t="s">
        <v>262</v>
      </c>
      <c r="D178" s="48">
        <v>210.0</v>
      </c>
      <c r="E178" s="48">
        <v>100.0</v>
      </c>
      <c r="F178" s="48">
        <v>275.0</v>
      </c>
      <c r="G178" s="49">
        <f t="shared" si="1"/>
        <v>5.775</v>
      </c>
      <c r="H178" s="49">
        <f t="shared" si="2"/>
        <v>210</v>
      </c>
      <c r="I178" s="48" t="s">
        <v>170</v>
      </c>
      <c r="J178" s="48" t="s">
        <v>164</v>
      </c>
      <c r="K178" s="50" t="s">
        <v>204</v>
      </c>
      <c r="L178" s="51">
        <v>65.0</v>
      </c>
      <c r="M178" s="50" t="s">
        <v>166</v>
      </c>
      <c r="N178" s="51" t="s">
        <v>166</v>
      </c>
      <c r="O178" s="48">
        <v>190.0</v>
      </c>
      <c r="P178" s="48">
        <v>70.0</v>
      </c>
      <c r="Q178" s="48">
        <v>60.0</v>
      </c>
      <c r="R178" s="48" t="s">
        <v>166</v>
      </c>
      <c r="S178" s="50">
        <v>3.0</v>
      </c>
      <c r="T178" s="52" t="s">
        <v>460</v>
      </c>
      <c r="U178" s="52" t="s">
        <v>168</v>
      </c>
      <c r="V178" s="51">
        <v>2.0</v>
      </c>
      <c r="W178" s="48" t="s">
        <v>166</v>
      </c>
      <c r="X178" s="50" t="s">
        <v>166</v>
      </c>
      <c r="Y178" s="51" t="s">
        <v>166</v>
      </c>
      <c r="Z178" s="48" t="s">
        <v>166</v>
      </c>
      <c r="AA178" s="48">
        <v>2.0</v>
      </c>
      <c r="AB178" s="48" t="s">
        <v>166</v>
      </c>
      <c r="AC178" s="48" t="s">
        <v>166</v>
      </c>
      <c r="AD178" s="48" t="s">
        <v>166</v>
      </c>
      <c r="AE178" s="54" t="s">
        <v>166</v>
      </c>
      <c r="AF178" s="55" t="s">
        <v>166</v>
      </c>
      <c r="AG178" s="51" t="s">
        <v>166</v>
      </c>
      <c r="AH178" s="48">
        <v>2.0</v>
      </c>
      <c r="AI178" s="48" t="s">
        <v>166</v>
      </c>
      <c r="AJ178" s="50" t="s">
        <v>166</v>
      </c>
      <c r="AK178" s="56">
        <v>199.0</v>
      </c>
      <c r="AL178" s="57">
        <f>AK178*Sheets!$E$3</f>
        <v>27.4312545</v>
      </c>
      <c r="AM178" s="68"/>
      <c r="AN178" s="70"/>
      <c r="AO178" s="71" t="s">
        <v>181</v>
      </c>
      <c r="AP178" s="72">
        <v>44887.94811210648</v>
      </c>
      <c r="AQ178" s="66"/>
    </row>
    <row r="179">
      <c r="A179" s="46" t="str">
        <f>HYPERLINK("https://shop159524301.world.taobao.com/","Warhead Design")</f>
        <v>Warhead Design</v>
      </c>
      <c r="B179" s="73" t="s">
        <v>461</v>
      </c>
      <c r="C179" s="63" t="s">
        <v>248</v>
      </c>
      <c r="D179" s="48">
        <v>215.0</v>
      </c>
      <c r="E179" s="48">
        <v>100.0</v>
      </c>
      <c r="F179" s="48">
        <v>270.0</v>
      </c>
      <c r="G179" s="49">
        <f t="shared" si="1"/>
        <v>5.805</v>
      </c>
      <c r="H179" s="49">
        <f t="shared" si="2"/>
        <v>215</v>
      </c>
      <c r="I179" s="48">
        <v>1.4</v>
      </c>
      <c r="J179" s="48" t="s">
        <v>164</v>
      </c>
      <c r="K179" s="50" t="s">
        <v>164</v>
      </c>
      <c r="L179" s="51">
        <v>85.0</v>
      </c>
      <c r="M179" s="50">
        <v>120.0</v>
      </c>
      <c r="N179" s="51" t="s">
        <v>174</v>
      </c>
      <c r="O179" s="48">
        <v>175.0</v>
      </c>
      <c r="P179" s="48" t="s">
        <v>170</v>
      </c>
      <c r="Q179" s="48">
        <v>40.0</v>
      </c>
      <c r="R179" s="48">
        <v>2.0</v>
      </c>
      <c r="S179" s="50" t="s">
        <v>166</v>
      </c>
      <c r="T179" s="52" t="s">
        <v>167</v>
      </c>
      <c r="U179" s="52" t="s">
        <v>186</v>
      </c>
      <c r="V179" s="51">
        <v>1.0</v>
      </c>
      <c r="W179" s="48" t="s">
        <v>166</v>
      </c>
      <c r="X179" s="50" t="s">
        <v>166</v>
      </c>
      <c r="Y179" s="51" t="s">
        <v>166</v>
      </c>
      <c r="Z179" s="48" t="s">
        <v>166</v>
      </c>
      <c r="AA179" s="48">
        <v>2.0</v>
      </c>
      <c r="AB179" s="48" t="s">
        <v>166</v>
      </c>
      <c r="AC179" s="48" t="s">
        <v>166</v>
      </c>
      <c r="AD179" s="48" t="s">
        <v>166</v>
      </c>
      <c r="AE179" s="54" t="s">
        <v>166</v>
      </c>
      <c r="AF179" s="55" t="s">
        <v>166</v>
      </c>
      <c r="AG179" s="51" t="s">
        <v>166</v>
      </c>
      <c r="AH179" s="48" t="s">
        <v>166</v>
      </c>
      <c r="AI179" s="48" t="s">
        <v>166</v>
      </c>
      <c r="AJ179" s="50" t="s">
        <v>166</v>
      </c>
      <c r="AK179" s="56">
        <v>599.0</v>
      </c>
      <c r="AL179" s="57">
        <f>AK179*Sheets!$E$3</f>
        <v>82.5694545</v>
      </c>
      <c r="AM179" s="58"/>
      <c r="AN179" s="59"/>
      <c r="AO179" s="60" t="s">
        <v>181</v>
      </c>
      <c r="AP179" s="65">
        <v>44681.593936770834</v>
      </c>
      <c r="AQ179" s="66"/>
    </row>
    <row r="180">
      <c r="A180" s="69" t="s">
        <v>222</v>
      </c>
      <c r="B180" s="73" t="s">
        <v>462</v>
      </c>
      <c r="C180" s="63" t="s">
        <v>248</v>
      </c>
      <c r="D180" s="48">
        <v>240.0</v>
      </c>
      <c r="E180" s="48">
        <v>110.0</v>
      </c>
      <c r="F180" s="48">
        <v>220.0</v>
      </c>
      <c r="G180" s="49">
        <f t="shared" si="1"/>
        <v>5.808</v>
      </c>
      <c r="H180" s="49">
        <f t="shared" si="2"/>
        <v>264</v>
      </c>
      <c r="I180" s="48" t="s">
        <v>170</v>
      </c>
      <c r="J180" s="48" t="s">
        <v>336</v>
      </c>
      <c r="K180" s="50" t="s">
        <v>414</v>
      </c>
      <c r="L180" s="51">
        <v>38.0</v>
      </c>
      <c r="M180" s="50" t="s">
        <v>166</v>
      </c>
      <c r="N180" s="51" t="s">
        <v>174</v>
      </c>
      <c r="O180" s="48">
        <v>240.0</v>
      </c>
      <c r="P180" s="48" t="s">
        <v>170</v>
      </c>
      <c r="Q180" s="48">
        <v>47.0</v>
      </c>
      <c r="R180" s="48">
        <v>2.0</v>
      </c>
      <c r="S180" s="50" t="s">
        <v>166</v>
      </c>
      <c r="T180" s="52" t="s">
        <v>167</v>
      </c>
      <c r="U180" s="52" t="s">
        <v>186</v>
      </c>
      <c r="V180" s="51">
        <v>2.0</v>
      </c>
      <c r="W180" s="48" t="s">
        <v>166</v>
      </c>
      <c r="X180" s="50" t="s">
        <v>166</v>
      </c>
      <c r="Y180" s="51" t="s">
        <v>166</v>
      </c>
      <c r="Z180" s="48" t="s">
        <v>166</v>
      </c>
      <c r="AA180" s="48" t="s">
        <v>166</v>
      </c>
      <c r="AB180" s="48" t="s">
        <v>166</v>
      </c>
      <c r="AC180" s="48" t="s">
        <v>166</v>
      </c>
      <c r="AD180" s="48" t="s">
        <v>166</v>
      </c>
      <c r="AE180" s="54" t="s">
        <v>166</v>
      </c>
      <c r="AF180" s="55" t="s">
        <v>166</v>
      </c>
      <c r="AG180" s="51" t="s">
        <v>166</v>
      </c>
      <c r="AH180" s="48" t="s">
        <v>166</v>
      </c>
      <c r="AI180" s="48" t="s">
        <v>166</v>
      </c>
      <c r="AJ180" s="50" t="s">
        <v>166</v>
      </c>
      <c r="AK180" s="56">
        <v>188.0</v>
      </c>
      <c r="AL180" s="57">
        <f>AK180*Sheets!$E$3</f>
        <v>25.914954</v>
      </c>
      <c r="AM180" s="68"/>
      <c r="AN180" s="70"/>
      <c r="AO180" s="71" t="s">
        <v>181</v>
      </c>
      <c r="AP180" s="71"/>
      <c r="AQ180" s="66"/>
    </row>
    <row r="181">
      <c r="A181" s="82" t="s">
        <v>250</v>
      </c>
      <c r="B181" s="83" t="s">
        <v>463</v>
      </c>
      <c r="C181" s="63" t="s">
        <v>225</v>
      </c>
      <c r="D181" s="48">
        <v>188.0</v>
      </c>
      <c r="E181" s="48">
        <v>106.0</v>
      </c>
      <c r="F181" s="48">
        <v>295.0</v>
      </c>
      <c r="G181" s="49">
        <f t="shared" si="1"/>
        <v>5.87876</v>
      </c>
      <c r="H181" s="49">
        <f t="shared" si="2"/>
        <v>199.28</v>
      </c>
      <c r="I181" s="48" t="s">
        <v>170</v>
      </c>
      <c r="J181" s="48" t="s">
        <v>240</v>
      </c>
      <c r="K181" s="50" t="s">
        <v>252</v>
      </c>
      <c r="L181" s="51">
        <v>85.0</v>
      </c>
      <c r="M181" s="50" t="s">
        <v>166</v>
      </c>
      <c r="N181" s="51" t="s">
        <v>174</v>
      </c>
      <c r="O181" s="48">
        <v>173.0</v>
      </c>
      <c r="P181" s="48">
        <v>140.0</v>
      </c>
      <c r="Q181" s="48">
        <v>45.0</v>
      </c>
      <c r="R181" s="48">
        <v>2.0</v>
      </c>
      <c r="S181" s="50" t="s">
        <v>166</v>
      </c>
      <c r="T181" s="52" t="s">
        <v>167</v>
      </c>
      <c r="U181" s="52" t="s">
        <v>186</v>
      </c>
      <c r="V181" s="51">
        <v>1.0</v>
      </c>
      <c r="W181" s="48" t="s">
        <v>166</v>
      </c>
      <c r="X181" s="50" t="s">
        <v>166</v>
      </c>
      <c r="Y181" s="51" t="s">
        <v>166</v>
      </c>
      <c r="Z181" s="48" t="s">
        <v>166</v>
      </c>
      <c r="AA181" s="48">
        <v>2.0</v>
      </c>
      <c r="AB181" s="48" t="s">
        <v>166</v>
      </c>
      <c r="AC181" s="48" t="s">
        <v>166</v>
      </c>
      <c r="AD181" s="48" t="s">
        <v>166</v>
      </c>
      <c r="AE181" s="54" t="s">
        <v>166</v>
      </c>
      <c r="AF181" s="55" t="s">
        <v>166</v>
      </c>
      <c r="AG181" s="51" t="s">
        <v>166</v>
      </c>
      <c r="AH181" s="48" t="s">
        <v>166</v>
      </c>
      <c r="AI181" s="48" t="s">
        <v>166</v>
      </c>
      <c r="AJ181" s="50" t="s">
        <v>166</v>
      </c>
      <c r="AK181" s="56">
        <v>375.0</v>
      </c>
      <c r="AL181" s="57">
        <f>AK181*Sheets!$E$3</f>
        <v>51.6920625</v>
      </c>
      <c r="AM181" s="58"/>
      <c r="AN181" s="85"/>
      <c r="AO181" s="86"/>
      <c r="AP181" s="65">
        <v>44735.871921122685</v>
      </c>
      <c r="AQ181" s="66"/>
    </row>
    <row r="182">
      <c r="A182" s="69" t="str">
        <f>HYPERLINK("https://shop162335681.world.taobao.com/","柏越科技")</f>
        <v>柏越科技</v>
      </c>
      <c r="B182" s="73" t="s">
        <v>464</v>
      </c>
      <c r="C182" s="63" t="s">
        <v>248</v>
      </c>
      <c r="D182" s="48">
        <v>200.0</v>
      </c>
      <c r="E182" s="48">
        <v>110.0</v>
      </c>
      <c r="F182" s="48">
        <v>270.0</v>
      </c>
      <c r="G182" s="49">
        <f t="shared" si="1"/>
        <v>5.94</v>
      </c>
      <c r="H182" s="49">
        <f t="shared" si="2"/>
        <v>220</v>
      </c>
      <c r="I182" s="48" t="s">
        <v>170</v>
      </c>
      <c r="J182" s="48" t="s">
        <v>164</v>
      </c>
      <c r="K182" s="50" t="s">
        <v>164</v>
      </c>
      <c r="L182" s="51">
        <v>50.0</v>
      </c>
      <c r="M182" s="50" t="s">
        <v>166</v>
      </c>
      <c r="N182" s="51" t="s">
        <v>174</v>
      </c>
      <c r="O182" s="48">
        <v>194.0</v>
      </c>
      <c r="P182" s="48" t="s">
        <v>170</v>
      </c>
      <c r="Q182" s="48">
        <v>42.0</v>
      </c>
      <c r="R182" s="48">
        <v>2.0</v>
      </c>
      <c r="S182" s="50" t="s">
        <v>166</v>
      </c>
      <c r="T182" s="52" t="s">
        <v>227</v>
      </c>
      <c r="U182" s="52" t="s">
        <v>186</v>
      </c>
      <c r="V182" s="51">
        <v>2.0</v>
      </c>
      <c r="W182" s="48" t="s">
        <v>166</v>
      </c>
      <c r="X182" s="50" t="s">
        <v>166</v>
      </c>
      <c r="Y182" s="51" t="s">
        <v>166</v>
      </c>
      <c r="Z182" s="48" t="s">
        <v>166</v>
      </c>
      <c r="AA182" s="48">
        <v>1.0</v>
      </c>
      <c r="AB182" s="48" t="s">
        <v>166</v>
      </c>
      <c r="AC182" s="48" t="s">
        <v>166</v>
      </c>
      <c r="AD182" s="48" t="s">
        <v>166</v>
      </c>
      <c r="AE182" s="54" t="s">
        <v>166</v>
      </c>
      <c r="AF182" s="55" t="s">
        <v>166</v>
      </c>
      <c r="AG182" s="51" t="s">
        <v>166</v>
      </c>
      <c r="AH182" s="48">
        <v>2.0</v>
      </c>
      <c r="AI182" s="48" t="s">
        <v>166</v>
      </c>
      <c r="AJ182" s="50" t="s">
        <v>166</v>
      </c>
      <c r="AK182" s="56">
        <v>209.0</v>
      </c>
      <c r="AL182" s="57">
        <f>AK182*Sheets!$E$3</f>
        <v>28.8097095</v>
      </c>
      <c r="AM182" s="68"/>
      <c r="AN182" s="70"/>
      <c r="AO182" s="71" t="s">
        <v>181</v>
      </c>
      <c r="AP182" s="65">
        <v>44442.87626792824</v>
      </c>
      <c r="AQ182" s="66"/>
    </row>
    <row r="183">
      <c r="A183" s="82" t="str">
        <f>HYPERLINK("https://www.velkase.com/","Velkase")</f>
        <v>Velkase</v>
      </c>
      <c r="B183" s="83" t="s">
        <v>465</v>
      </c>
      <c r="C183" s="63" t="s">
        <v>248</v>
      </c>
      <c r="D183" s="48">
        <v>177.0</v>
      </c>
      <c r="E183" s="48">
        <v>111.0</v>
      </c>
      <c r="F183" s="48">
        <v>303.0</v>
      </c>
      <c r="G183" s="49">
        <f t="shared" si="1"/>
        <v>5.953041</v>
      </c>
      <c r="H183" s="49">
        <f t="shared" si="2"/>
        <v>196.47</v>
      </c>
      <c r="I183" s="48">
        <v>2.1</v>
      </c>
      <c r="J183" s="48" t="s">
        <v>171</v>
      </c>
      <c r="K183" s="50" t="s">
        <v>285</v>
      </c>
      <c r="L183" s="51">
        <v>47.0</v>
      </c>
      <c r="M183" s="50" t="s">
        <v>166</v>
      </c>
      <c r="N183" s="51" t="s">
        <v>174</v>
      </c>
      <c r="O183" s="48">
        <v>289.0</v>
      </c>
      <c r="P183" s="48">
        <v>140.0</v>
      </c>
      <c r="Q183" s="48">
        <v>43.0</v>
      </c>
      <c r="R183" s="93">
        <v>2.0</v>
      </c>
      <c r="S183" s="94" t="s">
        <v>166</v>
      </c>
      <c r="T183" s="52" t="s">
        <v>167</v>
      </c>
      <c r="U183" s="52" t="s">
        <v>324</v>
      </c>
      <c r="V183" s="51" t="s">
        <v>220</v>
      </c>
      <c r="W183" s="48" t="s">
        <v>166</v>
      </c>
      <c r="X183" s="50" t="s">
        <v>166</v>
      </c>
      <c r="Y183" s="51" t="s">
        <v>166</v>
      </c>
      <c r="Z183" s="48" t="s">
        <v>166</v>
      </c>
      <c r="AA183" s="48" t="s">
        <v>166</v>
      </c>
      <c r="AB183" s="48" t="s">
        <v>166</v>
      </c>
      <c r="AC183" s="48" t="s">
        <v>166</v>
      </c>
      <c r="AD183" s="48" t="s">
        <v>166</v>
      </c>
      <c r="AE183" s="54" t="s">
        <v>166</v>
      </c>
      <c r="AF183" s="55" t="s">
        <v>166</v>
      </c>
      <c r="AG183" s="51" t="s">
        <v>166</v>
      </c>
      <c r="AH183" s="48" t="s">
        <v>166</v>
      </c>
      <c r="AI183" s="48" t="s">
        <v>166</v>
      </c>
      <c r="AJ183" s="50" t="s">
        <v>166</v>
      </c>
      <c r="AK183" s="56" t="s">
        <v>166</v>
      </c>
      <c r="AL183" s="57">
        <v>199.0</v>
      </c>
      <c r="AM183" s="64" t="str">
        <f>HYPERLINK("https://smallformfactor.net/forum/threads/velka-series-cases-for-ultra-compact-and-portable-desktops.9681","Link")</f>
        <v>Link</v>
      </c>
      <c r="AN183" s="87" t="s">
        <v>214</v>
      </c>
      <c r="AO183" s="86"/>
      <c r="AP183" s="86"/>
      <c r="AQ183" s="66"/>
    </row>
    <row r="184">
      <c r="A184" s="69" t="str">
        <f>HYPERLINK("https://sunmilo.world.taobao.com/","Sunmilo Studio")</f>
        <v>Sunmilo Studio</v>
      </c>
      <c r="B184" s="46" t="s">
        <v>466</v>
      </c>
      <c r="C184" s="63" t="s">
        <v>248</v>
      </c>
      <c r="D184" s="48">
        <v>204.0</v>
      </c>
      <c r="E184" s="48">
        <v>118.0</v>
      </c>
      <c r="F184" s="48">
        <v>248.0</v>
      </c>
      <c r="G184" s="49">
        <f t="shared" si="1"/>
        <v>5.969856</v>
      </c>
      <c r="H184" s="49">
        <f t="shared" si="2"/>
        <v>240.72</v>
      </c>
      <c r="I184" s="48">
        <v>3.0</v>
      </c>
      <c r="J184" s="48" t="s">
        <v>164</v>
      </c>
      <c r="K184" s="50" t="s">
        <v>164</v>
      </c>
      <c r="L184" s="51">
        <v>48.0</v>
      </c>
      <c r="M184" s="50" t="s">
        <v>166</v>
      </c>
      <c r="N184" s="51" t="s">
        <v>174</v>
      </c>
      <c r="O184" s="48">
        <v>204.0</v>
      </c>
      <c r="P184" s="48" t="s">
        <v>170</v>
      </c>
      <c r="Q184" s="48">
        <v>40.0</v>
      </c>
      <c r="R184" s="48">
        <v>2.0</v>
      </c>
      <c r="S184" s="50" t="s">
        <v>166</v>
      </c>
      <c r="T184" s="52" t="s">
        <v>167</v>
      </c>
      <c r="U184" s="52" t="s">
        <v>186</v>
      </c>
      <c r="V184" s="51">
        <v>2.0</v>
      </c>
      <c r="W184" s="48" t="s">
        <v>166</v>
      </c>
      <c r="X184" s="50" t="s">
        <v>166</v>
      </c>
      <c r="Y184" s="51" t="s">
        <v>166</v>
      </c>
      <c r="Z184" s="48" t="s">
        <v>166</v>
      </c>
      <c r="AA184" s="48" t="s">
        <v>166</v>
      </c>
      <c r="AB184" s="48">
        <v>2.0</v>
      </c>
      <c r="AC184" s="48" t="s">
        <v>166</v>
      </c>
      <c r="AD184" s="48" t="s">
        <v>166</v>
      </c>
      <c r="AE184" s="54" t="s">
        <v>166</v>
      </c>
      <c r="AF184" s="55" t="s">
        <v>166</v>
      </c>
      <c r="AG184" s="51" t="s">
        <v>166</v>
      </c>
      <c r="AH184" s="48">
        <v>1.0</v>
      </c>
      <c r="AI184" s="48" t="s">
        <v>166</v>
      </c>
      <c r="AJ184" s="50" t="s">
        <v>166</v>
      </c>
      <c r="AK184" s="56">
        <v>739.0</v>
      </c>
      <c r="AL184" s="57">
        <f>AK184*Sheets!$E$3</f>
        <v>101.8678245</v>
      </c>
      <c r="AM184" s="68"/>
      <c r="AN184" s="59"/>
      <c r="AO184" s="60"/>
      <c r="AP184" s="65">
        <v>44681.59400747685</v>
      </c>
      <c r="AQ184" s="66"/>
    </row>
    <row r="185">
      <c r="A185" s="69" t="s">
        <v>467</v>
      </c>
      <c r="B185" s="73" t="s">
        <v>468</v>
      </c>
      <c r="C185" s="63" t="s">
        <v>248</v>
      </c>
      <c r="D185" s="48">
        <v>252.0</v>
      </c>
      <c r="E185" s="48">
        <v>116.0</v>
      </c>
      <c r="F185" s="48">
        <v>205.0</v>
      </c>
      <c r="G185" s="49">
        <f t="shared" si="1"/>
        <v>5.99256</v>
      </c>
      <c r="H185" s="49">
        <f t="shared" si="2"/>
        <v>292.32</v>
      </c>
      <c r="I185" s="48">
        <v>1.0</v>
      </c>
      <c r="J185" s="48" t="s">
        <v>245</v>
      </c>
      <c r="K185" s="50" t="s">
        <v>204</v>
      </c>
      <c r="L185" s="51">
        <v>50.0</v>
      </c>
      <c r="M185" s="50" t="s">
        <v>166</v>
      </c>
      <c r="N185" s="51" t="s">
        <v>174</v>
      </c>
      <c r="O185" s="48">
        <v>203.0</v>
      </c>
      <c r="P185" s="48" t="s">
        <v>170</v>
      </c>
      <c r="Q185" s="48">
        <v>43.0</v>
      </c>
      <c r="R185" s="48">
        <v>2.0</v>
      </c>
      <c r="S185" s="50" t="s">
        <v>166</v>
      </c>
      <c r="T185" s="52" t="s">
        <v>167</v>
      </c>
      <c r="U185" s="52" t="s">
        <v>186</v>
      </c>
      <c r="V185" s="51">
        <v>1.0</v>
      </c>
      <c r="W185" s="48" t="s">
        <v>166</v>
      </c>
      <c r="X185" s="50" t="s">
        <v>166</v>
      </c>
      <c r="Y185" s="51" t="s">
        <v>166</v>
      </c>
      <c r="Z185" s="48" t="s">
        <v>166</v>
      </c>
      <c r="AA185" s="48" t="s">
        <v>166</v>
      </c>
      <c r="AB185" s="48">
        <v>2.0</v>
      </c>
      <c r="AC185" s="48" t="s">
        <v>166</v>
      </c>
      <c r="AD185" s="48" t="s">
        <v>166</v>
      </c>
      <c r="AE185" s="54" t="s">
        <v>166</v>
      </c>
      <c r="AF185" s="55" t="s">
        <v>166</v>
      </c>
      <c r="AG185" s="51" t="s">
        <v>166</v>
      </c>
      <c r="AH185" s="48">
        <v>1.0</v>
      </c>
      <c r="AI185" s="48" t="s">
        <v>166</v>
      </c>
      <c r="AJ185" s="50" t="s">
        <v>166</v>
      </c>
      <c r="AK185" s="56">
        <v>159.0</v>
      </c>
      <c r="AL185" s="57">
        <f>AK185*Sheets!$E$3</f>
        <v>21.9174345</v>
      </c>
      <c r="AM185" s="68"/>
      <c r="AN185" s="59"/>
      <c r="AO185" s="71" t="s">
        <v>181</v>
      </c>
      <c r="AP185" s="65">
        <v>45128.007939247684</v>
      </c>
      <c r="AQ185" s="66"/>
    </row>
    <row r="186">
      <c r="A186" s="69" t="s">
        <v>222</v>
      </c>
      <c r="B186" s="73" t="s">
        <v>469</v>
      </c>
      <c r="C186" s="63" t="s">
        <v>248</v>
      </c>
      <c r="D186" s="48">
        <v>210.0</v>
      </c>
      <c r="E186" s="48">
        <v>118.0</v>
      </c>
      <c r="F186" s="48">
        <v>242.0</v>
      </c>
      <c r="G186" s="49">
        <f t="shared" si="1"/>
        <v>5.99676</v>
      </c>
      <c r="H186" s="49">
        <f t="shared" si="2"/>
        <v>247.8</v>
      </c>
      <c r="I186" s="48">
        <v>0.77</v>
      </c>
      <c r="J186" s="48" t="s">
        <v>171</v>
      </c>
      <c r="K186" s="50" t="s">
        <v>171</v>
      </c>
      <c r="L186" s="51">
        <v>49.0</v>
      </c>
      <c r="M186" s="50" t="s">
        <v>166</v>
      </c>
      <c r="N186" s="51" t="s">
        <v>174</v>
      </c>
      <c r="O186" s="48">
        <v>208.0</v>
      </c>
      <c r="P186" s="48">
        <v>150.0</v>
      </c>
      <c r="Q186" s="48">
        <v>44.0</v>
      </c>
      <c r="R186" s="48">
        <v>2.0</v>
      </c>
      <c r="S186" s="50" t="s">
        <v>166</v>
      </c>
      <c r="T186" s="52" t="s">
        <v>227</v>
      </c>
      <c r="U186" s="52" t="s">
        <v>186</v>
      </c>
      <c r="V186" s="51">
        <v>2.0</v>
      </c>
      <c r="W186" s="48" t="s">
        <v>194</v>
      </c>
      <c r="X186" s="50" t="s">
        <v>166</v>
      </c>
      <c r="Y186" s="51" t="s">
        <v>166</v>
      </c>
      <c r="Z186" s="48" t="s">
        <v>166</v>
      </c>
      <c r="AA186" s="48" t="s">
        <v>166</v>
      </c>
      <c r="AB186" s="48">
        <v>2.0</v>
      </c>
      <c r="AC186" s="48" t="s">
        <v>166</v>
      </c>
      <c r="AD186" s="48" t="s">
        <v>166</v>
      </c>
      <c r="AE186" s="54" t="s">
        <v>166</v>
      </c>
      <c r="AF186" s="55" t="s">
        <v>166</v>
      </c>
      <c r="AG186" s="51" t="s">
        <v>166</v>
      </c>
      <c r="AH186" s="48" t="s">
        <v>166</v>
      </c>
      <c r="AI186" s="48" t="s">
        <v>166</v>
      </c>
      <c r="AJ186" s="50" t="s">
        <v>166</v>
      </c>
      <c r="AK186" s="56">
        <v>92.0</v>
      </c>
      <c r="AL186" s="57">
        <f>AK186*Sheets!$E$3</f>
        <v>12.681786</v>
      </c>
      <c r="AM186" s="68"/>
      <c r="AN186" s="70"/>
      <c r="AO186" s="71" t="s">
        <v>181</v>
      </c>
      <c r="AP186" s="72">
        <v>44735.74291247685</v>
      </c>
      <c r="AQ186" s="66"/>
    </row>
    <row r="187">
      <c r="A187" s="82" t="str">
        <f t="shared" ref="A187:A188" si="6">HYPERLINK("https://streacom.com/","Streacom")</f>
        <v>Streacom</v>
      </c>
      <c r="B187" s="62" t="str">
        <f>HYPERLINK("https://streacom.com/products/f7c-alpha-chassis/","F7C Alpha")</f>
        <v>F7C Alpha</v>
      </c>
      <c r="C187" s="63" t="s">
        <v>262</v>
      </c>
      <c r="D187" s="48">
        <v>250.0</v>
      </c>
      <c r="E187" s="48">
        <v>240.0</v>
      </c>
      <c r="F187" s="48">
        <v>100.0</v>
      </c>
      <c r="G187" s="49">
        <f t="shared" si="1"/>
        <v>6</v>
      </c>
      <c r="H187" s="49">
        <f t="shared" si="2"/>
        <v>600</v>
      </c>
      <c r="I187" s="48">
        <v>2.1</v>
      </c>
      <c r="J187" s="48" t="s">
        <v>164</v>
      </c>
      <c r="K187" s="50" t="s">
        <v>387</v>
      </c>
      <c r="L187" s="51">
        <v>55.0</v>
      </c>
      <c r="M187" s="50" t="s">
        <v>166</v>
      </c>
      <c r="N187" s="51" t="s">
        <v>166</v>
      </c>
      <c r="O187" s="48" t="s">
        <v>170</v>
      </c>
      <c r="P187" s="48">
        <v>70.0</v>
      </c>
      <c r="Q187" s="48">
        <v>20.0</v>
      </c>
      <c r="R187" s="48" t="s">
        <v>166</v>
      </c>
      <c r="S187" s="50">
        <v>1.0</v>
      </c>
      <c r="T187" s="52" t="s">
        <v>167</v>
      </c>
      <c r="U187" s="52" t="s">
        <v>168</v>
      </c>
      <c r="V187" s="51" t="s">
        <v>220</v>
      </c>
      <c r="W187" s="48" t="s">
        <v>193</v>
      </c>
      <c r="X187" s="50" t="s">
        <v>218</v>
      </c>
      <c r="Y187" s="51" t="s">
        <v>166</v>
      </c>
      <c r="Z187" s="48" t="s">
        <v>166</v>
      </c>
      <c r="AA187" s="48" t="s">
        <v>194</v>
      </c>
      <c r="AB187" s="48" t="s">
        <v>194</v>
      </c>
      <c r="AC187" s="48" t="s">
        <v>166</v>
      </c>
      <c r="AD187" s="48" t="s">
        <v>166</v>
      </c>
      <c r="AE187" s="54" t="s">
        <v>166</v>
      </c>
      <c r="AF187" s="55" t="s">
        <v>166</v>
      </c>
      <c r="AG187" s="51" t="s">
        <v>166</v>
      </c>
      <c r="AH187" s="48">
        <v>2.0</v>
      </c>
      <c r="AI187" s="48" t="s">
        <v>166</v>
      </c>
      <c r="AJ187" s="50" t="s">
        <v>166</v>
      </c>
      <c r="AK187" s="56" t="s">
        <v>166</v>
      </c>
      <c r="AL187" s="57" t="s">
        <v>170</v>
      </c>
      <c r="AM187" s="58"/>
      <c r="AN187" s="59"/>
      <c r="AO187" s="60"/>
      <c r="AP187" s="65">
        <v>45071.56226979167</v>
      </c>
      <c r="AQ187" s="66"/>
    </row>
    <row r="188">
      <c r="A188" s="82" t="str">
        <f t="shared" si="6"/>
        <v>Streacom</v>
      </c>
      <c r="B188" s="62" t="str">
        <f>HYPERLINK("https://streacom.com/products/fc8-alpha-fanless-chassis/","FC8 Alpha")</f>
        <v>FC8 Alpha</v>
      </c>
      <c r="C188" s="63" t="s">
        <v>262</v>
      </c>
      <c r="D188" s="48">
        <v>250.0</v>
      </c>
      <c r="E188" s="48">
        <v>240.0</v>
      </c>
      <c r="F188" s="48">
        <v>100.0</v>
      </c>
      <c r="G188" s="49">
        <f t="shared" si="1"/>
        <v>6</v>
      </c>
      <c r="H188" s="49">
        <f t="shared" si="2"/>
        <v>600</v>
      </c>
      <c r="I188" s="48">
        <v>2.7</v>
      </c>
      <c r="J188" s="48" t="s">
        <v>164</v>
      </c>
      <c r="K188" s="50" t="s">
        <v>387</v>
      </c>
      <c r="L188" s="51" t="s">
        <v>470</v>
      </c>
      <c r="M188" s="50" t="s">
        <v>166</v>
      </c>
      <c r="N188" s="51" t="s">
        <v>166</v>
      </c>
      <c r="O188" s="48" t="s">
        <v>170</v>
      </c>
      <c r="P188" s="48">
        <v>70.0</v>
      </c>
      <c r="Q188" s="48">
        <v>20.0</v>
      </c>
      <c r="R188" s="48" t="s">
        <v>166</v>
      </c>
      <c r="S188" s="50">
        <v>1.0</v>
      </c>
      <c r="T188" s="52" t="s">
        <v>167</v>
      </c>
      <c r="U188" s="52" t="s">
        <v>168</v>
      </c>
      <c r="V188" s="51" t="s">
        <v>220</v>
      </c>
      <c r="W188" s="48" t="s">
        <v>193</v>
      </c>
      <c r="X188" s="50" t="s">
        <v>218</v>
      </c>
      <c r="Y188" s="51" t="s">
        <v>166</v>
      </c>
      <c r="Z188" s="48" t="s">
        <v>166</v>
      </c>
      <c r="AA188" s="48" t="s">
        <v>166</v>
      </c>
      <c r="AB188" s="48" t="s">
        <v>166</v>
      </c>
      <c r="AC188" s="48" t="s">
        <v>166</v>
      </c>
      <c r="AD188" s="48" t="s">
        <v>166</v>
      </c>
      <c r="AE188" s="54" t="s">
        <v>166</v>
      </c>
      <c r="AF188" s="55" t="s">
        <v>166</v>
      </c>
      <c r="AG188" s="51" t="s">
        <v>166</v>
      </c>
      <c r="AH188" s="48">
        <v>2.0</v>
      </c>
      <c r="AI188" s="48" t="s">
        <v>166</v>
      </c>
      <c r="AJ188" s="50" t="s">
        <v>166</v>
      </c>
      <c r="AK188" s="56" t="s">
        <v>166</v>
      </c>
      <c r="AL188" s="57" t="s">
        <v>170</v>
      </c>
      <c r="AM188" s="58"/>
      <c r="AN188" s="59"/>
      <c r="AO188" s="60"/>
      <c r="AP188" s="65">
        <v>45208.7552005787</v>
      </c>
      <c r="AQ188" s="66"/>
    </row>
    <row r="189">
      <c r="A189" s="46" t="str">
        <f>HYPERLINK("https://shop224033016.world.taobao.com/","魔神科技电脑机箱城")</f>
        <v>魔神科技电脑机箱城</v>
      </c>
      <c r="B189" s="73" t="s">
        <v>471</v>
      </c>
      <c r="C189" s="63" t="s">
        <v>248</v>
      </c>
      <c r="D189" s="48">
        <v>200.0</v>
      </c>
      <c r="E189" s="48">
        <v>120.0</v>
      </c>
      <c r="F189" s="48">
        <v>250.0</v>
      </c>
      <c r="G189" s="49">
        <f t="shared" si="1"/>
        <v>6</v>
      </c>
      <c r="H189" s="49">
        <f t="shared" si="2"/>
        <v>240</v>
      </c>
      <c r="I189" s="48">
        <v>1.4</v>
      </c>
      <c r="J189" s="48" t="s">
        <v>164</v>
      </c>
      <c r="K189" s="50" t="s">
        <v>164</v>
      </c>
      <c r="L189" s="51">
        <v>45.0</v>
      </c>
      <c r="M189" s="50" t="s">
        <v>166</v>
      </c>
      <c r="N189" s="51" t="s">
        <v>174</v>
      </c>
      <c r="O189" s="48">
        <v>185.0</v>
      </c>
      <c r="P189" s="48">
        <v>145.0</v>
      </c>
      <c r="Q189" s="48">
        <v>45.0</v>
      </c>
      <c r="R189" s="48">
        <v>2.0</v>
      </c>
      <c r="S189" s="50" t="s">
        <v>166</v>
      </c>
      <c r="T189" s="52" t="s">
        <v>167</v>
      </c>
      <c r="U189" s="52" t="s">
        <v>186</v>
      </c>
      <c r="V189" s="51">
        <v>2.0</v>
      </c>
      <c r="W189" s="48" t="s">
        <v>166</v>
      </c>
      <c r="X189" s="50" t="s">
        <v>166</v>
      </c>
      <c r="Y189" s="51" t="s">
        <v>166</v>
      </c>
      <c r="Z189" s="48" t="s">
        <v>166</v>
      </c>
      <c r="AA189" s="48" t="s">
        <v>193</v>
      </c>
      <c r="AB189" s="48" t="s">
        <v>193</v>
      </c>
      <c r="AC189" s="48" t="s">
        <v>166</v>
      </c>
      <c r="AD189" s="48" t="s">
        <v>166</v>
      </c>
      <c r="AE189" s="54" t="s">
        <v>166</v>
      </c>
      <c r="AF189" s="55" t="s">
        <v>166</v>
      </c>
      <c r="AG189" s="51" t="s">
        <v>166</v>
      </c>
      <c r="AH189" s="48" t="s">
        <v>166</v>
      </c>
      <c r="AI189" s="48" t="s">
        <v>166</v>
      </c>
      <c r="AJ189" s="50" t="s">
        <v>166</v>
      </c>
      <c r="AK189" s="56">
        <v>199.0</v>
      </c>
      <c r="AL189" s="57">
        <f>AK189*Sheets!$E$3</f>
        <v>27.4312545</v>
      </c>
      <c r="AM189" s="68"/>
      <c r="AN189" s="70"/>
      <c r="AO189" s="71" t="s">
        <v>181</v>
      </c>
      <c r="AP189" s="72">
        <v>44442.884450937505</v>
      </c>
      <c r="AQ189" s="66"/>
    </row>
    <row r="190">
      <c r="A190" s="69" t="s">
        <v>472</v>
      </c>
      <c r="B190" s="99">
        <v>9000.0</v>
      </c>
      <c r="C190" s="63" t="s">
        <v>163</v>
      </c>
      <c r="D190" s="48">
        <v>220.0</v>
      </c>
      <c r="E190" s="48">
        <v>96.0</v>
      </c>
      <c r="F190" s="48">
        <v>285.0</v>
      </c>
      <c r="G190" s="49">
        <f t="shared" si="1"/>
        <v>6.0192</v>
      </c>
      <c r="H190" s="49">
        <f t="shared" si="2"/>
        <v>211.2</v>
      </c>
      <c r="I190" s="48">
        <v>1.4</v>
      </c>
      <c r="J190" s="48" t="s">
        <v>164</v>
      </c>
      <c r="K190" s="50" t="s">
        <v>473</v>
      </c>
      <c r="L190" s="51">
        <v>60.0</v>
      </c>
      <c r="M190" s="50" t="s">
        <v>166</v>
      </c>
      <c r="N190" s="51" t="s">
        <v>166</v>
      </c>
      <c r="O190" s="48" t="s">
        <v>166</v>
      </c>
      <c r="P190" s="48" t="s">
        <v>166</v>
      </c>
      <c r="Q190" s="48" t="s">
        <v>166</v>
      </c>
      <c r="R190" s="48" t="s">
        <v>166</v>
      </c>
      <c r="S190" s="50" t="s">
        <v>166</v>
      </c>
      <c r="T190" s="52" t="s">
        <v>167</v>
      </c>
      <c r="U190" s="52" t="s">
        <v>186</v>
      </c>
      <c r="V190" s="51">
        <v>1.0</v>
      </c>
      <c r="W190" s="48">
        <v>1.0</v>
      </c>
      <c r="X190" s="50" t="s">
        <v>166</v>
      </c>
      <c r="Y190" s="51" t="s">
        <v>166</v>
      </c>
      <c r="Z190" s="48" t="s">
        <v>166</v>
      </c>
      <c r="AA190" s="48">
        <v>1.0</v>
      </c>
      <c r="AB190" s="48" t="s">
        <v>166</v>
      </c>
      <c r="AC190" s="48" t="s">
        <v>166</v>
      </c>
      <c r="AD190" s="48" t="s">
        <v>166</v>
      </c>
      <c r="AE190" s="54" t="s">
        <v>166</v>
      </c>
      <c r="AF190" s="55" t="s">
        <v>166</v>
      </c>
      <c r="AG190" s="51">
        <v>2.0</v>
      </c>
      <c r="AH190" s="48">
        <v>1.0</v>
      </c>
      <c r="AI190" s="48" t="s">
        <v>166</v>
      </c>
      <c r="AJ190" s="50" t="s">
        <v>174</v>
      </c>
      <c r="AK190" s="56">
        <v>205.0</v>
      </c>
      <c r="AL190" s="57">
        <f>AK190*Sheets!$E$3</f>
        <v>28.2583275</v>
      </c>
      <c r="AM190" s="68"/>
      <c r="AN190" s="70"/>
      <c r="AO190" s="71" t="s">
        <v>181</v>
      </c>
      <c r="AP190" s="72">
        <v>45128.01488726852</v>
      </c>
      <c r="AQ190" s="66"/>
    </row>
    <row r="191">
      <c r="A191" s="69" t="str">
        <f>HYPERLINK("https://shop117227817.world.taobao.com/","深圳好玩数码")</f>
        <v>深圳好玩数码</v>
      </c>
      <c r="B191" s="73" t="s">
        <v>474</v>
      </c>
      <c r="C191" s="63" t="s">
        <v>248</v>
      </c>
      <c r="D191" s="48">
        <v>220.0</v>
      </c>
      <c r="E191" s="48">
        <v>110.0</v>
      </c>
      <c r="F191" s="48">
        <v>250.0</v>
      </c>
      <c r="G191" s="49">
        <f t="shared" si="1"/>
        <v>6.05</v>
      </c>
      <c r="H191" s="49">
        <f t="shared" si="2"/>
        <v>242</v>
      </c>
      <c r="I191" s="48" t="s">
        <v>170</v>
      </c>
      <c r="J191" s="48" t="s">
        <v>274</v>
      </c>
      <c r="K191" s="50" t="s">
        <v>164</v>
      </c>
      <c r="L191" s="51">
        <v>43.0</v>
      </c>
      <c r="M191" s="50" t="s">
        <v>166</v>
      </c>
      <c r="N191" s="51" t="s">
        <v>174</v>
      </c>
      <c r="O191" s="48">
        <v>200.0</v>
      </c>
      <c r="P191" s="48" t="s">
        <v>170</v>
      </c>
      <c r="Q191" s="48">
        <v>40.0</v>
      </c>
      <c r="R191" s="48">
        <v>2.0</v>
      </c>
      <c r="S191" s="50" t="s">
        <v>166</v>
      </c>
      <c r="T191" s="52" t="s">
        <v>167</v>
      </c>
      <c r="U191" s="52" t="s">
        <v>186</v>
      </c>
      <c r="V191" s="51">
        <v>2.0</v>
      </c>
      <c r="W191" s="48" t="s">
        <v>166</v>
      </c>
      <c r="X191" s="50" t="s">
        <v>166</v>
      </c>
      <c r="Y191" s="51" t="s">
        <v>166</v>
      </c>
      <c r="Z191" s="48" t="s">
        <v>166</v>
      </c>
      <c r="AA191" s="48" t="s">
        <v>166</v>
      </c>
      <c r="AB191" s="48">
        <v>2.0</v>
      </c>
      <c r="AC191" s="48" t="s">
        <v>166</v>
      </c>
      <c r="AD191" s="48" t="s">
        <v>166</v>
      </c>
      <c r="AE191" s="54" t="s">
        <v>166</v>
      </c>
      <c r="AF191" s="55" t="s">
        <v>166</v>
      </c>
      <c r="AG191" s="51" t="s">
        <v>166</v>
      </c>
      <c r="AH191" s="48">
        <v>1.0</v>
      </c>
      <c r="AI191" s="48" t="s">
        <v>166</v>
      </c>
      <c r="AJ191" s="50" t="s">
        <v>166</v>
      </c>
      <c r="AK191" s="56">
        <v>219.0</v>
      </c>
      <c r="AL191" s="57">
        <f>AK191*Sheets!$E$3</f>
        <v>30.1881645</v>
      </c>
      <c r="AM191" s="68"/>
      <c r="AN191" s="70"/>
      <c r="AO191" s="71" t="s">
        <v>181</v>
      </c>
      <c r="AP191" s="65">
        <v>44569.467249548616</v>
      </c>
      <c r="AQ191" s="66"/>
    </row>
    <row r="192">
      <c r="A192" s="69" t="s">
        <v>222</v>
      </c>
      <c r="B192" s="46" t="s">
        <v>475</v>
      </c>
      <c r="C192" s="63" t="s">
        <v>248</v>
      </c>
      <c r="D192" s="48">
        <v>210.0</v>
      </c>
      <c r="E192" s="48">
        <v>118.0</v>
      </c>
      <c r="F192" s="48">
        <v>245.0</v>
      </c>
      <c r="G192" s="49">
        <f t="shared" si="1"/>
        <v>6.0711</v>
      </c>
      <c r="H192" s="49">
        <f t="shared" si="2"/>
        <v>247.8</v>
      </c>
      <c r="I192" s="48">
        <v>0.78</v>
      </c>
      <c r="J192" s="48" t="s">
        <v>171</v>
      </c>
      <c r="K192" s="50" t="s">
        <v>171</v>
      </c>
      <c r="L192" s="51">
        <v>49.0</v>
      </c>
      <c r="M192" s="50" t="s">
        <v>166</v>
      </c>
      <c r="N192" s="51" t="s">
        <v>174</v>
      </c>
      <c r="O192" s="48">
        <v>208.0</v>
      </c>
      <c r="P192" s="48">
        <v>150.0</v>
      </c>
      <c r="Q192" s="48">
        <v>44.0</v>
      </c>
      <c r="R192" s="48">
        <v>2.0</v>
      </c>
      <c r="S192" s="50" t="s">
        <v>166</v>
      </c>
      <c r="T192" s="52" t="s">
        <v>227</v>
      </c>
      <c r="U192" s="52" t="s">
        <v>186</v>
      </c>
      <c r="V192" s="51">
        <v>2.0</v>
      </c>
      <c r="W192" s="48" t="s">
        <v>194</v>
      </c>
      <c r="X192" s="50" t="s">
        <v>166</v>
      </c>
      <c r="Y192" s="51" t="s">
        <v>166</v>
      </c>
      <c r="Z192" s="48" t="s">
        <v>166</v>
      </c>
      <c r="AA192" s="48" t="s">
        <v>166</v>
      </c>
      <c r="AB192" s="48">
        <v>2.0</v>
      </c>
      <c r="AC192" s="48" t="s">
        <v>166</v>
      </c>
      <c r="AD192" s="48" t="s">
        <v>166</v>
      </c>
      <c r="AE192" s="54" t="s">
        <v>166</v>
      </c>
      <c r="AF192" s="55" t="s">
        <v>166</v>
      </c>
      <c r="AG192" s="51" t="s">
        <v>166</v>
      </c>
      <c r="AH192" s="48">
        <v>1.0</v>
      </c>
      <c r="AI192" s="48" t="s">
        <v>166</v>
      </c>
      <c r="AJ192" s="50" t="s">
        <v>174</v>
      </c>
      <c r="AK192" s="56">
        <v>108.0</v>
      </c>
      <c r="AL192" s="57">
        <f>AK192*Sheets!$E$3</f>
        <v>14.887314</v>
      </c>
      <c r="AM192" s="68"/>
      <c r="AN192" s="70"/>
      <c r="AO192" s="71"/>
      <c r="AP192" s="72">
        <v>44735.743528287036</v>
      </c>
      <c r="AQ192" s="66"/>
    </row>
    <row r="193">
      <c r="A193" s="69" t="s">
        <v>212</v>
      </c>
      <c r="B193" s="100" t="s">
        <v>476</v>
      </c>
      <c r="C193" s="63" t="s">
        <v>248</v>
      </c>
      <c r="D193" s="48">
        <v>274.0</v>
      </c>
      <c r="E193" s="48">
        <v>115.0</v>
      </c>
      <c r="F193" s="48">
        <v>194.0</v>
      </c>
      <c r="G193" s="49">
        <f t="shared" si="1"/>
        <v>6.11294</v>
      </c>
      <c r="H193" s="49">
        <f t="shared" si="2"/>
        <v>315.1</v>
      </c>
      <c r="I193" s="48">
        <v>2.0</v>
      </c>
      <c r="J193" s="48" t="s">
        <v>164</v>
      </c>
      <c r="K193" s="50" t="s">
        <v>164</v>
      </c>
      <c r="L193" s="51">
        <v>49.0</v>
      </c>
      <c r="M193" s="50" t="s">
        <v>166</v>
      </c>
      <c r="N193" s="51" t="s">
        <v>174</v>
      </c>
      <c r="O193" s="48">
        <v>269.0</v>
      </c>
      <c r="P193" s="48">
        <v>140.0</v>
      </c>
      <c r="Q193" s="48">
        <v>42.5</v>
      </c>
      <c r="R193" s="48">
        <v>2.0</v>
      </c>
      <c r="S193" s="50" t="s">
        <v>166</v>
      </c>
      <c r="T193" s="52" t="s">
        <v>167</v>
      </c>
      <c r="U193" s="52" t="s">
        <v>186</v>
      </c>
      <c r="V193" s="51">
        <v>4.0</v>
      </c>
      <c r="W193" s="48" t="s">
        <v>166</v>
      </c>
      <c r="X193" s="50" t="s">
        <v>166</v>
      </c>
      <c r="Y193" s="51" t="s">
        <v>166</v>
      </c>
      <c r="Z193" s="48" t="s">
        <v>166</v>
      </c>
      <c r="AA193" s="48">
        <v>2.0</v>
      </c>
      <c r="AB193" s="48" t="s">
        <v>166</v>
      </c>
      <c r="AC193" s="48" t="s">
        <v>166</v>
      </c>
      <c r="AD193" s="48" t="s">
        <v>166</v>
      </c>
      <c r="AE193" s="54" t="s">
        <v>166</v>
      </c>
      <c r="AF193" s="55" t="s">
        <v>166</v>
      </c>
      <c r="AG193" s="51" t="s">
        <v>166</v>
      </c>
      <c r="AH193" s="48" t="s">
        <v>166</v>
      </c>
      <c r="AI193" s="48" t="s">
        <v>166</v>
      </c>
      <c r="AJ193" s="50" t="s">
        <v>166</v>
      </c>
      <c r="AK193" s="56">
        <v>760.0</v>
      </c>
      <c r="AL193" s="57">
        <f>AK193*Sheets!$E$3</f>
        <v>104.76258</v>
      </c>
      <c r="AM193" s="97"/>
      <c r="AN193" s="64" t="s">
        <v>214</v>
      </c>
      <c r="AO193" s="60" t="s">
        <v>181</v>
      </c>
      <c r="AP193" s="65">
        <v>44563.98821780093</v>
      </c>
      <c r="AQ193" s="66"/>
    </row>
    <row r="194">
      <c r="A194" s="69" t="str">
        <f>HYPERLINK("https://shop167805560.world.taobao.com/","机械核芯")</f>
        <v>机械核芯</v>
      </c>
      <c r="B194" s="73" t="s">
        <v>477</v>
      </c>
      <c r="C194" s="63" t="s">
        <v>248</v>
      </c>
      <c r="D194" s="48">
        <v>276.0</v>
      </c>
      <c r="E194" s="48">
        <v>112.0</v>
      </c>
      <c r="F194" s="48">
        <v>199.0</v>
      </c>
      <c r="G194" s="49">
        <f t="shared" si="1"/>
        <v>6.151488</v>
      </c>
      <c r="H194" s="49">
        <f t="shared" si="2"/>
        <v>309.12</v>
      </c>
      <c r="I194" s="48" t="s">
        <v>170</v>
      </c>
      <c r="J194" s="48" t="s">
        <v>164</v>
      </c>
      <c r="K194" s="50" t="s">
        <v>243</v>
      </c>
      <c r="L194" s="51">
        <v>49.0</v>
      </c>
      <c r="M194" s="50" t="s">
        <v>166</v>
      </c>
      <c r="N194" s="51" t="s">
        <v>174</v>
      </c>
      <c r="O194" s="48">
        <v>270.0</v>
      </c>
      <c r="P194" s="48" t="s">
        <v>170</v>
      </c>
      <c r="Q194" s="48">
        <v>40.0</v>
      </c>
      <c r="R194" s="48">
        <v>2.0</v>
      </c>
      <c r="S194" s="50" t="s">
        <v>166</v>
      </c>
      <c r="T194" s="52" t="s">
        <v>167</v>
      </c>
      <c r="U194" s="52" t="s">
        <v>186</v>
      </c>
      <c r="V194" s="51">
        <v>2.0</v>
      </c>
      <c r="W194" s="48" t="s">
        <v>166</v>
      </c>
      <c r="X194" s="50" t="s">
        <v>166</v>
      </c>
      <c r="Y194" s="51" t="s">
        <v>166</v>
      </c>
      <c r="Z194" s="48" t="s">
        <v>166</v>
      </c>
      <c r="AA194" s="48" t="s">
        <v>166</v>
      </c>
      <c r="AB194" s="48">
        <v>2.0</v>
      </c>
      <c r="AC194" s="48" t="s">
        <v>166</v>
      </c>
      <c r="AD194" s="48" t="s">
        <v>166</v>
      </c>
      <c r="AE194" s="54" t="s">
        <v>166</v>
      </c>
      <c r="AF194" s="55" t="s">
        <v>166</v>
      </c>
      <c r="AG194" s="51" t="s">
        <v>166</v>
      </c>
      <c r="AH194" s="48" t="s">
        <v>166</v>
      </c>
      <c r="AI194" s="48" t="s">
        <v>166</v>
      </c>
      <c r="AJ194" s="50" t="s">
        <v>166</v>
      </c>
      <c r="AK194" s="56">
        <v>628.0</v>
      </c>
      <c r="AL194" s="57">
        <f>AK194*Sheets!$E$3</f>
        <v>86.566974</v>
      </c>
      <c r="AM194" s="68"/>
      <c r="AN194" s="70"/>
      <c r="AO194" s="71" t="s">
        <v>181</v>
      </c>
      <c r="AP194" s="71"/>
      <c r="AQ194" s="66"/>
    </row>
    <row r="195">
      <c r="A195" s="69" t="s">
        <v>222</v>
      </c>
      <c r="B195" s="46" t="s">
        <v>478</v>
      </c>
      <c r="C195" s="63" t="s">
        <v>248</v>
      </c>
      <c r="D195" s="48">
        <v>190.0</v>
      </c>
      <c r="E195" s="48">
        <v>133.0</v>
      </c>
      <c r="F195" s="48">
        <v>244.0</v>
      </c>
      <c r="G195" s="49">
        <f t="shared" si="1"/>
        <v>6.16588</v>
      </c>
      <c r="H195" s="49">
        <f t="shared" si="2"/>
        <v>252.7</v>
      </c>
      <c r="I195" s="48">
        <v>0.82</v>
      </c>
      <c r="J195" s="48" t="s">
        <v>171</v>
      </c>
      <c r="K195" s="50" t="s">
        <v>171</v>
      </c>
      <c r="L195" s="51">
        <v>64.0</v>
      </c>
      <c r="M195" s="50" t="s">
        <v>166</v>
      </c>
      <c r="N195" s="51" t="s">
        <v>174</v>
      </c>
      <c r="O195" s="48">
        <v>188.0</v>
      </c>
      <c r="P195" s="48">
        <v>150.0</v>
      </c>
      <c r="Q195" s="48">
        <v>44.0</v>
      </c>
      <c r="R195" s="48">
        <v>2.0</v>
      </c>
      <c r="S195" s="50" t="s">
        <v>166</v>
      </c>
      <c r="T195" s="52" t="s">
        <v>167</v>
      </c>
      <c r="U195" s="52" t="s">
        <v>346</v>
      </c>
      <c r="V195" s="51">
        <v>2.0</v>
      </c>
      <c r="W195" s="48" t="s">
        <v>194</v>
      </c>
      <c r="X195" s="50" t="s">
        <v>166</v>
      </c>
      <c r="Y195" s="51" t="s">
        <v>166</v>
      </c>
      <c r="Z195" s="48" t="s">
        <v>166</v>
      </c>
      <c r="AA195" s="48" t="s">
        <v>166</v>
      </c>
      <c r="AB195" s="48" t="s">
        <v>194</v>
      </c>
      <c r="AC195" s="48" t="s">
        <v>166</v>
      </c>
      <c r="AD195" s="48" t="s">
        <v>166</v>
      </c>
      <c r="AE195" s="54" t="s">
        <v>166</v>
      </c>
      <c r="AF195" s="55" t="s">
        <v>166</v>
      </c>
      <c r="AG195" s="51" t="s">
        <v>166</v>
      </c>
      <c r="AH195" s="48">
        <v>1.0</v>
      </c>
      <c r="AI195" s="48" t="s">
        <v>166</v>
      </c>
      <c r="AJ195" s="50" t="s">
        <v>174</v>
      </c>
      <c r="AK195" s="56">
        <v>98.0</v>
      </c>
      <c r="AL195" s="57">
        <f>AK195*Sheets!$E$3</f>
        <v>13.508859</v>
      </c>
      <c r="AM195" s="68"/>
      <c r="AN195" s="70"/>
      <c r="AO195" s="71"/>
      <c r="AP195" s="72">
        <v>45187.93262653935</v>
      </c>
      <c r="AQ195" s="66"/>
    </row>
    <row r="196">
      <c r="A196" s="46" t="s">
        <v>404</v>
      </c>
      <c r="B196" s="73" t="s">
        <v>479</v>
      </c>
      <c r="C196" s="63" t="s">
        <v>248</v>
      </c>
      <c r="D196" s="48">
        <v>199.0</v>
      </c>
      <c r="E196" s="48">
        <v>125.0</v>
      </c>
      <c r="F196" s="48">
        <v>249.0</v>
      </c>
      <c r="G196" s="49">
        <f t="shared" si="1"/>
        <v>6.193875</v>
      </c>
      <c r="H196" s="49">
        <f t="shared" si="2"/>
        <v>248.75</v>
      </c>
      <c r="I196" s="48">
        <v>2.0</v>
      </c>
      <c r="J196" s="48" t="s">
        <v>164</v>
      </c>
      <c r="K196" s="50" t="s">
        <v>480</v>
      </c>
      <c r="L196" s="51">
        <v>52.0</v>
      </c>
      <c r="M196" s="50" t="s">
        <v>166</v>
      </c>
      <c r="N196" s="51" t="s">
        <v>174</v>
      </c>
      <c r="O196" s="48">
        <v>190.0</v>
      </c>
      <c r="P196" s="48" t="s">
        <v>170</v>
      </c>
      <c r="Q196" s="48">
        <v>42.0</v>
      </c>
      <c r="R196" s="48">
        <v>2.0</v>
      </c>
      <c r="S196" s="50" t="s">
        <v>166</v>
      </c>
      <c r="T196" s="52" t="s">
        <v>167</v>
      </c>
      <c r="U196" s="52" t="s">
        <v>186</v>
      </c>
      <c r="V196" s="51">
        <v>2.0</v>
      </c>
      <c r="W196" s="48" t="s">
        <v>166</v>
      </c>
      <c r="X196" s="50" t="s">
        <v>166</v>
      </c>
      <c r="Y196" s="51" t="s">
        <v>166</v>
      </c>
      <c r="Z196" s="48" t="s">
        <v>166</v>
      </c>
      <c r="AA196" s="48" t="s">
        <v>166</v>
      </c>
      <c r="AB196" s="48">
        <v>2.0</v>
      </c>
      <c r="AC196" s="48" t="s">
        <v>166</v>
      </c>
      <c r="AD196" s="48" t="s">
        <v>166</v>
      </c>
      <c r="AE196" s="54" t="s">
        <v>166</v>
      </c>
      <c r="AF196" s="55" t="s">
        <v>166</v>
      </c>
      <c r="AG196" s="51" t="s">
        <v>166</v>
      </c>
      <c r="AH196" s="48" t="s">
        <v>166</v>
      </c>
      <c r="AI196" s="48" t="s">
        <v>166</v>
      </c>
      <c r="AJ196" s="50" t="s">
        <v>166</v>
      </c>
      <c r="AK196" s="56">
        <v>588.0</v>
      </c>
      <c r="AL196" s="57">
        <f>AK196*Sheets!$E$3</f>
        <v>81.053154</v>
      </c>
      <c r="AM196" s="68"/>
      <c r="AN196" s="70"/>
      <c r="AO196" s="71" t="s">
        <v>181</v>
      </c>
      <c r="AP196" s="72">
        <v>44718.98408329861</v>
      </c>
      <c r="AQ196" s="66"/>
    </row>
    <row r="197">
      <c r="A197" s="82" t="s">
        <v>212</v>
      </c>
      <c r="B197" s="62" t="s">
        <v>481</v>
      </c>
      <c r="C197" s="63" t="s">
        <v>248</v>
      </c>
      <c r="D197" s="48">
        <v>276.0</v>
      </c>
      <c r="E197" s="48">
        <v>114.0</v>
      </c>
      <c r="F197" s="48">
        <v>197.0</v>
      </c>
      <c r="G197" s="49">
        <f t="shared" si="1"/>
        <v>6.198408</v>
      </c>
      <c r="H197" s="49">
        <f t="shared" si="2"/>
        <v>314.64</v>
      </c>
      <c r="I197" s="48">
        <v>2.0</v>
      </c>
      <c r="J197" s="48" t="s">
        <v>164</v>
      </c>
      <c r="K197" s="50" t="s">
        <v>164</v>
      </c>
      <c r="L197" s="51">
        <v>49.0</v>
      </c>
      <c r="M197" s="50" t="s">
        <v>166</v>
      </c>
      <c r="N197" s="51" t="s">
        <v>174</v>
      </c>
      <c r="O197" s="48">
        <v>272.0</v>
      </c>
      <c r="P197" s="48">
        <v>130.0</v>
      </c>
      <c r="Q197" s="48">
        <v>42.0</v>
      </c>
      <c r="R197" s="48">
        <v>2.0</v>
      </c>
      <c r="S197" s="50" t="s">
        <v>166</v>
      </c>
      <c r="T197" s="52" t="s">
        <v>167</v>
      </c>
      <c r="U197" s="52" t="s">
        <v>186</v>
      </c>
      <c r="V197" s="51">
        <v>4.0</v>
      </c>
      <c r="W197" s="48" t="s">
        <v>166</v>
      </c>
      <c r="X197" s="50" t="s">
        <v>166</v>
      </c>
      <c r="Y197" s="51" t="s">
        <v>166</v>
      </c>
      <c r="Z197" s="48" t="s">
        <v>166</v>
      </c>
      <c r="AA197" s="48" t="s">
        <v>166</v>
      </c>
      <c r="AB197" s="48">
        <v>2.0</v>
      </c>
      <c r="AC197" s="48" t="s">
        <v>166</v>
      </c>
      <c r="AD197" s="48" t="s">
        <v>166</v>
      </c>
      <c r="AE197" s="54" t="s">
        <v>166</v>
      </c>
      <c r="AF197" s="55" t="s">
        <v>166</v>
      </c>
      <c r="AG197" s="51" t="s">
        <v>166</v>
      </c>
      <c r="AH197" s="48" t="s">
        <v>166</v>
      </c>
      <c r="AI197" s="48" t="s">
        <v>166</v>
      </c>
      <c r="AJ197" s="50" t="s">
        <v>166</v>
      </c>
      <c r="AK197" s="56">
        <v>699.0</v>
      </c>
      <c r="AL197" s="57">
        <v>147.0</v>
      </c>
      <c r="AM197" s="58"/>
      <c r="AN197" s="64" t="s">
        <v>214</v>
      </c>
      <c r="AO197" s="60"/>
      <c r="AP197" s="65">
        <v>44442.77226179398</v>
      </c>
      <c r="AQ197" s="66"/>
    </row>
    <row r="198">
      <c r="A198" s="95" t="s">
        <v>419</v>
      </c>
      <c r="B198" s="67" t="s">
        <v>482</v>
      </c>
      <c r="C198" s="63" t="s">
        <v>225</v>
      </c>
      <c r="D198" s="48">
        <v>240.0</v>
      </c>
      <c r="E198" s="48">
        <v>72.0</v>
      </c>
      <c r="F198" s="48">
        <v>360.0</v>
      </c>
      <c r="G198" s="49">
        <f t="shared" si="1"/>
        <v>6.2208</v>
      </c>
      <c r="H198" s="49">
        <f t="shared" si="2"/>
        <v>172.8</v>
      </c>
      <c r="I198" s="48">
        <v>0.8</v>
      </c>
      <c r="J198" s="48" t="s">
        <v>245</v>
      </c>
      <c r="K198" s="50" t="s">
        <v>421</v>
      </c>
      <c r="L198" s="51">
        <v>47.0</v>
      </c>
      <c r="M198" s="50" t="s">
        <v>166</v>
      </c>
      <c r="N198" s="51" t="s">
        <v>174</v>
      </c>
      <c r="O198" s="48">
        <v>215.0</v>
      </c>
      <c r="P198" s="48">
        <v>120.0</v>
      </c>
      <c r="Q198" s="48">
        <v>46.0</v>
      </c>
      <c r="R198" s="48">
        <v>2.0</v>
      </c>
      <c r="S198" s="50" t="s">
        <v>166</v>
      </c>
      <c r="T198" s="52" t="s">
        <v>167</v>
      </c>
      <c r="U198" s="52" t="s">
        <v>168</v>
      </c>
      <c r="V198" s="51">
        <v>3.0</v>
      </c>
      <c r="W198" s="48" t="s">
        <v>166</v>
      </c>
      <c r="X198" s="50" t="s">
        <v>166</v>
      </c>
      <c r="Y198" s="51" t="s">
        <v>166</v>
      </c>
      <c r="Z198" s="48">
        <v>4.0</v>
      </c>
      <c r="AA198" s="48" t="s">
        <v>166</v>
      </c>
      <c r="AB198" s="48" t="s">
        <v>166</v>
      </c>
      <c r="AC198" s="48" t="s">
        <v>166</v>
      </c>
      <c r="AD198" s="48" t="s">
        <v>166</v>
      </c>
      <c r="AE198" s="54" t="s">
        <v>166</v>
      </c>
      <c r="AF198" s="55" t="s">
        <v>166</v>
      </c>
      <c r="AG198" s="51" t="s">
        <v>166</v>
      </c>
      <c r="AH198" s="48" t="s">
        <v>166</v>
      </c>
      <c r="AI198" s="48" t="s">
        <v>166</v>
      </c>
      <c r="AJ198" s="50" t="s">
        <v>166</v>
      </c>
      <c r="AK198" s="56" t="s">
        <v>166</v>
      </c>
      <c r="AL198" s="57">
        <v>129.0</v>
      </c>
      <c r="AM198" s="64" t="str">
        <f>HYPERLINK("https://smallformfactor.net/forum/threads/modivio-xcase-customizable-console-style-case.2732/","Link")</f>
        <v>Link</v>
      </c>
      <c r="AN198" s="70"/>
      <c r="AO198" s="71" t="s">
        <v>181</v>
      </c>
      <c r="AP198" s="65">
        <v>44563.988279108795</v>
      </c>
      <c r="AQ198" s="66"/>
    </row>
    <row r="199">
      <c r="A199" s="82" t="str">
        <f>HYPERLINK("https://www.velkase.com/","Velkase")</f>
        <v>Velkase</v>
      </c>
      <c r="B199" s="88" t="s">
        <v>483</v>
      </c>
      <c r="C199" s="63" t="s">
        <v>248</v>
      </c>
      <c r="D199" s="48">
        <v>178.0</v>
      </c>
      <c r="E199" s="48">
        <v>115.0</v>
      </c>
      <c r="F199" s="48">
        <v>304.0</v>
      </c>
      <c r="G199" s="49">
        <f t="shared" si="1"/>
        <v>6.22288</v>
      </c>
      <c r="H199" s="49">
        <f t="shared" si="2"/>
        <v>204.7</v>
      </c>
      <c r="I199" s="48">
        <v>1.4</v>
      </c>
      <c r="J199" s="48" t="s">
        <v>171</v>
      </c>
      <c r="K199" s="50" t="s">
        <v>290</v>
      </c>
      <c r="L199" s="51">
        <v>48.0</v>
      </c>
      <c r="M199" s="50" t="s">
        <v>166</v>
      </c>
      <c r="N199" s="51" t="s">
        <v>174</v>
      </c>
      <c r="O199" s="48">
        <v>290.0</v>
      </c>
      <c r="P199" s="48">
        <v>143.0</v>
      </c>
      <c r="Q199" s="48">
        <v>43.0</v>
      </c>
      <c r="R199" s="93">
        <v>2.0</v>
      </c>
      <c r="S199" s="94" t="s">
        <v>166</v>
      </c>
      <c r="T199" s="52" t="s">
        <v>167</v>
      </c>
      <c r="U199" s="52" t="s">
        <v>346</v>
      </c>
      <c r="V199" s="51" t="s">
        <v>220</v>
      </c>
      <c r="W199" s="48" t="s">
        <v>166</v>
      </c>
      <c r="X199" s="50" t="s">
        <v>166</v>
      </c>
      <c r="Y199" s="51">
        <v>2.0</v>
      </c>
      <c r="Z199" s="48" t="s">
        <v>166</v>
      </c>
      <c r="AA199" s="48" t="s">
        <v>166</v>
      </c>
      <c r="AB199" s="48" t="s">
        <v>166</v>
      </c>
      <c r="AC199" s="48" t="s">
        <v>166</v>
      </c>
      <c r="AD199" s="48" t="s">
        <v>166</v>
      </c>
      <c r="AE199" s="54" t="s">
        <v>166</v>
      </c>
      <c r="AF199" s="55" t="s">
        <v>166</v>
      </c>
      <c r="AG199" s="51" t="s">
        <v>166</v>
      </c>
      <c r="AH199" s="48" t="s">
        <v>166</v>
      </c>
      <c r="AI199" s="48" t="s">
        <v>166</v>
      </c>
      <c r="AJ199" s="50" t="s">
        <v>166</v>
      </c>
      <c r="AK199" s="56" t="s">
        <v>166</v>
      </c>
      <c r="AL199" s="57">
        <v>199.99</v>
      </c>
      <c r="AM199" s="64" t="str">
        <f>HYPERLINK("https://smallformfactor.net/forum/threads/velka-series-cases-for-ultra-compact-and-portable-desktops.9681","Link")</f>
        <v>Link</v>
      </c>
      <c r="AN199" s="87"/>
      <c r="AO199" s="86"/>
      <c r="AP199" s="65">
        <v>45208.75474280093</v>
      </c>
      <c r="AQ199" s="66"/>
    </row>
    <row r="200">
      <c r="A200" s="69" t="s">
        <v>484</v>
      </c>
      <c r="B200" s="46" t="s">
        <v>485</v>
      </c>
      <c r="C200" s="63" t="s">
        <v>225</v>
      </c>
      <c r="D200" s="48">
        <v>210.0</v>
      </c>
      <c r="E200" s="48">
        <v>100.0</v>
      </c>
      <c r="F200" s="48">
        <v>300.0</v>
      </c>
      <c r="G200" s="49">
        <f t="shared" si="1"/>
        <v>6.3</v>
      </c>
      <c r="H200" s="49">
        <f t="shared" si="2"/>
        <v>210</v>
      </c>
      <c r="I200" s="48">
        <v>2.0</v>
      </c>
      <c r="J200" s="48" t="s">
        <v>245</v>
      </c>
      <c r="K200" s="50" t="s">
        <v>164</v>
      </c>
      <c r="L200" s="51">
        <v>80.0</v>
      </c>
      <c r="M200" s="50" t="s">
        <v>166</v>
      </c>
      <c r="N200" s="51" t="s">
        <v>174</v>
      </c>
      <c r="O200" s="48">
        <v>200.0</v>
      </c>
      <c r="P200" s="48" t="s">
        <v>170</v>
      </c>
      <c r="Q200" s="48">
        <v>40.0</v>
      </c>
      <c r="R200" s="48">
        <v>2.0</v>
      </c>
      <c r="S200" s="50" t="s">
        <v>166</v>
      </c>
      <c r="T200" s="52" t="s">
        <v>167</v>
      </c>
      <c r="U200" s="52" t="s">
        <v>186</v>
      </c>
      <c r="V200" s="51" t="s">
        <v>166</v>
      </c>
      <c r="W200" s="48" t="s">
        <v>166</v>
      </c>
      <c r="X200" s="50" t="s">
        <v>166</v>
      </c>
      <c r="Y200" s="51" t="s">
        <v>166</v>
      </c>
      <c r="Z200" s="48" t="s">
        <v>166</v>
      </c>
      <c r="AA200" s="48" t="s">
        <v>166</v>
      </c>
      <c r="AB200" s="48" t="s">
        <v>166</v>
      </c>
      <c r="AC200" s="48" t="s">
        <v>166</v>
      </c>
      <c r="AD200" s="48" t="s">
        <v>166</v>
      </c>
      <c r="AE200" s="54" t="s">
        <v>166</v>
      </c>
      <c r="AF200" s="55" t="s">
        <v>166</v>
      </c>
      <c r="AG200" s="51" t="s">
        <v>166</v>
      </c>
      <c r="AH200" s="48" t="s">
        <v>166</v>
      </c>
      <c r="AI200" s="48" t="s">
        <v>166</v>
      </c>
      <c r="AJ200" s="50" t="s">
        <v>166</v>
      </c>
      <c r="AK200" s="56">
        <v>138.0</v>
      </c>
      <c r="AL200" s="57">
        <f>AK200*Sheets!$E$3</f>
        <v>19.022679</v>
      </c>
      <c r="AM200" s="68"/>
      <c r="AN200" s="70"/>
      <c r="AO200" s="71"/>
      <c r="AP200" s="72">
        <v>45034.566093333335</v>
      </c>
      <c r="AQ200" s="66"/>
    </row>
    <row r="201">
      <c r="A201" s="61" t="s">
        <v>178</v>
      </c>
      <c r="B201" s="62" t="s">
        <v>486</v>
      </c>
      <c r="C201" s="63" t="s">
        <v>248</v>
      </c>
      <c r="D201" s="48">
        <v>187.0</v>
      </c>
      <c r="E201" s="48">
        <v>130.0</v>
      </c>
      <c r="F201" s="48">
        <v>260.0</v>
      </c>
      <c r="G201" s="49">
        <f t="shared" si="1"/>
        <v>6.3206</v>
      </c>
      <c r="H201" s="49">
        <f t="shared" si="2"/>
        <v>243.1</v>
      </c>
      <c r="I201" s="48">
        <v>1.2</v>
      </c>
      <c r="J201" s="48" t="s">
        <v>164</v>
      </c>
      <c r="K201" s="50" t="s">
        <v>487</v>
      </c>
      <c r="L201" s="51">
        <v>70.0</v>
      </c>
      <c r="M201" s="50" t="s">
        <v>166</v>
      </c>
      <c r="N201" s="51" t="s">
        <v>174</v>
      </c>
      <c r="O201" s="48">
        <v>183.0</v>
      </c>
      <c r="P201" s="48" t="s">
        <v>170</v>
      </c>
      <c r="Q201" s="48">
        <v>43.0</v>
      </c>
      <c r="R201" s="48">
        <v>2.0</v>
      </c>
      <c r="S201" s="50" t="s">
        <v>166</v>
      </c>
      <c r="T201" s="52" t="s">
        <v>167</v>
      </c>
      <c r="U201" s="52" t="s">
        <v>346</v>
      </c>
      <c r="V201" s="51">
        <v>1.0</v>
      </c>
      <c r="W201" s="48" t="s">
        <v>166</v>
      </c>
      <c r="X201" s="50" t="s">
        <v>166</v>
      </c>
      <c r="Y201" s="51" t="s">
        <v>166</v>
      </c>
      <c r="Z201" s="48" t="s">
        <v>166</v>
      </c>
      <c r="AA201" s="48" t="s">
        <v>166</v>
      </c>
      <c r="AB201" s="48" t="s">
        <v>166</v>
      </c>
      <c r="AC201" s="48">
        <v>1.0</v>
      </c>
      <c r="AD201" s="48" t="s">
        <v>166</v>
      </c>
      <c r="AE201" s="54" t="s">
        <v>166</v>
      </c>
      <c r="AF201" s="55" t="s">
        <v>166</v>
      </c>
      <c r="AG201" s="51" t="s">
        <v>166</v>
      </c>
      <c r="AH201" s="48" t="s">
        <v>166</v>
      </c>
      <c r="AI201" s="48" t="s">
        <v>166</v>
      </c>
      <c r="AJ201" s="50" t="s">
        <v>166</v>
      </c>
      <c r="AK201" s="56" t="s">
        <v>166</v>
      </c>
      <c r="AL201" s="57">
        <v>123.83</v>
      </c>
      <c r="AM201" s="64" t="str">
        <f>HYPERLINK("https://www.reddit.com/r/sffpc/comments/e9twoy/psa_cpu_cooler_height_for_custom_mods_63l_case_is/","Link")</f>
        <v>Link</v>
      </c>
      <c r="AN201" s="59"/>
      <c r="AO201" s="60"/>
      <c r="AP201" s="65">
        <v>45184.70211732639</v>
      </c>
      <c r="AQ201" s="66"/>
    </row>
    <row r="202">
      <c r="A202" s="69" t="str">
        <f>HYPERLINK("https://shop34001191.world.taobao.com/","Mechanic Master")</f>
        <v>Mechanic Master</v>
      </c>
      <c r="B202" s="46" t="str">
        <f>HYPERLINK("https://item.taobao.com/item.htm?id=608647503987","MC18")</f>
        <v>MC18</v>
      </c>
      <c r="C202" s="63" t="s">
        <v>248</v>
      </c>
      <c r="D202" s="48">
        <v>185.0</v>
      </c>
      <c r="E202" s="48">
        <v>185.0</v>
      </c>
      <c r="F202" s="48">
        <v>185.0</v>
      </c>
      <c r="G202" s="49">
        <f t="shared" si="1"/>
        <v>6.331625</v>
      </c>
      <c r="H202" s="49">
        <f t="shared" si="2"/>
        <v>342.25</v>
      </c>
      <c r="I202" s="48">
        <v>1.8</v>
      </c>
      <c r="J202" s="48" t="s">
        <v>164</v>
      </c>
      <c r="K202" s="50" t="s">
        <v>185</v>
      </c>
      <c r="L202" s="51">
        <v>50.0</v>
      </c>
      <c r="M202" s="50" t="s">
        <v>166</v>
      </c>
      <c r="N202" s="51" t="s">
        <v>174</v>
      </c>
      <c r="O202" s="48">
        <v>180.0</v>
      </c>
      <c r="P202" s="48" t="s">
        <v>170</v>
      </c>
      <c r="Q202" s="48">
        <v>40.0</v>
      </c>
      <c r="R202" s="48">
        <v>2.0</v>
      </c>
      <c r="S202" s="50" t="s">
        <v>166</v>
      </c>
      <c r="T202" s="52" t="s">
        <v>167</v>
      </c>
      <c r="U202" s="52" t="s">
        <v>346</v>
      </c>
      <c r="V202" s="51">
        <v>2.0</v>
      </c>
      <c r="W202" s="48" t="s">
        <v>194</v>
      </c>
      <c r="X202" s="50" t="s">
        <v>166</v>
      </c>
      <c r="Y202" s="51" t="s">
        <v>166</v>
      </c>
      <c r="Z202" s="48" t="s">
        <v>166</v>
      </c>
      <c r="AA202" s="48" t="s">
        <v>193</v>
      </c>
      <c r="AB202" s="48" t="s">
        <v>166</v>
      </c>
      <c r="AC202" s="48" t="s">
        <v>166</v>
      </c>
      <c r="AD202" s="48" t="s">
        <v>166</v>
      </c>
      <c r="AE202" s="54" t="s">
        <v>166</v>
      </c>
      <c r="AF202" s="55" t="s">
        <v>166</v>
      </c>
      <c r="AG202" s="51" t="s">
        <v>166</v>
      </c>
      <c r="AH202" s="48">
        <v>2.0</v>
      </c>
      <c r="AI202" s="48" t="s">
        <v>166</v>
      </c>
      <c r="AJ202" s="50" t="s">
        <v>166</v>
      </c>
      <c r="AK202" s="56">
        <v>499.0</v>
      </c>
      <c r="AL202" s="57">
        <f>AK202*Sheets!$E$3</f>
        <v>68.7849045</v>
      </c>
      <c r="AM202" s="68"/>
      <c r="AN202" s="70"/>
      <c r="AO202" s="71"/>
      <c r="AP202" s="72">
        <v>44681.59424482639</v>
      </c>
      <c r="AQ202" s="66"/>
    </row>
    <row r="203">
      <c r="A203" s="46" t="str">
        <f>HYPERLINK("https://shop34132006.world.taobao.com/","YTC")</f>
        <v>YTC</v>
      </c>
      <c r="B203" s="73" t="s">
        <v>488</v>
      </c>
      <c r="C203" s="63" t="s">
        <v>248</v>
      </c>
      <c r="D203" s="48">
        <v>245.0</v>
      </c>
      <c r="E203" s="48">
        <v>118.0</v>
      </c>
      <c r="F203" s="48">
        <v>220.0</v>
      </c>
      <c r="G203" s="49">
        <f t="shared" si="1"/>
        <v>6.3602</v>
      </c>
      <c r="H203" s="49">
        <f t="shared" si="2"/>
        <v>289.1</v>
      </c>
      <c r="I203" s="48" t="s">
        <v>170</v>
      </c>
      <c r="J203" s="48" t="s">
        <v>164</v>
      </c>
      <c r="K203" s="50" t="s">
        <v>164</v>
      </c>
      <c r="L203" s="51">
        <v>58.0</v>
      </c>
      <c r="M203" s="50" t="s">
        <v>166</v>
      </c>
      <c r="N203" s="51" t="s">
        <v>174</v>
      </c>
      <c r="O203" s="48">
        <v>244.0</v>
      </c>
      <c r="P203" s="48" t="s">
        <v>170</v>
      </c>
      <c r="Q203" s="48">
        <v>40.0</v>
      </c>
      <c r="R203" s="48">
        <v>2.0</v>
      </c>
      <c r="S203" s="50" t="s">
        <v>166</v>
      </c>
      <c r="T203" s="52" t="s">
        <v>167</v>
      </c>
      <c r="U203" s="52" t="s">
        <v>186</v>
      </c>
      <c r="V203" s="51">
        <v>4.0</v>
      </c>
      <c r="W203" s="48" t="s">
        <v>166</v>
      </c>
      <c r="X203" s="50" t="s">
        <v>166</v>
      </c>
      <c r="Y203" s="51" t="s">
        <v>166</v>
      </c>
      <c r="Z203" s="48" t="s">
        <v>166</v>
      </c>
      <c r="AA203" s="48" t="s">
        <v>166</v>
      </c>
      <c r="AB203" s="48" t="s">
        <v>166</v>
      </c>
      <c r="AC203" s="48" t="s">
        <v>166</v>
      </c>
      <c r="AD203" s="48" t="s">
        <v>166</v>
      </c>
      <c r="AE203" s="54" t="s">
        <v>166</v>
      </c>
      <c r="AF203" s="55" t="s">
        <v>166</v>
      </c>
      <c r="AG203" s="51" t="s">
        <v>166</v>
      </c>
      <c r="AH203" s="48">
        <v>2.0</v>
      </c>
      <c r="AI203" s="48" t="s">
        <v>166</v>
      </c>
      <c r="AJ203" s="50" t="s">
        <v>166</v>
      </c>
      <c r="AK203" s="56">
        <v>299.0</v>
      </c>
      <c r="AL203" s="57">
        <f>AK203*Sheets!$E$3</f>
        <v>41.2158045</v>
      </c>
      <c r="AM203" s="58"/>
      <c r="AN203" s="59"/>
      <c r="AO203" s="60" t="s">
        <v>181</v>
      </c>
      <c r="AP203" s="65">
        <v>44442.76625758102</v>
      </c>
      <c r="AQ203" s="66"/>
    </row>
    <row r="204">
      <c r="A204" s="82" t="str">
        <f>HYPERLINK("https://www.u-nas.com/","U-NAS")</f>
        <v>U-NAS</v>
      </c>
      <c r="B204" s="62" t="s">
        <v>489</v>
      </c>
      <c r="C204" s="63" t="s">
        <v>490</v>
      </c>
      <c r="D204" s="48">
        <v>254.0</v>
      </c>
      <c r="E204" s="48">
        <v>140.0</v>
      </c>
      <c r="F204" s="48">
        <v>180.0</v>
      </c>
      <c r="G204" s="49">
        <f t="shared" si="1"/>
        <v>6.4008</v>
      </c>
      <c r="H204" s="49">
        <f t="shared" si="2"/>
        <v>355.6</v>
      </c>
      <c r="I204" s="48">
        <v>2.1</v>
      </c>
      <c r="J204" s="48" t="s">
        <v>164</v>
      </c>
      <c r="K204" s="50" t="s">
        <v>171</v>
      </c>
      <c r="L204" s="51">
        <v>40.0</v>
      </c>
      <c r="M204" s="50" t="s">
        <v>166</v>
      </c>
      <c r="N204" s="51" t="s">
        <v>166</v>
      </c>
      <c r="O204" s="48" t="s">
        <v>166</v>
      </c>
      <c r="P204" s="48" t="s">
        <v>166</v>
      </c>
      <c r="Q204" s="48" t="s">
        <v>166</v>
      </c>
      <c r="R204" s="48" t="s">
        <v>166</v>
      </c>
      <c r="S204" s="50" t="s">
        <v>166</v>
      </c>
      <c r="T204" s="52" t="s">
        <v>167</v>
      </c>
      <c r="U204" s="52" t="s">
        <v>186</v>
      </c>
      <c r="V204" s="51">
        <v>1.0</v>
      </c>
      <c r="W204" s="48">
        <v>2.0</v>
      </c>
      <c r="X204" s="50" t="s">
        <v>166</v>
      </c>
      <c r="Y204" s="51" t="s">
        <v>166</v>
      </c>
      <c r="Z204" s="48" t="s">
        <v>166</v>
      </c>
      <c r="AA204" s="48">
        <v>1.0</v>
      </c>
      <c r="AB204" s="48" t="s">
        <v>166</v>
      </c>
      <c r="AC204" s="48" t="s">
        <v>166</v>
      </c>
      <c r="AD204" s="48" t="s">
        <v>166</v>
      </c>
      <c r="AE204" s="54" t="s">
        <v>166</v>
      </c>
      <c r="AF204" s="55" t="s">
        <v>166</v>
      </c>
      <c r="AG204" s="51">
        <v>1.0</v>
      </c>
      <c r="AH204" s="48" t="s">
        <v>166</v>
      </c>
      <c r="AI204" s="48" t="s">
        <v>166</v>
      </c>
      <c r="AJ204" s="50" t="s">
        <v>166</v>
      </c>
      <c r="AK204" s="56" t="s">
        <v>166</v>
      </c>
      <c r="AL204" s="57">
        <v>129.0</v>
      </c>
      <c r="AM204" s="68"/>
      <c r="AN204" s="59"/>
      <c r="AO204" s="60"/>
      <c r="AP204" s="60"/>
      <c r="AQ204" s="66"/>
    </row>
    <row r="205">
      <c r="A205" s="46" t="str">
        <f>HYPERLINK("https://shop115457374.world.taobao.com/","Sirius Case / 天狼星机箱")</f>
        <v>Sirius Case / 天狼星机箱</v>
      </c>
      <c r="B205" s="46" t="str">
        <f>HYPERLINK("https://item.taobao.com/item.htm?id=581419642077","T10")</f>
        <v>T10</v>
      </c>
      <c r="C205" s="63" t="s">
        <v>248</v>
      </c>
      <c r="D205" s="48">
        <v>226.0</v>
      </c>
      <c r="E205" s="48">
        <v>112.5</v>
      </c>
      <c r="F205" s="48">
        <v>252.8</v>
      </c>
      <c r="G205" s="49">
        <f t="shared" si="1"/>
        <v>6.42744</v>
      </c>
      <c r="H205" s="49">
        <f t="shared" si="2"/>
        <v>254.25</v>
      </c>
      <c r="I205" s="48">
        <v>0.8</v>
      </c>
      <c r="J205" s="48" t="s">
        <v>274</v>
      </c>
      <c r="K205" s="50" t="s">
        <v>191</v>
      </c>
      <c r="L205" s="51">
        <v>43.0</v>
      </c>
      <c r="M205" s="50" t="s">
        <v>166</v>
      </c>
      <c r="N205" s="51" t="s">
        <v>174</v>
      </c>
      <c r="O205" s="48">
        <v>220.0</v>
      </c>
      <c r="P205" s="48">
        <v>135.0</v>
      </c>
      <c r="Q205" s="48">
        <v>45.0</v>
      </c>
      <c r="R205" s="48">
        <v>2.0</v>
      </c>
      <c r="S205" s="50" t="s">
        <v>166</v>
      </c>
      <c r="T205" s="52" t="s">
        <v>167</v>
      </c>
      <c r="U205" s="52" t="s">
        <v>186</v>
      </c>
      <c r="V205" s="51">
        <v>3.0</v>
      </c>
      <c r="W205" s="48" t="s">
        <v>166</v>
      </c>
      <c r="X205" s="50" t="s">
        <v>166</v>
      </c>
      <c r="Y205" s="51" t="s">
        <v>166</v>
      </c>
      <c r="Z205" s="48" t="s">
        <v>166</v>
      </c>
      <c r="AA205" s="48" t="s">
        <v>166</v>
      </c>
      <c r="AB205" s="48">
        <v>2.0</v>
      </c>
      <c r="AC205" s="48" t="s">
        <v>166</v>
      </c>
      <c r="AD205" s="48" t="s">
        <v>166</v>
      </c>
      <c r="AE205" s="54" t="s">
        <v>166</v>
      </c>
      <c r="AF205" s="55" t="s">
        <v>166</v>
      </c>
      <c r="AG205" s="51" t="s">
        <v>166</v>
      </c>
      <c r="AH205" s="48" t="s">
        <v>166</v>
      </c>
      <c r="AI205" s="48" t="s">
        <v>166</v>
      </c>
      <c r="AJ205" s="50" t="s">
        <v>166</v>
      </c>
      <c r="AK205" s="56">
        <v>199.0</v>
      </c>
      <c r="AL205" s="57">
        <f>AK205*Sheets!$E$3</f>
        <v>27.4312545</v>
      </c>
      <c r="AM205" s="68"/>
      <c r="AN205" s="70"/>
      <c r="AO205" s="71"/>
      <c r="AP205" s="71"/>
      <c r="AQ205" s="66"/>
    </row>
    <row r="206">
      <c r="A206" s="61" t="s">
        <v>205</v>
      </c>
      <c r="B206" s="67" t="s">
        <v>491</v>
      </c>
      <c r="C206" s="101" t="s">
        <v>262</v>
      </c>
      <c r="D206" s="74">
        <v>265.0</v>
      </c>
      <c r="E206" s="74">
        <v>90.0</v>
      </c>
      <c r="F206" s="74">
        <v>270.0</v>
      </c>
      <c r="G206" s="49">
        <f t="shared" si="1"/>
        <v>6.4395</v>
      </c>
      <c r="H206" s="49">
        <f t="shared" si="2"/>
        <v>238.5</v>
      </c>
      <c r="I206" s="74">
        <v>3.5</v>
      </c>
      <c r="J206" s="48" t="s">
        <v>171</v>
      </c>
      <c r="K206" s="75" t="s">
        <v>492</v>
      </c>
      <c r="L206" s="76">
        <v>65.0</v>
      </c>
      <c r="M206" s="75" t="s">
        <v>166</v>
      </c>
      <c r="N206" s="77" t="s">
        <v>166</v>
      </c>
      <c r="O206" s="48">
        <v>150.0</v>
      </c>
      <c r="P206" s="74">
        <v>70.0</v>
      </c>
      <c r="Q206" s="89">
        <v>20.0</v>
      </c>
      <c r="R206" s="48" t="s">
        <v>166</v>
      </c>
      <c r="S206" s="50">
        <v>1.0</v>
      </c>
      <c r="T206" s="52" t="s">
        <v>167</v>
      </c>
      <c r="U206" s="53" t="s">
        <v>372</v>
      </c>
      <c r="V206" s="77">
        <v>1.0</v>
      </c>
      <c r="W206" s="74">
        <v>1.0</v>
      </c>
      <c r="X206" s="75" t="s">
        <v>208</v>
      </c>
      <c r="Y206" s="51" t="s">
        <v>166</v>
      </c>
      <c r="Z206" s="74" t="s">
        <v>166</v>
      </c>
      <c r="AA206" s="74" t="s">
        <v>166</v>
      </c>
      <c r="AB206" s="48" t="s">
        <v>166</v>
      </c>
      <c r="AC206" s="48" t="s">
        <v>166</v>
      </c>
      <c r="AD206" s="48" t="s">
        <v>166</v>
      </c>
      <c r="AE206" s="54" t="s">
        <v>166</v>
      </c>
      <c r="AF206" s="55" t="s">
        <v>166</v>
      </c>
      <c r="AG206" s="51" t="s">
        <v>166</v>
      </c>
      <c r="AH206" s="48">
        <v>2.0</v>
      </c>
      <c r="AI206" s="48" t="s">
        <v>166</v>
      </c>
      <c r="AJ206" s="50" t="s">
        <v>174</v>
      </c>
      <c r="AK206" s="56" t="s">
        <v>166</v>
      </c>
      <c r="AL206" s="57" t="s">
        <v>170</v>
      </c>
      <c r="AM206" s="68"/>
      <c r="AN206" s="59"/>
      <c r="AO206" s="60" t="s">
        <v>181</v>
      </c>
      <c r="AP206" s="65">
        <v>45283.67563413194</v>
      </c>
      <c r="AQ206" s="66"/>
    </row>
    <row r="207">
      <c r="A207" s="61" t="s">
        <v>205</v>
      </c>
      <c r="B207" s="67" t="s">
        <v>493</v>
      </c>
      <c r="C207" s="101" t="s">
        <v>262</v>
      </c>
      <c r="D207" s="74">
        <v>265.0</v>
      </c>
      <c r="E207" s="74">
        <v>90.0</v>
      </c>
      <c r="F207" s="74">
        <v>270.0</v>
      </c>
      <c r="G207" s="49">
        <f t="shared" si="1"/>
        <v>6.4395</v>
      </c>
      <c r="H207" s="49">
        <f t="shared" si="2"/>
        <v>238.5</v>
      </c>
      <c r="I207" s="74">
        <v>3.5</v>
      </c>
      <c r="J207" s="48" t="s">
        <v>171</v>
      </c>
      <c r="K207" s="75" t="s">
        <v>492</v>
      </c>
      <c r="L207" s="76">
        <v>65.0</v>
      </c>
      <c r="M207" s="75" t="s">
        <v>166</v>
      </c>
      <c r="N207" s="77" t="s">
        <v>166</v>
      </c>
      <c r="O207" s="48">
        <v>150.0</v>
      </c>
      <c r="P207" s="74">
        <v>70.0</v>
      </c>
      <c r="Q207" s="89">
        <v>20.0</v>
      </c>
      <c r="R207" s="48" t="s">
        <v>166</v>
      </c>
      <c r="S207" s="50">
        <v>1.0</v>
      </c>
      <c r="T207" s="52" t="s">
        <v>167</v>
      </c>
      <c r="U207" s="53" t="s">
        <v>372</v>
      </c>
      <c r="V207" s="77">
        <v>1.0</v>
      </c>
      <c r="W207" s="74">
        <v>1.0</v>
      </c>
      <c r="X207" s="75" t="s">
        <v>208</v>
      </c>
      <c r="Y207" s="51" t="s">
        <v>166</v>
      </c>
      <c r="Z207" s="74" t="s">
        <v>166</v>
      </c>
      <c r="AA207" s="74" t="s">
        <v>166</v>
      </c>
      <c r="AB207" s="48" t="s">
        <v>166</v>
      </c>
      <c r="AC207" s="48" t="s">
        <v>166</v>
      </c>
      <c r="AD207" s="48" t="s">
        <v>166</v>
      </c>
      <c r="AE207" s="54" t="s">
        <v>166</v>
      </c>
      <c r="AF207" s="55" t="s">
        <v>166</v>
      </c>
      <c r="AG207" s="51" t="s">
        <v>166</v>
      </c>
      <c r="AH207" s="48">
        <v>2.0</v>
      </c>
      <c r="AI207" s="48" t="s">
        <v>166</v>
      </c>
      <c r="AJ207" s="50" t="s">
        <v>174</v>
      </c>
      <c r="AK207" s="56" t="s">
        <v>166</v>
      </c>
      <c r="AL207" s="57" t="s">
        <v>170</v>
      </c>
      <c r="AM207" s="68"/>
      <c r="AN207" s="59"/>
      <c r="AO207" s="60" t="s">
        <v>181</v>
      </c>
      <c r="AP207" s="65">
        <v>45283.67570354167</v>
      </c>
      <c r="AQ207" s="66"/>
    </row>
    <row r="208">
      <c r="A208" s="69" t="s">
        <v>222</v>
      </c>
      <c r="B208" s="46" t="s">
        <v>494</v>
      </c>
      <c r="C208" s="63" t="s">
        <v>248</v>
      </c>
      <c r="D208" s="48">
        <v>260.0</v>
      </c>
      <c r="E208" s="48">
        <v>118.0</v>
      </c>
      <c r="F208" s="48">
        <v>210.0</v>
      </c>
      <c r="G208" s="49">
        <f t="shared" si="1"/>
        <v>6.4428</v>
      </c>
      <c r="H208" s="49">
        <f t="shared" si="2"/>
        <v>306.8</v>
      </c>
      <c r="I208" s="48">
        <v>1.02</v>
      </c>
      <c r="J208" s="48" t="s">
        <v>171</v>
      </c>
      <c r="K208" s="50" t="s">
        <v>171</v>
      </c>
      <c r="L208" s="51">
        <v>45.0</v>
      </c>
      <c r="M208" s="50" t="s">
        <v>166</v>
      </c>
      <c r="N208" s="51" t="s">
        <v>174</v>
      </c>
      <c r="O208" s="48">
        <v>258.0</v>
      </c>
      <c r="P208" s="48">
        <v>150.0</v>
      </c>
      <c r="Q208" s="48">
        <v>48.0</v>
      </c>
      <c r="R208" s="48">
        <v>2.0</v>
      </c>
      <c r="S208" s="50" t="s">
        <v>166</v>
      </c>
      <c r="T208" s="52" t="s">
        <v>227</v>
      </c>
      <c r="U208" s="52" t="s">
        <v>186</v>
      </c>
      <c r="V208" s="51">
        <v>1.0</v>
      </c>
      <c r="W208" s="48">
        <v>1.0</v>
      </c>
      <c r="X208" s="50" t="s">
        <v>166</v>
      </c>
      <c r="Y208" s="51" t="s">
        <v>166</v>
      </c>
      <c r="Z208" s="48" t="s">
        <v>166</v>
      </c>
      <c r="AA208" s="48" t="s">
        <v>166</v>
      </c>
      <c r="AB208" s="48">
        <v>1.0</v>
      </c>
      <c r="AC208" s="48" t="s">
        <v>166</v>
      </c>
      <c r="AD208" s="48" t="s">
        <v>166</v>
      </c>
      <c r="AE208" s="54" t="s">
        <v>166</v>
      </c>
      <c r="AF208" s="55" t="s">
        <v>166</v>
      </c>
      <c r="AG208" s="51" t="s">
        <v>166</v>
      </c>
      <c r="AH208" s="48">
        <v>1.0</v>
      </c>
      <c r="AI208" s="48" t="s">
        <v>166</v>
      </c>
      <c r="AJ208" s="50" t="s">
        <v>174</v>
      </c>
      <c r="AK208" s="56">
        <v>128.0</v>
      </c>
      <c r="AL208" s="57">
        <f>AK208*Sheets!$E$3</f>
        <v>17.644224</v>
      </c>
      <c r="AM208" s="68"/>
      <c r="AN208" s="70"/>
      <c r="AO208" s="71"/>
      <c r="AP208" s="72">
        <v>44784.972739398145</v>
      </c>
      <c r="AQ208" s="66"/>
    </row>
    <row r="209">
      <c r="A209" s="46" t="str">
        <f>HYPERLINK("https://shop181257670.world.taobao.com/","伊噜咔装机")</f>
        <v>伊噜咔装机</v>
      </c>
      <c r="B209" s="73" t="s">
        <v>495</v>
      </c>
      <c r="C209" s="63" t="s">
        <v>248</v>
      </c>
      <c r="D209" s="48">
        <v>201.0</v>
      </c>
      <c r="E209" s="48">
        <v>130.0</v>
      </c>
      <c r="F209" s="48">
        <v>248.0</v>
      </c>
      <c r="G209" s="49">
        <f t="shared" si="1"/>
        <v>6.48024</v>
      </c>
      <c r="H209" s="49">
        <f t="shared" si="2"/>
        <v>261.3</v>
      </c>
      <c r="I209" s="48">
        <v>0.8</v>
      </c>
      <c r="J209" s="48" t="s">
        <v>296</v>
      </c>
      <c r="K209" s="50" t="s">
        <v>496</v>
      </c>
      <c r="L209" s="51">
        <v>62.0</v>
      </c>
      <c r="M209" s="50" t="s">
        <v>166</v>
      </c>
      <c r="N209" s="51" t="s">
        <v>174</v>
      </c>
      <c r="O209" s="48">
        <v>196.0</v>
      </c>
      <c r="P209" s="48" t="s">
        <v>170</v>
      </c>
      <c r="Q209" s="48">
        <v>40.0</v>
      </c>
      <c r="R209" s="48">
        <v>2.0</v>
      </c>
      <c r="S209" s="50" t="s">
        <v>166</v>
      </c>
      <c r="T209" s="52" t="s">
        <v>167</v>
      </c>
      <c r="U209" s="52" t="s">
        <v>324</v>
      </c>
      <c r="V209" s="51">
        <v>2.0</v>
      </c>
      <c r="W209" s="48" t="s">
        <v>166</v>
      </c>
      <c r="X209" s="50" t="s">
        <v>166</v>
      </c>
      <c r="Y209" s="51" t="s">
        <v>166</v>
      </c>
      <c r="Z209" s="48" t="s">
        <v>166</v>
      </c>
      <c r="AA209" s="48" t="s">
        <v>166</v>
      </c>
      <c r="AB209" s="48" t="s">
        <v>166</v>
      </c>
      <c r="AC209" s="48" t="s">
        <v>194</v>
      </c>
      <c r="AD209" s="48" t="s">
        <v>166</v>
      </c>
      <c r="AE209" s="54" t="s">
        <v>166</v>
      </c>
      <c r="AF209" s="55" t="s">
        <v>166</v>
      </c>
      <c r="AG209" s="51" t="s">
        <v>166</v>
      </c>
      <c r="AH209" s="48" t="s">
        <v>166</v>
      </c>
      <c r="AI209" s="48" t="s">
        <v>166</v>
      </c>
      <c r="AJ209" s="50" t="s">
        <v>166</v>
      </c>
      <c r="AK209" s="56">
        <v>1099.0</v>
      </c>
      <c r="AL209" s="57">
        <f>AK209*Sheets!$E$3</f>
        <v>151.4922045</v>
      </c>
      <c r="AM209" s="68"/>
      <c r="AN209" s="70"/>
      <c r="AO209" s="60" t="s">
        <v>181</v>
      </c>
      <c r="AP209" s="71"/>
      <c r="AQ209" s="66"/>
    </row>
    <row r="210">
      <c r="A210" s="69" t="str">
        <f>HYPERLINK("https://shop445541697.world.taobao.com/","Kyle's Studio")</f>
        <v>Kyle's Studio</v>
      </c>
      <c r="B210" s="46" t="str">
        <f>HYPERLINK("https://item.taobao.com/item.htm?id=586822554348","K01")</f>
        <v>K01</v>
      </c>
      <c r="C210" s="63" t="s">
        <v>248</v>
      </c>
      <c r="D210" s="48">
        <v>310.0</v>
      </c>
      <c r="E210" s="48">
        <v>113.0</v>
      </c>
      <c r="F210" s="48">
        <v>185.0</v>
      </c>
      <c r="G210" s="49">
        <f t="shared" si="1"/>
        <v>6.48055</v>
      </c>
      <c r="H210" s="49">
        <f t="shared" si="2"/>
        <v>350.3</v>
      </c>
      <c r="I210" s="48" t="s">
        <v>170</v>
      </c>
      <c r="J210" s="48" t="s">
        <v>235</v>
      </c>
      <c r="K210" s="50" t="s">
        <v>164</v>
      </c>
      <c r="L210" s="51">
        <v>49.0</v>
      </c>
      <c r="M210" s="50" t="s">
        <v>166</v>
      </c>
      <c r="N210" s="51" t="s">
        <v>174</v>
      </c>
      <c r="O210" s="48">
        <v>302.0</v>
      </c>
      <c r="P210" s="48">
        <v>135.0</v>
      </c>
      <c r="Q210" s="48">
        <v>40.0</v>
      </c>
      <c r="R210" s="48">
        <v>2.0</v>
      </c>
      <c r="S210" s="50" t="s">
        <v>166</v>
      </c>
      <c r="T210" s="52" t="s">
        <v>167</v>
      </c>
      <c r="U210" s="52" t="s">
        <v>324</v>
      </c>
      <c r="V210" s="51">
        <v>2.0</v>
      </c>
      <c r="W210" s="48" t="s">
        <v>166</v>
      </c>
      <c r="X210" s="50" t="s">
        <v>166</v>
      </c>
      <c r="Y210" s="51" t="s">
        <v>166</v>
      </c>
      <c r="Z210" s="48" t="s">
        <v>166</v>
      </c>
      <c r="AA210" s="48" t="s">
        <v>166</v>
      </c>
      <c r="AB210" s="48" t="s">
        <v>166</v>
      </c>
      <c r="AC210" s="48" t="s">
        <v>166</v>
      </c>
      <c r="AD210" s="48" t="s">
        <v>166</v>
      </c>
      <c r="AE210" s="54" t="s">
        <v>166</v>
      </c>
      <c r="AF210" s="55" t="s">
        <v>166</v>
      </c>
      <c r="AG210" s="51" t="s">
        <v>166</v>
      </c>
      <c r="AH210" s="48">
        <v>1.0</v>
      </c>
      <c r="AI210" s="48" t="s">
        <v>166</v>
      </c>
      <c r="AJ210" s="50" t="s">
        <v>166</v>
      </c>
      <c r="AK210" s="56">
        <v>689.0</v>
      </c>
      <c r="AL210" s="57">
        <f>AK210*Sheets!$E$3</f>
        <v>94.9755495</v>
      </c>
      <c r="AM210" s="68"/>
      <c r="AN210" s="70"/>
      <c r="AO210" s="60" t="s">
        <v>181</v>
      </c>
      <c r="AP210" s="72">
        <v>44442.748220231486</v>
      </c>
      <c r="AQ210" s="66"/>
    </row>
    <row r="211">
      <c r="A211" s="61" t="str">
        <f>HYPERLINK("https://j-hackcompany.com/","J-HACK")</f>
        <v>J-HACK</v>
      </c>
      <c r="B211" s="62" t="str">
        <f>HYPERLINK("https://j-hackcompany.com/?product=j-hack-pure-xl","Pure XL")</f>
        <v>Pure XL</v>
      </c>
      <c r="C211" s="63" t="s">
        <v>262</v>
      </c>
      <c r="D211" s="48">
        <v>191.0</v>
      </c>
      <c r="E211" s="48">
        <v>218.0</v>
      </c>
      <c r="F211" s="48">
        <v>156.0</v>
      </c>
      <c r="G211" s="49">
        <f t="shared" si="1"/>
        <v>6.495528</v>
      </c>
      <c r="H211" s="49">
        <f t="shared" si="2"/>
        <v>416.38</v>
      </c>
      <c r="I211" s="48" t="s">
        <v>170</v>
      </c>
      <c r="J211" s="48" t="s">
        <v>164</v>
      </c>
      <c r="K211" s="50" t="s">
        <v>164</v>
      </c>
      <c r="L211" s="51">
        <v>71.0</v>
      </c>
      <c r="M211" s="50" t="s">
        <v>166</v>
      </c>
      <c r="N211" s="51" t="s">
        <v>166</v>
      </c>
      <c r="O211" s="48">
        <v>175.0</v>
      </c>
      <c r="P211" s="48" t="s">
        <v>170</v>
      </c>
      <c r="Q211" s="48">
        <v>40.0</v>
      </c>
      <c r="R211" s="48">
        <v>2.0</v>
      </c>
      <c r="S211" s="50" t="s">
        <v>166</v>
      </c>
      <c r="T211" s="52" t="s">
        <v>167</v>
      </c>
      <c r="U211" s="52" t="s">
        <v>324</v>
      </c>
      <c r="V211" s="51" t="s">
        <v>193</v>
      </c>
      <c r="W211" s="48" t="s">
        <v>166</v>
      </c>
      <c r="X211" s="50" t="s">
        <v>166</v>
      </c>
      <c r="Y211" s="51" t="s">
        <v>166</v>
      </c>
      <c r="Z211" s="48" t="s">
        <v>166</v>
      </c>
      <c r="AA211" s="48" t="s">
        <v>193</v>
      </c>
      <c r="AB211" s="48" t="s">
        <v>193</v>
      </c>
      <c r="AC211" s="48" t="s">
        <v>194</v>
      </c>
      <c r="AD211" s="48" t="s">
        <v>194</v>
      </c>
      <c r="AE211" s="54" t="s">
        <v>166</v>
      </c>
      <c r="AF211" s="55" t="s">
        <v>166</v>
      </c>
      <c r="AG211" s="51" t="s">
        <v>166</v>
      </c>
      <c r="AH211" s="48" t="s">
        <v>166</v>
      </c>
      <c r="AI211" s="48" t="s">
        <v>166</v>
      </c>
      <c r="AJ211" s="50" t="s">
        <v>166</v>
      </c>
      <c r="AK211" s="56" t="s">
        <v>166</v>
      </c>
      <c r="AL211" s="57">
        <v>149.95</v>
      </c>
      <c r="AM211" s="64" t="str">
        <f>HYPERLINK("https://smallformfactor.net/forum/threads/j-hack-pure-xl-6-5l.11161/","Link")</f>
        <v>Link</v>
      </c>
      <c r="AN211" s="59"/>
      <c r="AO211" s="60"/>
      <c r="AP211" s="60"/>
      <c r="AQ211" s="66"/>
    </row>
    <row r="212">
      <c r="A212" s="69" t="str">
        <f>HYPERLINK("https://sgpc.world.taobao.com/","SGPC")</f>
        <v>SGPC</v>
      </c>
      <c r="B212" s="73" t="s">
        <v>497</v>
      </c>
      <c r="C212" s="63" t="s">
        <v>248</v>
      </c>
      <c r="D212" s="48">
        <v>308.0</v>
      </c>
      <c r="E212" s="48">
        <v>118.0</v>
      </c>
      <c r="F212" s="48">
        <v>179.0</v>
      </c>
      <c r="G212" s="49">
        <f t="shared" si="1"/>
        <v>6.505576</v>
      </c>
      <c r="H212" s="49">
        <f t="shared" si="2"/>
        <v>363.44</v>
      </c>
      <c r="I212" s="48">
        <v>0.8</v>
      </c>
      <c r="J212" s="48" t="s">
        <v>274</v>
      </c>
      <c r="K212" s="50" t="s">
        <v>185</v>
      </c>
      <c r="L212" s="51">
        <v>56.0</v>
      </c>
      <c r="M212" s="50" t="s">
        <v>166</v>
      </c>
      <c r="N212" s="51" t="s">
        <v>174</v>
      </c>
      <c r="O212" s="48">
        <v>305.0</v>
      </c>
      <c r="P212" s="48">
        <v>134.0</v>
      </c>
      <c r="Q212" s="48">
        <v>43.0</v>
      </c>
      <c r="R212" s="48">
        <v>2.0</v>
      </c>
      <c r="S212" s="50" t="s">
        <v>166</v>
      </c>
      <c r="T212" s="52" t="s">
        <v>167</v>
      </c>
      <c r="U212" s="52" t="s">
        <v>346</v>
      </c>
      <c r="V212" s="51" t="s">
        <v>193</v>
      </c>
      <c r="W212" s="48" t="s">
        <v>166</v>
      </c>
      <c r="X212" s="50" t="s">
        <v>166</v>
      </c>
      <c r="Y212" s="51" t="s">
        <v>166</v>
      </c>
      <c r="Z212" s="48" t="s">
        <v>166</v>
      </c>
      <c r="AA212" s="48" t="s">
        <v>166</v>
      </c>
      <c r="AB212" s="48" t="s">
        <v>194</v>
      </c>
      <c r="AC212" s="48" t="s">
        <v>166</v>
      </c>
      <c r="AD212" s="48" t="s">
        <v>166</v>
      </c>
      <c r="AE212" s="54" t="s">
        <v>166</v>
      </c>
      <c r="AF212" s="55" t="s">
        <v>166</v>
      </c>
      <c r="AG212" s="51" t="s">
        <v>166</v>
      </c>
      <c r="AH212" s="48" t="s">
        <v>166</v>
      </c>
      <c r="AI212" s="48" t="s">
        <v>166</v>
      </c>
      <c r="AJ212" s="50" t="s">
        <v>166</v>
      </c>
      <c r="AK212" s="56">
        <v>219.0</v>
      </c>
      <c r="AL212" s="57">
        <f>AK212*Sheets!$E$3</f>
        <v>30.1881645</v>
      </c>
      <c r="AM212" s="68"/>
      <c r="AN212" s="59"/>
      <c r="AO212" s="60"/>
      <c r="AP212" s="65">
        <v>44556.56312398148</v>
      </c>
      <c r="AQ212" s="66"/>
    </row>
    <row r="213">
      <c r="A213" s="46" t="str">
        <f>HYPERLINK("https://shop224033016.world.taobao.com/","魔神科技电脑机箱城")</f>
        <v>魔神科技电脑机箱城</v>
      </c>
      <c r="B213" s="46" t="s">
        <v>498</v>
      </c>
      <c r="C213" s="63" t="s">
        <v>248</v>
      </c>
      <c r="D213" s="48">
        <v>210.0</v>
      </c>
      <c r="E213" s="48">
        <v>125.0</v>
      </c>
      <c r="F213" s="48">
        <v>250.0</v>
      </c>
      <c r="G213" s="49">
        <f t="shared" si="1"/>
        <v>6.5625</v>
      </c>
      <c r="H213" s="49">
        <f t="shared" si="2"/>
        <v>262.5</v>
      </c>
      <c r="I213" s="48">
        <v>2.0</v>
      </c>
      <c r="J213" s="48" t="s">
        <v>164</v>
      </c>
      <c r="K213" s="50" t="s">
        <v>164</v>
      </c>
      <c r="L213" s="51">
        <v>51.0</v>
      </c>
      <c r="M213" s="50" t="s">
        <v>166</v>
      </c>
      <c r="N213" s="51" t="s">
        <v>174</v>
      </c>
      <c r="O213" s="48">
        <v>200.0</v>
      </c>
      <c r="P213" s="48">
        <v>135.0</v>
      </c>
      <c r="Q213" s="48">
        <v>45.0</v>
      </c>
      <c r="R213" s="48">
        <v>2.0</v>
      </c>
      <c r="S213" s="50" t="s">
        <v>166</v>
      </c>
      <c r="T213" s="52" t="s">
        <v>167</v>
      </c>
      <c r="U213" s="52" t="s">
        <v>186</v>
      </c>
      <c r="V213" s="51">
        <v>3.0</v>
      </c>
      <c r="W213" s="48" t="s">
        <v>166</v>
      </c>
      <c r="X213" s="50" t="s">
        <v>166</v>
      </c>
      <c r="Y213" s="51" t="s">
        <v>166</v>
      </c>
      <c r="Z213" s="48" t="s">
        <v>166</v>
      </c>
      <c r="AA213" s="48" t="s">
        <v>166</v>
      </c>
      <c r="AB213" s="48">
        <v>2.0</v>
      </c>
      <c r="AC213" s="48" t="s">
        <v>166</v>
      </c>
      <c r="AD213" s="48" t="s">
        <v>166</v>
      </c>
      <c r="AE213" s="54" t="s">
        <v>166</v>
      </c>
      <c r="AF213" s="55" t="s">
        <v>166</v>
      </c>
      <c r="AG213" s="51" t="s">
        <v>166</v>
      </c>
      <c r="AH213" s="48" t="s">
        <v>166</v>
      </c>
      <c r="AI213" s="48" t="s">
        <v>166</v>
      </c>
      <c r="AJ213" s="50" t="s">
        <v>166</v>
      </c>
      <c r="AK213" s="56">
        <v>368.0</v>
      </c>
      <c r="AL213" s="57">
        <f>AK213*Sheets!$E$3</f>
        <v>50.727144</v>
      </c>
      <c r="AM213" s="68"/>
      <c r="AN213" s="70"/>
      <c r="AO213" s="71"/>
      <c r="AP213" s="72">
        <v>44442.88285763889</v>
      </c>
      <c r="AQ213" s="66"/>
    </row>
    <row r="214">
      <c r="A214" s="69" t="s">
        <v>294</v>
      </c>
      <c r="B214" s="73" t="s">
        <v>499</v>
      </c>
      <c r="C214" s="63" t="s">
        <v>248</v>
      </c>
      <c r="D214" s="48">
        <v>307.0</v>
      </c>
      <c r="E214" s="48">
        <v>116.0</v>
      </c>
      <c r="F214" s="48">
        <v>185.0</v>
      </c>
      <c r="G214" s="49">
        <f t="shared" si="1"/>
        <v>6.58822</v>
      </c>
      <c r="H214" s="49">
        <f t="shared" si="2"/>
        <v>356.12</v>
      </c>
      <c r="I214" s="48">
        <v>0.85</v>
      </c>
      <c r="J214" s="48" t="s">
        <v>296</v>
      </c>
      <c r="K214" s="50" t="s">
        <v>296</v>
      </c>
      <c r="L214" s="51">
        <v>50.0</v>
      </c>
      <c r="M214" s="50" t="s">
        <v>166</v>
      </c>
      <c r="N214" s="51" t="s">
        <v>174</v>
      </c>
      <c r="O214" s="48">
        <v>303.0</v>
      </c>
      <c r="P214" s="48">
        <v>135.0</v>
      </c>
      <c r="Q214" s="48">
        <v>40.0</v>
      </c>
      <c r="R214" s="48">
        <v>2.0</v>
      </c>
      <c r="S214" s="50" t="s">
        <v>166</v>
      </c>
      <c r="T214" s="52" t="s">
        <v>167</v>
      </c>
      <c r="U214" s="52" t="s">
        <v>324</v>
      </c>
      <c r="V214" s="51">
        <v>2.0</v>
      </c>
      <c r="W214" s="48" t="s">
        <v>166</v>
      </c>
      <c r="X214" s="50" t="s">
        <v>166</v>
      </c>
      <c r="Y214" s="51" t="s">
        <v>166</v>
      </c>
      <c r="Z214" s="48" t="s">
        <v>166</v>
      </c>
      <c r="AA214" s="48" t="s">
        <v>166</v>
      </c>
      <c r="AB214" s="48" t="s">
        <v>166</v>
      </c>
      <c r="AC214" s="48" t="s">
        <v>166</v>
      </c>
      <c r="AD214" s="48" t="s">
        <v>166</v>
      </c>
      <c r="AE214" s="54" t="s">
        <v>166</v>
      </c>
      <c r="AF214" s="55" t="s">
        <v>166</v>
      </c>
      <c r="AG214" s="51" t="s">
        <v>166</v>
      </c>
      <c r="AH214" s="48">
        <v>2.0</v>
      </c>
      <c r="AI214" s="48" t="s">
        <v>166</v>
      </c>
      <c r="AJ214" s="50" t="s">
        <v>166</v>
      </c>
      <c r="AK214" s="56">
        <v>1658.0</v>
      </c>
      <c r="AL214" s="57">
        <f>AK214*Sheets!$E$3</f>
        <v>228.547839</v>
      </c>
      <c r="AM214" s="58"/>
      <c r="AN214" s="59"/>
      <c r="AO214" s="71" t="s">
        <v>181</v>
      </c>
      <c r="AP214" s="65">
        <v>44853.99708015047</v>
      </c>
      <c r="AQ214" s="66"/>
    </row>
    <row r="215">
      <c r="A215" s="69" t="s">
        <v>500</v>
      </c>
      <c r="B215" s="46" t="s">
        <v>197</v>
      </c>
      <c r="C215" s="63" t="s">
        <v>248</v>
      </c>
      <c r="D215" s="48">
        <v>192.0</v>
      </c>
      <c r="E215" s="48">
        <v>140.0</v>
      </c>
      <c r="F215" s="48">
        <v>247.0</v>
      </c>
      <c r="G215" s="49">
        <f t="shared" si="1"/>
        <v>6.63936</v>
      </c>
      <c r="H215" s="49">
        <f t="shared" si="2"/>
        <v>268.8</v>
      </c>
      <c r="I215" s="48">
        <v>2.5</v>
      </c>
      <c r="J215" s="48" t="s">
        <v>164</v>
      </c>
      <c r="K215" s="50" t="s">
        <v>275</v>
      </c>
      <c r="L215" s="51">
        <v>67.0</v>
      </c>
      <c r="M215" s="50" t="s">
        <v>501</v>
      </c>
      <c r="N215" s="51" t="s">
        <v>174</v>
      </c>
      <c r="O215" s="48">
        <v>189.0</v>
      </c>
      <c r="P215" s="48">
        <v>135.0</v>
      </c>
      <c r="Q215" s="48">
        <v>48.0</v>
      </c>
      <c r="R215" s="48">
        <v>2.0</v>
      </c>
      <c r="S215" s="50" t="s">
        <v>166</v>
      </c>
      <c r="T215" s="52" t="s">
        <v>167</v>
      </c>
      <c r="U215" s="52" t="s">
        <v>346</v>
      </c>
      <c r="V215" s="51">
        <v>4.0</v>
      </c>
      <c r="W215" s="48" t="s">
        <v>166</v>
      </c>
      <c r="X215" s="50" t="s">
        <v>166</v>
      </c>
      <c r="Y215" s="51" t="s">
        <v>166</v>
      </c>
      <c r="Z215" s="48" t="s">
        <v>166</v>
      </c>
      <c r="AA215" s="48" t="s">
        <v>166</v>
      </c>
      <c r="AB215" s="48" t="s">
        <v>166</v>
      </c>
      <c r="AC215" s="48" t="s">
        <v>194</v>
      </c>
      <c r="AD215" s="48" t="s">
        <v>166</v>
      </c>
      <c r="AE215" s="54" t="s">
        <v>166</v>
      </c>
      <c r="AF215" s="55" t="s">
        <v>166</v>
      </c>
      <c r="AG215" s="51" t="s">
        <v>166</v>
      </c>
      <c r="AH215" s="48" t="s">
        <v>166</v>
      </c>
      <c r="AI215" s="48" t="s">
        <v>166</v>
      </c>
      <c r="AJ215" s="50" t="s">
        <v>166</v>
      </c>
      <c r="AK215" s="56">
        <v>698.0</v>
      </c>
      <c r="AL215" s="57">
        <f>AK215*Sheets!$E$3</f>
        <v>96.216159</v>
      </c>
      <c r="AM215" s="68"/>
      <c r="AN215" s="70"/>
      <c r="AO215" s="71"/>
      <c r="AP215" s="72">
        <v>44442.74290993056</v>
      </c>
      <c r="AQ215" s="66"/>
    </row>
    <row r="216">
      <c r="A216" s="46" t="str">
        <f>HYPERLINK("https://shop159524301.world.taobao.com/","Warhead Design")</f>
        <v>Warhead Design</v>
      </c>
      <c r="B216" s="73" t="s">
        <v>502</v>
      </c>
      <c r="C216" s="63" t="s">
        <v>248</v>
      </c>
      <c r="D216" s="48">
        <v>235.0</v>
      </c>
      <c r="E216" s="48">
        <v>129.0</v>
      </c>
      <c r="F216" s="48">
        <v>220.0</v>
      </c>
      <c r="G216" s="49">
        <f t="shared" si="1"/>
        <v>6.6693</v>
      </c>
      <c r="H216" s="49">
        <f t="shared" si="2"/>
        <v>303.15</v>
      </c>
      <c r="I216" s="48" t="s">
        <v>170</v>
      </c>
      <c r="J216" s="48" t="s">
        <v>164</v>
      </c>
      <c r="K216" s="50" t="s">
        <v>164</v>
      </c>
      <c r="L216" s="51">
        <v>55.0</v>
      </c>
      <c r="M216" s="50">
        <v>120.0</v>
      </c>
      <c r="N216" s="51" t="s">
        <v>174</v>
      </c>
      <c r="O216" s="48">
        <v>230.0</v>
      </c>
      <c r="P216" s="48" t="s">
        <v>170</v>
      </c>
      <c r="Q216" s="48">
        <v>40.0</v>
      </c>
      <c r="R216" s="48">
        <v>2.0</v>
      </c>
      <c r="S216" s="50" t="s">
        <v>166</v>
      </c>
      <c r="T216" s="52" t="s">
        <v>167</v>
      </c>
      <c r="U216" s="52" t="s">
        <v>186</v>
      </c>
      <c r="V216" s="51">
        <v>4.0</v>
      </c>
      <c r="W216" s="48" t="s">
        <v>166</v>
      </c>
      <c r="X216" s="50" t="s">
        <v>166</v>
      </c>
      <c r="Y216" s="51" t="s">
        <v>166</v>
      </c>
      <c r="Z216" s="48" t="s">
        <v>166</v>
      </c>
      <c r="AA216" s="48" t="s">
        <v>166</v>
      </c>
      <c r="AB216" s="48" t="s">
        <v>166</v>
      </c>
      <c r="AC216" s="48">
        <v>1.0</v>
      </c>
      <c r="AD216" s="48" t="s">
        <v>166</v>
      </c>
      <c r="AE216" s="54" t="s">
        <v>166</v>
      </c>
      <c r="AF216" s="55" t="s">
        <v>166</v>
      </c>
      <c r="AG216" s="51" t="s">
        <v>166</v>
      </c>
      <c r="AH216" s="48" t="s">
        <v>166</v>
      </c>
      <c r="AI216" s="48" t="s">
        <v>166</v>
      </c>
      <c r="AJ216" s="50" t="s">
        <v>166</v>
      </c>
      <c r="AK216" s="56">
        <v>799.0</v>
      </c>
      <c r="AL216" s="57">
        <f>AK216*Sheets!$E$3</f>
        <v>110.1385545</v>
      </c>
      <c r="AM216" s="68"/>
      <c r="AN216" s="70"/>
      <c r="AO216" s="60" t="s">
        <v>181</v>
      </c>
      <c r="AP216" s="71"/>
      <c r="AQ216" s="66"/>
    </row>
    <row r="217">
      <c r="A217" s="69" t="s">
        <v>222</v>
      </c>
      <c r="B217" s="73" t="s">
        <v>503</v>
      </c>
      <c r="C217" s="63" t="s">
        <v>248</v>
      </c>
      <c r="D217" s="48">
        <v>310.0</v>
      </c>
      <c r="E217" s="48">
        <v>120.0</v>
      </c>
      <c r="F217" s="48">
        <v>180.0</v>
      </c>
      <c r="G217" s="49">
        <f t="shared" si="1"/>
        <v>6.696</v>
      </c>
      <c r="H217" s="49">
        <f t="shared" si="2"/>
        <v>372</v>
      </c>
      <c r="I217" s="48" t="s">
        <v>170</v>
      </c>
      <c r="J217" s="48" t="s">
        <v>171</v>
      </c>
      <c r="K217" s="50" t="s">
        <v>171</v>
      </c>
      <c r="L217" s="51">
        <v>50.0</v>
      </c>
      <c r="M217" s="50" t="s">
        <v>166</v>
      </c>
      <c r="N217" s="51" t="s">
        <v>174</v>
      </c>
      <c r="O217" s="48">
        <v>310.0</v>
      </c>
      <c r="P217" s="48">
        <v>125.0</v>
      </c>
      <c r="Q217" s="48">
        <v>47.0</v>
      </c>
      <c r="R217" s="48">
        <v>2.0</v>
      </c>
      <c r="S217" s="50" t="s">
        <v>166</v>
      </c>
      <c r="T217" s="52" t="s">
        <v>167</v>
      </c>
      <c r="U217" s="52" t="s">
        <v>324</v>
      </c>
      <c r="V217" s="51">
        <v>1.0</v>
      </c>
      <c r="W217" s="48" t="s">
        <v>166</v>
      </c>
      <c r="X217" s="50" t="s">
        <v>166</v>
      </c>
      <c r="Y217" s="51" t="s">
        <v>166</v>
      </c>
      <c r="Z217" s="48" t="s">
        <v>166</v>
      </c>
      <c r="AA217" s="48" t="s">
        <v>166</v>
      </c>
      <c r="AB217" s="48" t="s">
        <v>166</v>
      </c>
      <c r="AC217" s="48" t="s">
        <v>166</v>
      </c>
      <c r="AD217" s="48" t="s">
        <v>166</v>
      </c>
      <c r="AE217" s="54" t="s">
        <v>166</v>
      </c>
      <c r="AF217" s="55" t="s">
        <v>166</v>
      </c>
      <c r="AG217" s="51" t="s">
        <v>166</v>
      </c>
      <c r="AH217" s="48" t="s">
        <v>166</v>
      </c>
      <c r="AI217" s="48" t="s">
        <v>166</v>
      </c>
      <c r="AJ217" s="50" t="s">
        <v>166</v>
      </c>
      <c r="AK217" s="56">
        <v>230.0</v>
      </c>
      <c r="AL217" s="57">
        <f>AK217*Sheets!$E$3</f>
        <v>31.704465</v>
      </c>
      <c r="AM217" s="68"/>
      <c r="AN217" s="70"/>
      <c r="AO217" s="71" t="s">
        <v>181</v>
      </c>
      <c r="AP217" s="72">
        <v>44556.56631815972</v>
      </c>
      <c r="AQ217" s="66"/>
    </row>
    <row r="218">
      <c r="A218" s="82" t="s">
        <v>212</v>
      </c>
      <c r="B218" s="67" t="s">
        <v>504</v>
      </c>
      <c r="C218" s="63" t="s">
        <v>248</v>
      </c>
      <c r="D218" s="48">
        <v>188.0</v>
      </c>
      <c r="E218" s="48">
        <v>134.0</v>
      </c>
      <c r="F218" s="48">
        <v>266.0</v>
      </c>
      <c r="G218" s="49">
        <f t="shared" si="1"/>
        <v>6.701072</v>
      </c>
      <c r="H218" s="49">
        <f t="shared" si="2"/>
        <v>251.92</v>
      </c>
      <c r="I218" s="48">
        <v>1.6</v>
      </c>
      <c r="J218" s="48" t="s">
        <v>164</v>
      </c>
      <c r="K218" s="50" t="s">
        <v>334</v>
      </c>
      <c r="L218" s="51">
        <v>66.0</v>
      </c>
      <c r="M218" s="50" t="s">
        <v>166</v>
      </c>
      <c r="N218" s="51" t="s">
        <v>174</v>
      </c>
      <c r="O218" s="48">
        <v>182.0</v>
      </c>
      <c r="P218" s="48">
        <v>150.0</v>
      </c>
      <c r="Q218" s="48">
        <v>44.0</v>
      </c>
      <c r="R218" s="48">
        <v>2.0</v>
      </c>
      <c r="S218" s="50" t="s">
        <v>166</v>
      </c>
      <c r="T218" s="52" t="s">
        <v>167</v>
      </c>
      <c r="U218" s="52" t="s">
        <v>346</v>
      </c>
      <c r="V218" s="51" t="s">
        <v>416</v>
      </c>
      <c r="W218" s="48" t="s">
        <v>166</v>
      </c>
      <c r="X218" s="50" t="s">
        <v>166</v>
      </c>
      <c r="Y218" s="51" t="s">
        <v>166</v>
      </c>
      <c r="Z218" s="48" t="s">
        <v>166</v>
      </c>
      <c r="AA218" s="48" t="s">
        <v>166</v>
      </c>
      <c r="AB218" s="48" t="s">
        <v>166</v>
      </c>
      <c r="AC218" s="48">
        <v>1.0</v>
      </c>
      <c r="AD218" s="48" t="s">
        <v>166</v>
      </c>
      <c r="AE218" s="54" t="s">
        <v>166</v>
      </c>
      <c r="AF218" s="55" t="s">
        <v>166</v>
      </c>
      <c r="AG218" s="51" t="s">
        <v>166</v>
      </c>
      <c r="AH218" s="48" t="s">
        <v>166</v>
      </c>
      <c r="AI218" s="48" t="s">
        <v>166</v>
      </c>
      <c r="AJ218" s="50" t="s">
        <v>166</v>
      </c>
      <c r="AK218" s="56">
        <v>699.0</v>
      </c>
      <c r="AL218" s="57">
        <v>131.0</v>
      </c>
      <c r="AM218" s="58"/>
      <c r="AN218" s="64" t="s">
        <v>214</v>
      </c>
      <c r="AO218" s="60" t="s">
        <v>181</v>
      </c>
      <c r="AP218" s="65">
        <v>44655.82495684028</v>
      </c>
      <c r="AQ218" s="66"/>
    </row>
    <row r="219">
      <c r="A219" s="61" t="s">
        <v>254</v>
      </c>
      <c r="B219" s="62" t="s">
        <v>505</v>
      </c>
      <c r="C219" s="63" t="s">
        <v>248</v>
      </c>
      <c r="D219" s="48">
        <v>215.0</v>
      </c>
      <c r="E219" s="48">
        <v>125.0</v>
      </c>
      <c r="F219" s="48">
        <v>250.0</v>
      </c>
      <c r="G219" s="49">
        <f t="shared" si="1"/>
        <v>6.71875</v>
      </c>
      <c r="H219" s="49">
        <f t="shared" si="2"/>
        <v>268.75</v>
      </c>
      <c r="I219" s="48" t="s">
        <v>170</v>
      </c>
      <c r="J219" s="48" t="s">
        <v>245</v>
      </c>
      <c r="K219" s="50" t="s">
        <v>255</v>
      </c>
      <c r="L219" s="51">
        <v>50.0</v>
      </c>
      <c r="M219" s="50" t="s">
        <v>166</v>
      </c>
      <c r="N219" s="51" t="s">
        <v>174</v>
      </c>
      <c r="O219" s="48">
        <v>190.0</v>
      </c>
      <c r="P219" s="48">
        <v>135.0</v>
      </c>
      <c r="Q219" s="48">
        <v>45.0</v>
      </c>
      <c r="R219" s="48">
        <v>2.0</v>
      </c>
      <c r="S219" s="50" t="s">
        <v>166</v>
      </c>
      <c r="T219" s="52" t="s">
        <v>167</v>
      </c>
      <c r="U219" s="52" t="s">
        <v>186</v>
      </c>
      <c r="V219" s="51">
        <v>1.0</v>
      </c>
      <c r="W219" s="48" t="s">
        <v>166</v>
      </c>
      <c r="X219" s="50" t="s">
        <v>166</v>
      </c>
      <c r="Y219" s="51" t="s">
        <v>166</v>
      </c>
      <c r="Z219" s="48" t="s">
        <v>166</v>
      </c>
      <c r="AA219" s="48" t="s">
        <v>166</v>
      </c>
      <c r="AB219" s="48">
        <v>2.0</v>
      </c>
      <c r="AC219" s="48" t="s">
        <v>166</v>
      </c>
      <c r="AD219" s="48" t="s">
        <v>166</v>
      </c>
      <c r="AE219" s="54" t="s">
        <v>166</v>
      </c>
      <c r="AF219" s="55" t="s">
        <v>166</v>
      </c>
      <c r="AG219" s="51">
        <v>1.0</v>
      </c>
      <c r="AH219" s="48">
        <v>1.0</v>
      </c>
      <c r="AI219" s="48" t="s">
        <v>166</v>
      </c>
      <c r="AJ219" s="50" t="s">
        <v>174</v>
      </c>
      <c r="AK219" s="56" t="s">
        <v>166</v>
      </c>
      <c r="AL219" s="57">
        <v>45.0</v>
      </c>
      <c r="AM219" s="58"/>
      <c r="AN219" s="64" t="s">
        <v>214</v>
      </c>
      <c r="AO219" s="60"/>
      <c r="AP219" s="60"/>
      <c r="AQ219" s="66"/>
    </row>
    <row r="220">
      <c r="A220" s="46" t="s">
        <v>506</v>
      </c>
      <c r="B220" s="46" t="str">
        <f>HYPERLINK("https://item.taobao.com/item.htm?id=608858409932","A31S")</f>
        <v>A31S</v>
      </c>
      <c r="C220" s="63" t="s">
        <v>248</v>
      </c>
      <c r="D220" s="48">
        <v>215.0</v>
      </c>
      <c r="E220" s="48">
        <v>125.0</v>
      </c>
      <c r="F220" s="48">
        <v>250.0</v>
      </c>
      <c r="G220" s="49">
        <f t="shared" si="1"/>
        <v>6.71875</v>
      </c>
      <c r="H220" s="49">
        <f t="shared" si="2"/>
        <v>268.75</v>
      </c>
      <c r="I220" s="48">
        <v>2.0</v>
      </c>
      <c r="J220" s="48" t="s">
        <v>245</v>
      </c>
      <c r="K220" s="50" t="s">
        <v>255</v>
      </c>
      <c r="L220" s="51">
        <v>53.0</v>
      </c>
      <c r="M220" s="50" t="s">
        <v>166</v>
      </c>
      <c r="N220" s="51" t="s">
        <v>174</v>
      </c>
      <c r="O220" s="48">
        <v>205.0</v>
      </c>
      <c r="P220" s="48" t="s">
        <v>170</v>
      </c>
      <c r="Q220" s="48">
        <v>45.0</v>
      </c>
      <c r="R220" s="48">
        <v>2.0</v>
      </c>
      <c r="S220" s="50" t="s">
        <v>166</v>
      </c>
      <c r="T220" s="52" t="s">
        <v>167</v>
      </c>
      <c r="U220" s="52" t="s">
        <v>186</v>
      </c>
      <c r="V220" s="51">
        <v>1.0</v>
      </c>
      <c r="W220" s="48" t="s">
        <v>166</v>
      </c>
      <c r="X220" s="50" t="s">
        <v>166</v>
      </c>
      <c r="Y220" s="51" t="s">
        <v>166</v>
      </c>
      <c r="Z220" s="48" t="s">
        <v>166</v>
      </c>
      <c r="AA220" s="48" t="s">
        <v>166</v>
      </c>
      <c r="AB220" s="48">
        <v>2.0</v>
      </c>
      <c r="AC220" s="48" t="s">
        <v>166</v>
      </c>
      <c r="AD220" s="48" t="s">
        <v>166</v>
      </c>
      <c r="AE220" s="54" t="s">
        <v>166</v>
      </c>
      <c r="AF220" s="55" t="s">
        <v>166</v>
      </c>
      <c r="AG220" s="51">
        <v>1.0</v>
      </c>
      <c r="AH220" s="48">
        <v>1.0</v>
      </c>
      <c r="AI220" s="48" t="s">
        <v>166</v>
      </c>
      <c r="AJ220" s="50" t="s">
        <v>174</v>
      </c>
      <c r="AK220" s="56">
        <v>258.0</v>
      </c>
      <c r="AL220" s="57">
        <f>AK220*Sheets!$E$3</f>
        <v>35.564139</v>
      </c>
      <c r="AM220" s="68"/>
      <c r="AN220" s="70"/>
      <c r="AO220" s="71"/>
      <c r="AP220" s="72">
        <v>44681.59445643518</v>
      </c>
      <c r="AQ220" s="66"/>
    </row>
    <row r="221">
      <c r="A221" s="91" t="s">
        <v>507</v>
      </c>
      <c r="B221" s="67" t="s">
        <v>508</v>
      </c>
      <c r="C221" s="63" t="s">
        <v>248</v>
      </c>
      <c r="D221" s="48">
        <v>203.0</v>
      </c>
      <c r="E221" s="48">
        <v>135.0</v>
      </c>
      <c r="F221" s="48">
        <v>246.0</v>
      </c>
      <c r="G221" s="49">
        <f t="shared" si="1"/>
        <v>6.74163</v>
      </c>
      <c r="H221" s="49">
        <f t="shared" si="2"/>
        <v>274.05</v>
      </c>
      <c r="I221" s="48">
        <v>1.35</v>
      </c>
      <c r="J221" s="48" t="s">
        <v>164</v>
      </c>
      <c r="K221" s="50" t="s">
        <v>185</v>
      </c>
      <c r="L221" s="51">
        <v>65.0</v>
      </c>
      <c r="M221" s="50" t="s">
        <v>166</v>
      </c>
      <c r="N221" s="51" t="s">
        <v>174</v>
      </c>
      <c r="O221" s="48">
        <v>190.0</v>
      </c>
      <c r="P221" s="48" t="s">
        <v>170</v>
      </c>
      <c r="Q221" s="48">
        <v>43.0</v>
      </c>
      <c r="R221" s="48">
        <v>2.0</v>
      </c>
      <c r="S221" s="50" t="s">
        <v>166</v>
      </c>
      <c r="T221" s="52" t="s">
        <v>167</v>
      </c>
      <c r="U221" s="52" t="s">
        <v>346</v>
      </c>
      <c r="V221" s="51">
        <v>2.0</v>
      </c>
      <c r="W221" s="48" t="s">
        <v>166</v>
      </c>
      <c r="X221" s="50" t="s">
        <v>166</v>
      </c>
      <c r="Y221" s="51" t="s">
        <v>166</v>
      </c>
      <c r="Z221" s="48" t="s">
        <v>166</v>
      </c>
      <c r="AA221" s="48" t="s">
        <v>166</v>
      </c>
      <c r="AB221" s="48">
        <v>1.0</v>
      </c>
      <c r="AC221" s="48" t="s">
        <v>166</v>
      </c>
      <c r="AD221" s="48" t="s">
        <v>166</v>
      </c>
      <c r="AE221" s="54" t="s">
        <v>166</v>
      </c>
      <c r="AF221" s="55" t="s">
        <v>166</v>
      </c>
      <c r="AG221" s="51" t="s">
        <v>166</v>
      </c>
      <c r="AH221" s="48">
        <v>2.0</v>
      </c>
      <c r="AI221" s="48" t="s">
        <v>166</v>
      </c>
      <c r="AJ221" s="50" t="s">
        <v>174</v>
      </c>
      <c r="AK221" s="56" t="s">
        <v>166</v>
      </c>
      <c r="AL221" s="57">
        <v>215.0</v>
      </c>
      <c r="AM221" s="64" t="str">
        <f>HYPERLINK("https://smallformfactor.net/forum/threads/the-mi-6-microtower-case-performance-in-6-7l.1091/","Link")</f>
        <v>Link</v>
      </c>
      <c r="AN221" s="70"/>
      <c r="AO221" s="71" t="s">
        <v>181</v>
      </c>
      <c r="AP221" s="72">
        <v>44887.95839980324</v>
      </c>
      <c r="AQ221" s="66"/>
    </row>
    <row r="222">
      <c r="A222" s="69" t="s">
        <v>509</v>
      </c>
      <c r="B222" s="46" t="s">
        <v>510</v>
      </c>
      <c r="C222" s="63" t="s">
        <v>262</v>
      </c>
      <c r="D222" s="48">
        <v>210.0</v>
      </c>
      <c r="E222" s="48">
        <v>273.0</v>
      </c>
      <c r="F222" s="48">
        <v>118.0</v>
      </c>
      <c r="G222" s="49">
        <f t="shared" si="1"/>
        <v>6.76494</v>
      </c>
      <c r="H222" s="49">
        <f t="shared" si="2"/>
        <v>573.3</v>
      </c>
      <c r="I222" s="48">
        <v>5.0</v>
      </c>
      <c r="J222" s="48" t="s">
        <v>164</v>
      </c>
      <c r="K222" s="50" t="s">
        <v>164</v>
      </c>
      <c r="L222" s="51">
        <v>83.0</v>
      </c>
      <c r="M222" s="50" t="s">
        <v>166</v>
      </c>
      <c r="N222" s="51" t="s">
        <v>166</v>
      </c>
      <c r="O222" s="48" t="s">
        <v>170</v>
      </c>
      <c r="P222" s="48">
        <v>70.0</v>
      </c>
      <c r="Q222" s="48">
        <v>40.0</v>
      </c>
      <c r="R222" s="48" t="s">
        <v>166</v>
      </c>
      <c r="S222" s="50">
        <v>2.0</v>
      </c>
      <c r="T222" s="52" t="s">
        <v>167</v>
      </c>
      <c r="U222" s="52" t="s">
        <v>186</v>
      </c>
      <c r="V222" s="51" t="s">
        <v>170</v>
      </c>
      <c r="W222" s="48" t="s">
        <v>170</v>
      </c>
      <c r="X222" s="50" t="s">
        <v>166</v>
      </c>
      <c r="Y222" s="51" t="s">
        <v>166</v>
      </c>
      <c r="Z222" s="48" t="s">
        <v>166</v>
      </c>
      <c r="AA222" s="48">
        <v>2.0</v>
      </c>
      <c r="AB222" s="48" t="s">
        <v>166</v>
      </c>
      <c r="AC222" s="48" t="s">
        <v>166</v>
      </c>
      <c r="AD222" s="48" t="s">
        <v>166</v>
      </c>
      <c r="AE222" s="54" t="s">
        <v>166</v>
      </c>
      <c r="AF222" s="55" t="s">
        <v>166</v>
      </c>
      <c r="AG222" s="51" t="s">
        <v>166</v>
      </c>
      <c r="AH222" s="48" t="s">
        <v>166</v>
      </c>
      <c r="AI222" s="48" t="s">
        <v>166</v>
      </c>
      <c r="AJ222" s="50" t="s">
        <v>166</v>
      </c>
      <c r="AK222" s="56">
        <v>3599.0</v>
      </c>
      <c r="AL222" s="57">
        <f>AK222*Sheets!$E$3</f>
        <v>496.1059545</v>
      </c>
      <c r="AM222" s="68"/>
      <c r="AN222" s="70"/>
      <c r="AO222" s="71"/>
      <c r="AP222" s="72">
        <v>44887.852510462966</v>
      </c>
      <c r="AQ222" s="66"/>
    </row>
    <row r="223">
      <c r="A223" s="61" t="s">
        <v>178</v>
      </c>
      <c r="B223" s="62" t="s">
        <v>511</v>
      </c>
      <c r="C223" s="63" t="s">
        <v>248</v>
      </c>
      <c r="D223" s="48">
        <v>305.0</v>
      </c>
      <c r="E223" s="48">
        <v>120.0</v>
      </c>
      <c r="F223" s="48">
        <v>185.0</v>
      </c>
      <c r="G223" s="49">
        <f t="shared" si="1"/>
        <v>6.771</v>
      </c>
      <c r="H223" s="49">
        <f t="shared" si="2"/>
        <v>366</v>
      </c>
      <c r="I223" s="48">
        <v>1.2</v>
      </c>
      <c r="J223" s="48" t="s">
        <v>164</v>
      </c>
      <c r="K223" s="50" t="s">
        <v>512</v>
      </c>
      <c r="L223" s="51">
        <v>48.0</v>
      </c>
      <c r="M223" s="50" t="s">
        <v>166</v>
      </c>
      <c r="N223" s="51" t="s">
        <v>174</v>
      </c>
      <c r="O223" s="48">
        <v>300.0</v>
      </c>
      <c r="P223" s="48" t="s">
        <v>170</v>
      </c>
      <c r="Q223" s="48">
        <v>44.0</v>
      </c>
      <c r="R223" s="48">
        <v>2.0</v>
      </c>
      <c r="S223" s="50" t="s">
        <v>166</v>
      </c>
      <c r="T223" s="52" t="s">
        <v>167</v>
      </c>
      <c r="U223" s="52" t="s">
        <v>346</v>
      </c>
      <c r="V223" s="51">
        <v>2.0</v>
      </c>
      <c r="W223" s="48" t="s">
        <v>166</v>
      </c>
      <c r="X223" s="50" t="s">
        <v>166</v>
      </c>
      <c r="Y223" s="51" t="s">
        <v>166</v>
      </c>
      <c r="Z223" s="48" t="s">
        <v>166</v>
      </c>
      <c r="AA223" s="48" t="s">
        <v>166</v>
      </c>
      <c r="AB223" s="48" t="s">
        <v>166</v>
      </c>
      <c r="AC223" s="48" t="s">
        <v>166</v>
      </c>
      <c r="AD223" s="48" t="s">
        <v>166</v>
      </c>
      <c r="AE223" s="54" t="s">
        <v>166</v>
      </c>
      <c r="AF223" s="55" t="s">
        <v>166</v>
      </c>
      <c r="AG223" s="51" t="s">
        <v>166</v>
      </c>
      <c r="AH223" s="48">
        <v>1.0</v>
      </c>
      <c r="AI223" s="48" t="s">
        <v>166</v>
      </c>
      <c r="AJ223" s="50" t="s">
        <v>166</v>
      </c>
      <c r="AK223" s="56" t="s">
        <v>166</v>
      </c>
      <c r="AL223" s="57">
        <v>126.56</v>
      </c>
      <c r="AM223" s="64" t="str">
        <f>HYPERLINK("https://smallformfactor.net/forum/threads/custom_mod-case-sx-sxm.1786/","Link")</f>
        <v>Link</v>
      </c>
      <c r="AN223" s="59"/>
      <c r="AO223" s="60"/>
      <c r="AP223" s="65">
        <v>45184.70409890046</v>
      </c>
      <c r="AQ223" s="66"/>
    </row>
    <row r="224">
      <c r="A224" s="46" t="s">
        <v>352</v>
      </c>
      <c r="B224" s="46" t="s">
        <v>513</v>
      </c>
      <c r="C224" s="63" t="s">
        <v>248</v>
      </c>
      <c r="D224" s="48">
        <v>232.0</v>
      </c>
      <c r="E224" s="48">
        <v>116.0</v>
      </c>
      <c r="F224" s="48">
        <v>252.0</v>
      </c>
      <c r="G224" s="49">
        <f t="shared" si="1"/>
        <v>6.781824</v>
      </c>
      <c r="H224" s="49">
        <f t="shared" si="2"/>
        <v>269.12</v>
      </c>
      <c r="I224" s="48">
        <v>1.8</v>
      </c>
      <c r="J224" s="48" t="s">
        <v>336</v>
      </c>
      <c r="K224" s="50" t="s">
        <v>514</v>
      </c>
      <c r="L224" s="51">
        <v>55.0</v>
      </c>
      <c r="M224" s="50" t="s">
        <v>166</v>
      </c>
      <c r="N224" s="51" t="s">
        <v>174</v>
      </c>
      <c r="O224" s="48">
        <v>220.0</v>
      </c>
      <c r="P224" s="48" t="s">
        <v>170</v>
      </c>
      <c r="Q224" s="48">
        <v>40.0</v>
      </c>
      <c r="R224" s="48">
        <v>2.0</v>
      </c>
      <c r="S224" s="50" t="s">
        <v>166</v>
      </c>
      <c r="T224" s="52" t="s">
        <v>515</v>
      </c>
      <c r="U224" s="52" t="s">
        <v>186</v>
      </c>
      <c r="V224" s="51">
        <v>1.0</v>
      </c>
      <c r="W224" s="48">
        <v>1.0</v>
      </c>
      <c r="X224" s="50" t="s">
        <v>166</v>
      </c>
      <c r="Y224" s="51" t="s">
        <v>166</v>
      </c>
      <c r="Z224" s="48" t="s">
        <v>166</v>
      </c>
      <c r="AA224" s="48" t="s">
        <v>166</v>
      </c>
      <c r="AB224" s="48" t="s">
        <v>166</v>
      </c>
      <c r="AC224" s="48" t="s">
        <v>166</v>
      </c>
      <c r="AD224" s="48" t="s">
        <v>166</v>
      </c>
      <c r="AE224" s="54" t="s">
        <v>166</v>
      </c>
      <c r="AF224" s="55" t="s">
        <v>166</v>
      </c>
      <c r="AG224" s="51" t="s">
        <v>166</v>
      </c>
      <c r="AH224" s="48">
        <v>1.0</v>
      </c>
      <c r="AI224" s="48" t="s">
        <v>166</v>
      </c>
      <c r="AJ224" s="50" t="s">
        <v>166</v>
      </c>
      <c r="AK224" s="56">
        <v>159.0</v>
      </c>
      <c r="AL224" s="57">
        <f>AK224*Sheets!$E$3</f>
        <v>21.9174345</v>
      </c>
      <c r="AM224" s="68"/>
      <c r="AN224" s="70"/>
      <c r="AO224" s="71"/>
      <c r="AP224" s="72">
        <v>44758.56336576389</v>
      </c>
      <c r="AQ224" s="66"/>
    </row>
    <row r="225">
      <c r="A225" s="69" t="s">
        <v>222</v>
      </c>
      <c r="B225" s="73" t="s">
        <v>516</v>
      </c>
      <c r="C225" s="63" t="s">
        <v>248</v>
      </c>
      <c r="D225" s="48">
        <v>305.0</v>
      </c>
      <c r="E225" s="48">
        <v>125.0</v>
      </c>
      <c r="F225" s="48">
        <v>178.0</v>
      </c>
      <c r="G225" s="49">
        <f t="shared" si="1"/>
        <v>6.78625</v>
      </c>
      <c r="H225" s="49">
        <f t="shared" si="2"/>
        <v>381.25</v>
      </c>
      <c r="I225" s="48">
        <v>1.25</v>
      </c>
      <c r="J225" s="48" t="s">
        <v>171</v>
      </c>
      <c r="K225" s="50" t="s">
        <v>171</v>
      </c>
      <c r="L225" s="51">
        <v>56.0</v>
      </c>
      <c r="M225" s="50" t="s">
        <v>166</v>
      </c>
      <c r="N225" s="51" t="s">
        <v>174</v>
      </c>
      <c r="O225" s="48">
        <v>302.0</v>
      </c>
      <c r="P225" s="48">
        <v>150.0</v>
      </c>
      <c r="Q225" s="48">
        <v>46.0</v>
      </c>
      <c r="R225" s="48">
        <v>2.0</v>
      </c>
      <c r="S225" s="50" t="s">
        <v>166</v>
      </c>
      <c r="T225" s="52" t="s">
        <v>167</v>
      </c>
      <c r="U225" s="52" t="s">
        <v>346</v>
      </c>
      <c r="V225" s="51">
        <v>2.0</v>
      </c>
      <c r="W225" s="48" t="s">
        <v>194</v>
      </c>
      <c r="X225" s="50" t="s">
        <v>166</v>
      </c>
      <c r="Y225" s="51" t="s">
        <v>166</v>
      </c>
      <c r="Z225" s="48" t="s">
        <v>166</v>
      </c>
      <c r="AA225" s="48" t="s">
        <v>166</v>
      </c>
      <c r="AB225" s="48" t="s">
        <v>166</v>
      </c>
      <c r="AC225" s="48" t="s">
        <v>166</v>
      </c>
      <c r="AD225" s="48" t="s">
        <v>166</v>
      </c>
      <c r="AE225" s="54" t="s">
        <v>166</v>
      </c>
      <c r="AF225" s="55" t="s">
        <v>166</v>
      </c>
      <c r="AG225" s="51" t="s">
        <v>166</v>
      </c>
      <c r="AH225" s="48" t="s">
        <v>166</v>
      </c>
      <c r="AI225" s="48" t="s">
        <v>166</v>
      </c>
      <c r="AJ225" s="50" t="s">
        <v>166</v>
      </c>
      <c r="AK225" s="56">
        <v>128.0</v>
      </c>
      <c r="AL225" s="57">
        <f>AK225*Sheets!$E$3</f>
        <v>17.644224</v>
      </c>
      <c r="AM225" s="68"/>
      <c r="AN225" s="59"/>
      <c r="AO225" s="60" t="s">
        <v>181</v>
      </c>
      <c r="AP225" s="65">
        <v>44556.566170335645</v>
      </c>
      <c r="AQ225" s="66"/>
    </row>
    <row r="226">
      <c r="A226" s="69" t="s">
        <v>212</v>
      </c>
      <c r="B226" s="46" t="s">
        <v>517</v>
      </c>
      <c r="C226" s="63" t="s">
        <v>225</v>
      </c>
      <c r="D226" s="48">
        <v>318.0</v>
      </c>
      <c r="E226" s="48">
        <v>70.0</v>
      </c>
      <c r="F226" s="48">
        <v>305.0</v>
      </c>
      <c r="G226" s="49">
        <f t="shared" si="1"/>
        <v>6.7893</v>
      </c>
      <c r="H226" s="49">
        <f t="shared" si="2"/>
        <v>222.6</v>
      </c>
      <c r="I226" s="48" t="s">
        <v>170</v>
      </c>
      <c r="J226" s="48" t="s">
        <v>164</v>
      </c>
      <c r="K226" s="50" t="s">
        <v>164</v>
      </c>
      <c r="L226" s="51">
        <v>48.0</v>
      </c>
      <c r="M226" s="50" t="s">
        <v>166</v>
      </c>
      <c r="N226" s="51" t="s">
        <v>174</v>
      </c>
      <c r="O226" s="48">
        <v>313.0</v>
      </c>
      <c r="P226" s="48">
        <v>138.0</v>
      </c>
      <c r="Q226" s="48">
        <v>61.0</v>
      </c>
      <c r="R226" s="48">
        <v>3.0</v>
      </c>
      <c r="S226" s="50" t="s">
        <v>166</v>
      </c>
      <c r="T226" s="52" t="s">
        <v>167</v>
      </c>
      <c r="U226" s="52" t="s">
        <v>324</v>
      </c>
      <c r="V226" s="51" t="s">
        <v>166</v>
      </c>
      <c r="W226" s="48" t="s">
        <v>166</v>
      </c>
      <c r="X226" s="50" t="s">
        <v>166</v>
      </c>
      <c r="Y226" s="51" t="s">
        <v>166</v>
      </c>
      <c r="Z226" s="48">
        <v>2.0</v>
      </c>
      <c r="AA226" s="48" t="s">
        <v>166</v>
      </c>
      <c r="AB226" s="48" t="s">
        <v>166</v>
      </c>
      <c r="AC226" s="48" t="s">
        <v>166</v>
      </c>
      <c r="AD226" s="48" t="s">
        <v>166</v>
      </c>
      <c r="AE226" s="54" t="s">
        <v>166</v>
      </c>
      <c r="AF226" s="55" t="s">
        <v>166</v>
      </c>
      <c r="AG226" s="51" t="s">
        <v>166</v>
      </c>
      <c r="AH226" s="48" t="s">
        <v>166</v>
      </c>
      <c r="AI226" s="48" t="s">
        <v>166</v>
      </c>
      <c r="AJ226" s="50" t="s">
        <v>166</v>
      </c>
      <c r="AK226" s="56">
        <v>1199.0</v>
      </c>
      <c r="AL226" s="57">
        <f>AK226*Sheets!$E$3</f>
        <v>165.2767545</v>
      </c>
      <c r="AM226" s="68"/>
      <c r="AN226" s="59"/>
      <c r="AO226" s="71" t="s">
        <v>181</v>
      </c>
      <c r="AP226" s="65"/>
      <c r="AQ226" s="66"/>
    </row>
    <row r="227">
      <c r="A227" s="91" t="s">
        <v>518</v>
      </c>
      <c r="B227" s="67" t="s">
        <v>519</v>
      </c>
      <c r="C227" s="63" t="s">
        <v>262</v>
      </c>
      <c r="D227" s="48">
        <v>190.5</v>
      </c>
      <c r="E227" s="48">
        <v>215.9</v>
      </c>
      <c r="F227" s="48">
        <v>165.1</v>
      </c>
      <c r="G227" s="49">
        <f t="shared" si="1"/>
        <v>6.790389645</v>
      </c>
      <c r="H227" s="49">
        <f t="shared" si="2"/>
        <v>411.2895</v>
      </c>
      <c r="I227" s="48">
        <v>1.8</v>
      </c>
      <c r="J227" s="48" t="s">
        <v>171</v>
      </c>
      <c r="K227" s="50" t="s">
        <v>171</v>
      </c>
      <c r="L227" s="51">
        <v>60.0</v>
      </c>
      <c r="M227" s="50" t="s">
        <v>166</v>
      </c>
      <c r="N227" s="51" t="s">
        <v>166</v>
      </c>
      <c r="O227" s="48">
        <v>183.0</v>
      </c>
      <c r="P227" s="48">
        <v>130.0</v>
      </c>
      <c r="Q227" s="48">
        <v>40.0</v>
      </c>
      <c r="R227" s="48">
        <v>2.0</v>
      </c>
      <c r="S227" s="50" t="s">
        <v>166</v>
      </c>
      <c r="T227" s="52" t="s">
        <v>167</v>
      </c>
      <c r="U227" s="52" t="s">
        <v>324</v>
      </c>
      <c r="V227" s="51" t="s">
        <v>166</v>
      </c>
      <c r="W227" s="48" t="s">
        <v>166</v>
      </c>
      <c r="X227" s="50" t="s">
        <v>166</v>
      </c>
      <c r="Y227" s="51" t="s">
        <v>166</v>
      </c>
      <c r="Z227" s="48" t="s">
        <v>166</v>
      </c>
      <c r="AA227" s="48" t="s">
        <v>166</v>
      </c>
      <c r="AB227" s="48" t="s">
        <v>166</v>
      </c>
      <c r="AC227" s="48" t="s">
        <v>166</v>
      </c>
      <c r="AD227" s="48" t="s">
        <v>166</v>
      </c>
      <c r="AE227" s="54" t="s">
        <v>166</v>
      </c>
      <c r="AF227" s="55" t="s">
        <v>166</v>
      </c>
      <c r="AG227" s="51" t="s">
        <v>166</v>
      </c>
      <c r="AH227" s="48" t="s">
        <v>166</v>
      </c>
      <c r="AI227" s="48" t="s">
        <v>166</v>
      </c>
      <c r="AJ227" s="50" t="s">
        <v>166</v>
      </c>
      <c r="AK227" s="56" t="s">
        <v>166</v>
      </c>
      <c r="AL227" s="57">
        <v>99.98</v>
      </c>
      <c r="AM227" s="58"/>
      <c r="AN227" s="59"/>
      <c r="AO227" s="71" t="s">
        <v>181</v>
      </c>
      <c r="AP227" s="60"/>
      <c r="AQ227" s="66"/>
    </row>
    <row r="228">
      <c r="A228" s="69" t="s">
        <v>222</v>
      </c>
      <c r="B228" s="73" t="s">
        <v>520</v>
      </c>
      <c r="C228" s="63" t="s">
        <v>248</v>
      </c>
      <c r="D228" s="48">
        <v>230.0</v>
      </c>
      <c r="E228" s="48">
        <v>142.0</v>
      </c>
      <c r="F228" s="48">
        <v>208.0</v>
      </c>
      <c r="G228" s="49">
        <f t="shared" si="1"/>
        <v>6.79328</v>
      </c>
      <c r="H228" s="49">
        <f t="shared" si="2"/>
        <v>326.6</v>
      </c>
      <c r="I228" s="48">
        <v>1.22</v>
      </c>
      <c r="J228" s="48" t="s">
        <v>171</v>
      </c>
      <c r="K228" s="50" t="s">
        <v>171</v>
      </c>
      <c r="L228" s="51">
        <v>72.0</v>
      </c>
      <c r="M228" s="50" t="s">
        <v>166</v>
      </c>
      <c r="N228" s="51" t="s">
        <v>174</v>
      </c>
      <c r="O228" s="48">
        <v>228.0</v>
      </c>
      <c r="P228" s="48">
        <v>150.0</v>
      </c>
      <c r="Q228" s="48">
        <v>46.0</v>
      </c>
      <c r="R228" s="48">
        <v>2.0</v>
      </c>
      <c r="S228" s="50" t="s">
        <v>166</v>
      </c>
      <c r="T228" s="52" t="s">
        <v>227</v>
      </c>
      <c r="U228" s="52" t="s">
        <v>186</v>
      </c>
      <c r="V228" s="51">
        <v>2.0</v>
      </c>
      <c r="W228" s="48" t="s">
        <v>194</v>
      </c>
      <c r="X228" s="50" t="s">
        <v>166</v>
      </c>
      <c r="Y228" s="51" t="s">
        <v>166</v>
      </c>
      <c r="Z228" s="48" t="s">
        <v>166</v>
      </c>
      <c r="AA228" s="48" t="s">
        <v>166</v>
      </c>
      <c r="AB228" s="48" t="s">
        <v>166</v>
      </c>
      <c r="AC228" s="48" t="s">
        <v>194</v>
      </c>
      <c r="AD228" s="48" t="s">
        <v>166</v>
      </c>
      <c r="AE228" s="54" t="s">
        <v>166</v>
      </c>
      <c r="AF228" s="55" t="s">
        <v>166</v>
      </c>
      <c r="AG228" s="51" t="s">
        <v>193</v>
      </c>
      <c r="AH228" s="48" t="s">
        <v>193</v>
      </c>
      <c r="AI228" s="48" t="s">
        <v>166</v>
      </c>
      <c r="AJ228" s="50" t="s">
        <v>166</v>
      </c>
      <c r="AK228" s="56">
        <v>112.0</v>
      </c>
      <c r="AL228" s="57">
        <f>AK228*Sheets!$E$3</f>
        <v>15.438696</v>
      </c>
      <c r="AM228" s="68"/>
      <c r="AN228" s="70"/>
      <c r="AO228" s="60" t="s">
        <v>181</v>
      </c>
      <c r="AP228" s="72">
        <v>45128.014354178245</v>
      </c>
      <c r="AQ228" s="66"/>
    </row>
    <row r="229">
      <c r="A229" s="69" t="str">
        <f>HYPERLINK("https://77to.world.taobao.com/","WDEAN DORA")</f>
        <v>WDEAN DORA</v>
      </c>
      <c r="B229" s="73" t="s">
        <v>521</v>
      </c>
      <c r="C229" s="63" t="s">
        <v>248</v>
      </c>
      <c r="D229" s="48">
        <v>182.0</v>
      </c>
      <c r="E229" s="48">
        <v>140.0</v>
      </c>
      <c r="F229" s="48">
        <v>270.0</v>
      </c>
      <c r="G229" s="98">
        <f t="shared" si="1"/>
        <v>6.8796</v>
      </c>
      <c r="H229" s="49">
        <f t="shared" si="2"/>
        <v>254.8</v>
      </c>
      <c r="I229" s="48">
        <v>1.5</v>
      </c>
      <c r="J229" s="48" t="s">
        <v>164</v>
      </c>
      <c r="K229" s="50" t="s">
        <v>165</v>
      </c>
      <c r="L229" s="51">
        <v>65.0</v>
      </c>
      <c r="M229" s="50" t="s">
        <v>501</v>
      </c>
      <c r="N229" s="51" t="s">
        <v>174</v>
      </c>
      <c r="O229" s="48">
        <v>178.0</v>
      </c>
      <c r="P229" s="48">
        <v>150.0</v>
      </c>
      <c r="Q229" s="48">
        <v>46.0</v>
      </c>
      <c r="R229" s="48">
        <v>2.0</v>
      </c>
      <c r="S229" s="50" t="s">
        <v>166</v>
      </c>
      <c r="T229" s="52" t="s">
        <v>167</v>
      </c>
      <c r="U229" s="52" t="s">
        <v>324</v>
      </c>
      <c r="V229" s="51" t="s">
        <v>278</v>
      </c>
      <c r="W229" s="48" t="s">
        <v>194</v>
      </c>
      <c r="X229" s="50" t="s">
        <v>166</v>
      </c>
      <c r="Y229" s="51" t="s">
        <v>166</v>
      </c>
      <c r="Z229" s="48" t="s">
        <v>166</v>
      </c>
      <c r="AA229" s="48" t="s">
        <v>426</v>
      </c>
      <c r="AB229" s="48" t="s">
        <v>166</v>
      </c>
      <c r="AC229" s="48" t="s">
        <v>194</v>
      </c>
      <c r="AD229" s="48" t="s">
        <v>166</v>
      </c>
      <c r="AE229" s="54" t="s">
        <v>166</v>
      </c>
      <c r="AF229" s="55" t="s">
        <v>166</v>
      </c>
      <c r="AG229" s="51" t="s">
        <v>166</v>
      </c>
      <c r="AH229" s="48" t="s">
        <v>166</v>
      </c>
      <c r="AI229" s="48" t="s">
        <v>166</v>
      </c>
      <c r="AJ229" s="50" t="s">
        <v>166</v>
      </c>
      <c r="AK229" s="56">
        <v>778.0</v>
      </c>
      <c r="AL229" s="57">
        <f>AK229*Sheets!$E$3</f>
        <v>107.243799</v>
      </c>
      <c r="AM229" s="68"/>
      <c r="AN229" s="59"/>
      <c r="AO229" s="71" t="s">
        <v>181</v>
      </c>
      <c r="AP229" s="65">
        <v>44681.59455758102</v>
      </c>
      <c r="AQ229" s="66"/>
    </row>
    <row r="230">
      <c r="A230" s="69" t="str">
        <f>HYPERLINK("https://jixieku.world.taobao.com/","机械库")</f>
        <v>机械库</v>
      </c>
      <c r="B230" s="73" t="s">
        <v>522</v>
      </c>
      <c r="C230" s="63" t="s">
        <v>248</v>
      </c>
      <c r="D230" s="48">
        <v>308.0</v>
      </c>
      <c r="E230" s="48">
        <v>123.0</v>
      </c>
      <c r="F230" s="48">
        <v>182.0</v>
      </c>
      <c r="G230" s="49">
        <f t="shared" si="1"/>
        <v>6.894888</v>
      </c>
      <c r="H230" s="49">
        <f t="shared" si="2"/>
        <v>378.84</v>
      </c>
      <c r="I230" s="48">
        <v>0.9</v>
      </c>
      <c r="J230" s="48" t="s">
        <v>164</v>
      </c>
      <c r="K230" s="50" t="s">
        <v>164</v>
      </c>
      <c r="L230" s="51">
        <v>55.0</v>
      </c>
      <c r="M230" s="50" t="s">
        <v>166</v>
      </c>
      <c r="N230" s="51" t="s">
        <v>174</v>
      </c>
      <c r="O230" s="48">
        <v>305.0</v>
      </c>
      <c r="P230" s="48">
        <v>135.0</v>
      </c>
      <c r="Q230" s="48">
        <v>43.0</v>
      </c>
      <c r="R230" s="48">
        <v>2.0</v>
      </c>
      <c r="S230" s="50" t="s">
        <v>166</v>
      </c>
      <c r="T230" s="52" t="s">
        <v>167</v>
      </c>
      <c r="U230" s="52" t="s">
        <v>324</v>
      </c>
      <c r="V230" s="51" t="s">
        <v>170</v>
      </c>
      <c r="W230" s="48" t="s">
        <v>170</v>
      </c>
      <c r="X230" s="50" t="s">
        <v>166</v>
      </c>
      <c r="Y230" s="51" t="s">
        <v>166</v>
      </c>
      <c r="Z230" s="48" t="s">
        <v>166</v>
      </c>
      <c r="AA230" s="48" t="s">
        <v>166</v>
      </c>
      <c r="AB230" s="48" t="s">
        <v>166</v>
      </c>
      <c r="AC230" s="48" t="s">
        <v>166</v>
      </c>
      <c r="AD230" s="48" t="s">
        <v>166</v>
      </c>
      <c r="AE230" s="54" t="s">
        <v>166</v>
      </c>
      <c r="AF230" s="55" t="s">
        <v>166</v>
      </c>
      <c r="AG230" s="51" t="s">
        <v>166</v>
      </c>
      <c r="AH230" s="48" t="s">
        <v>166</v>
      </c>
      <c r="AI230" s="48" t="s">
        <v>166</v>
      </c>
      <c r="AJ230" s="50" t="s">
        <v>166</v>
      </c>
      <c r="AK230" s="56">
        <v>299.0</v>
      </c>
      <c r="AL230" s="57">
        <f>AK230*Sheets!$E$3</f>
        <v>41.2158045</v>
      </c>
      <c r="AM230" s="58"/>
      <c r="AN230" s="70"/>
      <c r="AO230" s="71" t="s">
        <v>181</v>
      </c>
      <c r="AP230" s="65">
        <v>44604.55412400463</v>
      </c>
      <c r="AQ230" s="66"/>
    </row>
    <row r="231">
      <c r="A231" s="61" t="s">
        <v>254</v>
      </c>
      <c r="B231" s="102" t="s">
        <v>523</v>
      </c>
      <c r="C231" s="63" t="s">
        <v>248</v>
      </c>
      <c r="D231" s="48">
        <v>270.0</v>
      </c>
      <c r="E231" s="48">
        <v>122.0</v>
      </c>
      <c r="F231" s="48">
        <v>210.0</v>
      </c>
      <c r="G231" s="49">
        <f t="shared" si="1"/>
        <v>6.9174</v>
      </c>
      <c r="H231" s="49">
        <f t="shared" si="2"/>
        <v>329.4</v>
      </c>
      <c r="I231" s="48" t="s">
        <v>170</v>
      </c>
      <c r="J231" s="48" t="s">
        <v>164</v>
      </c>
      <c r="K231" s="50" t="s">
        <v>524</v>
      </c>
      <c r="L231" s="51">
        <v>50.0</v>
      </c>
      <c r="M231" s="50" t="s">
        <v>166</v>
      </c>
      <c r="N231" s="51" t="s">
        <v>174</v>
      </c>
      <c r="O231" s="48">
        <v>260.0</v>
      </c>
      <c r="P231" s="48" t="s">
        <v>170</v>
      </c>
      <c r="Q231" s="48">
        <v>45.0</v>
      </c>
      <c r="R231" s="48">
        <v>2.0</v>
      </c>
      <c r="S231" s="50" t="s">
        <v>166</v>
      </c>
      <c r="T231" s="52" t="s">
        <v>167</v>
      </c>
      <c r="U231" s="52" t="s">
        <v>186</v>
      </c>
      <c r="V231" s="51">
        <v>1.0</v>
      </c>
      <c r="W231" s="48" t="s">
        <v>166</v>
      </c>
      <c r="X231" s="50" t="s">
        <v>166</v>
      </c>
      <c r="Y231" s="51" t="s">
        <v>166</v>
      </c>
      <c r="Z231" s="48" t="s">
        <v>166</v>
      </c>
      <c r="AA231" s="48" t="s">
        <v>166</v>
      </c>
      <c r="AB231" s="48">
        <v>4.0</v>
      </c>
      <c r="AC231" s="48" t="s">
        <v>166</v>
      </c>
      <c r="AD231" s="48" t="s">
        <v>166</v>
      </c>
      <c r="AE231" s="54" t="s">
        <v>166</v>
      </c>
      <c r="AF231" s="55" t="s">
        <v>166</v>
      </c>
      <c r="AG231" s="51" t="s">
        <v>166</v>
      </c>
      <c r="AH231" s="48" t="s">
        <v>166</v>
      </c>
      <c r="AI231" s="48" t="s">
        <v>166</v>
      </c>
      <c r="AJ231" s="50" t="s">
        <v>166</v>
      </c>
      <c r="AK231" s="56" t="s">
        <v>166</v>
      </c>
      <c r="AL231" s="57" t="s">
        <v>170</v>
      </c>
      <c r="AM231" s="58"/>
      <c r="AN231" s="59"/>
      <c r="AO231" s="60" t="s">
        <v>525</v>
      </c>
      <c r="AP231" s="65">
        <v>44717.940238344905</v>
      </c>
      <c r="AQ231" s="66"/>
    </row>
    <row r="232">
      <c r="A232" s="46" t="str">
        <f>HYPERLINK("https://shop181257670.world.taobao.com/","伊噜咔装机")</f>
        <v>伊噜咔装机</v>
      </c>
      <c r="B232" s="73" t="s">
        <v>526</v>
      </c>
      <c r="C232" s="63" t="s">
        <v>248</v>
      </c>
      <c r="D232" s="48">
        <v>183.0</v>
      </c>
      <c r="E232" s="48">
        <v>137.0</v>
      </c>
      <c r="F232" s="48">
        <v>276.0</v>
      </c>
      <c r="G232" s="49">
        <f t="shared" si="1"/>
        <v>6.919596</v>
      </c>
      <c r="H232" s="49">
        <f t="shared" si="2"/>
        <v>250.71</v>
      </c>
      <c r="I232" s="48" t="s">
        <v>170</v>
      </c>
      <c r="J232" s="48" t="s">
        <v>164</v>
      </c>
      <c r="K232" s="50" t="s">
        <v>213</v>
      </c>
      <c r="L232" s="51">
        <v>63.0</v>
      </c>
      <c r="M232" s="50" t="s">
        <v>166</v>
      </c>
      <c r="N232" s="51" t="s">
        <v>174</v>
      </c>
      <c r="O232" s="48">
        <v>176.0</v>
      </c>
      <c r="P232" s="48" t="s">
        <v>170</v>
      </c>
      <c r="Q232" s="48">
        <v>40.0</v>
      </c>
      <c r="R232" s="48">
        <v>2.0</v>
      </c>
      <c r="S232" s="50" t="s">
        <v>166</v>
      </c>
      <c r="T232" s="52" t="s">
        <v>167</v>
      </c>
      <c r="U232" s="52" t="s">
        <v>324</v>
      </c>
      <c r="V232" s="51">
        <v>2.0</v>
      </c>
      <c r="W232" s="48" t="s">
        <v>166</v>
      </c>
      <c r="X232" s="50" t="s">
        <v>166</v>
      </c>
      <c r="Y232" s="51" t="s">
        <v>166</v>
      </c>
      <c r="Z232" s="48" t="s">
        <v>166</v>
      </c>
      <c r="AA232" s="48" t="s">
        <v>166</v>
      </c>
      <c r="AB232" s="48" t="s">
        <v>166</v>
      </c>
      <c r="AC232" s="48">
        <v>1.0</v>
      </c>
      <c r="AD232" s="48" t="s">
        <v>166</v>
      </c>
      <c r="AE232" s="54" t="s">
        <v>166</v>
      </c>
      <c r="AF232" s="55" t="s">
        <v>166</v>
      </c>
      <c r="AG232" s="51" t="s">
        <v>166</v>
      </c>
      <c r="AH232" s="48" t="s">
        <v>166</v>
      </c>
      <c r="AI232" s="48" t="s">
        <v>166</v>
      </c>
      <c r="AJ232" s="50" t="s">
        <v>166</v>
      </c>
      <c r="AK232" s="56">
        <v>649.0</v>
      </c>
      <c r="AL232" s="57">
        <f>AK232*Sheets!$E$3</f>
        <v>89.4617295</v>
      </c>
      <c r="AM232" s="68"/>
      <c r="AN232" s="70"/>
      <c r="AO232" s="60" t="s">
        <v>181</v>
      </c>
      <c r="AP232" s="71"/>
      <c r="AQ232" s="66"/>
    </row>
    <row r="233">
      <c r="A233" s="69" t="str">
        <f>HYPERLINK("https://sunmilo.world.taobao.com/","Sunmilo Studio")</f>
        <v>Sunmilo Studio</v>
      </c>
      <c r="B233" s="73" t="s">
        <v>527</v>
      </c>
      <c r="C233" s="63" t="s">
        <v>248</v>
      </c>
      <c r="D233" s="48">
        <v>196.0</v>
      </c>
      <c r="E233" s="48">
        <v>130.0</v>
      </c>
      <c r="F233" s="48">
        <v>272.0</v>
      </c>
      <c r="G233" s="49">
        <f t="shared" si="1"/>
        <v>6.93056</v>
      </c>
      <c r="H233" s="49">
        <f t="shared" si="2"/>
        <v>254.8</v>
      </c>
      <c r="I233" s="48" t="s">
        <v>170</v>
      </c>
      <c r="J233" s="48" t="s">
        <v>164</v>
      </c>
      <c r="K233" s="50" t="s">
        <v>164</v>
      </c>
      <c r="L233" s="51">
        <v>56.0</v>
      </c>
      <c r="M233" s="50" t="s">
        <v>166</v>
      </c>
      <c r="N233" s="51" t="s">
        <v>174</v>
      </c>
      <c r="O233" s="48">
        <v>190.0</v>
      </c>
      <c r="P233" s="48" t="s">
        <v>170</v>
      </c>
      <c r="Q233" s="48">
        <v>40.0</v>
      </c>
      <c r="R233" s="48">
        <v>2.0</v>
      </c>
      <c r="S233" s="50" t="s">
        <v>166</v>
      </c>
      <c r="T233" s="52" t="s">
        <v>167</v>
      </c>
      <c r="U233" s="52" t="s">
        <v>346</v>
      </c>
      <c r="V233" s="51">
        <v>3.0</v>
      </c>
      <c r="W233" s="48" t="s">
        <v>166</v>
      </c>
      <c r="X233" s="50" t="s">
        <v>166</v>
      </c>
      <c r="Y233" s="51" t="s">
        <v>166</v>
      </c>
      <c r="Z233" s="48" t="s">
        <v>166</v>
      </c>
      <c r="AA233" s="48" t="s">
        <v>166</v>
      </c>
      <c r="AB233" s="48" t="s">
        <v>166</v>
      </c>
      <c r="AC233" s="48">
        <v>1.0</v>
      </c>
      <c r="AD233" s="48" t="s">
        <v>166</v>
      </c>
      <c r="AE233" s="54" t="s">
        <v>166</v>
      </c>
      <c r="AF233" s="55" t="s">
        <v>166</v>
      </c>
      <c r="AG233" s="51" t="s">
        <v>166</v>
      </c>
      <c r="AH233" s="48" t="s">
        <v>166</v>
      </c>
      <c r="AI233" s="48" t="s">
        <v>166</v>
      </c>
      <c r="AJ233" s="50" t="s">
        <v>166</v>
      </c>
      <c r="AK233" s="56">
        <v>739.0</v>
      </c>
      <c r="AL233" s="57">
        <f>AK233*Sheets!$E$3</f>
        <v>101.8678245</v>
      </c>
      <c r="AM233" s="68"/>
      <c r="AN233" s="59"/>
      <c r="AO233" s="60" t="s">
        <v>181</v>
      </c>
      <c r="AP233" s="65">
        <v>44569.464992395835</v>
      </c>
      <c r="AQ233" s="66"/>
    </row>
    <row r="234">
      <c r="A234" s="46" t="s">
        <v>404</v>
      </c>
      <c r="B234" s="73" t="s">
        <v>528</v>
      </c>
      <c r="C234" s="63" t="s">
        <v>248</v>
      </c>
      <c r="D234" s="48">
        <v>191.0</v>
      </c>
      <c r="E234" s="48">
        <v>138.0</v>
      </c>
      <c r="F234" s="48">
        <v>263.0</v>
      </c>
      <c r="G234" s="49">
        <f t="shared" si="1"/>
        <v>6.932154</v>
      </c>
      <c r="H234" s="49">
        <f t="shared" si="2"/>
        <v>263.58</v>
      </c>
      <c r="I234" s="48">
        <v>2.0</v>
      </c>
      <c r="J234" s="48" t="s">
        <v>235</v>
      </c>
      <c r="K234" s="50" t="s">
        <v>529</v>
      </c>
      <c r="L234" s="51">
        <v>67.0</v>
      </c>
      <c r="M234" s="50" t="s">
        <v>166</v>
      </c>
      <c r="N234" s="51" t="s">
        <v>174</v>
      </c>
      <c r="O234" s="48">
        <v>185.0</v>
      </c>
      <c r="P234" s="48" t="s">
        <v>170</v>
      </c>
      <c r="Q234" s="48">
        <v>44.0</v>
      </c>
      <c r="R234" s="48">
        <v>2.0</v>
      </c>
      <c r="S234" s="50" t="s">
        <v>166</v>
      </c>
      <c r="T234" s="52" t="s">
        <v>167</v>
      </c>
      <c r="U234" s="52" t="s">
        <v>346</v>
      </c>
      <c r="V234" s="51">
        <v>5.0</v>
      </c>
      <c r="W234" s="48" t="s">
        <v>194</v>
      </c>
      <c r="X234" s="50" t="s">
        <v>166</v>
      </c>
      <c r="Y234" s="51" t="s">
        <v>166</v>
      </c>
      <c r="Z234" s="48" t="s">
        <v>166</v>
      </c>
      <c r="AA234" s="48" t="s">
        <v>166</v>
      </c>
      <c r="AB234" s="48" t="s">
        <v>166</v>
      </c>
      <c r="AC234" s="48">
        <v>1.0</v>
      </c>
      <c r="AD234" s="48" t="s">
        <v>166</v>
      </c>
      <c r="AE234" s="54" t="s">
        <v>166</v>
      </c>
      <c r="AF234" s="55" t="s">
        <v>166</v>
      </c>
      <c r="AG234" s="51" t="s">
        <v>166</v>
      </c>
      <c r="AH234" s="48" t="s">
        <v>166</v>
      </c>
      <c r="AI234" s="48" t="s">
        <v>166</v>
      </c>
      <c r="AJ234" s="50" t="s">
        <v>166</v>
      </c>
      <c r="AK234" s="56">
        <v>658.0</v>
      </c>
      <c r="AL234" s="57">
        <f>AK234*Sheets!$E$3</f>
        <v>90.702339</v>
      </c>
      <c r="AM234" s="58"/>
      <c r="AN234" s="59"/>
      <c r="AO234" s="60" t="s">
        <v>181</v>
      </c>
      <c r="AP234" s="65">
        <v>44723.77912466435</v>
      </c>
      <c r="AQ234" s="66"/>
    </row>
    <row r="235">
      <c r="A235" s="46" t="s">
        <v>404</v>
      </c>
      <c r="B235" s="46" t="s">
        <v>530</v>
      </c>
      <c r="C235" s="63" t="s">
        <v>248</v>
      </c>
      <c r="D235" s="48">
        <v>191.0</v>
      </c>
      <c r="E235" s="48">
        <v>138.0</v>
      </c>
      <c r="F235" s="48">
        <v>263.0</v>
      </c>
      <c r="G235" s="49">
        <f t="shared" si="1"/>
        <v>6.932154</v>
      </c>
      <c r="H235" s="49">
        <f t="shared" si="2"/>
        <v>263.58</v>
      </c>
      <c r="I235" s="48">
        <v>2.0</v>
      </c>
      <c r="J235" s="48" t="s">
        <v>235</v>
      </c>
      <c r="K235" s="50" t="s">
        <v>529</v>
      </c>
      <c r="L235" s="51">
        <v>67.0</v>
      </c>
      <c r="M235" s="50" t="s">
        <v>166</v>
      </c>
      <c r="N235" s="51" t="s">
        <v>174</v>
      </c>
      <c r="O235" s="48">
        <v>185.0</v>
      </c>
      <c r="P235" s="48" t="s">
        <v>170</v>
      </c>
      <c r="Q235" s="48">
        <v>44.0</v>
      </c>
      <c r="R235" s="48">
        <v>2.0</v>
      </c>
      <c r="S235" s="50" t="s">
        <v>166</v>
      </c>
      <c r="T235" s="52" t="s">
        <v>167</v>
      </c>
      <c r="U235" s="52" t="s">
        <v>346</v>
      </c>
      <c r="V235" s="51">
        <v>5.0</v>
      </c>
      <c r="W235" s="48" t="s">
        <v>194</v>
      </c>
      <c r="X235" s="50" t="s">
        <v>166</v>
      </c>
      <c r="Y235" s="51" t="s">
        <v>166</v>
      </c>
      <c r="Z235" s="48" t="s">
        <v>166</v>
      </c>
      <c r="AA235" s="48" t="s">
        <v>166</v>
      </c>
      <c r="AB235" s="48" t="s">
        <v>166</v>
      </c>
      <c r="AC235" s="48">
        <v>1.0</v>
      </c>
      <c r="AD235" s="48" t="s">
        <v>166</v>
      </c>
      <c r="AE235" s="54" t="s">
        <v>166</v>
      </c>
      <c r="AF235" s="55" t="s">
        <v>166</v>
      </c>
      <c r="AG235" s="51" t="s">
        <v>166</v>
      </c>
      <c r="AH235" s="48" t="s">
        <v>166</v>
      </c>
      <c r="AI235" s="48" t="s">
        <v>166</v>
      </c>
      <c r="AJ235" s="50" t="s">
        <v>166</v>
      </c>
      <c r="AK235" s="56">
        <v>658.0</v>
      </c>
      <c r="AL235" s="57">
        <f>AK235*Sheets!$E$3</f>
        <v>90.702339</v>
      </c>
      <c r="AM235" s="58"/>
      <c r="AN235" s="59"/>
      <c r="AO235" s="60"/>
      <c r="AP235" s="65">
        <v>44723.77935306713</v>
      </c>
      <c r="AQ235" s="66"/>
    </row>
    <row r="236">
      <c r="A236" s="46" t="s">
        <v>506</v>
      </c>
      <c r="B236" s="73" t="s">
        <v>531</v>
      </c>
      <c r="C236" s="63" t="s">
        <v>248</v>
      </c>
      <c r="D236" s="48">
        <v>265.0</v>
      </c>
      <c r="E236" s="48">
        <v>125.0</v>
      </c>
      <c r="F236" s="48">
        <v>210.0</v>
      </c>
      <c r="G236" s="49">
        <f t="shared" si="1"/>
        <v>6.95625</v>
      </c>
      <c r="H236" s="49">
        <f t="shared" si="2"/>
        <v>331.25</v>
      </c>
      <c r="I236" s="48" t="s">
        <v>170</v>
      </c>
      <c r="J236" s="48" t="s">
        <v>245</v>
      </c>
      <c r="K236" s="50" t="s">
        <v>255</v>
      </c>
      <c r="L236" s="51">
        <v>50.0</v>
      </c>
      <c r="M236" s="50" t="s">
        <v>166</v>
      </c>
      <c r="N236" s="51" t="s">
        <v>174</v>
      </c>
      <c r="O236" s="48">
        <v>235.0</v>
      </c>
      <c r="P236" s="48">
        <v>150.0</v>
      </c>
      <c r="Q236" s="48">
        <v>45.0</v>
      </c>
      <c r="R236" s="48">
        <v>2.0</v>
      </c>
      <c r="S236" s="50" t="s">
        <v>166</v>
      </c>
      <c r="T236" s="52" t="s">
        <v>167</v>
      </c>
      <c r="U236" s="52" t="s">
        <v>186</v>
      </c>
      <c r="V236" s="51">
        <v>1.0</v>
      </c>
      <c r="W236" s="48" t="s">
        <v>166</v>
      </c>
      <c r="X236" s="50" t="s">
        <v>166</v>
      </c>
      <c r="Y236" s="51" t="s">
        <v>166</v>
      </c>
      <c r="Z236" s="48" t="s">
        <v>166</v>
      </c>
      <c r="AA236" s="48">
        <v>2.0</v>
      </c>
      <c r="AB236" s="48" t="s">
        <v>166</v>
      </c>
      <c r="AC236" s="48" t="s">
        <v>166</v>
      </c>
      <c r="AD236" s="48" t="s">
        <v>166</v>
      </c>
      <c r="AE236" s="54" t="s">
        <v>166</v>
      </c>
      <c r="AF236" s="55" t="s">
        <v>166</v>
      </c>
      <c r="AG236" s="51" t="s">
        <v>166</v>
      </c>
      <c r="AH236" s="48" t="s">
        <v>166</v>
      </c>
      <c r="AI236" s="48" t="s">
        <v>166</v>
      </c>
      <c r="AJ236" s="50" t="s">
        <v>166</v>
      </c>
      <c r="AK236" s="56">
        <v>248.0</v>
      </c>
      <c r="AL236" s="57">
        <f>AK236*Sheets!$E$3</f>
        <v>34.185684</v>
      </c>
      <c r="AM236" s="68"/>
      <c r="AN236" s="59"/>
      <c r="AO236" s="60" t="s">
        <v>181</v>
      </c>
      <c r="AP236" s="60"/>
      <c r="AQ236" s="66"/>
    </row>
    <row r="237">
      <c r="A237" s="82" t="str">
        <f>HYPERLINK("http://zaber.com.pl/","Zaber")</f>
        <v>Zaber</v>
      </c>
      <c r="B237" s="83" t="str">
        <f>HYPERLINK("http://zaber.com.pl/sentry/","Sentry 2.0")</f>
        <v>Sentry 2.0</v>
      </c>
      <c r="C237" s="63" t="s">
        <v>225</v>
      </c>
      <c r="D237" s="48">
        <v>310.0</v>
      </c>
      <c r="E237" s="48">
        <v>66.0</v>
      </c>
      <c r="F237" s="48">
        <v>340.0</v>
      </c>
      <c r="G237" s="49">
        <f t="shared" si="1"/>
        <v>6.9564</v>
      </c>
      <c r="H237" s="49">
        <f t="shared" si="2"/>
        <v>204.6</v>
      </c>
      <c r="I237" s="48" t="s">
        <v>170</v>
      </c>
      <c r="J237" s="48" t="s">
        <v>164</v>
      </c>
      <c r="K237" s="50" t="s">
        <v>229</v>
      </c>
      <c r="L237" s="51">
        <v>47.0</v>
      </c>
      <c r="M237" s="50">
        <v>120.0</v>
      </c>
      <c r="N237" s="51" t="s">
        <v>174</v>
      </c>
      <c r="O237" s="48">
        <v>305.0</v>
      </c>
      <c r="P237" s="48">
        <v>120.0</v>
      </c>
      <c r="Q237" s="48">
        <v>50.0</v>
      </c>
      <c r="R237" s="48">
        <v>2.0</v>
      </c>
      <c r="S237" s="50" t="s">
        <v>166</v>
      </c>
      <c r="T237" s="52" t="s">
        <v>167</v>
      </c>
      <c r="U237" s="52" t="s">
        <v>324</v>
      </c>
      <c r="V237" s="51">
        <v>2.0</v>
      </c>
      <c r="W237" s="48" t="s">
        <v>193</v>
      </c>
      <c r="X237" s="50" t="s">
        <v>166</v>
      </c>
      <c r="Y237" s="51" t="s">
        <v>166</v>
      </c>
      <c r="Z237" s="48" t="s">
        <v>166</v>
      </c>
      <c r="AA237" s="48" t="s">
        <v>166</v>
      </c>
      <c r="AB237" s="48" t="s">
        <v>166</v>
      </c>
      <c r="AC237" s="48" t="s">
        <v>166</v>
      </c>
      <c r="AD237" s="48" t="s">
        <v>166</v>
      </c>
      <c r="AE237" s="54" t="s">
        <v>166</v>
      </c>
      <c r="AF237" s="55" t="s">
        <v>166</v>
      </c>
      <c r="AG237" s="51" t="s">
        <v>166</v>
      </c>
      <c r="AH237" s="48">
        <v>2.0</v>
      </c>
      <c r="AI237" s="48" t="s">
        <v>166</v>
      </c>
      <c r="AJ237" s="50" t="s">
        <v>166</v>
      </c>
      <c r="AK237" s="56" t="s">
        <v>166</v>
      </c>
      <c r="AL237" s="57">
        <v>259.99</v>
      </c>
      <c r="AM237" s="64" t="str">
        <f>HYPERLINK("https://smallformfactor.net/forum/threads/sentry-2-0-evolution-of-console-sized-gaming-pc-case.7106/","Link")</f>
        <v>Link</v>
      </c>
      <c r="AN237" s="59"/>
      <c r="AO237" s="60" t="s">
        <v>181</v>
      </c>
      <c r="AP237" s="65">
        <v>44563.98866148148</v>
      </c>
      <c r="AQ237" s="66"/>
    </row>
    <row r="238">
      <c r="A238" s="46" t="str">
        <f>HYPERLINK("https://shop181257670.world.taobao.com/","伊噜咔装机")</f>
        <v>伊噜咔装机</v>
      </c>
      <c r="B238" s="73" t="s">
        <v>532</v>
      </c>
      <c r="C238" s="63" t="s">
        <v>262</v>
      </c>
      <c r="D238" s="48">
        <v>244.0</v>
      </c>
      <c r="E238" s="48">
        <v>216.0</v>
      </c>
      <c r="F238" s="48">
        <v>132.0</v>
      </c>
      <c r="G238" s="49">
        <f t="shared" si="1"/>
        <v>6.956928</v>
      </c>
      <c r="H238" s="49">
        <f t="shared" si="2"/>
        <v>527.04</v>
      </c>
      <c r="I238" s="48" t="s">
        <v>170</v>
      </c>
      <c r="J238" s="48" t="s">
        <v>296</v>
      </c>
      <c r="K238" s="50" t="s">
        <v>533</v>
      </c>
      <c r="L238" s="51">
        <v>110.0</v>
      </c>
      <c r="M238" s="50" t="s">
        <v>166</v>
      </c>
      <c r="N238" s="51" t="s">
        <v>166</v>
      </c>
      <c r="O238" s="48">
        <v>230.0</v>
      </c>
      <c r="P238" s="48">
        <v>112.0</v>
      </c>
      <c r="Q238" s="48">
        <v>40.0</v>
      </c>
      <c r="R238" s="48">
        <v>2.0</v>
      </c>
      <c r="S238" s="50" t="s">
        <v>166</v>
      </c>
      <c r="T238" s="52" t="s">
        <v>167</v>
      </c>
      <c r="U238" s="52" t="s">
        <v>324</v>
      </c>
      <c r="V238" s="51">
        <v>3.0</v>
      </c>
      <c r="W238" s="48" t="s">
        <v>166</v>
      </c>
      <c r="X238" s="50" t="s">
        <v>166</v>
      </c>
      <c r="Y238" s="51" t="s">
        <v>166</v>
      </c>
      <c r="Z238" s="48">
        <v>2.0</v>
      </c>
      <c r="AA238" s="48" t="s">
        <v>166</v>
      </c>
      <c r="AB238" s="48" t="s">
        <v>166</v>
      </c>
      <c r="AC238" s="48" t="s">
        <v>166</v>
      </c>
      <c r="AD238" s="48" t="s">
        <v>166</v>
      </c>
      <c r="AE238" s="54" t="s">
        <v>166</v>
      </c>
      <c r="AF238" s="55" t="s">
        <v>166</v>
      </c>
      <c r="AG238" s="51" t="s">
        <v>166</v>
      </c>
      <c r="AH238" s="48" t="s">
        <v>166</v>
      </c>
      <c r="AI238" s="48" t="s">
        <v>166</v>
      </c>
      <c r="AJ238" s="50" t="s">
        <v>166</v>
      </c>
      <c r="AK238" s="56">
        <v>1099.0</v>
      </c>
      <c r="AL238" s="57">
        <f>AK238*Sheets!$E$3</f>
        <v>151.4922045</v>
      </c>
      <c r="AM238" s="68"/>
      <c r="AN238" s="70"/>
      <c r="AO238" s="60" t="s">
        <v>181</v>
      </c>
      <c r="AP238" s="71"/>
      <c r="AQ238" s="66"/>
    </row>
    <row r="239">
      <c r="A239" s="82" t="s">
        <v>379</v>
      </c>
      <c r="B239" s="83" t="s">
        <v>534</v>
      </c>
      <c r="C239" s="63" t="s">
        <v>248</v>
      </c>
      <c r="D239" s="48">
        <v>235.0</v>
      </c>
      <c r="E239" s="48">
        <v>141.0</v>
      </c>
      <c r="F239" s="48">
        <v>210.0</v>
      </c>
      <c r="G239" s="49">
        <f t="shared" si="1"/>
        <v>6.95835</v>
      </c>
      <c r="H239" s="49">
        <f t="shared" si="2"/>
        <v>331.35</v>
      </c>
      <c r="I239" s="48">
        <v>2.5</v>
      </c>
      <c r="J239" s="48" t="s">
        <v>267</v>
      </c>
      <c r="K239" s="50" t="s">
        <v>164</v>
      </c>
      <c r="L239" s="51">
        <v>72.0</v>
      </c>
      <c r="M239" s="50" t="s">
        <v>166</v>
      </c>
      <c r="N239" s="51" t="s">
        <v>174</v>
      </c>
      <c r="O239" s="48">
        <v>215.0</v>
      </c>
      <c r="P239" s="48">
        <v>125.0</v>
      </c>
      <c r="Q239" s="48">
        <v>43.0</v>
      </c>
      <c r="R239" s="48">
        <v>2.0</v>
      </c>
      <c r="S239" s="50" t="s">
        <v>166</v>
      </c>
      <c r="T239" s="52" t="s">
        <v>167</v>
      </c>
      <c r="U239" s="52" t="s">
        <v>186</v>
      </c>
      <c r="V239" s="51">
        <v>1.0</v>
      </c>
      <c r="W239" s="48" t="s">
        <v>166</v>
      </c>
      <c r="X239" s="50" t="s">
        <v>166</v>
      </c>
      <c r="Y239" s="51" t="s">
        <v>166</v>
      </c>
      <c r="Z239" s="48" t="s">
        <v>166</v>
      </c>
      <c r="AA239" s="48" t="s">
        <v>166</v>
      </c>
      <c r="AB239" s="48" t="s">
        <v>166</v>
      </c>
      <c r="AC239" s="48">
        <v>1.0</v>
      </c>
      <c r="AD239" s="48" t="s">
        <v>166</v>
      </c>
      <c r="AE239" s="54" t="s">
        <v>166</v>
      </c>
      <c r="AF239" s="55" t="s">
        <v>166</v>
      </c>
      <c r="AG239" s="51" t="s">
        <v>166</v>
      </c>
      <c r="AH239" s="48" t="s">
        <v>166</v>
      </c>
      <c r="AI239" s="48">
        <v>1.0</v>
      </c>
      <c r="AJ239" s="50" t="s">
        <v>166</v>
      </c>
      <c r="AK239" s="56">
        <v>1199.0</v>
      </c>
      <c r="AL239" s="57">
        <v>219.0</v>
      </c>
      <c r="AM239" s="64" t="s">
        <v>214</v>
      </c>
      <c r="AN239" s="70"/>
      <c r="AO239" s="71"/>
      <c r="AP239" s="72">
        <v>45030.439730972226</v>
      </c>
      <c r="AQ239" s="66"/>
    </row>
    <row r="240">
      <c r="A240" s="69" t="str">
        <f>HYPERLINK("https://sgpc.world.taobao.com/","SGPC")</f>
        <v>SGPC</v>
      </c>
      <c r="B240" s="46" t="s">
        <v>535</v>
      </c>
      <c r="C240" s="63" t="s">
        <v>248</v>
      </c>
      <c r="D240" s="48">
        <v>306.0</v>
      </c>
      <c r="E240" s="48">
        <v>130.0</v>
      </c>
      <c r="F240" s="48">
        <v>175.0</v>
      </c>
      <c r="G240" s="49">
        <f t="shared" si="1"/>
        <v>6.9615</v>
      </c>
      <c r="H240" s="49">
        <f t="shared" si="2"/>
        <v>397.8</v>
      </c>
      <c r="I240" s="48">
        <v>3.0</v>
      </c>
      <c r="J240" s="48" t="s">
        <v>245</v>
      </c>
      <c r="K240" s="50" t="s">
        <v>316</v>
      </c>
      <c r="L240" s="51">
        <v>60.0</v>
      </c>
      <c r="M240" s="50" t="s">
        <v>166</v>
      </c>
      <c r="N240" s="51" t="s">
        <v>174</v>
      </c>
      <c r="O240" s="48">
        <v>300.0</v>
      </c>
      <c r="P240" s="48" t="s">
        <v>170</v>
      </c>
      <c r="Q240" s="48">
        <v>43.0</v>
      </c>
      <c r="R240" s="48">
        <v>2.0</v>
      </c>
      <c r="S240" s="50" t="s">
        <v>166</v>
      </c>
      <c r="T240" s="52" t="s">
        <v>167</v>
      </c>
      <c r="U240" s="52" t="s">
        <v>324</v>
      </c>
      <c r="V240" s="51">
        <v>1.0</v>
      </c>
      <c r="W240" s="48" t="s">
        <v>166</v>
      </c>
      <c r="X240" s="50" t="s">
        <v>166</v>
      </c>
      <c r="Y240" s="51" t="s">
        <v>166</v>
      </c>
      <c r="Z240" s="48" t="s">
        <v>166</v>
      </c>
      <c r="AA240" s="48" t="s">
        <v>166</v>
      </c>
      <c r="AB240" s="48" t="s">
        <v>166</v>
      </c>
      <c r="AC240" s="48" t="s">
        <v>166</v>
      </c>
      <c r="AD240" s="48" t="s">
        <v>166</v>
      </c>
      <c r="AE240" s="54" t="s">
        <v>166</v>
      </c>
      <c r="AF240" s="55" t="s">
        <v>166</v>
      </c>
      <c r="AG240" s="51" t="s">
        <v>166</v>
      </c>
      <c r="AH240" s="48">
        <v>1.0</v>
      </c>
      <c r="AI240" s="48">
        <v>1.0</v>
      </c>
      <c r="AJ240" s="50" t="s">
        <v>166</v>
      </c>
      <c r="AK240" s="56">
        <v>159.0</v>
      </c>
      <c r="AL240" s="57">
        <f>AK240*Sheets!$E$3</f>
        <v>21.9174345</v>
      </c>
      <c r="AM240" s="68"/>
      <c r="AN240" s="59"/>
      <c r="AO240" s="71" t="s">
        <v>181</v>
      </c>
      <c r="AP240" s="65">
        <v>44681.594756018516</v>
      </c>
      <c r="AQ240" s="66"/>
    </row>
    <row r="241">
      <c r="A241" s="69" t="s">
        <v>472</v>
      </c>
      <c r="B241" s="69">
        <v>9001.0</v>
      </c>
      <c r="C241" s="63" t="s">
        <v>225</v>
      </c>
      <c r="D241" s="48">
        <v>330.0</v>
      </c>
      <c r="E241" s="48">
        <v>220.0</v>
      </c>
      <c r="F241" s="48">
        <v>96.0</v>
      </c>
      <c r="G241" s="49">
        <f t="shared" si="1"/>
        <v>6.9696</v>
      </c>
      <c r="H241" s="49">
        <f t="shared" si="2"/>
        <v>726</v>
      </c>
      <c r="I241" s="48">
        <v>1.5</v>
      </c>
      <c r="J241" s="48" t="s">
        <v>164</v>
      </c>
      <c r="K241" s="50" t="s">
        <v>473</v>
      </c>
      <c r="L241" s="51">
        <v>60.0</v>
      </c>
      <c r="M241" s="50" t="s">
        <v>166</v>
      </c>
      <c r="N241" s="51" t="s">
        <v>166</v>
      </c>
      <c r="O241" s="48">
        <v>200.0</v>
      </c>
      <c r="P241" s="48">
        <v>70.0</v>
      </c>
      <c r="Q241" s="48">
        <v>40.0</v>
      </c>
      <c r="R241" s="48" t="s">
        <v>166</v>
      </c>
      <c r="S241" s="50">
        <v>2.0</v>
      </c>
      <c r="T241" s="52" t="s">
        <v>536</v>
      </c>
      <c r="U241" s="52" t="s">
        <v>186</v>
      </c>
      <c r="V241" s="51">
        <v>1.0</v>
      </c>
      <c r="W241" s="48">
        <v>1.0</v>
      </c>
      <c r="X241" s="50" t="s">
        <v>166</v>
      </c>
      <c r="Y241" s="51" t="s">
        <v>166</v>
      </c>
      <c r="Z241" s="48" t="s">
        <v>166</v>
      </c>
      <c r="AA241" s="48">
        <v>2.0</v>
      </c>
      <c r="AB241" s="48" t="s">
        <v>166</v>
      </c>
      <c r="AC241" s="48" t="s">
        <v>166</v>
      </c>
      <c r="AD241" s="48" t="s">
        <v>166</v>
      </c>
      <c r="AE241" s="54" t="s">
        <v>166</v>
      </c>
      <c r="AF241" s="55" t="s">
        <v>166</v>
      </c>
      <c r="AG241" s="51">
        <v>2.0</v>
      </c>
      <c r="AH241" s="48">
        <v>1.0</v>
      </c>
      <c r="AI241" s="48" t="s">
        <v>166</v>
      </c>
      <c r="AJ241" s="50" t="s">
        <v>174</v>
      </c>
      <c r="AK241" s="56">
        <v>218.0</v>
      </c>
      <c r="AL241" s="57">
        <f>AK241*Sheets!$E$3</f>
        <v>30.050319</v>
      </c>
      <c r="AM241" s="68"/>
      <c r="AN241" s="70"/>
      <c r="AO241" s="71" t="s">
        <v>181</v>
      </c>
      <c r="AP241" s="72">
        <v>45345.453248125</v>
      </c>
      <c r="AQ241" s="66"/>
    </row>
    <row r="242">
      <c r="A242" s="69" t="str">
        <f>HYPERLINK("https://sgpc.world.taobao.com/","SGPC")</f>
        <v>SGPC</v>
      </c>
      <c r="B242" s="46" t="s">
        <v>537</v>
      </c>
      <c r="C242" s="63" t="s">
        <v>248</v>
      </c>
      <c r="D242" s="48">
        <v>210.0</v>
      </c>
      <c r="E242" s="48">
        <v>135.0</v>
      </c>
      <c r="F242" s="48">
        <v>246.0</v>
      </c>
      <c r="G242" s="49">
        <f t="shared" si="1"/>
        <v>6.9741</v>
      </c>
      <c r="H242" s="49">
        <f t="shared" si="2"/>
        <v>283.5</v>
      </c>
      <c r="I242" s="48">
        <v>0.7</v>
      </c>
      <c r="J242" s="48" t="s">
        <v>245</v>
      </c>
      <c r="K242" s="50" t="s">
        <v>204</v>
      </c>
      <c r="L242" s="51">
        <v>75.0</v>
      </c>
      <c r="M242" s="50" t="s">
        <v>166</v>
      </c>
      <c r="N242" s="51" t="s">
        <v>174</v>
      </c>
      <c r="O242" s="48">
        <v>207.0</v>
      </c>
      <c r="P242" s="48" t="s">
        <v>170</v>
      </c>
      <c r="Q242" s="48">
        <v>45.0</v>
      </c>
      <c r="R242" s="48">
        <v>2.0</v>
      </c>
      <c r="S242" s="50" t="s">
        <v>166</v>
      </c>
      <c r="T242" s="52" t="s">
        <v>167</v>
      </c>
      <c r="U242" s="52" t="s">
        <v>346</v>
      </c>
      <c r="V242" s="51">
        <v>2.0</v>
      </c>
      <c r="W242" s="48" t="s">
        <v>166</v>
      </c>
      <c r="X242" s="50" t="s">
        <v>166</v>
      </c>
      <c r="Y242" s="51" t="s">
        <v>166</v>
      </c>
      <c r="Z242" s="48" t="s">
        <v>166</v>
      </c>
      <c r="AA242" s="48" t="s">
        <v>166</v>
      </c>
      <c r="AB242" s="48" t="s">
        <v>166</v>
      </c>
      <c r="AC242" s="48" t="s">
        <v>166</v>
      </c>
      <c r="AD242" s="48" t="s">
        <v>166</v>
      </c>
      <c r="AE242" s="54" t="s">
        <v>166</v>
      </c>
      <c r="AF242" s="55" t="s">
        <v>166</v>
      </c>
      <c r="AG242" s="51" t="s">
        <v>166</v>
      </c>
      <c r="AH242" s="48">
        <v>1.0</v>
      </c>
      <c r="AI242" s="48" t="s">
        <v>166</v>
      </c>
      <c r="AJ242" s="50" t="s">
        <v>166</v>
      </c>
      <c r="AK242" s="56">
        <v>179.0</v>
      </c>
      <c r="AL242" s="57">
        <f>AK242*Sheets!$E$3</f>
        <v>24.6743445</v>
      </c>
      <c r="AM242" s="68"/>
      <c r="AN242" s="59"/>
      <c r="AO242" s="60" t="s">
        <v>181</v>
      </c>
      <c r="AP242" s="65">
        <v>45153.88953891204</v>
      </c>
      <c r="AQ242" s="66"/>
    </row>
    <row r="243">
      <c r="A243" s="69" t="str">
        <f>HYPERLINK("https://tbox.world.taobao.com/","TBOX")</f>
        <v>TBOX</v>
      </c>
      <c r="B243" s="73" t="s">
        <v>464</v>
      </c>
      <c r="C243" s="63" t="s">
        <v>262</v>
      </c>
      <c r="D243" s="48">
        <v>210.0</v>
      </c>
      <c r="E243" s="48">
        <v>151.0</v>
      </c>
      <c r="F243" s="48">
        <v>220.0</v>
      </c>
      <c r="G243" s="49">
        <f t="shared" si="1"/>
        <v>6.9762</v>
      </c>
      <c r="H243" s="49">
        <f t="shared" si="2"/>
        <v>317.1</v>
      </c>
      <c r="I243" s="48" t="s">
        <v>170</v>
      </c>
      <c r="J243" s="48" t="s">
        <v>164</v>
      </c>
      <c r="K243" s="50" t="s">
        <v>538</v>
      </c>
      <c r="L243" s="51">
        <v>62.0</v>
      </c>
      <c r="M243" s="50" t="s">
        <v>166</v>
      </c>
      <c r="N243" s="51" t="s">
        <v>166</v>
      </c>
      <c r="O243" s="48">
        <v>196.0</v>
      </c>
      <c r="P243" s="48">
        <v>131.0</v>
      </c>
      <c r="Q243" s="48">
        <v>40.0</v>
      </c>
      <c r="R243" s="48">
        <v>2.0</v>
      </c>
      <c r="S243" s="50" t="s">
        <v>166</v>
      </c>
      <c r="T243" s="52" t="s">
        <v>227</v>
      </c>
      <c r="U243" s="52" t="s">
        <v>346</v>
      </c>
      <c r="V243" s="51">
        <v>2.0</v>
      </c>
      <c r="W243" s="48" t="s">
        <v>194</v>
      </c>
      <c r="X243" s="50" t="s">
        <v>166</v>
      </c>
      <c r="Y243" s="51" t="s">
        <v>166</v>
      </c>
      <c r="Z243" s="48" t="s">
        <v>166</v>
      </c>
      <c r="AA243" s="48" t="s">
        <v>166</v>
      </c>
      <c r="AB243" s="48" t="s">
        <v>166</v>
      </c>
      <c r="AC243" s="48">
        <v>1.0</v>
      </c>
      <c r="AD243" s="48" t="s">
        <v>166</v>
      </c>
      <c r="AE243" s="54" t="s">
        <v>166</v>
      </c>
      <c r="AF243" s="55" t="s">
        <v>166</v>
      </c>
      <c r="AG243" s="51" t="s">
        <v>166</v>
      </c>
      <c r="AH243" s="48" t="s">
        <v>166</v>
      </c>
      <c r="AI243" s="48" t="s">
        <v>166</v>
      </c>
      <c r="AJ243" s="50" t="s">
        <v>166</v>
      </c>
      <c r="AK243" s="56">
        <v>279.0</v>
      </c>
      <c r="AL243" s="57">
        <f>AK243*Sheets!$E$3</f>
        <v>38.4588945</v>
      </c>
      <c r="AM243" s="58"/>
      <c r="AN243" s="59"/>
      <c r="AO243" s="60" t="s">
        <v>181</v>
      </c>
      <c r="AP243" s="60"/>
      <c r="AQ243" s="66"/>
    </row>
    <row r="244">
      <c r="A244" s="69" t="str">
        <f>HYPERLINK("https://shop34001191.world.taobao.com/","Mechanic Master")</f>
        <v>Mechanic Master</v>
      </c>
      <c r="B244" s="46" t="s">
        <v>539</v>
      </c>
      <c r="C244" s="63" t="s">
        <v>248</v>
      </c>
      <c r="D244" s="48">
        <v>195.0</v>
      </c>
      <c r="E244" s="48">
        <v>249.0</v>
      </c>
      <c r="F244" s="48">
        <v>144.0</v>
      </c>
      <c r="G244" s="49">
        <f t="shared" si="1"/>
        <v>6.99192</v>
      </c>
      <c r="H244" s="49">
        <f t="shared" si="2"/>
        <v>485.55</v>
      </c>
      <c r="I244" s="48">
        <v>1.35</v>
      </c>
      <c r="J244" s="48" t="s">
        <v>164</v>
      </c>
      <c r="K244" s="50" t="s">
        <v>540</v>
      </c>
      <c r="L244" s="51">
        <v>65.0</v>
      </c>
      <c r="M244" s="50" t="s">
        <v>166</v>
      </c>
      <c r="N244" s="51" t="s">
        <v>174</v>
      </c>
      <c r="O244" s="48">
        <v>180.0</v>
      </c>
      <c r="P244" s="48">
        <v>140.0</v>
      </c>
      <c r="Q244" s="48">
        <v>40.0</v>
      </c>
      <c r="R244" s="48">
        <v>2.0</v>
      </c>
      <c r="S244" s="50" t="s">
        <v>166</v>
      </c>
      <c r="T244" s="52" t="s">
        <v>167</v>
      </c>
      <c r="U244" s="52" t="s">
        <v>346</v>
      </c>
      <c r="V244" s="51">
        <v>2.0</v>
      </c>
      <c r="W244" s="48" t="s">
        <v>166</v>
      </c>
      <c r="X244" s="50" t="s">
        <v>166</v>
      </c>
      <c r="Y244" s="51" t="s">
        <v>166</v>
      </c>
      <c r="Z244" s="48" t="s">
        <v>166</v>
      </c>
      <c r="AA244" s="48" t="s">
        <v>166</v>
      </c>
      <c r="AB244" s="48" t="s">
        <v>166</v>
      </c>
      <c r="AC244" s="48" t="s">
        <v>166</v>
      </c>
      <c r="AD244" s="48" t="s">
        <v>166</v>
      </c>
      <c r="AE244" s="54" t="s">
        <v>166</v>
      </c>
      <c r="AF244" s="55" t="s">
        <v>166</v>
      </c>
      <c r="AG244" s="51" t="s">
        <v>166</v>
      </c>
      <c r="AH244" s="48">
        <v>1.0</v>
      </c>
      <c r="AI244" s="48">
        <v>1.0</v>
      </c>
      <c r="AJ244" s="50" t="s">
        <v>174</v>
      </c>
      <c r="AK244" s="56">
        <v>369.0</v>
      </c>
      <c r="AL244" s="57">
        <v>84.99</v>
      </c>
      <c r="AM244" s="68"/>
      <c r="AN244" s="70"/>
      <c r="AO244" s="71"/>
      <c r="AP244" s="72">
        <v>45205.944513888884</v>
      </c>
      <c r="AQ244" s="66"/>
    </row>
    <row r="245">
      <c r="A245" s="69" t="s">
        <v>500</v>
      </c>
      <c r="B245" s="73" t="s">
        <v>541</v>
      </c>
      <c r="C245" s="63" t="s">
        <v>248</v>
      </c>
      <c r="D245" s="48">
        <v>300.0</v>
      </c>
      <c r="E245" s="48">
        <v>129.5</v>
      </c>
      <c r="F245" s="48">
        <v>180.0</v>
      </c>
      <c r="G245" s="49">
        <f t="shared" si="1"/>
        <v>6.993</v>
      </c>
      <c r="H245" s="49">
        <f t="shared" si="2"/>
        <v>388.5</v>
      </c>
      <c r="I245" s="48" t="s">
        <v>170</v>
      </c>
      <c r="J245" s="48" t="s">
        <v>411</v>
      </c>
      <c r="K245" s="50" t="s">
        <v>165</v>
      </c>
      <c r="L245" s="51">
        <v>59.0</v>
      </c>
      <c r="M245" s="50">
        <v>120.0</v>
      </c>
      <c r="N245" s="51" t="s">
        <v>174</v>
      </c>
      <c r="O245" s="48">
        <v>300.0</v>
      </c>
      <c r="P245" s="48">
        <v>125.0</v>
      </c>
      <c r="Q245" s="48">
        <v>50.0</v>
      </c>
      <c r="R245" s="48">
        <v>2.0</v>
      </c>
      <c r="S245" s="50" t="s">
        <v>166</v>
      </c>
      <c r="T245" s="52" t="s">
        <v>167</v>
      </c>
      <c r="U245" s="52" t="s">
        <v>346</v>
      </c>
      <c r="V245" s="51" t="s">
        <v>426</v>
      </c>
      <c r="W245" s="48" t="s">
        <v>166</v>
      </c>
      <c r="X245" s="50" t="s">
        <v>166</v>
      </c>
      <c r="Y245" s="51" t="s">
        <v>166</v>
      </c>
      <c r="Z245" s="48" t="s">
        <v>166</v>
      </c>
      <c r="AA245" s="48" t="s">
        <v>166</v>
      </c>
      <c r="AB245" s="48" t="s">
        <v>166</v>
      </c>
      <c r="AC245" s="48" t="s">
        <v>193</v>
      </c>
      <c r="AD245" s="48" t="s">
        <v>166</v>
      </c>
      <c r="AE245" s="54" t="s">
        <v>166</v>
      </c>
      <c r="AF245" s="55" t="s">
        <v>166</v>
      </c>
      <c r="AG245" s="51" t="s">
        <v>166</v>
      </c>
      <c r="AH245" s="48" t="s">
        <v>166</v>
      </c>
      <c r="AI245" s="48" t="s">
        <v>166</v>
      </c>
      <c r="AJ245" s="50" t="s">
        <v>166</v>
      </c>
      <c r="AK245" s="56">
        <v>397.0</v>
      </c>
      <c r="AL245" s="57">
        <f>AK245*Sheets!$E$3</f>
        <v>54.7246635</v>
      </c>
      <c r="AM245" s="68"/>
      <c r="AN245" s="70"/>
      <c r="AO245" s="71" t="s">
        <v>181</v>
      </c>
      <c r="AP245" s="71"/>
      <c r="AQ245" s="66"/>
    </row>
    <row r="246">
      <c r="A246" s="95" t="s">
        <v>419</v>
      </c>
      <c r="B246" s="67" t="s">
        <v>542</v>
      </c>
      <c r="C246" s="63" t="s">
        <v>225</v>
      </c>
      <c r="D246" s="48">
        <v>205.0</v>
      </c>
      <c r="E246" s="48">
        <v>95.0</v>
      </c>
      <c r="F246" s="48">
        <v>360.0</v>
      </c>
      <c r="G246" s="49">
        <f t="shared" si="1"/>
        <v>7.011</v>
      </c>
      <c r="H246" s="49">
        <f t="shared" si="2"/>
        <v>194.75</v>
      </c>
      <c r="I246" s="48">
        <v>0.8</v>
      </c>
      <c r="J246" s="48" t="s">
        <v>245</v>
      </c>
      <c r="K246" s="50" t="s">
        <v>421</v>
      </c>
      <c r="L246" s="51">
        <v>70.0</v>
      </c>
      <c r="M246" s="50" t="s">
        <v>166</v>
      </c>
      <c r="N246" s="51" t="s">
        <v>174</v>
      </c>
      <c r="O246" s="48">
        <v>175.0</v>
      </c>
      <c r="P246" s="48">
        <v>120.0</v>
      </c>
      <c r="Q246" s="48">
        <v>46.0</v>
      </c>
      <c r="R246" s="48">
        <v>2.0</v>
      </c>
      <c r="S246" s="50" t="s">
        <v>166</v>
      </c>
      <c r="T246" s="52" t="s">
        <v>167</v>
      </c>
      <c r="U246" s="52" t="s">
        <v>168</v>
      </c>
      <c r="V246" s="51">
        <v>2.0</v>
      </c>
      <c r="W246" s="48" t="s">
        <v>166</v>
      </c>
      <c r="X246" s="50" t="s">
        <v>166</v>
      </c>
      <c r="Y246" s="51" t="s">
        <v>166</v>
      </c>
      <c r="Z246" s="48" t="s">
        <v>166</v>
      </c>
      <c r="AA246" s="48">
        <v>4.0</v>
      </c>
      <c r="AB246" s="48" t="s">
        <v>166</v>
      </c>
      <c r="AC246" s="48" t="s">
        <v>166</v>
      </c>
      <c r="AD246" s="48" t="s">
        <v>166</v>
      </c>
      <c r="AE246" s="54" t="s">
        <v>166</v>
      </c>
      <c r="AF246" s="55" t="s">
        <v>166</v>
      </c>
      <c r="AG246" s="51" t="s">
        <v>166</v>
      </c>
      <c r="AH246" s="48" t="s">
        <v>166</v>
      </c>
      <c r="AI246" s="48" t="s">
        <v>166</v>
      </c>
      <c r="AJ246" s="50" t="s">
        <v>166</v>
      </c>
      <c r="AK246" s="56" t="s">
        <v>166</v>
      </c>
      <c r="AL246" s="57">
        <v>109.0</v>
      </c>
      <c r="AM246" s="64" t="str">
        <f>HYPERLINK("https://smallformfactor.net/forum/threads/modivio-xcase-customizable-console-style-case.2732/","Link")</f>
        <v>Link</v>
      </c>
      <c r="AN246" s="70"/>
      <c r="AO246" s="71" t="s">
        <v>181</v>
      </c>
      <c r="AP246" s="65">
        <v>44563.988717071756</v>
      </c>
      <c r="AQ246" s="66"/>
    </row>
    <row r="247">
      <c r="A247" s="99" t="s">
        <v>543</v>
      </c>
      <c r="B247" s="73" t="s">
        <v>544</v>
      </c>
      <c r="C247" s="63" t="s">
        <v>248</v>
      </c>
      <c r="D247" s="48">
        <v>261.0</v>
      </c>
      <c r="E247" s="48">
        <v>133.0</v>
      </c>
      <c r="F247" s="48">
        <v>202.0</v>
      </c>
      <c r="G247" s="49">
        <f t="shared" si="1"/>
        <v>7.012026</v>
      </c>
      <c r="H247" s="49">
        <f t="shared" si="2"/>
        <v>347.13</v>
      </c>
      <c r="I247" s="48" t="s">
        <v>170</v>
      </c>
      <c r="J247" s="48" t="s">
        <v>164</v>
      </c>
      <c r="K247" s="50" t="s">
        <v>164</v>
      </c>
      <c r="L247" s="51">
        <v>54.0</v>
      </c>
      <c r="M247" s="50" t="s">
        <v>166</v>
      </c>
      <c r="N247" s="51" t="s">
        <v>174</v>
      </c>
      <c r="O247" s="48">
        <v>185.0</v>
      </c>
      <c r="P247" s="48" t="s">
        <v>170</v>
      </c>
      <c r="Q247" s="48">
        <v>40.0</v>
      </c>
      <c r="R247" s="48">
        <v>2.0</v>
      </c>
      <c r="S247" s="50" t="s">
        <v>166</v>
      </c>
      <c r="T247" s="52" t="s">
        <v>167</v>
      </c>
      <c r="U247" s="52" t="s">
        <v>324</v>
      </c>
      <c r="V247" s="51">
        <v>1.0</v>
      </c>
      <c r="W247" s="48" t="s">
        <v>166</v>
      </c>
      <c r="X247" s="50" t="s">
        <v>166</v>
      </c>
      <c r="Y247" s="51" t="s">
        <v>166</v>
      </c>
      <c r="Z247" s="48" t="s">
        <v>166</v>
      </c>
      <c r="AA247" s="48" t="s">
        <v>166</v>
      </c>
      <c r="AB247" s="48">
        <v>2.0</v>
      </c>
      <c r="AC247" s="48" t="s">
        <v>166</v>
      </c>
      <c r="AD247" s="48" t="s">
        <v>166</v>
      </c>
      <c r="AE247" s="54" t="s">
        <v>166</v>
      </c>
      <c r="AF247" s="55" t="s">
        <v>166</v>
      </c>
      <c r="AG247" s="51" t="s">
        <v>166</v>
      </c>
      <c r="AH247" s="48" t="s">
        <v>166</v>
      </c>
      <c r="AI247" s="48" t="s">
        <v>166</v>
      </c>
      <c r="AJ247" s="50" t="s">
        <v>166</v>
      </c>
      <c r="AK247" s="56">
        <v>514.0</v>
      </c>
      <c r="AL247" s="57">
        <f>AK247*Sheets!$E$3</f>
        <v>70.852587</v>
      </c>
      <c r="AM247" s="68"/>
      <c r="AN247" s="70"/>
      <c r="AO247" s="71" t="s">
        <v>181</v>
      </c>
      <c r="AP247" s="71"/>
      <c r="AQ247" s="66"/>
    </row>
    <row r="248">
      <c r="A248" s="83" t="str">
        <f>HYPERLINK("https://www.sfftime.com/","SFFtime")</f>
        <v>SFFtime</v>
      </c>
      <c r="B248" s="62" t="s">
        <v>545</v>
      </c>
      <c r="C248" s="63" t="s">
        <v>225</v>
      </c>
      <c r="D248" s="48">
        <v>308.0</v>
      </c>
      <c r="E248" s="48">
        <v>68.0</v>
      </c>
      <c r="F248" s="48">
        <v>335.0</v>
      </c>
      <c r="G248" s="49">
        <f t="shared" si="1"/>
        <v>7.01624</v>
      </c>
      <c r="H248" s="49">
        <f t="shared" si="2"/>
        <v>209.44</v>
      </c>
      <c r="I248" s="48">
        <v>0.8</v>
      </c>
      <c r="J248" s="48" t="s">
        <v>164</v>
      </c>
      <c r="K248" s="50" t="s">
        <v>546</v>
      </c>
      <c r="L248" s="51">
        <v>50.0</v>
      </c>
      <c r="M248" s="50" t="s">
        <v>547</v>
      </c>
      <c r="N248" s="51" t="s">
        <v>174</v>
      </c>
      <c r="O248" s="48">
        <v>306.0</v>
      </c>
      <c r="P248" s="48">
        <v>140.0</v>
      </c>
      <c r="Q248" s="48">
        <v>60.0</v>
      </c>
      <c r="R248" s="48">
        <v>3.0</v>
      </c>
      <c r="S248" s="50" t="s">
        <v>166</v>
      </c>
      <c r="T248" s="52" t="s">
        <v>167</v>
      </c>
      <c r="U248" s="52" t="s">
        <v>346</v>
      </c>
      <c r="V248" s="51">
        <v>3.0</v>
      </c>
      <c r="W248" s="48" t="s">
        <v>166</v>
      </c>
      <c r="X248" s="50" t="s">
        <v>166</v>
      </c>
      <c r="Y248" s="51" t="s">
        <v>166</v>
      </c>
      <c r="Z248" s="48" t="s">
        <v>166</v>
      </c>
      <c r="AA248" s="48" t="s">
        <v>166</v>
      </c>
      <c r="AB248" s="48" t="s">
        <v>166</v>
      </c>
      <c r="AC248" s="48" t="s">
        <v>193</v>
      </c>
      <c r="AD248" s="48" t="s">
        <v>166</v>
      </c>
      <c r="AE248" s="54" t="s">
        <v>166</v>
      </c>
      <c r="AF248" s="55" t="s">
        <v>166</v>
      </c>
      <c r="AG248" s="51" t="s">
        <v>166</v>
      </c>
      <c r="AH248" s="48" t="s">
        <v>166</v>
      </c>
      <c r="AI248" s="48" t="s">
        <v>166</v>
      </c>
      <c r="AJ248" s="50" t="s">
        <v>166</v>
      </c>
      <c r="AK248" s="56" t="s">
        <v>166</v>
      </c>
      <c r="AL248" s="57" t="s">
        <v>170</v>
      </c>
      <c r="AM248" s="64" t="s">
        <v>214</v>
      </c>
      <c r="AN248" s="59"/>
      <c r="AO248" s="60" t="s">
        <v>525</v>
      </c>
      <c r="AP248" s="65">
        <v>45057.88331574074</v>
      </c>
      <c r="AQ248" s="66"/>
    </row>
    <row r="249">
      <c r="A249" s="46" t="s">
        <v>548</v>
      </c>
      <c r="B249" s="73" t="s">
        <v>549</v>
      </c>
      <c r="C249" s="63" t="s">
        <v>248</v>
      </c>
      <c r="D249" s="48">
        <v>193.0</v>
      </c>
      <c r="E249" s="48">
        <v>135.0</v>
      </c>
      <c r="F249" s="48">
        <v>270.0</v>
      </c>
      <c r="G249" s="49">
        <f t="shared" si="1"/>
        <v>7.03485</v>
      </c>
      <c r="H249" s="49">
        <f t="shared" si="2"/>
        <v>260.55</v>
      </c>
      <c r="I249" s="48">
        <v>2.0</v>
      </c>
      <c r="J249" s="48" t="s">
        <v>235</v>
      </c>
      <c r="K249" s="50" t="s">
        <v>550</v>
      </c>
      <c r="L249" s="51">
        <v>65.0</v>
      </c>
      <c r="M249" s="50" t="s">
        <v>166</v>
      </c>
      <c r="N249" s="51" t="s">
        <v>174</v>
      </c>
      <c r="O249" s="48">
        <v>185.0</v>
      </c>
      <c r="P249" s="48" t="s">
        <v>170</v>
      </c>
      <c r="Q249" s="48">
        <v>40.0</v>
      </c>
      <c r="R249" s="48">
        <v>2.0</v>
      </c>
      <c r="S249" s="50" t="s">
        <v>166</v>
      </c>
      <c r="T249" s="52" t="s">
        <v>167</v>
      </c>
      <c r="U249" s="52" t="s">
        <v>346</v>
      </c>
      <c r="V249" s="51">
        <v>1.0</v>
      </c>
      <c r="W249" s="48" t="s">
        <v>194</v>
      </c>
      <c r="X249" s="50" t="s">
        <v>166</v>
      </c>
      <c r="Y249" s="51" t="s">
        <v>166</v>
      </c>
      <c r="Z249" s="48" t="s">
        <v>166</v>
      </c>
      <c r="AA249" s="48" t="s">
        <v>166</v>
      </c>
      <c r="AB249" s="48" t="s">
        <v>166</v>
      </c>
      <c r="AC249" s="48">
        <v>1.0</v>
      </c>
      <c r="AD249" s="48" t="s">
        <v>166</v>
      </c>
      <c r="AE249" s="54" t="s">
        <v>166</v>
      </c>
      <c r="AF249" s="55" t="s">
        <v>166</v>
      </c>
      <c r="AG249" s="51" t="s">
        <v>166</v>
      </c>
      <c r="AH249" s="48" t="s">
        <v>193</v>
      </c>
      <c r="AI249" s="48" t="s">
        <v>166</v>
      </c>
      <c r="AJ249" s="50" t="s">
        <v>174</v>
      </c>
      <c r="AK249" s="56">
        <v>309.0</v>
      </c>
      <c r="AL249" s="57">
        <f>AK249*Sheets!$E$3</f>
        <v>42.5942595</v>
      </c>
      <c r="AM249" s="68"/>
      <c r="AN249" s="70"/>
      <c r="AO249" s="71" t="s">
        <v>181</v>
      </c>
      <c r="AP249" s="72">
        <v>45056.398717187505</v>
      </c>
      <c r="AQ249" s="66"/>
    </row>
    <row r="250">
      <c r="A250" s="46" t="s">
        <v>548</v>
      </c>
      <c r="B250" s="73" t="s">
        <v>551</v>
      </c>
      <c r="C250" s="63" t="s">
        <v>248</v>
      </c>
      <c r="D250" s="48">
        <v>193.0</v>
      </c>
      <c r="E250" s="48">
        <v>135.0</v>
      </c>
      <c r="F250" s="48">
        <v>270.0</v>
      </c>
      <c r="G250" s="49">
        <f t="shared" si="1"/>
        <v>7.03485</v>
      </c>
      <c r="H250" s="49">
        <f t="shared" si="2"/>
        <v>260.55</v>
      </c>
      <c r="I250" s="48">
        <v>2.2</v>
      </c>
      <c r="J250" s="48" t="s">
        <v>552</v>
      </c>
      <c r="K250" s="50" t="s">
        <v>553</v>
      </c>
      <c r="L250" s="51">
        <v>67.0</v>
      </c>
      <c r="M250" s="50" t="s">
        <v>166</v>
      </c>
      <c r="N250" s="51" t="s">
        <v>174</v>
      </c>
      <c r="O250" s="48">
        <v>185.0</v>
      </c>
      <c r="P250" s="48">
        <v>140.0</v>
      </c>
      <c r="Q250" s="48">
        <v>62.0</v>
      </c>
      <c r="R250" s="48">
        <v>2.0</v>
      </c>
      <c r="S250" s="50" t="s">
        <v>166</v>
      </c>
      <c r="T250" s="52" t="s">
        <v>167</v>
      </c>
      <c r="U250" s="52" t="s">
        <v>346</v>
      </c>
      <c r="V250" s="51" t="s">
        <v>412</v>
      </c>
      <c r="W250" s="48" t="s">
        <v>193</v>
      </c>
      <c r="X250" s="50" t="s">
        <v>166</v>
      </c>
      <c r="Y250" s="51" t="s">
        <v>166</v>
      </c>
      <c r="Z250" s="48" t="s">
        <v>193</v>
      </c>
      <c r="AA250" s="48" t="s">
        <v>166</v>
      </c>
      <c r="AB250" s="48" t="s">
        <v>166</v>
      </c>
      <c r="AC250" s="48" t="s">
        <v>194</v>
      </c>
      <c r="AD250" s="48" t="s">
        <v>166</v>
      </c>
      <c r="AE250" s="54" t="s">
        <v>166</v>
      </c>
      <c r="AF250" s="55" t="s">
        <v>166</v>
      </c>
      <c r="AG250" s="51" t="s">
        <v>166</v>
      </c>
      <c r="AH250" s="48" t="s">
        <v>193</v>
      </c>
      <c r="AI250" s="48" t="s">
        <v>166</v>
      </c>
      <c r="AJ250" s="50" t="s">
        <v>174</v>
      </c>
      <c r="AK250" s="56">
        <v>359.0</v>
      </c>
      <c r="AL250" s="57">
        <f>AK250*Sheets!$E$3</f>
        <v>49.4865345</v>
      </c>
      <c r="AM250" s="68"/>
      <c r="AN250" s="70"/>
      <c r="AO250" s="71" t="s">
        <v>181</v>
      </c>
      <c r="AP250" s="72">
        <v>45128.01083798611</v>
      </c>
      <c r="AQ250" s="66"/>
    </row>
    <row r="251">
      <c r="A251" s="46" t="s">
        <v>548</v>
      </c>
      <c r="B251" s="46" t="s">
        <v>554</v>
      </c>
      <c r="C251" s="63" t="s">
        <v>248</v>
      </c>
      <c r="D251" s="48">
        <v>193.0</v>
      </c>
      <c r="E251" s="48">
        <v>135.0</v>
      </c>
      <c r="F251" s="48">
        <v>270.0</v>
      </c>
      <c r="G251" s="49">
        <f t="shared" si="1"/>
        <v>7.03485</v>
      </c>
      <c r="H251" s="49">
        <f t="shared" si="2"/>
        <v>260.55</v>
      </c>
      <c r="I251" s="48">
        <v>2.2</v>
      </c>
      <c r="J251" s="48" t="s">
        <v>240</v>
      </c>
      <c r="K251" s="50" t="s">
        <v>553</v>
      </c>
      <c r="L251" s="51">
        <v>67.0</v>
      </c>
      <c r="M251" s="50" t="s">
        <v>166</v>
      </c>
      <c r="N251" s="51" t="s">
        <v>174</v>
      </c>
      <c r="O251" s="48">
        <v>185.0</v>
      </c>
      <c r="P251" s="48">
        <v>140.0</v>
      </c>
      <c r="Q251" s="48">
        <v>57.0</v>
      </c>
      <c r="R251" s="48">
        <v>2.0</v>
      </c>
      <c r="S251" s="50" t="s">
        <v>166</v>
      </c>
      <c r="T251" s="52" t="s">
        <v>167</v>
      </c>
      <c r="U251" s="52" t="s">
        <v>346</v>
      </c>
      <c r="V251" s="51" t="s">
        <v>412</v>
      </c>
      <c r="W251" s="48" t="s">
        <v>193</v>
      </c>
      <c r="X251" s="50" t="s">
        <v>166</v>
      </c>
      <c r="Y251" s="51" t="s">
        <v>166</v>
      </c>
      <c r="Z251" s="48" t="s">
        <v>193</v>
      </c>
      <c r="AA251" s="48" t="s">
        <v>166</v>
      </c>
      <c r="AB251" s="48" t="s">
        <v>166</v>
      </c>
      <c r="AC251" s="48" t="s">
        <v>194</v>
      </c>
      <c r="AD251" s="48" t="s">
        <v>166</v>
      </c>
      <c r="AE251" s="54" t="s">
        <v>166</v>
      </c>
      <c r="AF251" s="55" t="s">
        <v>166</v>
      </c>
      <c r="AG251" s="51" t="s">
        <v>166</v>
      </c>
      <c r="AH251" s="48">
        <v>2.0</v>
      </c>
      <c r="AI251" s="48">
        <v>1.0</v>
      </c>
      <c r="AJ251" s="50" t="s">
        <v>174</v>
      </c>
      <c r="AK251" s="56">
        <v>439.0</v>
      </c>
      <c r="AL251" s="57">
        <f>AK251*Sheets!$E$3</f>
        <v>60.5141745</v>
      </c>
      <c r="AM251" s="68"/>
      <c r="AN251" s="70"/>
      <c r="AO251" s="71" t="s">
        <v>181</v>
      </c>
      <c r="AP251" s="72">
        <v>44865.9939944213</v>
      </c>
      <c r="AQ251" s="66"/>
    </row>
    <row r="252">
      <c r="A252" s="46" t="str">
        <f>HYPERLINK("https://shop181257670.world.taobao.com/","伊噜咔装机")</f>
        <v>伊噜咔装机</v>
      </c>
      <c r="B252" s="46" t="str">
        <f>HYPERLINK("https://item.taobao.com/item.htm?id=601276100681","L01S Super")</f>
        <v>L01S Super</v>
      </c>
      <c r="C252" s="63" t="s">
        <v>262</v>
      </c>
      <c r="D252" s="48">
        <v>242.0</v>
      </c>
      <c r="E252" s="48">
        <v>136.0</v>
      </c>
      <c r="F252" s="48">
        <v>214.0</v>
      </c>
      <c r="G252" s="49">
        <f t="shared" si="1"/>
        <v>7.043168</v>
      </c>
      <c r="H252" s="49">
        <f t="shared" si="2"/>
        <v>329.12</v>
      </c>
      <c r="I252" s="48">
        <v>0.7</v>
      </c>
      <c r="J252" s="48" t="s">
        <v>555</v>
      </c>
      <c r="K252" s="50" t="s">
        <v>556</v>
      </c>
      <c r="L252" s="51">
        <v>111.0</v>
      </c>
      <c r="M252" s="50" t="s">
        <v>166</v>
      </c>
      <c r="N252" s="51" t="s">
        <v>166</v>
      </c>
      <c r="O252" s="48">
        <v>220.0</v>
      </c>
      <c r="P252" s="48">
        <v>112.0</v>
      </c>
      <c r="Q252" s="48">
        <v>40.0</v>
      </c>
      <c r="R252" s="48">
        <v>2.0</v>
      </c>
      <c r="S252" s="50" t="s">
        <v>166</v>
      </c>
      <c r="T252" s="52" t="s">
        <v>167</v>
      </c>
      <c r="U252" s="52" t="s">
        <v>324</v>
      </c>
      <c r="V252" s="51" t="s">
        <v>193</v>
      </c>
      <c r="W252" s="48" t="s">
        <v>166</v>
      </c>
      <c r="X252" s="50" t="s">
        <v>166</v>
      </c>
      <c r="Y252" s="51" t="s">
        <v>166</v>
      </c>
      <c r="Z252" s="48">
        <v>2.0</v>
      </c>
      <c r="AA252" s="48" t="s">
        <v>194</v>
      </c>
      <c r="AB252" s="48" t="s">
        <v>166</v>
      </c>
      <c r="AC252" s="48" t="s">
        <v>166</v>
      </c>
      <c r="AD252" s="48" t="s">
        <v>166</v>
      </c>
      <c r="AE252" s="54" t="s">
        <v>166</v>
      </c>
      <c r="AF252" s="55" t="s">
        <v>166</v>
      </c>
      <c r="AG252" s="51" t="s">
        <v>166</v>
      </c>
      <c r="AH252" s="48" t="s">
        <v>166</v>
      </c>
      <c r="AI252" s="48" t="s">
        <v>166</v>
      </c>
      <c r="AJ252" s="50" t="s">
        <v>166</v>
      </c>
      <c r="AK252" s="56">
        <v>999.0</v>
      </c>
      <c r="AL252" s="57">
        <f>AK252*Sheets!$E$3</f>
        <v>137.7076545</v>
      </c>
      <c r="AM252" s="68"/>
      <c r="AN252" s="70"/>
      <c r="AO252" s="71"/>
      <c r="AP252" s="72">
        <v>44690.7536649074</v>
      </c>
      <c r="AQ252" s="66"/>
    </row>
    <row r="253">
      <c r="A253" s="61" t="s">
        <v>178</v>
      </c>
      <c r="B253" s="67" t="s">
        <v>557</v>
      </c>
      <c r="C253" s="63" t="s">
        <v>248</v>
      </c>
      <c r="D253" s="48">
        <v>310.0</v>
      </c>
      <c r="E253" s="48">
        <v>120.0</v>
      </c>
      <c r="F253" s="48">
        <v>190.0</v>
      </c>
      <c r="G253" s="49">
        <f t="shared" si="1"/>
        <v>7.068</v>
      </c>
      <c r="H253" s="49">
        <f t="shared" si="2"/>
        <v>372</v>
      </c>
      <c r="I253" s="48" t="s">
        <v>170</v>
      </c>
      <c r="J253" s="48" t="s">
        <v>171</v>
      </c>
      <c r="K253" s="50" t="s">
        <v>180</v>
      </c>
      <c r="L253" s="51">
        <v>48.0</v>
      </c>
      <c r="M253" s="50" t="s">
        <v>166</v>
      </c>
      <c r="N253" s="51" t="s">
        <v>174</v>
      </c>
      <c r="O253" s="48">
        <v>305.0</v>
      </c>
      <c r="P253" s="48" t="s">
        <v>170</v>
      </c>
      <c r="Q253" s="48">
        <v>40.0</v>
      </c>
      <c r="R253" s="48">
        <v>2.0</v>
      </c>
      <c r="S253" s="50" t="s">
        <v>166</v>
      </c>
      <c r="T253" s="52" t="s">
        <v>167</v>
      </c>
      <c r="U253" s="52" t="s">
        <v>346</v>
      </c>
      <c r="V253" s="51" t="s">
        <v>194</v>
      </c>
      <c r="W253" s="48" t="s">
        <v>166</v>
      </c>
      <c r="X253" s="50" t="s">
        <v>166</v>
      </c>
      <c r="Y253" s="51" t="s">
        <v>166</v>
      </c>
      <c r="Z253" s="48" t="s">
        <v>166</v>
      </c>
      <c r="AA253" s="48" t="s">
        <v>166</v>
      </c>
      <c r="AB253" s="48" t="s">
        <v>194</v>
      </c>
      <c r="AC253" s="48" t="s">
        <v>166</v>
      </c>
      <c r="AD253" s="48" t="s">
        <v>166</v>
      </c>
      <c r="AE253" s="54" t="s">
        <v>166</v>
      </c>
      <c r="AF253" s="55" t="s">
        <v>166</v>
      </c>
      <c r="AG253" s="51" t="s">
        <v>166</v>
      </c>
      <c r="AH253" s="48" t="s">
        <v>166</v>
      </c>
      <c r="AI253" s="48" t="s">
        <v>166</v>
      </c>
      <c r="AJ253" s="50" t="s">
        <v>166</v>
      </c>
      <c r="AK253" s="56" t="s">
        <v>166</v>
      </c>
      <c r="AL253" s="57">
        <v>99.0</v>
      </c>
      <c r="AM253" s="64" t="str">
        <f>HYPERLINK("https://smallformfactor.net/forum/threads/custom_mod-case-sx-sxm.1786/","Link")</f>
        <v>Link</v>
      </c>
      <c r="AN253" s="70"/>
      <c r="AO253" s="71" t="s">
        <v>181</v>
      </c>
      <c r="AP253" s="72">
        <v>44690.75354258102</v>
      </c>
      <c r="AQ253" s="66"/>
    </row>
    <row r="254">
      <c r="A254" s="82" t="str">
        <f>HYPERLINK("http://lazer3d.com/","Lazer3D")</f>
        <v>Lazer3D</v>
      </c>
      <c r="B254" s="83" t="str">
        <f>HYPERLINK("https://www.lazer3d.com/product/lz7-overview/","LZ7")</f>
        <v>LZ7</v>
      </c>
      <c r="C254" s="63" t="s">
        <v>262</v>
      </c>
      <c r="D254" s="48">
        <v>198.0</v>
      </c>
      <c r="E254" s="48">
        <v>226.0</v>
      </c>
      <c r="F254" s="48">
        <v>158.0</v>
      </c>
      <c r="G254" s="49">
        <f t="shared" si="1"/>
        <v>7.070184</v>
      </c>
      <c r="H254" s="49">
        <f t="shared" si="2"/>
        <v>447.48</v>
      </c>
      <c r="I254" s="48" t="s">
        <v>170</v>
      </c>
      <c r="J254" s="48" t="s">
        <v>245</v>
      </c>
      <c r="K254" s="50" t="s">
        <v>558</v>
      </c>
      <c r="L254" s="51">
        <v>70.0</v>
      </c>
      <c r="M254" s="50" t="s">
        <v>166</v>
      </c>
      <c r="N254" s="51" t="s">
        <v>166</v>
      </c>
      <c r="O254" s="48">
        <v>186.0</v>
      </c>
      <c r="P254" s="48">
        <v>131.0</v>
      </c>
      <c r="Q254" s="48">
        <v>40.0</v>
      </c>
      <c r="R254" s="48">
        <v>2.0</v>
      </c>
      <c r="S254" s="50" t="s">
        <v>166</v>
      </c>
      <c r="T254" s="52" t="s">
        <v>167</v>
      </c>
      <c r="U254" s="52" t="s">
        <v>324</v>
      </c>
      <c r="V254" s="51">
        <v>2.0</v>
      </c>
      <c r="W254" s="48" t="s">
        <v>166</v>
      </c>
      <c r="X254" s="50" t="s">
        <v>166</v>
      </c>
      <c r="Y254" s="51" t="s">
        <v>166</v>
      </c>
      <c r="Z254" s="48" t="s">
        <v>166</v>
      </c>
      <c r="AA254" s="48" t="s">
        <v>166</v>
      </c>
      <c r="AB254" s="48" t="s">
        <v>166</v>
      </c>
      <c r="AC254" s="48">
        <v>1.0</v>
      </c>
      <c r="AD254" s="48">
        <v>1.0</v>
      </c>
      <c r="AE254" s="54" t="s">
        <v>166</v>
      </c>
      <c r="AF254" s="55" t="s">
        <v>166</v>
      </c>
      <c r="AG254" s="51" t="s">
        <v>166</v>
      </c>
      <c r="AH254" s="48">
        <v>2.0</v>
      </c>
      <c r="AI254" s="48" t="s">
        <v>166</v>
      </c>
      <c r="AJ254" s="50" t="s">
        <v>174</v>
      </c>
      <c r="AK254" s="56" t="s">
        <v>166</v>
      </c>
      <c r="AL254" s="57">
        <f>141.66*1.31</f>
        <v>185.5746</v>
      </c>
      <c r="AM254" s="64" t="s">
        <v>214</v>
      </c>
      <c r="AN254" s="59"/>
      <c r="AO254" s="60"/>
      <c r="AP254" s="65">
        <v>44563.98909390046</v>
      </c>
      <c r="AQ254" s="66"/>
    </row>
    <row r="255">
      <c r="A255" s="61" t="s">
        <v>438</v>
      </c>
      <c r="B255" s="62" t="s">
        <v>559</v>
      </c>
      <c r="C255" s="63" t="s">
        <v>248</v>
      </c>
      <c r="D255" s="48">
        <v>264.0</v>
      </c>
      <c r="E255" s="48">
        <v>134.0</v>
      </c>
      <c r="F255" s="48">
        <v>200.0</v>
      </c>
      <c r="G255" s="49">
        <f t="shared" si="1"/>
        <v>7.0752</v>
      </c>
      <c r="H255" s="49">
        <f t="shared" si="2"/>
        <v>353.76</v>
      </c>
      <c r="I255" s="48">
        <v>1.6</v>
      </c>
      <c r="J255" s="48" t="s">
        <v>164</v>
      </c>
      <c r="K255" s="50" t="s">
        <v>213</v>
      </c>
      <c r="L255" s="51">
        <v>47.0</v>
      </c>
      <c r="M255" s="50" t="s">
        <v>166</v>
      </c>
      <c r="N255" s="51" t="s">
        <v>174</v>
      </c>
      <c r="O255" s="48">
        <v>258.0</v>
      </c>
      <c r="P255" s="48">
        <v>130.0</v>
      </c>
      <c r="Q255" s="48">
        <v>50.0</v>
      </c>
      <c r="R255" s="48">
        <v>2.0</v>
      </c>
      <c r="S255" s="50" t="s">
        <v>166</v>
      </c>
      <c r="T255" s="52" t="s">
        <v>167</v>
      </c>
      <c r="U255" s="52" t="s">
        <v>186</v>
      </c>
      <c r="V255" s="51">
        <v>2.0</v>
      </c>
      <c r="W255" s="48" t="s">
        <v>166</v>
      </c>
      <c r="X255" s="50" t="s">
        <v>166</v>
      </c>
      <c r="Y255" s="51" t="s">
        <v>166</v>
      </c>
      <c r="Z255" s="48" t="s">
        <v>166</v>
      </c>
      <c r="AA255" s="48" t="s">
        <v>166</v>
      </c>
      <c r="AB255" s="48" t="s">
        <v>166</v>
      </c>
      <c r="AC255" s="48">
        <v>1.0</v>
      </c>
      <c r="AD255" s="48" t="s">
        <v>166</v>
      </c>
      <c r="AE255" s="54" t="s">
        <v>166</v>
      </c>
      <c r="AF255" s="55" t="s">
        <v>166</v>
      </c>
      <c r="AG255" s="51" t="s">
        <v>166</v>
      </c>
      <c r="AH255" s="48">
        <v>2.0</v>
      </c>
      <c r="AI255" s="48">
        <v>1.0</v>
      </c>
      <c r="AJ255" s="50" t="s">
        <v>166</v>
      </c>
      <c r="AK255" s="56" t="s">
        <v>166</v>
      </c>
      <c r="AL255" s="57">
        <f>4300*0.029</f>
        <v>124.7</v>
      </c>
      <c r="AM255" s="58"/>
      <c r="AN255" s="59"/>
      <c r="AO255" s="60"/>
      <c r="AP255" s="65">
        <v>44696.76707732639</v>
      </c>
      <c r="AQ255" s="66"/>
    </row>
    <row r="256">
      <c r="A256" s="82" t="str">
        <f>HYPERLINK("http://raijintek.com/en/index.php","Raijintek")</f>
        <v>Raijintek</v>
      </c>
      <c r="B256" s="62" t="s">
        <v>560</v>
      </c>
      <c r="C256" s="63" t="s">
        <v>262</v>
      </c>
      <c r="D256" s="48">
        <v>312.0</v>
      </c>
      <c r="E256" s="48">
        <v>101.0</v>
      </c>
      <c r="F256" s="48">
        <v>225.0</v>
      </c>
      <c r="G256" s="49">
        <f t="shared" si="1"/>
        <v>7.0902</v>
      </c>
      <c r="H256" s="49">
        <f t="shared" si="2"/>
        <v>315.12</v>
      </c>
      <c r="I256" s="48">
        <v>2.0</v>
      </c>
      <c r="J256" s="48" t="s">
        <v>164</v>
      </c>
      <c r="K256" s="50" t="s">
        <v>561</v>
      </c>
      <c r="L256" s="51">
        <v>70.0</v>
      </c>
      <c r="M256" s="50" t="s">
        <v>166</v>
      </c>
      <c r="N256" s="51" t="s">
        <v>166</v>
      </c>
      <c r="O256" s="48" t="s">
        <v>170</v>
      </c>
      <c r="P256" s="48">
        <v>70.0</v>
      </c>
      <c r="Q256" s="48">
        <v>20.0</v>
      </c>
      <c r="R256" s="48" t="s">
        <v>166</v>
      </c>
      <c r="S256" s="50">
        <v>1.0</v>
      </c>
      <c r="T256" s="52" t="s">
        <v>167</v>
      </c>
      <c r="U256" s="52" t="s">
        <v>324</v>
      </c>
      <c r="V256" s="51">
        <v>2.0</v>
      </c>
      <c r="W256" s="48" t="s">
        <v>166</v>
      </c>
      <c r="X256" s="50" t="s">
        <v>166</v>
      </c>
      <c r="Y256" s="51" t="s">
        <v>166</v>
      </c>
      <c r="Z256" s="48" t="s">
        <v>166</v>
      </c>
      <c r="AA256" s="48" t="s">
        <v>166</v>
      </c>
      <c r="AB256" s="48" t="s">
        <v>562</v>
      </c>
      <c r="AC256" s="48" t="s">
        <v>166</v>
      </c>
      <c r="AD256" s="48" t="s">
        <v>166</v>
      </c>
      <c r="AE256" s="54" t="s">
        <v>166</v>
      </c>
      <c r="AF256" s="55" t="s">
        <v>166</v>
      </c>
      <c r="AG256" s="51" t="s">
        <v>166</v>
      </c>
      <c r="AH256" s="48">
        <v>1.0</v>
      </c>
      <c r="AI256" s="48">
        <v>1.0</v>
      </c>
      <c r="AJ256" s="50" t="s">
        <v>166</v>
      </c>
      <c r="AK256" s="56" t="s">
        <v>166</v>
      </c>
      <c r="AL256" s="57">
        <v>119.99</v>
      </c>
      <c r="AM256" s="58"/>
      <c r="AN256" s="59"/>
      <c r="AO256" s="60"/>
      <c r="AP256" s="60"/>
      <c r="AQ256" s="66"/>
    </row>
    <row r="257">
      <c r="A257" s="61" t="s">
        <v>563</v>
      </c>
      <c r="B257" s="62" t="s">
        <v>564</v>
      </c>
      <c r="C257" s="63" t="s">
        <v>248</v>
      </c>
      <c r="D257" s="48">
        <v>317.0</v>
      </c>
      <c r="E257" s="48">
        <v>112.0</v>
      </c>
      <c r="F257" s="48">
        <v>200.0</v>
      </c>
      <c r="G257" s="49">
        <f t="shared" si="1"/>
        <v>7.1008</v>
      </c>
      <c r="H257" s="49">
        <f t="shared" si="2"/>
        <v>355.04</v>
      </c>
      <c r="I257" s="48">
        <v>1.25</v>
      </c>
      <c r="J257" s="48" t="s">
        <v>164</v>
      </c>
      <c r="K257" s="50" t="s">
        <v>204</v>
      </c>
      <c r="L257" s="51">
        <v>48.0</v>
      </c>
      <c r="M257" s="50" t="s">
        <v>565</v>
      </c>
      <c r="N257" s="51" t="s">
        <v>174</v>
      </c>
      <c r="O257" s="48">
        <v>295.0</v>
      </c>
      <c r="P257" s="48">
        <v>144.0</v>
      </c>
      <c r="Q257" s="48">
        <v>40.0</v>
      </c>
      <c r="R257" s="48">
        <v>2.0</v>
      </c>
      <c r="S257" s="50" t="s">
        <v>166</v>
      </c>
      <c r="T257" s="52" t="s">
        <v>167</v>
      </c>
      <c r="U257" s="52" t="s">
        <v>566</v>
      </c>
      <c r="V257" s="51" t="s">
        <v>412</v>
      </c>
      <c r="W257" s="48" t="s">
        <v>166</v>
      </c>
      <c r="X257" s="50" t="s">
        <v>166</v>
      </c>
      <c r="Y257" s="51" t="s">
        <v>166</v>
      </c>
      <c r="Z257" s="48" t="s">
        <v>166</v>
      </c>
      <c r="AA257" s="48" t="s">
        <v>166</v>
      </c>
      <c r="AB257" s="48" t="s">
        <v>207</v>
      </c>
      <c r="AC257" s="48" t="s">
        <v>166</v>
      </c>
      <c r="AD257" s="48" t="s">
        <v>166</v>
      </c>
      <c r="AE257" s="54" t="s">
        <v>166</v>
      </c>
      <c r="AF257" s="55" t="s">
        <v>166</v>
      </c>
      <c r="AG257" s="51" t="s">
        <v>166</v>
      </c>
      <c r="AH257" s="48" t="s">
        <v>166</v>
      </c>
      <c r="AI257" s="48">
        <v>1.0</v>
      </c>
      <c r="AJ257" s="50" t="s">
        <v>166</v>
      </c>
      <c r="AK257" s="56" t="s">
        <v>166</v>
      </c>
      <c r="AL257" s="57">
        <v>219.0</v>
      </c>
      <c r="AM257" s="64" t="str">
        <f>HYPERLINK("https://smallformfactor.net/forum/threads/dan-a4-sfx.252/","Link")</f>
        <v>Link</v>
      </c>
      <c r="AN257" s="64" t="s">
        <v>214</v>
      </c>
      <c r="AO257" s="60"/>
      <c r="AP257" s="65">
        <v>44564.00738541667</v>
      </c>
      <c r="AQ257" s="66"/>
    </row>
    <row r="258">
      <c r="A258" s="61" t="s">
        <v>209</v>
      </c>
      <c r="B258" s="62" t="str">
        <f>HYPERLINK("https://www.silverstonetek.com/product.php?pid=411&amp;area=en","ML05")</f>
        <v>ML05</v>
      </c>
      <c r="C258" s="63" t="s">
        <v>225</v>
      </c>
      <c r="D258" s="48">
        <v>205.0</v>
      </c>
      <c r="E258" s="48">
        <v>350.0</v>
      </c>
      <c r="F258" s="48">
        <v>99.0</v>
      </c>
      <c r="G258" s="49">
        <f t="shared" si="1"/>
        <v>7.10325</v>
      </c>
      <c r="H258" s="49">
        <f t="shared" si="2"/>
        <v>717.5</v>
      </c>
      <c r="I258" s="48">
        <v>2.1</v>
      </c>
      <c r="J258" s="48" t="s">
        <v>171</v>
      </c>
      <c r="K258" s="50" t="s">
        <v>567</v>
      </c>
      <c r="L258" s="51">
        <v>70.0</v>
      </c>
      <c r="M258" s="50" t="s">
        <v>166</v>
      </c>
      <c r="N258" s="51" t="s">
        <v>166</v>
      </c>
      <c r="O258" s="48">
        <v>193.0</v>
      </c>
      <c r="P258" s="48">
        <v>74.0</v>
      </c>
      <c r="Q258" s="48">
        <v>20.0</v>
      </c>
      <c r="R258" s="48">
        <v>1.0</v>
      </c>
      <c r="S258" s="50">
        <v>1.0</v>
      </c>
      <c r="T258" s="52" t="s">
        <v>167</v>
      </c>
      <c r="U258" s="52" t="s">
        <v>324</v>
      </c>
      <c r="V258" s="51" t="s">
        <v>568</v>
      </c>
      <c r="W258" s="48" t="s">
        <v>194</v>
      </c>
      <c r="X258" s="50" t="s">
        <v>208</v>
      </c>
      <c r="Y258" s="51" t="s">
        <v>166</v>
      </c>
      <c r="Z258" s="48" t="s">
        <v>166</v>
      </c>
      <c r="AA258" s="48">
        <v>2.0</v>
      </c>
      <c r="AB258" s="48" t="s">
        <v>166</v>
      </c>
      <c r="AC258" s="48" t="s">
        <v>194</v>
      </c>
      <c r="AD258" s="48" t="s">
        <v>166</v>
      </c>
      <c r="AE258" s="54" t="s">
        <v>166</v>
      </c>
      <c r="AF258" s="55" t="s">
        <v>166</v>
      </c>
      <c r="AG258" s="51" t="s">
        <v>166</v>
      </c>
      <c r="AH258" s="48">
        <v>2.0</v>
      </c>
      <c r="AI258" s="48" t="s">
        <v>166</v>
      </c>
      <c r="AJ258" s="50" t="s">
        <v>174</v>
      </c>
      <c r="AK258" s="56" t="s">
        <v>166</v>
      </c>
      <c r="AL258" s="57">
        <v>54.99</v>
      </c>
      <c r="AM258" s="58"/>
      <c r="AN258" s="59"/>
      <c r="AO258" s="60"/>
      <c r="AP258" s="65">
        <v>44690.75326978009</v>
      </c>
      <c r="AQ258" s="66"/>
    </row>
    <row r="259">
      <c r="A259" s="61" t="s">
        <v>209</v>
      </c>
      <c r="B259" s="62" t="str">
        <f>HYPERLINK("https://www.silverstonetek.com/product.php?pid=457&amp;area=en","ML06")</f>
        <v>ML06</v>
      </c>
      <c r="C259" s="63" t="s">
        <v>225</v>
      </c>
      <c r="D259" s="48">
        <v>205.0</v>
      </c>
      <c r="E259" s="48">
        <v>350.0</v>
      </c>
      <c r="F259" s="48">
        <v>99.0</v>
      </c>
      <c r="G259" s="49">
        <f t="shared" si="1"/>
        <v>7.10325</v>
      </c>
      <c r="H259" s="49">
        <f t="shared" si="2"/>
        <v>717.5</v>
      </c>
      <c r="I259" s="48">
        <v>2.4</v>
      </c>
      <c r="J259" s="48" t="s">
        <v>171</v>
      </c>
      <c r="K259" s="50" t="s">
        <v>567</v>
      </c>
      <c r="L259" s="51">
        <v>70.0</v>
      </c>
      <c r="M259" s="50" t="s">
        <v>166</v>
      </c>
      <c r="N259" s="51" t="s">
        <v>166</v>
      </c>
      <c r="O259" s="48">
        <v>193.0</v>
      </c>
      <c r="P259" s="48">
        <v>74.0</v>
      </c>
      <c r="Q259" s="48">
        <v>20.0</v>
      </c>
      <c r="R259" s="48">
        <v>1.0</v>
      </c>
      <c r="S259" s="50">
        <v>1.0</v>
      </c>
      <c r="T259" s="52" t="s">
        <v>167</v>
      </c>
      <c r="U259" s="52" t="s">
        <v>324</v>
      </c>
      <c r="V259" s="51" t="s">
        <v>568</v>
      </c>
      <c r="W259" s="48" t="s">
        <v>194</v>
      </c>
      <c r="X259" s="50" t="s">
        <v>208</v>
      </c>
      <c r="Y259" s="51" t="s">
        <v>166</v>
      </c>
      <c r="Z259" s="48" t="s">
        <v>166</v>
      </c>
      <c r="AA259" s="48">
        <v>2.0</v>
      </c>
      <c r="AB259" s="48" t="s">
        <v>166</v>
      </c>
      <c r="AC259" s="48" t="s">
        <v>194</v>
      </c>
      <c r="AD259" s="48" t="s">
        <v>166</v>
      </c>
      <c r="AE259" s="54" t="s">
        <v>166</v>
      </c>
      <c r="AF259" s="55" t="s">
        <v>166</v>
      </c>
      <c r="AG259" s="51" t="s">
        <v>166</v>
      </c>
      <c r="AH259" s="48">
        <v>2.0</v>
      </c>
      <c r="AI259" s="48" t="s">
        <v>166</v>
      </c>
      <c r="AJ259" s="50" t="s">
        <v>174</v>
      </c>
      <c r="AK259" s="56" t="s">
        <v>166</v>
      </c>
      <c r="AL259" s="57">
        <v>79.99</v>
      </c>
      <c r="AM259" s="58"/>
      <c r="AN259" s="59"/>
      <c r="AO259" s="60"/>
      <c r="AP259" s="65">
        <v>44690.75330619213</v>
      </c>
      <c r="AQ259" s="66"/>
    </row>
    <row r="260">
      <c r="A260" s="61" t="s">
        <v>209</v>
      </c>
      <c r="B260" s="62" t="str">
        <f>HYPERLINK("https://www.silverstonetek.com/product.php?pid=568&amp;area=en","ML06-E")</f>
        <v>ML06-E</v>
      </c>
      <c r="C260" s="63" t="s">
        <v>225</v>
      </c>
      <c r="D260" s="48">
        <v>205.0</v>
      </c>
      <c r="E260" s="48">
        <v>350.0</v>
      </c>
      <c r="F260" s="48">
        <v>99.0</v>
      </c>
      <c r="G260" s="49">
        <f t="shared" si="1"/>
        <v>7.10325</v>
      </c>
      <c r="H260" s="49">
        <f t="shared" si="2"/>
        <v>717.5</v>
      </c>
      <c r="I260" s="48">
        <v>2.68</v>
      </c>
      <c r="J260" s="48" t="s">
        <v>171</v>
      </c>
      <c r="K260" s="50" t="s">
        <v>567</v>
      </c>
      <c r="L260" s="51">
        <v>70.0</v>
      </c>
      <c r="M260" s="50" t="s">
        <v>166</v>
      </c>
      <c r="N260" s="51" t="s">
        <v>166</v>
      </c>
      <c r="O260" s="48">
        <v>175.0</v>
      </c>
      <c r="P260" s="48">
        <v>74.0</v>
      </c>
      <c r="Q260" s="48">
        <v>40.0</v>
      </c>
      <c r="R260" s="48">
        <v>1.0</v>
      </c>
      <c r="S260" s="50">
        <v>2.0</v>
      </c>
      <c r="T260" s="52" t="s">
        <v>227</v>
      </c>
      <c r="U260" s="52" t="s">
        <v>324</v>
      </c>
      <c r="V260" s="51" t="s">
        <v>568</v>
      </c>
      <c r="W260" s="48" t="s">
        <v>194</v>
      </c>
      <c r="X260" s="50" t="s">
        <v>208</v>
      </c>
      <c r="Y260" s="51" t="s">
        <v>166</v>
      </c>
      <c r="Z260" s="48" t="s">
        <v>166</v>
      </c>
      <c r="AA260" s="48">
        <v>2.0</v>
      </c>
      <c r="AB260" s="48" t="s">
        <v>166</v>
      </c>
      <c r="AC260" s="48" t="s">
        <v>194</v>
      </c>
      <c r="AD260" s="48" t="s">
        <v>166</v>
      </c>
      <c r="AE260" s="54" t="s">
        <v>166</v>
      </c>
      <c r="AF260" s="55" t="s">
        <v>166</v>
      </c>
      <c r="AG260" s="51" t="s">
        <v>166</v>
      </c>
      <c r="AH260" s="48">
        <v>2.0</v>
      </c>
      <c r="AI260" s="48" t="s">
        <v>166</v>
      </c>
      <c r="AJ260" s="50" t="s">
        <v>174</v>
      </c>
      <c r="AK260" s="56" t="s">
        <v>166</v>
      </c>
      <c r="AL260" s="57">
        <v>104.99</v>
      </c>
      <c r="AM260" s="58"/>
      <c r="AN260" s="59"/>
      <c r="AO260" s="60"/>
      <c r="AP260" s="60"/>
      <c r="AQ260" s="66"/>
    </row>
    <row r="261">
      <c r="A261" s="61" t="s">
        <v>209</v>
      </c>
      <c r="B261" s="62" t="str">
        <f>HYPERLINK("https://www.silverstonetek.com/product.php?pid=653&amp;area=en","ML09")</f>
        <v>ML09</v>
      </c>
      <c r="C261" s="63" t="s">
        <v>225</v>
      </c>
      <c r="D261" s="48">
        <v>205.0</v>
      </c>
      <c r="E261" s="48">
        <v>350.0</v>
      </c>
      <c r="F261" s="48">
        <v>99.0</v>
      </c>
      <c r="G261" s="49">
        <f t="shared" si="1"/>
        <v>7.10325</v>
      </c>
      <c r="H261" s="49">
        <f t="shared" si="2"/>
        <v>717.5</v>
      </c>
      <c r="I261" s="48">
        <v>2.07</v>
      </c>
      <c r="J261" s="48" t="s">
        <v>171</v>
      </c>
      <c r="K261" s="50" t="s">
        <v>567</v>
      </c>
      <c r="L261" s="51">
        <v>70.0</v>
      </c>
      <c r="M261" s="50" t="s">
        <v>166</v>
      </c>
      <c r="N261" s="51" t="s">
        <v>166</v>
      </c>
      <c r="O261" s="48">
        <v>175.0</v>
      </c>
      <c r="P261" s="48">
        <v>74.0</v>
      </c>
      <c r="Q261" s="48">
        <v>40.0</v>
      </c>
      <c r="R261" s="48">
        <v>1.0</v>
      </c>
      <c r="S261" s="50">
        <v>2.0</v>
      </c>
      <c r="T261" s="52" t="s">
        <v>227</v>
      </c>
      <c r="U261" s="52" t="s">
        <v>324</v>
      </c>
      <c r="V261" s="51" t="s">
        <v>568</v>
      </c>
      <c r="W261" s="48" t="s">
        <v>194</v>
      </c>
      <c r="X261" s="50" t="s">
        <v>208</v>
      </c>
      <c r="Y261" s="51" t="s">
        <v>166</v>
      </c>
      <c r="Z261" s="48" t="s">
        <v>166</v>
      </c>
      <c r="AA261" s="48">
        <v>2.0</v>
      </c>
      <c r="AB261" s="48" t="s">
        <v>166</v>
      </c>
      <c r="AC261" s="48" t="s">
        <v>194</v>
      </c>
      <c r="AD261" s="48" t="s">
        <v>166</v>
      </c>
      <c r="AE261" s="54" t="s">
        <v>166</v>
      </c>
      <c r="AF261" s="55" t="s">
        <v>166</v>
      </c>
      <c r="AG261" s="51" t="s">
        <v>166</v>
      </c>
      <c r="AH261" s="48">
        <v>2.0</v>
      </c>
      <c r="AI261" s="48" t="s">
        <v>166</v>
      </c>
      <c r="AJ261" s="50" t="s">
        <v>174</v>
      </c>
      <c r="AK261" s="56" t="s">
        <v>166</v>
      </c>
      <c r="AL261" s="57">
        <v>87.3</v>
      </c>
      <c r="AM261" s="58"/>
      <c r="AN261" s="59"/>
      <c r="AO261" s="60"/>
      <c r="AP261" s="60"/>
      <c r="AQ261" s="66"/>
    </row>
    <row r="262">
      <c r="A262" s="73" t="s">
        <v>569</v>
      </c>
      <c r="B262" s="73" t="s">
        <v>570</v>
      </c>
      <c r="C262" s="63" t="s">
        <v>248</v>
      </c>
      <c r="D262" s="48">
        <v>188.0</v>
      </c>
      <c r="E262" s="48">
        <v>142.0</v>
      </c>
      <c r="F262" s="48">
        <v>267.0</v>
      </c>
      <c r="G262" s="49">
        <f t="shared" si="1"/>
        <v>7.127832</v>
      </c>
      <c r="H262" s="49">
        <f t="shared" si="2"/>
        <v>266.96</v>
      </c>
      <c r="I262" s="48" t="s">
        <v>170</v>
      </c>
      <c r="J262" s="48" t="s">
        <v>235</v>
      </c>
      <c r="K262" s="50" t="s">
        <v>571</v>
      </c>
      <c r="L262" s="51">
        <v>67.0</v>
      </c>
      <c r="M262" s="50" t="s">
        <v>166</v>
      </c>
      <c r="N262" s="51" t="s">
        <v>174</v>
      </c>
      <c r="O262" s="48">
        <v>180.0</v>
      </c>
      <c r="P262" s="48">
        <v>145.0</v>
      </c>
      <c r="Q262" s="48">
        <v>43.0</v>
      </c>
      <c r="R262" s="48">
        <v>2.0</v>
      </c>
      <c r="S262" s="50" t="s">
        <v>166</v>
      </c>
      <c r="T262" s="52" t="s">
        <v>167</v>
      </c>
      <c r="U262" s="52" t="s">
        <v>346</v>
      </c>
      <c r="V262" s="51" t="s">
        <v>220</v>
      </c>
      <c r="W262" s="48" t="s">
        <v>166</v>
      </c>
      <c r="X262" s="50" t="s">
        <v>166</v>
      </c>
      <c r="Y262" s="51" t="s">
        <v>166</v>
      </c>
      <c r="Z262" s="48" t="s">
        <v>166</v>
      </c>
      <c r="AA262" s="48" t="s">
        <v>166</v>
      </c>
      <c r="AB262" s="48" t="s">
        <v>166</v>
      </c>
      <c r="AC262" s="48">
        <v>1.0</v>
      </c>
      <c r="AD262" s="48" t="s">
        <v>166</v>
      </c>
      <c r="AE262" s="54" t="s">
        <v>166</v>
      </c>
      <c r="AF262" s="55" t="s">
        <v>166</v>
      </c>
      <c r="AG262" s="51" t="s">
        <v>166</v>
      </c>
      <c r="AH262" s="48">
        <v>1.0</v>
      </c>
      <c r="AI262" s="48" t="s">
        <v>166</v>
      </c>
      <c r="AJ262" s="50" t="s">
        <v>166</v>
      </c>
      <c r="AK262" s="56">
        <v>799.0</v>
      </c>
      <c r="AL262" s="57">
        <f>AK262*Sheets!$E$3</f>
        <v>110.1385545</v>
      </c>
      <c r="AM262" s="58"/>
      <c r="AN262" s="59"/>
      <c r="AO262" s="60" t="s">
        <v>181</v>
      </c>
      <c r="AP262" s="65">
        <v>44563.98926741898</v>
      </c>
      <c r="AQ262" s="66"/>
    </row>
    <row r="263">
      <c r="A263" s="69" t="s">
        <v>286</v>
      </c>
      <c r="B263" s="73" t="s">
        <v>572</v>
      </c>
      <c r="C263" s="63" t="s">
        <v>248</v>
      </c>
      <c r="D263" s="48">
        <v>188.0</v>
      </c>
      <c r="E263" s="48">
        <v>142.0</v>
      </c>
      <c r="F263" s="48">
        <v>267.0</v>
      </c>
      <c r="G263" s="49">
        <f t="shared" si="1"/>
        <v>7.127832</v>
      </c>
      <c r="H263" s="49">
        <f t="shared" si="2"/>
        <v>266.96</v>
      </c>
      <c r="I263" s="48" t="s">
        <v>170</v>
      </c>
      <c r="J263" s="48" t="s">
        <v>235</v>
      </c>
      <c r="K263" s="50" t="s">
        <v>288</v>
      </c>
      <c r="L263" s="51">
        <v>67.0</v>
      </c>
      <c r="M263" s="50" t="s">
        <v>166</v>
      </c>
      <c r="N263" s="51" t="s">
        <v>174</v>
      </c>
      <c r="O263" s="48">
        <v>178.0</v>
      </c>
      <c r="P263" s="48" t="s">
        <v>170</v>
      </c>
      <c r="Q263" s="48">
        <v>45.0</v>
      </c>
      <c r="R263" s="48">
        <v>2.0</v>
      </c>
      <c r="S263" s="50" t="s">
        <v>166</v>
      </c>
      <c r="T263" s="52" t="s">
        <v>167</v>
      </c>
      <c r="U263" s="52" t="s">
        <v>346</v>
      </c>
      <c r="V263" s="51">
        <v>4.0</v>
      </c>
      <c r="W263" s="48" t="s">
        <v>166</v>
      </c>
      <c r="X263" s="50" t="s">
        <v>166</v>
      </c>
      <c r="Y263" s="51" t="s">
        <v>166</v>
      </c>
      <c r="Z263" s="48" t="s">
        <v>166</v>
      </c>
      <c r="AA263" s="48" t="s">
        <v>166</v>
      </c>
      <c r="AB263" s="48" t="s">
        <v>166</v>
      </c>
      <c r="AC263" s="48">
        <v>1.0</v>
      </c>
      <c r="AD263" s="48" t="s">
        <v>166</v>
      </c>
      <c r="AE263" s="54" t="s">
        <v>166</v>
      </c>
      <c r="AF263" s="55" t="s">
        <v>166</v>
      </c>
      <c r="AG263" s="51" t="s">
        <v>166</v>
      </c>
      <c r="AH263" s="48">
        <v>1.0</v>
      </c>
      <c r="AI263" s="48" t="s">
        <v>166</v>
      </c>
      <c r="AJ263" s="50" t="s">
        <v>166</v>
      </c>
      <c r="AK263" s="56">
        <v>799.0</v>
      </c>
      <c r="AL263" s="57">
        <f>AK263*Sheets!$E$3</f>
        <v>110.1385545</v>
      </c>
      <c r="AM263" s="68"/>
      <c r="AN263" s="70"/>
      <c r="AO263" s="71" t="s">
        <v>181</v>
      </c>
      <c r="AP263" s="71"/>
      <c r="AQ263" s="66"/>
    </row>
    <row r="264">
      <c r="A264" s="82" t="str">
        <f>HYPERLINK("http://lazer3d.com/","Lazer3D")</f>
        <v>Lazer3D</v>
      </c>
      <c r="B264" s="62" t="str">
        <f>HYPERLINK("https://www.lazer3d.com/product/cg7-cravo/","CG7 Cravo")</f>
        <v>CG7 Cravo</v>
      </c>
      <c r="C264" s="63" t="s">
        <v>262</v>
      </c>
      <c r="D264" s="48">
        <v>227.0</v>
      </c>
      <c r="E264" s="48">
        <v>103.0</v>
      </c>
      <c r="F264" s="48">
        <v>305.0</v>
      </c>
      <c r="G264" s="49">
        <f t="shared" si="1"/>
        <v>7.131205</v>
      </c>
      <c r="H264" s="49">
        <f t="shared" si="2"/>
        <v>233.81</v>
      </c>
      <c r="I264" s="48" t="s">
        <v>170</v>
      </c>
      <c r="J264" s="48" t="s">
        <v>245</v>
      </c>
      <c r="K264" s="50" t="s">
        <v>558</v>
      </c>
      <c r="L264" s="51">
        <v>74.0</v>
      </c>
      <c r="M264" s="50" t="s">
        <v>166</v>
      </c>
      <c r="N264" s="51" t="s">
        <v>166</v>
      </c>
      <c r="O264" s="48">
        <v>195.0</v>
      </c>
      <c r="P264" s="48">
        <v>70.0</v>
      </c>
      <c r="Q264" s="48">
        <v>80.0</v>
      </c>
      <c r="R264" s="48" t="s">
        <v>166</v>
      </c>
      <c r="S264" s="50">
        <v>4.0</v>
      </c>
      <c r="T264" s="52" t="s">
        <v>573</v>
      </c>
      <c r="U264" s="52" t="s">
        <v>574</v>
      </c>
      <c r="V264" s="51">
        <v>6.0</v>
      </c>
      <c r="W264" s="48" t="s">
        <v>166</v>
      </c>
      <c r="X264" s="50" t="s">
        <v>166</v>
      </c>
      <c r="Y264" s="51" t="s">
        <v>166</v>
      </c>
      <c r="Z264" s="48" t="s">
        <v>166</v>
      </c>
      <c r="AA264" s="48" t="s">
        <v>166</v>
      </c>
      <c r="AB264" s="48">
        <v>4.0</v>
      </c>
      <c r="AC264" s="48" t="s">
        <v>166</v>
      </c>
      <c r="AD264" s="48" t="s">
        <v>166</v>
      </c>
      <c r="AE264" s="54" t="s">
        <v>166</v>
      </c>
      <c r="AF264" s="55" t="s">
        <v>166</v>
      </c>
      <c r="AG264" s="51" t="s">
        <v>166</v>
      </c>
      <c r="AH264" s="48" t="s">
        <v>166</v>
      </c>
      <c r="AI264" s="48" t="s">
        <v>166</v>
      </c>
      <c r="AJ264" s="50" t="s">
        <v>166</v>
      </c>
      <c r="AK264" s="56" t="s">
        <v>166</v>
      </c>
      <c r="AL264" s="57">
        <f>116.49*1.31</f>
        <v>152.6019</v>
      </c>
      <c r="AM264" s="64" t="str">
        <f>HYPERLINK("https://smallformfactor.net/forum/threads/lazer3d-cg7-cravo-tfx-psu-low-profile-silent-case-project-gregory.5848/","Link")</f>
        <v>Link</v>
      </c>
      <c r="AN264" s="59"/>
      <c r="AO264" s="60"/>
      <c r="AP264" s="60"/>
      <c r="AQ264" s="66"/>
    </row>
    <row r="265">
      <c r="A265" s="61" t="str">
        <f>HYPERLINK("https://www.hydra-shop.com/","Hydra Shop")</f>
        <v>Hydra Shop</v>
      </c>
      <c r="B265" s="62" t="s">
        <v>575</v>
      </c>
      <c r="C265" s="63" t="s">
        <v>282</v>
      </c>
      <c r="D265" s="48">
        <v>210.0</v>
      </c>
      <c r="E265" s="48">
        <v>130.0</v>
      </c>
      <c r="F265" s="48">
        <v>263.0</v>
      </c>
      <c r="G265" s="49">
        <f t="shared" si="1"/>
        <v>7.1799</v>
      </c>
      <c r="H265" s="49">
        <f t="shared" si="2"/>
        <v>273</v>
      </c>
      <c r="I265" s="48">
        <v>1.5</v>
      </c>
      <c r="J265" s="48" t="s">
        <v>282</v>
      </c>
      <c r="K265" s="50" t="s">
        <v>171</v>
      </c>
      <c r="L265" s="51" t="s">
        <v>282</v>
      </c>
      <c r="M265" s="50" t="s">
        <v>166</v>
      </c>
      <c r="N265" s="51" t="s">
        <v>174</v>
      </c>
      <c r="O265" s="48" t="s">
        <v>282</v>
      </c>
      <c r="P265" s="48" t="s">
        <v>282</v>
      </c>
      <c r="Q265" s="48" t="s">
        <v>282</v>
      </c>
      <c r="R265" s="48">
        <v>2.0</v>
      </c>
      <c r="S265" s="50" t="s">
        <v>166</v>
      </c>
      <c r="T265" s="52" t="s">
        <v>167</v>
      </c>
      <c r="U265" s="52" t="s">
        <v>324</v>
      </c>
      <c r="V265" s="51">
        <v>1.0</v>
      </c>
      <c r="W265" s="48" t="s">
        <v>166</v>
      </c>
      <c r="X265" s="50" t="s">
        <v>166</v>
      </c>
      <c r="Y265" s="51" t="s">
        <v>166</v>
      </c>
      <c r="Z265" s="48" t="s">
        <v>166</v>
      </c>
      <c r="AA265" s="48" t="s">
        <v>166</v>
      </c>
      <c r="AB265" s="48" t="s">
        <v>166</v>
      </c>
      <c r="AC265" s="48" t="s">
        <v>166</v>
      </c>
      <c r="AD265" s="48" t="s">
        <v>166</v>
      </c>
      <c r="AE265" s="54" t="s">
        <v>166</v>
      </c>
      <c r="AF265" s="55" t="s">
        <v>166</v>
      </c>
      <c r="AG265" s="51" t="s">
        <v>166</v>
      </c>
      <c r="AH265" s="48" t="s">
        <v>166</v>
      </c>
      <c r="AI265" s="48" t="s">
        <v>166</v>
      </c>
      <c r="AJ265" s="50" t="s">
        <v>166</v>
      </c>
      <c r="AK265" s="56" t="s">
        <v>166</v>
      </c>
      <c r="AL265" s="57">
        <f>54.99*1.12</f>
        <v>61.5888</v>
      </c>
      <c r="AM265" s="68"/>
      <c r="AN265" s="59"/>
      <c r="AO265" s="60"/>
      <c r="AP265" s="65">
        <v>44803.96569166667</v>
      </c>
      <c r="AQ265" s="66"/>
    </row>
    <row r="266">
      <c r="A266" s="69" t="s">
        <v>222</v>
      </c>
      <c r="B266" s="73" t="s">
        <v>576</v>
      </c>
      <c r="C266" s="63" t="s">
        <v>248</v>
      </c>
      <c r="D266" s="48">
        <v>250.0</v>
      </c>
      <c r="E266" s="48">
        <v>116.0</v>
      </c>
      <c r="F266" s="48">
        <v>248.0</v>
      </c>
      <c r="G266" s="49">
        <f t="shared" si="1"/>
        <v>7.192</v>
      </c>
      <c r="H266" s="49">
        <f t="shared" si="2"/>
        <v>290</v>
      </c>
      <c r="I266" s="48" t="s">
        <v>170</v>
      </c>
      <c r="J266" s="48" t="s">
        <v>171</v>
      </c>
      <c r="K266" s="50" t="s">
        <v>171</v>
      </c>
      <c r="L266" s="51">
        <v>43.0</v>
      </c>
      <c r="M266" s="50" t="s">
        <v>166</v>
      </c>
      <c r="N266" s="51" t="s">
        <v>174</v>
      </c>
      <c r="O266" s="48">
        <v>248.0</v>
      </c>
      <c r="P266" s="48">
        <v>150.0</v>
      </c>
      <c r="Q266" s="48">
        <v>50.0</v>
      </c>
      <c r="R266" s="48">
        <v>2.0</v>
      </c>
      <c r="S266" s="50" t="s">
        <v>166</v>
      </c>
      <c r="T266" s="52" t="s">
        <v>167</v>
      </c>
      <c r="U266" s="52" t="s">
        <v>186</v>
      </c>
      <c r="V266" s="51">
        <v>2.0</v>
      </c>
      <c r="W266" s="48" t="s">
        <v>166</v>
      </c>
      <c r="X266" s="50" t="s">
        <v>166</v>
      </c>
      <c r="Y266" s="51" t="s">
        <v>166</v>
      </c>
      <c r="Z266" s="48" t="s">
        <v>166</v>
      </c>
      <c r="AA266" s="48" t="s">
        <v>166</v>
      </c>
      <c r="AB266" s="48" t="s">
        <v>166</v>
      </c>
      <c r="AC266" s="48" t="s">
        <v>166</v>
      </c>
      <c r="AD266" s="48" t="s">
        <v>166</v>
      </c>
      <c r="AE266" s="54" t="s">
        <v>166</v>
      </c>
      <c r="AF266" s="55" t="s">
        <v>166</v>
      </c>
      <c r="AG266" s="51" t="s">
        <v>166</v>
      </c>
      <c r="AH266" s="48" t="s">
        <v>166</v>
      </c>
      <c r="AI266" s="48" t="s">
        <v>166</v>
      </c>
      <c r="AJ266" s="50" t="s">
        <v>166</v>
      </c>
      <c r="AK266" s="56">
        <v>188.0</v>
      </c>
      <c r="AL266" s="57">
        <f>AK266*Sheets!$E$3</f>
        <v>25.914954</v>
      </c>
      <c r="AM266" s="68"/>
      <c r="AN266" s="59"/>
      <c r="AO266" s="60" t="s">
        <v>181</v>
      </c>
      <c r="AP266" s="72">
        <v>44442.726936770836</v>
      </c>
      <c r="AQ266" s="66"/>
    </row>
    <row r="267">
      <c r="A267" s="69" t="s">
        <v>222</v>
      </c>
      <c r="B267" s="96" t="s">
        <v>577</v>
      </c>
      <c r="C267" s="63" t="s">
        <v>248</v>
      </c>
      <c r="D267" s="48">
        <v>310.0</v>
      </c>
      <c r="E267" s="48">
        <v>130.0</v>
      </c>
      <c r="F267" s="48">
        <v>180.0</v>
      </c>
      <c r="G267" s="49">
        <f t="shared" si="1"/>
        <v>7.254</v>
      </c>
      <c r="H267" s="49">
        <f t="shared" si="2"/>
        <v>403</v>
      </c>
      <c r="I267" s="48" t="s">
        <v>170</v>
      </c>
      <c r="J267" s="48" t="s">
        <v>171</v>
      </c>
      <c r="K267" s="50" t="s">
        <v>171</v>
      </c>
      <c r="L267" s="51">
        <v>62.0</v>
      </c>
      <c r="M267" s="50" t="s">
        <v>166</v>
      </c>
      <c r="N267" s="51" t="s">
        <v>174</v>
      </c>
      <c r="O267" s="48">
        <v>310.0</v>
      </c>
      <c r="P267" s="48">
        <v>142.0</v>
      </c>
      <c r="Q267" s="48">
        <v>50.0</v>
      </c>
      <c r="R267" s="48">
        <v>2.0</v>
      </c>
      <c r="S267" s="50" t="s">
        <v>166</v>
      </c>
      <c r="T267" s="52" t="s">
        <v>167</v>
      </c>
      <c r="U267" s="52" t="s">
        <v>346</v>
      </c>
      <c r="V267" s="51">
        <v>2.0</v>
      </c>
      <c r="W267" s="48" t="s">
        <v>166</v>
      </c>
      <c r="X267" s="50" t="s">
        <v>166</v>
      </c>
      <c r="Y267" s="51" t="s">
        <v>166</v>
      </c>
      <c r="Z267" s="48" t="s">
        <v>166</v>
      </c>
      <c r="AA267" s="48" t="s">
        <v>166</v>
      </c>
      <c r="AB267" s="48" t="s">
        <v>166</v>
      </c>
      <c r="AC267" s="48" t="s">
        <v>166</v>
      </c>
      <c r="AD267" s="48" t="s">
        <v>166</v>
      </c>
      <c r="AE267" s="54" t="s">
        <v>166</v>
      </c>
      <c r="AF267" s="55" t="s">
        <v>166</v>
      </c>
      <c r="AG267" s="51" t="s">
        <v>166</v>
      </c>
      <c r="AH267" s="48" t="s">
        <v>166</v>
      </c>
      <c r="AI267" s="48" t="s">
        <v>166</v>
      </c>
      <c r="AJ267" s="50" t="s">
        <v>166</v>
      </c>
      <c r="AK267" s="56">
        <v>238.0</v>
      </c>
      <c r="AL267" s="57">
        <f>AK267*Sheets!$E$3</f>
        <v>32.807229</v>
      </c>
      <c r="AM267" s="68"/>
      <c r="AN267" s="59"/>
      <c r="AO267" s="60" t="s">
        <v>181</v>
      </c>
      <c r="AP267" s="65">
        <v>44556.566390625</v>
      </c>
      <c r="AQ267" s="66"/>
    </row>
    <row r="268">
      <c r="A268" s="69" t="str">
        <f>HYPERLINK("https://sktcase.world.taobao.com/","SKTC")</f>
        <v>SKTC</v>
      </c>
      <c r="B268" s="46" t="s">
        <v>578</v>
      </c>
      <c r="C268" s="63" t="s">
        <v>262</v>
      </c>
      <c r="D268" s="48">
        <v>262.0</v>
      </c>
      <c r="E268" s="48">
        <v>92.0</v>
      </c>
      <c r="F268" s="48">
        <v>303.0</v>
      </c>
      <c r="G268" s="49">
        <f t="shared" si="1"/>
        <v>7.303512</v>
      </c>
      <c r="H268" s="49">
        <f t="shared" si="2"/>
        <v>241.04</v>
      </c>
      <c r="I268" s="48">
        <v>2.3</v>
      </c>
      <c r="J268" s="48" t="s">
        <v>171</v>
      </c>
      <c r="K268" s="50" t="s">
        <v>217</v>
      </c>
      <c r="L268" s="51">
        <v>73.0</v>
      </c>
      <c r="M268" s="50" t="s">
        <v>166</v>
      </c>
      <c r="N268" s="51" t="s">
        <v>166</v>
      </c>
      <c r="O268" s="48" t="s">
        <v>170</v>
      </c>
      <c r="P268" s="48">
        <v>70.0</v>
      </c>
      <c r="Q268" s="48">
        <v>60.0</v>
      </c>
      <c r="R268" s="48" t="s">
        <v>166</v>
      </c>
      <c r="S268" s="50">
        <v>3.0</v>
      </c>
      <c r="T268" s="52" t="s">
        <v>423</v>
      </c>
      <c r="U268" s="52" t="s">
        <v>186</v>
      </c>
      <c r="V268" s="51" t="s">
        <v>193</v>
      </c>
      <c r="W268" s="48" t="s">
        <v>194</v>
      </c>
      <c r="X268" s="50" t="s">
        <v>166</v>
      </c>
      <c r="Y268" s="51" t="s">
        <v>166</v>
      </c>
      <c r="Z268" s="48" t="s">
        <v>166</v>
      </c>
      <c r="AA268" s="48" t="s">
        <v>166</v>
      </c>
      <c r="AB268" s="48" t="s">
        <v>166</v>
      </c>
      <c r="AC268" s="48" t="s">
        <v>166</v>
      </c>
      <c r="AD268" s="48" t="s">
        <v>166</v>
      </c>
      <c r="AE268" s="54" t="s">
        <v>166</v>
      </c>
      <c r="AF268" s="55" t="s">
        <v>166</v>
      </c>
      <c r="AG268" s="51">
        <v>2.0</v>
      </c>
      <c r="AH268" s="48">
        <v>2.0</v>
      </c>
      <c r="AI268" s="48" t="s">
        <v>166</v>
      </c>
      <c r="AJ268" s="50" t="s">
        <v>174</v>
      </c>
      <c r="AK268" s="56">
        <v>139.0</v>
      </c>
      <c r="AL268" s="57">
        <f>AK268*Sheets!$E$3</f>
        <v>19.1605245</v>
      </c>
      <c r="AM268" s="68"/>
      <c r="AN268" s="59"/>
      <c r="AO268" s="60"/>
      <c r="AP268" s="65">
        <v>44681.59512778935</v>
      </c>
      <c r="AQ268" s="66"/>
    </row>
    <row r="269">
      <c r="A269" s="61" t="str">
        <f>HYPERLINK("http://sliger.com/","Sliger")</f>
        <v>Sliger</v>
      </c>
      <c r="B269" s="67" t="s">
        <v>579</v>
      </c>
      <c r="C269" s="63" t="s">
        <v>248</v>
      </c>
      <c r="D269" s="48">
        <v>183.1</v>
      </c>
      <c r="E269" s="48">
        <v>115.1</v>
      </c>
      <c r="F269" s="48">
        <v>346.9</v>
      </c>
      <c r="G269" s="49">
        <f t="shared" si="1"/>
        <v>7.310851589</v>
      </c>
      <c r="H269" s="49">
        <f t="shared" si="2"/>
        <v>210.7481</v>
      </c>
      <c r="I269" s="48" t="s">
        <v>170</v>
      </c>
      <c r="J269" s="48" t="s">
        <v>164</v>
      </c>
      <c r="K269" s="50" t="s">
        <v>580</v>
      </c>
      <c r="L269" s="51">
        <v>50.0</v>
      </c>
      <c r="M269" s="50" t="s">
        <v>166</v>
      </c>
      <c r="N269" s="51" t="s">
        <v>174</v>
      </c>
      <c r="O269" s="48">
        <v>322.1</v>
      </c>
      <c r="P269" s="48">
        <v>152.2</v>
      </c>
      <c r="Q269" s="48">
        <v>45.6</v>
      </c>
      <c r="R269" s="48">
        <v>2.0</v>
      </c>
      <c r="S269" s="50" t="s">
        <v>166</v>
      </c>
      <c r="T269" s="52" t="s">
        <v>167</v>
      </c>
      <c r="U269" s="52" t="s">
        <v>324</v>
      </c>
      <c r="V269" s="51" t="s">
        <v>581</v>
      </c>
      <c r="W269" s="48" t="s">
        <v>194</v>
      </c>
      <c r="X269" s="50" t="s">
        <v>166</v>
      </c>
      <c r="Y269" s="51" t="s">
        <v>166</v>
      </c>
      <c r="Z269" s="48" t="s">
        <v>166</v>
      </c>
      <c r="AA269" s="48" t="s">
        <v>166</v>
      </c>
      <c r="AB269" s="48" t="s">
        <v>166</v>
      </c>
      <c r="AC269" s="48" t="s">
        <v>166</v>
      </c>
      <c r="AD269" s="48" t="s">
        <v>166</v>
      </c>
      <c r="AE269" s="54" t="s">
        <v>166</v>
      </c>
      <c r="AF269" s="55" t="s">
        <v>166</v>
      </c>
      <c r="AG269" s="51" t="s">
        <v>166</v>
      </c>
      <c r="AH269" s="48" t="s">
        <v>166</v>
      </c>
      <c r="AI269" s="48" t="s">
        <v>166</v>
      </c>
      <c r="AJ269" s="50" t="s">
        <v>166</v>
      </c>
      <c r="AK269" s="56" t="s">
        <v>166</v>
      </c>
      <c r="AL269" s="57">
        <v>175.0</v>
      </c>
      <c r="AM269" s="64" t="str">
        <f>HYPERLINK("https://smallformfactor.net/forum/threads/dse-breathe-a-7-3l-vertical-format-itx-tower.1584/","Link")</f>
        <v>Link</v>
      </c>
      <c r="AN269" s="59"/>
      <c r="AO269" s="60" t="s">
        <v>181</v>
      </c>
      <c r="AP269" s="65">
        <v>44556.56681462963</v>
      </c>
      <c r="AQ269" s="66"/>
    </row>
    <row r="270">
      <c r="A270" s="69" t="str">
        <f>HYPERLINK("https://hzmod.world.taobao.com/","HZ MOD")</f>
        <v>HZ MOD</v>
      </c>
      <c r="B270" s="73" t="s">
        <v>582</v>
      </c>
      <c r="C270" s="63" t="s">
        <v>225</v>
      </c>
      <c r="D270" s="48">
        <v>313.0</v>
      </c>
      <c r="E270" s="48">
        <v>69.0</v>
      </c>
      <c r="F270" s="48">
        <v>339.0</v>
      </c>
      <c r="G270" s="49">
        <f t="shared" si="1"/>
        <v>7.321383</v>
      </c>
      <c r="H270" s="49">
        <f t="shared" si="2"/>
        <v>215.97</v>
      </c>
      <c r="I270" s="48" t="s">
        <v>170</v>
      </c>
      <c r="J270" s="48" t="s">
        <v>171</v>
      </c>
      <c r="K270" s="50" t="s">
        <v>583</v>
      </c>
      <c r="L270" s="51">
        <v>50.0</v>
      </c>
      <c r="M270" s="50">
        <v>120.0</v>
      </c>
      <c r="N270" s="51" t="s">
        <v>174</v>
      </c>
      <c r="O270" s="48">
        <v>310.0</v>
      </c>
      <c r="P270" s="48">
        <v>147.0</v>
      </c>
      <c r="Q270" s="48">
        <v>48.0</v>
      </c>
      <c r="R270" s="48">
        <v>2.0</v>
      </c>
      <c r="S270" s="50" t="s">
        <v>166</v>
      </c>
      <c r="T270" s="52" t="s">
        <v>167</v>
      </c>
      <c r="U270" s="52" t="s">
        <v>346</v>
      </c>
      <c r="V270" s="51" t="s">
        <v>584</v>
      </c>
      <c r="W270" s="48" t="s">
        <v>166</v>
      </c>
      <c r="X270" s="50" t="s">
        <v>166</v>
      </c>
      <c r="Y270" s="51" t="s">
        <v>166</v>
      </c>
      <c r="Z270" s="48" t="s">
        <v>166</v>
      </c>
      <c r="AA270" s="48" t="s">
        <v>166</v>
      </c>
      <c r="AB270" s="48" t="s">
        <v>166</v>
      </c>
      <c r="AC270" s="48" t="s">
        <v>194</v>
      </c>
      <c r="AD270" s="48" t="s">
        <v>166</v>
      </c>
      <c r="AE270" s="54" t="s">
        <v>166</v>
      </c>
      <c r="AF270" s="55" t="s">
        <v>166</v>
      </c>
      <c r="AG270" s="51" t="s">
        <v>166</v>
      </c>
      <c r="AH270" s="48">
        <v>2.0</v>
      </c>
      <c r="AI270" s="48" t="s">
        <v>166</v>
      </c>
      <c r="AJ270" s="50" t="s">
        <v>166</v>
      </c>
      <c r="AK270" s="56">
        <v>909.0</v>
      </c>
      <c r="AL270" s="57">
        <f>AK270*Sheets!$E$3</f>
        <v>125.3015595</v>
      </c>
      <c r="AM270" s="68"/>
      <c r="AN270" s="59"/>
      <c r="AO270" s="60" t="s">
        <v>181</v>
      </c>
      <c r="AP270" s="65">
        <v>44690.7537108449</v>
      </c>
      <c r="AQ270" s="66"/>
    </row>
    <row r="271">
      <c r="A271" s="69" t="s">
        <v>222</v>
      </c>
      <c r="B271" s="73" t="s">
        <v>585</v>
      </c>
      <c r="C271" s="63" t="s">
        <v>248</v>
      </c>
      <c r="D271" s="48">
        <v>305.0</v>
      </c>
      <c r="E271" s="48">
        <v>135.0</v>
      </c>
      <c r="F271" s="48">
        <v>178.0</v>
      </c>
      <c r="G271" s="49">
        <f t="shared" si="1"/>
        <v>7.32915</v>
      </c>
      <c r="H271" s="49">
        <f t="shared" si="2"/>
        <v>411.75</v>
      </c>
      <c r="I271" s="48">
        <v>1.32</v>
      </c>
      <c r="J271" s="48" t="s">
        <v>171</v>
      </c>
      <c r="K271" s="50" t="s">
        <v>171</v>
      </c>
      <c r="L271" s="51">
        <v>56.0</v>
      </c>
      <c r="M271" s="50" t="s">
        <v>166</v>
      </c>
      <c r="N271" s="51" t="s">
        <v>174</v>
      </c>
      <c r="O271" s="48">
        <v>302.0</v>
      </c>
      <c r="P271" s="48">
        <v>150.0</v>
      </c>
      <c r="Q271" s="48">
        <v>55.0</v>
      </c>
      <c r="R271" s="48">
        <v>2.0</v>
      </c>
      <c r="S271" s="50" t="s">
        <v>166</v>
      </c>
      <c r="T271" s="52" t="s">
        <v>167</v>
      </c>
      <c r="U271" s="52" t="s">
        <v>346</v>
      </c>
      <c r="V271" s="51">
        <v>2.0</v>
      </c>
      <c r="W271" s="48" t="s">
        <v>194</v>
      </c>
      <c r="X271" s="50" t="s">
        <v>166</v>
      </c>
      <c r="Y271" s="51" t="s">
        <v>166</v>
      </c>
      <c r="Z271" s="48" t="s">
        <v>166</v>
      </c>
      <c r="AA271" s="48" t="s">
        <v>166</v>
      </c>
      <c r="AB271" s="48" t="s">
        <v>166</v>
      </c>
      <c r="AC271" s="48" t="s">
        <v>166</v>
      </c>
      <c r="AD271" s="48" t="s">
        <v>166</v>
      </c>
      <c r="AE271" s="54" t="s">
        <v>166</v>
      </c>
      <c r="AF271" s="55" t="s">
        <v>166</v>
      </c>
      <c r="AG271" s="51" t="s">
        <v>166</v>
      </c>
      <c r="AH271" s="48" t="s">
        <v>166</v>
      </c>
      <c r="AI271" s="48" t="s">
        <v>166</v>
      </c>
      <c r="AJ271" s="50" t="s">
        <v>166</v>
      </c>
      <c r="AK271" s="56">
        <v>138.0</v>
      </c>
      <c r="AL271" s="57">
        <f>AK271*Sheets!$E$3</f>
        <v>19.022679</v>
      </c>
      <c r="AM271" s="68"/>
      <c r="AN271" s="59"/>
      <c r="AO271" s="60" t="s">
        <v>181</v>
      </c>
      <c r="AP271" s="60"/>
      <c r="AQ271" s="66"/>
    </row>
    <row r="272">
      <c r="A272" s="69" t="s">
        <v>222</v>
      </c>
      <c r="B272" s="46" t="s">
        <v>586</v>
      </c>
      <c r="C272" s="63" t="s">
        <v>248</v>
      </c>
      <c r="D272" s="48">
        <v>210.0</v>
      </c>
      <c r="E272" s="48">
        <v>133.0</v>
      </c>
      <c r="F272" s="48">
        <v>263.0</v>
      </c>
      <c r="G272" s="49">
        <f t="shared" si="1"/>
        <v>7.34559</v>
      </c>
      <c r="H272" s="49">
        <f t="shared" si="2"/>
        <v>279.3</v>
      </c>
      <c r="I272" s="48">
        <v>0.96</v>
      </c>
      <c r="J272" s="48" t="s">
        <v>171</v>
      </c>
      <c r="K272" s="50" t="s">
        <v>171</v>
      </c>
      <c r="L272" s="51">
        <v>64.0</v>
      </c>
      <c r="M272" s="50" t="s">
        <v>166</v>
      </c>
      <c r="N272" s="51" t="s">
        <v>174</v>
      </c>
      <c r="O272" s="48">
        <v>208.0</v>
      </c>
      <c r="P272" s="48">
        <v>150.0</v>
      </c>
      <c r="Q272" s="48">
        <v>44.0</v>
      </c>
      <c r="R272" s="48">
        <v>2.0</v>
      </c>
      <c r="S272" s="50" t="s">
        <v>166</v>
      </c>
      <c r="T272" s="52" t="s">
        <v>227</v>
      </c>
      <c r="U272" s="52" t="s">
        <v>346</v>
      </c>
      <c r="V272" s="51">
        <v>2.0</v>
      </c>
      <c r="W272" s="48" t="s">
        <v>194</v>
      </c>
      <c r="X272" s="50" t="s">
        <v>166</v>
      </c>
      <c r="Y272" s="51" t="s">
        <v>166</v>
      </c>
      <c r="Z272" s="48" t="s">
        <v>166</v>
      </c>
      <c r="AA272" s="48" t="s">
        <v>166</v>
      </c>
      <c r="AB272" s="48">
        <v>2.0</v>
      </c>
      <c r="AC272" s="48" t="s">
        <v>166</v>
      </c>
      <c r="AD272" s="48" t="s">
        <v>166</v>
      </c>
      <c r="AE272" s="54" t="s">
        <v>166</v>
      </c>
      <c r="AF272" s="55" t="s">
        <v>166</v>
      </c>
      <c r="AG272" s="51" t="s">
        <v>166</v>
      </c>
      <c r="AH272" s="48">
        <v>1.0</v>
      </c>
      <c r="AI272" s="48" t="s">
        <v>166</v>
      </c>
      <c r="AJ272" s="50" t="s">
        <v>174</v>
      </c>
      <c r="AK272" s="56">
        <v>118.0</v>
      </c>
      <c r="AL272" s="57">
        <f>AK272*Sheets!$E$3</f>
        <v>16.265769</v>
      </c>
      <c r="AM272" s="68"/>
      <c r="AN272" s="70"/>
      <c r="AO272" s="71"/>
      <c r="AP272" s="72">
        <v>44735.74424410879</v>
      </c>
      <c r="AQ272" s="66"/>
    </row>
    <row r="273">
      <c r="A273" s="46" t="s">
        <v>506</v>
      </c>
      <c r="B273" s="46" t="s">
        <v>587</v>
      </c>
      <c r="C273" s="63" t="s">
        <v>248</v>
      </c>
      <c r="D273" s="48">
        <v>220.0</v>
      </c>
      <c r="E273" s="48">
        <v>125.0</v>
      </c>
      <c r="F273" s="48">
        <v>268.0</v>
      </c>
      <c r="G273" s="49">
        <f t="shared" si="1"/>
        <v>7.37</v>
      </c>
      <c r="H273" s="49">
        <f t="shared" si="2"/>
        <v>275</v>
      </c>
      <c r="I273" s="48">
        <v>1.7</v>
      </c>
      <c r="J273" s="48" t="s">
        <v>245</v>
      </c>
      <c r="K273" s="50" t="s">
        <v>164</v>
      </c>
      <c r="L273" s="51">
        <v>53.0</v>
      </c>
      <c r="M273" s="50" t="s">
        <v>166</v>
      </c>
      <c r="N273" s="51" t="s">
        <v>174</v>
      </c>
      <c r="O273" s="48">
        <v>260.0</v>
      </c>
      <c r="P273" s="48">
        <v>128.0</v>
      </c>
      <c r="Q273" s="48">
        <v>45.0</v>
      </c>
      <c r="R273" s="48">
        <v>2.0</v>
      </c>
      <c r="S273" s="50" t="s">
        <v>166</v>
      </c>
      <c r="T273" s="52" t="s">
        <v>167</v>
      </c>
      <c r="U273" s="52" t="s">
        <v>186</v>
      </c>
      <c r="V273" s="51">
        <v>1.0</v>
      </c>
      <c r="W273" s="48" t="s">
        <v>166</v>
      </c>
      <c r="X273" s="50" t="s">
        <v>166</v>
      </c>
      <c r="Y273" s="51" t="s">
        <v>166</v>
      </c>
      <c r="Z273" s="48" t="s">
        <v>166</v>
      </c>
      <c r="AA273" s="48" t="s">
        <v>166</v>
      </c>
      <c r="AB273" s="48">
        <v>4.0</v>
      </c>
      <c r="AC273" s="48" t="s">
        <v>166</v>
      </c>
      <c r="AD273" s="48" t="s">
        <v>166</v>
      </c>
      <c r="AE273" s="54" t="s">
        <v>166</v>
      </c>
      <c r="AF273" s="55" t="s">
        <v>166</v>
      </c>
      <c r="AG273" s="51" t="s">
        <v>166</v>
      </c>
      <c r="AH273" s="48">
        <v>1.0</v>
      </c>
      <c r="AI273" s="48" t="s">
        <v>166</v>
      </c>
      <c r="AJ273" s="50" t="s">
        <v>166</v>
      </c>
      <c r="AK273" s="56">
        <v>298.0</v>
      </c>
      <c r="AL273" s="57">
        <f>AK273*Sheets!$E$3</f>
        <v>41.077959</v>
      </c>
      <c r="AM273" s="68"/>
      <c r="AN273" s="59"/>
      <c r="AO273" s="60" t="s">
        <v>181</v>
      </c>
      <c r="AP273" s="65">
        <v>44446.90518298611</v>
      </c>
      <c r="AQ273" s="66"/>
    </row>
    <row r="274">
      <c r="A274" s="69" t="s">
        <v>286</v>
      </c>
      <c r="B274" s="46" t="str">
        <f>HYPERLINK("https://item.taobao.com/item.htm?id=605466225742","V6.1")</f>
        <v>V6.1</v>
      </c>
      <c r="C274" s="63" t="s">
        <v>248</v>
      </c>
      <c r="D274" s="48">
        <v>188.0</v>
      </c>
      <c r="E274" s="48">
        <v>142.0</v>
      </c>
      <c r="F274" s="48">
        <v>277.0</v>
      </c>
      <c r="G274" s="49">
        <f t="shared" si="1"/>
        <v>7.394792</v>
      </c>
      <c r="H274" s="49">
        <f t="shared" si="2"/>
        <v>266.96</v>
      </c>
      <c r="I274" s="48" t="s">
        <v>170</v>
      </c>
      <c r="J274" s="48" t="s">
        <v>235</v>
      </c>
      <c r="K274" s="50" t="s">
        <v>328</v>
      </c>
      <c r="L274" s="51">
        <v>72.0</v>
      </c>
      <c r="M274" s="50" t="s">
        <v>166</v>
      </c>
      <c r="N274" s="51" t="s">
        <v>174</v>
      </c>
      <c r="O274" s="48">
        <v>180.0</v>
      </c>
      <c r="P274" s="48" t="s">
        <v>170</v>
      </c>
      <c r="Q274" s="48">
        <v>45.0</v>
      </c>
      <c r="R274" s="48">
        <v>2.0</v>
      </c>
      <c r="S274" s="50" t="s">
        <v>166</v>
      </c>
      <c r="T274" s="52" t="s">
        <v>167</v>
      </c>
      <c r="U274" s="52" t="s">
        <v>346</v>
      </c>
      <c r="V274" s="51">
        <v>4.0</v>
      </c>
      <c r="W274" s="48" t="s">
        <v>166</v>
      </c>
      <c r="X274" s="50" t="s">
        <v>166</v>
      </c>
      <c r="Y274" s="51" t="s">
        <v>166</v>
      </c>
      <c r="Z274" s="48" t="s">
        <v>166</v>
      </c>
      <c r="AA274" s="48" t="s">
        <v>166</v>
      </c>
      <c r="AB274" s="48" t="s">
        <v>166</v>
      </c>
      <c r="AC274" s="48">
        <v>1.0</v>
      </c>
      <c r="AD274" s="48" t="s">
        <v>166</v>
      </c>
      <c r="AE274" s="54" t="s">
        <v>166</v>
      </c>
      <c r="AF274" s="55" t="s">
        <v>166</v>
      </c>
      <c r="AG274" s="51" t="s">
        <v>166</v>
      </c>
      <c r="AH274" s="48" t="s">
        <v>166</v>
      </c>
      <c r="AI274" s="48" t="s">
        <v>166</v>
      </c>
      <c r="AJ274" s="50" t="s">
        <v>166</v>
      </c>
      <c r="AK274" s="56">
        <v>729.0</v>
      </c>
      <c r="AL274" s="57">
        <f>AK274*Sheets!$E$3</f>
        <v>100.4893695</v>
      </c>
      <c r="AM274" s="68"/>
      <c r="AN274" s="70"/>
      <c r="AO274" s="71"/>
      <c r="AP274" s="72">
        <v>44442.74419369213</v>
      </c>
      <c r="AQ274" s="66"/>
    </row>
    <row r="275">
      <c r="A275" s="46" t="s">
        <v>404</v>
      </c>
      <c r="B275" s="73" t="s">
        <v>588</v>
      </c>
      <c r="C275" s="63" t="s">
        <v>248</v>
      </c>
      <c r="D275" s="48">
        <v>192.0</v>
      </c>
      <c r="E275" s="48">
        <v>145.0</v>
      </c>
      <c r="F275" s="48">
        <v>266.0</v>
      </c>
      <c r="G275" s="49">
        <f t="shared" si="1"/>
        <v>7.40544</v>
      </c>
      <c r="H275" s="49">
        <f t="shared" si="2"/>
        <v>278.4</v>
      </c>
      <c r="I275" s="48">
        <v>2.0</v>
      </c>
      <c r="J275" s="48" t="s">
        <v>235</v>
      </c>
      <c r="K275" s="50" t="s">
        <v>589</v>
      </c>
      <c r="L275" s="51">
        <v>67.0</v>
      </c>
      <c r="M275" s="50" t="s">
        <v>501</v>
      </c>
      <c r="N275" s="51" t="s">
        <v>174</v>
      </c>
      <c r="O275" s="48">
        <v>185.0</v>
      </c>
      <c r="P275" s="48" t="s">
        <v>170</v>
      </c>
      <c r="Q275" s="48">
        <v>42.0</v>
      </c>
      <c r="R275" s="48">
        <v>2.0</v>
      </c>
      <c r="S275" s="50" t="s">
        <v>166</v>
      </c>
      <c r="T275" s="52" t="s">
        <v>167</v>
      </c>
      <c r="U275" s="52" t="s">
        <v>346</v>
      </c>
      <c r="V275" s="51">
        <v>6.0</v>
      </c>
      <c r="W275" s="48" t="s">
        <v>166</v>
      </c>
      <c r="X275" s="50" t="s">
        <v>166</v>
      </c>
      <c r="Y275" s="51" t="s">
        <v>166</v>
      </c>
      <c r="Z275" s="48" t="s">
        <v>166</v>
      </c>
      <c r="AA275" s="48" t="s">
        <v>166</v>
      </c>
      <c r="AB275" s="48" t="s">
        <v>166</v>
      </c>
      <c r="AC275" s="48" t="s">
        <v>194</v>
      </c>
      <c r="AD275" s="48" t="s">
        <v>194</v>
      </c>
      <c r="AE275" s="54" t="s">
        <v>166</v>
      </c>
      <c r="AF275" s="55" t="s">
        <v>166</v>
      </c>
      <c r="AG275" s="51" t="s">
        <v>166</v>
      </c>
      <c r="AH275" s="48" t="s">
        <v>166</v>
      </c>
      <c r="AI275" s="48" t="s">
        <v>166</v>
      </c>
      <c r="AJ275" s="50" t="s">
        <v>166</v>
      </c>
      <c r="AK275" s="56">
        <v>599.0</v>
      </c>
      <c r="AL275" s="57">
        <f>AK275*Sheets!$E$3</f>
        <v>82.5694545</v>
      </c>
      <c r="AM275" s="58"/>
      <c r="AN275" s="59"/>
      <c r="AO275" s="60" t="s">
        <v>181</v>
      </c>
      <c r="AP275" s="65">
        <v>44718.9842005324</v>
      </c>
      <c r="AQ275" s="66"/>
    </row>
    <row r="276">
      <c r="A276" s="69" t="s">
        <v>222</v>
      </c>
      <c r="B276" s="73" t="s">
        <v>590</v>
      </c>
      <c r="C276" s="63" t="s">
        <v>248</v>
      </c>
      <c r="D276" s="48">
        <v>210.0</v>
      </c>
      <c r="E276" s="48">
        <v>140.0</v>
      </c>
      <c r="F276" s="48">
        <v>252.0</v>
      </c>
      <c r="G276" s="49">
        <f t="shared" si="1"/>
        <v>7.4088</v>
      </c>
      <c r="H276" s="49">
        <f t="shared" si="2"/>
        <v>294</v>
      </c>
      <c r="I276" s="48">
        <v>1.38</v>
      </c>
      <c r="J276" s="48" t="s">
        <v>336</v>
      </c>
      <c r="K276" s="50" t="s">
        <v>171</v>
      </c>
      <c r="L276" s="51">
        <v>68.0</v>
      </c>
      <c r="M276" s="50" t="s">
        <v>166</v>
      </c>
      <c r="N276" s="51" t="s">
        <v>174</v>
      </c>
      <c r="O276" s="48">
        <v>208.0</v>
      </c>
      <c r="P276" s="48">
        <v>160.0</v>
      </c>
      <c r="Q276" s="48">
        <v>48.0</v>
      </c>
      <c r="R276" s="48">
        <v>2.0</v>
      </c>
      <c r="S276" s="50" t="s">
        <v>166</v>
      </c>
      <c r="T276" s="52" t="s">
        <v>227</v>
      </c>
      <c r="U276" s="52" t="s">
        <v>186</v>
      </c>
      <c r="V276" s="51">
        <v>2.0</v>
      </c>
      <c r="W276" s="48" t="s">
        <v>166</v>
      </c>
      <c r="X276" s="50" t="s">
        <v>166</v>
      </c>
      <c r="Y276" s="51" t="s">
        <v>166</v>
      </c>
      <c r="Z276" s="48" t="s">
        <v>166</v>
      </c>
      <c r="AA276" s="48" t="s">
        <v>193</v>
      </c>
      <c r="AB276" s="48" t="s">
        <v>193</v>
      </c>
      <c r="AC276" s="48" t="s">
        <v>166</v>
      </c>
      <c r="AD276" s="48" t="s">
        <v>166</v>
      </c>
      <c r="AE276" s="54" t="s">
        <v>166</v>
      </c>
      <c r="AF276" s="55" t="s">
        <v>166</v>
      </c>
      <c r="AG276" s="51" t="s">
        <v>166</v>
      </c>
      <c r="AH276" s="48" t="s">
        <v>166</v>
      </c>
      <c r="AI276" s="48" t="s">
        <v>166</v>
      </c>
      <c r="AJ276" s="50" t="s">
        <v>166</v>
      </c>
      <c r="AK276" s="56">
        <v>118.0</v>
      </c>
      <c r="AL276" s="57">
        <f>AK276*Sheets!$E$3</f>
        <v>16.265769</v>
      </c>
      <c r="AM276" s="68"/>
      <c r="AN276" s="59"/>
      <c r="AO276" s="60" t="s">
        <v>181</v>
      </c>
      <c r="AP276" s="72">
        <v>44442.72786771991</v>
      </c>
      <c r="AQ276" s="66"/>
    </row>
    <row r="277">
      <c r="A277" s="69" t="s">
        <v>591</v>
      </c>
      <c r="B277" s="46" t="s">
        <v>592</v>
      </c>
      <c r="C277" s="63" t="s">
        <v>248</v>
      </c>
      <c r="D277" s="48">
        <v>215.0</v>
      </c>
      <c r="E277" s="48">
        <v>138.0</v>
      </c>
      <c r="F277" s="48">
        <v>250.0</v>
      </c>
      <c r="G277" s="49">
        <f t="shared" si="1"/>
        <v>7.4175</v>
      </c>
      <c r="H277" s="49">
        <f t="shared" si="2"/>
        <v>296.7</v>
      </c>
      <c r="I277" s="48" t="s">
        <v>170</v>
      </c>
      <c r="J277" s="48" t="s">
        <v>245</v>
      </c>
      <c r="K277" s="50" t="s">
        <v>185</v>
      </c>
      <c r="L277" s="51">
        <v>70.0</v>
      </c>
      <c r="M277" s="50" t="s">
        <v>166</v>
      </c>
      <c r="N277" s="51" t="s">
        <v>174</v>
      </c>
      <c r="O277" s="48">
        <v>210.0</v>
      </c>
      <c r="P277" s="48" t="s">
        <v>170</v>
      </c>
      <c r="Q277" s="48">
        <v>45.0</v>
      </c>
      <c r="R277" s="48">
        <v>2.0</v>
      </c>
      <c r="S277" s="50" t="s">
        <v>166</v>
      </c>
      <c r="T277" s="52" t="s">
        <v>167</v>
      </c>
      <c r="U277" s="52" t="s">
        <v>346</v>
      </c>
      <c r="V277" s="51">
        <v>3.0</v>
      </c>
      <c r="W277" s="48" t="s">
        <v>166</v>
      </c>
      <c r="X277" s="50" t="s">
        <v>166</v>
      </c>
      <c r="Y277" s="51" t="s">
        <v>166</v>
      </c>
      <c r="Z277" s="48" t="s">
        <v>166</v>
      </c>
      <c r="AA277" s="48" t="s">
        <v>166</v>
      </c>
      <c r="AB277" s="48" t="s">
        <v>166</v>
      </c>
      <c r="AC277" s="48" t="s">
        <v>166</v>
      </c>
      <c r="AD277" s="48" t="s">
        <v>166</v>
      </c>
      <c r="AE277" s="54" t="s">
        <v>166</v>
      </c>
      <c r="AF277" s="55" t="s">
        <v>166</v>
      </c>
      <c r="AG277" s="51" t="s">
        <v>166</v>
      </c>
      <c r="AH277" s="48">
        <v>1.0</v>
      </c>
      <c r="AI277" s="48" t="s">
        <v>166</v>
      </c>
      <c r="AJ277" s="50" t="s">
        <v>166</v>
      </c>
      <c r="AK277" s="56">
        <v>169.0</v>
      </c>
      <c r="AL277" s="57">
        <f>AK277*Sheets!$E$3</f>
        <v>23.2958895</v>
      </c>
      <c r="AM277" s="68"/>
      <c r="AN277" s="70"/>
      <c r="AO277" s="71"/>
      <c r="AP277" s="71"/>
      <c r="AQ277" s="66"/>
    </row>
    <row r="278">
      <c r="A278" s="61" t="s">
        <v>178</v>
      </c>
      <c r="B278" s="67" t="s">
        <v>593</v>
      </c>
      <c r="C278" s="63" t="s">
        <v>225</v>
      </c>
      <c r="D278" s="48">
        <v>308.0</v>
      </c>
      <c r="E278" s="48">
        <v>71.0</v>
      </c>
      <c r="F278" s="48">
        <v>340.0</v>
      </c>
      <c r="G278" s="49">
        <f t="shared" si="1"/>
        <v>7.43512</v>
      </c>
      <c r="H278" s="49">
        <f t="shared" si="2"/>
        <v>218.68</v>
      </c>
      <c r="I278" s="48" t="s">
        <v>170</v>
      </c>
      <c r="J278" s="48" t="s">
        <v>164</v>
      </c>
      <c r="K278" s="50" t="s">
        <v>305</v>
      </c>
      <c r="L278" s="51">
        <v>50.0</v>
      </c>
      <c r="M278" s="50">
        <v>120.0</v>
      </c>
      <c r="N278" s="51" t="s">
        <v>174</v>
      </c>
      <c r="O278" s="48">
        <v>300.0</v>
      </c>
      <c r="P278" s="48">
        <v>135.0</v>
      </c>
      <c r="Q278" s="48">
        <v>60.0</v>
      </c>
      <c r="R278" s="48">
        <v>3.0</v>
      </c>
      <c r="S278" s="50" t="s">
        <v>166</v>
      </c>
      <c r="T278" s="52" t="s">
        <v>167</v>
      </c>
      <c r="U278" s="52" t="s">
        <v>346</v>
      </c>
      <c r="V278" s="51" t="s">
        <v>426</v>
      </c>
      <c r="W278" s="48" t="s">
        <v>166</v>
      </c>
      <c r="X278" s="50" t="s">
        <v>166</v>
      </c>
      <c r="Y278" s="51" t="s">
        <v>166</v>
      </c>
      <c r="Z278" s="48" t="s">
        <v>193</v>
      </c>
      <c r="AA278" s="48" t="s">
        <v>166</v>
      </c>
      <c r="AB278" s="48" t="s">
        <v>166</v>
      </c>
      <c r="AC278" s="48" t="s">
        <v>194</v>
      </c>
      <c r="AD278" s="48" t="s">
        <v>166</v>
      </c>
      <c r="AE278" s="54" t="s">
        <v>166</v>
      </c>
      <c r="AF278" s="55" t="s">
        <v>166</v>
      </c>
      <c r="AG278" s="51" t="s">
        <v>166</v>
      </c>
      <c r="AH278" s="48">
        <v>2.0</v>
      </c>
      <c r="AI278" s="48" t="s">
        <v>166</v>
      </c>
      <c r="AJ278" s="50" t="s">
        <v>166</v>
      </c>
      <c r="AK278" s="56" t="s">
        <v>166</v>
      </c>
      <c r="AL278" s="57">
        <v>185.0</v>
      </c>
      <c r="AM278" s="58"/>
      <c r="AN278" s="70"/>
      <c r="AO278" s="60" t="s">
        <v>181</v>
      </c>
      <c r="AP278" s="72">
        <v>45184.70479236111</v>
      </c>
      <c r="AQ278" s="66"/>
    </row>
    <row r="279">
      <c r="A279" s="46" t="s">
        <v>594</v>
      </c>
      <c r="B279" s="46" t="s">
        <v>595</v>
      </c>
      <c r="C279" s="63" t="s">
        <v>248</v>
      </c>
      <c r="D279" s="48">
        <v>190.0</v>
      </c>
      <c r="E279" s="48">
        <v>145.0</v>
      </c>
      <c r="F279" s="48">
        <v>270.0</v>
      </c>
      <c r="G279" s="49">
        <f t="shared" si="1"/>
        <v>7.4385</v>
      </c>
      <c r="H279" s="49">
        <f t="shared" si="2"/>
        <v>275.5</v>
      </c>
      <c r="I279" s="48">
        <v>2.0</v>
      </c>
      <c r="J279" s="48" t="s">
        <v>240</v>
      </c>
      <c r="K279" s="50" t="s">
        <v>375</v>
      </c>
      <c r="L279" s="51">
        <v>75.0</v>
      </c>
      <c r="M279" s="50" t="s">
        <v>166</v>
      </c>
      <c r="N279" s="51" t="s">
        <v>174</v>
      </c>
      <c r="O279" s="48">
        <v>180.0</v>
      </c>
      <c r="P279" s="48">
        <v>130.0</v>
      </c>
      <c r="Q279" s="48">
        <v>45.0</v>
      </c>
      <c r="R279" s="48">
        <v>2.0</v>
      </c>
      <c r="S279" s="50" t="s">
        <v>166</v>
      </c>
      <c r="T279" s="52" t="s">
        <v>167</v>
      </c>
      <c r="U279" s="52" t="s">
        <v>324</v>
      </c>
      <c r="V279" s="51">
        <v>2.0</v>
      </c>
      <c r="W279" s="48" t="s">
        <v>166</v>
      </c>
      <c r="X279" s="50" t="s">
        <v>166</v>
      </c>
      <c r="Y279" s="51" t="s">
        <v>166</v>
      </c>
      <c r="Z279" s="48" t="s">
        <v>166</v>
      </c>
      <c r="AA279" s="48" t="s">
        <v>166</v>
      </c>
      <c r="AB279" s="48" t="s">
        <v>166</v>
      </c>
      <c r="AC279" s="48">
        <v>1.0</v>
      </c>
      <c r="AD279" s="48" t="s">
        <v>166</v>
      </c>
      <c r="AE279" s="54" t="s">
        <v>166</v>
      </c>
      <c r="AF279" s="55" t="s">
        <v>166</v>
      </c>
      <c r="AG279" s="51" t="s">
        <v>166</v>
      </c>
      <c r="AH279" s="48">
        <v>1.0</v>
      </c>
      <c r="AI279" s="48" t="s">
        <v>166</v>
      </c>
      <c r="AJ279" s="50" t="s">
        <v>166</v>
      </c>
      <c r="AK279" s="56">
        <v>259.0</v>
      </c>
      <c r="AL279" s="57">
        <f>AK279*Sheets!$E$3</f>
        <v>35.7019845</v>
      </c>
      <c r="AM279" s="68"/>
      <c r="AN279" s="70"/>
      <c r="AO279" s="71"/>
      <c r="AP279" s="72">
        <v>45215.968898402774</v>
      </c>
      <c r="AQ279" s="66"/>
    </row>
    <row r="280">
      <c r="A280" s="69" t="str">
        <f>HYPERLINK("https://sgpc.world.taobao.com/","SGPC")</f>
        <v>SGPC</v>
      </c>
      <c r="B280" s="73" t="s">
        <v>596</v>
      </c>
      <c r="C280" s="63" t="s">
        <v>262</v>
      </c>
      <c r="D280" s="48">
        <v>194.0</v>
      </c>
      <c r="E280" s="48">
        <v>165.0</v>
      </c>
      <c r="F280" s="48">
        <v>234.0</v>
      </c>
      <c r="G280" s="49">
        <f t="shared" si="1"/>
        <v>7.49034</v>
      </c>
      <c r="H280" s="49">
        <f t="shared" si="2"/>
        <v>320.1</v>
      </c>
      <c r="I280" s="48">
        <v>1.5</v>
      </c>
      <c r="J280" s="48" t="s">
        <v>597</v>
      </c>
      <c r="K280" s="50" t="s">
        <v>185</v>
      </c>
      <c r="L280" s="51">
        <v>55.0</v>
      </c>
      <c r="M280" s="50" t="s">
        <v>166</v>
      </c>
      <c r="N280" s="51" t="s">
        <v>166</v>
      </c>
      <c r="O280" s="48">
        <v>190.0</v>
      </c>
      <c r="P280" s="48">
        <v>133.0</v>
      </c>
      <c r="Q280" s="48">
        <v>60.0</v>
      </c>
      <c r="R280" s="48">
        <v>3.0</v>
      </c>
      <c r="S280" s="50" t="s">
        <v>166</v>
      </c>
      <c r="T280" s="52" t="s">
        <v>598</v>
      </c>
      <c r="U280" s="52" t="s">
        <v>599</v>
      </c>
      <c r="V280" s="51">
        <v>1.0</v>
      </c>
      <c r="W280" s="48" t="s">
        <v>166</v>
      </c>
      <c r="X280" s="50" t="s">
        <v>166</v>
      </c>
      <c r="Y280" s="51" t="s">
        <v>166</v>
      </c>
      <c r="Z280" s="48" t="s">
        <v>166</v>
      </c>
      <c r="AA280" s="48" t="s">
        <v>166</v>
      </c>
      <c r="AB280" s="48" t="s">
        <v>166</v>
      </c>
      <c r="AC280" s="48" t="s">
        <v>166</v>
      </c>
      <c r="AD280" s="48" t="s">
        <v>166</v>
      </c>
      <c r="AE280" s="54" t="s">
        <v>166</v>
      </c>
      <c r="AF280" s="55" t="s">
        <v>166</v>
      </c>
      <c r="AG280" s="51" t="s">
        <v>166</v>
      </c>
      <c r="AH280" s="48" t="s">
        <v>166</v>
      </c>
      <c r="AI280" s="48" t="s">
        <v>166</v>
      </c>
      <c r="AJ280" s="50" t="s">
        <v>166</v>
      </c>
      <c r="AK280" s="56">
        <v>229.0</v>
      </c>
      <c r="AL280" s="57">
        <f>AK280*Sheets!$E$3</f>
        <v>31.5666195</v>
      </c>
      <c r="AM280" s="68"/>
      <c r="AN280" s="59"/>
      <c r="AO280" s="60" t="s">
        <v>181</v>
      </c>
      <c r="AP280" s="65">
        <v>44556.562999699076</v>
      </c>
      <c r="AQ280" s="66"/>
    </row>
    <row r="281">
      <c r="A281" s="69" t="s">
        <v>600</v>
      </c>
      <c r="B281" s="46" t="s">
        <v>601</v>
      </c>
      <c r="C281" s="63" t="s">
        <v>248</v>
      </c>
      <c r="D281" s="48">
        <v>308.0</v>
      </c>
      <c r="E281" s="48">
        <v>128.0</v>
      </c>
      <c r="F281" s="48">
        <v>190.0</v>
      </c>
      <c r="G281" s="49">
        <f t="shared" si="1"/>
        <v>7.49056</v>
      </c>
      <c r="H281" s="49">
        <f t="shared" si="2"/>
        <v>394.24</v>
      </c>
      <c r="I281" s="48">
        <v>1.6</v>
      </c>
      <c r="J281" s="48" t="s">
        <v>245</v>
      </c>
      <c r="K281" s="50" t="s">
        <v>164</v>
      </c>
      <c r="L281" s="51">
        <v>60.0</v>
      </c>
      <c r="M281" s="50" t="s">
        <v>166</v>
      </c>
      <c r="N281" s="51" t="s">
        <v>174</v>
      </c>
      <c r="O281" s="48">
        <v>300.0</v>
      </c>
      <c r="P281" s="48" t="s">
        <v>170</v>
      </c>
      <c r="Q281" s="48">
        <v>43.0</v>
      </c>
      <c r="R281" s="48">
        <v>2.0</v>
      </c>
      <c r="S281" s="50" t="s">
        <v>166</v>
      </c>
      <c r="T281" s="52" t="s">
        <v>167</v>
      </c>
      <c r="U281" s="52" t="s">
        <v>324</v>
      </c>
      <c r="V281" s="51">
        <v>1.0</v>
      </c>
      <c r="W281" s="48" t="s">
        <v>166</v>
      </c>
      <c r="X281" s="50" t="s">
        <v>166</v>
      </c>
      <c r="Y281" s="51" t="s">
        <v>166</v>
      </c>
      <c r="Z281" s="48" t="s">
        <v>166</v>
      </c>
      <c r="AA281" s="48" t="s">
        <v>166</v>
      </c>
      <c r="AB281" s="48" t="s">
        <v>166</v>
      </c>
      <c r="AC281" s="48" t="s">
        <v>166</v>
      </c>
      <c r="AD281" s="48" t="s">
        <v>166</v>
      </c>
      <c r="AE281" s="54" t="s">
        <v>166</v>
      </c>
      <c r="AF281" s="55" t="s">
        <v>166</v>
      </c>
      <c r="AG281" s="51" t="s">
        <v>166</v>
      </c>
      <c r="AH281" s="48">
        <v>1.0</v>
      </c>
      <c r="AI281" s="48" t="s">
        <v>166</v>
      </c>
      <c r="AJ281" s="50" t="s">
        <v>166</v>
      </c>
      <c r="AK281" s="56">
        <v>199.0</v>
      </c>
      <c r="AL281" s="57">
        <f>AK281*Sheets!$E$3</f>
        <v>27.4312545</v>
      </c>
      <c r="AM281" s="68"/>
      <c r="AN281" s="70"/>
      <c r="AO281" s="71"/>
      <c r="AP281" s="71"/>
      <c r="AQ281" s="66"/>
    </row>
    <row r="282">
      <c r="A282" s="69" t="s">
        <v>600</v>
      </c>
      <c r="B282" s="46" t="s">
        <v>602</v>
      </c>
      <c r="C282" s="63" t="s">
        <v>248</v>
      </c>
      <c r="D282" s="48">
        <v>308.0</v>
      </c>
      <c r="E282" s="48">
        <v>128.0</v>
      </c>
      <c r="F282" s="48">
        <v>190.0</v>
      </c>
      <c r="G282" s="49">
        <f t="shared" si="1"/>
        <v>7.49056</v>
      </c>
      <c r="H282" s="49">
        <f t="shared" si="2"/>
        <v>394.24</v>
      </c>
      <c r="I282" s="48">
        <v>2.7</v>
      </c>
      <c r="J282" s="48" t="s">
        <v>164</v>
      </c>
      <c r="K282" s="50" t="s">
        <v>164</v>
      </c>
      <c r="L282" s="51">
        <v>60.0</v>
      </c>
      <c r="M282" s="50" t="s">
        <v>166</v>
      </c>
      <c r="N282" s="51" t="s">
        <v>174</v>
      </c>
      <c r="O282" s="48">
        <v>300.0</v>
      </c>
      <c r="P282" s="48" t="s">
        <v>170</v>
      </c>
      <c r="Q282" s="48">
        <v>48.0</v>
      </c>
      <c r="R282" s="48">
        <v>2.0</v>
      </c>
      <c r="S282" s="50" t="s">
        <v>166</v>
      </c>
      <c r="T282" s="52" t="s">
        <v>167</v>
      </c>
      <c r="U282" s="52" t="s">
        <v>324</v>
      </c>
      <c r="V282" s="51">
        <v>1.0</v>
      </c>
      <c r="W282" s="48" t="s">
        <v>194</v>
      </c>
      <c r="X282" s="50" t="s">
        <v>166</v>
      </c>
      <c r="Y282" s="51" t="s">
        <v>166</v>
      </c>
      <c r="Z282" s="48" t="s">
        <v>166</v>
      </c>
      <c r="AA282" s="48" t="s">
        <v>166</v>
      </c>
      <c r="AB282" s="48" t="s">
        <v>166</v>
      </c>
      <c r="AC282" s="48" t="s">
        <v>166</v>
      </c>
      <c r="AD282" s="48" t="s">
        <v>166</v>
      </c>
      <c r="AE282" s="54" t="s">
        <v>166</v>
      </c>
      <c r="AF282" s="55" t="s">
        <v>166</v>
      </c>
      <c r="AG282" s="51" t="s">
        <v>166</v>
      </c>
      <c r="AH282" s="48">
        <v>1.0</v>
      </c>
      <c r="AI282" s="48" t="s">
        <v>194</v>
      </c>
      <c r="AJ282" s="50" t="s">
        <v>166</v>
      </c>
      <c r="AK282" s="56">
        <v>299.0</v>
      </c>
      <c r="AL282" s="57">
        <f>AK282*Sheets!$E$3</f>
        <v>41.2158045</v>
      </c>
      <c r="AM282" s="68"/>
      <c r="AN282" s="70"/>
      <c r="AO282" s="71"/>
      <c r="AP282" s="72">
        <v>44557.02777395833</v>
      </c>
      <c r="AQ282" s="66"/>
    </row>
    <row r="283">
      <c r="A283" s="61" t="s">
        <v>376</v>
      </c>
      <c r="B283" s="62" t="s">
        <v>603</v>
      </c>
      <c r="C283" s="63" t="s">
        <v>248</v>
      </c>
      <c r="D283" s="48">
        <v>306.0</v>
      </c>
      <c r="E283" s="48">
        <v>125.0</v>
      </c>
      <c r="F283" s="48">
        <v>196.0</v>
      </c>
      <c r="G283" s="49">
        <f t="shared" si="1"/>
        <v>7.497</v>
      </c>
      <c r="H283" s="49">
        <f t="shared" si="2"/>
        <v>382.5</v>
      </c>
      <c r="I283" s="48" t="s">
        <v>170</v>
      </c>
      <c r="J283" s="48" t="s">
        <v>164</v>
      </c>
      <c r="K283" s="50" t="s">
        <v>512</v>
      </c>
      <c r="L283" s="51">
        <v>51.0</v>
      </c>
      <c r="M283" s="50" t="s">
        <v>166</v>
      </c>
      <c r="N283" s="51" t="s">
        <v>174</v>
      </c>
      <c r="O283" s="48">
        <v>300.0</v>
      </c>
      <c r="P283" s="48">
        <v>143.0</v>
      </c>
      <c r="Q283" s="48">
        <v>45.0</v>
      </c>
      <c r="R283" s="93">
        <v>2.0</v>
      </c>
      <c r="S283" s="94" t="s">
        <v>166</v>
      </c>
      <c r="T283" s="52" t="s">
        <v>167</v>
      </c>
      <c r="U283" s="52" t="s">
        <v>324</v>
      </c>
      <c r="V283" s="51">
        <v>1.0</v>
      </c>
      <c r="W283" s="48" t="s">
        <v>166</v>
      </c>
      <c r="X283" s="50" t="s">
        <v>166</v>
      </c>
      <c r="Y283" s="51" t="s">
        <v>166</v>
      </c>
      <c r="Z283" s="48" t="s">
        <v>166</v>
      </c>
      <c r="AA283" s="48" t="s">
        <v>166</v>
      </c>
      <c r="AB283" s="48" t="s">
        <v>166</v>
      </c>
      <c r="AC283" s="48">
        <v>2.0</v>
      </c>
      <c r="AD283" s="48" t="s">
        <v>166</v>
      </c>
      <c r="AE283" s="54" t="s">
        <v>166</v>
      </c>
      <c r="AF283" s="55" t="s">
        <v>166</v>
      </c>
      <c r="AG283" s="51" t="s">
        <v>166</v>
      </c>
      <c r="AH283" s="48" t="s">
        <v>166</v>
      </c>
      <c r="AI283" s="48" t="s">
        <v>166</v>
      </c>
      <c r="AJ283" s="50" t="s">
        <v>166</v>
      </c>
      <c r="AK283" s="56" t="s">
        <v>166</v>
      </c>
      <c r="AL283" s="57">
        <f>13800*0.0071</f>
        <v>97.98</v>
      </c>
      <c r="AM283" s="58"/>
      <c r="AN283" s="87"/>
      <c r="AO283" s="86"/>
      <c r="AP283" s="65"/>
      <c r="AQ283" s="66"/>
    </row>
    <row r="284">
      <c r="A284" s="46" t="s">
        <v>451</v>
      </c>
      <c r="B284" s="46" t="s">
        <v>604</v>
      </c>
      <c r="C284" s="63" t="s">
        <v>248</v>
      </c>
      <c r="D284" s="48">
        <v>195.0</v>
      </c>
      <c r="E284" s="48">
        <v>140.0</v>
      </c>
      <c r="F284" s="48">
        <v>275.0</v>
      </c>
      <c r="G284" s="98">
        <f t="shared" si="1"/>
        <v>7.5075</v>
      </c>
      <c r="H284" s="49">
        <f t="shared" si="2"/>
        <v>273</v>
      </c>
      <c r="I284" s="48">
        <v>2.0</v>
      </c>
      <c r="J284" s="48" t="s">
        <v>235</v>
      </c>
      <c r="K284" s="50" t="s">
        <v>605</v>
      </c>
      <c r="L284" s="51">
        <v>70.0</v>
      </c>
      <c r="M284" s="50" t="s">
        <v>501</v>
      </c>
      <c r="N284" s="51" t="s">
        <v>174</v>
      </c>
      <c r="O284" s="48">
        <v>190.0</v>
      </c>
      <c r="P284" s="48" t="s">
        <v>170</v>
      </c>
      <c r="Q284" s="48">
        <v>45.0</v>
      </c>
      <c r="R284" s="48">
        <v>2.0</v>
      </c>
      <c r="S284" s="50" t="s">
        <v>166</v>
      </c>
      <c r="T284" s="52" t="s">
        <v>167</v>
      </c>
      <c r="U284" s="52" t="s">
        <v>324</v>
      </c>
      <c r="V284" s="51" t="s">
        <v>435</v>
      </c>
      <c r="W284" s="48" t="s">
        <v>194</v>
      </c>
      <c r="X284" s="50" t="s">
        <v>166</v>
      </c>
      <c r="Y284" s="51" t="s">
        <v>166</v>
      </c>
      <c r="Z284" s="48" t="s">
        <v>166</v>
      </c>
      <c r="AA284" s="48" t="s">
        <v>194</v>
      </c>
      <c r="AB284" s="48" t="s">
        <v>166</v>
      </c>
      <c r="AC284" s="48" t="s">
        <v>193</v>
      </c>
      <c r="AD284" s="48" t="s">
        <v>194</v>
      </c>
      <c r="AE284" s="54" t="s">
        <v>166</v>
      </c>
      <c r="AF284" s="55" t="s">
        <v>166</v>
      </c>
      <c r="AG284" s="51" t="s">
        <v>166</v>
      </c>
      <c r="AH284" s="48" t="s">
        <v>166</v>
      </c>
      <c r="AI284" s="48">
        <v>1.0</v>
      </c>
      <c r="AJ284" s="50" t="s">
        <v>166</v>
      </c>
      <c r="AK284" s="56">
        <v>499.0</v>
      </c>
      <c r="AL284" s="57">
        <f>AK284*Sheets!$E$3</f>
        <v>68.7849045</v>
      </c>
      <c r="AM284" s="68"/>
      <c r="AN284" s="70"/>
      <c r="AO284" s="71"/>
      <c r="AP284" s="72">
        <v>44690.75387033565</v>
      </c>
      <c r="AQ284" s="66"/>
    </row>
    <row r="285">
      <c r="A285" s="61" t="s">
        <v>205</v>
      </c>
      <c r="B285" s="62" t="s">
        <v>606</v>
      </c>
      <c r="C285" s="101" t="s">
        <v>262</v>
      </c>
      <c r="D285" s="74">
        <v>290.0</v>
      </c>
      <c r="E285" s="74">
        <v>92.5</v>
      </c>
      <c r="F285" s="74">
        <v>280.0</v>
      </c>
      <c r="G285" s="49">
        <f t="shared" si="1"/>
        <v>7.511</v>
      </c>
      <c r="H285" s="49">
        <f t="shared" si="2"/>
        <v>268.25</v>
      </c>
      <c r="I285" s="74">
        <v>4.2</v>
      </c>
      <c r="J285" s="48" t="s">
        <v>171</v>
      </c>
      <c r="K285" s="75" t="s">
        <v>607</v>
      </c>
      <c r="L285" s="76">
        <v>65.0</v>
      </c>
      <c r="M285" s="75" t="s">
        <v>166</v>
      </c>
      <c r="N285" s="77" t="s">
        <v>166</v>
      </c>
      <c r="O285" s="48">
        <v>150.0</v>
      </c>
      <c r="P285" s="48">
        <v>70.0</v>
      </c>
      <c r="Q285" s="48">
        <v>40.0</v>
      </c>
      <c r="R285" s="48" t="s">
        <v>166</v>
      </c>
      <c r="S285" s="50">
        <v>2.0</v>
      </c>
      <c r="T285" s="52" t="s">
        <v>167</v>
      </c>
      <c r="U285" s="53" t="s">
        <v>372</v>
      </c>
      <c r="V285" s="77" t="s">
        <v>194</v>
      </c>
      <c r="W285" s="74" t="s">
        <v>194</v>
      </c>
      <c r="X285" s="75" t="s">
        <v>208</v>
      </c>
      <c r="Y285" s="77" t="s">
        <v>166</v>
      </c>
      <c r="Z285" s="74" t="s">
        <v>166</v>
      </c>
      <c r="AA285" s="74">
        <v>1.0</v>
      </c>
      <c r="AB285" s="74" t="s">
        <v>166</v>
      </c>
      <c r="AC285" s="74" t="s">
        <v>166</v>
      </c>
      <c r="AD285" s="74" t="s">
        <v>166</v>
      </c>
      <c r="AE285" s="54" t="s">
        <v>166</v>
      </c>
      <c r="AF285" s="55" t="s">
        <v>166</v>
      </c>
      <c r="AG285" s="51" t="s">
        <v>166</v>
      </c>
      <c r="AH285" s="48">
        <v>2.0</v>
      </c>
      <c r="AI285" s="48" t="s">
        <v>166</v>
      </c>
      <c r="AJ285" s="50" t="s">
        <v>174</v>
      </c>
      <c r="AK285" s="56" t="s">
        <v>166</v>
      </c>
      <c r="AL285" s="57" t="s">
        <v>170</v>
      </c>
      <c r="AM285" s="68"/>
      <c r="AN285" s="59"/>
      <c r="AO285" s="60"/>
      <c r="AP285" s="65">
        <v>45071.5622715625</v>
      </c>
      <c r="AQ285" s="66"/>
    </row>
    <row r="286">
      <c r="A286" s="61" t="s">
        <v>178</v>
      </c>
      <c r="B286" s="62" t="s">
        <v>608</v>
      </c>
      <c r="C286" s="63" t="s">
        <v>248</v>
      </c>
      <c r="D286" s="48">
        <v>308.0</v>
      </c>
      <c r="E286" s="48">
        <v>122.0</v>
      </c>
      <c r="F286" s="48">
        <v>200.0</v>
      </c>
      <c r="G286" s="49">
        <f t="shared" si="1"/>
        <v>7.5152</v>
      </c>
      <c r="H286" s="49">
        <f t="shared" si="2"/>
        <v>375.76</v>
      </c>
      <c r="I286" s="48">
        <v>1.2</v>
      </c>
      <c r="J286" s="48" t="s">
        <v>267</v>
      </c>
      <c r="K286" s="50" t="s">
        <v>267</v>
      </c>
      <c r="L286" s="51">
        <v>48.0</v>
      </c>
      <c r="M286" s="50" t="s">
        <v>166</v>
      </c>
      <c r="N286" s="51" t="s">
        <v>174</v>
      </c>
      <c r="O286" s="48">
        <v>305.0</v>
      </c>
      <c r="P286" s="48" t="s">
        <v>170</v>
      </c>
      <c r="Q286" s="48">
        <v>44.0</v>
      </c>
      <c r="R286" s="48">
        <v>2.0</v>
      </c>
      <c r="S286" s="50" t="s">
        <v>166</v>
      </c>
      <c r="T286" s="52" t="s">
        <v>167</v>
      </c>
      <c r="U286" s="52" t="s">
        <v>346</v>
      </c>
      <c r="V286" s="51" t="s">
        <v>194</v>
      </c>
      <c r="W286" s="48" t="s">
        <v>166</v>
      </c>
      <c r="X286" s="50" t="s">
        <v>166</v>
      </c>
      <c r="Y286" s="51" t="s">
        <v>166</v>
      </c>
      <c r="Z286" s="48" t="s">
        <v>166</v>
      </c>
      <c r="AA286" s="48" t="s">
        <v>166</v>
      </c>
      <c r="AB286" s="48" t="s">
        <v>207</v>
      </c>
      <c r="AC286" s="48" t="s">
        <v>166</v>
      </c>
      <c r="AD286" s="48" t="s">
        <v>166</v>
      </c>
      <c r="AE286" s="54" t="s">
        <v>166</v>
      </c>
      <c r="AF286" s="55" t="s">
        <v>166</v>
      </c>
      <c r="AG286" s="51" t="s">
        <v>166</v>
      </c>
      <c r="AH286" s="48" t="s">
        <v>166</v>
      </c>
      <c r="AI286" s="48" t="s">
        <v>166</v>
      </c>
      <c r="AJ286" s="50" t="s">
        <v>166</v>
      </c>
      <c r="AK286" s="56" t="s">
        <v>166</v>
      </c>
      <c r="AL286" s="57">
        <v>102.06</v>
      </c>
      <c r="AM286" s="58"/>
      <c r="AN286" s="59"/>
      <c r="AO286" s="60"/>
      <c r="AP286" s="65">
        <v>44690.75408934028</v>
      </c>
      <c r="AQ286" s="66"/>
    </row>
    <row r="287">
      <c r="A287" s="61" t="s">
        <v>254</v>
      </c>
      <c r="B287" s="62" t="s">
        <v>609</v>
      </c>
      <c r="C287" s="63" t="s">
        <v>248</v>
      </c>
      <c r="D287" s="48">
        <v>238.0</v>
      </c>
      <c r="E287" s="48">
        <v>125.0</v>
      </c>
      <c r="F287" s="48">
        <v>253.0</v>
      </c>
      <c r="G287" s="49">
        <f t="shared" si="1"/>
        <v>7.52675</v>
      </c>
      <c r="H287" s="49">
        <f t="shared" si="2"/>
        <v>297.5</v>
      </c>
      <c r="I287" s="48" t="s">
        <v>170</v>
      </c>
      <c r="J287" s="48" t="s">
        <v>245</v>
      </c>
      <c r="K287" s="50" t="s">
        <v>255</v>
      </c>
      <c r="L287" s="51">
        <v>50.0</v>
      </c>
      <c r="M287" s="50" t="s">
        <v>166</v>
      </c>
      <c r="N287" s="51" t="s">
        <v>174</v>
      </c>
      <c r="O287" s="48">
        <v>211.0</v>
      </c>
      <c r="P287" s="48">
        <v>135.0</v>
      </c>
      <c r="Q287" s="48">
        <v>45.0</v>
      </c>
      <c r="R287" s="48">
        <v>2.0</v>
      </c>
      <c r="S287" s="50" t="s">
        <v>166</v>
      </c>
      <c r="T287" s="52" t="s">
        <v>167</v>
      </c>
      <c r="U287" s="52" t="s">
        <v>186</v>
      </c>
      <c r="V287" s="51">
        <v>1.0</v>
      </c>
      <c r="W287" s="48" t="s">
        <v>166</v>
      </c>
      <c r="X287" s="50" t="s">
        <v>166</v>
      </c>
      <c r="Y287" s="51" t="s">
        <v>166</v>
      </c>
      <c r="Z287" s="48" t="s">
        <v>166</v>
      </c>
      <c r="AA287" s="48" t="s">
        <v>166</v>
      </c>
      <c r="AB287" s="48">
        <v>2.0</v>
      </c>
      <c r="AC287" s="48" t="s">
        <v>166</v>
      </c>
      <c r="AD287" s="48" t="s">
        <v>166</v>
      </c>
      <c r="AE287" s="54" t="s">
        <v>166</v>
      </c>
      <c r="AF287" s="55" t="s">
        <v>166</v>
      </c>
      <c r="AG287" s="51" t="s">
        <v>166</v>
      </c>
      <c r="AH287" s="48">
        <v>2.0</v>
      </c>
      <c r="AI287" s="48" t="s">
        <v>166</v>
      </c>
      <c r="AJ287" s="50" t="s">
        <v>166</v>
      </c>
      <c r="AK287" s="56" t="s">
        <v>166</v>
      </c>
      <c r="AL287" s="57">
        <v>59.0</v>
      </c>
      <c r="AM287" s="58"/>
      <c r="AN287" s="64" t="s">
        <v>214</v>
      </c>
      <c r="AO287" s="71"/>
      <c r="AP287" s="71"/>
      <c r="AQ287" s="66"/>
    </row>
    <row r="288">
      <c r="A288" s="69" t="str">
        <f>HYPERLINK("https://metalfish.world.taobao.com/","Metalfish")</f>
        <v>Metalfish</v>
      </c>
      <c r="B288" s="73" t="s">
        <v>610</v>
      </c>
      <c r="C288" s="63" t="s">
        <v>248</v>
      </c>
      <c r="D288" s="48">
        <v>310.0</v>
      </c>
      <c r="E288" s="48">
        <v>128.0</v>
      </c>
      <c r="F288" s="48">
        <v>190.0</v>
      </c>
      <c r="G288" s="49">
        <f t="shared" si="1"/>
        <v>7.5392</v>
      </c>
      <c r="H288" s="49">
        <f t="shared" si="2"/>
        <v>396.8</v>
      </c>
      <c r="I288" s="48">
        <v>1.62</v>
      </c>
      <c r="J288" s="48" t="s">
        <v>245</v>
      </c>
      <c r="K288" s="50" t="s">
        <v>611</v>
      </c>
      <c r="L288" s="51">
        <v>60.0</v>
      </c>
      <c r="M288" s="50" t="s">
        <v>166</v>
      </c>
      <c r="N288" s="51" t="s">
        <v>174</v>
      </c>
      <c r="O288" s="48">
        <v>300.0</v>
      </c>
      <c r="P288" s="48" t="s">
        <v>170</v>
      </c>
      <c r="Q288" s="48">
        <v>44.0</v>
      </c>
      <c r="R288" s="48">
        <v>2.0</v>
      </c>
      <c r="S288" s="50" t="s">
        <v>166</v>
      </c>
      <c r="T288" s="52" t="s">
        <v>167</v>
      </c>
      <c r="U288" s="52" t="s">
        <v>324</v>
      </c>
      <c r="V288" s="51" t="s">
        <v>207</v>
      </c>
      <c r="W288" s="48" t="s">
        <v>166</v>
      </c>
      <c r="X288" s="50" t="s">
        <v>166</v>
      </c>
      <c r="Y288" s="51" t="s">
        <v>166</v>
      </c>
      <c r="Z288" s="48" t="s">
        <v>166</v>
      </c>
      <c r="AA288" s="48" t="s">
        <v>166</v>
      </c>
      <c r="AB288" s="48" t="s">
        <v>166</v>
      </c>
      <c r="AC288" s="48" t="s">
        <v>166</v>
      </c>
      <c r="AD288" s="48" t="s">
        <v>166</v>
      </c>
      <c r="AE288" s="54" t="s">
        <v>166</v>
      </c>
      <c r="AF288" s="55" t="s">
        <v>166</v>
      </c>
      <c r="AG288" s="51" t="s">
        <v>166</v>
      </c>
      <c r="AH288" s="48">
        <v>1.0</v>
      </c>
      <c r="AI288" s="48" t="s">
        <v>166</v>
      </c>
      <c r="AJ288" s="50" t="s">
        <v>166</v>
      </c>
      <c r="AK288" s="56">
        <v>159.0</v>
      </c>
      <c r="AL288" s="57">
        <f>AK288*Sheets!$E$3</f>
        <v>21.9174345</v>
      </c>
      <c r="AM288" s="68"/>
      <c r="AN288" s="70"/>
      <c r="AO288" s="71" t="s">
        <v>181</v>
      </c>
      <c r="AP288" s="72">
        <v>45128.01117070601</v>
      </c>
      <c r="AQ288" s="66"/>
    </row>
    <row r="289">
      <c r="A289" s="46" t="str">
        <f>HYPERLINK("https://shop206098240.world.taobao.com/","LZmod")</f>
        <v>LZmod</v>
      </c>
      <c r="B289" s="46" t="s">
        <v>612</v>
      </c>
      <c r="C289" s="63" t="s">
        <v>248</v>
      </c>
      <c r="D289" s="48">
        <v>188.0</v>
      </c>
      <c r="E289" s="48">
        <v>148.0</v>
      </c>
      <c r="F289" s="48">
        <v>271.0</v>
      </c>
      <c r="G289" s="49">
        <f t="shared" si="1"/>
        <v>7.540304</v>
      </c>
      <c r="H289" s="49">
        <f t="shared" si="2"/>
        <v>278.24</v>
      </c>
      <c r="I289" s="48">
        <v>2.0</v>
      </c>
      <c r="J289" s="48" t="s">
        <v>164</v>
      </c>
      <c r="K289" s="50" t="s">
        <v>252</v>
      </c>
      <c r="L289" s="51">
        <v>74.5</v>
      </c>
      <c r="M289" s="50" t="s">
        <v>166</v>
      </c>
      <c r="N289" s="51" t="s">
        <v>174</v>
      </c>
      <c r="O289" s="48">
        <v>180.0</v>
      </c>
      <c r="P289" s="48" t="s">
        <v>170</v>
      </c>
      <c r="Q289" s="48">
        <v>40.0</v>
      </c>
      <c r="R289" s="48">
        <v>2.0</v>
      </c>
      <c r="S289" s="50" t="s">
        <v>166</v>
      </c>
      <c r="T289" s="52" t="s">
        <v>167</v>
      </c>
      <c r="U289" s="52" t="s">
        <v>346</v>
      </c>
      <c r="V289" s="51">
        <v>4.0</v>
      </c>
      <c r="W289" s="48" t="s">
        <v>166</v>
      </c>
      <c r="X289" s="50" t="s">
        <v>166</v>
      </c>
      <c r="Y289" s="51" t="s">
        <v>166</v>
      </c>
      <c r="Z289" s="48" t="s">
        <v>166</v>
      </c>
      <c r="AA289" s="48" t="s">
        <v>166</v>
      </c>
      <c r="AB289" s="48" t="s">
        <v>166</v>
      </c>
      <c r="AC289" s="48">
        <v>1.0</v>
      </c>
      <c r="AD289" s="48" t="s">
        <v>166</v>
      </c>
      <c r="AE289" s="54" t="s">
        <v>166</v>
      </c>
      <c r="AF289" s="55" t="s">
        <v>166</v>
      </c>
      <c r="AG289" s="51" t="s">
        <v>166</v>
      </c>
      <c r="AH289" s="48">
        <v>2.0</v>
      </c>
      <c r="AI289" s="48" t="s">
        <v>166</v>
      </c>
      <c r="AJ289" s="50" t="s">
        <v>166</v>
      </c>
      <c r="AK289" s="56">
        <v>755.0</v>
      </c>
      <c r="AL289" s="57">
        <f>AK289*Sheets!$E$3</f>
        <v>104.0733525</v>
      </c>
      <c r="AM289" s="68"/>
      <c r="AN289" s="70"/>
      <c r="AO289" s="71"/>
      <c r="AP289" s="72">
        <v>44735.74033126158</v>
      </c>
      <c r="AQ289" s="66"/>
    </row>
    <row r="290">
      <c r="A290" s="82" t="s">
        <v>212</v>
      </c>
      <c r="B290" s="62" t="s">
        <v>613</v>
      </c>
      <c r="C290" s="63" t="s">
        <v>248</v>
      </c>
      <c r="D290" s="48">
        <v>316.0</v>
      </c>
      <c r="E290" s="48">
        <v>129.0</v>
      </c>
      <c r="F290" s="48">
        <v>185.0</v>
      </c>
      <c r="G290" s="49">
        <f t="shared" si="1"/>
        <v>7.54134</v>
      </c>
      <c r="H290" s="49">
        <f t="shared" si="2"/>
        <v>407.64</v>
      </c>
      <c r="I290" s="48">
        <v>1.7</v>
      </c>
      <c r="J290" s="48" t="s">
        <v>164</v>
      </c>
      <c r="K290" s="50" t="s">
        <v>418</v>
      </c>
      <c r="L290" s="51">
        <v>60.0</v>
      </c>
      <c r="M290" s="50" t="s">
        <v>166</v>
      </c>
      <c r="N290" s="51" t="s">
        <v>174</v>
      </c>
      <c r="O290" s="48">
        <v>311.0</v>
      </c>
      <c r="P290" s="48">
        <v>141.0</v>
      </c>
      <c r="Q290" s="48">
        <v>54.5</v>
      </c>
      <c r="R290" s="48">
        <v>2.0</v>
      </c>
      <c r="S290" s="50" t="s">
        <v>166</v>
      </c>
      <c r="T290" s="52" t="s">
        <v>167</v>
      </c>
      <c r="U290" s="52" t="s">
        <v>324</v>
      </c>
      <c r="V290" s="51" t="s">
        <v>193</v>
      </c>
      <c r="W290" s="48" t="s">
        <v>166</v>
      </c>
      <c r="X290" s="50" t="s">
        <v>166</v>
      </c>
      <c r="Y290" s="51" t="s">
        <v>166</v>
      </c>
      <c r="Z290" s="48" t="s">
        <v>166</v>
      </c>
      <c r="AA290" s="48" t="s">
        <v>166</v>
      </c>
      <c r="AB290" s="48" t="s">
        <v>194</v>
      </c>
      <c r="AC290" s="48" t="s">
        <v>194</v>
      </c>
      <c r="AD290" s="48" t="s">
        <v>166</v>
      </c>
      <c r="AE290" s="54" t="s">
        <v>166</v>
      </c>
      <c r="AF290" s="55" t="s">
        <v>166</v>
      </c>
      <c r="AG290" s="51" t="s">
        <v>166</v>
      </c>
      <c r="AH290" s="48">
        <v>1.0</v>
      </c>
      <c r="AI290" s="48" t="s">
        <v>166</v>
      </c>
      <c r="AJ290" s="50" t="s">
        <v>166</v>
      </c>
      <c r="AK290" s="56">
        <v>799.0</v>
      </c>
      <c r="AL290" s="57">
        <v>151.0</v>
      </c>
      <c r="AM290" s="68"/>
      <c r="AN290" s="64" t="s">
        <v>214</v>
      </c>
      <c r="AO290" s="71"/>
      <c r="AP290" s="72">
        <v>44442.772591643516</v>
      </c>
      <c r="AQ290" s="66"/>
    </row>
    <row r="291">
      <c r="A291" s="69" t="str">
        <f>HYPERLINK("https://metalfish.world.taobao.com/","Metalfish")</f>
        <v>Metalfish</v>
      </c>
      <c r="B291" s="46" t="s">
        <v>190</v>
      </c>
      <c r="C291" s="63" t="s">
        <v>248</v>
      </c>
      <c r="D291" s="48">
        <v>212.0</v>
      </c>
      <c r="E291" s="48">
        <v>137.0</v>
      </c>
      <c r="F291" s="48">
        <v>260.0</v>
      </c>
      <c r="G291" s="49">
        <f t="shared" si="1"/>
        <v>7.55144</v>
      </c>
      <c r="H291" s="49">
        <f t="shared" si="2"/>
        <v>290.44</v>
      </c>
      <c r="I291" s="48">
        <v>1.59</v>
      </c>
      <c r="J291" s="48" t="s">
        <v>245</v>
      </c>
      <c r="K291" s="50" t="s">
        <v>614</v>
      </c>
      <c r="L291" s="51">
        <v>70.0</v>
      </c>
      <c r="M291" s="50" t="s">
        <v>166</v>
      </c>
      <c r="N291" s="51" t="s">
        <v>174</v>
      </c>
      <c r="O291" s="48">
        <v>200.0</v>
      </c>
      <c r="P291" s="48" t="s">
        <v>170</v>
      </c>
      <c r="Q291" s="48">
        <v>40.0</v>
      </c>
      <c r="R291" s="48">
        <v>2.0</v>
      </c>
      <c r="S291" s="50" t="s">
        <v>166</v>
      </c>
      <c r="T291" s="52" t="s">
        <v>167</v>
      </c>
      <c r="U291" s="52" t="s">
        <v>346</v>
      </c>
      <c r="V291" s="51">
        <v>3.0</v>
      </c>
      <c r="W291" s="48" t="s">
        <v>166</v>
      </c>
      <c r="X291" s="50" t="s">
        <v>166</v>
      </c>
      <c r="Y291" s="51" t="s">
        <v>166</v>
      </c>
      <c r="Z291" s="48" t="s">
        <v>166</v>
      </c>
      <c r="AA291" s="48" t="s">
        <v>166</v>
      </c>
      <c r="AB291" s="48" t="s">
        <v>166</v>
      </c>
      <c r="AC291" s="48" t="s">
        <v>166</v>
      </c>
      <c r="AD291" s="48" t="s">
        <v>166</v>
      </c>
      <c r="AE291" s="54" t="s">
        <v>166</v>
      </c>
      <c r="AF291" s="55" t="s">
        <v>166</v>
      </c>
      <c r="AG291" s="51">
        <v>1.0</v>
      </c>
      <c r="AH291" s="48">
        <v>1.0</v>
      </c>
      <c r="AI291" s="48" t="s">
        <v>166</v>
      </c>
      <c r="AJ291" s="50" t="s">
        <v>174</v>
      </c>
      <c r="AK291" s="56">
        <v>129.0</v>
      </c>
      <c r="AL291" s="57">
        <f>AK291*Sheets!$E$3</f>
        <v>17.7820695</v>
      </c>
      <c r="AM291" s="68"/>
      <c r="AN291" s="70"/>
      <c r="AO291" s="71"/>
      <c r="AP291" s="72">
        <v>45373.3720803125</v>
      </c>
      <c r="AQ291" s="66"/>
    </row>
    <row r="292">
      <c r="A292" s="69" t="str">
        <f>HYPERLINK("https://hzmod.world.taobao.com/","HZ MOD")</f>
        <v>HZ MOD</v>
      </c>
      <c r="B292" s="46" t="s">
        <v>615</v>
      </c>
      <c r="C292" s="63" t="s">
        <v>225</v>
      </c>
      <c r="D292" s="48">
        <v>323.0</v>
      </c>
      <c r="E292" s="48">
        <v>69.0</v>
      </c>
      <c r="F292" s="48">
        <v>339.0</v>
      </c>
      <c r="G292" s="49">
        <f t="shared" si="1"/>
        <v>7.555293</v>
      </c>
      <c r="H292" s="49">
        <f t="shared" si="2"/>
        <v>222.87</v>
      </c>
      <c r="I292" s="48">
        <v>4.9</v>
      </c>
      <c r="J292" s="48" t="s">
        <v>171</v>
      </c>
      <c r="K292" s="50" t="s">
        <v>616</v>
      </c>
      <c r="L292" s="51">
        <v>50.0</v>
      </c>
      <c r="M292" s="50">
        <v>120.0</v>
      </c>
      <c r="N292" s="51" t="s">
        <v>174</v>
      </c>
      <c r="O292" s="48">
        <v>320.0</v>
      </c>
      <c r="P292" s="48">
        <v>148.0</v>
      </c>
      <c r="Q292" s="48">
        <v>55.0</v>
      </c>
      <c r="R292" s="48">
        <v>2.0</v>
      </c>
      <c r="S292" s="50" t="s">
        <v>166</v>
      </c>
      <c r="T292" s="52" t="s">
        <v>167</v>
      </c>
      <c r="U292" s="52" t="s">
        <v>346</v>
      </c>
      <c r="V292" s="51" t="s">
        <v>584</v>
      </c>
      <c r="W292" s="48" t="s">
        <v>166</v>
      </c>
      <c r="X292" s="50" t="s">
        <v>166</v>
      </c>
      <c r="Y292" s="51" t="s">
        <v>166</v>
      </c>
      <c r="Z292" s="48" t="s">
        <v>166</v>
      </c>
      <c r="AA292" s="48" t="s">
        <v>166</v>
      </c>
      <c r="AB292" s="48" t="s">
        <v>166</v>
      </c>
      <c r="AC292" s="48" t="s">
        <v>194</v>
      </c>
      <c r="AD292" s="48" t="s">
        <v>166</v>
      </c>
      <c r="AE292" s="54" t="s">
        <v>166</v>
      </c>
      <c r="AF292" s="55" t="s">
        <v>166</v>
      </c>
      <c r="AG292" s="51" t="s">
        <v>166</v>
      </c>
      <c r="AH292" s="48" t="s">
        <v>193</v>
      </c>
      <c r="AI292" s="48" t="s">
        <v>166</v>
      </c>
      <c r="AJ292" s="50" t="s">
        <v>166</v>
      </c>
      <c r="AK292" s="56">
        <v>749.0</v>
      </c>
      <c r="AL292" s="57">
        <f>AK292*Sheets!$E$3</f>
        <v>103.2462795</v>
      </c>
      <c r="AM292" s="68"/>
      <c r="AN292" s="59"/>
      <c r="AO292" s="60"/>
      <c r="AP292" s="65">
        <v>44681.59538850695</v>
      </c>
      <c r="AQ292" s="66"/>
    </row>
    <row r="293">
      <c r="A293" s="69" t="s">
        <v>484</v>
      </c>
      <c r="B293" s="73" t="s">
        <v>617</v>
      </c>
      <c r="C293" s="63" t="s">
        <v>248</v>
      </c>
      <c r="D293" s="48">
        <v>300.0</v>
      </c>
      <c r="E293" s="48">
        <v>120.0</v>
      </c>
      <c r="F293" s="48">
        <v>210.0</v>
      </c>
      <c r="G293" s="49">
        <f t="shared" si="1"/>
        <v>7.56</v>
      </c>
      <c r="H293" s="49">
        <f t="shared" si="2"/>
        <v>360</v>
      </c>
      <c r="I293" s="48">
        <v>2.0</v>
      </c>
      <c r="J293" s="48" t="s">
        <v>245</v>
      </c>
      <c r="K293" s="50" t="s">
        <v>164</v>
      </c>
      <c r="L293" s="51">
        <v>55.0</v>
      </c>
      <c r="M293" s="50" t="s">
        <v>166</v>
      </c>
      <c r="N293" s="51" t="s">
        <v>174</v>
      </c>
      <c r="O293" s="48">
        <v>290.0</v>
      </c>
      <c r="P293" s="48" t="s">
        <v>170</v>
      </c>
      <c r="Q293" s="48">
        <v>40.0</v>
      </c>
      <c r="R293" s="48">
        <v>2.0</v>
      </c>
      <c r="S293" s="50" t="s">
        <v>166</v>
      </c>
      <c r="T293" s="52" t="s">
        <v>167</v>
      </c>
      <c r="U293" s="52" t="s">
        <v>186</v>
      </c>
      <c r="V293" s="51" t="s">
        <v>166</v>
      </c>
      <c r="W293" s="48" t="s">
        <v>166</v>
      </c>
      <c r="X293" s="50" t="s">
        <v>166</v>
      </c>
      <c r="Y293" s="51" t="s">
        <v>166</v>
      </c>
      <c r="Z293" s="48" t="s">
        <v>166</v>
      </c>
      <c r="AA293" s="48" t="s">
        <v>166</v>
      </c>
      <c r="AB293" s="48" t="s">
        <v>166</v>
      </c>
      <c r="AC293" s="48">
        <v>2.0</v>
      </c>
      <c r="AD293" s="48" t="s">
        <v>166</v>
      </c>
      <c r="AE293" s="54" t="s">
        <v>166</v>
      </c>
      <c r="AF293" s="55" t="s">
        <v>166</v>
      </c>
      <c r="AG293" s="51" t="s">
        <v>166</v>
      </c>
      <c r="AH293" s="48" t="s">
        <v>166</v>
      </c>
      <c r="AI293" s="48" t="s">
        <v>166</v>
      </c>
      <c r="AJ293" s="50" t="s">
        <v>166</v>
      </c>
      <c r="AK293" s="56">
        <v>138.0</v>
      </c>
      <c r="AL293" s="57">
        <f>AK293*Sheets!$E$3</f>
        <v>19.022679</v>
      </c>
      <c r="AM293" s="68"/>
      <c r="AN293" s="70"/>
      <c r="AO293" s="71" t="s">
        <v>181</v>
      </c>
      <c r="AP293" s="72">
        <v>44681.59544226852</v>
      </c>
      <c r="AQ293" s="66"/>
    </row>
    <row r="294">
      <c r="A294" s="46" t="s">
        <v>357</v>
      </c>
      <c r="B294" s="73" t="s">
        <v>618</v>
      </c>
      <c r="C294" s="63" t="s">
        <v>248</v>
      </c>
      <c r="D294" s="48">
        <v>310.0</v>
      </c>
      <c r="E294" s="48">
        <v>134.0</v>
      </c>
      <c r="F294" s="48">
        <v>182.0</v>
      </c>
      <c r="G294" s="49">
        <f t="shared" si="1"/>
        <v>7.56028</v>
      </c>
      <c r="H294" s="49">
        <f t="shared" si="2"/>
        <v>415.4</v>
      </c>
      <c r="I294" s="48">
        <v>2.6</v>
      </c>
      <c r="J294" s="48" t="s">
        <v>235</v>
      </c>
      <c r="K294" s="50" t="s">
        <v>252</v>
      </c>
      <c r="L294" s="51">
        <v>65.0</v>
      </c>
      <c r="M294" s="50" t="s">
        <v>619</v>
      </c>
      <c r="N294" s="51" t="s">
        <v>174</v>
      </c>
      <c r="O294" s="48">
        <v>306.0</v>
      </c>
      <c r="P294" s="48">
        <v>130.0</v>
      </c>
      <c r="Q294" s="48">
        <v>46.0</v>
      </c>
      <c r="R294" s="48">
        <v>2.0</v>
      </c>
      <c r="S294" s="50" t="s">
        <v>166</v>
      </c>
      <c r="T294" s="52" t="s">
        <v>167</v>
      </c>
      <c r="U294" s="52" t="s">
        <v>346</v>
      </c>
      <c r="V294" s="51">
        <v>6.0</v>
      </c>
      <c r="W294" s="48" t="s">
        <v>194</v>
      </c>
      <c r="X294" s="50" t="s">
        <v>166</v>
      </c>
      <c r="Y294" s="51" t="s">
        <v>166</v>
      </c>
      <c r="Z294" s="48" t="s">
        <v>166</v>
      </c>
      <c r="AA294" s="48" t="s">
        <v>166</v>
      </c>
      <c r="AB294" s="48" t="s">
        <v>166</v>
      </c>
      <c r="AC294" s="48" t="s">
        <v>193</v>
      </c>
      <c r="AD294" s="48" t="s">
        <v>166</v>
      </c>
      <c r="AE294" s="54" t="s">
        <v>166</v>
      </c>
      <c r="AF294" s="55" t="s">
        <v>166</v>
      </c>
      <c r="AG294" s="51" t="s">
        <v>166</v>
      </c>
      <c r="AH294" s="48" t="s">
        <v>166</v>
      </c>
      <c r="AI294" s="48" t="s">
        <v>166</v>
      </c>
      <c r="AJ294" s="50" t="s">
        <v>166</v>
      </c>
      <c r="AK294" s="56">
        <v>1388.0</v>
      </c>
      <c r="AL294" s="57">
        <f>AK294*Sheets!$E$3</f>
        <v>191.329554</v>
      </c>
      <c r="AM294" s="68"/>
      <c r="AN294" s="70"/>
      <c r="AO294" s="71" t="s">
        <v>181</v>
      </c>
      <c r="AP294" s="71"/>
      <c r="AQ294" s="66"/>
    </row>
    <row r="295">
      <c r="A295" s="82" t="s">
        <v>212</v>
      </c>
      <c r="B295" s="62" t="s">
        <v>620</v>
      </c>
      <c r="C295" s="63" t="s">
        <v>248</v>
      </c>
      <c r="D295" s="48">
        <v>196.0</v>
      </c>
      <c r="E295" s="48">
        <v>140.0</v>
      </c>
      <c r="F295" s="48">
        <v>277.0</v>
      </c>
      <c r="G295" s="49">
        <f t="shared" si="1"/>
        <v>7.60088</v>
      </c>
      <c r="H295" s="49">
        <f t="shared" si="2"/>
        <v>274.4</v>
      </c>
      <c r="I295" s="48" t="s">
        <v>170</v>
      </c>
      <c r="J295" s="48" t="s">
        <v>164</v>
      </c>
      <c r="K295" s="50" t="s">
        <v>418</v>
      </c>
      <c r="L295" s="51">
        <v>75.0</v>
      </c>
      <c r="M295" s="50" t="s">
        <v>166</v>
      </c>
      <c r="N295" s="51" t="s">
        <v>174</v>
      </c>
      <c r="O295" s="48">
        <v>190.0</v>
      </c>
      <c r="P295" s="48">
        <v>150.0</v>
      </c>
      <c r="Q295" s="48">
        <v>42.0</v>
      </c>
      <c r="R295" s="48">
        <v>2.0</v>
      </c>
      <c r="S295" s="50" t="s">
        <v>166</v>
      </c>
      <c r="T295" s="52" t="s">
        <v>167</v>
      </c>
      <c r="U295" s="52" t="s">
        <v>346</v>
      </c>
      <c r="V295" s="51" t="s">
        <v>584</v>
      </c>
      <c r="W295" s="48" t="s">
        <v>166</v>
      </c>
      <c r="X295" s="50" t="s">
        <v>166</v>
      </c>
      <c r="Y295" s="51" t="s">
        <v>166</v>
      </c>
      <c r="Z295" s="48" t="s">
        <v>166</v>
      </c>
      <c r="AA295" s="48" t="s">
        <v>166</v>
      </c>
      <c r="AB295" s="48" t="s">
        <v>166</v>
      </c>
      <c r="AC295" s="48">
        <v>1.0</v>
      </c>
      <c r="AD295" s="48" t="s">
        <v>166</v>
      </c>
      <c r="AE295" s="54" t="s">
        <v>166</v>
      </c>
      <c r="AF295" s="55" t="s">
        <v>166</v>
      </c>
      <c r="AG295" s="51" t="s">
        <v>166</v>
      </c>
      <c r="AH295" s="48" t="s">
        <v>166</v>
      </c>
      <c r="AI295" s="48" t="s">
        <v>166</v>
      </c>
      <c r="AJ295" s="50" t="s">
        <v>166</v>
      </c>
      <c r="AK295" s="56">
        <v>699.0</v>
      </c>
      <c r="AL295" s="57">
        <f>AK295*Sheets!$E$3</f>
        <v>96.3540045</v>
      </c>
      <c r="AM295" s="58"/>
      <c r="AN295" s="64" t="s">
        <v>214</v>
      </c>
      <c r="AO295" s="60"/>
      <c r="AP295" s="60"/>
      <c r="AQ295" s="66"/>
    </row>
    <row r="296">
      <c r="A296" s="69" t="s">
        <v>222</v>
      </c>
      <c r="B296" s="103" t="s">
        <v>621</v>
      </c>
      <c r="C296" s="63" t="s">
        <v>248</v>
      </c>
      <c r="D296" s="48">
        <v>290.0</v>
      </c>
      <c r="E296" s="48">
        <v>125.0</v>
      </c>
      <c r="F296" s="48">
        <v>210.0</v>
      </c>
      <c r="G296" s="49">
        <f t="shared" si="1"/>
        <v>7.6125</v>
      </c>
      <c r="H296" s="49">
        <f t="shared" si="2"/>
        <v>362.5</v>
      </c>
      <c r="I296" s="48">
        <v>1.7</v>
      </c>
      <c r="J296" s="48" t="s">
        <v>171</v>
      </c>
      <c r="K296" s="50" t="s">
        <v>171</v>
      </c>
      <c r="L296" s="51">
        <v>57.0</v>
      </c>
      <c r="M296" s="50" t="s">
        <v>166</v>
      </c>
      <c r="N296" s="51" t="s">
        <v>174</v>
      </c>
      <c r="O296" s="48">
        <v>290.0</v>
      </c>
      <c r="P296" s="48">
        <v>160.0</v>
      </c>
      <c r="Q296" s="48">
        <v>50.0</v>
      </c>
      <c r="R296" s="48">
        <v>2.0</v>
      </c>
      <c r="S296" s="50" t="s">
        <v>166</v>
      </c>
      <c r="T296" s="52" t="s">
        <v>227</v>
      </c>
      <c r="U296" s="52" t="s">
        <v>186</v>
      </c>
      <c r="V296" s="51" t="s">
        <v>412</v>
      </c>
      <c r="W296" s="48" t="s">
        <v>194</v>
      </c>
      <c r="X296" s="50" t="s">
        <v>166</v>
      </c>
      <c r="Y296" s="51" t="s">
        <v>166</v>
      </c>
      <c r="Z296" s="48" t="s">
        <v>166</v>
      </c>
      <c r="AA296" s="48" t="s">
        <v>166</v>
      </c>
      <c r="AB296" s="48" t="s">
        <v>166</v>
      </c>
      <c r="AC296" s="48" t="s">
        <v>194</v>
      </c>
      <c r="AD296" s="48" t="s">
        <v>166</v>
      </c>
      <c r="AE296" s="54" t="s">
        <v>166</v>
      </c>
      <c r="AF296" s="55" t="s">
        <v>166</v>
      </c>
      <c r="AG296" s="51" t="s">
        <v>166</v>
      </c>
      <c r="AH296" s="48" t="s">
        <v>166</v>
      </c>
      <c r="AI296" s="48" t="s">
        <v>166</v>
      </c>
      <c r="AJ296" s="50" t="s">
        <v>166</v>
      </c>
      <c r="AK296" s="56">
        <v>228.0</v>
      </c>
      <c r="AL296" s="57">
        <f>AK296*Sheets!$E$3</f>
        <v>31.428774</v>
      </c>
      <c r="AM296" s="68"/>
      <c r="AN296" s="70"/>
      <c r="AO296" s="71" t="s">
        <v>181</v>
      </c>
      <c r="AP296" s="72">
        <v>44564.55892510417</v>
      </c>
      <c r="AQ296" s="66"/>
    </row>
    <row r="297">
      <c r="A297" s="61" t="str">
        <f>HYPERLINK("https://www.theezdesigns.com/","Theez Designs")</f>
        <v>Theez Designs</v>
      </c>
      <c r="B297" s="62" t="str">
        <f>HYPERLINK("https://www.theezdesigns.com/product/humble/","Humble")</f>
        <v>Humble</v>
      </c>
      <c r="C297" s="63" t="s">
        <v>262</v>
      </c>
      <c r="D297" s="48">
        <v>207.0</v>
      </c>
      <c r="E297" s="48">
        <v>230.0</v>
      </c>
      <c r="F297" s="48">
        <v>160.0</v>
      </c>
      <c r="G297" s="49">
        <f t="shared" si="1"/>
        <v>7.6176</v>
      </c>
      <c r="H297" s="49">
        <f t="shared" si="2"/>
        <v>476.1</v>
      </c>
      <c r="I297" s="48" t="s">
        <v>170</v>
      </c>
      <c r="J297" s="48" t="s">
        <v>164</v>
      </c>
      <c r="K297" s="50" t="s">
        <v>164</v>
      </c>
      <c r="L297" s="51">
        <v>60.0</v>
      </c>
      <c r="M297" s="50" t="s">
        <v>166</v>
      </c>
      <c r="N297" s="51" t="s">
        <v>166</v>
      </c>
      <c r="O297" s="48">
        <v>180.0</v>
      </c>
      <c r="P297" s="48">
        <v>131.0</v>
      </c>
      <c r="Q297" s="48">
        <v>40.0</v>
      </c>
      <c r="R297" s="48">
        <v>2.0</v>
      </c>
      <c r="S297" s="50" t="s">
        <v>166</v>
      </c>
      <c r="T297" s="52" t="s">
        <v>167</v>
      </c>
      <c r="U297" s="52" t="s">
        <v>346</v>
      </c>
      <c r="V297" s="51">
        <v>2.0</v>
      </c>
      <c r="W297" s="48" t="s">
        <v>166</v>
      </c>
      <c r="X297" s="50" t="s">
        <v>166</v>
      </c>
      <c r="Y297" s="51" t="s">
        <v>166</v>
      </c>
      <c r="Z297" s="48" t="s">
        <v>166</v>
      </c>
      <c r="AA297" s="48" t="s">
        <v>166</v>
      </c>
      <c r="AB297" s="48" t="s">
        <v>166</v>
      </c>
      <c r="AC297" s="48" t="s">
        <v>426</v>
      </c>
      <c r="AD297" s="48" t="s">
        <v>426</v>
      </c>
      <c r="AE297" s="54" t="s">
        <v>166</v>
      </c>
      <c r="AF297" s="55" t="s">
        <v>166</v>
      </c>
      <c r="AG297" s="51" t="s">
        <v>166</v>
      </c>
      <c r="AH297" s="48" t="s">
        <v>166</v>
      </c>
      <c r="AI297" s="48" t="s">
        <v>166</v>
      </c>
      <c r="AJ297" s="50" t="s">
        <v>166</v>
      </c>
      <c r="AK297" s="56" t="s">
        <v>166</v>
      </c>
      <c r="AL297" s="57">
        <v>120.0</v>
      </c>
      <c r="AM297" s="58"/>
      <c r="AN297" s="59"/>
      <c r="AO297" s="60"/>
      <c r="AP297" s="60"/>
      <c r="AQ297" s="66"/>
    </row>
    <row r="298">
      <c r="A298" s="69" t="s">
        <v>591</v>
      </c>
      <c r="B298" s="46" t="s">
        <v>622</v>
      </c>
      <c r="C298" s="63" t="s">
        <v>248</v>
      </c>
      <c r="D298" s="48">
        <v>312.0</v>
      </c>
      <c r="E298" s="48">
        <v>135.0</v>
      </c>
      <c r="F298" s="48">
        <v>181.0</v>
      </c>
      <c r="G298" s="49">
        <f t="shared" si="1"/>
        <v>7.62372</v>
      </c>
      <c r="H298" s="49">
        <f t="shared" si="2"/>
        <v>421.2</v>
      </c>
      <c r="I298" s="48" t="s">
        <v>170</v>
      </c>
      <c r="J298" s="48" t="s">
        <v>597</v>
      </c>
      <c r="K298" s="50" t="s">
        <v>185</v>
      </c>
      <c r="L298" s="51">
        <v>60.0</v>
      </c>
      <c r="M298" s="50" t="s">
        <v>166</v>
      </c>
      <c r="N298" s="51" t="s">
        <v>174</v>
      </c>
      <c r="O298" s="48">
        <v>306.0</v>
      </c>
      <c r="P298" s="48" t="s">
        <v>170</v>
      </c>
      <c r="Q298" s="48">
        <v>47.5</v>
      </c>
      <c r="R298" s="48">
        <v>2.0</v>
      </c>
      <c r="S298" s="50" t="s">
        <v>166</v>
      </c>
      <c r="T298" s="52" t="s">
        <v>167</v>
      </c>
      <c r="U298" s="52" t="s">
        <v>324</v>
      </c>
      <c r="V298" s="51">
        <v>2.0</v>
      </c>
      <c r="W298" s="48" t="s">
        <v>166</v>
      </c>
      <c r="X298" s="50" t="s">
        <v>166</v>
      </c>
      <c r="Y298" s="51" t="s">
        <v>166</v>
      </c>
      <c r="Z298" s="48" t="s">
        <v>166</v>
      </c>
      <c r="AA298" s="48" t="s">
        <v>166</v>
      </c>
      <c r="AB298" s="48" t="s">
        <v>166</v>
      </c>
      <c r="AC298" s="48" t="s">
        <v>166</v>
      </c>
      <c r="AD298" s="48" t="s">
        <v>166</v>
      </c>
      <c r="AE298" s="54" t="s">
        <v>166</v>
      </c>
      <c r="AF298" s="55" t="s">
        <v>166</v>
      </c>
      <c r="AG298" s="51" t="s">
        <v>166</v>
      </c>
      <c r="AH298" s="48">
        <v>1.0</v>
      </c>
      <c r="AI298" s="48" t="s">
        <v>166</v>
      </c>
      <c r="AJ298" s="50" t="s">
        <v>166</v>
      </c>
      <c r="AK298" s="56">
        <v>189.0</v>
      </c>
      <c r="AL298" s="57">
        <f>AK298*Sheets!$E$3</f>
        <v>26.0527995</v>
      </c>
      <c r="AM298" s="68"/>
      <c r="AN298" s="70"/>
      <c r="AO298" s="71"/>
      <c r="AP298" s="72">
        <v>44735.87230752315</v>
      </c>
      <c r="AQ298" s="66"/>
    </row>
    <row r="299">
      <c r="A299" s="61" t="s">
        <v>250</v>
      </c>
      <c r="B299" s="62" t="s">
        <v>623</v>
      </c>
      <c r="C299" s="63" t="s">
        <v>282</v>
      </c>
      <c r="D299" s="48">
        <v>220.0</v>
      </c>
      <c r="E299" s="48">
        <v>160.0</v>
      </c>
      <c r="F299" s="48">
        <v>217.0</v>
      </c>
      <c r="G299" s="49">
        <f t="shared" si="1"/>
        <v>7.6384</v>
      </c>
      <c r="H299" s="49">
        <f t="shared" si="2"/>
        <v>352</v>
      </c>
      <c r="I299" s="48" t="s">
        <v>170</v>
      </c>
      <c r="J299" s="48" t="s">
        <v>282</v>
      </c>
      <c r="K299" s="50" t="s">
        <v>164</v>
      </c>
      <c r="L299" s="51" t="s">
        <v>282</v>
      </c>
      <c r="M299" s="50" t="s">
        <v>547</v>
      </c>
      <c r="N299" s="51" t="s">
        <v>174</v>
      </c>
      <c r="O299" s="48">
        <v>210.0</v>
      </c>
      <c r="P299" s="48">
        <v>130.0</v>
      </c>
      <c r="Q299" s="48">
        <v>55.0</v>
      </c>
      <c r="R299" s="48">
        <v>2.0</v>
      </c>
      <c r="S299" s="50" t="s">
        <v>166</v>
      </c>
      <c r="T299" s="52" t="s">
        <v>167</v>
      </c>
      <c r="U299" s="52" t="s">
        <v>186</v>
      </c>
      <c r="V299" s="51">
        <v>2.0</v>
      </c>
      <c r="W299" s="48" t="s">
        <v>166</v>
      </c>
      <c r="X299" s="50" t="s">
        <v>166</v>
      </c>
      <c r="Y299" s="51" t="s">
        <v>166</v>
      </c>
      <c r="Z299" s="48" t="s">
        <v>166</v>
      </c>
      <c r="AA299" s="48" t="s">
        <v>166</v>
      </c>
      <c r="AB299" s="48" t="s">
        <v>166</v>
      </c>
      <c r="AC299" s="48" t="s">
        <v>166</v>
      </c>
      <c r="AD299" s="48" t="s">
        <v>166</v>
      </c>
      <c r="AE299" s="54" t="s">
        <v>166</v>
      </c>
      <c r="AF299" s="55" t="s">
        <v>166</v>
      </c>
      <c r="AG299" s="51" t="s">
        <v>166</v>
      </c>
      <c r="AH299" s="48" t="s">
        <v>166</v>
      </c>
      <c r="AI299" s="48" t="s">
        <v>166</v>
      </c>
      <c r="AJ299" s="50" t="s">
        <v>166</v>
      </c>
      <c r="AK299" s="56">
        <v>480.0</v>
      </c>
      <c r="AL299" s="57">
        <v>85.0</v>
      </c>
      <c r="AM299" s="58"/>
      <c r="AN299" s="85"/>
      <c r="AO299" s="86"/>
      <c r="AP299" s="65">
        <v>44572.407954270835</v>
      </c>
      <c r="AQ299" s="66"/>
    </row>
    <row r="300">
      <c r="A300" s="62" t="s">
        <v>292</v>
      </c>
      <c r="B300" s="67" t="s">
        <v>624</v>
      </c>
      <c r="C300" s="63" t="s">
        <v>262</v>
      </c>
      <c r="D300" s="74">
        <v>188.0</v>
      </c>
      <c r="E300" s="74">
        <v>148.0</v>
      </c>
      <c r="F300" s="74">
        <v>276.0</v>
      </c>
      <c r="G300" s="49">
        <f t="shared" si="1"/>
        <v>7.679424</v>
      </c>
      <c r="H300" s="49">
        <f t="shared" si="2"/>
        <v>278.24</v>
      </c>
      <c r="I300" s="74">
        <v>2.0</v>
      </c>
      <c r="J300" s="48" t="s">
        <v>164</v>
      </c>
      <c r="K300" s="50" t="s">
        <v>625</v>
      </c>
      <c r="L300" s="76">
        <v>124.0</v>
      </c>
      <c r="M300" s="75" t="s">
        <v>166</v>
      </c>
      <c r="N300" s="77" t="s">
        <v>166</v>
      </c>
      <c r="O300" s="104">
        <v>185.0</v>
      </c>
      <c r="P300" s="74">
        <v>129.0</v>
      </c>
      <c r="Q300" s="89">
        <v>43.0</v>
      </c>
      <c r="R300" s="105">
        <v>2.0</v>
      </c>
      <c r="S300" s="50" t="s">
        <v>166</v>
      </c>
      <c r="T300" s="52" t="s">
        <v>167</v>
      </c>
      <c r="U300" s="52" t="s">
        <v>346</v>
      </c>
      <c r="V300" s="77" t="s">
        <v>166</v>
      </c>
      <c r="W300" s="74" t="s">
        <v>166</v>
      </c>
      <c r="X300" s="75" t="s">
        <v>166</v>
      </c>
      <c r="Y300" s="51" t="s">
        <v>166</v>
      </c>
      <c r="Z300" s="74">
        <v>2.0</v>
      </c>
      <c r="AA300" s="74">
        <v>2.0</v>
      </c>
      <c r="AB300" s="48" t="s">
        <v>166</v>
      </c>
      <c r="AC300" s="48" t="s">
        <v>166</v>
      </c>
      <c r="AD300" s="48" t="s">
        <v>166</v>
      </c>
      <c r="AE300" s="54" t="s">
        <v>166</v>
      </c>
      <c r="AF300" s="55" t="s">
        <v>166</v>
      </c>
      <c r="AG300" s="51" t="s">
        <v>166</v>
      </c>
      <c r="AH300" s="48" t="s">
        <v>166</v>
      </c>
      <c r="AI300" s="48" t="s">
        <v>166</v>
      </c>
      <c r="AJ300" s="50" t="s">
        <v>166</v>
      </c>
      <c r="AK300" s="56" t="s">
        <v>166</v>
      </c>
      <c r="AL300" s="57">
        <f>50*1.17</f>
        <v>58.5</v>
      </c>
      <c r="AM300" s="64" t="s">
        <v>214</v>
      </c>
      <c r="AN300" s="59"/>
      <c r="AO300" s="60" t="s">
        <v>181</v>
      </c>
      <c r="AP300" s="65">
        <v>44887.95534973379</v>
      </c>
      <c r="AQ300" s="66"/>
    </row>
    <row r="301">
      <c r="A301" s="46" t="str">
        <f>HYPERLINK("https://shop159524301.world.taobao.com/","Warhead Design")</f>
        <v>Warhead Design</v>
      </c>
      <c r="B301" s="73" t="s">
        <v>626</v>
      </c>
      <c r="C301" s="63" t="s">
        <v>248</v>
      </c>
      <c r="D301" s="48">
        <v>200.0</v>
      </c>
      <c r="E301" s="48">
        <v>140.0</v>
      </c>
      <c r="F301" s="48">
        <v>275.0</v>
      </c>
      <c r="G301" s="49">
        <f t="shared" si="1"/>
        <v>7.7</v>
      </c>
      <c r="H301" s="49">
        <f t="shared" si="2"/>
        <v>280</v>
      </c>
      <c r="I301" s="48">
        <v>1.6</v>
      </c>
      <c r="J301" s="48" t="s">
        <v>164</v>
      </c>
      <c r="K301" s="50" t="s">
        <v>164</v>
      </c>
      <c r="L301" s="51">
        <v>135.0</v>
      </c>
      <c r="M301" s="50" t="s">
        <v>547</v>
      </c>
      <c r="N301" s="51" t="s">
        <v>174</v>
      </c>
      <c r="O301" s="48">
        <v>175.0</v>
      </c>
      <c r="P301" s="48" t="s">
        <v>170</v>
      </c>
      <c r="Q301" s="48">
        <v>40.0</v>
      </c>
      <c r="R301" s="48">
        <v>2.0</v>
      </c>
      <c r="S301" s="50" t="s">
        <v>166</v>
      </c>
      <c r="T301" s="52" t="s">
        <v>167</v>
      </c>
      <c r="U301" s="52" t="s">
        <v>324</v>
      </c>
      <c r="V301" s="51">
        <v>2.0</v>
      </c>
      <c r="W301" s="48" t="s">
        <v>166</v>
      </c>
      <c r="X301" s="50" t="s">
        <v>166</v>
      </c>
      <c r="Y301" s="51" t="s">
        <v>166</v>
      </c>
      <c r="Z301" s="48">
        <v>2.0</v>
      </c>
      <c r="AA301" s="48" t="s">
        <v>166</v>
      </c>
      <c r="AB301" s="48" t="s">
        <v>166</v>
      </c>
      <c r="AC301" s="48">
        <v>2.0</v>
      </c>
      <c r="AD301" s="48" t="s">
        <v>166</v>
      </c>
      <c r="AE301" s="54" t="s">
        <v>166</v>
      </c>
      <c r="AF301" s="55" t="s">
        <v>166</v>
      </c>
      <c r="AG301" s="51" t="s">
        <v>166</v>
      </c>
      <c r="AH301" s="48">
        <v>1.0</v>
      </c>
      <c r="AI301" s="48" t="s">
        <v>166</v>
      </c>
      <c r="AJ301" s="50" t="s">
        <v>166</v>
      </c>
      <c r="AK301" s="56">
        <v>599.0</v>
      </c>
      <c r="AL301" s="57">
        <f>AK301*Sheets!$E$3</f>
        <v>82.5694545</v>
      </c>
      <c r="AM301" s="58"/>
      <c r="AN301" s="59"/>
      <c r="AO301" s="60" t="s">
        <v>181</v>
      </c>
      <c r="AP301" s="65">
        <v>44681.59557746528</v>
      </c>
      <c r="AQ301" s="66"/>
    </row>
    <row r="302">
      <c r="A302" s="69" t="s">
        <v>196</v>
      </c>
      <c r="B302" s="73" t="s">
        <v>618</v>
      </c>
      <c r="C302" s="63" t="s">
        <v>248</v>
      </c>
      <c r="D302" s="48">
        <v>315.0</v>
      </c>
      <c r="E302" s="48">
        <v>126.0</v>
      </c>
      <c r="F302" s="48">
        <v>195.0</v>
      </c>
      <c r="G302" s="49">
        <f t="shared" si="1"/>
        <v>7.73955</v>
      </c>
      <c r="H302" s="49">
        <f t="shared" si="2"/>
        <v>396.9</v>
      </c>
      <c r="I302" s="48" t="s">
        <v>170</v>
      </c>
      <c r="J302" s="48" t="s">
        <v>274</v>
      </c>
      <c r="K302" s="50" t="s">
        <v>305</v>
      </c>
      <c r="L302" s="51">
        <v>55.0</v>
      </c>
      <c r="M302" s="50" t="s">
        <v>166</v>
      </c>
      <c r="N302" s="51" t="s">
        <v>174</v>
      </c>
      <c r="O302" s="48">
        <v>300.0</v>
      </c>
      <c r="P302" s="48">
        <v>130.0</v>
      </c>
      <c r="Q302" s="48">
        <v>40.0</v>
      </c>
      <c r="R302" s="48">
        <v>2.0</v>
      </c>
      <c r="S302" s="50" t="s">
        <v>166</v>
      </c>
      <c r="T302" s="52" t="s">
        <v>167</v>
      </c>
      <c r="U302" s="52" t="s">
        <v>324</v>
      </c>
      <c r="V302" s="51">
        <v>2.0</v>
      </c>
      <c r="W302" s="48" t="s">
        <v>166</v>
      </c>
      <c r="X302" s="50" t="s">
        <v>166</v>
      </c>
      <c r="Y302" s="51" t="s">
        <v>166</v>
      </c>
      <c r="Z302" s="48" t="s">
        <v>166</v>
      </c>
      <c r="AA302" s="48" t="s">
        <v>166</v>
      </c>
      <c r="AB302" s="48" t="s">
        <v>166</v>
      </c>
      <c r="AC302" s="48" t="s">
        <v>166</v>
      </c>
      <c r="AD302" s="48" t="s">
        <v>166</v>
      </c>
      <c r="AE302" s="54" t="s">
        <v>166</v>
      </c>
      <c r="AF302" s="55" t="s">
        <v>166</v>
      </c>
      <c r="AG302" s="51" t="s">
        <v>166</v>
      </c>
      <c r="AH302" s="48" t="s">
        <v>166</v>
      </c>
      <c r="AI302" s="48" t="s">
        <v>166</v>
      </c>
      <c r="AJ302" s="50" t="s">
        <v>166</v>
      </c>
      <c r="AK302" s="56">
        <v>189.0</v>
      </c>
      <c r="AL302" s="57">
        <f>AK302*Sheets!$E$3</f>
        <v>26.0527995</v>
      </c>
      <c r="AM302" s="68"/>
      <c r="AN302" s="70"/>
      <c r="AO302" s="71" t="s">
        <v>181</v>
      </c>
      <c r="AP302" s="72">
        <v>45128.00839128472</v>
      </c>
      <c r="AQ302" s="66"/>
    </row>
    <row r="303">
      <c r="A303" s="69" t="s">
        <v>222</v>
      </c>
      <c r="B303" s="46" t="s">
        <v>627</v>
      </c>
      <c r="C303" s="63" t="s">
        <v>248</v>
      </c>
      <c r="D303" s="48">
        <v>305.0</v>
      </c>
      <c r="E303" s="48">
        <v>140.0</v>
      </c>
      <c r="F303" s="48">
        <v>182.0</v>
      </c>
      <c r="G303" s="49">
        <f t="shared" si="1"/>
        <v>7.7714</v>
      </c>
      <c r="H303" s="49">
        <f t="shared" si="2"/>
        <v>427</v>
      </c>
      <c r="I303" s="48">
        <v>1.39</v>
      </c>
      <c r="J303" s="48" t="s">
        <v>171</v>
      </c>
      <c r="K303" s="50" t="s">
        <v>171</v>
      </c>
      <c r="L303" s="51">
        <v>66.0</v>
      </c>
      <c r="M303" s="50" t="s">
        <v>166</v>
      </c>
      <c r="N303" s="51" t="s">
        <v>174</v>
      </c>
      <c r="O303" s="48">
        <v>302.0</v>
      </c>
      <c r="P303" s="48">
        <v>142.0</v>
      </c>
      <c r="Q303" s="48">
        <v>55.0</v>
      </c>
      <c r="R303" s="48">
        <v>2.0</v>
      </c>
      <c r="S303" s="50" t="s">
        <v>166</v>
      </c>
      <c r="T303" s="52" t="s">
        <v>167</v>
      </c>
      <c r="U303" s="52" t="s">
        <v>346</v>
      </c>
      <c r="V303" s="51">
        <v>2.0</v>
      </c>
      <c r="W303" s="48" t="s">
        <v>194</v>
      </c>
      <c r="X303" s="50" t="s">
        <v>166</v>
      </c>
      <c r="Y303" s="51" t="s">
        <v>166</v>
      </c>
      <c r="Z303" s="48" t="s">
        <v>166</v>
      </c>
      <c r="AA303" s="48" t="s">
        <v>166</v>
      </c>
      <c r="AB303" s="48" t="s">
        <v>166</v>
      </c>
      <c r="AC303" s="48" t="s">
        <v>166</v>
      </c>
      <c r="AD303" s="48" t="s">
        <v>166</v>
      </c>
      <c r="AE303" s="54" t="s">
        <v>166</v>
      </c>
      <c r="AF303" s="55" t="s">
        <v>166</v>
      </c>
      <c r="AG303" s="51" t="s">
        <v>193</v>
      </c>
      <c r="AH303" s="48" t="s">
        <v>193</v>
      </c>
      <c r="AI303" s="48" t="s">
        <v>166</v>
      </c>
      <c r="AJ303" s="50" t="s">
        <v>174</v>
      </c>
      <c r="AK303" s="56">
        <v>128.0</v>
      </c>
      <c r="AL303" s="57">
        <f>AK303*Sheets!$E$3</f>
        <v>17.644224</v>
      </c>
      <c r="AM303" s="68"/>
      <c r="AN303" s="70"/>
      <c r="AO303" s="71"/>
      <c r="AP303" s="72">
        <v>44556.566209791665</v>
      </c>
      <c r="AQ303" s="66"/>
    </row>
    <row r="304">
      <c r="A304" s="46" t="str">
        <f>HYPERLINK("https://shop224033016.world.taobao.com/","魔神科技电脑机箱城")</f>
        <v>魔神科技电脑机箱城</v>
      </c>
      <c r="B304" s="46" t="s">
        <v>628</v>
      </c>
      <c r="C304" s="63" t="s">
        <v>248</v>
      </c>
      <c r="D304" s="48">
        <v>200.0</v>
      </c>
      <c r="E304" s="48">
        <v>145.0</v>
      </c>
      <c r="F304" s="48">
        <v>268.0</v>
      </c>
      <c r="G304" s="49">
        <f t="shared" si="1"/>
        <v>7.772</v>
      </c>
      <c r="H304" s="49">
        <f t="shared" si="2"/>
        <v>290</v>
      </c>
      <c r="I304" s="48">
        <v>2.0</v>
      </c>
      <c r="J304" s="48" t="s">
        <v>164</v>
      </c>
      <c r="K304" s="50" t="s">
        <v>164</v>
      </c>
      <c r="L304" s="51">
        <v>68.0</v>
      </c>
      <c r="M304" s="50" t="s">
        <v>166</v>
      </c>
      <c r="N304" s="51" t="s">
        <v>174</v>
      </c>
      <c r="O304" s="48">
        <v>196.0</v>
      </c>
      <c r="P304" s="48">
        <v>135.0</v>
      </c>
      <c r="Q304" s="48">
        <v>48.0</v>
      </c>
      <c r="R304" s="48">
        <v>2.0</v>
      </c>
      <c r="S304" s="50" t="s">
        <v>166</v>
      </c>
      <c r="T304" s="52" t="s">
        <v>167</v>
      </c>
      <c r="U304" s="52" t="s">
        <v>346</v>
      </c>
      <c r="V304" s="51">
        <v>4.0</v>
      </c>
      <c r="W304" s="48" t="s">
        <v>166</v>
      </c>
      <c r="X304" s="50" t="s">
        <v>166</v>
      </c>
      <c r="Y304" s="51" t="s">
        <v>166</v>
      </c>
      <c r="Z304" s="48" t="s">
        <v>166</v>
      </c>
      <c r="AA304" s="48" t="s">
        <v>166</v>
      </c>
      <c r="AB304" s="48" t="s">
        <v>166</v>
      </c>
      <c r="AC304" s="48">
        <v>1.0</v>
      </c>
      <c r="AD304" s="48" t="s">
        <v>166</v>
      </c>
      <c r="AE304" s="54" t="s">
        <v>166</v>
      </c>
      <c r="AF304" s="55" t="s">
        <v>166</v>
      </c>
      <c r="AG304" s="51" t="s">
        <v>166</v>
      </c>
      <c r="AH304" s="48" t="s">
        <v>166</v>
      </c>
      <c r="AI304" s="48" t="s">
        <v>166</v>
      </c>
      <c r="AJ304" s="50" t="s">
        <v>166</v>
      </c>
      <c r="AK304" s="56">
        <v>499.0</v>
      </c>
      <c r="AL304" s="57">
        <f>AK304*Sheets!$E$3</f>
        <v>68.7849045</v>
      </c>
      <c r="AM304" s="68"/>
      <c r="AN304" s="70"/>
      <c r="AO304" s="60" t="s">
        <v>181</v>
      </c>
      <c r="AP304" s="72">
        <v>44853.99631957176</v>
      </c>
      <c r="AQ304" s="66"/>
    </row>
    <row r="305">
      <c r="A305" s="46" t="s">
        <v>404</v>
      </c>
      <c r="B305" s="73" t="s">
        <v>629</v>
      </c>
      <c r="C305" s="63" t="s">
        <v>248</v>
      </c>
      <c r="D305" s="48">
        <v>191.0</v>
      </c>
      <c r="E305" s="48">
        <v>138.0</v>
      </c>
      <c r="F305" s="48">
        <v>295.0</v>
      </c>
      <c r="G305" s="49">
        <f t="shared" si="1"/>
        <v>7.77561</v>
      </c>
      <c r="H305" s="49">
        <f t="shared" si="2"/>
        <v>263.58</v>
      </c>
      <c r="I305" s="48">
        <v>2.0</v>
      </c>
      <c r="J305" s="48" t="s">
        <v>235</v>
      </c>
      <c r="K305" s="50" t="s">
        <v>529</v>
      </c>
      <c r="L305" s="51">
        <v>67.0</v>
      </c>
      <c r="M305" s="50">
        <v>120.0</v>
      </c>
      <c r="N305" s="51" t="s">
        <v>174</v>
      </c>
      <c r="O305" s="48">
        <v>185.0</v>
      </c>
      <c r="P305" s="48" t="s">
        <v>170</v>
      </c>
      <c r="Q305" s="48">
        <v>44.0</v>
      </c>
      <c r="R305" s="48">
        <v>2.0</v>
      </c>
      <c r="S305" s="50" t="s">
        <v>166</v>
      </c>
      <c r="T305" s="52" t="s">
        <v>167</v>
      </c>
      <c r="U305" s="52" t="s">
        <v>346</v>
      </c>
      <c r="V305" s="51">
        <v>5.0</v>
      </c>
      <c r="W305" s="48" t="s">
        <v>194</v>
      </c>
      <c r="X305" s="50" t="s">
        <v>166</v>
      </c>
      <c r="Y305" s="51" t="s">
        <v>166</v>
      </c>
      <c r="Z305" s="48" t="s">
        <v>166</v>
      </c>
      <c r="AA305" s="48" t="s">
        <v>166</v>
      </c>
      <c r="AB305" s="48" t="s">
        <v>166</v>
      </c>
      <c r="AC305" s="48">
        <v>1.0</v>
      </c>
      <c r="AD305" s="48" t="s">
        <v>166</v>
      </c>
      <c r="AE305" s="54" t="s">
        <v>166</v>
      </c>
      <c r="AF305" s="55" t="s">
        <v>166</v>
      </c>
      <c r="AG305" s="51" t="s">
        <v>166</v>
      </c>
      <c r="AH305" s="48" t="s">
        <v>166</v>
      </c>
      <c r="AI305" s="48" t="s">
        <v>166</v>
      </c>
      <c r="AJ305" s="50" t="s">
        <v>166</v>
      </c>
      <c r="AK305" s="56">
        <v>798.0</v>
      </c>
      <c r="AL305" s="57">
        <f>AK305*Sheets!$E$3</f>
        <v>110.000709</v>
      </c>
      <c r="AM305" s="58"/>
      <c r="AN305" s="59"/>
      <c r="AO305" s="60" t="s">
        <v>181</v>
      </c>
      <c r="AP305" s="65">
        <v>45056.39949658565</v>
      </c>
      <c r="AQ305" s="66"/>
    </row>
    <row r="306">
      <c r="A306" s="73" t="s">
        <v>630</v>
      </c>
      <c r="B306" s="73" t="s">
        <v>631</v>
      </c>
      <c r="C306" s="63" t="s">
        <v>248</v>
      </c>
      <c r="D306" s="48">
        <v>192.0</v>
      </c>
      <c r="E306" s="48">
        <v>152.0</v>
      </c>
      <c r="F306" s="48">
        <v>268.0</v>
      </c>
      <c r="G306" s="49">
        <f t="shared" si="1"/>
        <v>7.821312</v>
      </c>
      <c r="H306" s="49">
        <f t="shared" si="2"/>
        <v>291.84</v>
      </c>
      <c r="I306" s="48">
        <v>2.0</v>
      </c>
      <c r="J306" s="48" t="s">
        <v>164</v>
      </c>
      <c r="K306" s="50" t="s">
        <v>632</v>
      </c>
      <c r="L306" s="51">
        <v>75.0</v>
      </c>
      <c r="M306" s="50" t="s">
        <v>166</v>
      </c>
      <c r="N306" s="51" t="s">
        <v>174</v>
      </c>
      <c r="O306" s="48">
        <v>180.0</v>
      </c>
      <c r="P306" s="48" t="s">
        <v>170</v>
      </c>
      <c r="Q306" s="48">
        <v>40.0</v>
      </c>
      <c r="R306" s="48">
        <v>2.0</v>
      </c>
      <c r="S306" s="50" t="s">
        <v>166</v>
      </c>
      <c r="T306" s="52" t="s">
        <v>167</v>
      </c>
      <c r="U306" s="52" t="s">
        <v>346</v>
      </c>
      <c r="V306" s="51">
        <v>4.0</v>
      </c>
      <c r="W306" s="48" t="s">
        <v>166</v>
      </c>
      <c r="X306" s="50" t="s">
        <v>166</v>
      </c>
      <c r="Y306" s="51" t="s">
        <v>166</v>
      </c>
      <c r="Z306" s="48" t="s">
        <v>166</v>
      </c>
      <c r="AA306" s="48" t="s">
        <v>166</v>
      </c>
      <c r="AB306" s="48" t="s">
        <v>166</v>
      </c>
      <c r="AC306" s="48">
        <v>1.0</v>
      </c>
      <c r="AD306" s="48" t="s">
        <v>166</v>
      </c>
      <c r="AE306" s="54" t="s">
        <v>166</v>
      </c>
      <c r="AF306" s="55" t="s">
        <v>166</v>
      </c>
      <c r="AG306" s="51" t="s">
        <v>166</v>
      </c>
      <c r="AH306" s="48" t="s">
        <v>166</v>
      </c>
      <c r="AI306" s="48" t="s">
        <v>166</v>
      </c>
      <c r="AJ306" s="50" t="s">
        <v>166</v>
      </c>
      <c r="AK306" s="56">
        <v>200.0</v>
      </c>
      <c r="AL306" s="57">
        <f>AK306*Sheets!$E$3</f>
        <v>27.5691</v>
      </c>
      <c r="AM306" s="68"/>
      <c r="AN306" s="59"/>
      <c r="AO306" s="60" t="s">
        <v>181</v>
      </c>
      <c r="AP306" s="65">
        <v>44609.46030060185</v>
      </c>
      <c r="AQ306" s="66"/>
    </row>
    <row r="307">
      <c r="A307" s="82" t="str">
        <f t="shared" ref="A307:A309" si="7">HYPERLINK("https://www.in-win.com/","InWin")</f>
        <v>InWin</v>
      </c>
      <c r="B307" s="62" t="str">
        <f>HYPERLINK("https://www.in-win.com/en/gaming-chassis/b1/","B1")</f>
        <v>B1</v>
      </c>
      <c r="C307" s="63" t="s">
        <v>163</v>
      </c>
      <c r="D307" s="48">
        <v>238.0</v>
      </c>
      <c r="E307" s="48">
        <v>108.0</v>
      </c>
      <c r="F307" s="48">
        <v>305.0</v>
      </c>
      <c r="G307" s="49">
        <f t="shared" si="1"/>
        <v>7.83972</v>
      </c>
      <c r="H307" s="49">
        <f t="shared" si="2"/>
        <v>257.04</v>
      </c>
      <c r="I307" s="48">
        <v>1.9</v>
      </c>
      <c r="J307" s="48" t="s">
        <v>597</v>
      </c>
      <c r="K307" s="50" t="s">
        <v>633</v>
      </c>
      <c r="L307" s="51">
        <v>60.0</v>
      </c>
      <c r="M307" s="50" t="s">
        <v>166</v>
      </c>
      <c r="N307" s="51" t="s">
        <v>166</v>
      </c>
      <c r="O307" s="48" t="s">
        <v>166</v>
      </c>
      <c r="P307" s="48" t="s">
        <v>166</v>
      </c>
      <c r="Q307" s="48" t="s">
        <v>166</v>
      </c>
      <c r="R307" s="48" t="s">
        <v>166</v>
      </c>
      <c r="S307" s="50" t="s">
        <v>166</v>
      </c>
      <c r="T307" s="52" t="s">
        <v>167</v>
      </c>
      <c r="U307" s="52" t="s">
        <v>338</v>
      </c>
      <c r="V307" s="51">
        <v>2.0</v>
      </c>
      <c r="W307" s="48" t="s">
        <v>166</v>
      </c>
      <c r="X307" s="50" t="s">
        <v>166</v>
      </c>
      <c r="Y307" s="51" t="s">
        <v>166</v>
      </c>
      <c r="Z307" s="48" t="s">
        <v>166</v>
      </c>
      <c r="AA307" s="48">
        <v>1.0</v>
      </c>
      <c r="AB307" s="48" t="s">
        <v>166</v>
      </c>
      <c r="AC307" s="48" t="s">
        <v>166</v>
      </c>
      <c r="AD307" s="48" t="s">
        <v>166</v>
      </c>
      <c r="AE307" s="54" t="s">
        <v>166</v>
      </c>
      <c r="AF307" s="55" t="s">
        <v>166</v>
      </c>
      <c r="AG307" s="51" t="s">
        <v>166</v>
      </c>
      <c r="AH307" s="48">
        <v>1.0</v>
      </c>
      <c r="AI307" s="48" t="s">
        <v>166</v>
      </c>
      <c r="AJ307" s="50" t="s">
        <v>174</v>
      </c>
      <c r="AK307" s="56" t="s">
        <v>166</v>
      </c>
      <c r="AL307" s="57">
        <v>89.99</v>
      </c>
      <c r="AM307" s="68"/>
      <c r="AN307" s="70"/>
      <c r="AO307" s="71"/>
      <c r="AP307" s="72">
        <v>44563.76442475694</v>
      </c>
      <c r="AQ307" s="66"/>
    </row>
    <row r="308">
      <c r="A308" s="82" t="str">
        <f t="shared" si="7"/>
        <v>InWin</v>
      </c>
      <c r="B308" s="62" t="s">
        <v>634</v>
      </c>
      <c r="C308" s="63" t="s">
        <v>163</v>
      </c>
      <c r="D308" s="48">
        <v>238.0</v>
      </c>
      <c r="E308" s="48">
        <v>108.0</v>
      </c>
      <c r="F308" s="48">
        <v>305.0</v>
      </c>
      <c r="G308" s="49">
        <f t="shared" si="1"/>
        <v>7.83972</v>
      </c>
      <c r="H308" s="49">
        <f t="shared" si="2"/>
        <v>257.04</v>
      </c>
      <c r="I308" s="48">
        <v>1.74</v>
      </c>
      <c r="J308" s="48" t="s">
        <v>240</v>
      </c>
      <c r="K308" s="50" t="s">
        <v>633</v>
      </c>
      <c r="L308" s="51">
        <v>60.0</v>
      </c>
      <c r="M308" s="50" t="s">
        <v>166</v>
      </c>
      <c r="N308" s="51" t="s">
        <v>166</v>
      </c>
      <c r="O308" s="48" t="s">
        <v>166</v>
      </c>
      <c r="P308" s="48" t="s">
        <v>166</v>
      </c>
      <c r="Q308" s="48" t="s">
        <v>166</v>
      </c>
      <c r="R308" s="48" t="s">
        <v>166</v>
      </c>
      <c r="S308" s="50" t="s">
        <v>166</v>
      </c>
      <c r="T308" s="52" t="s">
        <v>167</v>
      </c>
      <c r="U308" s="52" t="s">
        <v>338</v>
      </c>
      <c r="V308" s="51">
        <v>2.0</v>
      </c>
      <c r="W308" s="48" t="s">
        <v>166</v>
      </c>
      <c r="X308" s="50" t="s">
        <v>166</v>
      </c>
      <c r="Y308" s="51" t="s">
        <v>166</v>
      </c>
      <c r="Z308" s="48" t="s">
        <v>166</v>
      </c>
      <c r="AA308" s="48">
        <v>1.0</v>
      </c>
      <c r="AB308" s="48" t="s">
        <v>166</v>
      </c>
      <c r="AC308" s="48" t="s">
        <v>166</v>
      </c>
      <c r="AD308" s="48" t="s">
        <v>166</v>
      </c>
      <c r="AE308" s="54" t="s">
        <v>166</v>
      </c>
      <c r="AF308" s="55" t="s">
        <v>166</v>
      </c>
      <c r="AG308" s="51" t="s">
        <v>166</v>
      </c>
      <c r="AH308" s="48">
        <v>1.0</v>
      </c>
      <c r="AI308" s="48" t="s">
        <v>166</v>
      </c>
      <c r="AJ308" s="50" t="s">
        <v>174</v>
      </c>
      <c r="AK308" s="56" t="s">
        <v>166</v>
      </c>
      <c r="AL308" s="57">
        <v>119.0</v>
      </c>
      <c r="AM308" s="68"/>
      <c r="AN308" s="70"/>
      <c r="AO308" s="71"/>
      <c r="AP308" s="72">
        <v>44609.46108622685</v>
      </c>
      <c r="AQ308" s="66"/>
    </row>
    <row r="309">
      <c r="A309" s="82" t="str">
        <f t="shared" si="7"/>
        <v>InWin</v>
      </c>
      <c r="B309" s="62" t="s">
        <v>635</v>
      </c>
      <c r="C309" s="63" t="s">
        <v>163</v>
      </c>
      <c r="D309" s="48">
        <v>238.0</v>
      </c>
      <c r="E309" s="48">
        <v>108.0</v>
      </c>
      <c r="F309" s="48">
        <v>305.0</v>
      </c>
      <c r="G309" s="49">
        <f t="shared" si="1"/>
        <v>7.83972</v>
      </c>
      <c r="H309" s="49">
        <f t="shared" si="2"/>
        <v>257.04</v>
      </c>
      <c r="I309" s="48">
        <v>1.65</v>
      </c>
      <c r="J309" s="48" t="s">
        <v>365</v>
      </c>
      <c r="K309" s="50" t="s">
        <v>633</v>
      </c>
      <c r="L309" s="51">
        <v>60.0</v>
      </c>
      <c r="M309" s="50" t="s">
        <v>166</v>
      </c>
      <c r="N309" s="51" t="s">
        <v>166</v>
      </c>
      <c r="O309" s="48" t="s">
        <v>166</v>
      </c>
      <c r="P309" s="48" t="s">
        <v>166</v>
      </c>
      <c r="Q309" s="48" t="s">
        <v>166</v>
      </c>
      <c r="R309" s="48" t="s">
        <v>166</v>
      </c>
      <c r="S309" s="50" t="s">
        <v>166</v>
      </c>
      <c r="T309" s="52" t="s">
        <v>167</v>
      </c>
      <c r="U309" s="52" t="s">
        <v>338</v>
      </c>
      <c r="V309" s="51">
        <v>2.0</v>
      </c>
      <c r="W309" s="48" t="s">
        <v>166</v>
      </c>
      <c r="X309" s="50" t="s">
        <v>166</v>
      </c>
      <c r="Y309" s="51" t="s">
        <v>166</v>
      </c>
      <c r="Z309" s="48" t="s">
        <v>166</v>
      </c>
      <c r="AA309" s="48">
        <v>1.0</v>
      </c>
      <c r="AB309" s="48" t="s">
        <v>166</v>
      </c>
      <c r="AC309" s="48" t="s">
        <v>166</v>
      </c>
      <c r="AD309" s="48" t="s">
        <v>166</v>
      </c>
      <c r="AE309" s="54" t="s">
        <v>166</v>
      </c>
      <c r="AF309" s="55" t="s">
        <v>166</v>
      </c>
      <c r="AG309" s="51" t="s">
        <v>166</v>
      </c>
      <c r="AH309" s="48">
        <v>1.0</v>
      </c>
      <c r="AI309" s="48" t="s">
        <v>166</v>
      </c>
      <c r="AJ309" s="50" t="s">
        <v>174</v>
      </c>
      <c r="AK309" s="56" t="s">
        <v>166</v>
      </c>
      <c r="AL309" s="57">
        <v>128.0</v>
      </c>
      <c r="AM309" s="68"/>
      <c r="AN309" s="70"/>
      <c r="AO309" s="71"/>
      <c r="AP309" s="72">
        <v>44563.76296408565</v>
      </c>
      <c r="AQ309" s="66"/>
    </row>
    <row r="310">
      <c r="A310" s="61" t="s">
        <v>636</v>
      </c>
      <c r="B310" s="62" t="s">
        <v>637</v>
      </c>
      <c r="C310" s="63" t="s">
        <v>248</v>
      </c>
      <c r="D310" s="48">
        <v>280.0</v>
      </c>
      <c r="E310" s="48">
        <v>140.0</v>
      </c>
      <c r="F310" s="48">
        <v>200.0</v>
      </c>
      <c r="G310" s="49">
        <f t="shared" si="1"/>
        <v>7.84</v>
      </c>
      <c r="H310" s="49">
        <f t="shared" si="2"/>
        <v>392</v>
      </c>
      <c r="I310" s="48">
        <v>2.3</v>
      </c>
      <c r="J310" s="48" t="s">
        <v>164</v>
      </c>
      <c r="K310" s="50" t="s">
        <v>638</v>
      </c>
      <c r="L310" s="51">
        <v>48.0</v>
      </c>
      <c r="M310" s="50" t="s">
        <v>166</v>
      </c>
      <c r="N310" s="51" t="s">
        <v>174</v>
      </c>
      <c r="O310" s="48">
        <v>250.0</v>
      </c>
      <c r="P310" s="48">
        <v>131.0</v>
      </c>
      <c r="Q310" s="48">
        <v>40.0</v>
      </c>
      <c r="R310" s="48">
        <v>2.0</v>
      </c>
      <c r="S310" s="50" t="s">
        <v>166</v>
      </c>
      <c r="T310" s="52" t="s">
        <v>167</v>
      </c>
      <c r="U310" s="52" t="s">
        <v>639</v>
      </c>
      <c r="V310" s="51">
        <v>2.0</v>
      </c>
      <c r="W310" s="48" t="s">
        <v>193</v>
      </c>
      <c r="X310" s="50" t="s">
        <v>166</v>
      </c>
      <c r="Y310" s="51" t="s">
        <v>166</v>
      </c>
      <c r="Z310" s="48" t="s">
        <v>166</v>
      </c>
      <c r="AA310" s="48" t="s">
        <v>166</v>
      </c>
      <c r="AB310" s="48" t="s">
        <v>166</v>
      </c>
      <c r="AC310" s="48" t="s">
        <v>166</v>
      </c>
      <c r="AD310" s="48" t="s">
        <v>166</v>
      </c>
      <c r="AE310" s="54" t="s">
        <v>166</v>
      </c>
      <c r="AF310" s="55" t="s">
        <v>166</v>
      </c>
      <c r="AG310" s="51" t="s">
        <v>166</v>
      </c>
      <c r="AH310" s="48" t="s">
        <v>166</v>
      </c>
      <c r="AI310" s="48" t="s">
        <v>166</v>
      </c>
      <c r="AJ310" s="50" t="s">
        <v>166</v>
      </c>
      <c r="AK310" s="56" t="s">
        <v>166</v>
      </c>
      <c r="AL310" s="57">
        <f>14280*0.0132</f>
        <v>188.496</v>
      </c>
      <c r="AM310" s="58"/>
      <c r="AN310" s="70"/>
      <c r="AO310" s="71"/>
      <c r="AP310" s="71"/>
      <c r="AQ310" s="66"/>
    </row>
    <row r="311">
      <c r="A311" s="69" t="s">
        <v>472</v>
      </c>
      <c r="B311" s="73" t="s">
        <v>640</v>
      </c>
      <c r="C311" s="63" t="s">
        <v>262</v>
      </c>
      <c r="D311" s="48">
        <v>250.0</v>
      </c>
      <c r="E311" s="48">
        <v>100.0</v>
      </c>
      <c r="F311" s="48">
        <v>315.0</v>
      </c>
      <c r="G311" s="49">
        <f t="shared" si="1"/>
        <v>7.875</v>
      </c>
      <c r="H311" s="49">
        <f t="shared" si="2"/>
        <v>250</v>
      </c>
      <c r="I311" s="48">
        <v>1.3</v>
      </c>
      <c r="J311" s="48" t="s">
        <v>164</v>
      </c>
      <c r="K311" s="50" t="s">
        <v>204</v>
      </c>
      <c r="L311" s="51">
        <v>70.0</v>
      </c>
      <c r="M311" s="50" t="s">
        <v>166</v>
      </c>
      <c r="N311" s="51" t="s">
        <v>166</v>
      </c>
      <c r="O311" s="48">
        <v>230.0</v>
      </c>
      <c r="P311" s="48">
        <v>70.0</v>
      </c>
      <c r="Q311" s="48">
        <v>60.0</v>
      </c>
      <c r="R311" s="48" t="s">
        <v>166</v>
      </c>
      <c r="S311" s="50">
        <v>3.0</v>
      </c>
      <c r="T311" s="52" t="s">
        <v>641</v>
      </c>
      <c r="U311" s="52" t="s">
        <v>186</v>
      </c>
      <c r="V311" s="51">
        <v>2.0</v>
      </c>
      <c r="W311" s="48" t="s">
        <v>194</v>
      </c>
      <c r="X311" s="50" t="s">
        <v>166</v>
      </c>
      <c r="Y311" s="51" t="s">
        <v>166</v>
      </c>
      <c r="Z311" s="48" t="s">
        <v>166</v>
      </c>
      <c r="AA311" s="48">
        <v>2.0</v>
      </c>
      <c r="AB311" s="48" t="s">
        <v>166</v>
      </c>
      <c r="AC311" s="48" t="s">
        <v>166</v>
      </c>
      <c r="AD311" s="48" t="s">
        <v>166</v>
      </c>
      <c r="AE311" s="54" t="s">
        <v>166</v>
      </c>
      <c r="AF311" s="55" t="s">
        <v>166</v>
      </c>
      <c r="AG311" s="51" t="s">
        <v>166</v>
      </c>
      <c r="AH311" s="48">
        <v>2.0</v>
      </c>
      <c r="AI311" s="48" t="s">
        <v>166</v>
      </c>
      <c r="AJ311" s="50" t="s">
        <v>166</v>
      </c>
      <c r="AK311" s="56">
        <v>248.0</v>
      </c>
      <c r="AL311" s="57">
        <f>AK311*Sheets!$E$3</f>
        <v>34.185684</v>
      </c>
      <c r="AM311" s="68"/>
      <c r="AN311" s="70"/>
      <c r="AO311" s="71" t="s">
        <v>181</v>
      </c>
      <c r="AP311" s="72">
        <v>44887.94525174769</v>
      </c>
      <c r="AQ311" s="66"/>
    </row>
    <row r="312">
      <c r="A312" s="69" t="str">
        <f>HYPERLINK("https://metalfish.world.taobao.com/","Metalfish")</f>
        <v>Metalfish</v>
      </c>
      <c r="B312" s="46" t="s">
        <v>642</v>
      </c>
      <c r="C312" s="63" t="s">
        <v>262</v>
      </c>
      <c r="D312" s="48">
        <v>225.0</v>
      </c>
      <c r="E312" s="48">
        <v>115.0</v>
      </c>
      <c r="F312" s="48">
        <v>305.0</v>
      </c>
      <c r="G312" s="49">
        <f t="shared" si="1"/>
        <v>7.891875</v>
      </c>
      <c r="H312" s="49">
        <f t="shared" si="2"/>
        <v>258.75</v>
      </c>
      <c r="I312" s="48">
        <v>2.0</v>
      </c>
      <c r="J312" s="48" t="s">
        <v>171</v>
      </c>
      <c r="K312" s="50" t="s">
        <v>514</v>
      </c>
      <c r="L312" s="51">
        <v>70.0</v>
      </c>
      <c r="M312" s="50" t="s">
        <v>166</v>
      </c>
      <c r="N312" s="51" t="s">
        <v>166</v>
      </c>
      <c r="O312" s="48">
        <v>210.0</v>
      </c>
      <c r="P312" s="48">
        <v>70.0</v>
      </c>
      <c r="Q312" s="48">
        <v>60.0</v>
      </c>
      <c r="R312" s="48" t="s">
        <v>166</v>
      </c>
      <c r="S312" s="50">
        <v>3.0</v>
      </c>
      <c r="T312" s="52" t="s">
        <v>317</v>
      </c>
      <c r="U312" s="52" t="s">
        <v>186</v>
      </c>
      <c r="V312" s="51">
        <v>1.0</v>
      </c>
      <c r="W312" s="48">
        <v>2.0</v>
      </c>
      <c r="X312" s="50" t="s">
        <v>166</v>
      </c>
      <c r="Y312" s="51" t="s">
        <v>166</v>
      </c>
      <c r="Z312" s="48" t="s">
        <v>166</v>
      </c>
      <c r="AA312" s="48" t="s">
        <v>166</v>
      </c>
      <c r="AB312" s="48" t="s">
        <v>166</v>
      </c>
      <c r="AC312" s="48" t="s">
        <v>166</v>
      </c>
      <c r="AD312" s="48" t="s">
        <v>166</v>
      </c>
      <c r="AE312" s="54" t="s">
        <v>166</v>
      </c>
      <c r="AF312" s="55" t="s">
        <v>166</v>
      </c>
      <c r="AG312" s="51" t="s">
        <v>166</v>
      </c>
      <c r="AH312" s="48">
        <v>1.0</v>
      </c>
      <c r="AI312" s="48" t="s">
        <v>166</v>
      </c>
      <c r="AJ312" s="50" t="s">
        <v>166</v>
      </c>
      <c r="AK312" s="56">
        <v>189.0</v>
      </c>
      <c r="AL312" s="57">
        <f>AK312*Sheets!$E$3</f>
        <v>26.0527995</v>
      </c>
      <c r="AM312" s="68"/>
      <c r="AN312" s="70"/>
      <c r="AO312" s="71" t="s">
        <v>181</v>
      </c>
      <c r="AP312" s="72">
        <v>44495.91216706019</v>
      </c>
      <c r="AQ312" s="66"/>
    </row>
    <row r="313">
      <c r="A313" s="46" t="str">
        <f>HYPERLINK("https://shop224033016.world.taobao.com/","魔神科技电脑机箱城")</f>
        <v>魔神科技电脑机箱城</v>
      </c>
      <c r="B313" s="73" t="s">
        <v>643</v>
      </c>
      <c r="C313" s="63" t="s">
        <v>248</v>
      </c>
      <c r="D313" s="48">
        <v>310.0</v>
      </c>
      <c r="E313" s="48">
        <v>137.0</v>
      </c>
      <c r="F313" s="48">
        <v>186.0</v>
      </c>
      <c r="G313" s="49">
        <f t="shared" si="1"/>
        <v>7.89942</v>
      </c>
      <c r="H313" s="49">
        <f t="shared" si="2"/>
        <v>424.7</v>
      </c>
      <c r="I313" s="48">
        <v>2.5</v>
      </c>
      <c r="J313" s="48" t="s">
        <v>164</v>
      </c>
      <c r="K313" s="50" t="s">
        <v>164</v>
      </c>
      <c r="L313" s="51">
        <v>63.0</v>
      </c>
      <c r="M313" s="50" t="s">
        <v>619</v>
      </c>
      <c r="N313" s="51" t="s">
        <v>174</v>
      </c>
      <c r="O313" s="48">
        <v>304.0</v>
      </c>
      <c r="P313" s="48">
        <v>125.0</v>
      </c>
      <c r="Q313" s="48">
        <v>45.0</v>
      </c>
      <c r="R313" s="48">
        <v>2.0</v>
      </c>
      <c r="S313" s="50" t="s">
        <v>166</v>
      </c>
      <c r="T313" s="52" t="s">
        <v>167</v>
      </c>
      <c r="U313" s="52" t="s">
        <v>346</v>
      </c>
      <c r="V313" s="51">
        <v>3.0</v>
      </c>
      <c r="W313" s="48" t="s">
        <v>166</v>
      </c>
      <c r="X313" s="50" t="s">
        <v>166</v>
      </c>
      <c r="Y313" s="51" t="s">
        <v>166</v>
      </c>
      <c r="Z313" s="48" t="s">
        <v>166</v>
      </c>
      <c r="AA313" s="48" t="s">
        <v>166</v>
      </c>
      <c r="AB313" s="48" t="s">
        <v>166</v>
      </c>
      <c r="AC313" s="48">
        <v>2.0</v>
      </c>
      <c r="AD313" s="48" t="s">
        <v>166</v>
      </c>
      <c r="AE313" s="54" t="s">
        <v>166</v>
      </c>
      <c r="AF313" s="55" t="s">
        <v>166</v>
      </c>
      <c r="AG313" s="51" t="s">
        <v>166</v>
      </c>
      <c r="AH313" s="48" t="s">
        <v>166</v>
      </c>
      <c r="AI313" s="48" t="s">
        <v>166</v>
      </c>
      <c r="AJ313" s="50" t="s">
        <v>166</v>
      </c>
      <c r="AK313" s="56">
        <v>598.0</v>
      </c>
      <c r="AL313" s="57">
        <f>AK313*Sheets!$E$3</f>
        <v>82.431609</v>
      </c>
      <c r="AM313" s="68"/>
      <c r="AN313" s="70"/>
      <c r="AO313" s="71" t="s">
        <v>181</v>
      </c>
      <c r="AP313" s="71"/>
      <c r="AQ313" s="66"/>
    </row>
    <row r="314">
      <c r="A314" s="83" t="str">
        <f>HYPERLINK("https://www.salvostudiosltd.com/","Salvo Studios")</f>
        <v>Salvo Studios</v>
      </c>
      <c r="B314" s="62" t="str">
        <f>HYPERLINK("https://www.salvostudiosltd.com/store/p2/Salvo_Studios_S401.html","S401")</f>
        <v>S401</v>
      </c>
      <c r="C314" s="63" t="s">
        <v>225</v>
      </c>
      <c r="D314" s="106">
        <v>324.358</v>
      </c>
      <c r="E314" s="106">
        <v>68.2244</v>
      </c>
      <c r="F314" s="106">
        <v>357.124</v>
      </c>
      <c r="G314" s="49">
        <f t="shared" si="1"/>
        <v>7.902843399</v>
      </c>
      <c r="H314" s="49">
        <f t="shared" si="2"/>
        <v>221.2912994</v>
      </c>
      <c r="I314" s="48" t="s">
        <v>170</v>
      </c>
      <c r="J314" s="48" t="s">
        <v>171</v>
      </c>
      <c r="K314" s="50" t="s">
        <v>229</v>
      </c>
      <c r="L314" s="51">
        <v>52.0</v>
      </c>
      <c r="M314" s="50" t="s">
        <v>166</v>
      </c>
      <c r="N314" s="51" t="s">
        <v>174</v>
      </c>
      <c r="O314" s="48">
        <v>305.0</v>
      </c>
      <c r="P314" s="48">
        <v>140.0</v>
      </c>
      <c r="Q314" s="48">
        <v>40.0</v>
      </c>
      <c r="R314" s="48">
        <v>2.0</v>
      </c>
      <c r="S314" s="50" t="s">
        <v>166</v>
      </c>
      <c r="T314" s="52" t="s">
        <v>167</v>
      </c>
      <c r="U314" s="52" t="s">
        <v>346</v>
      </c>
      <c r="V314" s="51" t="s">
        <v>568</v>
      </c>
      <c r="W314" s="48" t="s">
        <v>193</v>
      </c>
      <c r="X314" s="50" t="s">
        <v>166</v>
      </c>
      <c r="Y314" s="51" t="s">
        <v>166</v>
      </c>
      <c r="Z314" s="48">
        <v>3.0</v>
      </c>
      <c r="AA314" s="48" t="s">
        <v>166</v>
      </c>
      <c r="AB314" s="48" t="s">
        <v>166</v>
      </c>
      <c r="AC314" s="48" t="s">
        <v>166</v>
      </c>
      <c r="AD314" s="48" t="s">
        <v>166</v>
      </c>
      <c r="AE314" s="54" t="s">
        <v>166</v>
      </c>
      <c r="AF314" s="55" t="s">
        <v>166</v>
      </c>
      <c r="AG314" s="51" t="s">
        <v>166</v>
      </c>
      <c r="AH314" s="48">
        <v>1.0</v>
      </c>
      <c r="AI314" s="48">
        <v>1.0</v>
      </c>
      <c r="AJ314" s="50" t="s">
        <v>166</v>
      </c>
      <c r="AK314" s="56" t="s">
        <v>166</v>
      </c>
      <c r="AL314" s="57">
        <v>150.0</v>
      </c>
      <c r="AM314" s="64" t="str">
        <f>HYPERLINK("https://smallformfactor.net/forum/threads/s401-salvo-studios-8l-mitx-steel-unibody-chassis-w-gpu-cpu-fans-in-same-direction.7804/","Link")</f>
        <v>Link</v>
      </c>
      <c r="AN314" s="59"/>
      <c r="AO314" s="60" t="s">
        <v>181</v>
      </c>
      <c r="AP314" s="60"/>
      <c r="AQ314" s="66"/>
    </row>
    <row r="315">
      <c r="A315" s="69" t="str">
        <f>HYPERLINK("https://sgpc.world.taobao.com/","SGPC")</f>
        <v>SGPC</v>
      </c>
      <c r="B315" s="73" t="s">
        <v>644</v>
      </c>
      <c r="C315" s="63" t="s">
        <v>248</v>
      </c>
      <c r="D315" s="48">
        <v>197.0</v>
      </c>
      <c r="E315" s="48">
        <v>146.0</v>
      </c>
      <c r="F315" s="48">
        <v>275.0</v>
      </c>
      <c r="G315" s="49">
        <f t="shared" si="1"/>
        <v>7.90955</v>
      </c>
      <c r="H315" s="49">
        <f t="shared" si="2"/>
        <v>287.62</v>
      </c>
      <c r="I315" s="48">
        <v>1.14</v>
      </c>
      <c r="J315" s="48" t="s">
        <v>164</v>
      </c>
      <c r="K315" s="50" t="s">
        <v>645</v>
      </c>
      <c r="L315" s="51">
        <v>80.0</v>
      </c>
      <c r="M315" s="50" t="s">
        <v>166</v>
      </c>
      <c r="N315" s="51" t="s">
        <v>174</v>
      </c>
      <c r="O315" s="48">
        <v>180.0</v>
      </c>
      <c r="P315" s="48" t="s">
        <v>170</v>
      </c>
      <c r="Q315" s="48">
        <v>40.0</v>
      </c>
      <c r="R315" s="48">
        <v>2.0</v>
      </c>
      <c r="S315" s="50" t="s">
        <v>166</v>
      </c>
      <c r="T315" s="52" t="s">
        <v>167</v>
      </c>
      <c r="U315" s="52" t="s">
        <v>324</v>
      </c>
      <c r="V315" s="51">
        <v>1.0</v>
      </c>
      <c r="W315" s="48" t="s">
        <v>166</v>
      </c>
      <c r="X315" s="50" t="s">
        <v>166</v>
      </c>
      <c r="Y315" s="51" t="s">
        <v>166</v>
      </c>
      <c r="Z315" s="48" t="s">
        <v>166</v>
      </c>
      <c r="AA315" s="48" t="s">
        <v>166</v>
      </c>
      <c r="AB315" s="48" t="s">
        <v>166</v>
      </c>
      <c r="AC315" s="48" t="s">
        <v>194</v>
      </c>
      <c r="AD315" s="48" t="s">
        <v>194</v>
      </c>
      <c r="AE315" s="54" t="s">
        <v>166</v>
      </c>
      <c r="AF315" s="55" t="s">
        <v>166</v>
      </c>
      <c r="AG315" s="51" t="s">
        <v>166</v>
      </c>
      <c r="AH315" s="48">
        <v>1.0</v>
      </c>
      <c r="AI315" s="48">
        <v>1.0</v>
      </c>
      <c r="AJ315" s="50" t="s">
        <v>166</v>
      </c>
      <c r="AK315" s="56">
        <v>279.0</v>
      </c>
      <c r="AL315" s="57">
        <f>AK315*Sheets!$E$3</f>
        <v>38.4588945</v>
      </c>
      <c r="AM315" s="68"/>
      <c r="AN315" s="59"/>
      <c r="AO315" s="60" t="s">
        <v>181</v>
      </c>
      <c r="AP315" s="60"/>
      <c r="AQ315" s="66"/>
    </row>
    <row r="316">
      <c r="A316" s="46" t="s">
        <v>548</v>
      </c>
      <c r="B316" s="46" t="s">
        <v>646</v>
      </c>
      <c r="C316" s="63" t="s">
        <v>248</v>
      </c>
      <c r="D316" s="48">
        <v>208.0</v>
      </c>
      <c r="E316" s="48">
        <v>135.0</v>
      </c>
      <c r="F316" s="48">
        <v>282.0</v>
      </c>
      <c r="G316" s="49">
        <f t="shared" si="1"/>
        <v>7.91856</v>
      </c>
      <c r="H316" s="49">
        <f t="shared" si="2"/>
        <v>280.8</v>
      </c>
      <c r="I316" s="48">
        <v>2.5</v>
      </c>
      <c r="J316" s="48" t="s">
        <v>240</v>
      </c>
      <c r="K316" s="50" t="s">
        <v>647</v>
      </c>
      <c r="L316" s="51">
        <v>68.0</v>
      </c>
      <c r="M316" s="50">
        <v>120.0</v>
      </c>
      <c r="N316" s="51" t="s">
        <v>174</v>
      </c>
      <c r="O316" s="48">
        <v>200.0</v>
      </c>
      <c r="P316" s="48">
        <v>136.0</v>
      </c>
      <c r="Q316" s="48">
        <v>42.0</v>
      </c>
      <c r="R316" s="48">
        <v>2.0</v>
      </c>
      <c r="S316" s="50" t="s">
        <v>166</v>
      </c>
      <c r="T316" s="52" t="s">
        <v>167</v>
      </c>
      <c r="U316" s="52" t="s">
        <v>346</v>
      </c>
      <c r="V316" s="51" t="s">
        <v>300</v>
      </c>
      <c r="W316" s="48" t="s">
        <v>194</v>
      </c>
      <c r="X316" s="50" t="s">
        <v>166</v>
      </c>
      <c r="Y316" s="51" t="s">
        <v>166</v>
      </c>
      <c r="Z316" s="48" t="s">
        <v>166</v>
      </c>
      <c r="AA316" s="48" t="s">
        <v>166</v>
      </c>
      <c r="AB316" s="48" t="s">
        <v>166</v>
      </c>
      <c r="AC316" s="48" t="s">
        <v>194</v>
      </c>
      <c r="AD316" s="48" t="s">
        <v>166</v>
      </c>
      <c r="AE316" s="54" t="s">
        <v>166</v>
      </c>
      <c r="AF316" s="55" t="s">
        <v>166</v>
      </c>
      <c r="AG316" s="51" t="s">
        <v>166</v>
      </c>
      <c r="AH316" s="48">
        <v>2.0</v>
      </c>
      <c r="AI316" s="48">
        <v>1.0</v>
      </c>
      <c r="AJ316" s="50" t="s">
        <v>174</v>
      </c>
      <c r="AK316" s="56">
        <v>499.0</v>
      </c>
      <c r="AL316" s="57">
        <f>AK316*Sheets!$E$3</f>
        <v>68.7849045</v>
      </c>
      <c r="AM316" s="68"/>
      <c r="AN316" s="70"/>
      <c r="AO316" s="60" t="s">
        <v>181</v>
      </c>
      <c r="AP316" s="72">
        <v>45177.57374280093</v>
      </c>
      <c r="AQ316" s="66"/>
    </row>
    <row r="317">
      <c r="A317" s="62" t="str">
        <f>HYPERLINK("https://www.sfftec.com/","SFFTEC")</f>
        <v>SFFTEC</v>
      </c>
      <c r="B317" s="107" t="s">
        <v>648</v>
      </c>
      <c r="C317" s="63" t="s">
        <v>225</v>
      </c>
      <c r="D317" s="48">
        <v>291.0</v>
      </c>
      <c r="E317" s="48">
        <v>72.0</v>
      </c>
      <c r="F317" s="48">
        <v>378.0</v>
      </c>
      <c r="G317" s="49">
        <f t="shared" si="1"/>
        <v>7.919856</v>
      </c>
      <c r="H317" s="49">
        <f t="shared" si="2"/>
        <v>209.52</v>
      </c>
      <c r="I317" s="48">
        <v>4.2</v>
      </c>
      <c r="J317" s="48" t="s">
        <v>597</v>
      </c>
      <c r="K317" s="50" t="s">
        <v>323</v>
      </c>
      <c r="L317" s="51">
        <v>60.0</v>
      </c>
      <c r="M317" s="50" t="s">
        <v>166</v>
      </c>
      <c r="N317" s="51" t="s">
        <v>174</v>
      </c>
      <c r="O317" s="48">
        <v>285.0</v>
      </c>
      <c r="P317" s="48">
        <v>146.0</v>
      </c>
      <c r="Q317" s="48">
        <v>55.0</v>
      </c>
      <c r="R317" s="48">
        <v>2.0</v>
      </c>
      <c r="S317" s="50" t="s">
        <v>166</v>
      </c>
      <c r="T317" s="52" t="s">
        <v>167</v>
      </c>
      <c r="U317" s="52" t="s">
        <v>186</v>
      </c>
      <c r="V317" s="51">
        <v>5.0</v>
      </c>
      <c r="W317" s="48" t="s">
        <v>166</v>
      </c>
      <c r="X317" s="50" t="s">
        <v>166</v>
      </c>
      <c r="Y317" s="51" t="s">
        <v>166</v>
      </c>
      <c r="Z317" s="48">
        <v>2.0</v>
      </c>
      <c r="AA317" s="48" t="s">
        <v>166</v>
      </c>
      <c r="AB317" s="48" t="s">
        <v>166</v>
      </c>
      <c r="AC317" s="48" t="s">
        <v>166</v>
      </c>
      <c r="AD317" s="48" t="s">
        <v>166</v>
      </c>
      <c r="AE317" s="54" t="s">
        <v>166</v>
      </c>
      <c r="AF317" s="55" t="s">
        <v>166</v>
      </c>
      <c r="AG317" s="51" t="s">
        <v>166</v>
      </c>
      <c r="AH317" s="48">
        <v>2.0</v>
      </c>
      <c r="AI317" s="48" t="s">
        <v>166</v>
      </c>
      <c r="AJ317" s="50" t="s">
        <v>166</v>
      </c>
      <c r="AK317" s="56" t="s">
        <v>166</v>
      </c>
      <c r="AL317" s="57">
        <v>199.0</v>
      </c>
      <c r="AM317" s="64" t="str">
        <f>HYPERLINK("https://smallformfactor.net/forum/threads/sfftec-z-case-p50-innovative-console-style-sff-pc-case.6643/","Link")</f>
        <v>Link</v>
      </c>
      <c r="AN317" s="59"/>
      <c r="AO317" s="60" t="s">
        <v>181</v>
      </c>
      <c r="AP317" s="65">
        <v>44563.99009841435</v>
      </c>
      <c r="AQ317" s="66"/>
    </row>
    <row r="318">
      <c r="A318" s="46" t="s">
        <v>506</v>
      </c>
      <c r="B318" s="46" t="s">
        <v>649</v>
      </c>
      <c r="C318" s="63" t="s">
        <v>248</v>
      </c>
      <c r="D318" s="48">
        <v>265.0</v>
      </c>
      <c r="E318" s="48">
        <v>125.0</v>
      </c>
      <c r="F318" s="48">
        <v>240.0</v>
      </c>
      <c r="G318" s="49">
        <f t="shared" si="1"/>
        <v>7.95</v>
      </c>
      <c r="H318" s="49">
        <f t="shared" si="2"/>
        <v>331.25</v>
      </c>
      <c r="I318" s="48">
        <v>2.5</v>
      </c>
      <c r="J318" s="48" t="s">
        <v>245</v>
      </c>
      <c r="K318" s="50" t="s">
        <v>255</v>
      </c>
      <c r="L318" s="51">
        <v>53.0</v>
      </c>
      <c r="M318" s="50" t="s">
        <v>166</v>
      </c>
      <c r="N318" s="51" t="s">
        <v>174</v>
      </c>
      <c r="O318" s="48">
        <v>241.0</v>
      </c>
      <c r="P318" s="48">
        <v>132.0</v>
      </c>
      <c r="Q318" s="48">
        <v>45.0</v>
      </c>
      <c r="R318" s="48">
        <v>2.0</v>
      </c>
      <c r="S318" s="50" t="s">
        <v>166</v>
      </c>
      <c r="T318" s="52" t="s">
        <v>227</v>
      </c>
      <c r="U318" s="52" t="s">
        <v>186</v>
      </c>
      <c r="V318" s="51">
        <v>1.0</v>
      </c>
      <c r="W318" s="48" t="s">
        <v>166</v>
      </c>
      <c r="X318" s="50" t="s">
        <v>166</v>
      </c>
      <c r="Y318" s="51" t="s">
        <v>166</v>
      </c>
      <c r="Z318" s="48" t="s">
        <v>166</v>
      </c>
      <c r="AA318" s="48" t="s">
        <v>166</v>
      </c>
      <c r="AB318" s="48">
        <v>2.0</v>
      </c>
      <c r="AC318" s="48" t="s">
        <v>166</v>
      </c>
      <c r="AD318" s="48" t="s">
        <v>166</v>
      </c>
      <c r="AE318" s="54" t="s">
        <v>166</v>
      </c>
      <c r="AF318" s="55" t="s">
        <v>166</v>
      </c>
      <c r="AG318" s="51" t="s">
        <v>166</v>
      </c>
      <c r="AH318" s="48">
        <v>1.0</v>
      </c>
      <c r="AI318" s="48" t="s">
        <v>166</v>
      </c>
      <c r="AJ318" s="50" t="s">
        <v>166</v>
      </c>
      <c r="AK318" s="56">
        <v>268.0</v>
      </c>
      <c r="AL318" s="57">
        <f>AK318*Sheets!$E$3</f>
        <v>36.942594</v>
      </c>
      <c r="AM318" s="68"/>
      <c r="AN318" s="59"/>
      <c r="AO318" s="60"/>
      <c r="AP318" s="65">
        <v>44681.59573997685</v>
      </c>
      <c r="AQ318" s="66"/>
    </row>
    <row r="319">
      <c r="A319" s="73" t="s">
        <v>569</v>
      </c>
      <c r="B319" s="73" t="s">
        <v>650</v>
      </c>
      <c r="C319" s="63" t="s">
        <v>248</v>
      </c>
      <c r="D319" s="48">
        <v>180.0</v>
      </c>
      <c r="E319" s="48">
        <v>155.0</v>
      </c>
      <c r="F319" s="48">
        <v>285.0</v>
      </c>
      <c r="G319" s="49">
        <f t="shared" si="1"/>
        <v>7.9515</v>
      </c>
      <c r="H319" s="49">
        <f t="shared" si="2"/>
        <v>279</v>
      </c>
      <c r="I319" s="48" t="s">
        <v>170</v>
      </c>
      <c r="J319" s="48" t="s">
        <v>235</v>
      </c>
      <c r="K319" s="50" t="s">
        <v>571</v>
      </c>
      <c r="L319" s="51">
        <v>132.0</v>
      </c>
      <c r="M319" s="50" t="s">
        <v>166</v>
      </c>
      <c r="N319" s="51" t="s">
        <v>174</v>
      </c>
      <c r="O319" s="48">
        <v>180.0</v>
      </c>
      <c r="P319" s="48">
        <v>145.0</v>
      </c>
      <c r="Q319" s="48">
        <v>43.0</v>
      </c>
      <c r="R319" s="48">
        <v>2.0</v>
      </c>
      <c r="S319" s="50" t="s">
        <v>166</v>
      </c>
      <c r="T319" s="52" t="s">
        <v>167</v>
      </c>
      <c r="U319" s="52" t="s">
        <v>346</v>
      </c>
      <c r="V319" s="51" t="s">
        <v>207</v>
      </c>
      <c r="W319" s="48" t="s">
        <v>166</v>
      </c>
      <c r="X319" s="50" t="s">
        <v>166</v>
      </c>
      <c r="Y319" s="51" t="s">
        <v>166</v>
      </c>
      <c r="Z319" s="48" t="s">
        <v>166</v>
      </c>
      <c r="AA319" s="48" t="s">
        <v>166</v>
      </c>
      <c r="AB319" s="48" t="s">
        <v>166</v>
      </c>
      <c r="AC319" s="48">
        <v>1.0</v>
      </c>
      <c r="AD319" s="48" t="s">
        <v>166</v>
      </c>
      <c r="AE319" s="54" t="s">
        <v>166</v>
      </c>
      <c r="AF319" s="55" t="s">
        <v>166</v>
      </c>
      <c r="AG319" s="51" t="s">
        <v>166</v>
      </c>
      <c r="AH319" s="48">
        <v>1.0</v>
      </c>
      <c r="AI319" s="48" t="s">
        <v>166</v>
      </c>
      <c r="AJ319" s="50" t="s">
        <v>166</v>
      </c>
      <c r="AK319" s="56">
        <v>899.0</v>
      </c>
      <c r="AL319" s="57">
        <f>AK319*Sheets!$E$3</f>
        <v>123.9231045</v>
      </c>
      <c r="AM319" s="58"/>
      <c r="AN319" s="59"/>
      <c r="AO319" s="60" t="s">
        <v>181</v>
      </c>
      <c r="AP319" s="60"/>
      <c r="AQ319" s="66"/>
    </row>
    <row r="320">
      <c r="A320" s="69" t="str">
        <f t="shared" ref="A320:A321" si="8">HYPERLINK("https://sgpc.world.taobao.com/","SGPC")</f>
        <v>SGPC</v>
      </c>
      <c r="B320" s="46" t="s">
        <v>651</v>
      </c>
      <c r="C320" s="63" t="s">
        <v>225</v>
      </c>
      <c r="D320" s="48">
        <v>256.0</v>
      </c>
      <c r="E320" s="48">
        <v>93.0</v>
      </c>
      <c r="F320" s="48">
        <v>334.0</v>
      </c>
      <c r="G320" s="49">
        <f t="shared" si="1"/>
        <v>7.951872</v>
      </c>
      <c r="H320" s="49">
        <f t="shared" si="2"/>
        <v>238.08</v>
      </c>
      <c r="I320" s="48">
        <v>3.0</v>
      </c>
      <c r="J320" s="48" t="s">
        <v>245</v>
      </c>
      <c r="K320" s="50" t="s">
        <v>316</v>
      </c>
      <c r="L320" s="51">
        <v>77.0</v>
      </c>
      <c r="M320" s="50" t="s">
        <v>166</v>
      </c>
      <c r="N320" s="51" t="s">
        <v>174</v>
      </c>
      <c r="O320" s="48">
        <v>245.0</v>
      </c>
      <c r="P320" s="48" t="s">
        <v>170</v>
      </c>
      <c r="Q320" s="48">
        <v>40.0</v>
      </c>
      <c r="R320" s="48">
        <v>2.0</v>
      </c>
      <c r="S320" s="50" t="s">
        <v>166</v>
      </c>
      <c r="T320" s="52" t="s">
        <v>423</v>
      </c>
      <c r="U320" s="52" t="s">
        <v>186</v>
      </c>
      <c r="V320" s="51">
        <v>1.0</v>
      </c>
      <c r="W320" s="48" t="s">
        <v>166</v>
      </c>
      <c r="X320" s="50" t="s">
        <v>166</v>
      </c>
      <c r="Y320" s="51" t="s">
        <v>166</v>
      </c>
      <c r="Z320" s="48" t="s">
        <v>166</v>
      </c>
      <c r="AA320" s="48" t="s">
        <v>166</v>
      </c>
      <c r="AB320" s="48" t="s">
        <v>166</v>
      </c>
      <c r="AC320" s="48" t="s">
        <v>166</v>
      </c>
      <c r="AD320" s="48" t="s">
        <v>166</v>
      </c>
      <c r="AE320" s="54" t="s">
        <v>166</v>
      </c>
      <c r="AF320" s="55" t="s">
        <v>166</v>
      </c>
      <c r="AG320" s="51" t="s">
        <v>166</v>
      </c>
      <c r="AH320" s="48" t="s">
        <v>166</v>
      </c>
      <c r="AI320" s="48" t="s">
        <v>166</v>
      </c>
      <c r="AJ320" s="50" t="s">
        <v>166</v>
      </c>
      <c r="AK320" s="56">
        <v>219.0</v>
      </c>
      <c r="AL320" s="57">
        <f>AK320*Sheets!$E$3</f>
        <v>30.1881645</v>
      </c>
      <c r="AM320" s="68"/>
      <c r="AN320" s="59"/>
      <c r="AO320" s="60"/>
      <c r="AP320" s="65">
        <v>44681.59583947917</v>
      </c>
      <c r="AQ320" s="66"/>
    </row>
    <row r="321">
      <c r="A321" s="69" t="str">
        <f t="shared" si="8"/>
        <v>SGPC</v>
      </c>
      <c r="B321" s="73" t="s">
        <v>652</v>
      </c>
      <c r="C321" s="63" t="s">
        <v>262</v>
      </c>
      <c r="D321" s="48">
        <v>245.0</v>
      </c>
      <c r="E321" s="48">
        <v>151.0</v>
      </c>
      <c r="F321" s="48">
        <v>215.0</v>
      </c>
      <c r="G321" s="49">
        <f t="shared" si="1"/>
        <v>7.953925</v>
      </c>
      <c r="H321" s="49">
        <f t="shared" si="2"/>
        <v>369.95</v>
      </c>
      <c r="I321" s="48">
        <v>3.0</v>
      </c>
      <c r="J321" s="48" t="s">
        <v>653</v>
      </c>
      <c r="K321" s="50" t="s">
        <v>316</v>
      </c>
      <c r="L321" s="51">
        <v>127.0</v>
      </c>
      <c r="M321" s="50" t="s">
        <v>166</v>
      </c>
      <c r="N321" s="51" t="s">
        <v>166</v>
      </c>
      <c r="O321" s="48">
        <v>220.0</v>
      </c>
      <c r="P321" s="48">
        <v>128.0</v>
      </c>
      <c r="Q321" s="48">
        <v>42.0</v>
      </c>
      <c r="R321" s="48">
        <v>2.0</v>
      </c>
      <c r="S321" s="50" t="s">
        <v>166</v>
      </c>
      <c r="T321" s="52" t="s">
        <v>167</v>
      </c>
      <c r="U321" s="52" t="s">
        <v>324</v>
      </c>
      <c r="V321" s="51">
        <v>1.0</v>
      </c>
      <c r="W321" s="48" t="s">
        <v>166</v>
      </c>
      <c r="X321" s="50" t="s">
        <v>166</v>
      </c>
      <c r="Y321" s="51" t="s">
        <v>166</v>
      </c>
      <c r="Z321" s="48" t="s">
        <v>166</v>
      </c>
      <c r="AA321" s="48">
        <v>1.0</v>
      </c>
      <c r="AB321" s="48" t="s">
        <v>166</v>
      </c>
      <c r="AC321" s="48" t="s">
        <v>166</v>
      </c>
      <c r="AD321" s="48" t="s">
        <v>166</v>
      </c>
      <c r="AE321" s="54" t="s">
        <v>166</v>
      </c>
      <c r="AF321" s="55" t="s">
        <v>166</v>
      </c>
      <c r="AG321" s="51" t="s">
        <v>166</v>
      </c>
      <c r="AH321" s="48">
        <v>1.0</v>
      </c>
      <c r="AI321" s="48">
        <v>1.0</v>
      </c>
      <c r="AJ321" s="50" t="s">
        <v>166</v>
      </c>
      <c r="AK321" s="56">
        <v>129.0</v>
      </c>
      <c r="AL321" s="57">
        <f>AK321*Sheets!$E$3</f>
        <v>17.7820695</v>
      </c>
      <c r="AM321" s="68"/>
      <c r="AN321" s="59"/>
      <c r="AO321" s="60" t="s">
        <v>181</v>
      </c>
      <c r="AP321" s="65">
        <v>44681.59588894676</v>
      </c>
      <c r="AQ321" s="66"/>
    </row>
    <row r="322">
      <c r="A322" s="69" t="str">
        <f>HYPERLINK("https://77to.world.taobao.com/","WDEAN DORA")</f>
        <v>WDEAN DORA</v>
      </c>
      <c r="B322" s="73" t="s">
        <v>654</v>
      </c>
      <c r="C322" s="63" t="s">
        <v>248</v>
      </c>
      <c r="D322" s="48">
        <v>310.0</v>
      </c>
      <c r="E322" s="48">
        <v>140.0</v>
      </c>
      <c r="F322" s="48">
        <v>184.0</v>
      </c>
      <c r="G322" s="98">
        <f t="shared" si="1"/>
        <v>7.9856</v>
      </c>
      <c r="H322" s="49">
        <f t="shared" si="2"/>
        <v>434</v>
      </c>
      <c r="I322" s="48">
        <v>2.3</v>
      </c>
      <c r="J322" s="48" t="s">
        <v>164</v>
      </c>
      <c r="K322" s="50" t="s">
        <v>164</v>
      </c>
      <c r="L322" s="51">
        <v>68.0</v>
      </c>
      <c r="M322" s="50">
        <v>120.0</v>
      </c>
      <c r="N322" s="51" t="s">
        <v>174</v>
      </c>
      <c r="O322" s="48">
        <v>306.0</v>
      </c>
      <c r="P322" s="48">
        <v>150.0</v>
      </c>
      <c r="Q322" s="48">
        <v>48.0</v>
      </c>
      <c r="R322" s="48">
        <v>2.0</v>
      </c>
      <c r="S322" s="50" t="s">
        <v>166</v>
      </c>
      <c r="T322" s="52" t="s">
        <v>167</v>
      </c>
      <c r="U322" s="52" t="s">
        <v>346</v>
      </c>
      <c r="V322" s="51">
        <v>1.0</v>
      </c>
      <c r="W322" s="48" t="s">
        <v>166</v>
      </c>
      <c r="X322" s="50" t="s">
        <v>166</v>
      </c>
      <c r="Y322" s="51" t="s">
        <v>166</v>
      </c>
      <c r="Z322" s="48" t="s">
        <v>166</v>
      </c>
      <c r="AA322" s="48" t="s">
        <v>166</v>
      </c>
      <c r="AB322" s="48" t="s">
        <v>166</v>
      </c>
      <c r="AC322" s="48">
        <v>1.0</v>
      </c>
      <c r="AD322" s="48" t="s">
        <v>166</v>
      </c>
      <c r="AE322" s="54" t="s">
        <v>166</v>
      </c>
      <c r="AF322" s="55" t="s">
        <v>166</v>
      </c>
      <c r="AG322" s="51" t="s">
        <v>166</v>
      </c>
      <c r="AH322" s="48" t="s">
        <v>166</v>
      </c>
      <c r="AI322" s="48" t="s">
        <v>166</v>
      </c>
      <c r="AJ322" s="50" t="s">
        <v>166</v>
      </c>
      <c r="AK322" s="56">
        <v>798.0</v>
      </c>
      <c r="AL322" s="57">
        <f>AK322*Sheets!$E$3</f>
        <v>110.000709</v>
      </c>
      <c r="AM322" s="68"/>
      <c r="AN322" s="59"/>
      <c r="AO322" s="71" t="s">
        <v>181</v>
      </c>
      <c r="AP322" s="65">
        <v>44681.595941203705</v>
      </c>
      <c r="AQ322" s="66"/>
    </row>
    <row r="323">
      <c r="A323" s="69" t="str">
        <f>HYPERLINK("https://sgpc.world.taobao.com/","SGPC")</f>
        <v>SGPC</v>
      </c>
      <c r="B323" s="46" t="s">
        <v>655</v>
      </c>
      <c r="C323" s="63" t="s">
        <v>248</v>
      </c>
      <c r="D323" s="48">
        <v>197.0</v>
      </c>
      <c r="E323" s="48">
        <v>146.0</v>
      </c>
      <c r="F323" s="48">
        <v>278.0</v>
      </c>
      <c r="G323" s="49">
        <f t="shared" si="1"/>
        <v>7.995836</v>
      </c>
      <c r="H323" s="49">
        <f t="shared" si="2"/>
        <v>287.62</v>
      </c>
      <c r="I323" s="48" t="s">
        <v>170</v>
      </c>
      <c r="J323" s="48" t="s">
        <v>164</v>
      </c>
      <c r="K323" s="50" t="s">
        <v>645</v>
      </c>
      <c r="L323" s="51">
        <v>75.0</v>
      </c>
      <c r="M323" s="50" t="s">
        <v>166</v>
      </c>
      <c r="N323" s="51" t="s">
        <v>174</v>
      </c>
      <c r="O323" s="48">
        <v>180.0</v>
      </c>
      <c r="P323" s="48" t="s">
        <v>170</v>
      </c>
      <c r="Q323" s="48">
        <v>40.0</v>
      </c>
      <c r="R323" s="48">
        <v>2.0</v>
      </c>
      <c r="S323" s="50" t="s">
        <v>166</v>
      </c>
      <c r="T323" s="52" t="s">
        <v>167</v>
      </c>
      <c r="U323" s="52" t="s">
        <v>346</v>
      </c>
      <c r="V323" s="51">
        <v>1.0</v>
      </c>
      <c r="W323" s="48" t="s">
        <v>166</v>
      </c>
      <c r="X323" s="50" t="s">
        <v>166</v>
      </c>
      <c r="Y323" s="51" t="s">
        <v>166</v>
      </c>
      <c r="Z323" s="48" t="s">
        <v>166</v>
      </c>
      <c r="AA323" s="48" t="s">
        <v>166</v>
      </c>
      <c r="AB323" s="48" t="s">
        <v>166</v>
      </c>
      <c r="AC323" s="48" t="s">
        <v>194</v>
      </c>
      <c r="AD323" s="48" t="s">
        <v>194</v>
      </c>
      <c r="AE323" s="54" t="s">
        <v>166</v>
      </c>
      <c r="AF323" s="55" t="s">
        <v>166</v>
      </c>
      <c r="AG323" s="51" t="s">
        <v>166</v>
      </c>
      <c r="AH323" s="48">
        <v>1.0</v>
      </c>
      <c r="AI323" s="48">
        <v>1.0</v>
      </c>
      <c r="AJ323" s="50" t="s">
        <v>166</v>
      </c>
      <c r="AK323" s="56">
        <v>249.0</v>
      </c>
      <c r="AL323" s="57">
        <f>AK323*Sheets!$E$3</f>
        <v>34.3235295</v>
      </c>
      <c r="AM323" s="68"/>
      <c r="AN323" s="59"/>
      <c r="AO323" s="60"/>
      <c r="AP323" s="60"/>
      <c r="AQ323" s="66"/>
    </row>
    <row r="324">
      <c r="A324" s="61" t="s">
        <v>169</v>
      </c>
      <c r="B324" s="62" t="s">
        <v>656</v>
      </c>
      <c r="C324" s="63" t="s">
        <v>262</v>
      </c>
      <c r="D324" s="48">
        <v>219.3</v>
      </c>
      <c r="E324" s="48">
        <v>168.0</v>
      </c>
      <c r="F324" s="48">
        <v>218.3</v>
      </c>
      <c r="G324" s="49">
        <f t="shared" si="1"/>
        <v>8.04269592</v>
      </c>
      <c r="H324" s="49">
        <f t="shared" si="2"/>
        <v>368.424</v>
      </c>
      <c r="I324" s="48" t="s">
        <v>170</v>
      </c>
      <c r="J324" s="48" t="s">
        <v>171</v>
      </c>
      <c r="K324" s="50" t="s">
        <v>171</v>
      </c>
      <c r="L324" s="51">
        <v>54.0</v>
      </c>
      <c r="M324" s="50">
        <v>120.0</v>
      </c>
      <c r="N324" s="51" t="s">
        <v>166</v>
      </c>
      <c r="O324" s="48">
        <v>200.0</v>
      </c>
      <c r="P324" s="48" t="s">
        <v>170</v>
      </c>
      <c r="Q324" s="48">
        <v>40.0</v>
      </c>
      <c r="R324" s="48">
        <v>2.0</v>
      </c>
      <c r="S324" s="50" t="s">
        <v>166</v>
      </c>
      <c r="T324" s="52" t="s">
        <v>338</v>
      </c>
      <c r="U324" s="52" t="s">
        <v>599</v>
      </c>
      <c r="V324" s="51" t="s">
        <v>193</v>
      </c>
      <c r="W324" s="48" t="s">
        <v>194</v>
      </c>
      <c r="X324" s="50" t="s">
        <v>166</v>
      </c>
      <c r="Y324" s="51" t="s">
        <v>166</v>
      </c>
      <c r="Z324" s="48" t="s">
        <v>166</v>
      </c>
      <c r="AA324" s="48" t="s">
        <v>166</v>
      </c>
      <c r="AB324" s="48" t="s">
        <v>166</v>
      </c>
      <c r="AC324" s="48" t="s">
        <v>194</v>
      </c>
      <c r="AD324" s="48" t="s">
        <v>166</v>
      </c>
      <c r="AE324" s="54" t="s">
        <v>166</v>
      </c>
      <c r="AF324" s="55" t="s">
        <v>166</v>
      </c>
      <c r="AG324" s="51">
        <v>2.0</v>
      </c>
      <c r="AH324" s="48">
        <v>2.0</v>
      </c>
      <c r="AI324" s="48">
        <v>1.0</v>
      </c>
      <c r="AJ324" s="50" t="s">
        <v>174</v>
      </c>
      <c r="AK324" s="56" t="s">
        <v>166</v>
      </c>
      <c r="AL324" s="57">
        <v>224.0</v>
      </c>
      <c r="AM324" s="58"/>
      <c r="AN324" s="59"/>
      <c r="AO324" s="60"/>
      <c r="AP324" s="65">
        <v>44736.63343189815</v>
      </c>
      <c r="AQ324" s="66"/>
    </row>
    <row r="325">
      <c r="A325" s="61" t="s">
        <v>169</v>
      </c>
      <c r="B325" s="62" t="s">
        <v>657</v>
      </c>
      <c r="C325" s="63" t="s">
        <v>262</v>
      </c>
      <c r="D325" s="48">
        <v>219.3</v>
      </c>
      <c r="E325" s="48">
        <v>168.0</v>
      </c>
      <c r="F325" s="48">
        <v>218.3</v>
      </c>
      <c r="G325" s="49">
        <f t="shared" si="1"/>
        <v>8.04269592</v>
      </c>
      <c r="H325" s="49">
        <f t="shared" si="2"/>
        <v>368.424</v>
      </c>
      <c r="I325" s="48" t="s">
        <v>170</v>
      </c>
      <c r="J325" s="48" t="s">
        <v>171</v>
      </c>
      <c r="K325" s="50" t="s">
        <v>171</v>
      </c>
      <c r="L325" s="51">
        <v>54.0</v>
      </c>
      <c r="M325" s="50">
        <v>120.0</v>
      </c>
      <c r="N325" s="51" t="s">
        <v>166</v>
      </c>
      <c r="O325" s="48">
        <v>200.0</v>
      </c>
      <c r="P325" s="48" t="s">
        <v>170</v>
      </c>
      <c r="Q325" s="48">
        <v>40.0</v>
      </c>
      <c r="R325" s="48">
        <v>2.0</v>
      </c>
      <c r="S325" s="50" t="s">
        <v>166</v>
      </c>
      <c r="T325" s="52" t="s">
        <v>338</v>
      </c>
      <c r="U325" s="52" t="s">
        <v>599</v>
      </c>
      <c r="V325" s="51" t="s">
        <v>193</v>
      </c>
      <c r="W325" s="48" t="s">
        <v>194</v>
      </c>
      <c r="X325" s="50" t="s">
        <v>166</v>
      </c>
      <c r="Y325" s="51" t="s">
        <v>166</v>
      </c>
      <c r="Z325" s="48" t="s">
        <v>166</v>
      </c>
      <c r="AA325" s="48" t="s">
        <v>166</v>
      </c>
      <c r="AB325" s="48" t="s">
        <v>166</v>
      </c>
      <c r="AC325" s="48" t="s">
        <v>194</v>
      </c>
      <c r="AD325" s="48" t="s">
        <v>166</v>
      </c>
      <c r="AE325" s="54" t="s">
        <v>166</v>
      </c>
      <c r="AF325" s="55" t="s">
        <v>166</v>
      </c>
      <c r="AG325" s="51">
        <v>2.0</v>
      </c>
      <c r="AH325" s="48">
        <v>2.0</v>
      </c>
      <c r="AI325" s="48">
        <v>1.0</v>
      </c>
      <c r="AJ325" s="50" t="s">
        <v>174</v>
      </c>
      <c r="AK325" s="56" t="s">
        <v>166</v>
      </c>
      <c r="AL325" s="57">
        <v>189.99</v>
      </c>
      <c r="AM325" s="58"/>
      <c r="AN325" s="59"/>
      <c r="AO325" s="60"/>
      <c r="AP325" s="65">
        <v>45061.02162393519</v>
      </c>
      <c r="AQ325" s="66"/>
    </row>
    <row r="326">
      <c r="A326" s="61" t="s">
        <v>169</v>
      </c>
      <c r="B326" s="62" t="s">
        <v>658</v>
      </c>
      <c r="C326" s="63" t="s">
        <v>262</v>
      </c>
      <c r="D326" s="48">
        <v>219.3</v>
      </c>
      <c r="E326" s="48">
        <v>168.0</v>
      </c>
      <c r="F326" s="48">
        <v>218.3</v>
      </c>
      <c r="G326" s="49">
        <f t="shared" si="1"/>
        <v>8.04269592</v>
      </c>
      <c r="H326" s="49">
        <f t="shared" si="2"/>
        <v>368.424</v>
      </c>
      <c r="I326" s="48" t="s">
        <v>170</v>
      </c>
      <c r="J326" s="48" t="s">
        <v>171</v>
      </c>
      <c r="K326" s="50" t="s">
        <v>171</v>
      </c>
      <c r="L326" s="51">
        <v>54.0</v>
      </c>
      <c r="M326" s="50">
        <v>120.0</v>
      </c>
      <c r="N326" s="51" t="s">
        <v>166</v>
      </c>
      <c r="O326" s="48">
        <v>200.0</v>
      </c>
      <c r="P326" s="48" t="s">
        <v>170</v>
      </c>
      <c r="Q326" s="48">
        <v>40.0</v>
      </c>
      <c r="R326" s="48">
        <v>2.0</v>
      </c>
      <c r="S326" s="50" t="s">
        <v>166</v>
      </c>
      <c r="T326" s="52" t="s">
        <v>338</v>
      </c>
      <c r="U326" s="52" t="s">
        <v>599</v>
      </c>
      <c r="V326" s="51" t="s">
        <v>193</v>
      </c>
      <c r="W326" s="48" t="s">
        <v>194</v>
      </c>
      <c r="X326" s="50" t="s">
        <v>166</v>
      </c>
      <c r="Y326" s="51" t="s">
        <v>166</v>
      </c>
      <c r="Z326" s="48" t="s">
        <v>166</v>
      </c>
      <c r="AA326" s="48" t="s">
        <v>166</v>
      </c>
      <c r="AB326" s="48" t="s">
        <v>166</v>
      </c>
      <c r="AC326" s="48" t="s">
        <v>194</v>
      </c>
      <c r="AD326" s="48" t="s">
        <v>166</v>
      </c>
      <c r="AE326" s="54" t="s">
        <v>166</v>
      </c>
      <c r="AF326" s="55" t="s">
        <v>166</v>
      </c>
      <c r="AG326" s="51">
        <v>2.0</v>
      </c>
      <c r="AH326" s="48">
        <v>2.0</v>
      </c>
      <c r="AI326" s="48">
        <v>1.0</v>
      </c>
      <c r="AJ326" s="50" t="s">
        <v>174</v>
      </c>
      <c r="AK326" s="56" t="s">
        <v>166</v>
      </c>
      <c r="AL326" s="57">
        <v>200.0</v>
      </c>
      <c r="AM326" s="68"/>
      <c r="AN326" s="59"/>
      <c r="AO326" s="71"/>
      <c r="AP326" s="65">
        <v>45417.87180569445</v>
      </c>
      <c r="AQ326" s="66"/>
    </row>
    <row r="327">
      <c r="A327" s="91" t="s">
        <v>659</v>
      </c>
      <c r="B327" s="67" t="s">
        <v>660</v>
      </c>
      <c r="C327" s="63" t="s">
        <v>282</v>
      </c>
      <c r="D327" s="48">
        <v>215.0</v>
      </c>
      <c r="E327" s="48">
        <v>150.0</v>
      </c>
      <c r="F327" s="48">
        <v>250.0</v>
      </c>
      <c r="G327" s="49">
        <f t="shared" si="1"/>
        <v>8.0625</v>
      </c>
      <c r="H327" s="49">
        <f t="shared" si="2"/>
        <v>322.5</v>
      </c>
      <c r="I327" s="48">
        <v>1.6</v>
      </c>
      <c r="J327" s="48" t="s">
        <v>282</v>
      </c>
      <c r="K327" s="50" t="s">
        <v>661</v>
      </c>
      <c r="L327" s="51" t="s">
        <v>282</v>
      </c>
      <c r="M327" s="50" t="s">
        <v>166</v>
      </c>
      <c r="N327" s="51" t="s">
        <v>174</v>
      </c>
      <c r="O327" s="48" t="s">
        <v>282</v>
      </c>
      <c r="P327" s="48" t="s">
        <v>282</v>
      </c>
      <c r="Q327" s="48" t="s">
        <v>282</v>
      </c>
      <c r="R327" s="48">
        <v>2.0</v>
      </c>
      <c r="S327" s="50" t="s">
        <v>166</v>
      </c>
      <c r="T327" s="52" t="s">
        <v>167</v>
      </c>
      <c r="U327" s="52" t="s">
        <v>346</v>
      </c>
      <c r="V327" s="51">
        <v>1.0</v>
      </c>
      <c r="W327" s="48" t="s">
        <v>166</v>
      </c>
      <c r="X327" s="50" t="s">
        <v>166</v>
      </c>
      <c r="Y327" s="51" t="s">
        <v>166</v>
      </c>
      <c r="Z327" s="48" t="s">
        <v>166</v>
      </c>
      <c r="AA327" s="48" t="s">
        <v>166</v>
      </c>
      <c r="AB327" s="48" t="s">
        <v>166</v>
      </c>
      <c r="AC327" s="48" t="s">
        <v>166</v>
      </c>
      <c r="AD327" s="48" t="s">
        <v>166</v>
      </c>
      <c r="AE327" s="54" t="s">
        <v>166</v>
      </c>
      <c r="AF327" s="55" t="s">
        <v>166</v>
      </c>
      <c r="AG327" s="51" t="s">
        <v>166</v>
      </c>
      <c r="AH327" s="48" t="s">
        <v>166</v>
      </c>
      <c r="AI327" s="48" t="s">
        <v>166</v>
      </c>
      <c r="AJ327" s="50" t="s">
        <v>166</v>
      </c>
      <c r="AK327" s="56" t="s">
        <v>166</v>
      </c>
      <c r="AL327" s="57">
        <v>32.0</v>
      </c>
      <c r="AM327" s="68"/>
      <c r="AN327" s="59"/>
      <c r="AO327" s="71" t="s">
        <v>181</v>
      </c>
      <c r="AP327" s="65">
        <v>44887.95901302084</v>
      </c>
      <c r="AQ327" s="66"/>
    </row>
    <row r="328">
      <c r="A328" s="82" t="str">
        <f>HYPERLINK("http://sliger.com/","Sliger")</f>
        <v>Sliger</v>
      </c>
      <c r="B328" s="62" t="s">
        <v>662</v>
      </c>
      <c r="C328" s="63" t="s">
        <v>225</v>
      </c>
      <c r="D328" s="48">
        <v>343.0</v>
      </c>
      <c r="E328" s="48">
        <v>68.0</v>
      </c>
      <c r="F328" s="48">
        <v>346.0</v>
      </c>
      <c r="G328" s="49">
        <f t="shared" si="1"/>
        <v>8.070104</v>
      </c>
      <c r="H328" s="49">
        <f t="shared" si="2"/>
        <v>233.24</v>
      </c>
      <c r="I328" s="48">
        <v>2.68</v>
      </c>
      <c r="J328" s="48" t="s">
        <v>171</v>
      </c>
      <c r="K328" s="50" t="s">
        <v>663</v>
      </c>
      <c r="L328" s="51">
        <v>53.4</v>
      </c>
      <c r="M328" s="50" t="s">
        <v>166</v>
      </c>
      <c r="N328" s="51" t="s">
        <v>174</v>
      </c>
      <c r="O328" s="48">
        <v>335.0</v>
      </c>
      <c r="P328" s="48">
        <v>157.0</v>
      </c>
      <c r="Q328" s="48">
        <v>40.0</v>
      </c>
      <c r="R328" s="48">
        <v>2.0</v>
      </c>
      <c r="S328" s="50" t="s">
        <v>166</v>
      </c>
      <c r="T328" s="52" t="s">
        <v>167</v>
      </c>
      <c r="U328" s="52" t="s">
        <v>346</v>
      </c>
      <c r="V328" s="51" t="s">
        <v>166</v>
      </c>
      <c r="W328" s="48" t="s">
        <v>166</v>
      </c>
      <c r="X328" s="50" t="s">
        <v>166</v>
      </c>
      <c r="Y328" s="51" t="s">
        <v>166</v>
      </c>
      <c r="Z328" s="48" t="s">
        <v>166</v>
      </c>
      <c r="AA328" s="48" t="s">
        <v>166</v>
      </c>
      <c r="AB328" s="48" t="s">
        <v>166</v>
      </c>
      <c r="AC328" s="48">
        <v>2.0</v>
      </c>
      <c r="AD328" s="48" t="s">
        <v>166</v>
      </c>
      <c r="AE328" s="54" t="s">
        <v>166</v>
      </c>
      <c r="AF328" s="55" t="s">
        <v>166</v>
      </c>
      <c r="AG328" s="51" t="s">
        <v>166</v>
      </c>
      <c r="AH328" s="48">
        <v>1.0</v>
      </c>
      <c r="AI328" s="48">
        <v>1.0</v>
      </c>
      <c r="AJ328" s="50" t="s">
        <v>174</v>
      </c>
      <c r="AK328" s="56" t="s">
        <v>166</v>
      </c>
      <c r="AL328" s="57">
        <v>149.0</v>
      </c>
      <c r="AM328" s="64" t="str">
        <f>HYPERLINK("https://smallformfactor.net/forum/threads/console-and-conswole-entry-level-2-slot-and-3-slot-console-cases.11539/","Link")</f>
        <v>Link</v>
      </c>
      <c r="AN328" s="108" t="s">
        <v>214</v>
      </c>
      <c r="AO328" s="71" t="s">
        <v>181</v>
      </c>
      <c r="AP328" s="65">
        <v>44604.530551006945</v>
      </c>
      <c r="AQ328" s="66"/>
    </row>
    <row r="329">
      <c r="A329" s="61" t="s">
        <v>178</v>
      </c>
      <c r="B329" s="62" t="s">
        <v>664</v>
      </c>
      <c r="C329" s="63" t="s">
        <v>225</v>
      </c>
      <c r="D329" s="48">
        <v>312.0</v>
      </c>
      <c r="E329" s="48">
        <v>75.0</v>
      </c>
      <c r="F329" s="48">
        <v>345.0</v>
      </c>
      <c r="G329" s="49">
        <f t="shared" si="1"/>
        <v>8.073</v>
      </c>
      <c r="H329" s="49">
        <f t="shared" si="2"/>
        <v>234</v>
      </c>
      <c r="I329" s="48">
        <v>2.1</v>
      </c>
      <c r="J329" s="48" t="s">
        <v>164</v>
      </c>
      <c r="K329" s="50" t="s">
        <v>665</v>
      </c>
      <c r="L329" s="51">
        <v>48.0</v>
      </c>
      <c r="M329" s="50">
        <v>120.0</v>
      </c>
      <c r="N329" s="51" t="s">
        <v>174</v>
      </c>
      <c r="O329" s="48">
        <v>305.0</v>
      </c>
      <c r="P329" s="48">
        <v>140.0</v>
      </c>
      <c r="Q329" s="48">
        <v>62.0</v>
      </c>
      <c r="R329" s="48">
        <v>3.0</v>
      </c>
      <c r="S329" s="50" t="s">
        <v>166</v>
      </c>
      <c r="T329" s="52" t="s">
        <v>167</v>
      </c>
      <c r="U329" s="52" t="s">
        <v>346</v>
      </c>
      <c r="V329" s="51">
        <v>3.0</v>
      </c>
      <c r="W329" s="48" t="s">
        <v>194</v>
      </c>
      <c r="X329" s="50" t="s">
        <v>166</v>
      </c>
      <c r="Y329" s="51" t="s">
        <v>166</v>
      </c>
      <c r="Z329" s="48" t="s">
        <v>166</v>
      </c>
      <c r="AA329" s="48" t="s">
        <v>166</v>
      </c>
      <c r="AB329" s="48" t="s">
        <v>166</v>
      </c>
      <c r="AC329" s="48" t="s">
        <v>194</v>
      </c>
      <c r="AD329" s="48" t="s">
        <v>166</v>
      </c>
      <c r="AE329" s="54" t="s">
        <v>166</v>
      </c>
      <c r="AF329" s="55" t="s">
        <v>166</v>
      </c>
      <c r="AG329" s="51" t="s">
        <v>166</v>
      </c>
      <c r="AH329" s="48" t="s">
        <v>166</v>
      </c>
      <c r="AI329" s="48" t="s">
        <v>166</v>
      </c>
      <c r="AJ329" s="50" t="s">
        <v>166</v>
      </c>
      <c r="AK329" s="56" t="s">
        <v>166</v>
      </c>
      <c r="AL329" s="57">
        <v>161.94</v>
      </c>
      <c r="AM329" s="58"/>
      <c r="AN329" s="70"/>
      <c r="AO329" s="60"/>
      <c r="AP329" s="72">
        <v>45184.70546699074</v>
      </c>
      <c r="AQ329" s="66"/>
    </row>
    <row r="330">
      <c r="A330" s="46" t="s">
        <v>594</v>
      </c>
      <c r="B330" s="46" t="s">
        <v>666</v>
      </c>
      <c r="C330" s="63" t="s">
        <v>248</v>
      </c>
      <c r="D330" s="48">
        <v>312.0</v>
      </c>
      <c r="E330" s="48">
        <v>135.0</v>
      </c>
      <c r="F330" s="48">
        <v>193.0</v>
      </c>
      <c r="G330" s="49">
        <f t="shared" si="1"/>
        <v>8.12916</v>
      </c>
      <c r="H330" s="49">
        <f t="shared" si="2"/>
        <v>421.2</v>
      </c>
      <c r="I330" s="48">
        <v>2.0</v>
      </c>
      <c r="J330" s="48" t="s">
        <v>240</v>
      </c>
      <c r="K330" s="50" t="s">
        <v>375</v>
      </c>
      <c r="L330" s="51">
        <v>60.0</v>
      </c>
      <c r="M330" s="50" t="s">
        <v>166</v>
      </c>
      <c r="N330" s="51" t="s">
        <v>174</v>
      </c>
      <c r="O330" s="48">
        <v>305.0</v>
      </c>
      <c r="P330" s="48">
        <v>130.0</v>
      </c>
      <c r="Q330" s="48">
        <v>55.0</v>
      </c>
      <c r="R330" s="48">
        <v>2.0</v>
      </c>
      <c r="S330" s="50" t="s">
        <v>166</v>
      </c>
      <c r="T330" s="52" t="s">
        <v>167</v>
      </c>
      <c r="U330" s="52" t="s">
        <v>346</v>
      </c>
      <c r="V330" s="51">
        <v>1.0</v>
      </c>
      <c r="W330" s="48" t="s">
        <v>194</v>
      </c>
      <c r="X330" s="50" t="s">
        <v>166</v>
      </c>
      <c r="Y330" s="51" t="s">
        <v>166</v>
      </c>
      <c r="Z330" s="48" t="s">
        <v>166</v>
      </c>
      <c r="AA330" s="48">
        <v>1.0</v>
      </c>
      <c r="AB330" s="48" t="s">
        <v>166</v>
      </c>
      <c r="AC330" s="48">
        <v>1.0</v>
      </c>
      <c r="AD330" s="48" t="s">
        <v>166</v>
      </c>
      <c r="AE330" s="54" t="s">
        <v>166</v>
      </c>
      <c r="AF330" s="55" t="s">
        <v>166</v>
      </c>
      <c r="AG330" s="51" t="s">
        <v>166</v>
      </c>
      <c r="AH330" s="48">
        <v>1.0</v>
      </c>
      <c r="AI330" s="48">
        <v>1.0</v>
      </c>
      <c r="AJ330" s="50" t="s">
        <v>166</v>
      </c>
      <c r="AK330" s="56">
        <v>299.0</v>
      </c>
      <c r="AL330" s="57">
        <f>AK330*Sheets!$E$3</f>
        <v>41.2158045</v>
      </c>
      <c r="AM330" s="68"/>
      <c r="AN330" s="70"/>
      <c r="AO330" s="71"/>
      <c r="AP330" s="72"/>
      <c r="AQ330" s="66"/>
    </row>
    <row r="331">
      <c r="A331" s="95" t="s">
        <v>419</v>
      </c>
      <c r="B331" s="67" t="s">
        <v>667</v>
      </c>
      <c r="C331" s="63" t="s">
        <v>225</v>
      </c>
      <c r="D331" s="48">
        <v>240.0</v>
      </c>
      <c r="E331" s="48">
        <v>95.0</v>
      </c>
      <c r="F331" s="48">
        <v>360.0</v>
      </c>
      <c r="G331" s="49">
        <f t="shared" si="1"/>
        <v>8.208</v>
      </c>
      <c r="H331" s="49">
        <f t="shared" si="2"/>
        <v>228</v>
      </c>
      <c r="I331" s="48">
        <v>0.8</v>
      </c>
      <c r="J331" s="48" t="s">
        <v>245</v>
      </c>
      <c r="K331" s="50" t="s">
        <v>421</v>
      </c>
      <c r="L331" s="51">
        <v>70.0</v>
      </c>
      <c r="M331" s="50" t="s">
        <v>166</v>
      </c>
      <c r="N331" s="51" t="s">
        <v>174</v>
      </c>
      <c r="O331" s="48">
        <v>215.0</v>
      </c>
      <c r="P331" s="48">
        <v>120.0</v>
      </c>
      <c r="Q331" s="48">
        <v>46.0</v>
      </c>
      <c r="R331" s="48">
        <v>2.0</v>
      </c>
      <c r="S331" s="50" t="s">
        <v>166</v>
      </c>
      <c r="T331" s="52" t="s">
        <v>167</v>
      </c>
      <c r="U331" s="52" t="s">
        <v>168</v>
      </c>
      <c r="V331" s="51">
        <v>3.0</v>
      </c>
      <c r="W331" s="48" t="s">
        <v>166</v>
      </c>
      <c r="X331" s="50" t="s">
        <v>166</v>
      </c>
      <c r="Y331" s="51" t="s">
        <v>166</v>
      </c>
      <c r="Z331" s="48" t="s">
        <v>166</v>
      </c>
      <c r="AA331" s="48">
        <v>4.0</v>
      </c>
      <c r="AB331" s="48" t="s">
        <v>166</v>
      </c>
      <c r="AC331" s="48" t="s">
        <v>166</v>
      </c>
      <c r="AD331" s="48" t="s">
        <v>166</v>
      </c>
      <c r="AE331" s="54" t="s">
        <v>166</v>
      </c>
      <c r="AF331" s="55" t="s">
        <v>166</v>
      </c>
      <c r="AG331" s="51" t="s">
        <v>166</v>
      </c>
      <c r="AH331" s="48" t="s">
        <v>166</v>
      </c>
      <c r="AI331" s="48" t="s">
        <v>166</v>
      </c>
      <c r="AJ331" s="50" t="s">
        <v>166</v>
      </c>
      <c r="AK331" s="56" t="s">
        <v>166</v>
      </c>
      <c r="AL331" s="57">
        <v>139.0</v>
      </c>
      <c r="AM331" s="64" t="str">
        <f>HYPERLINK("https://smallformfactor.net/forum/threads/modivio-xcase-customizable-console-style-case.2732/","Link")</f>
        <v>Link</v>
      </c>
      <c r="AN331" s="70"/>
      <c r="AO331" s="71" t="s">
        <v>181</v>
      </c>
      <c r="AP331" s="65">
        <v>44563.990311331014</v>
      </c>
      <c r="AQ331" s="66"/>
    </row>
    <row r="332">
      <c r="A332" s="46" t="str">
        <f>HYPERLINK("https://shop115457374.world.taobao.com/","Sirius Case / 天狼星机箱")</f>
        <v>Sirius Case / 天狼星机箱</v>
      </c>
      <c r="B332" s="46" t="s">
        <v>668</v>
      </c>
      <c r="C332" s="63" t="s">
        <v>248</v>
      </c>
      <c r="D332" s="48">
        <v>311.0</v>
      </c>
      <c r="E332" s="48">
        <v>126.5</v>
      </c>
      <c r="F332" s="48">
        <v>209.6</v>
      </c>
      <c r="G332" s="49">
        <f t="shared" si="1"/>
        <v>8.2459784</v>
      </c>
      <c r="H332" s="49">
        <f t="shared" si="2"/>
        <v>393.415</v>
      </c>
      <c r="I332" s="48">
        <v>0.9</v>
      </c>
      <c r="J332" s="48" t="s">
        <v>274</v>
      </c>
      <c r="K332" s="50" t="s">
        <v>669</v>
      </c>
      <c r="L332" s="51">
        <v>54.0</v>
      </c>
      <c r="M332" s="50" t="s">
        <v>166</v>
      </c>
      <c r="N332" s="51" t="s">
        <v>174</v>
      </c>
      <c r="O332" s="48">
        <v>307.0</v>
      </c>
      <c r="P332" s="48">
        <v>134.0</v>
      </c>
      <c r="Q332" s="48">
        <v>52.0</v>
      </c>
      <c r="R332" s="48">
        <v>2.0</v>
      </c>
      <c r="S332" s="50" t="s">
        <v>166</v>
      </c>
      <c r="T332" s="52" t="s">
        <v>227</v>
      </c>
      <c r="U332" s="52" t="s">
        <v>324</v>
      </c>
      <c r="V332" s="51">
        <v>1.0</v>
      </c>
      <c r="W332" s="48" t="s">
        <v>166</v>
      </c>
      <c r="X332" s="50" t="s">
        <v>166</v>
      </c>
      <c r="Y332" s="51" t="s">
        <v>166</v>
      </c>
      <c r="Z332" s="48" t="s">
        <v>166</v>
      </c>
      <c r="AA332" s="48" t="s">
        <v>166</v>
      </c>
      <c r="AB332" s="48">
        <v>3.0</v>
      </c>
      <c r="AC332" s="48" t="s">
        <v>166</v>
      </c>
      <c r="AD332" s="48" t="s">
        <v>166</v>
      </c>
      <c r="AE332" s="54" t="s">
        <v>166</v>
      </c>
      <c r="AF332" s="55" t="s">
        <v>166</v>
      </c>
      <c r="AG332" s="51" t="s">
        <v>166</v>
      </c>
      <c r="AH332" s="48" t="s">
        <v>166</v>
      </c>
      <c r="AI332" s="48" t="s">
        <v>166</v>
      </c>
      <c r="AJ332" s="50" t="s">
        <v>166</v>
      </c>
      <c r="AK332" s="56">
        <v>199.0</v>
      </c>
      <c r="AL332" s="57">
        <f>AK332*Sheets!$E$3</f>
        <v>27.4312545</v>
      </c>
      <c r="AM332" s="68"/>
      <c r="AN332" s="70"/>
      <c r="AO332" s="71" t="s">
        <v>181</v>
      </c>
      <c r="AP332" s="71"/>
      <c r="AQ332" s="66"/>
    </row>
    <row r="333">
      <c r="A333" s="61" t="str">
        <f>HYPERLINK("https://hg-computers.eu/products/","HG Computers")</f>
        <v>HG Computers</v>
      </c>
      <c r="B333" s="62" t="str">
        <f>HYPERLINK("https://www.spartexpc.com/product/osmi-cases/","OSMI")</f>
        <v>OSMI</v>
      </c>
      <c r="C333" s="63" t="s">
        <v>262</v>
      </c>
      <c r="D333" s="48">
        <v>180.0</v>
      </c>
      <c r="E333" s="48">
        <v>180.0</v>
      </c>
      <c r="F333" s="48">
        <v>255.0</v>
      </c>
      <c r="G333" s="49">
        <f t="shared" si="1"/>
        <v>8.262</v>
      </c>
      <c r="H333" s="49">
        <f t="shared" si="2"/>
        <v>324</v>
      </c>
      <c r="I333" s="48">
        <v>1.4</v>
      </c>
      <c r="J333" s="48" t="s">
        <v>164</v>
      </c>
      <c r="K333" s="50" t="s">
        <v>164</v>
      </c>
      <c r="L333" s="51">
        <v>50.0</v>
      </c>
      <c r="M333" s="50" t="s">
        <v>166</v>
      </c>
      <c r="N333" s="51" t="s">
        <v>166</v>
      </c>
      <c r="O333" s="48">
        <v>170.0</v>
      </c>
      <c r="P333" s="48" t="s">
        <v>170</v>
      </c>
      <c r="Q333" s="48">
        <v>40.0</v>
      </c>
      <c r="R333" s="48">
        <v>2.0</v>
      </c>
      <c r="S333" s="50" t="s">
        <v>166</v>
      </c>
      <c r="T333" s="52" t="s">
        <v>167</v>
      </c>
      <c r="U333" s="52" t="s">
        <v>346</v>
      </c>
      <c r="V333" s="51" t="s">
        <v>193</v>
      </c>
      <c r="W333" s="48" t="s">
        <v>194</v>
      </c>
      <c r="X333" s="50" t="s">
        <v>218</v>
      </c>
      <c r="Y333" s="51" t="s">
        <v>166</v>
      </c>
      <c r="Z333" s="48" t="s">
        <v>166</v>
      </c>
      <c r="AA333" s="48" t="s">
        <v>166</v>
      </c>
      <c r="AB333" s="48" t="s">
        <v>166</v>
      </c>
      <c r="AC333" s="48" t="s">
        <v>166</v>
      </c>
      <c r="AD333" s="48">
        <v>1.0</v>
      </c>
      <c r="AE333" s="54" t="s">
        <v>166</v>
      </c>
      <c r="AF333" s="55" t="s">
        <v>166</v>
      </c>
      <c r="AG333" s="51" t="s">
        <v>166</v>
      </c>
      <c r="AH333" s="48" t="s">
        <v>166</v>
      </c>
      <c r="AI333" s="48" t="s">
        <v>166</v>
      </c>
      <c r="AJ333" s="50" t="s">
        <v>166</v>
      </c>
      <c r="AK333" s="56" t="s">
        <v>166</v>
      </c>
      <c r="AL333" s="57">
        <v>194.99</v>
      </c>
      <c r="AM333" s="68"/>
      <c r="AN333" s="70"/>
      <c r="AO333" s="71"/>
      <c r="AP333" s="71"/>
      <c r="AQ333" s="66"/>
    </row>
    <row r="334">
      <c r="A334" s="61" t="s">
        <v>254</v>
      </c>
      <c r="B334" s="83" t="str">
        <f>HYPERLINK("https://www.geeekstore.com/shop/geeek-a30-mini-itx-case/","A30")</f>
        <v>A30</v>
      </c>
      <c r="C334" s="63" t="s">
        <v>248</v>
      </c>
      <c r="D334" s="48">
        <v>244.0</v>
      </c>
      <c r="E334" s="48">
        <v>124.0</v>
      </c>
      <c r="F334" s="48">
        <v>274.0</v>
      </c>
      <c r="G334" s="49">
        <f t="shared" si="1"/>
        <v>8.290144</v>
      </c>
      <c r="H334" s="49">
        <f t="shared" si="2"/>
        <v>302.56</v>
      </c>
      <c r="I334" s="48" t="s">
        <v>170</v>
      </c>
      <c r="J334" s="48" t="s">
        <v>245</v>
      </c>
      <c r="K334" s="50" t="s">
        <v>255</v>
      </c>
      <c r="L334" s="51">
        <v>50.0</v>
      </c>
      <c r="M334" s="50" t="s">
        <v>166</v>
      </c>
      <c r="N334" s="51" t="s">
        <v>174</v>
      </c>
      <c r="O334" s="48">
        <v>211.0</v>
      </c>
      <c r="P334" s="48">
        <v>124.0</v>
      </c>
      <c r="Q334" s="48">
        <v>45.0</v>
      </c>
      <c r="R334" s="48">
        <v>2.0</v>
      </c>
      <c r="S334" s="50" t="s">
        <v>166</v>
      </c>
      <c r="T334" s="52" t="s">
        <v>167</v>
      </c>
      <c r="U334" s="52" t="s">
        <v>186</v>
      </c>
      <c r="V334" s="51">
        <v>2.0</v>
      </c>
      <c r="W334" s="48" t="s">
        <v>166</v>
      </c>
      <c r="X334" s="50" t="s">
        <v>166</v>
      </c>
      <c r="Y334" s="51" t="s">
        <v>166</v>
      </c>
      <c r="Z334" s="48" t="s">
        <v>166</v>
      </c>
      <c r="AA334" s="48">
        <v>2.0</v>
      </c>
      <c r="AB334" s="48" t="s">
        <v>166</v>
      </c>
      <c r="AC334" s="48" t="s">
        <v>166</v>
      </c>
      <c r="AD334" s="48" t="s">
        <v>166</v>
      </c>
      <c r="AE334" s="54" t="s">
        <v>166</v>
      </c>
      <c r="AF334" s="55" t="s">
        <v>166</v>
      </c>
      <c r="AG334" s="51" t="s">
        <v>166</v>
      </c>
      <c r="AH334" s="48">
        <v>2.0</v>
      </c>
      <c r="AI334" s="48" t="s">
        <v>166</v>
      </c>
      <c r="AJ334" s="50" t="s">
        <v>174</v>
      </c>
      <c r="AK334" s="56" t="s">
        <v>166</v>
      </c>
      <c r="AL334" s="57">
        <v>49.99</v>
      </c>
      <c r="AM334" s="64" t="str">
        <f>HYPERLINK("https://smallformfactor.net/forum/threads/geeek-a30-powered-by-hdplex-400w.10239/","Link")</f>
        <v>Link</v>
      </c>
      <c r="AN334" s="70"/>
      <c r="AO334" s="71" t="s">
        <v>181</v>
      </c>
      <c r="AP334" s="71"/>
      <c r="AQ334" s="66"/>
    </row>
    <row r="335">
      <c r="A335" s="46" t="str">
        <f>HYPERLINK("https://shop34132006.world.taobao.com/","YTC")</f>
        <v>YTC</v>
      </c>
      <c r="B335" s="73" t="s">
        <v>670</v>
      </c>
      <c r="C335" s="63" t="s">
        <v>248</v>
      </c>
      <c r="D335" s="48">
        <v>270.0</v>
      </c>
      <c r="E335" s="48">
        <v>128.0</v>
      </c>
      <c r="F335" s="48">
        <v>240.0</v>
      </c>
      <c r="G335" s="49">
        <f t="shared" si="1"/>
        <v>8.2944</v>
      </c>
      <c r="H335" s="49">
        <f t="shared" si="2"/>
        <v>345.6</v>
      </c>
      <c r="I335" s="48">
        <v>3.28</v>
      </c>
      <c r="J335" s="48" t="s">
        <v>164</v>
      </c>
      <c r="K335" s="50" t="s">
        <v>164</v>
      </c>
      <c r="L335" s="51">
        <v>63.0</v>
      </c>
      <c r="M335" s="50" t="s">
        <v>166</v>
      </c>
      <c r="N335" s="51" t="s">
        <v>174</v>
      </c>
      <c r="O335" s="48">
        <v>268.0</v>
      </c>
      <c r="P335" s="48" t="s">
        <v>170</v>
      </c>
      <c r="Q335" s="48">
        <v>52.0</v>
      </c>
      <c r="R335" s="48">
        <v>2.0</v>
      </c>
      <c r="S335" s="50" t="s">
        <v>166</v>
      </c>
      <c r="T335" s="52" t="s">
        <v>227</v>
      </c>
      <c r="U335" s="52" t="s">
        <v>671</v>
      </c>
      <c r="V335" s="51" t="s">
        <v>672</v>
      </c>
      <c r="W335" s="48" t="s">
        <v>193</v>
      </c>
      <c r="X335" s="50" t="s">
        <v>166</v>
      </c>
      <c r="Y335" s="51" t="s">
        <v>166</v>
      </c>
      <c r="Z335" s="48" t="s">
        <v>166</v>
      </c>
      <c r="AA335" s="48" t="s">
        <v>166</v>
      </c>
      <c r="AB335" s="48">
        <v>2.0</v>
      </c>
      <c r="AC335" s="48" t="s">
        <v>166</v>
      </c>
      <c r="AD335" s="48" t="s">
        <v>166</v>
      </c>
      <c r="AE335" s="54" t="s">
        <v>166</v>
      </c>
      <c r="AF335" s="55" t="s">
        <v>166</v>
      </c>
      <c r="AG335" s="51" t="s">
        <v>166</v>
      </c>
      <c r="AH335" s="48">
        <v>2.0</v>
      </c>
      <c r="AI335" s="48" t="s">
        <v>166</v>
      </c>
      <c r="AJ335" s="50" t="s">
        <v>174</v>
      </c>
      <c r="AK335" s="56">
        <v>99.0</v>
      </c>
      <c r="AL335" s="57">
        <f>AK335*Sheets!$E$3</f>
        <v>13.6467045</v>
      </c>
      <c r="AM335" s="58"/>
      <c r="AN335" s="59"/>
      <c r="AO335" s="60" t="s">
        <v>181</v>
      </c>
      <c r="AP335" s="65">
        <v>44681.596021018515</v>
      </c>
      <c r="AQ335" s="66"/>
    </row>
    <row r="336">
      <c r="A336" s="69" t="str">
        <f>HYPERLINK("https://77to.world.taobao.com/","WDEAN DORA")</f>
        <v>WDEAN DORA</v>
      </c>
      <c r="B336" s="46" t="str">
        <f>HYPERLINK("https://item.taobao.com/item.htm?id=589023907385","D1S")</f>
        <v>D1S</v>
      </c>
      <c r="C336" s="63" t="s">
        <v>248</v>
      </c>
      <c r="D336" s="48">
        <v>322.0</v>
      </c>
      <c r="E336" s="48">
        <v>140.0</v>
      </c>
      <c r="F336" s="48">
        <v>184.0</v>
      </c>
      <c r="G336" s="98">
        <f t="shared" si="1"/>
        <v>8.29472</v>
      </c>
      <c r="H336" s="49">
        <f t="shared" si="2"/>
        <v>450.8</v>
      </c>
      <c r="I336" s="48">
        <v>2.8</v>
      </c>
      <c r="J336" s="48" t="s">
        <v>164</v>
      </c>
      <c r="K336" s="50" t="s">
        <v>164</v>
      </c>
      <c r="L336" s="51">
        <v>65.0</v>
      </c>
      <c r="M336" s="50" t="s">
        <v>673</v>
      </c>
      <c r="N336" s="51" t="s">
        <v>174</v>
      </c>
      <c r="O336" s="48">
        <v>308.0</v>
      </c>
      <c r="P336" s="48">
        <v>145.0</v>
      </c>
      <c r="Q336" s="48">
        <v>47.0</v>
      </c>
      <c r="R336" s="48">
        <v>2.0</v>
      </c>
      <c r="S336" s="50" t="s">
        <v>166</v>
      </c>
      <c r="T336" s="52" t="s">
        <v>167</v>
      </c>
      <c r="U336" s="52" t="s">
        <v>346</v>
      </c>
      <c r="V336" s="51" t="s">
        <v>412</v>
      </c>
      <c r="W336" s="48" t="s">
        <v>166</v>
      </c>
      <c r="X336" s="50" t="s">
        <v>166</v>
      </c>
      <c r="Y336" s="51" t="s">
        <v>166</v>
      </c>
      <c r="Z336" s="48" t="s">
        <v>166</v>
      </c>
      <c r="AA336" s="48" t="s">
        <v>166</v>
      </c>
      <c r="AB336" s="48" t="s">
        <v>166</v>
      </c>
      <c r="AC336" s="48" t="s">
        <v>194</v>
      </c>
      <c r="AD336" s="48" t="s">
        <v>166</v>
      </c>
      <c r="AE336" s="54" t="s">
        <v>166</v>
      </c>
      <c r="AF336" s="55" t="s">
        <v>166</v>
      </c>
      <c r="AG336" s="51" t="s">
        <v>166</v>
      </c>
      <c r="AH336" s="48" t="s">
        <v>166</v>
      </c>
      <c r="AI336" s="48" t="s">
        <v>166</v>
      </c>
      <c r="AJ336" s="50" t="s">
        <v>166</v>
      </c>
      <c r="AK336" s="56">
        <v>886.0</v>
      </c>
      <c r="AL336" s="57">
        <f>AK336*Sheets!$E$3</f>
        <v>122.131113</v>
      </c>
      <c r="AM336" s="68"/>
      <c r="AN336" s="59"/>
      <c r="AO336" s="71" t="s">
        <v>181</v>
      </c>
      <c r="AP336" s="65">
        <v>44442.76408612268</v>
      </c>
      <c r="AQ336" s="66"/>
    </row>
    <row r="337">
      <c r="A337" s="69" t="str">
        <f>HYPERLINK("https://shop162335681.world.taobao.com/","柏越科技")</f>
        <v>柏越科技</v>
      </c>
      <c r="B337" s="46" t="s">
        <v>674</v>
      </c>
      <c r="C337" s="63" t="s">
        <v>225</v>
      </c>
      <c r="D337" s="48">
        <v>262.0</v>
      </c>
      <c r="E337" s="48">
        <v>94.0</v>
      </c>
      <c r="F337" s="48">
        <v>337.0</v>
      </c>
      <c r="G337" s="49">
        <f t="shared" si="1"/>
        <v>8.299636</v>
      </c>
      <c r="H337" s="49">
        <f t="shared" si="2"/>
        <v>246.28</v>
      </c>
      <c r="I337" s="48">
        <v>1.9</v>
      </c>
      <c r="J337" s="48" t="s">
        <v>336</v>
      </c>
      <c r="K337" s="50" t="s">
        <v>180</v>
      </c>
      <c r="L337" s="51">
        <v>74.0</v>
      </c>
      <c r="M337" s="50" t="s">
        <v>166</v>
      </c>
      <c r="N337" s="51" t="s">
        <v>174</v>
      </c>
      <c r="O337" s="48">
        <v>245.0</v>
      </c>
      <c r="P337" s="48" t="s">
        <v>170</v>
      </c>
      <c r="Q337" s="48">
        <v>40.0</v>
      </c>
      <c r="R337" s="48">
        <v>2.0</v>
      </c>
      <c r="S337" s="50" t="s">
        <v>166</v>
      </c>
      <c r="T337" s="52" t="s">
        <v>423</v>
      </c>
      <c r="U337" s="52" t="s">
        <v>186</v>
      </c>
      <c r="V337" s="51" t="s">
        <v>207</v>
      </c>
      <c r="W337" s="48" t="s">
        <v>207</v>
      </c>
      <c r="X337" s="50" t="s">
        <v>166</v>
      </c>
      <c r="Y337" s="51" t="s">
        <v>166</v>
      </c>
      <c r="Z337" s="48" t="s">
        <v>166</v>
      </c>
      <c r="AA337" s="48" t="s">
        <v>166</v>
      </c>
      <c r="AB337" s="48" t="s">
        <v>166</v>
      </c>
      <c r="AC337" s="48" t="s">
        <v>166</v>
      </c>
      <c r="AD337" s="48" t="s">
        <v>166</v>
      </c>
      <c r="AE337" s="54" t="s">
        <v>166</v>
      </c>
      <c r="AF337" s="55" t="s">
        <v>166</v>
      </c>
      <c r="AG337" s="51" t="s">
        <v>166</v>
      </c>
      <c r="AH337" s="48">
        <v>2.0</v>
      </c>
      <c r="AI337" s="48" t="s">
        <v>166</v>
      </c>
      <c r="AJ337" s="50" t="s">
        <v>166</v>
      </c>
      <c r="AK337" s="56">
        <v>155.0</v>
      </c>
      <c r="AL337" s="57">
        <f>AK337*Sheets!$E$3</f>
        <v>21.3660525</v>
      </c>
      <c r="AM337" s="68"/>
      <c r="AN337" s="70"/>
      <c r="AO337" s="71"/>
      <c r="AP337" s="72"/>
      <c r="AQ337" s="66"/>
    </row>
    <row r="338">
      <c r="A338" s="61" t="s">
        <v>393</v>
      </c>
      <c r="B338" s="62" t="s">
        <v>675</v>
      </c>
      <c r="C338" s="63" t="s">
        <v>262</v>
      </c>
      <c r="D338" s="48">
        <v>214.0</v>
      </c>
      <c r="E338" s="48">
        <v>159.0</v>
      </c>
      <c r="F338" s="48">
        <v>244.0</v>
      </c>
      <c r="G338" s="49">
        <f t="shared" si="1"/>
        <v>8.302344</v>
      </c>
      <c r="H338" s="49">
        <f t="shared" si="2"/>
        <v>340.26</v>
      </c>
      <c r="I338" s="48">
        <v>0.91</v>
      </c>
      <c r="J338" s="48" t="s">
        <v>245</v>
      </c>
      <c r="K338" s="50" t="s">
        <v>245</v>
      </c>
      <c r="L338" s="51">
        <v>71.0</v>
      </c>
      <c r="M338" s="50" t="s">
        <v>166</v>
      </c>
      <c r="N338" s="51" t="s">
        <v>166</v>
      </c>
      <c r="O338" s="48">
        <v>204.0</v>
      </c>
      <c r="P338" s="48">
        <v>135.0</v>
      </c>
      <c r="Q338" s="48">
        <v>50.0</v>
      </c>
      <c r="R338" s="93">
        <v>2.0</v>
      </c>
      <c r="S338" s="94" t="s">
        <v>166</v>
      </c>
      <c r="T338" s="52" t="s">
        <v>167</v>
      </c>
      <c r="U338" s="52" t="s">
        <v>324</v>
      </c>
      <c r="V338" s="51" t="s">
        <v>166</v>
      </c>
      <c r="W338" s="48" t="s">
        <v>166</v>
      </c>
      <c r="X338" s="50" t="s">
        <v>166</v>
      </c>
      <c r="Y338" s="51" t="s">
        <v>166</v>
      </c>
      <c r="Z338" s="48" t="s">
        <v>166</v>
      </c>
      <c r="AA338" s="48" t="s">
        <v>166</v>
      </c>
      <c r="AB338" s="48" t="s">
        <v>166</v>
      </c>
      <c r="AC338" s="48" t="s">
        <v>166</v>
      </c>
      <c r="AD338" s="48">
        <v>1.0</v>
      </c>
      <c r="AE338" s="54" t="s">
        <v>166</v>
      </c>
      <c r="AF338" s="55" t="s">
        <v>166</v>
      </c>
      <c r="AG338" s="51" t="s">
        <v>166</v>
      </c>
      <c r="AH338" s="48" t="s">
        <v>166</v>
      </c>
      <c r="AI338" s="48" t="s">
        <v>166</v>
      </c>
      <c r="AJ338" s="50" t="s">
        <v>166</v>
      </c>
      <c r="AK338" s="56" t="s">
        <v>166</v>
      </c>
      <c r="AL338" s="57">
        <f>84.99*1.22</f>
        <v>103.6878</v>
      </c>
      <c r="AM338" s="58"/>
      <c r="AN338" s="87"/>
      <c r="AO338" s="86"/>
      <c r="AP338" s="65"/>
      <c r="AQ338" s="66"/>
    </row>
    <row r="339">
      <c r="A339" s="82" t="s">
        <v>212</v>
      </c>
      <c r="B339" s="67" t="s">
        <v>676</v>
      </c>
      <c r="C339" s="63" t="s">
        <v>248</v>
      </c>
      <c r="D339" s="48">
        <v>320.0</v>
      </c>
      <c r="E339" s="48">
        <v>134.0</v>
      </c>
      <c r="F339" s="48">
        <v>194.0</v>
      </c>
      <c r="G339" s="49">
        <f t="shared" si="1"/>
        <v>8.31872</v>
      </c>
      <c r="H339" s="49">
        <f t="shared" si="2"/>
        <v>428.8</v>
      </c>
      <c r="I339" s="48">
        <v>2.1</v>
      </c>
      <c r="J339" s="48" t="s">
        <v>164</v>
      </c>
      <c r="K339" s="50" t="s">
        <v>252</v>
      </c>
      <c r="L339" s="51">
        <v>65.0</v>
      </c>
      <c r="M339" s="50" t="s">
        <v>619</v>
      </c>
      <c r="N339" s="51" t="s">
        <v>174</v>
      </c>
      <c r="O339" s="48">
        <v>314.5</v>
      </c>
      <c r="P339" s="48">
        <v>133.0</v>
      </c>
      <c r="Q339" s="48">
        <v>59.0</v>
      </c>
      <c r="R339" s="48">
        <v>2.0</v>
      </c>
      <c r="S339" s="50" t="s">
        <v>166</v>
      </c>
      <c r="T339" s="52" t="s">
        <v>167</v>
      </c>
      <c r="U339" s="52" t="s">
        <v>324</v>
      </c>
      <c r="V339" s="51" t="s">
        <v>412</v>
      </c>
      <c r="W339" s="48" t="s">
        <v>166</v>
      </c>
      <c r="X339" s="50" t="s">
        <v>166</v>
      </c>
      <c r="Y339" s="51" t="s">
        <v>166</v>
      </c>
      <c r="Z339" s="48" t="s">
        <v>166</v>
      </c>
      <c r="AA339" s="48" t="s">
        <v>166</v>
      </c>
      <c r="AB339" s="48" t="s">
        <v>166</v>
      </c>
      <c r="AC339" s="48" t="s">
        <v>412</v>
      </c>
      <c r="AD339" s="48" t="s">
        <v>166</v>
      </c>
      <c r="AE339" s="54" t="s">
        <v>166</v>
      </c>
      <c r="AF339" s="55" t="s">
        <v>166</v>
      </c>
      <c r="AG339" s="51" t="s">
        <v>166</v>
      </c>
      <c r="AH339" s="48" t="s">
        <v>166</v>
      </c>
      <c r="AI339" s="48" t="s">
        <v>166</v>
      </c>
      <c r="AJ339" s="50" t="s">
        <v>166</v>
      </c>
      <c r="AK339" s="56">
        <v>900.0</v>
      </c>
      <c r="AL339" s="57">
        <v>170.0</v>
      </c>
      <c r="AM339" s="64" t="s">
        <v>214</v>
      </c>
      <c r="AN339" s="64" t="s">
        <v>214</v>
      </c>
      <c r="AO339" s="71" t="s">
        <v>181</v>
      </c>
      <c r="AP339" s="71"/>
      <c r="AQ339" s="66"/>
    </row>
    <row r="340">
      <c r="A340" s="69" t="str">
        <f>HYPERLINK("https://sgpc.world.taobao.com/","SGPC")</f>
        <v>SGPC</v>
      </c>
      <c r="B340" s="46" t="s">
        <v>677</v>
      </c>
      <c r="C340" s="63" t="s">
        <v>262</v>
      </c>
      <c r="D340" s="48">
        <v>245.0</v>
      </c>
      <c r="E340" s="48">
        <v>158.0</v>
      </c>
      <c r="F340" s="48">
        <v>215.0</v>
      </c>
      <c r="G340" s="49">
        <f t="shared" si="1"/>
        <v>8.32265</v>
      </c>
      <c r="H340" s="49">
        <f t="shared" si="2"/>
        <v>387.1</v>
      </c>
      <c r="I340" s="48" t="s">
        <v>170</v>
      </c>
      <c r="J340" s="48" t="s">
        <v>597</v>
      </c>
      <c r="K340" s="50" t="s">
        <v>611</v>
      </c>
      <c r="L340" s="51">
        <v>135.0</v>
      </c>
      <c r="M340" s="50">
        <v>120.0</v>
      </c>
      <c r="N340" s="51" t="s">
        <v>166</v>
      </c>
      <c r="O340" s="48">
        <v>220.0</v>
      </c>
      <c r="P340" s="48">
        <v>140.0</v>
      </c>
      <c r="Q340" s="48">
        <v>45.0</v>
      </c>
      <c r="R340" s="48">
        <v>2.0</v>
      </c>
      <c r="S340" s="50" t="s">
        <v>166</v>
      </c>
      <c r="T340" s="52" t="s">
        <v>167</v>
      </c>
      <c r="U340" s="52" t="s">
        <v>324</v>
      </c>
      <c r="V340" s="51">
        <v>2.0</v>
      </c>
      <c r="W340" s="48" t="s">
        <v>166</v>
      </c>
      <c r="X340" s="50" t="s">
        <v>166</v>
      </c>
      <c r="Y340" s="51" t="s">
        <v>166</v>
      </c>
      <c r="Z340" s="48" t="s">
        <v>166</v>
      </c>
      <c r="AA340" s="48" t="s">
        <v>166</v>
      </c>
      <c r="AB340" s="48">
        <v>2.0</v>
      </c>
      <c r="AC340" s="48" t="s">
        <v>194</v>
      </c>
      <c r="AD340" s="48" t="s">
        <v>166</v>
      </c>
      <c r="AE340" s="54" t="s">
        <v>166</v>
      </c>
      <c r="AF340" s="55" t="s">
        <v>166</v>
      </c>
      <c r="AG340" s="51" t="s">
        <v>166</v>
      </c>
      <c r="AH340" s="48">
        <v>1.0</v>
      </c>
      <c r="AI340" s="48">
        <v>1.0</v>
      </c>
      <c r="AJ340" s="50" t="s">
        <v>166</v>
      </c>
      <c r="AK340" s="56">
        <v>159.0</v>
      </c>
      <c r="AL340" s="57">
        <f>AK340*Sheets!$E$3</f>
        <v>21.9174345</v>
      </c>
      <c r="AM340" s="68"/>
      <c r="AN340" s="59"/>
      <c r="AO340" s="60"/>
      <c r="AP340" s="65">
        <v>44718.96635184028</v>
      </c>
      <c r="AQ340" s="66"/>
    </row>
    <row r="341">
      <c r="A341" s="82" t="s">
        <v>678</v>
      </c>
      <c r="B341" s="62" t="s">
        <v>679</v>
      </c>
      <c r="C341" s="63" t="s">
        <v>248</v>
      </c>
      <c r="D341" s="48">
        <v>310.0</v>
      </c>
      <c r="E341" s="48">
        <v>138.0</v>
      </c>
      <c r="F341" s="48">
        <v>195.0</v>
      </c>
      <c r="G341" s="49">
        <f t="shared" si="1"/>
        <v>8.3421</v>
      </c>
      <c r="H341" s="49">
        <f t="shared" si="2"/>
        <v>427.8</v>
      </c>
      <c r="I341" s="48" t="s">
        <v>170</v>
      </c>
      <c r="J341" s="48" t="s">
        <v>235</v>
      </c>
      <c r="K341" s="50" t="s">
        <v>546</v>
      </c>
      <c r="L341" s="51">
        <v>54.0</v>
      </c>
      <c r="M341" s="50" t="s">
        <v>166</v>
      </c>
      <c r="N341" s="51" t="s">
        <v>174</v>
      </c>
      <c r="O341" s="48">
        <v>300.0</v>
      </c>
      <c r="P341" s="48" t="s">
        <v>170</v>
      </c>
      <c r="Q341" s="48">
        <v>40.0</v>
      </c>
      <c r="R341" s="48">
        <v>2.0</v>
      </c>
      <c r="S341" s="50" t="s">
        <v>166</v>
      </c>
      <c r="T341" s="52" t="s">
        <v>167</v>
      </c>
      <c r="U341" s="52" t="s">
        <v>324</v>
      </c>
      <c r="V341" s="51">
        <v>2.0</v>
      </c>
      <c r="W341" s="48" t="s">
        <v>166</v>
      </c>
      <c r="X341" s="50" t="s">
        <v>166</v>
      </c>
      <c r="Y341" s="51" t="s">
        <v>166</v>
      </c>
      <c r="Z341" s="48">
        <v>3.0</v>
      </c>
      <c r="AA341" s="48" t="s">
        <v>166</v>
      </c>
      <c r="AB341" s="48" t="s">
        <v>166</v>
      </c>
      <c r="AC341" s="48" t="s">
        <v>166</v>
      </c>
      <c r="AD341" s="48" t="s">
        <v>166</v>
      </c>
      <c r="AE341" s="54" t="s">
        <v>166</v>
      </c>
      <c r="AF341" s="55" t="s">
        <v>166</v>
      </c>
      <c r="AG341" s="51" t="s">
        <v>166</v>
      </c>
      <c r="AH341" s="48" t="s">
        <v>166</v>
      </c>
      <c r="AI341" s="48" t="s">
        <v>166</v>
      </c>
      <c r="AJ341" s="50" t="s">
        <v>166</v>
      </c>
      <c r="AK341" s="56" t="s">
        <v>166</v>
      </c>
      <c r="AL341" s="57">
        <f>157*1.08</f>
        <v>169.56</v>
      </c>
      <c r="AM341" s="58"/>
      <c r="AN341" s="59"/>
      <c r="AO341" s="60"/>
      <c r="AP341" s="65">
        <v>44563.99067697917</v>
      </c>
      <c r="AQ341" s="66"/>
    </row>
    <row r="342">
      <c r="A342" s="62" t="s">
        <v>292</v>
      </c>
      <c r="B342" s="67" t="s">
        <v>680</v>
      </c>
      <c r="C342" s="63" t="s">
        <v>262</v>
      </c>
      <c r="D342" s="48">
        <v>188.0</v>
      </c>
      <c r="E342" s="48">
        <v>161.5</v>
      </c>
      <c r="F342" s="48">
        <v>276.0</v>
      </c>
      <c r="G342" s="49">
        <f t="shared" si="1"/>
        <v>8.379912</v>
      </c>
      <c r="H342" s="49">
        <f t="shared" si="2"/>
        <v>303.62</v>
      </c>
      <c r="I342" s="48">
        <v>2.0</v>
      </c>
      <c r="J342" s="48" t="s">
        <v>164</v>
      </c>
      <c r="K342" s="50" t="s">
        <v>625</v>
      </c>
      <c r="L342" s="51">
        <v>136.0</v>
      </c>
      <c r="M342" s="50" t="s">
        <v>166</v>
      </c>
      <c r="N342" s="51" t="s">
        <v>166</v>
      </c>
      <c r="O342" s="48">
        <v>185.0</v>
      </c>
      <c r="P342" s="48">
        <v>141.0</v>
      </c>
      <c r="Q342" s="48">
        <v>43.0</v>
      </c>
      <c r="R342" s="48">
        <v>2.0</v>
      </c>
      <c r="S342" s="50" t="s">
        <v>166</v>
      </c>
      <c r="T342" s="52" t="s">
        <v>167</v>
      </c>
      <c r="U342" s="52" t="s">
        <v>346</v>
      </c>
      <c r="V342" s="51" t="s">
        <v>166</v>
      </c>
      <c r="W342" s="48" t="s">
        <v>166</v>
      </c>
      <c r="X342" s="50" t="s">
        <v>166</v>
      </c>
      <c r="Y342" s="51" t="s">
        <v>166</v>
      </c>
      <c r="Z342" s="48" t="s">
        <v>166</v>
      </c>
      <c r="AA342" s="48">
        <v>2.0</v>
      </c>
      <c r="AB342" s="48" t="s">
        <v>166</v>
      </c>
      <c r="AC342" s="48" t="s">
        <v>166</v>
      </c>
      <c r="AD342" s="48" t="s">
        <v>166</v>
      </c>
      <c r="AE342" s="54" t="s">
        <v>166</v>
      </c>
      <c r="AF342" s="55" t="s">
        <v>166</v>
      </c>
      <c r="AG342" s="51" t="s">
        <v>166</v>
      </c>
      <c r="AH342" s="48" t="s">
        <v>166</v>
      </c>
      <c r="AI342" s="48" t="s">
        <v>166</v>
      </c>
      <c r="AJ342" s="50" t="s">
        <v>166</v>
      </c>
      <c r="AK342" s="56" t="s">
        <v>166</v>
      </c>
      <c r="AL342" s="57">
        <f>60*1.17</f>
        <v>70.2</v>
      </c>
      <c r="AM342" s="64" t="s">
        <v>214</v>
      </c>
      <c r="AN342" s="59"/>
      <c r="AO342" s="60" t="s">
        <v>181</v>
      </c>
      <c r="AP342" s="65">
        <v>44887.955425625</v>
      </c>
      <c r="AQ342" s="66"/>
    </row>
    <row r="343">
      <c r="A343" s="82" t="s">
        <v>212</v>
      </c>
      <c r="B343" s="62" t="s">
        <v>681</v>
      </c>
      <c r="C343" s="63" t="s">
        <v>248</v>
      </c>
      <c r="D343" s="48">
        <v>320.0</v>
      </c>
      <c r="E343" s="48">
        <v>134.0</v>
      </c>
      <c r="F343" s="48">
        <v>196.0</v>
      </c>
      <c r="G343" s="49">
        <f t="shared" si="1"/>
        <v>8.40448</v>
      </c>
      <c r="H343" s="49">
        <f t="shared" si="2"/>
        <v>428.8</v>
      </c>
      <c r="I343" s="48">
        <v>2.1</v>
      </c>
      <c r="J343" s="48" t="s">
        <v>164</v>
      </c>
      <c r="K343" s="50" t="s">
        <v>252</v>
      </c>
      <c r="L343" s="51">
        <v>65.0</v>
      </c>
      <c r="M343" s="50" t="s">
        <v>619</v>
      </c>
      <c r="N343" s="51" t="s">
        <v>174</v>
      </c>
      <c r="O343" s="48">
        <v>314.5</v>
      </c>
      <c r="P343" s="48">
        <v>133.0</v>
      </c>
      <c r="Q343" s="48">
        <v>59.0</v>
      </c>
      <c r="R343" s="48">
        <v>2.0</v>
      </c>
      <c r="S343" s="50" t="s">
        <v>166</v>
      </c>
      <c r="T343" s="52" t="s">
        <v>167</v>
      </c>
      <c r="U343" s="52" t="s">
        <v>324</v>
      </c>
      <c r="V343" s="51" t="s">
        <v>412</v>
      </c>
      <c r="W343" s="48" t="s">
        <v>166</v>
      </c>
      <c r="X343" s="50" t="s">
        <v>166</v>
      </c>
      <c r="Y343" s="51" t="s">
        <v>166</v>
      </c>
      <c r="Z343" s="48" t="s">
        <v>166</v>
      </c>
      <c r="AA343" s="48" t="s">
        <v>166</v>
      </c>
      <c r="AB343" s="48" t="s">
        <v>166</v>
      </c>
      <c r="AC343" s="48" t="s">
        <v>412</v>
      </c>
      <c r="AD343" s="48" t="s">
        <v>166</v>
      </c>
      <c r="AE343" s="54" t="s">
        <v>166</v>
      </c>
      <c r="AF343" s="55" t="s">
        <v>166</v>
      </c>
      <c r="AG343" s="51" t="s">
        <v>166</v>
      </c>
      <c r="AH343" s="48" t="s">
        <v>166</v>
      </c>
      <c r="AI343" s="48" t="s">
        <v>166</v>
      </c>
      <c r="AJ343" s="50" t="s">
        <v>166</v>
      </c>
      <c r="AK343" s="56">
        <v>849.0</v>
      </c>
      <c r="AL343" s="57">
        <v>170.0</v>
      </c>
      <c r="AM343" s="64" t="s">
        <v>214</v>
      </c>
      <c r="AN343" s="64" t="s">
        <v>214</v>
      </c>
      <c r="AO343" s="71"/>
      <c r="AP343" s="72">
        <v>44442.77189148148</v>
      </c>
      <c r="AQ343" s="66"/>
    </row>
    <row r="344">
      <c r="A344" s="69" t="s">
        <v>500</v>
      </c>
      <c r="B344" s="46" t="str">
        <f>HYPERLINK("https://item.taobao.com/item.htm?id=616405946850","X1")</f>
        <v>X1</v>
      </c>
      <c r="C344" s="63" t="s">
        <v>248</v>
      </c>
      <c r="D344" s="48">
        <v>320.0</v>
      </c>
      <c r="E344" s="48">
        <v>140.0</v>
      </c>
      <c r="F344" s="48">
        <v>188.0</v>
      </c>
      <c r="G344" s="49">
        <f t="shared" si="1"/>
        <v>8.4224</v>
      </c>
      <c r="H344" s="49">
        <f t="shared" si="2"/>
        <v>448</v>
      </c>
      <c r="I344" s="48">
        <v>2.5</v>
      </c>
      <c r="J344" s="48" t="s">
        <v>164</v>
      </c>
      <c r="K344" s="50" t="s">
        <v>632</v>
      </c>
      <c r="L344" s="51">
        <v>67.0</v>
      </c>
      <c r="M344" s="50" t="s">
        <v>619</v>
      </c>
      <c r="N344" s="51" t="s">
        <v>174</v>
      </c>
      <c r="O344" s="48">
        <v>310.0</v>
      </c>
      <c r="P344" s="48">
        <v>135.0</v>
      </c>
      <c r="Q344" s="48">
        <v>48.0</v>
      </c>
      <c r="R344" s="48">
        <v>2.0</v>
      </c>
      <c r="S344" s="50" t="s">
        <v>166</v>
      </c>
      <c r="T344" s="52" t="s">
        <v>167</v>
      </c>
      <c r="U344" s="52" t="s">
        <v>346</v>
      </c>
      <c r="V344" s="51" t="s">
        <v>682</v>
      </c>
      <c r="W344" s="48" t="s">
        <v>194</v>
      </c>
      <c r="X344" s="50" t="s">
        <v>166</v>
      </c>
      <c r="Y344" s="51" t="s">
        <v>166</v>
      </c>
      <c r="Z344" s="48" t="s">
        <v>166</v>
      </c>
      <c r="AA344" s="48" t="s">
        <v>166</v>
      </c>
      <c r="AB344" s="48" t="s">
        <v>166</v>
      </c>
      <c r="AC344" s="48" t="s">
        <v>412</v>
      </c>
      <c r="AD344" s="48" t="s">
        <v>166</v>
      </c>
      <c r="AE344" s="54" t="s">
        <v>166</v>
      </c>
      <c r="AF344" s="55" t="s">
        <v>166</v>
      </c>
      <c r="AG344" s="51" t="s">
        <v>166</v>
      </c>
      <c r="AH344" s="48" t="s">
        <v>166</v>
      </c>
      <c r="AI344" s="48" t="s">
        <v>166</v>
      </c>
      <c r="AJ344" s="50" t="s">
        <v>166</v>
      </c>
      <c r="AK344" s="56">
        <v>698.0</v>
      </c>
      <c r="AL344" s="57">
        <f>AK344*Sheets!$E$3</f>
        <v>96.216159</v>
      </c>
      <c r="AM344" s="68"/>
      <c r="AN344" s="59"/>
      <c r="AO344" s="60"/>
      <c r="AP344" s="65">
        <v>44442.743229942134</v>
      </c>
      <c r="AQ344" s="66"/>
    </row>
    <row r="345">
      <c r="A345" s="69" t="s">
        <v>222</v>
      </c>
      <c r="B345" s="73" t="s">
        <v>683</v>
      </c>
      <c r="C345" s="63" t="s">
        <v>248</v>
      </c>
      <c r="D345" s="48">
        <v>270.0</v>
      </c>
      <c r="E345" s="48">
        <v>130.0</v>
      </c>
      <c r="F345" s="48">
        <v>240.0</v>
      </c>
      <c r="G345" s="49">
        <f t="shared" si="1"/>
        <v>8.424</v>
      </c>
      <c r="H345" s="49">
        <f t="shared" si="2"/>
        <v>351</v>
      </c>
      <c r="I345" s="48" t="s">
        <v>170</v>
      </c>
      <c r="J345" s="48" t="s">
        <v>336</v>
      </c>
      <c r="K345" s="50" t="s">
        <v>414</v>
      </c>
      <c r="L345" s="51">
        <v>47.0</v>
      </c>
      <c r="M345" s="50" t="s">
        <v>166</v>
      </c>
      <c r="N345" s="51" t="s">
        <v>174</v>
      </c>
      <c r="O345" s="48">
        <v>270.0</v>
      </c>
      <c r="P345" s="48" t="s">
        <v>170</v>
      </c>
      <c r="Q345" s="48">
        <v>50.0</v>
      </c>
      <c r="R345" s="48">
        <v>2.0</v>
      </c>
      <c r="S345" s="50" t="s">
        <v>166</v>
      </c>
      <c r="T345" s="52" t="s">
        <v>227</v>
      </c>
      <c r="U345" s="52" t="s">
        <v>186</v>
      </c>
      <c r="V345" s="51">
        <v>2.0</v>
      </c>
      <c r="W345" s="48" t="s">
        <v>166</v>
      </c>
      <c r="X345" s="50" t="s">
        <v>166</v>
      </c>
      <c r="Y345" s="51" t="s">
        <v>166</v>
      </c>
      <c r="Z345" s="48" t="s">
        <v>166</v>
      </c>
      <c r="AA345" s="48" t="s">
        <v>166</v>
      </c>
      <c r="AB345" s="48" t="s">
        <v>166</v>
      </c>
      <c r="AC345" s="48">
        <v>2.0</v>
      </c>
      <c r="AD345" s="48" t="s">
        <v>166</v>
      </c>
      <c r="AE345" s="54" t="s">
        <v>166</v>
      </c>
      <c r="AF345" s="55" t="s">
        <v>166</v>
      </c>
      <c r="AG345" s="51" t="s">
        <v>166</v>
      </c>
      <c r="AH345" s="48" t="s">
        <v>166</v>
      </c>
      <c r="AI345" s="48" t="s">
        <v>166</v>
      </c>
      <c r="AJ345" s="50" t="s">
        <v>166</v>
      </c>
      <c r="AK345" s="56">
        <v>208.0</v>
      </c>
      <c r="AL345" s="57">
        <f>AK345*Sheets!$E$3</f>
        <v>28.671864</v>
      </c>
      <c r="AM345" s="68"/>
      <c r="AN345" s="70"/>
      <c r="AO345" s="71" t="s">
        <v>181</v>
      </c>
      <c r="AP345" s="71"/>
      <c r="AQ345" s="66"/>
    </row>
    <row r="346">
      <c r="A346" s="69" t="str">
        <f>HYPERLINK("https://sgpc.world.taobao.com/","SGPC")</f>
        <v>SGPC</v>
      </c>
      <c r="B346" s="73" t="s">
        <v>684</v>
      </c>
      <c r="C346" s="63" t="s">
        <v>262</v>
      </c>
      <c r="D346" s="48">
        <v>245.0</v>
      </c>
      <c r="E346" s="48">
        <v>158.0</v>
      </c>
      <c r="F346" s="48">
        <v>218.0</v>
      </c>
      <c r="G346" s="49">
        <f t="shared" si="1"/>
        <v>8.43878</v>
      </c>
      <c r="H346" s="49">
        <f t="shared" si="2"/>
        <v>387.1</v>
      </c>
      <c r="I346" s="48" t="s">
        <v>170</v>
      </c>
      <c r="J346" s="48" t="s">
        <v>597</v>
      </c>
      <c r="K346" s="50" t="s">
        <v>185</v>
      </c>
      <c r="L346" s="51">
        <v>135.0</v>
      </c>
      <c r="M346" s="50" t="s">
        <v>166</v>
      </c>
      <c r="N346" s="51" t="s">
        <v>166</v>
      </c>
      <c r="O346" s="48">
        <v>240.0</v>
      </c>
      <c r="P346" s="48">
        <v>138.0</v>
      </c>
      <c r="Q346" s="48">
        <v>50.0</v>
      </c>
      <c r="R346" s="48">
        <v>2.0</v>
      </c>
      <c r="S346" s="50" t="s">
        <v>166</v>
      </c>
      <c r="T346" s="52" t="s">
        <v>167</v>
      </c>
      <c r="U346" s="52" t="s">
        <v>346</v>
      </c>
      <c r="V346" s="51">
        <v>3.0</v>
      </c>
      <c r="W346" s="48" t="s">
        <v>166</v>
      </c>
      <c r="X346" s="50" t="s">
        <v>166</v>
      </c>
      <c r="Y346" s="51" t="s">
        <v>166</v>
      </c>
      <c r="Z346" s="48" t="s">
        <v>166</v>
      </c>
      <c r="AA346" s="48" t="s">
        <v>166</v>
      </c>
      <c r="AB346" s="48">
        <v>2.0</v>
      </c>
      <c r="AC346" s="48" t="s">
        <v>166</v>
      </c>
      <c r="AD346" s="48" t="s">
        <v>166</v>
      </c>
      <c r="AE346" s="54" t="s">
        <v>166</v>
      </c>
      <c r="AF346" s="55" t="s">
        <v>166</v>
      </c>
      <c r="AG346" s="51" t="s">
        <v>166</v>
      </c>
      <c r="AH346" s="48" t="s">
        <v>166</v>
      </c>
      <c r="AI346" s="48" t="s">
        <v>166</v>
      </c>
      <c r="AJ346" s="50" t="s">
        <v>166</v>
      </c>
      <c r="AK346" s="56">
        <v>199.0</v>
      </c>
      <c r="AL346" s="57">
        <f>AK346*Sheets!$E$3</f>
        <v>27.4312545</v>
      </c>
      <c r="AM346" s="68"/>
      <c r="AN346" s="70"/>
      <c r="AO346" s="71" t="s">
        <v>181</v>
      </c>
      <c r="AP346" s="71"/>
      <c r="AQ346" s="66"/>
    </row>
    <row r="347">
      <c r="A347" s="82" t="str">
        <f>HYPERLINK("http://www.jonsbo.com/en/","Jonsbo")</f>
        <v>Jonsbo</v>
      </c>
      <c r="B347" s="62" t="str">
        <f>HYPERLINK("http://www.jonsbo.com/en/products/t8silver.html","T8")</f>
        <v>T8</v>
      </c>
      <c r="C347" s="63" t="s">
        <v>262</v>
      </c>
      <c r="D347" s="48">
        <v>218.0</v>
      </c>
      <c r="E347" s="48">
        <v>160.0</v>
      </c>
      <c r="F347" s="48">
        <v>242.0</v>
      </c>
      <c r="G347" s="49">
        <f t="shared" si="1"/>
        <v>8.44096</v>
      </c>
      <c r="H347" s="49">
        <f t="shared" si="2"/>
        <v>348.8</v>
      </c>
      <c r="I347" s="48">
        <v>3.5</v>
      </c>
      <c r="J347" s="48" t="s">
        <v>597</v>
      </c>
      <c r="K347" s="50" t="s">
        <v>685</v>
      </c>
      <c r="L347" s="51">
        <v>66.0</v>
      </c>
      <c r="M347" s="50" t="s">
        <v>166</v>
      </c>
      <c r="N347" s="51" t="s">
        <v>166</v>
      </c>
      <c r="O347" s="48">
        <v>210.0</v>
      </c>
      <c r="P347" s="48" t="s">
        <v>170</v>
      </c>
      <c r="Q347" s="48">
        <v>40.0</v>
      </c>
      <c r="R347" s="48">
        <v>2.0</v>
      </c>
      <c r="S347" s="50" t="s">
        <v>166</v>
      </c>
      <c r="T347" s="52" t="s">
        <v>167</v>
      </c>
      <c r="U347" s="52" t="s">
        <v>686</v>
      </c>
      <c r="V347" s="51" t="s">
        <v>193</v>
      </c>
      <c r="W347" s="48" t="s">
        <v>194</v>
      </c>
      <c r="X347" s="50" t="s">
        <v>166</v>
      </c>
      <c r="Y347" s="51" t="s">
        <v>166</v>
      </c>
      <c r="Z347" s="48" t="s">
        <v>166</v>
      </c>
      <c r="AA347" s="48" t="s">
        <v>166</v>
      </c>
      <c r="AB347" s="48" t="s">
        <v>166</v>
      </c>
      <c r="AC347" s="48" t="s">
        <v>166</v>
      </c>
      <c r="AD347" s="48">
        <v>1.0</v>
      </c>
      <c r="AE347" s="54" t="s">
        <v>166</v>
      </c>
      <c r="AF347" s="55" t="s">
        <v>166</v>
      </c>
      <c r="AG347" s="51" t="s">
        <v>166</v>
      </c>
      <c r="AH347" s="48">
        <v>2.0</v>
      </c>
      <c r="AI347" s="48" t="s">
        <v>166</v>
      </c>
      <c r="AJ347" s="50" t="s">
        <v>166</v>
      </c>
      <c r="AK347" s="56">
        <v>499.0</v>
      </c>
      <c r="AL347" s="57">
        <v>92.65</v>
      </c>
      <c r="AM347" s="68"/>
      <c r="AN347" s="59"/>
      <c r="AO347" s="60"/>
      <c r="AP347" s="60"/>
      <c r="AQ347" s="66"/>
    </row>
    <row r="348">
      <c r="A348" s="83" t="str">
        <f>HYPERLINK("http://www.louqe.com/","Louqe")</f>
        <v>Louqe</v>
      </c>
      <c r="B348" s="62" t="s">
        <v>687</v>
      </c>
      <c r="C348" s="63" t="s">
        <v>248</v>
      </c>
      <c r="D348" s="48">
        <v>322.0</v>
      </c>
      <c r="E348" s="48">
        <v>140.0</v>
      </c>
      <c r="F348" s="48">
        <v>188.0</v>
      </c>
      <c r="G348" s="49">
        <f t="shared" si="1"/>
        <v>8.47504</v>
      </c>
      <c r="H348" s="49">
        <f t="shared" si="2"/>
        <v>450.8</v>
      </c>
      <c r="I348" s="48">
        <v>2.5</v>
      </c>
      <c r="J348" s="48" t="s">
        <v>164</v>
      </c>
      <c r="K348" s="50" t="s">
        <v>688</v>
      </c>
      <c r="L348" s="51">
        <v>66.0</v>
      </c>
      <c r="M348" s="50" t="s">
        <v>673</v>
      </c>
      <c r="N348" s="51" t="s">
        <v>174</v>
      </c>
      <c r="O348" s="48">
        <v>305.0</v>
      </c>
      <c r="P348" s="48">
        <v>144.0</v>
      </c>
      <c r="Q348" s="48">
        <v>45.0</v>
      </c>
      <c r="R348" s="48">
        <v>2.0</v>
      </c>
      <c r="S348" s="50" t="s">
        <v>166</v>
      </c>
      <c r="T348" s="52" t="s">
        <v>167</v>
      </c>
      <c r="U348" s="52" t="s">
        <v>346</v>
      </c>
      <c r="V348" s="51" t="s">
        <v>426</v>
      </c>
      <c r="W348" s="48" t="s">
        <v>166</v>
      </c>
      <c r="X348" s="50" t="s">
        <v>166</v>
      </c>
      <c r="Y348" s="51" t="s">
        <v>166</v>
      </c>
      <c r="Z348" s="48" t="s">
        <v>166</v>
      </c>
      <c r="AA348" s="48" t="s">
        <v>166</v>
      </c>
      <c r="AB348" s="48" t="s">
        <v>166</v>
      </c>
      <c r="AC348" s="48" t="s">
        <v>194</v>
      </c>
      <c r="AD348" s="48" t="s">
        <v>166</v>
      </c>
      <c r="AE348" s="54" t="s">
        <v>166</v>
      </c>
      <c r="AF348" s="55" t="s">
        <v>166</v>
      </c>
      <c r="AG348" s="51" t="s">
        <v>166</v>
      </c>
      <c r="AH348" s="48" t="s">
        <v>166</v>
      </c>
      <c r="AI348" s="48" t="s">
        <v>166</v>
      </c>
      <c r="AJ348" s="50" t="s">
        <v>166</v>
      </c>
      <c r="AK348" s="56" t="s">
        <v>166</v>
      </c>
      <c r="AL348" s="57">
        <v>269.0</v>
      </c>
      <c r="AM348" s="64" t="str">
        <f>HYPERLINK("https://smallformfactor.net/forum/threads/the-world-most-flexible-sff-case-louqe-ghost-s1.1781/","Link")</f>
        <v>Link</v>
      </c>
      <c r="AN348" s="64" t="s">
        <v>214</v>
      </c>
      <c r="AO348" s="60"/>
      <c r="AP348" s="65">
        <v>44704.94582946759</v>
      </c>
      <c r="AQ348" s="66"/>
    </row>
    <row r="349">
      <c r="A349" s="46" t="s">
        <v>689</v>
      </c>
      <c r="B349" s="46" t="s">
        <v>690</v>
      </c>
      <c r="C349" s="63" t="s">
        <v>248</v>
      </c>
      <c r="D349" s="48">
        <v>322.0</v>
      </c>
      <c r="E349" s="48">
        <v>140.0</v>
      </c>
      <c r="F349" s="48">
        <v>188.0</v>
      </c>
      <c r="G349" s="98">
        <f t="shared" si="1"/>
        <v>8.47504</v>
      </c>
      <c r="H349" s="49">
        <f t="shared" si="2"/>
        <v>450.8</v>
      </c>
      <c r="I349" s="48">
        <v>2.7</v>
      </c>
      <c r="J349" s="48" t="s">
        <v>164</v>
      </c>
      <c r="K349" s="50" t="s">
        <v>688</v>
      </c>
      <c r="L349" s="51">
        <v>66.0</v>
      </c>
      <c r="M349" s="50" t="s">
        <v>619</v>
      </c>
      <c r="N349" s="51" t="s">
        <v>174</v>
      </c>
      <c r="O349" s="48">
        <v>305.0</v>
      </c>
      <c r="P349" s="48">
        <v>144.0</v>
      </c>
      <c r="Q349" s="48">
        <v>45.0</v>
      </c>
      <c r="R349" s="48">
        <v>2.0</v>
      </c>
      <c r="S349" s="50" t="s">
        <v>166</v>
      </c>
      <c r="T349" s="52" t="s">
        <v>167</v>
      </c>
      <c r="U349" s="52" t="s">
        <v>346</v>
      </c>
      <c r="V349" s="51">
        <v>1.0</v>
      </c>
      <c r="W349" s="48" t="s">
        <v>166</v>
      </c>
      <c r="X349" s="50" t="s">
        <v>166</v>
      </c>
      <c r="Y349" s="51" t="s">
        <v>166</v>
      </c>
      <c r="Z349" s="48" t="s">
        <v>166</v>
      </c>
      <c r="AA349" s="48" t="s">
        <v>166</v>
      </c>
      <c r="AB349" s="48" t="s">
        <v>166</v>
      </c>
      <c r="AC349" s="48" t="s">
        <v>194</v>
      </c>
      <c r="AD349" s="48" t="s">
        <v>166</v>
      </c>
      <c r="AE349" s="54" t="s">
        <v>166</v>
      </c>
      <c r="AF349" s="55" t="s">
        <v>166</v>
      </c>
      <c r="AG349" s="51" t="s">
        <v>166</v>
      </c>
      <c r="AH349" s="48" t="s">
        <v>166</v>
      </c>
      <c r="AI349" s="48" t="s">
        <v>166</v>
      </c>
      <c r="AJ349" s="50" t="s">
        <v>166</v>
      </c>
      <c r="AK349" s="56">
        <v>399.0</v>
      </c>
      <c r="AL349" s="57">
        <f>AK349*Sheets!$E$3</f>
        <v>55.0003545</v>
      </c>
      <c r="AM349" s="68"/>
      <c r="AN349" s="70"/>
      <c r="AO349" s="71"/>
      <c r="AP349" s="72">
        <v>44615.92711640046</v>
      </c>
      <c r="AQ349" s="66"/>
    </row>
    <row r="350">
      <c r="A350" s="73" t="s">
        <v>691</v>
      </c>
      <c r="B350" s="73" t="s">
        <v>692</v>
      </c>
      <c r="C350" s="63" t="s">
        <v>248</v>
      </c>
      <c r="D350" s="48">
        <v>322.0</v>
      </c>
      <c r="E350" s="48">
        <v>140.0</v>
      </c>
      <c r="F350" s="48">
        <v>188.0</v>
      </c>
      <c r="G350" s="98">
        <f t="shared" si="1"/>
        <v>8.47504</v>
      </c>
      <c r="H350" s="49">
        <f t="shared" si="2"/>
        <v>450.8</v>
      </c>
      <c r="I350" s="48" t="s">
        <v>170</v>
      </c>
      <c r="J350" s="48" t="s">
        <v>164</v>
      </c>
      <c r="K350" s="50" t="s">
        <v>688</v>
      </c>
      <c r="L350" s="51">
        <v>66.0</v>
      </c>
      <c r="M350" s="50" t="s">
        <v>619</v>
      </c>
      <c r="N350" s="51" t="s">
        <v>174</v>
      </c>
      <c r="O350" s="48">
        <v>305.0</v>
      </c>
      <c r="P350" s="48">
        <v>144.0</v>
      </c>
      <c r="Q350" s="48">
        <v>45.0</v>
      </c>
      <c r="R350" s="48">
        <v>2.0</v>
      </c>
      <c r="S350" s="50" t="s">
        <v>166</v>
      </c>
      <c r="T350" s="52" t="s">
        <v>167</v>
      </c>
      <c r="U350" s="52" t="s">
        <v>346</v>
      </c>
      <c r="V350" s="51">
        <v>2.0</v>
      </c>
      <c r="W350" s="48" t="s">
        <v>166</v>
      </c>
      <c r="X350" s="50" t="s">
        <v>166</v>
      </c>
      <c r="Y350" s="51" t="s">
        <v>166</v>
      </c>
      <c r="Z350" s="48" t="s">
        <v>166</v>
      </c>
      <c r="AA350" s="48" t="s">
        <v>166</v>
      </c>
      <c r="AB350" s="48" t="s">
        <v>166</v>
      </c>
      <c r="AC350" s="48" t="s">
        <v>194</v>
      </c>
      <c r="AD350" s="48" t="s">
        <v>166</v>
      </c>
      <c r="AE350" s="54" t="s">
        <v>166</v>
      </c>
      <c r="AF350" s="55" t="s">
        <v>166</v>
      </c>
      <c r="AG350" s="51" t="s">
        <v>166</v>
      </c>
      <c r="AH350" s="48" t="s">
        <v>166</v>
      </c>
      <c r="AI350" s="48" t="s">
        <v>166</v>
      </c>
      <c r="AJ350" s="50" t="s">
        <v>166</v>
      </c>
      <c r="AK350" s="56">
        <v>399.0</v>
      </c>
      <c r="AL350" s="57">
        <f>AK350*Sheets!$E$3</f>
        <v>55.0003545</v>
      </c>
      <c r="AM350" s="68"/>
      <c r="AN350" s="70"/>
      <c r="AO350" s="71" t="s">
        <v>181</v>
      </c>
      <c r="AP350" s="72">
        <v>44442.737523344906</v>
      </c>
      <c r="AQ350" s="66"/>
    </row>
    <row r="351">
      <c r="A351" s="73" t="s">
        <v>691</v>
      </c>
      <c r="B351" s="73" t="s">
        <v>693</v>
      </c>
      <c r="C351" s="63" t="s">
        <v>248</v>
      </c>
      <c r="D351" s="48">
        <v>322.0</v>
      </c>
      <c r="E351" s="48">
        <v>140.0</v>
      </c>
      <c r="F351" s="48">
        <v>188.0</v>
      </c>
      <c r="G351" s="98">
        <f t="shared" si="1"/>
        <v>8.47504</v>
      </c>
      <c r="H351" s="49">
        <f t="shared" si="2"/>
        <v>450.8</v>
      </c>
      <c r="I351" s="48" t="s">
        <v>170</v>
      </c>
      <c r="J351" s="48" t="s">
        <v>164</v>
      </c>
      <c r="K351" s="50" t="s">
        <v>164</v>
      </c>
      <c r="L351" s="51">
        <v>66.0</v>
      </c>
      <c r="M351" s="50" t="s">
        <v>619</v>
      </c>
      <c r="N351" s="51" t="s">
        <v>174</v>
      </c>
      <c r="O351" s="48">
        <v>305.0</v>
      </c>
      <c r="P351" s="48">
        <v>144.0</v>
      </c>
      <c r="Q351" s="48">
        <v>45.0</v>
      </c>
      <c r="R351" s="48">
        <v>2.0</v>
      </c>
      <c r="S351" s="50" t="s">
        <v>166</v>
      </c>
      <c r="T351" s="52" t="s">
        <v>167</v>
      </c>
      <c r="U351" s="52" t="s">
        <v>346</v>
      </c>
      <c r="V351" s="51">
        <v>2.0</v>
      </c>
      <c r="W351" s="48" t="s">
        <v>166</v>
      </c>
      <c r="X351" s="50" t="s">
        <v>166</v>
      </c>
      <c r="Y351" s="51" t="s">
        <v>166</v>
      </c>
      <c r="Z351" s="48" t="s">
        <v>166</v>
      </c>
      <c r="AA351" s="48" t="s">
        <v>166</v>
      </c>
      <c r="AB351" s="48" t="s">
        <v>166</v>
      </c>
      <c r="AC351" s="48" t="s">
        <v>194</v>
      </c>
      <c r="AD351" s="48" t="s">
        <v>166</v>
      </c>
      <c r="AE351" s="54" t="s">
        <v>166</v>
      </c>
      <c r="AF351" s="55" t="s">
        <v>166</v>
      </c>
      <c r="AG351" s="51" t="s">
        <v>166</v>
      </c>
      <c r="AH351" s="48" t="s">
        <v>166</v>
      </c>
      <c r="AI351" s="48" t="s">
        <v>166</v>
      </c>
      <c r="AJ351" s="50" t="s">
        <v>166</v>
      </c>
      <c r="AK351" s="56">
        <v>699.0</v>
      </c>
      <c r="AL351" s="57">
        <f>AK351*Sheets!$E$3</f>
        <v>96.3540045</v>
      </c>
      <c r="AM351" s="68"/>
      <c r="AN351" s="70"/>
      <c r="AO351" s="71" t="s">
        <v>181</v>
      </c>
      <c r="AP351" s="72">
        <v>44442.73702944444</v>
      </c>
      <c r="AQ351" s="66"/>
    </row>
    <row r="352">
      <c r="A352" s="69" t="str">
        <f>HYPERLINK("https://shop382759606.world.taobao.com/","小白DIY电脑机箱")</f>
        <v>小白DIY电脑机箱</v>
      </c>
      <c r="B352" s="46" t="str">
        <f>HYPERLINK("https://item.taobao.com/item.htm?id=551237946603","DIY A4")</f>
        <v>DIY A4</v>
      </c>
      <c r="C352" s="63" t="s">
        <v>248</v>
      </c>
      <c r="D352" s="48">
        <v>306.0</v>
      </c>
      <c r="E352" s="48">
        <v>126.0</v>
      </c>
      <c r="F352" s="48">
        <v>220.0</v>
      </c>
      <c r="G352" s="49">
        <f t="shared" si="1"/>
        <v>8.48232</v>
      </c>
      <c r="H352" s="49">
        <f t="shared" si="2"/>
        <v>385.56</v>
      </c>
      <c r="I352" s="48" t="s">
        <v>170</v>
      </c>
      <c r="J352" s="48" t="s">
        <v>164</v>
      </c>
      <c r="K352" s="50" t="s">
        <v>213</v>
      </c>
      <c r="L352" s="51">
        <v>52.0</v>
      </c>
      <c r="M352" s="50" t="s">
        <v>166</v>
      </c>
      <c r="N352" s="51" t="s">
        <v>174</v>
      </c>
      <c r="O352" s="48">
        <v>290.0</v>
      </c>
      <c r="P352" s="48">
        <v>120.0</v>
      </c>
      <c r="Q352" s="48">
        <v>42.0</v>
      </c>
      <c r="R352" s="48">
        <v>2.0</v>
      </c>
      <c r="S352" s="50" t="s">
        <v>166</v>
      </c>
      <c r="T352" s="52" t="s">
        <v>167</v>
      </c>
      <c r="U352" s="52" t="s">
        <v>346</v>
      </c>
      <c r="V352" s="51">
        <v>2.0</v>
      </c>
      <c r="W352" s="48" t="s">
        <v>166</v>
      </c>
      <c r="X352" s="50" t="s">
        <v>166</v>
      </c>
      <c r="Y352" s="51" t="s">
        <v>166</v>
      </c>
      <c r="Z352" s="48" t="s">
        <v>166</v>
      </c>
      <c r="AA352" s="48" t="s">
        <v>166</v>
      </c>
      <c r="AB352" s="48" t="s">
        <v>193</v>
      </c>
      <c r="AC352" s="48" t="s">
        <v>194</v>
      </c>
      <c r="AD352" s="48" t="s">
        <v>166</v>
      </c>
      <c r="AE352" s="54" t="s">
        <v>166</v>
      </c>
      <c r="AF352" s="55" t="s">
        <v>166</v>
      </c>
      <c r="AG352" s="51" t="s">
        <v>166</v>
      </c>
      <c r="AH352" s="48">
        <v>2.0</v>
      </c>
      <c r="AI352" s="48" t="s">
        <v>166</v>
      </c>
      <c r="AJ352" s="50" t="s">
        <v>174</v>
      </c>
      <c r="AK352" s="56">
        <v>829.0</v>
      </c>
      <c r="AL352" s="57">
        <f>AK352*Sheets!$E$3</f>
        <v>114.2739195</v>
      </c>
      <c r="AM352" s="68"/>
      <c r="AN352" s="70"/>
      <c r="AO352" s="71"/>
      <c r="AP352" s="71"/>
      <c r="AQ352" s="66"/>
    </row>
    <row r="353">
      <c r="A353" s="82" t="str">
        <f>HYPERLINK("https://streacom.com/","Streacom")</f>
        <v>Streacom</v>
      </c>
      <c r="B353" s="62" t="s">
        <v>694</v>
      </c>
      <c r="C353" s="63" t="s">
        <v>225</v>
      </c>
      <c r="D353" s="48">
        <v>325.0</v>
      </c>
      <c r="E353" s="48">
        <v>435.0</v>
      </c>
      <c r="F353" s="48">
        <v>60.0</v>
      </c>
      <c r="G353" s="49">
        <f t="shared" si="1"/>
        <v>8.4825</v>
      </c>
      <c r="H353" s="49">
        <f t="shared" si="2"/>
        <v>1413.75</v>
      </c>
      <c r="I353" s="48">
        <v>4.2</v>
      </c>
      <c r="J353" s="48" t="s">
        <v>164</v>
      </c>
      <c r="K353" s="50" t="s">
        <v>695</v>
      </c>
      <c r="L353" s="51" t="s">
        <v>170</v>
      </c>
      <c r="M353" s="50" t="s">
        <v>166</v>
      </c>
      <c r="N353" s="51" t="s">
        <v>174</v>
      </c>
      <c r="O353" s="48" t="s">
        <v>170</v>
      </c>
      <c r="P353" s="48" t="s">
        <v>170</v>
      </c>
      <c r="Q353" s="48">
        <v>20.0</v>
      </c>
      <c r="R353" s="48">
        <v>1.0</v>
      </c>
      <c r="S353" s="50" t="s">
        <v>166</v>
      </c>
      <c r="T353" s="52" t="s">
        <v>696</v>
      </c>
      <c r="U353" s="52" t="s">
        <v>299</v>
      </c>
      <c r="V353" s="51" t="s">
        <v>697</v>
      </c>
      <c r="W353" s="48" t="s">
        <v>412</v>
      </c>
      <c r="X353" s="50" t="s">
        <v>218</v>
      </c>
      <c r="Y353" s="51" t="s">
        <v>166</v>
      </c>
      <c r="Z353" s="48" t="s">
        <v>166</v>
      </c>
      <c r="AA353" s="48" t="s">
        <v>166</v>
      </c>
      <c r="AB353" s="48" t="s">
        <v>166</v>
      </c>
      <c r="AC353" s="48" t="s">
        <v>166</v>
      </c>
      <c r="AD353" s="48" t="s">
        <v>166</v>
      </c>
      <c r="AE353" s="54" t="s">
        <v>166</v>
      </c>
      <c r="AF353" s="55" t="s">
        <v>166</v>
      </c>
      <c r="AG353" s="51" t="s">
        <v>166</v>
      </c>
      <c r="AH353" s="48">
        <v>2.0</v>
      </c>
      <c r="AI353" s="48" t="s">
        <v>166</v>
      </c>
      <c r="AJ353" s="50" t="s">
        <v>166</v>
      </c>
      <c r="AK353" s="56" t="s">
        <v>166</v>
      </c>
      <c r="AL353" s="57" t="s">
        <v>170</v>
      </c>
      <c r="AM353" s="58"/>
      <c r="AN353" s="59"/>
      <c r="AO353" s="60"/>
      <c r="AP353" s="65">
        <v>44717.94036953704</v>
      </c>
      <c r="AQ353" s="66"/>
    </row>
    <row r="354">
      <c r="A354" s="46" t="s">
        <v>451</v>
      </c>
      <c r="B354" s="46" t="s">
        <v>698</v>
      </c>
      <c r="C354" s="63" t="s">
        <v>248</v>
      </c>
      <c r="D354" s="48">
        <v>255.0</v>
      </c>
      <c r="E354" s="48">
        <v>155.0</v>
      </c>
      <c r="F354" s="48">
        <v>215.0</v>
      </c>
      <c r="G354" s="49">
        <f t="shared" si="1"/>
        <v>8.497875</v>
      </c>
      <c r="H354" s="49">
        <f t="shared" si="2"/>
        <v>395.25</v>
      </c>
      <c r="I354" s="48" t="s">
        <v>170</v>
      </c>
      <c r="J354" s="48" t="s">
        <v>164</v>
      </c>
      <c r="K354" s="50" t="s">
        <v>699</v>
      </c>
      <c r="L354" s="51">
        <v>72.0</v>
      </c>
      <c r="M354" s="50" t="s">
        <v>166</v>
      </c>
      <c r="N354" s="51" t="s">
        <v>174</v>
      </c>
      <c r="O354" s="48">
        <v>250.0</v>
      </c>
      <c r="P354" s="48" t="s">
        <v>170</v>
      </c>
      <c r="Q354" s="48">
        <v>53.0</v>
      </c>
      <c r="R354" s="48">
        <v>2.0</v>
      </c>
      <c r="S354" s="50" t="s">
        <v>166</v>
      </c>
      <c r="T354" s="52" t="s">
        <v>167</v>
      </c>
      <c r="U354" s="52" t="s">
        <v>186</v>
      </c>
      <c r="V354" s="51">
        <v>3.0</v>
      </c>
      <c r="W354" s="48">
        <v>1.0</v>
      </c>
      <c r="X354" s="50" t="s">
        <v>166</v>
      </c>
      <c r="Y354" s="51" t="s">
        <v>166</v>
      </c>
      <c r="Z354" s="48" t="s">
        <v>166</v>
      </c>
      <c r="AA354" s="48" t="s">
        <v>166</v>
      </c>
      <c r="AB354" s="48" t="s">
        <v>193</v>
      </c>
      <c r="AC354" s="48" t="s">
        <v>194</v>
      </c>
      <c r="AD354" s="48" t="s">
        <v>194</v>
      </c>
      <c r="AE354" s="54" t="s">
        <v>166</v>
      </c>
      <c r="AF354" s="55" t="s">
        <v>166</v>
      </c>
      <c r="AG354" s="51" t="s">
        <v>166</v>
      </c>
      <c r="AH354" s="48" t="s">
        <v>166</v>
      </c>
      <c r="AI354" s="48">
        <v>1.0</v>
      </c>
      <c r="AJ354" s="50" t="s">
        <v>166</v>
      </c>
      <c r="AK354" s="56">
        <v>599.0</v>
      </c>
      <c r="AL354" s="57">
        <f>AK354*Sheets!$E$3</f>
        <v>82.5694545</v>
      </c>
      <c r="AM354" s="68"/>
      <c r="AN354" s="70"/>
      <c r="AO354" s="71"/>
      <c r="AP354" s="72">
        <v>45055.999263148144</v>
      </c>
      <c r="AQ354" s="66"/>
    </row>
    <row r="355">
      <c r="A355" s="46" t="str">
        <f>HYPERLINK("https://shop224033016.world.taobao.com/","魔神科技电脑机箱城")</f>
        <v>魔神科技电脑机箱城</v>
      </c>
      <c r="B355" s="73" t="s">
        <v>700</v>
      </c>
      <c r="C355" s="63" t="s">
        <v>248</v>
      </c>
      <c r="D355" s="48">
        <v>208.0</v>
      </c>
      <c r="E355" s="48">
        <v>152.0</v>
      </c>
      <c r="F355" s="48">
        <v>270.0</v>
      </c>
      <c r="G355" s="49">
        <f t="shared" si="1"/>
        <v>8.53632</v>
      </c>
      <c r="H355" s="49">
        <f t="shared" si="2"/>
        <v>316.16</v>
      </c>
      <c r="I355" s="48">
        <v>2.5</v>
      </c>
      <c r="J355" s="48" t="s">
        <v>164</v>
      </c>
      <c r="K355" s="50" t="s">
        <v>164</v>
      </c>
      <c r="L355" s="51">
        <v>73.0</v>
      </c>
      <c r="M355" s="50" t="s">
        <v>166</v>
      </c>
      <c r="N355" s="51" t="s">
        <v>174</v>
      </c>
      <c r="O355" s="48">
        <v>200.0</v>
      </c>
      <c r="P355" s="48">
        <v>135.0</v>
      </c>
      <c r="Q355" s="48">
        <v>42.0</v>
      </c>
      <c r="R355" s="48">
        <v>2.0</v>
      </c>
      <c r="S355" s="50" t="s">
        <v>166</v>
      </c>
      <c r="T355" s="52" t="s">
        <v>167</v>
      </c>
      <c r="U355" s="52" t="s">
        <v>346</v>
      </c>
      <c r="V355" s="51">
        <v>3.0</v>
      </c>
      <c r="W355" s="48" t="s">
        <v>166</v>
      </c>
      <c r="X355" s="50" t="s">
        <v>166</v>
      </c>
      <c r="Y355" s="51" t="s">
        <v>166</v>
      </c>
      <c r="Z355" s="48" t="s">
        <v>166</v>
      </c>
      <c r="AA355" s="48">
        <v>1.0</v>
      </c>
      <c r="AB355" s="48" t="s">
        <v>166</v>
      </c>
      <c r="AC355" s="48">
        <v>1.0</v>
      </c>
      <c r="AD355" s="48" t="s">
        <v>166</v>
      </c>
      <c r="AE355" s="54" t="s">
        <v>166</v>
      </c>
      <c r="AF355" s="55" t="s">
        <v>166</v>
      </c>
      <c r="AG355" s="51" t="s">
        <v>166</v>
      </c>
      <c r="AH355" s="48">
        <v>2.0</v>
      </c>
      <c r="AI355" s="48" t="s">
        <v>166</v>
      </c>
      <c r="AJ355" s="50" t="s">
        <v>166</v>
      </c>
      <c r="AK355" s="56">
        <v>599.0</v>
      </c>
      <c r="AL355" s="57">
        <f>AK355*Sheets!$E$3</f>
        <v>82.5694545</v>
      </c>
      <c r="AM355" s="68"/>
      <c r="AN355" s="70"/>
      <c r="AO355" s="71" t="s">
        <v>181</v>
      </c>
      <c r="AP355" s="72">
        <v>44442.88316217593</v>
      </c>
      <c r="AQ355" s="66"/>
    </row>
    <row r="356">
      <c r="A356" s="46" t="str">
        <f>HYPERLINK("https://shop115457374.world.taobao.com/","Sirius Case / 天狼星机箱")</f>
        <v>Sirius Case / 天狼星机箱</v>
      </c>
      <c r="B356" s="73" t="s">
        <v>701</v>
      </c>
      <c r="C356" s="63" t="s">
        <v>248</v>
      </c>
      <c r="D356" s="48">
        <v>308.0</v>
      </c>
      <c r="E356" s="48">
        <v>136.0</v>
      </c>
      <c r="F356" s="48">
        <v>204.0</v>
      </c>
      <c r="G356" s="49">
        <f t="shared" si="1"/>
        <v>8.545152</v>
      </c>
      <c r="H356" s="49">
        <f t="shared" si="2"/>
        <v>418.88</v>
      </c>
      <c r="I356" s="48">
        <v>1.9</v>
      </c>
      <c r="J356" s="48" t="s">
        <v>411</v>
      </c>
      <c r="K356" s="50" t="s">
        <v>191</v>
      </c>
      <c r="L356" s="51">
        <v>55.0</v>
      </c>
      <c r="M356" s="50" t="s">
        <v>166</v>
      </c>
      <c r="N356" s="51" t="s">
        <v>174</v>
      </c>
      <c r="O356" s="48">
        <v>305.0</v>
      </c>
      <c r="P356" s="48">
        <v>130.0</v>
      </c>
      <c r="Q356" s="48">
        <v>50.0</v>
      </c>
      <c r="R356" s="48">
        <v>2.0</v>
      </c>
      <c r="S356" s="50" t="s">
        <v>166</v>
      </c>
      <c r="T356" s="52" t="s">
        <v>167</v>
      </c>
      <c r="U356" s="52" t="s">
        <v>346</v>
      </c>
      <c r="V356" s="51" t="s">
        <v>412</v>
      </c>
      <c r="W356" s="48" t="s">
        <v>166</v>
      </c>
      <c r="X356" s="50" t="s">
        <v>166</v>
      </c>
      <c r="Y356" s="51" t="s">
        <v>166</v>
      </c>
      <c r="Z356" s="48" t="s">
        <v>166</v>
      </c>
      <c r="AA356" s="48" t="s">
        <v>166</v>
      </c>
      <c r="AB356" s="48">
        <v>3.0</v>
      </c>
      <c r="AC356" s="48" t="s">
        <v>166</v>
      </c>
      <c r="AD356" s="48" t="s">
        <v>166</v>
      </c>
      <c r="AE356" s="54" t="s">
        <v>166</v>
      </c>
      <c r="AF356" s="55" t="s">
        <v>166</v>
      </c>
      <c r="AG356" s="51" t="s">
        <v>166</v>
      </c>
      <c r="AH356" s="48" t="s">
        <v>166</v>
      </c>
      <c r="AI356" s="48" t="s">
        <v>166</v>
      </c>
      <c r="AJ356" s="50" t="s">
        <v>166</v>
      </c>
      <c r="AK356" s="56">
        <v>382.0</v>
      </c>
      <c r="AL356" s="57">
        <f>AK356*Sheets!$E$3</f>
        <v>52.656981</v>
      </c>
      <c r="AM356" s="68"/>
      <c r="AN356" s="59"/>
      <c r="AO356" s="71" t="s">
        <v>181</v>
      </c>
      <c r="AP356" s="60"/>
      <c r="AQ356" s="66"/>
    </row>
    <row r="357">
      <c r="A357" s="46" t="str">
        <f>HYPERLINK("https://shop206098240.world.taobao.com/","LZmod")</f>
        <v>LZmod</v>
      </c>
      <c r="B357" s="73" t="s">
        <v>702</v>
      </c>
      <c r="C357" s="63" t="s">
        <v>248</v>
      </c>
      <c r="D357" s="48">
        <v>316.0</v>
      </c>
      <c r="E357" s="48">
        <v>127.0</v>
      </c>
      <c r="F357" s="48">
        <v>213.0</v>
      </c>
      <c r="G357" s="49">
        <f t="shared" si="1"/>
        <v>8.548116</v>
      </c>
      <c r="H357" s="49">
        <f t="shared" si="2"/>
        <v>401.32</v>
      </c>
      <c r="I357" s="48" t="s">
        <v>170</v>
      </c>
      <c r="J357" s="48" t="s">
        <v>164</v>
      </c>
      <c r="K357" s="50" t="s">
        <v>319</v>
      </c>
      <c r="L357" s="51">
        <v>50.62</v>
      </c>
      <c r="M357" s="50" t="s">
        <v>166</v>
      </c>
      <c r="N357" s="51" t="s">
        <v>174</v>
      </c>
      <c r="O357" s="48">
        <v>310.0</v>
      </c>
      <c r="P357" s="48">
        <v>138.0</v>
      </c>
      <c r="Q357" s="48">
        <v>50.0</v>
      </c>
      <c r="R357" s="48">
        <v>2.0</v>
      </c>
      <c r="S357" s="50" t="s">
        <v>166</v>
      </c>
      <c r="T357" s="52" t="s">
        <v>167</v>
      </c>
      <c r="U357" s="52" t="s">
        <v>346</v>
      </c>
      <c r="V357" s="51">
        <v>4.0</v>
      </c>
      <c r="W357" s="48" t="s">
        <v>166</v>
      </c>
      <c r="X357" s="50" t="s">
        <v>166</v>
      </c>
      <c r="Y357" s="51" t="s">
        <v>166</v>
      </c>
      <c r="Z357" s="48" t="s">
        <v>166</v>
      </c>
      <c r="AA357" s="48">
        <v>2.0</v>
      </c>
      <c r="AB357" s="48" t="s">
        <v>166</v>
      </c>
      <c r="AC357" s="48" t="s">
        <v>166</v>
      </c>
      <c r="AD357" s="48" t="s">
        <v>166</v>
      </c>
      <c r="AE357" s="54" t="s">
        <v>166</v>
      </c>
      <c r="AF357" s="55" t="s">
        <v>166</v>
      </c>
      <c r="AG357" s="51" t="s">
        <v>166</v>
      </c>
      <c r="AH357" s="48" t="s">
        <v>166</v>
      </c>
      <c r="AI357" s="48" t="s">
        <v>166</v>
      </c>
      <c r="AJ357" s="50" t="s">
        <v>166</v>
      </c>
      <c r="AK357" s="56">
        <v>718.0</v>
      </c>
      <c r="AL357" s="57">
        <f>AK357*Sheets!$E$3</f>
        <v>98.973069</v>
      </c>
      <c r="AM357" s="68"/>
      <c r="AN357" s="70"/>
      <c r="AO357" s="71" t="s">
        <v>181</v>
      </c>
      <c r="AP357" s="71"/>
      <c r="AQ357" s="66"/>
    </row>
    <row r="358">
      <c r="A358" s="95" t="s">
        <v>419</v>
      </c>
      <c r="B358" s="67" t="s">
        <v>703</v>
      </c>
      <c r="C358" s="63" t="s">
        <v>225</v>
      </c>
      <c r="D358" s="48">
        <v>330.0</v>
      </c>
      <c r="E358" s="48">
        <v>72.0</v>
      </c>
      <c r="F358" s="48">
        <v>360.0</v>
      </c>
      <c r="G358" s="49">
        <f t="shared" si="1"/>
        <v>8.5536</v>
      </c>
      <c r="H358" s="49">
        <f t="shared" si="2"/>
        <v>237.6</v>
      </c>
      <c r="I358" s="48">
        <v>0.8</v>
      </c>
      <c r="J358" s="48" t="s">
        <v>245</v>
      </c>
      <c r="K358" s="50" t="s">
        <v>421</v>
      </c>
      <c r="L358" s="51">
        <v>47.0</v>
      </c>
      <c r="M358" s="50" t="s">
        <v>166</v>
      </c>
      <c r="N358" s="51" t="s">
        <v>174</v>
      </c>
      <c r="O358" s="48">
        <v>305.0</v>
      </c>
      <c r="P358" s="48">
        <v>130.0</v>
      </c>
      <c r="Q358" s="48">
        <v>42.0</v>
      </c>
      <c r="R358" s="48">
        <v>2.0</v>
      </c>
      <c r="S358" s="50" t="s">
        <v>166</v>
      </c>
      <c r="T358" s="52" t="s">
        <v>167</v>
      </c>
      <c r="U358" s="52" t="s">
        <v>324</v>
      </c>
      <c r="V358" s="51">
        <v>2.0</v>
      </c>
      <c r="W358" s="48" t="s">
        <v>166</v>
      </c>
      <c r="X358" s="50" t="s">
        <v>166</v>
      </c>
      <c r="Y358" s="51" t="s">
        <v>166</v>
      </c>
      <c r="Z358" s="48">
        <v>5.0</v>
      </c>
      <c r="AA358" s="48" t="s">
        <v>166</v>
      </c>
      <c r="AB358" s="48" t="s">
        <v>166</v>
      </c>
      <c r="AC358" s="48" t="s">
        <v>166</v>
      </c>
      <c r="AD358" s="48" t="s">
        <v>166</v>
      </c>
      <c r="AE358" s="54" t="s">
        <v>166</v>
      </c>
      <c r="AF358" s="55" t="s">
        <v>166</v>
      </c>
      <c r="AG358" s="51" t="s">
        <v>166</v>
      </c>
      <c r="AH358" s="48" t="s">
        <v>166</v>
      </c>
      <c r="AI358" s="48" t="s">
        <v>166</v>
      </c>
      <c r="AJ358" s="50" t="s">
        <v>166</v>
      </c>
      <c r="AK358" s="56" t="s">
        <v>166</v>
      </c>
      <c r="AL358" s="57">
        <v>159.0</v>
      </c>
      <c r="AM358" s="64" t="str">
        <f>HYPERLINK("https://smallformfactor.net/forum/threads/modivio-xcase-customizable-console-style-case.2732/","Link")</f>
        <v>Link</v>
      </c>
      <c r="AN358" s="70"/>
      <c r="AO358" s="71" t="s">
        <v>181</v>
      </c>
      <c r="AP358" s="65">
        <v>44959.72340076389</v>
      </c>
      <c r="AQ358" s="66"/>
    </row>
    <row r="359">
      <c r="A359" s="69" t="str">
        <f>HYPERLINK("https://shop445541697.world.taobao.com/","Kyle's Studio")</f>
        <v>Kyle's Studio</v>
      </c>
      <c r="B359" s="73" t="s">
        <v>704</v>
      </c>
      <c r="C359" s="63" t="s">
        <v>248</v>
      </c>
      <c r="D359" s="48">
        <v>310.0</v>
      </c>
      <c r="E359" s="48">
        <v>138.0</v>
      </c>
      <c r="F359" s="48">
        <v>200.0</v>
      </c>
      <c r="G359" s="49">
        <f t="shared" si="1"/>
        <v>8.556</v>
      </c>
      <c r="H359" s="49">
        <f t="shared" si="2"/>
        <v>427.8</v>
      </c>
      <c r="I359" s="48">
        <v>2.0</v>
      </c>
      <c r="J359" s="48" t="s">
        <v>274</v>
      </c>
      <c r="K359" s="50" t="s">
        <v>191</v>
      </c>
      <c r="L359" s="51">
        <v>65.0</v>
      </c>
      <c r="M359" s="50" t="s">
        <v>166</v>
      </c>
      <c r="N359" s="51" t="s">
        <v>174</v>
      </c>
      <c r="O359" s="48">
        <v>300.0</v>
      </c>
      <c r="P359" s="48">
        <v>135.0</v>
      </c>
      <c r="Q359" s="48">
        <v>44.5</v>
      </c>
      <c r="R359" s="48">
        <v>2.0</v>
      </c>
      <c r="S359" s="50" t="s">
        <v>166</v>
      </c>
      <c r="T359" s="52" t="s">
        <v>167</v>
      </c>
      <c r="U359" s="52" t="s">
        <v>324</v>
      </c>
      <c r="V359" s="51" t="s">
        <v>426</v>
      </c>
      <c r="W359" s="48" t="s">
        <v>166</v>
      </c>
      <c r="X359" s="50" t="s">
        <v>166</v>
      </c>
      <c r="Y359" s="51" t="s">
        <v>166</v>
      </c>
      <c r="Z359" s="48" t="s">
        <v>166</v>
      </c>
      <c r="AA359" s="48" t="s">
        <v>166</v>
      </c>
      <c r="AB359" s="48" t="s">
        <v>166</v>
      </c>
      <c r="AC359" s="48" t="s">
        <v>435</v>
      </c>
      <c r="AD359" s="48" t="s">
        <v>166</v>
      </c>
      <c r="AE359" s="54" t="s">
        <v>166</v>
      </c>
      <c r="AF359" s="55" t="s">
        <v>166</v>
      </c>
      <c r="AG359" s="51" t="s">
        <v>166</v>
      </c>
      <c r="AH359" s="48" t="s">
        <v>166</v>
      </c>
      <c r="AI359" s="48" t="s">
        <v>166</v>
      </c>
      <c r="AJ359" s="50" t="s">
        <v>166</v>
      </c>
      <c r="AK359" s="56">
        <v>749.0</v>
      </c>
      <c r="AL359" s="57">
        <f>AK359*Sheets!$E$3</f>
        <v>103.2462795</v>
      </c>
      <c r="AM359" s="68"/>
      <c r="AN359" s="70"/>
      <c r="AO359" s="71" t="s">
        <v>181</v>
      </c>
      <c r="AP359" s="72">
        <v>44887.946844363425</v>
      </c>
      <c r="AQ359" s="66"/>
    </row>
    <row r="360">
      <c r="A360" s="46" t="str">
        <f>HYPERLINK("https://shop115457374.world.taobao.com/","Sirius Case / 天狼星机箱")</f>
        <v>Sirius Case / 天狼星机箱</v>
      </c>
      <c r="B360" s="46" t="s">
        <v>705</v>
      </c>
      <c r="C360" s="63" t="s">
        <v>248</v>
      </c>
      <c r="D360" s="48">
        <v>229.0</v>
      </c>
      <c r="E360" s="48">
        <v>150.0</v>
      </c>
      <c r="F360" s="48">
        <v>250.0</v>
      </c>
      <c r="G360" s="49">
        <f t="shared" si="1"/>
        <v>8.5875</v>
      </c>
      <c r="H360" s="49">
        <f t="shared" si="2"/>
        <v>343.5</v>
      </c>
      <c r="I360" s="48">
        <v>1.4</v>
      </c>
      <c r="J360" s="48" t="s">
        <v>274</v>
      </c>
      <c r="K360" s="50" t="s">
        <v>706</v>
      </c>
      <c r="L360" s="51">
        <v>65.0</v>
      </c>
      <c r="M360" s="50" t="s">
        <v>166</v>
      </c>
      <c r="N360" s="51" t="s">
        <v>174</v>
      </c>
      <c r="O360" s="48">
        <v>223.0</v>
      </c>
      <c r="P360" s="48">
        <v>143.0</v>
      </c>
      <c r="Q360" s="48">
        <v>60.0</v>
      </c>
      <c r="R360" s="48">
        <v>2.0</v>
      </c>
      <c r="S360" s="50" t="s">
        <v>166</v>
      </c>
      <c r="T360" s="52" t="s">
        <v>167</v>
      </c>
      <c r="U360" s="52" t="s">
        <v>346</v>
      </c>
      <c r="V360" s="51">
        <v>6.0</v>
      </c>
      <c r="W360" s="48" t="s">
        <v>166</v>
      </c>
      <c r="X360" s="50" t="s">
        <v>166</v>
      </c>
      <c r="Y360" s="51" t="s">
        <v>166</v>
      </c>
      <c r="Z360" s="48" t="s">
        <v>166</v>
      </c>
      <c r="AA360" s="48" t="s">
        <v>166</v>
      </c>
      <c r="AB360" s="48">
        <v>1.0</v>
      </c>
      <c r="AC360" s="48" t="s">
        <v>166</v>
      </c>
      <c r="AD360" s="48" t="s">
        <v>166</v>
      </c>
      <c r="AE360" s="54" t="s">
        <v>166</v>
      </c>
      <c r="AF360" s="55" t="s">
        <v>166</v>
      </c>
      <c r="AG360" s="51" t="s">
        <v>166</v>
      </c>
      <c r="AH360" s="48" t="s">
        <v>166</v>
      </c>
      <c r="AI360" s="48" t="s">
        <v>166</v>
      </c>
      <c r="AJ360" s="50" t="s">
        <v>166</v>
      </c>
      <c r="AK360" s="56">
        <v>159.0</v>
      </c>
      <c r="AL360" s="57">
        <f>AK360*Sheets!$E$3</f>
        <v>21.9174345</v>
      </c>
      <c r="AM360" s="68"/>
      <c r="AN360" s="59"/>
      <c r="AO360" s="60"/>
      <c r="AP360" s="60"/>
      <c r="AQ360" s="66"/>
    </row>
    <row r="361">
      <c r="A361" s="46" t="str">
        <f t="shared" ref="A361:A362" si="9">HYPERLINK("https://shop159524301.world.taobao.com/","Warhead Design")</f>
        <v>Warhead Design</v>
      </c>
      <c r="B361" s="73" t="s">
        <v>707</v>
      </c>
      <c r="C361" s="63" t="s">
        <v>248</v>
      </c>
      <c r="D361" s="48">
        <v>323.0</v>
      </c>
      <c r="E361" s="48">
        <v>130.0</v>
      </c>
      <c r="F361" s="48">
        <v>205.0</v>
      </c>
      <c r="G361" s="49">
        <f t="shared" si="1"/>
        <v>8.60795</v>
      </c>
      <c r="H361" s="49">
        <f t="shared" si="2"/>
        <v>419.9</v>
      </c>
      <c r="I361" s="48" t="s">
        <v>170</v>
      </c>
      <c r="J361" s="48" t="s">
        <v>164</v>
      </c>
      <c r="K361" s="50" t="s">
        <v>164</v>
      </c>
      <c r="L361" s="51">
        <v>55.0</v>
      </c>
      <c r="M361" s="50" t="s">
        <v>547</v>
      </c>
      <c r="N361" s="51" t="s">
        <v>174</v>
      </c>
      <c r="O361" s="48">
        <v>315.0</v>
      </c>
      <c r="P361" s="48">
        <v>150.0</v>
      </c>
      <c r="Q361" s="48">
        <v>45.0</v>
      </c>
      <c r="R361" s="48">
        <v>2.0</v>
      </c>
      <c r="S361" s="50" t="s">
        <v>166</v>
      </c>
      <c r="T361" s="52" t="s">
        <v>167</v>
      </c>
      <c r="U361" s="52" t="s">
        <v>324</v>
      </c>
      <c r="V361" s="51">
        <v>2.0</v>
      </c>
      <c r="W361" s="48" t="s">
        <v>194</v>
      </c>
      <c r="X361" s="50" t="s">
        <v>166</v>
      </c>
      <c r="Y361" s="51" t="s">
        <v>166</v>
      </c>
      <c r="Z361" s="48" t="s">
        <v>166</v>
      </c>
      <c r="AA361" s="48" t="s">
        <v>166</v>
      </c>
      <c r="AB361" s="48" t="s">
        <v>166</v>
      </c>
      <c r="AC361" s="48" t="s">
        <v>207</v>
      </c>
      <c r="AD361" s="48" t="s">
        <v>166</v>
      </c>
      <c r="AE361" s="54" t="s">
        <v>166</v>
      </c>
      <c r="AF361" s="55" t="s">
        <v>166</v>
      </c>
      <c r="AG361" s="51" t="s">
        <v>166</v>
      </c>
      <c r="AH361" s="48" t="s">
        <v>166</v>
      </c>
      <c r="AI361" s="48" t="s">
        <v>166</v>
      </c>
      <c r="AJ361" s="50" t="s">
        <v>166</v>
      </c>
      <c r="AK361" s="56">
        <v>499.0</v>
      </c>
      <c r="AL361" s="57">
        <f>AK361*Sheets!$E$3</f>
        <v>68.7849045</v>
      </c>
      <c r="AM361" s="68"/>
      <c r="AN361" s="70"/>
      <c r="AO361" s="71" t="s">
        <v>181</v>
      </c>
      <c r="AP361" s="65">
        <v>44531.45940885416</v>
      </c>
      <c r="AQ361" s="66"/>
    </row>
    <row r="362">
      <c r="A362" s="46" t="str">
        <f t="shared" si="9"/>
        <v>Warhead Design</v>
      </c>
      <c r="B362" s="73" t="s">
        <v>708</v>
      </c>
      <c r="C362" s="63" t="s">
        <v>248</v>
      </c>
      <c r="D362" s="48">
        <v>323.0</v>
      </c>
      <c r="E362" s="48">
        <v>130.0</v>
      </c>
      <c r="F362" s="48">
        <v>205.0</v>
      </c>
      <c r="G362" s="109">
        <f t="shared" si="1"/>
        <v>8.60795</v>
      </c>
      <c r="H362" s="110">
        <f t="shared" si="2"/>
        <v>419.9</v>
      </c>
      <c r="I362" s="48" t="s">
        <v>170</v>
      </c>
      <c r="J362" s="48" t="s">
        <v>164</v>
      </c>
      <c r="K362" s="50" t="s">
        <v>164</v>
      </c>
      <c r="L362" s="51">
        <v>45.0</v>
      </c>
      <c r="M362" s="50" t="s">
        <v>547</v>
      </c>
      <c r="N362" s="51" t="s">
        <v>174</v>
      </c>
      <c r="O362" s="48">
        <v>315.0</v>
      </c>
      <c r="P362" s="48">
        <v>150.0</v>
      </c>
      <c r="Q362" s="48">
        <v>59.0</v>
      </c>
      <c r="R362" s="48">
        <v>2.0</v>
      </c>
      <c r="S362" s="50" t="s">
        <v>166</v>
      </c>
      <c r="T362" s="52" t="s">
        <v>167</v>
      </c>
      <c r="U362" s="52" t="s">
        <v>324</v>
      </c>
      <c r="V362" s="51">
        <v>2.0</v>
      </c>
      <c r="W362" s="48" t="s">
        <v>194</v>
      </c>
      <c r="X362" s="50" t="s">
        <v>166</v>
      </c>
      <c r="Y362" s="51" t="s">
        <v>166</v>
      </c>
      <c r="Z362" s="48" t="s">
        <v>166</v>
      </c>
      <c r="AA362" s="48" t="s">
        <v>166</v>
      </c>
      <c r="AB362" s="48" t="s">
        <v>166</v>
      </c>
      <c r="AC362" s="48" t="s">
        <v>207</v>
      </c>
      <c r="AD362" s="48" t="s">
        <v>166</v>
      </c>
      <c r="AE362" s="54" t="s">
        <v>166</v>
      </c>
      <c r="AF362" s="55" t="s">
        <v>166</v>
      </c>
      <c r="AG362" s="51" t="s">
        <v>166</v>
      </c>
      <c r="AH362" s="48" t="s">
        <v>166</v>
      </c>
      <c r="AI362" s="48"/>
      <c r="AJ362" s="50" t="s">
        <v>166</v>
      </c>
      <c r="AK362" s="56">
        <v>499.0</v>
      </c>
      <c r="AL362" s="57">
        <f>AK362*Sheets!$E$3</f>
        <v>68.7849045</v>
      </c>
      <c r="AM362" s="68"/>
      <c r="AN362" s="70"/>
      <c r="AO362" s="71" t="s">
        <v>181</v>
      </c>
      <c r="AP362" s="65">
        <v>44531.45941034722</v>
      </c>
      <c r="AQ362" s="66"/>
    </row>
    <row r="363">
      <c r="A363" s="82" t="str">
        <f>HYPERLINK("http://lazer3d.com/","Lazer3D")</f>
        <v>Lazer3D</v>
      </c>
      <c r="B363" s="62" t="s">
        <v>709</v>
      </c>
      <c r="C363" s="63" t="s">
        <v>262</v>
      </c>
      <c r="D363" s="48">
        <v>220.0</v>
      </c>
      <c r="E363" s="48">
        <v>245.0</v>
      </c>
      <c r="F363" s="48">
        <v>160.0</v>
      </c>
      <c r="G363" s="49">
        <f t="shared" si="1"/>
        <v>8.624</v>
      </c>
      <c r="H363" s="49">
        <f t="shared" si="2"/>
        <v>539</v>
      </c>
      <c r="I363" s="48" t="s">
        <v>170</v>
      </c>
      <c r="J363" s="48" t="s">
        <v>245</v>
      </c>
      <c r="K363" s="50" t="s">
        <v>245</v>
      </c>
      <c r="L363" s="51">
        <v>72.0</v>
      </c>
      <c r="M363" s="50" t="s">
        <v>166</v>
      </c>
      <c r="N363" s="51" t="s">
        <v>166</v>
      </c>
      <c r="O363" s="48">
        <v>205.0</v>
      </c>
      <c r="P363" s="48">
        <v>136.0</v>
      </c>
      <c r="Q363" s="48">
        <v>48.0</v>
      </c>
      <c r="R363" s="48">
        <v>2.0</v>
      </c>
      <c r="S363" s="50" t="s">
        <v>166</v>
      </c>
      <c r="T363" s="52" t="s">
        <v>167</v>
      </c>
      <c r="U363" s="52" t="s">
        <v>346</v>
      </c>
      <c r="V363" s="51" t="s">
        <v>193</v>
      </c>
      <c r="W363" s="48" t="s">
        <v>194</v>
      </c>
      <c r="X363" s="50" t="s">
        <v>166</v>
      </c>
      <c r="Y363" s="51" t="s">
        <v>166</v>
      </c>
      <c r="Z363" s="48" t="s">
        <v>166</v>
      </c>
      <c r="AA363" s="48" t="s">
        <v>166</v>
      </c>
      <c r="AB363" s="48" t="s">
        <v>166</v>
      </c>
      <c r="AC363" s="48" t="s">
        <v>194</v>
      </c>
      <c r="AD363" s="48" t="s">
        <v>194</v>
      </c>
      <c r="AE363" s="54" t="s">
        <v>166</v>
      </c>
      <c r="AF363" s="55" t="s">
        <v>166</v>
      </c>
      <c r="AG363" s="51" t="s">
        <v>166</v>
      </c>
      <c r="AH363" s="48">
        <v>2.0</v>
      </c>
      <c r="AI363" s="48">
        <v>1.0</v>
      </c>
      <c r="AJ363" s="50" t="s">
        <v>174</v>
      </c>
      <c r="AK363" s="56" t="s">
        <v>166</v>
      </c>
      <c r="AL363" s="57">
        <f>149.99*1.38</f>
        <v>206.9862</v>
      </c>
      <c r="AM363" s="58"/>
      <c r="AN363" s="59"/>
      <c r="AO363" s="60"/>
      <c r="AP363" s="60"/>
      <c r="AQ363" s="66"/>
    </row>
    <row r="364">
      <c r="A364" s="46" t="s">
        <v>404</v>
      </c>
      <c r="B364" s="46" t="s">
        <v>710</v>
      </c>
      <c r="C364" s="63" t="s">
        <v>248</v>
      </c>
      <c r="D364" s="48">
        <v>210.0</v>
      </c>
      <c r="E364" s="48">
        <v>138.0</v>
      </c>
      <c r="F364" s="48">
        <v>298.0</v>
      </c>
      <c r="G364" s="49">
        <f t="shared" si="1"/>
        <v>8.63604</v>
      </c>
      <c r="H364" s="49">
        <f t="shared" si="2"/>
        <v>289.8</v>
      </c>
      <c r="I364" s="48">
        <v>3.5</v>
      </c>
      <c r="J364" s="48" t="s">
        <v>235</v>
      </c>
      <c r="K364" s="50" t="s">
        <v>711</v>
      </c>
      <c r="L364" s="51">
        <v>59.0</v>
      </c>
      <c r="M364" s="50">
        <v>120.0</v>
      </c>
      <c r="N364" s="51" t="s">
        <v>174</v>
      </c>
      <c r="O364" s="48">
        <v>208.0</v>
      </c>
      <c r="P364" s="48" t="s">
        <v>170</v>
      </c>
      <c r="Q364" s="48">
        <v>53.0</v>
      </c>
      <c r="R364" s="48">
        <v>2.0</v>
      </c>
      <c r="S364" s="50" t="s">
        <v>166</v>
      </c>
      <c r="T364" s="52" t="s">
        <v>167</v>
      </c>
      <c r="U364" s="52" t="s">
        <v>346</v>
      </c>
      <c r="V364" s="51">
        <v>4.0</v>
      </c>
      <c r="W364" s="48" t="s">
        <v>166</v>
      </c>
      <c r="X364" s="50" t="s">
        <v>166</v>
      </c>
      <c r="Y364" s="51" t="s">
        <v>166</v>
      </c>
      <c r="Z364" s="48" t="s">
        <v>166</v>
      </c>
      <c r="AA364" s="48" t="s">
        <v>166</v>
      </c>
      <c r="AB364" s="48" t="s">
        <v>166</v>
      </c>
      <c r="AC364" s="48">
        <v>1.0</v>
      </c>
      <c r="AD364" s="48" t="s">
        <v>166</v>
      </c>
      <c r="AE364" s="54" t="s">
        <v>166</v>
      </c>
      <c r="AF364" s="55" t="s">
        <v>166</v>
      </c>
      <c r="AG364" s="51" t="s">
        <v>166</v>
      </c>
      <c r="AH364" s="48" t="s">
        <v>166</v>
      </c>
      <c r="AI364" s="48" t="s">
        <v>166</v>
      </c>
      <c r="AJ364" s="50" t="s">
        <v>166</v>
      </c>
      <c r="AK364" s="56">
        <v>798.0</v>
      </c>
      <c r="AL364" s="57">
        <f>AK364*Sheets!$E$3</f>
        <v>110.000709</v>
      </c>
      <c r="AM364" s="58"/>
      <c r="AN364" s="59"/>
      <c r="AO364" s="71" t="s">
        <v>181</v>
      </c>
      <c r="AP364" s="65">
        <v>44723.77909034722</v>
      </c>
      <c r="AQ364" s="66"/>
    </row>
    <row r="365">
      <c r="A365" s="111" t="str">
        <f t="shared" ref="A365:A366" si="10">HYPERLINK("https://www.u-nas.com/","U-NAS")</f>
        <v>U-NAS</v>
      </c>
      <c r="B365" s="112" t="s">
        <v>712</v>
      </c>
      <c r="C365" s="101" t="s">
        <v>490</v>
      </c>
      <c r="D365" s="74">
        <v>254.0</v>
      </c>
      <c r="E365" s="74">
        <v>190.0</v>
      </c>
      <c r="F365" s="113">
        <v>180.0</v>
      </c>
      <c r="G365" s="114">
        <f t="shared" si="1"/>
        <v>8.6868</v>
      </c>
      <c r="H365" s="115">
        <f t="shared" si="2"/>
        <v>482.6</v>
      </c>
      <c r="I365" s="116">
        <v>2.7</v>
      </c>
      <c r="J365" s="48" t="s">
        <v>164</v>
      </c>
      <c r="K365" s="117" t="s">
        <v>171</v>
      </c>
      <c r="L365" s="118">
        <v>40.0</v>
      </c>
      <c r="M365" s="117" t="s">
        <v>166</v>
      </c>
      <c r="N365" s="119" t="s">
        <v>166</v>
      </c>
      <c r="O365" s="113" t="s">
        <v>166</v>
      </c>
      <c r="P365" s="113" t="s">
        <v>166</v>
      </c>
      <c r="Q365" s="113" t="s">
        <v>166</v>
      </c>
      <c r="R365" s="113" t="s">
        <v>166</v>
      </c>
      <c r="S365" s="117" t="s">
        <v>166</v>
      </c>
      <c r="T365" s="120" t="s">
        <v>167</v>
      </c>
      <c r="U365" s="120" t="s">
        <v>186</v>
      </c>
      <c r="V365" s="77">
        <v>2.0</v>
      </c>
      <c r="W365" s="74">
        <v>4.0</v>
      </c>
      <c r="X365" s="117" t="s">
        <v>166</v>
      </c>
      <c r="Y365" s="119" t="s">
        <v>166</v>
      </c>
      <c r="Z365" s="113" t="s">
        <v>166</v>
      </c>
      <c r="AA365" s="74" t="s">
        <v>166</v>
      </c>
      <c r="AB365" s="113" t="s">
        <v>166</v>
      </c>
      <c r="AC365" s="74">
        <v>1.0</v>
      </c>
      <c r="AD365" s="113" t="s">
        <v>166</v>
      </c>
      <c r="AE365" s="54" t="s">
        <v>166</v>
      </c>
      <c r="AF365" s="55" t="s">
        <v>166</v>
      </c>
      <c r="AG365" s="51">
        <v>1.0</v>
      </c>
      <c r="AH365" s="48" t="s">
        <v>166</v>
      </c>
      <c r="AI365" s="48" t="s">
        <v>166</v>
      </c>
      <c r="AJ365" s="50" t="s">
        <v>166</v>
      </c>
      <c r="AK365" s="121" t="s">
        <v>166</v>
      </c>
      <c r="AL365" s="122">
        <v>149.0</v>
      </c>
      <c r="AM365" s="123"/>
      <c r="AN365" s="123"/>
      <c r="AO365" s="124"/>
      <c r="AP365" s="124"/>
      <c r="AQ365" s="66"/>
    </row>
    <row r="366">
      <c r="A366" s="111" t="str">
        <f t="shared" si="10"/>
        <v>U-NAS</v>
      </c>
      <c r="B366" s="112" t="s">
        <v>713</v>
      </c>
      <c r="C366" s="101" t="s">
        <v>490</v>
      </c>
      <c r="D366" s="74">
        <v>255.0</v>
      </c>
      <c r="E366" s="74">
        <v>190.0</v>
      </c>
      <c r="F366" s="113">
        <v>180.0</v>
      </c>
      <c r="G366" s="114">
        <f t="shared" si="1"/>
        <v>8.721</v>
      </c>
      <c r="H366" s="115">
        <f t="shared" si="2"/>
        <v>484.5</v>
      </c>
      <c r="I366" s="116">
        <v>4.0</v>
      </c>
      <c r="J366" s="48" t="s">
        <v>164</v>
      </c>
      <c r="K366" s="117" t="s">
        <v>171</v>
      </c>
      <c r="L366" s="118">
        <v>40.0</v>
      </c>
      <c r="M366" s="117" t="s">
        <v>166</v>
      </c>
      <c r="N366" s="119" t="s">
        <v>166</v>
      </c>
      <c r="O366" s="113" t="s">
        <v>166</v>
      </c>
      <c r="P366" s="113" t="s">
        <v>166</v>
      </c>
      <c r="Q366" s="113" t="s">
        <v>166</v>
      </c>
      <c r="R366" s="113" t="s">
        <v>166</v>
      </c>
      <c r="S366" s="117" t="s">
        <v>166</v>
      </c>
      <c r="T366" s="120" t="s">
        <v>167</v>
      </c>
      <c r="U366" s="120" t="s">
        <v>186</v>
      </c>
      <c r="V366" s="77">
        <v>2.0</v>
      </c>
      <c r="W366" s="74">
        <v>4.0</v>
      </c>
      <c r="X366" s="117" t="s">
        <v>166</v>
      </c>
      <c r="Y366" s="119" t="s">
        <v>166</v>
      </c>
      <c r="Z366" s="113" t="s">
        <v>166</v>
      </c>
      <c r="AA366" s="74" t="s">
        <v>166</v>
      </c>
      <c r="AB366" s="113" t="s">
        <v>166</v>
      </c>
      <c r="AC366" s="74">
        <v>1.0</v>
      </c>
      <c r="AD366" s="113" t="s">
        <v>166</v>
      </c>
      <c r="AE366" s="54" t="s">
        <v>166</v>
      </c>
      <c r="AF366" s="55" t="s">
        <v>166</v>
      </c>
      <c r="AG366" s="51">
        <v>2.0</v>
      </c>
      <c r="AH366" s="48">
        <v>1.0</v>
      </c>
      <c r="AI366" s="48" t="s">
        <v>166</v>
      </c>
      <c r="AJ366" s="50" t="s">
        <v>174</v>
      </c>
      <c r="AK366" s="121" t="s">
        <v>166</v>
      </c>
      <c r="AL366" s="122">
        <v>149.0</v>
      </c>
      <c r="AM366" s="123"/>
      <c r="AN366" s="123"/>
      <c r="AO366" s="124"/>
      <c r="AP366" s="124"/>
      <c r="AQ366" s="66"/>
    </row>
    <row r="367">
      <c r="A367" s="82" t="str">
        <f>HYPERLINK("https://www.nouvolo.com/","Nouvolo")</f>
        <v>Nouvolo</v>
      </c>
      <c r="B367" s="67" t="s">
        <v>714</v>
      </c>
      <c r="C367" s="63" t="s">
        <v>248</v>
      </c>
      <c r="D367" s="48">
        <v>315.0</v>
      </c>
      <c r="E367" s="48">
        <v>142.0</v>
      </c>
      <c r="F367" s="48">
        <v>195.0</v>
      </c>
      <c r="G367" s="49">
        <f t="shared" si="1"/>
        <v>8.72235</v>
      </c>
      <c r="H367" s="49">
        <f t="shared" si="2"/>
        <v>447.3</v>
      </c>
      <c r="I367" s="48" t="s">
        <v>170</v>
      </c>
      <c r="J367" s="48" t="s">
        <v>235</v>
      </c>
      <c r="K367" s="50" t="s">
        <v>715</v>
      </c>
      <c r="L367" s="51">
        <v>70.0</v>
      </c>
      <c r="M367" s="50" t="s">
        <v>166</v>
      </c>
      <c r="N367" s="51" t="s">
        <v>174</v>
      </c>
      <c r="O367" s="48">
        <v>300.0</v>
      </c>
      <c r="P367" s="48">
        <v>140.0</v>
      </c>
      <c r="Q367" s="48">
        <v>42.0</v>
      </c>
      <c r="R367" s="48">
        <v>2.0</v>
      </c>
      <c r="S367" s="50" t="s">
        <v>166</v>
      </c>
      <c r="T367" s="52" t="s">
        <v>167</v>
      </c>
      <c r="U367" s="52" t="s">
        <v>324</v>
      </c>
      <c r="V367" s="51" t="s">
        <v>412</v>
      </c>
      <c r="W367" s="48" t="s">
        <v>166</v>
      </c>
      <c r="X367" s="50" t="s">
        <v>166</v>
      </c>
      <c r="Y367" s="51" t="s">
        <v>166</v>
      </c>
      <c r="Z367" s="48" t="s">
        <v>166</v>
      </c>
      <c r="AA367" s="48" t="s">
        <v>166</v>
      </c>
      <c r="AB367" s="48" t="s">
        <v>166</v>
      </c>
      <c r="AC367" s="48">
        <v>1.0</v>
      </c>
      <c r="AD367" s="48" t="s">
        <v>166</v>
      </c>
      <c r="AE367" s="54" t="s">
        <v>166</v>
      </c>
      <c r="AF367" s="55" t="s">
        <v>166</v>
      </c>
      <c r="AG367" s="51" t="s">
        <v>166</v>
      </c>
      <c r="AH367" s="48" t="s">
        <v>166</v>
      </c>
      <c r="AI367" s="48" t="s">
        <v>166</v>
      </c>
      <c r="AJ367" s="50" t="s">
        <v>166</v>
      </c>
      <c r="AK367" s="56" t="s">
        <v>166</v>
      </c>
      <c r="AL367" s="57">
        <v>169.0</v>
      </c>
      <c r="AM367" s="64" t="str">
        <f>HYPERLINK("https://smallformfactor.net/forum/threads/nouvolo-steck-sff-8-7-11-2l-itx-pc-case-supports-liquid-cooling.7099/","Link")</f>
        <v>Link</v>
      </c>
      <c r="AN367" s="70"/>
      <c r="AO367" s="71" t="s">
        <v>181</v>
      </c>
      <c r="AP367" s="65">
        <v>44887.95584704861</v>
      </c>
      <c r="AQ367" s="66"/>
    </row>
    <row r="368">
      <c r="A368" s="99" t="s">
        <v>716</v>
      </c>
      <c r="B368" s="73" t="s">
        <v>717</v>
      </c>
      <c r="C368" s="63" t="s">
        <v>262</v>
      </c>
      <c r="D368" s="48">
        <v>280.0</v>
      </c>
      <c r="E368" s="48">
        <v>152.0</v>
      </c>
      <c r="F368" s="48">
        <v>205.0</v>
      </c>
      <c r="G368" s="49">
        <f t="shared" si="1"/>
        <v>8.7248</v>
      </c>
      <c r="H368" s="49">
        <f t="shared" si="2"/>
        <v>425.6</v>
      </c>
      <c r="I368" s="48" t="s">
        <v>170</v>
      </c>
      <c r="J368" s="48" t="s">
        <v>274</v>
      </c>
      <c r="K368" s="50" t="s">
        <v>718</v>
      </c>
      <c r="L368" s="51">
        <v>130.0</v>
      </c>
      <c r="M368" s="50" t="s">
        <v>166</v>
      </c>
      <c r="N368" s="51" t="s">
        <v>166</v>
      </c>
      <c r="O368" s="48">
        <v>273.0</v>
      </c>
      <c r="P368" s="48">
        <v>118.0</v>
      </c>
      <c r="Q368" s="48">
        <v>43.0</v>
      </c>
      <c r="R368" s="48">
        <v>2.0</v>
      </c>
      <c r="S368" s="50" t="s">
        <v>166</v>
      </c>
      <c r="T368" s="52" t="s">
        <v>167</v>
      </c>
      <c r="U368" s="52" t="s">
        <v>346</v>
      </c>
      <c r="V368" s="51">
        <v>3.0</v>
      </c>
      <c r="W368" s="48" t="s">
        <v>166</v>
      </c>
      <c r="X368" s="50" t="s">
        <v>166</v>
      </c>
      <c r="Y368" s="51" t="s">
        <v>166</v>
      </c>
      <c r="Z368" s="48" t="s">
        <v>166</v>
      </c>
      <c r="AA368" s="48" t="s">
        <v>193</v>
      </c>
      <c r="AB368" s="48" t="s">
        <v>194</v>
      </c>
      <c r="AC368" s="48" t="s">
        <v>166</v>
      </c>
      <c r="AD368" s="48" t="s">
        <v>166</v>
      </c>
      <c r="AE368" s="54" t="s">
        <v>166</v>
      </c>
      <c r="AF368" s="55" t="s">
        <v>166</v>
      </c>
      <c r="AG368" s="51" t="s">
        <v>166</v>
      </c>
      <c r="AH368" s="48">
        <v>1.0</v>
      </c>
      <c r="AI368" s="48" t="s">
        <v>166</v>
      </c>
      <c r="AJ368" s="50" t="s">
        <v>166</v>
      </c>
      <c r="AK368" s="56">
        <v>880.0</v>
      </c>
      <c r="AL368" s="57">
        <f>AK368*Sheets!$E$3</f>
        <v>121.30404</v>
      </c>
      <c r="AM368" s="68"/>
      <c r="AN368" s="70"/>
      <c r="AO368" s="90" t="s">
        <v>181</v>
      </c>
      <c r="AP368" s="71"/>
      <c r="AQ368" s="66"/>
    </row>
    <row r="369">
      <c r="A369" s="46" t="str">
        <f t="shared" ref="A369:A370" si="11">HYPERLINK("https://shop224033016.world.taobao.com/","魔神科技电脑机箱城")</f>
        <v>魔神科技电脑机箱城</v>
      </c>
      <c r="B369" s="73" t="s">
        <v>719</v>
      </c>
      <c r="C369" s="63" t="s">
        <v>248</v>
      </c>
      <c r="D369" s="48">
        <v>206.0</v>
      </c>
      <c r="E369" s="48">
        <v>155.0</v>
      </c>
      <c r="F369" s="48">
        <v>275.0</v>
      </c>
      <c r="G369" s="49">
        <f t="shared" si="1"/>
        <v>8.78075</v>
      </c>
      <c r="H369" s="49">
        <f t="shared" si="2"/>
        <v>319.3</v>
      </c>
      <c r="I369" s="48">
        <v>1.7</v>
      </c>
      <c r="J369" s="48" t="s">
        <v>164</v>
      </c>
      <c r="K369" s="50" t="s">
        <v>164</v>
      </c>
      <c r="L369" s="51">
        <v>70.0</v>
      </c>
      <c r="M369" s="50" t="s">
        <v>166</v>
      </c>
      <c r="N369" s="51" t="s">
        <v>174</v>
      </c>
      <c r="O369" s="48">
        <v>200.0</v>
      </c>
      <c r="P369" s="48">
        <v>135.0</v>
      </c>
      <c r="Q369" s="48">
        <v>40.0</v>
      </c>
      <c r="R369" s="48">
        <v>2.0</v>
      </c>
      <c r="S369" s="50" t="s">
        <v>166</v>
      </c>
      <c r="T369" s="52" t="s">
        <v>167</v>
      </c>
      <c r="U369" s="52" t="s">
        <v>346</v>
      </c>
      <c r="V369" s="51">
        <v>3.0</v>
      </c>
      <c r="W369" s="48" t="s">
        <v>166</v>
      </c>
      <c r="X369" s="50" t="s">
        <v>166</v>
      </c>
      <c r="Y369" s="51" t="s">
        <v>166</v>
      </c>
      <c r="Z369" s="48" t="s">
        <v>166</v>
      </c>
      <c r="AA369" s="48" t="s">
        <v>193</v>
      </c>
      <c r="AB369" s="48" t="s">
        <v>193</v>
      </c>
      <c r="AC369" s="48" t="s">
        <v>166</v>
      </c>
      <c r="AD369" s="48" t="s">
        <v>166</v>
      </c>
      <c r="AE369" s="54" t="s">
        <v>166</v>
      </c>
      <c r="AF369" s="55" t="s">
        <v>166</v>
      </c>
      <c r="AG369" s="51" t="s">
        <v>166</v>
      </c>
      <c r="AH369" s="48" t="s">
        <v>166</v>
      </c>
      <c r="AI369" s="48" t="s">
        <v>166</v>
      </c>
      <c r="AJ369" s="50" t="s">
        <v>166</v>
      </c>
      <c r="AK369" s="56">
        <v>320.0</v>
      </c>
      <c r="AL369" s="57">
        <f>AK369*Sheets!$E$3</f>
        <v>44.11056</v>
      </c>
      <c r="AM369" s="68"/>
      <c r="AN369" s="70"/>
      <c r="AO369" s="71" t="s">
        <v>181</v>
      </c>
      <c r="AP369" s="71"/>
      <c r="AQ369" s="66"/>
    </row>
    <row r="370">
      <c r="A370" s="46" t="str">
        <f t="shared" si="11"/>
        <v>魔神科技电脑机箱城</v>
      </c>
      <c r="B370" s="46" t="str">
        <f>HYPERLINK("https://item.taobao.com/item.htm?id=606304906165","飞优浦 Ghost S1 (standard)")</f>
        <v>飞优浦 Ghost S1 (standard)</v>
      </c>
      <c r="C370" s="63" t="s">
        <v>248</v>
      </c>
      <c r="D370" s="48">
        <v>320.0</v>
      </c>
      <c r="E370" s="48">
        <v>145.0</v>
      </c>
      <c r="F370" s="48">
        <v>190.0</v>
      </c>
      <c r="G370" s="49">
        <f t="shared" si="1"/>
        <v>8.816</v>
      </c>
      <c r="H370" s="49">
        <f t="shared" si="2"/>
        <v>464</v>
      </c>
      <c r="I370" s="48">
        <v>2.5</v>
      </c>
      <c r="J370" s="48" t="s">
        <v>164</v>
      </c>
      <c r="K370" s="50" t="s">
        <v>164</v>
      </c>
      <c r="L370" s="51">
        <v>67.0</v>
      </c>
      <c r="M370" s="50" t="s">
        <v>166</v>
      </c>
      <c r="N370" s="51" t="s">
        <v>174</v>
      </c>
      <c r="O370" s="48">
        <v>310.0</v>
      </c>
      <c r="P370" s="48">
        <v>135.0</v>
      </c>
      <c r="Q370" s="48">
        <v>49.5</v>
      </c>
      <c r="R370" s="48">
        <v>2.0</v>
      </c>
      <c r="S370" s="50" t="s">
        <v>166</v>
      </c>
      <c r="T370" s="52" t="s">
        <v>167</v>
      </c>
      <c r="U370" s="52" t="s">
        <v>346</v>
      </c>
      <c r="V370" s="51">
        <v>3.0</v>
      </c>
      <c r="W370" s="48" t="s">
        <v>166</v>
      </c>
      <c r="X370" s="50" t="s">
        <v>166</v>
      </c>
      <c r="Y370" s="51" t="s">
        <v>166</v>
      </c>
      <c r="Z370" s="48" t="s">
        <v>166</v>
      </c>
      <c r="AA370" s="48" t="s">
        <v>166</v>
      </c>
      <c r="AB370" s="48" t="s">
        <v>166</v>
      </c>
      <c r="AC370" s="48">
        <v>1.0</v>
      </c>
      <c r="AD370" s="48" t="s">
        <v>166</v>
      </c>
      <c r="AE370" s="54" t="s">
        <v>166</v>
      </c>
      <c r="AF370" s="55" t="s">
        <v>166</v>
      </c>
      <c r="AG370" s="51" t="s">
        <v>166</v>
      </c>
      <c r="AH370" s="48" t="s">
        <v>166</v>
      </c>
      <c r="AI370" s="48" t="s">
        <v>166</v>
      </c>
      <c r="AJ370" s="50" t="s">
        <v>166</v>
      </c>
      <c r="AK370" s="56">
        <v>380.0</v>
      </c>
      <c r="AL370" s="57">
        <f>AK370*Sheets!$E$3</f>
        <v>52.38129</v>
      </c>
      <c r="AM370" s="68"/>
      <c r="AN370" s="70"/>
      <c r="AO370" s="71"/>
      <c r="AP370" s="72">
        <v>44442.88234435185</v>
      </c>
      <c r="AQ370" s="66"/>
    </row>
    <row r="371">
      <c r="A371" s="69" t="s">
        <v>484</v>
      </c>
      <c r="B371" s="73" t="s">
        <v>720</v>
      </c>
      <c r="C371" s="63" t="s">
        <v>248</v>
      </c>
      <c r="D371" s="48">
        <v>350.0</v>
      </c>
      <c r="E371" s="48">
        <v>120.0</v>
      </c>
      <c r="F371" s="48">
        <v>210.0</v>
      </c>
      <c r="G371" s="49">
        <f t="shared" si="1"/>
        <v>8.82</v>
      </c>
      <c r="H371" s="49">
        <f t="shared" si="2"/>
        <v>420</v>
      </c>
      <c r="I371" s="48">
        <v>2.0</v>
      </c>
      <c r="J371" s="48" t="s">
        <v>245</v>
      </c>
      <c r="K371" s="50" t="s">
        <v>164</v>
      </c>
      <c r="L371" s="51">
        <v>55.0</v>
      </c>
      <c r="M371" s="50" t="s">
        <v>166</v>
      </c>
      <c r="N371" s="51" t="s">
        <v>174</v>
      </c>
      <c r="O371" s="48">
        <v>340.0</v>
      </c>
      <c r="P371" s="48" t="s">
        <v>170</v>
      </c>
      <c r="Q371" s="48">
        <v>40.0</v>
      </c>
      <c r="R371" s="48">
        <v>2.0</v>
      </c>
      <c r="S371" s="50" t="s">
        <v>166</v>
      </c>
      <c r="T371" s="52" t="s">
        <v>167</v>
      </c>
      <c r="U371" s="52" t="s">
        <v>324</v>
      </c>
      <c r="V371" s="51" t="s">
        <v>166</v>
      </c>
      <c r="W371" s="48" t="s">
        <v>166</v>
      </c>
      <c r="X371" s="50" t="s">
        <v>166</v>
      </c>
      <c r="Y371" s="51" t="s">
        <v>166</v>
      </c>
      <c r="Z371" s="48" t="s">
        <v>166</v>
      </c>
      <c r="AA371" s="48" t="s">
        <v>166</v>
      </c>
      <c r="AB371" s="48" t="s">
        <v>166</v>
      </c>
      <c r="AC371" s="48">
        <v>2.0</v>
      </c>
      <c r="AD371" s="48" t="s">
        <v>166</v>
      </c>
      <c r="AE371" s="54" t="s">
        <v>166</v>
      </c>
      <c r="AF371" s="55" t="s">
        <v>166</v>
      </c>
      <c r="AG371" s="51" t="s">
        <v>166</v>
      </c>
      <c r="AH371" s="48" t="s">
        <v>166</v>
      </c>
      <c r="AI371" s="48" t="s">
        <v>166</v>
      </c>
      <c r="AJ371" s="50" t="s">
        <v>166</v>
      </c>
      <c r="AK371" s="56">
        <v>148.0</v>
      </c>
      <c r="AL371" s="57">
        <f>AK371*Sheets!$E$3</f>
        <v>20.401134</v>
      </c>
      <c r="AM371" s="68"/>
      <c r="AN371" s="70"/>
      <c r="AO371" s="71" t="s">
        <v>181</v>
      </c>
      <c r="AP371" s="72">
        <v>45345.895775173616</v>
      </c>
      <c r="AQ371" s="66"/>
    </row>
    <row r="372">
      <c r="A372" s="69" t="str">
        <f>HYPERLINK("https://shop490351919.world.taobao.com/","Small Case")</f>
        <v>Small Case</v>
      </c>
      <c r="B372" s="73" t="s">
        <v>721</v>
      </c>
      <c r="C372" s="63" t="s">
        <v>262</v>
      </c>
      <c r="D372" s="48">
        <v>280.0</v>
      </c>
      <c r="E372" s="48">
        <v>149.0</v>
      </c>
      <c r="F372" s="48">
        <v>212.0</v>
      </c>
      <c r="G372" s="49">
        <f t="shared" si="1"/>
        <v>8.84464</v>
      </c>
      <c r="H372" s="49">
        <f t="shared" si="2"/>
        <v>417.2</v>
      </c>
      <c r="I372" s="48">
        <v>3.3</v>
      </c>
      <c r="J372" s="48" t="s">
        <v>411</v>
      </c>
      <c r="K372" s="50" t="s">
        <v>722</v>
      </c>
      <c r="L372" s="51">
        <v>125.0</v>
      </c>
      <c r="M372" s="50" t="s">
        <v>166</v>
      </c>
      <c r="N372" s="51" t="s">
        <v>166</v>
      </c>
      <c r="O372" s="48">
        <v>268.0</v>
      </c>
      <c r="P372" s="48">
        <v>112.0</v>
      </c>
      <c r="Q372" s="48">
        <v>40.0</v>
      </c>
      <c r="R372" s="48">
        <v>2.0</v>
      </c>
      <c r="S372" s="50" t="s">
        <v>166</v>
      </c>
      <c r="T372" s="52" t="s">
        <v>167</v>
      </c>
      <c r="U372" s="52" t="s">
        <v>346</v>
      </c>
      <c r="V372" s="51" t="s">
        <v>416</v>
      </c>
      <c r="W372" s="48" t="s">
        <v>194</v>
      </c>
      <c r="X372" s="50" t="s">
        <v>166</v>
      </c>
      <c r="Y372" s="51" t="s">
        <v>166</v>
      </c>
      <c r="Z372" s="48" t="s">
        <v>193</v>
      </c>
      <c r="AA372" s="48" t="s">
        <v>194</v>
      </c>
      <c r="AB372" s="48" t="s">
        <v>166</v>
      </c>
      <c r="AC372" s="48" t="s">
        <v>166</v>
      </c>
      <c r="AD372" s="48" t="s">
        <v>166</v>
      </c>
      <c r="AE372" s="54" t="s">
        <v>166</v>
      </c>
      <c r="AF372" s="55" t="s">
        <v>166</v>
      </c>
      <c r="AG372" s="51" t="s">
        <v>166</v>
      </c>
      <c r="AH372" s="48">
        <v>1.0</v>
      </c>
      <c r="AI372" s="48" t="s">
        <v>166</v>
      </c>
      <c r="AJ372" s="50" t="s">
        <v>166</v>
      </c>
      <c r="AK372" s="56">
        <v>988.0</v>
      </c>
      <c r="AL372" s="57">
        <f>AK372*Sheets!$E$3</f>
        <v>136.191354</v>
      </c>
      <c r="AM372" s="68"/>
      <c r="AN372" s="70"/>
      <c r="AO372" s="71" t="s">
        <v>181</v>
      </c>
      <c r="AP372" s="71"/>
      <c r="AQ372" s="66"/>
    </row>
    <row r="373">
      <c r="A373" s="69" t="str">
        <f>HYPERLINK("https://shop167805560.world.taobao.com/","机械核芯")</f>
        <v>机械核芯</v>
      </c>
      <c r="B373" s="73" t="s">
        <v>723</v>
      </c>
      <c r="C373" s="63" t="s">
        <v>248</v>
      </c>
      <c r="D373" s="48">
        <v>316.0</v>
      </c>
      <c r="E373" s="48">
        <v>140.0</v>
      </c>
      <c r="F373" s="48">
        <v>200.0</v>
      </c>
      <c r="G373" s="49">
        <f t="shared" si="1"/>
        <v>8.848</v>
      </c>
      <c r="H373" s="49">
        <f t="shared" si="2"/>
        <v>442.4</v>
      </c>
      <c r="I373" s="48" t="s">
        <v>170</v>
      </c>
      <c r="J373" s="48" t="s">
        <v>164</v>
      </c>
      <c r="K373" s="50" t="s">
        <v>243</v>
      </c>
      <c r="L373" s="51">
        <v>60.0</v>
      </c>
      <c r="M373" s="50" t="s">
        <v>166</v>
      </c>
      <c r="N373" s="51" t="s">
        <v>174</v>
      </c>
      <c r="O373" s="48">
        <v>308.0</v>
      </c>
      <c r="P373" s="48" t="s">
        <v>170</v>
      </c>
      <c r="Q373" s="48">
        <v>54.0</v>
      </c>
      <c r="R373" s="48">
        <v>2.0</v>
      </c>
      <c r="S373" s="50" t="s">
        <v>166</v>
      </c>
      <c r="T373" s="52" t="s">
        <v>167</v>
      </c>
      <c r="U373" s="52" t="s">
        <v>324</v>
      </c>
      <c r="V373" s="51">
        <v>4.0</v>
      </c>
      <c r="W373" s="48" t="s">
        <v>166</v>
      </c>
      <c r="X373" s="50" t="s">
        <v>166</v>
      </c>
      <c r="Y373" s="51">
        <v>3.0</v>
      </c>
      <c r="Z373" s="48" t="s">
        <v>166</v>
      </c>
      <c r="AA373" s="48" t="s">
        <v>166</v>
      </c>
      <c r="AB373" s="48" t="s">
        <v>166</v>
      </c>
      <c r="AC373" s="48">
        <v>1.0</v>
      </c>
      <c r="AD373" s="48" t="s">
        <v>166</v>
      </c>
      <c r="AE373" s="54" t="s">
        <v>166</v>
      </c>
      <c r="AF373" s="55" t="s">
        <v>166</v>
      </c>
      <c r="AG373" s="51" t="s">
        <v>166</v>
      </c>
      <c r="AH373" s="48" t="s">
        <v>166</v>
      </c>
      <c r="AI373" s="48" t="s">
        <v>166</v>
      </c>
      <c r="AJ373" s="50" t="s">
        <v>166</v>
      </c>
      <c r="AK373" s="56">
        <v>668.0</v>
      </c>
      <c r="AL373" s="57">
        <f>AK373*Sheets!$E$3</f>
        <v>92.080794</v>
      </c>
      <c r="AM373" s="68"/>
      <c r="AN373" s="70"/>
      <c r="AO373" s="71" t="s">
        <v>181</v>
      </c>
      <c r="AP373" s="71"/>
      <c r="AQ373" s="66"/>
    </row>
    <row r="374">
      <c r="A374" s="69" t="s">
        <v>724</v>
      </c>
      <c r="B374" s="73" t="s">
        <v>725</v>
      </c>
      <c r="C374" s="63" t="s">
        <v>262</v>
      </c>
      <c r="D374" s="48">
        <v>260.0</v>
      </c>
      <c r="E374" s="48">
        <v>148.0</v>
      </c>
      <c r="F374" s="48">
        <v>230.0</v>
      </c>
      <c r="G374" s="49">
        <f t="shared" si="1"/>
        <v>8.8504</v>
      </c>
      <c r="H374" s="49">
        <f t="shared" si="2"/>
        <v>384.8</v>
      </c>
      <c r="I374" s="48" t="s">
        <v>170</v>
      </c>
      <c r="J374" s="48" t="s">
        <v>245</v>
      </c>
      <c r="K374" s="50" t="s">
        <v>726</v>
      </c>
      <c r="L374" s="51">
        <v>126.0</v>
      </c>
      <c r="M374" s="50" t="s">
        <v>166</v>
      </c>
      <c r="N374" s="51" t="s">
        <v>166</v>
      </c>
      <c r="O374" s="48">
        <v>250.0</v>
      </c>
      <c r="P374" s="48">
        <v>131.0</v>
      </c>
      <c r="Q374" s="48">
        <v>50.0</v>
      </c>
      <c r="R374" s="48">
        <v>2.0</v>
      </c>
      <c r="S374" s="50" t="s">
        <v>166</v>
      </c>
      <c r="T374" s="52" t="s">
        <v>167</v>
      </c>
      <c r="U374" s="52" t="s">
        <v>324</v>
      </c>
      <c r="V374" s="51">
        <v>1.0</v>
      </c>
      <c r="W374" s="48" t="s">
        <v>166</v>
      </c>
      <c r="X374" s="50" t="s">
        <v>166</v>
      </c>
      <c r="Y374" s="51" t="s">
        <v>166</v>
      </c>
      <c r="Z374" s="48" t="s">
        <v>166</v>
      </c>
      <c r="AA374" s="48">
        <v>3.0</v>
      </c>
      <c r="AB374" s="48" t="s">
        <v>166</v>
      </c>
      <c r="AC374" s="48" t="s">
        <v>166</v>
      </c>
      <c r="AD374" s="48" t="s">
        <v>166</v>
      </c>
      <c r="AE374" s="54" t="s">
        <v>166</v>
      </c>
      <c r="AF374" s="55" t="s">
        <v>166</v>
      </c>
      <c r="AG374" s="51" t="s">
        <v>166</v>
      </c>
      <c r="AH374" s="48">
        <v>1.0</v>
      </c>
      <c r="AI374" s="48" t="s">
        <v>166</v>
      </c>
      <c r="AJ374" s="50" t="s">
        <v>166</v>
      </c>
      <c r="AK374" s="56">
        <v>179.0</v>
      </c>
      <c r="AL374" s="57">
        <f>AK374*Sheets!$E$3</f>
        <v>24.6743445</v>
      </c>
      <c r="AM374" s="68"/>
      <c r="AN374" s="70"/>
      <c r="AO374" s="60" t="s">
        <v>181</v>
      </c>
      <c r="AP374" s="72">
        <v>44933.5712491088</v>
      </c>
      <c r="AQ374" s="66"/>
    </row>
    <row r="375">
      <c r="A375" s="69" t="s">
        <v>381</v>
      </c>
      <c r="B375" s="46" t="str">
        <f>HYPERLINK("https://item.taobao.com/item.htm?id=568285727015","CP-1")</f>
        <v>CP-1</v>
      </c>
      <c r="C375" s="63" t="s">
        <v>248</v>
      </c>
      <c r="D375" s="48">
        <v>321.0</v>
      </c>
      <c r="E375" s="48">
        <v>138.0</v>
      </c>
      <c r="F375" s="48">
        <v>201.0</v>
      </c>
      <c r="G375" s="49">
        <f t="shared" si="1"/>
        <v>8.903898</v>
      </c>
      <c r="H375" s="49">
        <f t="shared" si="2"/>
        <v>442.98</v>
      </c>
      <c r="I375" s="48">
        <v>2.4</v>
      </c>
      <c r="J375" s="48" t="s">
        <v>164</v>
      </c>
      <c r="K375" s="50" t="s">
        <v>727</v>
      </c>
      <c r="L375" s="51">
        <v>47.0</v>
      </c>
      <c r="M375" s="50" t="s">
        <v>166</v>
      </c>
      <c r="N375" s="51" t="s">
        <v>174</v>
      </c>
      <c r="O375" s="48">
        <v>316.0</v>
      </c>
      <c r="P375" s="48">
        <v>155.0</v>
      </c>
      <c r="Q375" s="48">
        <v>55.0</v>
      </c>
      <c r="R375" s="48">
        <v>2.0</v>
      </c>
      <c r="S375" s="50" t="s">
        <v>166</v>
      </c>
      <c r="T375" s="52" t="s">
        <v>167</v>
      </c>
      <c r="U375" s="52" t="s">
        <v>324</v>
      </c>
      <c r="V375" s="51">
        <v>1.0</v>
      </c>
      <c r="W375" s="48" t="s">
        <v>166</v>
      </c>
      <c r="X375" s="50" t="s">
        <v>166</v>
      </c>
      <c r="Y375" s="51" t="s">
        <v>166</v>
      </c>
      <c r="Z375" s="48" t="s">
        <v>166</v>
      </c>
      <c r="AA375" s="48" t="s">
        <v>166</v>
      </c>
      <c r="AB375" s="48">
        <v>1.0</v>
      </c>
      <c r="AC375" s="48">
        <v>1.0</v>
      </c>
      <c r="AD375" s="48" t="s">
        <v>166</v>
      </c>
      <c r="AE375" s="54" t="s">
        <v>166</v>
      </c>
      <c r="AF375" s="55" t="s">
        <v>166</v>
      </c>
      <c r="AG375" s="51" t="s">
        <v>166</v>
      </c>
      <c r="AH375" s="48" t="s">
        <v>166</v>
      </c>
      <c r="AI375" s="48" t="s">
        <v>166</v>
      </c>
      <c r="AJ375" s="50" t="s">
        <v>166</v>
      </c>
      <c r="AK375" s="56">
        <v>277.0</v>
      </c>
      <c r="AL375" s="57">
        <f>AK375*Sheets!$E$3</f>
        <v>38.1832035</v>
      </c>
      <c r="AM375" s="68"/>
      <c r="AN375" s="70"/>
      <c r="AO375" s="60" t="s">
        <v>181</v>
      </c>
      <c r="AP375" s="72">
        <v>44681.59640835648</v>
      </c>
      <c r="AQ375" s="66"/>
    </row>
    <row r="376">
      <c r="A376" s="69" t="str">
        <f>HYPERLINK("https://9781365.world.taobao.com/","MPCG")</f>
        <v>MPCG</v>
      </c>
      <c r="B376" s="73" t="s">
        <v>728</v>
      </c>
      <c r="C376" s="63" t="s">
        <v>248</v>
      </c>
      <c r="D376" s="48">
        <v>320.0</v>
      </c>
      <c r="E376" s="48">
        <v>140.0</v>
      </c>
      <c r="F376" s="48">
        <v>200.0</v>
      </c>
      <c r="G376" s="98">
        <f t="shared" si="1"/>
        <v>8.96</v>
      </c>
      <c r="H376" s="49">
        <f t="shared" si="2"/>
        <v>448</v>
      </c>
      <c r="I376" s="48" t="s">
        <v>170</v>
      </c>
      <c r="J376" s="48" t="s">
        <v>164</v>
      </c>
      <c r="K376" s="50" t="s">
        <v>191</v>
      </c>
      <c r="L376" s="51">
        <v>60.0</v>
      </c>
      <c r="M376" s="50" t="s">
        <v>619</v>
      </c>
      <c r="N376" s="51" t="s">
        <v>174</v>
      </c>
      <c r="O376" s="48">
        <v>305.0</v>
      </c>
      <c r="P376" s="48">
        <v>145.0</v>
      </c>
      <c r="Q376" s="48">
        <v>50.0</v>
      </c>
      <c r="R376" s="48">
        <v>2.0</v>
      </c>
      <c r="S376" s="50" t="s">
        <v>166</v>
      </c>
      <c r="T376" s="52" t="s">
        <v>167</v>
      </c>
      <c r="U376" s="52" t="s">
        <v>324</v>
      </c>
      <c r="V376" s="51">
        <v>2.0</v>
      </c>
      <c r="W376" s="48" t="s">
        <v>166</v>
      </c>
      <c r="X376" s="50" t="s">
        <v>166</v>
      </c>
      <c r="Y376" s="51" t="s">
        <v>166</v>
      </c>
      <c r="Z376" s="48" t="s">
        <v>166</v>
      </c>
      <c r="AA376" s="48" t="s">
        <v>166</v>
      </c>
      <c r="AB376" s="48" t="s">
        <v>166</v>
      </c>
      <c r="AC376" s="48" t="s">
        <v>166</v>
      </c>
      <c r="AD376" s="48" t="s">
        <v>166</v>
      </c>
      <c r="AE376" s="54" t="s">
        <v>166</v>
      </c>
      <c r="AF376" s="55" t="s">
        <v>166</v>
      </c>
      <c r="AG376" s="51" t="s">
        <v>166</v>
      </c>
      <c r="AH376" s="48" t="s">
        <v>166</v>
      </c>
      <c r="AI376" s="48" t="s">
        <v>166</v>
      </c>
      <c r="AJ376" s="50" t="s">
        <v>166</v>
      </c>
      <c r="AK376" s="56">
        <v>1099.0</v>
      </c>
      <c r="AL376" s="57">
        <f>AK376*Sheets!$E$3</f>
        <v>151.4922045</v>
      </c>
      <c r="AM376" s="68"/>
      <c r="AN376" s="70"/>
      <c r="AO376" s="71" t="s">
        <v>181</v>
      </c>
      <c r="AP376" s="71"/>
      <c r="AQ376" s="66"/>
    </row>
    <row r="377">
      <c r="A377" s="69" t="s">
        <v>222</v>
      </c>
      <c r="B377" s="46" t="s">
        <v>729</v>
      </c>
      <c r="C377" s="63" t="s">
        <v>262</v>
      </c>
      <c r="D377" s="48">
        <v>270.0</v>
      </c>
      <c r="E377" s="48">
        <v>155.0</v>
      </c>
      <c r="F377" s="48">
        <v>215.0</v>
      </c>
      <c r="G377" s="49">
        <f t="shared" si="1"/>
        <v>8.99775</v>
      </c>
      <c r="H377" s="49">
        <f t="shared" si="2"/>
        <v>418.5</v>
      </c>
      <c r="I377" s="48">
        <v>1.25</v>
      </c>
      <c r="J377" s="48" t="s">
        <v>171</v>
      </c>
      <c r="K377" s="50" t="s">
        <v>171</v>
      </c>
      <c r="L377" s="51">
        <v>135.0</v>
      </c>
      <c r="M377" s="50" t="s">
        <v>166</v>
      </c>
      <c r="N377" s="51" t="s">
        <v>166</v>
      </c>
      <c r="O377" s="48">
        <v>267.0</v>
      </c>
      <c r="P377" s="48">
        <v>142.0</v>
      </c>
      <c r="Q377" s="48">
        <v>50.0</v>
      </c>
      <c r="R377" s="48">
        <v>2.0</v>
      </c>
      <c r="S377" s="50" t="s">
        <v>166</v>
      </c>
      <c r="T377" s="52" t="s">
        <v>167</v>
      </c>
      <c r="U377" s="52" t="s">
        <v>324</v>
      </c>
      <c r="V377" s="51">
        <v>2.0</v>
      </c>
      <c r="W377" s="48" t="s">
        <v>166</v>
      </c>
      <c r="X377" s="50" t="s">
        <v>166</v>
      </c>
      <c r="Y377" s="51" t="s">
        <v>166</v>
      </c>
      <c r="Z377" s="48" t="s">
        <v>166</v>
      </c>
      <c r="AA377" s="48" t="s">
        <v>166</v>
      </c>
      <c r="AB377" s="48">
        <v>1.0</v>
      </c>
      <c r="AC377" s="48" t="s">
        <v>166</v>
      </c>
      <c r="AD377" s="48" t="s">
        <v>166</v>
      </c>
      <c r="AE377" s="54" t="s">
        <v>166</v>
      </c>
      <c r="AF377" s="55" t="s">
        <v>166</v>
      </c>
      <c r="AG377" s="51" t="s">
        <v>166</v>
      </c>
      <c r="AH377" s="48">
        <v>2.0</v>
      </c>
      <c r="AI377" s="48" t="s">
        <v>166</v>
      </c>
      <c r="AJ377" s="50" t="s">
        <v>174</v>
      </c>
      <c r="AK377" s="56">
        <v>118.0</v>
      </c>
      <c r="AL377" s="57">
        <f>AK377*Sheets!$E$3</f>
        <v>16.265769</v>
      </c>
      <c r="AM377" s="68"/>
      <c r="AN377" s="70"/>
      <c r="AO377" s="71"/>
      <c r="AP377" s="72">
        <v>44735.73589283565</v>
      </c>
      <c r="AQ377" s="66"/>
    </row>
    <row r="378">
      <c r="A378" s="69" t="str">
        <f>HYPERLINK("https://metalfish.world.taobao.com/","Metalfish")</f>
        <v>Metalfish</v>
      </c>
      <c r="B378" s="46" t="str">
        <f>HYPERLINK("https://item.taobao.com/item.htm?id=534049004428","Metal Solid")</f>
        <v>Metal Solid</v>
      </c>
      <c r="C378" s="63" t="s">
        <v>262</v>
      </c>
      <c r="D378" s="48">
        <v>300.0</v>
      </c>
      <c r="E378" s="48">
        <v>100.0</v>
      </c>
      <c r="F378" s="48">
        <v>300.0</v>
      </c>
      <c r="G378" s="49">
        <f t="shared" si="1"/>
        <v>9</v>
      </c>
      <c r="H378" s="49">
        <f t="shared" si="2"/>
        <v>300</v>
      </c>
      <c r="I378" s="48">
        <v>3.0</v>
      </c>
      <c r="J378" s="48" t="s">
        <v>164</v>
      </c>
      <c r="K378" s="50" t="s">
        <v>213</v>
      </c>
      <c r="L378" s="51">
        <v>60.0</v>
      </c>
      <c r="M378" s="50" t="s">
        <v>166</v>
      </c>
      <c r="N378" s="51" t="s">
        <v>166</v>
      </c>
      <c r="O378" s="48">
        <v>245.0</v>
      </c>
      <c r="P378" s="48">
        <v>70.0</v>
      </c>
      <c r="Q378" s="48">
        <v>60.0</v>
      </c>
      <c r="R378" s="48" t="s">
        <v>166</v>
      </c>
      <c r="S378" s="50">
        <v>3.0</v>
      </c>
      <c r="T378" s="52" t="s">
        <v>730</v>
      </c>
      <c r="U378" s="52" t="s">
        <v>186</v>
      </c>
      <c r="V378" s="51">
        <v>2.0</v>
      </c>
      <c r="W378" s="48" t="s">
        <v>166</v>
      </c>
      <c r="X378" s="50" t="s">
        <v>166</v>
      </c>
      <c r="Y378" s="51" t="s">
        <v>166</v>
      </c>
      <c r="Z378" s="48" t="s">
        <v>166</v>
      </c>
      <c r="AA378" s="48">
        <v>2.0</v>
      </c>
      <c r="AB378" s="48" t="s">
        <v>166</v>
      </c>
      <c r="AC378" s="48" t="s">
        <v>166</v>
      </c>
      <c r="AD378" s="48" t="s">
        <v>166</v>
      </c>
      <c r="AE378" s="54" t="s">
        <v>166</v>
      </c>
      <c r="AF378" s="55" t="s">
        <v>166</v>
      </c>
      <c r="AG378" s="51" t="s">
        <v>166</v>
      </c>
      <c r="AH378" s="48">
        <v>2.0</v>
      </c>
      <c r="AI378" s="48" t="s">
        <v>166</v>
      </c>
      <c r="AJ378" s="50" t="s">
        <v>166</v>
      </c>
      <c r="AK378" s="56">
        <v>399.0</v>
      </c>
      <c r="AL378" s="57">
        <f>AK378*Sheets!$E$3</f>
        <v>55.0003545</v>
      </c>
      <c r="AM378" s="68"/>
      <c r="AN378" s="70"/>
      <c r="AO378" s="71"/>
      <c r="AP378" s="72">
        <v>44681.59648153935</v>
      </c>
      <c r="AQ378" s="66"/>
    </row>
    <row r="379">
      <c r="A379" s="69" t="s">
        <v>212</v>
      </c>
      <c r="B379" s="73" t="s">
        <v>731</v>
      </c>
      <c r="C379" s="63" t="s">
        <v>248</v>
      </c>
      <c r="D379" s="48">
        <v>326.0</v>
      </c>
      <c r="E379" s="48">
        <v>131.0</v>
      </c>
      <c r="F379" s="48">
        <v>211.0</v>
      </c>
      <c r="G379" s="49">
        <f t="shared" si="1"/>
        <v>9.010966</v>
      </c>
      <c r="H379" s="49">
        <f t="shared" si="2"/>
        <v>427.06</v>
      </c>
      <c r="I379" s="48">
        <v>2.5</v>
      </c>
      <c r="J379" s="48" t="s">
        <v>597</v>
      </c>
      <c r="K379" s="50" t="s">
        <v>319</v>
      </c>
      <c r="L379" s="51">
        <v>48.0</v>
      </c>
      <c r="M379" s="50" t="s">
        <v>547</v>
      </c>
      <c r="N379" s="51" t="s">
        <v>174</v>
      </c>
      <c r="O379" s="48">
        <v>320.0</v>
      </c>
      <c r="P379" s="48">
        <v>132.0</v>
      </c>
      <c r="Q379" s="48">
        <v>55.0</v>
      </c>
      <c r="R379" s="48">
        <v>2.0</v>
      </c>
      <c r="S379" s="50" t="s">
        <v>166</v>
      </c>
      <c r="T379" s="52" t="s">
        <v>167</v>
      </c>
      <c r="U379" s="52" t="s">
        <v>324</v>
      </c>
      <c r="V379" s="51">
        <v>1.0</v>
      </c>
      <c r="W379" s="48" t="s">
        <v>166</v>
      </c>
      <c r="X379" s="50" t="s">
        <v>166</v>
      </c>
      <c r="Y379" s="51" t="s">
        <v>166</v>
      </c>
      <c r="Z379" s="48" t="s">
        <v>166</v>
      </c>
      <c r="AA379" s="48" t="s">
        <v>166</v>
      </c>
      <c r="AB379" s="48" t="s">
        <v>166</v>
      </c>
      <c r="AC379" s="48">
        <v>2.0</v>
      </c>
      <c r="AD379" s="48" t="s">
        <v>166</v>
      </c>
      <c r="AE379" s="54" t="s">
        <v>166</v>
      </c>
      <c r="AF379" s="55" t="s">
        <v>166</v>
      </c>
      <c r="AG379" s="51" t="s">
        <v>166</v>
      </c>
      <c r="AH379" s="48" t="s">
        <v>166</v>
      </c>
      <c r="AI379" s="48" t="s">
        <v>166</v>
      </c>
      <c r="AJ379" s="50" t="s">
        <v>166</v>
      </c>
      <c r="AK379" s="56">
        <v>930.0</v>
      </c>
      <c r="AL379" s="57">
        <f>AK379*Sheets!$E$3</f>
        <v>128.196315</v>
      </c>
      <c r="AM379" s="58"/>
      <c r="AN379" s="64" t="s">
        <v>214</v>
      </c>
      <c r="AO379" s="60" t="s">
        <v>181</v>
      </c>
      <c r="AP379" s="60"/>
      <c r="AQ379" s="66"/>
    </row>
    <row r="380">
      <c r="A380" s="69" t="str">
        <f>HYPERLINK("https://sgpc.world.taobao.com/","SGPC")</f>
        <v>SGPC</v>
      </c>
      <c r="B380" s="46" t="s">
        <v>732</v>
      </c>
      <c r="C380" s="63" t="s">
        <v>262</v>
      </c>
      <c r="D380" s="48">
        <v>208.0</v>
      </c>
      <c r="E380" s="48">
        <v>168.0</v>
      </c>
      <c r="F380" s="48">
        <v>258.0</v>
      </c>
      <c r="G380" s="49">
        <f t="shared" si="1"/>
        <v>9.015552</v>
      </c>
      <c r="H380" s="49">
        <f t="shared" si="2"/>
        <v>349.44</v>
      </c>
      <c r="I380" s="48">
        <v>0.7</v>
      </c>
      <c r="J380" s="48" t="s">
        <v>597</v>
      </c>
      <c r="K380" s="50" t="s">
        <v>185</v>
      </c>
      <c r="L380" s="51">
        <v>55.0</v>
      </c>
      <c r="M380" s="50" t="s">
        <v>166</v>
      </c>
      <c r="N380" s="51" t="s">
        <v>166</v>
      </c>
      <c r="O380" s="48">
        <v>200.0</v>
      </c>
      <c r="P380" s="48">
        <v>133.0</v>
      </c>
      <c r="Q380" s="48">
        <v>80.0</v>
      </c>
      <c r="R380" s="48">
        <v>4.0</v>
      </c>
      <c r="S380" s="50" t="s">
        <v>166</v>
      </c>
      <c r="T380" s="52" t="s">
        <v>733</v>
      </c>
      <c r="U380" s="52" t="s">
        <v>599</v>
      </c>
      <c r="V380" s="51">
        <v>1.0</v>
      </c>
      <c r="W380" s="48" t="s">
        <v>166</v>
      </c>
      <c r="X380" s="50" t="s">
        <v>166</v>
      </c>
      <c r="Y380" s="51" t="s">
        <v>166</v>
      </c>
      <c r="Z380" s="48" t="s">
        <v>166</v>
      </c>
      <c r="AA380" s="48" t="s">
        <v>166</v>
      </c>
      <c r="AB380" s="48" t="s">
        <v>166</v>
      </c>
      <c r="AC380" s="48" t="s">
        <v>166</v>
      </c>
      <c r="AD380" s="48" t="s">
        <v>166</v>
      </c>
      <c r="AE380" s="54" t="s">
        <v>166</v>
      </c>
      <c r="AF380" s="55" t="s">
        <v>166</v>
      </c>
      <c r="AG380" s="51" t="s">
        <v>166</v>
      </c>
      <c r="AH380" s="48" t="s">
        <v>166</v>
      </c>
      <c r="AI380" s="48" t="s">
        <v>166</v>
      </c>
      <c r="AJ380" s="50" t="s">
        <v>166</v>
      </c>
      <c r="AK380" s="56">
        <v>219.0</v>
      </c>
      <c r="AL380" s="57">
        <f>AK380*Sheets!$E$3</f>
        <v>30.1881645</v>
      </c>
      <c r="AM380" s="68"/>
      <c r="AN380" s="59"/>
      <c r="AO380" s="60" t="s">
        <v>181</v>
      </c>
      <c r="AP380" s="65">
        <v>44442.75963980324</v>
      </c>
      <c r="AQ380" s="66"/>
    </row>
    <row r="381">
      <c r="A381" s="61" t="s">
        <v>734</v>
      </c>
      <c r="B381" s="62" t="s">
        <v>735</v>
      </c>
      <c r="C381" s="101" t="s">
        <v>262</v>
      </c>
      <c r="D381" s="74">
        <v>187.5</v>
      </c>
      <c r="E381" s="74">
        <v>166.0</v>
      </c>
      <c r="F381" s="74">
        <v>290.0</v>
      </c>
      <c r="G381" s="49">
        <f t="shared" si="1"/>
        <v>9.02625</v>
      </c>
      <c r="H381" s="49">
        <f t="shared" si="2"/>
        <v>311.25</v>
      </c>
      <c r="I381" s="74" t="s">
        <v>170</v>
      </c>
      <c r="J381" s="48" t="s">
        <v>245</v>
      </c>
      <c r="K381" s="75" t="s">
        <v>736</v>
      </c>
      <c r="L381" s="76">
        <v>139.0</v>
      </c>
      <c r="M381" s="75" t="s">
        <v>737</v>
      </c>
      <c r="N381" s="77" t="s">
        <v>166</v>
      </c>
      <c r="O381" s="104">
        <v>180.0</v>
      </c>
      <c r="P381" s="74">
        <v>125.0</v>
      </c>
      <c r="Q381" s="89">
        <v>50.0</v>
      </c>
      <c r="R381" s="105">
        <v>2.0</v>
      </c>
      <c r="S381" s="50" t="s">
        <v>166</v>
      </c>
      <c r="T381" s="52" t="s">
        <v>167</v>
      </c>
      <c r="U381" s="52" t="s">
        <v>346</v>
      </c>
      <c r="V381" s="77">
        <v>2.0</v>
      </c>
      <c r="W381" s="74" t="s">
        <v>166</v>
      </c>
      <c r="X381" s="75" t="s">
        <v>166</v>
      </c>
      <c r="Y381" s="51" t="s">
        <v>166</v>
      </c>
      <c r="Z381" s="74" t="s">
        <v>166</v>
      </c>
      <c r="AA381" s="74" t="s">
        <v>194</v>
      </c>
      <c r="AB381" s="74" t="s">
        <v>194</v>
      </c>
      <c r="AC381" s="48" t="s">
        <v>194</v>
      </c>
      <c r="AD381" s="48" t="s">
        <v>194</v>
      </c>
      <c r="AE381" s="54" t="s">
        <v>166</v>
      </c>
      <c r="AF381" s="55" t="s">
        <v>166</v>
      </c>
      <c r="AG381" s="51" t="s">
        <v>166</v>
      </c>
      <c r="AH381" s="48" t="s">
        <v>166</v>
      </c>
      <c r="AI381" s="48" t="s">
        <v>166</v>
      </c>
      <c r="AJ381" s="50" t="s">
        <v>166</v>
      </c>
      <c r="AK381" s="56" t="s">
        <v>166</v>
      </c>
      <c r="AL381" s="57">
        <v>75.0</v>
      </c>
      <c r="AM381" s="58"/>
      <c r="AN381" s="59"/>
      <c r="AO381" s="71" t="s">
        <v>181</v>
      </c>
      <c r="AP381" s="65">
        <v>44887.95809118055</v>
      </c>
      <c r="AQ381" s="66"/>
    </row>
    <row r="382">
      <c r="A382" s="61" t="s">
        <v>738</v>
      </c>
      <c r="B382" s="62" t="s">
        <v>739</v>
      </c>
      <c r="C382" s="63" t="s">
        <v>248</v>
      </c>
      <c r="D382" s="48">
        <v>340.0</v>
      </c>
      <c r="E382" s="48">
        <v>140.0</v>
      </c>
      <c r="F382" s="48">
        <v>190.0</v>
      </c>
      <c r="G382" s="49">
        <f t="shared" si="1"/>
        <v>9.044</v>
      </c>
      <c r="H382" s="49">
        <f t="shared" si="2"/>
        <v>476</v>
      </c>
      <c r="I382" s="48">
        <v>2.2</v>
      </c>
      <c r="J382" s="48" t="s">
        <v>164</v>
      </c>
      <c r="K382" s="50" t="s">
        <v>688</v>
      </c>
      <c r="L382" s="51">
        <v>92.0</v>
      </c>
      <c r="M382" s="50" t="s">
        <v>166</v>
      </c>
      <c r="N382" s="51" t="s">
        <v>174</v>
      </c>
      <c r="O382" s="48">
        <v>337.0</v>
      </c>
      <c r="P382" s="48">
        <v>151.0</v>
      </c>
      <c r="Q382" s="48">
        <v>68.0</v>
      </c>
      <c r="R382" s="48">
        <v>2.0</v>
      </c>
      <c r="S382" s="50" t="s">
        <v>166</v>
      </c>
      <c r="T382" s="52" t="s">
        <v>167</v>
      </c>
      <c r="U382" s="52" t="s">
        <v>346</v>
      </c>
      <c r="V382" s="51" t="s">
        <v>740</v>
      </c>
      <c r="W382" s="48" t="s">
        <v>194</v>
      </c>
      <c r="X382" s="50" t="s">
        <v>166</v>
      </c>
      <c r="Y382" s="51" t="s">
        <v>166</v>
      </c>
      <c r="Z382" s="48" t="s">
        <v>166</v>
      </c>
      <c r="AA382" s="48" t="s">
        <v>166</v>
      </c>
      <c r="AB382" s="48" t="s">
        <v>166</v>
      </c>
      <c r="AC382" s="48">
        <v>2.0</v>
      </c>
      <c r="AD382" s="48" t="s">
        <v>166</v>
      </c>
      <c r="AE382" s="54" t="s">
        <v>166</v>
      </c>
      <c r="AF382" s="55" t="s">
        <v>166</v>
      </c>
      <c r="AG382" s="51" t="s">
        <v>166</v>
      </c>
      <c r="AH382" s="48" t="s">
        <v>166</v>
      </c>
      <c r="AI382" s="48" t="s">
        <v>166</v>
      </c>
      <c r="AJ382" s="50" t="s">
        <v>166</v>
      </c>
      <c r="AK382" s="56">
        <v>1299.0</v>
      </c>
      <c r="AL382" s="57">
        <v>205.99</v>
      </c>
      <c r="AM382" s="64" t="s">
        <v>214</v>
      </c>
      <c r="AN382" s="70"/>
      <c r="AO382" s="71"/>
      <c r="AP382" s="72">
        <v>44696.75361771991</v>
      </c>
      <c r="AQ382" s="66"/>
    </row>
    <row r="383">
      <c r="A383" s="69" t="str">
        <f>HYPERLINK("https://jixieku.world.taobao.com/","机械库")</f>
        <v>机械库</v>
      </c>
      <c r="B383" s="46" t="s">
        <v>741</v>
      </c>
      <c r="C383" s="63" t="s">
        <v>282</v>
      </c>
      <c r="D383" s="48">
        <v>205.0</v>
      </c>
      <c r="E383" s="48">
        <v>150.0</v>
      </c>
      <c r="F383" s="48">
        <v>295.0</v>
      </c>
      <c r="G383" s="49">
        <f t="shared" si="1"/>
        <v>9.07125</v>
      </c>
      <c r="H383" s="49">
        <f t="shared" si="2"/>
        <v>307.5</v>
      </c>
      <c r="I383" s="48">
        <v>2.0</v>
      </c>
      <c r="J383" s="48" t="s">
        <v>282</v>
      </c>
      <c r="K383" s="50" t="s">
        <v>252</v>
      </c>
      <c r="L383" s="51" t="s">
        <v>282</v>
      </c>
      <c r="M383" s="50" t="s">
        <v>166</v>
      </c>
      <c r="N383" s="51" t="s">
        <v>174</v>
      </c>
      <c r="O383" s="48" t="s">
        <v>282</v>
      </c>
      <c r="P383" s="48" t="s">
        <v>282</v>
      </c>
      <c r="Q383" s="48" t="s">
        <v>282</v>
      </c>
      <c r="R383" s="48" t="s">
        <v>282</v>
      </c>
      <c r="S383" s="50" t="s">
        <v>166</v>
      </c>
      <c r="T383" s="52" t="s">
        <v>227</v>
      </c>
      <c r="U383" s="52" t="s">
        <v>346</v>
      </c>
      <c r="V383" s="51">
        <v>1.0</v>
      </c>
      <c r="W383" s="48" t="s">
        <v>166</v>
      </c>
      <c r="X383" s="50" t="s">
        <v>166</v>
      </c>
      <c r="Y383" s="51" t="s">
        <v>166</v>
      </c>
      <c r="Z383" s="48" t="s">
        <v>166</v>
      </c>
      <c r="AA383" s="48" t="s">
        <v>166</v>
      </c>
      <c r="AB383" s="48" t="s">
        <v>166</v>
      </c>
      <c r="AC383" s="48" t="s">
        <v>166</v>
      </c>
      <c r="AD383" s="48" t="s">
        <v>166</v>
      </c>
      <c r="AE383" s="54" t="s">
        <v>166</v>
      </c>
      <c r="AF383" s="55" t="s">
        <v>166</v>
      </c>
      <c r="AG383" s="51" t="s">
        <v>166</v>
      </c>
      <c r="AH383" s="48" t="s">
        <v>166</v>
      </c>
      <c r="AI383" s="48" t="s">
        <v>166</v>
      </c>
      <c r="AJ383" s="50" t="s">
        <v>166</v>
      </c>
      <c r="AK383" s="56">
        <v>299.0</v>
      </c>
      <c r="AL383" s="57">
        <f>AK383*Sheets!$E$3</f>
        <v>41.2158045</v>
      </c>
      <c r="AM383" s="68"/>
      <c r="AN383" s="70"/>
      <c r="AO383" s="71"/>
      <c r="AP383" s="72">
        <v>44681.596528877315</v>
      </c>
      <c r="AQ383" s="66"/>
    </row>
    <row r="384">
      <c r="A384" s="69" t="s">
        <v>445</v>
      </c>
      <c r="B384" s="46" t="s">
        <v>742</v>
      </c>
      <c r="C384" s="63" t="s">
        <v>262</v>
      </c>
      <c r="D384" s="48">
        <v>250.0</v>
      </c>
      <c r="E384" s="48">
        <v>158.0</v>
      </c>
      <c r="F384" s="48">
        <v>230.0</v>
      </c>
      <c r="G384" s="49">
        <f t="shared" si="1"/>
        <v>9.085</v>
      </c>
      <c r="H384" s="49">
        <f t="shared" si="2"/>
        <v>395</v>
      </c>
      <c r="I384" s="48" t="s">
        <v>170</v>
      </c>
      <c r="J384" s="48" t="s">
        <v>336</v>
      </c>
      <c r="K384" s="50" t="s">
        <v>354</v>
      </c>
      <c r="L384" s="51">
        <v>135.0</v>
      </c>
      <c r="M384" s="50" t="s">
        <v>166</v>
      </c>
      <c r="N384" s="51" t="s">
        <v>166</v>
      </c>
      <c r="O384" s="48">
        <v>240.0</v>
      </c>
      <c r="P384" s="48">
        <v>140.0</v>
      </c>
      <c r="Q384" s="48">
        <v>60.0</v>
      </c>
      <c r="R384" s="48">
        <v>2.0</v>
      </c>
      <c r="S384" s="50" t="s">
        <v>166</v>
      </c>
      <c r="T384" s="52" t="s">
        <v>167</v>
      </c>
      <c r="U384" s="52" t="s">
        <v>346</v>
      </c>
      <c r="V384" s="51">
        <v>2.0</v>
      </c>
      <c r="W384" s="48" t="s">
        <v>166</v>
      </c>
      <c r="X384" s="50" t="s">
        <v>166</v>
      </c>
      <c r="Y384" s="51" t="s">
        <v>166</v>
      </c>
      <c r="Z384" s="48" t="s">
        <v>166</v>
      </c>
      <c r="AA384" s="48" t="s">
        <v>166</v>
      </c>
      <c r="AB384" s="48">
        <v>3.0</v>
      </c>
      <c r="AC384" s="48" t="s">
        <v>166</v>
      </c>
      <c r="AD384" s="48" t="s">
        <v>166</v>
      </c>
      <c r="AE384" s="54" t="s">
        <v>166</v>
      </c>
      <c r="AF384" s="55" t="s">
        <v>166</v>
      </c>
      <c r="AG384" s="51" t="s">
        <v>166</v>
      </c>
      <c r="AH384" s="48">
        <v>1.0</v>
      </c>
      <c r="AI384" s="48">
        <v>1.0</v>
      </c>
      <c r="AJ384" s="50" t="s">
        <v>166</v>
      </c>
      <c r="AK384" s="56">
        <v>159.0</v>
      </c>
      <c r="AL384" s="57">
        <f>AK384*Sheets!$E$3</f>
        <v>21.9174345</v>
      </c>
      <c r="AM384" s="68"/>
      <c r="AN384" s="59"/>
      <c r="AO384" s="60"/>
      <c r="AP384" s="65"/>
      <c r="AQ384" s="66"/>
    </row>
    <row r="385">
      <c r="A385" s="69" t="s">
        <v>467</v>
      </c>
      <c r="B385" s="46" t="s">
        <v>743</v>
      </c>
      <c r="C385" s="63" t="s">
        <v>262</v>
      </c>
      <c r="D385" s="48">
        <v>255.0</v>
      </c>
      <c r="E385" s="48">
        <v>157.0</v>
      </c>
      <c r="F385" s="48">
        <v>228.0</v>
      </c>
      <c r="G385" s="49">
        <f t="shared" si="1"/>
        <v>9.12798</v>
      </c>
      <c r="H385" s="49">
        <f t="shared" si="2"/>
        <v>400.35</v>
      </c>
      <c r="I385" s="48">
        <v>1.3</v>
      </c>
      <c r="J385" s="48" t="s">
        <v>597</v>
      </c>
      <c r="K385" s="50" t="s">
        <v>204</v>
      </c>
      <c r="L385" s="51">
        <v>135.0</v>
      </c>
      <c r="M385" s="50" t="s">
        <v>166</v>
      </c>
      <c r="N385" s="51" t="s">
        <v>166</v>
      </c>
      <c r="O385" s="48">
        <v>247.0</v>
      </c>
      <c r="P385" s="48">
        <v>140.0</v>
      </c>
      <c r="Q385" s="48">
        <v>60.0</v>
      </c>
      <c r="R385" s="48">
        <v>2.0</v>
      </c>
      <c r="S385" s="50" t="s">
        <v>166</v>
      </c>
      <c r="T385" s="52" t="s">
        <v>227</v>
      </c>
      <c r="U385" s="52" t="s">
        <v>324</v>
      </c>
      <c r="V385" s="51">
        <v>2.0</v>
      </c>
      <c r="W385" s="48" t="s">
        <v>166</v>
      </c>
      <c r="X385" s="50" t="s">
        <v>166</v>
      </c>
      <c r="Y385" s="51" t="s">
        <v>166</v>
      </c>
      <c r="Z385" s="48" t="s">
        <v>166</v>
      </c>
      <c r="AA385" s="48" t="s">
        <v>166</v>
      </c>
      <c r="AB385" s="48">
        <v>4.0</v>
      </c>
      <c r="AC385" s="48" t="s">
        <v>166</v>
      </c>
      <c r="AD385" s="48" t="s">
        <v>166</v>
      </c>
      <c r="AE385" s="54" t="s">
        <v>166</v>
      </c>
      <c r="AF385" s="55" t="s">
        <v>166</v>
      </c>
      <c r="AG385" s="51" t="s">
        <v>166</v>
      </c>
      <c r="AH385" s="48">
        <v>1.0</v>
      </c>
      <c r="AI385" s="48">
        <v>1.0</v>
      </c>
      <c r="AJ385" s="50" t="s">
        <v>166</v>
      </c>
      <c r="AK385" s="56">
        <v>199.0</v>
      </c>
      <c r="AL385" s="57">
        <f>AK385*Sheets!$E$3</f>
        <v>27.4312545</v>
      </c>
      <c r="AM385" s="68"/>
      <c r="AN385" s="59"/>
      <c r="AO385" s="60"/>
      <c r="AP385" s="65">
        <v>44963.8320609838</v>
      </c>
      <c r="AQ385" s="66"/>
    </row>
    <row r="386">
      <c r="A386" s="69" t="s">
        <v>500</v>
      </c>
      <c r="B386" s="73" t="s">
        <v>744</v>
      </c>
      <c r="C386" s="63" t="s">
        <v>262</v>
      </c>
      <c r="D386" s="48">
        <v>278.0</v>
      </c>
      <c r="E386" s="48">
        <v>153.0</v>
      </c>
      <c r="F386" s="48">
        <v>215.0</v>
      </c>
      <c r="G386" s="49">
        <f t="shared" si="1"/>
        <v>9.14481</v>
      </c>
      <c r="H386" s="49">
        <f t="shared" si="2"/>
        <v>425.34</v>
      </c>
      <c r="I386" s="48">
        <v>2.5</v>
      </c>
      <c r="J386" s="48" t="s">
        <v>411</v>
      </c>
      <c r="K386" s="50" t="s">
        <v>334</v>
      </c>
      <c r="L386" s="51">
        <v>125.0</v>
      </c>
      <c r="M386" s="50" t="s">
        <v>166</v>
      </c>
      <c r="N386" s="51" t="s">
        <v>166</v>
      </c>
      <c r="O386" s="48">
        <v>271.0</v>
      </c>
      <c r="P386" s="48">
        <v>125.0</v>
      </c>
      <c r="Q386" s="48">
        <v>45.0</v>
      </c>
      <c r="R386" s="48">
        <v>2.0</v>
      </c>
      <c r="S386" s="50" t="s">
        <v>166</v>
      </c>
      <c r="T386" s="52" t="s">
        <v>167</v>
      </c>
      <c r="U386" s="52" t="s">
        <v>346</v>
      </c>
      <c r="V386" s="51" t="s">
        <v>426</v>
      </c>
      <c r="W386" s="48" t="s">
        <v>194</v>
      </c>
      <c r="X386" s="50" t="s">
        <v>166</v>
      </c>
      <c r="Y386" s="51" t="s">
        <v>166</v>
      </c>
      <c r="Z386" s="48" t="s">
        <v>193</v>
      </c>
      <c r="AA386" s="48" t="s">
        <v>194</v>
      </c>
      <c r="AB386" s="48" t="s">
        <v>166</v>
      </c>
      <c r="AC386" s="48" t="s">
        <v>166</v>
      </c>
      <c r="AD386" s="48" t="s">
        <v>166</v>
      </c>
      <c r="AE386" s="54" t="s">
        <v>166</v>
      </c>
      <c r="AF386" s="55" t="s">
        <v>166</v>
      </c>
      <c r="AG386" s="51" t="s">
        <v>166</v>
      </c>
      <c r="AH386" s="48" t="s">
        <v>166</v>
      </c>
      <c r="AI386" s="48" t="s">
        <v>166</v>
      </c>
      <c r="AJ386" s="50" t="s">
        <v>166</v>
      </c>
      <c r="AK386" s="56">
        <v>449.0</v>
      </c>
      <c r="AL386" s="57">
        <f>AK386*Sheets!$E$3</f>
        <v>61.8926295</v>
      </c>
      <c r="AM386" s="68"/>
      <c r="AN386" s="59"/>
      <c r="AO386" s="60" t="s">
        <v>181</v>
      </c>
      <c r="AP386" s="65">
        <v>44442.742673726854</v>
      </c>
      <c r="AQ386" s="66"/>
    </row>
    <row r="387">
      <c r="A387" s="69" t="s">
        <v>222</v>
      </c>
      <c r="B387" s="125" t="s">
        <v>745</v>
      </c>
      <c r="C387" s="63" t="s">
        <v>262</v>
      </c>
      <c r="D387" s="51">
        <v>270.0</v>
      </c>
      <c r="E387" s="51">
        <v>156.0</v>
      </c>
      <c r="F387" s="51">
        <v>218.0</v>
      </c>
      <c r="G387" s="49">
        <f t="shared" si="1"/>
        <v>9.18216</v>
      </c>
      <c r="H387" s="49">
        <f t="shared" si="2"/>
        <v>421.2</v>
      </c>
      <c r="I387" s="51">
        <v>1.25</v>
      </c>
      <c r="J387" s="51" t="s">
        <v>171</v>
      </c>
      <c r="K387" s="52" t="s">
        <v>171</v>
      </c>
      <c r="L387" s="51">
        <v>135.0</v>
      </c>
      <c r="M387" s="50" t="s">
        <v>166</v>
      </c>
      <c r="N387" s="51" t="s">
        <v>166</v>
      </c>
      <c r="O387" s="51">
        <v>270.0</v>
      </c>
      <c r="P387" s="51">
        <v>142.0</v>
      </c>
      <c r="Q387" s="51">
        <v>50.0</v>
      </c>
      <c r="R387" s="51">
        <v>2.0</v>
      </c>
      <c r="S387" s="52" t="s">
        <v>166</v>
      </c>
      <c r="T387" s="52" t="s">
        <v>167</v>
      </c>
      <c r="U387" s="52" t="s">
        <v>346</v>
      </c>
      <c r="V387" s="51">
        <v>2.0</v>
      </c>
      <c r="W387" s="51" t="s">
        <v>166</v>
      </c>
      <c r="X387" s="52" t="s">
        <v>166</v>
      </c>
      <c r="Y387" s="51" t="s">
        <v>166</v>
      </c>
      <c r="Z387" s="51" t="s">
        <v>166</v>
      </c>
      <c r="AA387" s="51" t="s">
        <v>166</v>
      </c>
      <c r="AB387" s="51">
        <v>1.0</v>
      </c>
      <c r="AC387" s="51" t="s">
        <v>166</v>
      </c>
      <c r="AD387" s="51" t="s">
        <v>166</v>
      </c>
      <c r="AE387" s="54" t="s">
        <v>166</v>
      </c>
      <c r="AF387" s="55" t="s">
        <v>166</v>
      </c>
      <c r="AG387" s="51" t="s">
        <v>193</v>
      </c>
      <c r="AH387" s="48" t="s">
        <v>193</v>
      </c>
      <c r="AI387" s="48" t="s">
        <v>166</v>
      </c>
      <c r="AJ387" s="50" t="s">
        <v>174</v>
      </c>
      <c r="AK387" s="56">
        <v>136.0</v>
      </c>
      <c r="AL387" s="57">
        <f>AK387*Sheets!$E$3</f>
        <v>18.746988</v>
      </c>
      <c r="AM387" s="68"/>
      <c r="AN387" s="70"/>
      <c r="AO387" s="126" t="s">
        <v>181</v>
      </c>
      <c r="AP387" s="127">
        <v>44737.686101886575</v>
      </c>
      <c r="AQ387" s="66"/>
    </row>
    <row r="388">
      <c r="A388" s="46" t="s">
        <v>746</v>
      </c>
      <c r="B388" s="128" t="s">
        <v>747</v>
      </c>
      <c r="C388" s="63" t="s">
        <v>248</v>
      </c>
      <c r="D388" s="51">
        <v>345.0</v>
      </c>
      <c r="E388" s="51">
        <v>138.0</v>
      </c>
      <c r="F388" s="51">
        <v>193.0</v>
      </c>
      <c r="G388" s="129">
        <f t="shared" si="1"/>
        <v>9.18873</v>
      </c>
      <c r="H388" s="81">
        <f t="shared" si="2"/>
        <v>476.1</v>
      </c>
      <c r="I388" s="51">
        <v>1.25</v>
      </c>
      <c r="J388" s="51" t="s">
        <v>164</v>
      </c>
      <c r="K388" s="52" t="s">
        <v>191</v>
      </c>
      <c r="L388" s="51">
        <v>60.0</v>
      </c>
      <c r="M388" s="50" t="s">
        <v>166</v>
      </c>
      <c r="N388" s="51" t="s">
        <v>174</v>
      </c>
      <c r="O388" s="51">
        <v>331.0</v>
      </c>
      <c r="P388" s="51">
        <v>140.0</v>
      </c>
      <c r="Q388" s="51">
        <v>56.0</v>
      </c>
      <c r="R388" s="51">
        <v>2.0</v>
      </c>
      <c r="S388" s="52" t="s">
        <v>166</v>
      </c>
      <c r="T388" s="52" t="s">
        <v>167</v>
      </c>
      <c r="U388" s="52" t="s">
        <v>346</v>
      </c>
      <c r="V388" s="51">
        <v>1.0</v>
      </c>
      <c r="W388" s="51">
        <v>1.0</v>
      </c>
      <c r="X388" s="52" t="s">
        <v>166</v>
      </c>
      <c r="Y388" s="51" t="s">
        <v>166</v>
      </c>
      <c r="Z388" s="51" t="s">
        <v>166</v>
      </c>
      <c r="AA388" s="51" t="s">
        <v>166</v>
      </c>
      <c r="AB388" s="51" t="s">
        <v>166</v>
      </c>
      <c r="AC388" s="51" t="s">
        <v>166</v>
      </c>
      <c r="AD388" s="51" t="s">
        <v>166</v>
      </c>
      <c r="AE388" s="54" t="s">
        <v>166</v>
      </c>
      <c r="AF388" s="55" t="s">
        <v>166</v>
      </c>
      <c r="AG388" s="51" t="s">
        <v>166</v>
      </c>
      <c r="AH388" s="48" t="s">
        <v>166</v>
      </c>
      <c r="AI388" s="48" t="s">
        <v>166</v>
      </c>
      <c r="AJ388" s="50" t="s">
        <v>166</v>
      </c>
      <c r="AK388" s="56">
        <v>1799.0</v>
      </c>
      <c r="AL388" s="57">
        <f>AK388*Sheets!$E$3</f>
        <v>247.9840545</v>
      </c>
      <c r="AM388" s="68"/>
      <c r="AN388" s="70"/>
      <c r="AO388" s="126"/>
      <c r="AP388" s="127">
        <v>44442.88061416667</v>
      </c>
      <c r="AQ388" s="130"/>
    </row>
    <row r="389">
      <c r="A389" s="83" t="str">
        <f>HYPERLINK("http://www.louqe.com/","Louqe")</f>
        <v>Louqe</v>
      </c>
      <c r="B389" s="131" t="s">
        <v>748</v>
      </c>
      <c r="C389" s="63" t="s">
        <v>248</v>
      </c>
      <c r="D389" s="51">
        <v>322.0</v>
      </c>
      <c r="E389" s="51">
        <v>140.0</v>
      </c>
      <c r="F389" s="51">
        <v>204.0</v>
      </c>
      <c r="G389" s="81">
        <f t="shared" si="1"/>
        <v>9.19632</v>
      </c>
      <c r="H389" s="81">
        <f t="shared" si="2"/>
        <v>450.8</v>
      </c>
      <c r="I389" s="51">
        <v>2.5</v>
      </c>
      <c r="J389" s="51" t="s">
        <v>164</v>
      </c>
      <c r="K389" s="52" t="s">
        <v>688</v>
      </c>
      <c r="L389" s="51">
        <v>66.0</v>
      </c>
      <c r="M389" s="50" t="s">
        <v>673</v>
      </c>
      <c r="N389" s="51" t="s">
        <v>174</v>
      </c>
      <c r="O389" s="51">
        <v>305.0</v>
      </c>
      <c r="P389" s="51">
        <v>144.0</v>
      </c>
      <c r="Q389" s="51">
        <v>45.0</v>
      </c>
      <c r="R389" s="51">
        <v>2.0</v>
      </c>
      <c r="S389" s="52" t="s">
        <v>166</v>
      </c>
      <c r="T389" s="52" t="s">
        <v>167</v>
      </c>
      <c r="U389" s="52" t="s">
        <v>346</v>
      </c>
      <c r="V389" s="51" t="s">
        <v>195</v>
      </c>
      <c r="W389" s="51" t="s">
        <v>166</v>
      </c>
      <c r="X389" s="52" t="s">
        <v>166</v>
      </c>
      <c r="Y389" s="51" t="s">
        <v>166</v>
      </c>
      <c r="Z389" s="51" t="s">
        <v>166</v>
      </c>
      <c r="AA389" s="51" t="s">
        <v>166</v>
      </c>
      <c r="AB389" s="51" t="s">
        <v>166</v>
      </c>
      <c r="AC389" s="51" t="s">
        <v>426</v>
      </c>
      <c r="AD389" s="51" t="s">
        <v>166</v>
      </c>
      <c r="AE389" s="54" t="s">
        <v>166</v>
      </c>
      <c r="AF389" s="55" t="s">
        <v>166</v>
      </c>
      <c r="AG389" s="51" t="s">
        <v>166</v>
      </c>
      <c r="AH389" s="48" t="s">
        <v>166</v>
      </c>
      <c r="AI389" s="48" t="s">
        <v>166</v>
      </c>
      <c r="AJ389" s="50" t="s">
        <v>166</v>
      </c>
      <c r="AK389" s="56" t="s">
        <v>166</v>
      </c>
      <c r="AL389" s="57">
        <v>319.0</v>
      </c>
      <c r="AM389" s="64" t="str">
        <f>HYPERLINK("https://smallformfactor.net/forum/threads/the-world-most-flexible-sff-case-louqe-ghost-s1.1781/","Link")</f>
        <v>Link</v>
      </c>
      <c r="AN389" s="64" t="s">
        <v>214</v>
      </c>
      <c r="AO389" s="132"/>
      <c r="AP389" s="133">
        <v>44704.9460737037</v>
      </c>
      <c r="AQ389" s="130"/>
    </row>
    <row r="390">
      <c r="A390" s="46" t="str">
        <f>HYPERLINK("https://shop120331572.world.taobao.com/","Ultra Civilz")</f>
        <v>Ultra Civilz</v>
      </c>
      <c r="B390" s="125" t="s">
        <v>749</v>
      </c>
      <c r="C390" s="63" t="s">
        <v>248</v>
      </c>
      <c r="D390" s="51">
        <v>308.0</v>
      </c>
      <c r="E390" s="51">
        <v>139.0</v>
      </c>
      <c r="F390" s="51">
        <v>215.0</v>
      </c>
      <c r="G390" s="81">
        <f t="shared" si="1"/>
        <v>9.20458</v>
      </c>
      <c r="H390" s="81">
        <f t="shared" si="2"/>
        <v>428.12</v>
      </c>
      <c r="I390" s="51" t="s">
        <v>170</v>
      </c>
      <c r="J390" s="51" t="s">
        <v>235</v>
      </c>
      <c r="K390" s="50" t="s">
        <v>164</v>
      </c>
      <c r="L390" s="51">
        <v>68.0</v>
      </c>
      <c r="M390" s="52" t="s">
        <v>166</v>
      </c>
      <c r="N390" s="51" t="s">
        <v>174</v>
      </c>
      <c r="O390" s="51">
        <v>300.0</v>
      </c>
      <c r="P390" s="51" t="s">
        <v>170</v>
      </c>
      <c r="Q390" s="51">
        <v>45.0</v>
      </c>
      <c r="R390" s="51">
        <v>2.0</v>
      </c>
      <c r="S390" s="52" t="s">
        <v>166</v>
      </c>
      <c r="T390" s="52" t="s">
        <v>167</v>
      </c>
      <c r="U390" s="52" t="s">
        <v>324</v>
      </c>
      <c r="V390" s="51">
        <v>3.0</v>
      </c>
      <c r="W390" s="51" t="s">
        <v>166</v>
      </c>
      <c r="X390" s="52" t="s">
        <v>166</v>
      </c>
      <c r="Y390" s="51" t="s">
        <v>166</v>
      </c>
      <c r="Z390" s="51" t="s">
        <v>166</v>
      </c>
      <c r="AA390" s="51" t="s">
        <v>166</v>
      </c>
      <c r="AB390" s="51">
        <v>2.0</v>
      </c>
      <c r="AC390" s="51">
        <v>1.0</v>
      </c>
      <c r="AD390" s="51" t="s">
        <v>166</v>
      </c>
      <c r="AE390" s="54" t="s">
        <v>166</v>
      </c>
      <c r="AF390" s="55" t="s">
        <v>166</v>
      </c>
      <c r="AG390" s="51" t="s">
        <v>166</v>
      </c>
      <c r="AH390" s="48">
        <v>2.0</v>
      </c>
      <c r="AI390" s="48" t="s">
        <v>166</v>
      </c>
      <c r="AJ390" s="50" t="s">
        <v>166</v>
      </c>
      <c r="AK390" s="56">
        <v>999.0</v>
      </c>
      <c r="AL390" s="57">
        <f>AK390*Sheets!$E$3</f>
        <v>137.7076545</v>
      </c>
      <c r="AM390" s="68"/>
      <c r="AN390" s="70"/>
      <c r="AO390" s="126" t="s">
        <v>181</v>
      </c>
      <c r="AP390" s="126"/>
      <c r="AQ390" s="130"/>
    </row>
    <row r="391">
      <c r="A391" s="62" t="s">
        <v>750</v>
      </c>
      <c r="B391" s="62" t="s">
        <v>751</v>
      </c>
      <c r="C391" s="63" t="s">
        <v>262</v>
      </c>
      <c r="D391" s="48">
        <v>190.0</v>
      </c>
      <c r="E391" s="48">
        <v>170.0</v>
      </c>
      <c r="F391" s="48">
        <v>285.0</v>
      </c>
      <c r="G391" s="49">
        <f t="shared" si="1"/>
        <v>9.2055</v>
      </c>
      <c r="H391" s="49">
        <f t="shared" si="2"/>
        <v>323</v>
      </c>
      <c r="I391" s="48" t="s">
        <v>170</v>
      </c>
      <c r="J391" s="48" t="s">
        <v>164</v>
      </c>
      <c r="K391" s="50" t="s">
        <v>546</v>
      </c>
      <c r="L391" s="51">
        <v>147.0</v>
      </c>
      <c r="M391" s="50" t="s">
        <v>166</v>
      </c>
      <c r="N391" s="51" t="s">
        <v>166</v>
      </c>
      <c r="O391" s="48">
        <v>180.0</v>
      </c>
      <c r="P391" s="48">
        <v>130.0</v>
      </c>
      <c r="Q391" s="48">
        <v>40.0</v>
      </c>
      <c r="R391" s="48">
        <v>2.0</v>
      </c>
      <c r="S391" s="50" t="s">
        <v>166</v>
      </c>
      <c r="T391" s="52" t="s">
        <v>167</v>
      </c>
      <c r="U391" s="52" t="s">
        <v>324</v>
      </c>
      <c r="V391" s="51" t="s">
        <v>166</v>
      </c>
      <c r="W391" s="48" t="s">
        <v>166</v>
      </c>
      <c r="X391" s="50" t="s">
        <v>166</v>
      </c>
      <c r="Y391" s="51" t="s">
        <v>166</v>
      </c>
      <c r="Z391" s="48" t="s">
        <v>166</v>
      </c>
      <c r="AA391" s="48">
        <v>1.0</v>
      </c>
      <c r="AB391" s="48" t="s">
        <v>166</v>
      </c>
      <c r="AC391" s="48" t="s">
        <v>166</v>
      </c>
      <c r="AD391" s="48" t="s">
        <v>166</v>
      </c>
      <c r="AE391" s="54" t="s">
        <v>166</v>
      </c>
      <c r="AF391" s="55" t="s">
        <v>166</v>
      </c>
      <c r="AG391" s="51" t="s">
        <v>166</v>
      </c>
      <c r="AH391" s="48" t="s">
        <v>166</v>
      </c>
      <c r="AI391" s="48" t="s">
        <v>166</v>
      </c>
      <c r="AJ391" s="50" t="s">
        <v>166</v>
      </c>
      <c r="AK391" s="56" t="s">
        <v>166</v>
      </c>
      <c r="AL391" s="57">
        <v>195.0</v>
      </c>
      <c r="AM391" s="58"/>
      <c r="AN391" s="59"/>
      <c r="AO391" s="60"/>
      <c r="AP391" s="65">
        <v>44742.55945511574</v>
      </c>
      <c r="AQ391" s="66"/>
    </row>
    <row r="392">
      <c r="A392" s="69" t="s">
        <v>222</v>
      </c>
      <c r="B392" s="73" t="s">
        <v>752</v>
      </c>
      <c r="C392" s="63" t="s">
        <v>262</v>
      </c>
      <c r="D392" s="48">
        <v>270.0</v>
      </c>
      <c r="E392" s="48">
        <v>155.0</v>
      </c>
      <c r="F392" s="48">
        <v>220.0</v>
      </c>
      <c r="G392" s="49">
        <f t="shared" si="1"/>
        <v>9.207</v>
      </c>
      <c r="H392" s="49">
        <f t="shared" si="2"/>
        <v>418.5</v>
      </c>
      <c r="I392" s="48">
        <v>1.6</v>
      </c>
      <c r="J392" s="48" t="s">
        <v>171</v>
      </c>
      <c r="K392" s="50" t="s">
        <v>171</v>
      </c>
      <c r="L392" s="51">
        <v>135.0</v>
      </c>
      <c r="M392" s="50" t="s">
        <v>166</v>
      </c>
      <c r="N392" s="51" t="s">
        <v>166</v>
      </c>
      <c r="O392" s="48">
        <v>270.0</v>
      </c>
      <c r="P392" s="48">
        <v>148.0</v>
      </c>
      <c r="Q392" s="48">
        <v>47.0</v>
      </c>
      <c r="R392" s="48">
        <v>2.0</v>
      </c>
      <c r="S392" s="50" t="s">
        <v>166</v>
      </c>
      <c r="T392" s="52" t="s">
        <v>167</v>
      </c>
      <c r="U392" s="52" t="s">
        <v>346</v>
      </c>
      <c r="V392" s="51">
        <v>2.0</v>
      </c>
      <c r="W392" s="48" t="s">
        <v>166</v>
      </c>
      <c r="X392" s="50" t="s">
        <v>166</v>
      </c>
      <c r="Y392" s="51" t="s">
        <v>166</v>
      </c>
      <c r="Z392" s="48" t="s">
        <v>166</v>
      </c>
      <c r="AA392" s="48" t="s">
        <v>194</v>
      </c>
      <c r="AB392" s="48" t="s">
        <v>194</v>
      </c>
      <c r="AC392" s="48" t="s">
        <v>166</v>
      </c>
      <c r="AD392" s="48" t="s">
        <v>166</v>
      </c>
      <c r="AE392" s="54" t="s">
        <v>166</v>
      </c>
      <c r="AF392" s="55" t="s">
        <v>166</v>
      </c>
      <c r="AG392" s="51" t="s">
        <v>166</v>
      </c>
      <c r="AH392" s="48" t="s">
        <v>166</v>
      </c>
      <c r="AI392" s="48" t="s">
        <v>166</v>
      </c>
      <c r="AJ392" s="50" t="s">
        <v>166</v>
      </c>
      <c r="AK392" s="56">
        <v>218.0</v>
      </c>
      <c r="AL392" s="57">
        <f>AK392*Sheets!$E$3</f>
        <v>30.050319</v>
      </c>
      <c r="AM392" s="68"/>
      <c r="AN392" s="59"/>
      <c r="AO392" s="60" t="s">
        <v>181</v>
      </c>
      <c r="AP392" s="72">
        <v>44442.725326875</v>
      </c>
      <c r="AQ392" s="66"/>
    </row>
    <row r="393">
      <c r="A393" s="99" t="s">
        <v>753</v>
      </c>
      <c r="B393" s="73" t="s">
        <v>485</v>
      </c>
      <c r="C393" s="63" t="s">
        <v>225</v>
      </c>
      <c r="D393" s="48">
        <v>320.0</v>
      </c>
      <c r="E393" s="48">
        <v>85.0</v>
      </c>
      <c r="F393" s="48">
        <v>340.0</v>
      </c>
      <c r="G393" s="49">
        <f t="shared" si="1"/>
        <v>9.248</v>
      </c>
      <c r="H393" s="49">
        <f t="shared" si="2"/>
        <v>272</v>
      </c>
      <c r="I393" s="48">
        <v>0.5</v>
      </c>
      <c r="J393" s="48" t="s">
        <v>245</v>
      </c>
      <c r="K393" s="50" t="s">
        <v>425</v>
      </c>
      <c r="L393" s="51">
        <v>50.0</v>
      </c>
      <c r="M393" s="50" t="s">
        <v>166</v>
      </c>
      <c r="N393" s="51" t="s">
        <v>174</v>
      </c>
      <c r="O393" s="48">
        <v>310.0</v>
      </c>
      <c r="P393" s="48">
        <v>135.0</v>
      </c>
      <c r="Q393" s="48">
        <v>45.0</v>
      </c>
      <c r="R393" s="48">
        <v>2.0</v>
      </c>
      <c r="S393" s="50" t="s">
        <v>166</v>
      </c>
      <c r="T393" s="52" t="s">
        <v>167</v>
      </c>
      <c r="U393" s="52" t="s">
        <v>324</v>
      </c>
      <c r="V393" s="51">
        <v>2.0</v>
      </c>
      <c r="W393" s="48" t="s">
        <v>166</v>
      </c>
      <c r="X393" s="50" t="s">
        <v>166</v>
      </c>
      <c r="Y393" s="51" t="s">
        <v>166</v>
      </c>
      <c r="Z393" s="48" t="s">
        <v>166</v>
      </c>
      <c r="AA393" s="48" t="s">
        <v>166</v>
      </c>
      <c r="AB393" s="48" t="s">
        <v>166</v>
      </c>
      <c r="AC393" s="48" t="s">
        <v>166</v>
      </c>
      <c r="AD393" s="48" t="s">
        <v>166</v>
      </c>
      <c r="AE393" s="54" t="s">
        <v>166</v>
      </c>
      <c r="AF393" s="55" t="s">
        <v>166</v>
      </c>
      <c r="AG393" s="51" t="s">
        <v>166</v>
      </c>
      <c r="AH393" s="48" t="s">
        <v>166</v>
      </c>
      <c r="AI393" s="48" t="s">
        <v>166</v>
      </c>
      <c r="AJ393" s="50" t="s">
        <v>166</v>
      </c>
      <c r="AK393" s="56">
        <v>228.0</v>
      </c>
      <c r="AL393" s="57">
        <f>AK393*Sheets!$E$3</f>
        <v>31.428774</v>
      </c>
      <c r="AM393" s="68"/>
      <c r="AN393" s="70"/>
      <c r="AO393" s="126" t="s">
        <v>181</v>
      </c>
      <c r="AP393" s="72">
        <v>44681.5966690162</v>
      </c>
      <c r="AQ393" s="66"/>
    </row>
    <row r="394">
      <c r="A394" s="99" t="s">
        <v>754</v>
      </c>
      <c r="B394" s="73" t="s">
        <v>755</v>
      </c>
      <c r="C394" s="63" t="s">
        <v>248</v>
      </c>
      <c r="D394" s="48">
        <v>315.0</v>
      </c>
      <c r="E394" s="48">
        <v>140.0</v>
      </c>
      <c r="F394" s="48">
        <v>210.0</v>
      </c>
      <c r="G394" s="49">
        <f t="shared" si="1"/>
        <v>9.261</v>
      </c>
      <c r="H394" s="81">
        <f t="shared" si="2"/>
        <v>441</v>
      </c>
      <c r="I394" s="48" t="s">
        <v>170</v>
      </c>
      <c r="J394" s="48" t="s">
        <v>164</v>
      </c>
      <c r="K394" s="50" t="s">
        <v>164</v>
      </c>
      <c r="L394" s="51">
        <v>50.0</v>
      </c>
      <c r="M394" s="50" t="s">
        <v>166</v>
      </c>
      <c r="N394" s="51" t="s">
        <v>174</v>
      </c>
      <c r="O394" s="48">
        <v>308.0</v>
      </c>
      <c r="P394" s="48">
        <v>140.0</v>
      </c>
      <c r="Q394" s="48">
        <v>54.0</v>
      </c>
      <c r="R394" s="48">
        <v>2.0</v>
      </c>
      <c r="S394" s="50" t="s">
        <v>166</v>
      </c>
      <c r="T394" s="52" t="s">
        <v>167</v>
      </c>
      <c r="U394" s="52" t="s">
        <v>346</v>
      </c>
      <c r="V394" s="51">
        <v>3.0</v>
      </c>
      <c r="W394" s="48" t="s">
        <v>166</v>
      </c>
      <c r="X394" s="50" t="s">
        <v>166</v>
      </c>
      <c r="Y394" s="51" t="s">
        <v>166</v>
      </c>
      <c r="Z394" s="48" t="s">
        <v>166</v>
      </c>
      <c r="AA394" s="48" t="s">
        <v>166</v>
      </c>
      <c r="AB394" s="48" t="s">
        <v>166</v>
      </c>
      <c r="AC394" s="48">
        <v>1.0</v>
      </c>
      <c r="AD394" s="48" t="s">
        <v>166</v>
      </c>
      <c r="AE394" s="54" t="s">
        <v>166</v>
      </c>
      <c r="AF394" s="55" t="s">
        <v>166</v>
      </c>
      <c r="AG394" s="51" t="s">
        <v>166</v>
      </c>
      <c r="AH394" s="48">
        <v>1.0</v>
      </c>
      <c r="AI394" s="48" t="s">
        <v>166</v>
      </c>
      <c r="AJ394" s="50" t="s">
        <v>166</v>
      </c>
      <c r="AK394" s="56">
        <v>588.0</v>
      </c>
      <c r="AL394" s="57">
        <f>AK394*Sheets!$E$3</f>
        <v>81.053154</v>
      </c>
      <c r="AM394" s="68"/>
      <c r="AN394" s="70"/>
      <c r="AO394" s="71" t="s">
        <v>181</v>
      </c>
      <c r="AP394" s="72">
        <v>44442.75014849537</v>
      </c>
      <c r="AQ394" s="66"/>
    </row>
    <row r="395">
      <c r="A395" s="69" t="str">
        <f>HYPERLINK("https://shop490351919.world.taobao.com/","Small Case")</f>
        <v>Small Case</v>
      </c>
      <c r="B395" s="46" t="str">
        <f>HYPERLINK("https://item.taobao.com/item.htm?id=597629488172","Bs2 (Air)")</f>
        <v>Bs2 (Air)</v>
      </c>
      <c r="C395" s="63" t="s">
        <v>248</v>
      </c>
      <c r="D395" s="48">
        <v>320.0</v>
      </c>
      <c r="E395" s="48">
        <v>138.0</v>
      </c>
      <c r="F395" s="48">
        <v>210.0</v>
      </c>
      <c r="G395" s="49">
        <f t="shared" si="1"/>
        <v>9.2736</v>
      </c>
      <c r="H395" s="49">
        <f t="shared" si="2"/>
        <v>441.6</v>
      </c>
      <c r="I395" s="48" t="s">
        <v>170</v>
      </c>
      <c r="J395" s="48" t="s">
        <v>164</v>
      </c>
      <c r="K395" s="50" t="s">
        <v>756</v>
      </c>
      <c r="L395" s="51">
        <v>62.0</v>
      </c>
      <c r="M395" s="50" t="s">
        <v>166</v>
      </c>
      <c r="N395" s="51" t="s">
        <v>174</v>
      </c>
      <c r="O395" s="48">
        <v>298.0</v>
      </c>
      <c r="P395" s="48">
        <v>125.0</v>
      </c>
      <c r="Q395" s="48">
        <v>42.0</v>
      </c>
      <c r="R395" s="48">
        <v>2.0</v>
      </c>
      <c r="S395" s="50" t="s">
        <v>166</v>
      </c>
      <c r="T395" s="52" t="s">
        <v>167</v>
      </c>
      <c r="U395" s="52" t="s">
        <v>324</v>
      </c>
      <c r="V395" s="51">
        <v>2.0</v>
      </c>
      <c r="W395" s="48" t="s">
        <v>166</v>
      </c>
      <c r="X395" s="50" t="s">
        <v>166</v>
      </c>
      <c r="Y395" s="51" t="s">
        <v>166</v>
      </c>
      <c r="Z395" s="48" t="s">
        <v>166</v>
      </c>
      <c r="AA395" s="48" t="s">
        <v>166</v>
      </c>
      <c r="AB395" s="48" t="s">
        <v>166</v>
      </c>
      <c r="AC395" s="48">
        <v>2.0</v>
      </c>
      <c r="AD395" s="48" t="s">
        <v>166</v>
      </c>
      <c r="AE395" s="54" t="s">
        <v>166</v>
      </c>
      <c r="AF395" s="55" t="s">
        <v>166</v>
      </c>
      <c r="AG395" s="51" t="s">
        <v>166</v>
      </c>
      <c r="AH395" s="48" t="s">
        <v>166</v>
      </c>
      <c r="AI395" s="48" t="s">
        <v>166</v>
      </c>
      <c r="AJ395" s="50" t="s">
        <v>166</v>
      </c>
      <c r="AK395" s="56">
        <v>1299.0</v>
      </c>
      <c r="AL395" s="57">
        <f>AK395*Sheets!$E$3</f>
        <v>179.0613045</v>
      </c>
      <c r="AM395" s="68"/>
      <c r="AN395" s="70"/>
      <c r="AO395" s="126"/>
      <c r="AP395" s="72">
        <v>44442.762420416664</v>
      </c>
      <c r="AQ395" s="66"/>
    </row>
    <row r="396">
      <c r="A396" s="69" t="s">
        <v>757</v>
      </c>
      <c r="B396" s="46" t="s">
        <v>758</v>
      </c>
      <c r="C396" s="63" t="s">
        <v>248</v>
      </c>
      <c r="D396" s="48" t="s">
        <v>759</v>
      </c>
      <c r="E396" s="48" t="s">
        <v>759</v>
      </c>
      <c r="F396" s="48">
        <v>299.0</v>
      </c>
      <c r="G396" s="49">
        <f>0.25*pi()*199^2*F396/1000000</f>
        <v>9.299663248</v>
      </c>
      <c r="H396" s="49">
        <f>0.25*pi()*199^2/100</f>
        <v>311.0255267</v>
      </c>
      <c r="I396" s="48">
        <v>3.2</v>
      </c>
      <c r="J396" s="48" t="s">
        <v>164</v>
      </c>
      <c r="K396" s="50" t="s">
        <v>760</v>
      </c>
      <c r="L396" s="51">
        <v>75.0</v>
      </c>
      <c r="M396" s="50" t="s">
        <v>166</v>
      </c>
      <c r="N396" s="51" t="s">
        <v>174</v>
      </c>
      <c r="O396" s="48">
        <v>242.0</v>
      </c>
      <c r="P396" s="48">
        <v>115.0</v>
      </c>
      <c r="Q396" s="48">
        <v>42.0</v>
      </c>
      <c r="R396" s="48">
        <v>2.0</v>
      </c>
      <c r="S396" s="50" t="s">
        <v>166</v>
      </c>
      <c r="T396" s="52" t="s">
        <v>167</v>
      </c>
      <c r="U396" s="52" t="s">
        <v>324</v>
      </c>
      <c r="V396" s="51">
        <v>2.0</v>
      </c>
      <c r="W396" s="48" t="s">
        <v>166</v>
      </c>
      <c r="X396" s="50" t="s">
        <v>166</v>
      </c>
      <c r="Y396" s="51" t="s">
        <v>193</v>
      </c>
      <c r="Z396" s="48" t="s">
        <v>166</v>
      </c>
      <c r="AA396" s="48" t="s">
        <v>194</v>
      </c>
      <c r="AB396" s="48" t="s">
        <v>166</v>
      </c>
      <c r="AC396" s="48" t="s">
        <v>166</v>
      </c>
      <c r="AD396" s="48">
        <v>1.0</v>
      </c>
      <c r="AE396" s="54" t="s">
        <v>166</v>
      </c>
      <c r="AF396" s="55" t="s">
        <v>166</v>
      </c>
      <c r="AG396" s="51" t="s">
        <v>166</v>
      </c>
      <c r="AH396" s="48" t="s">
        <v>166</v>
      </c>
      <c r="AI396" s="48" t="s">
        <v>166</v>
      </c>
      <c r="AJ396" s="50" t="s">
        <v>166</v>
      </c>
      <c r="AK396" s="56">
        <v>1398.0</v>
      </c>
      <c r="AL396" s="57">
        <f>AK396*Sheets!$E$3</f>
        <v>192.708009</v>
      </c>
      <c r="AM396" s="68"/>
      <c r="AN396" s="70"/>
      <c r="AO396" s="126"/>
      <c r="AP396" s="71"/>
      <c r="AQ396" s="66"/>
    </row>
    <row r="397">
      <c r="A397" s="46" t="s">
        <v>451</v>
      </c>
      <c r="B397" s="46" t="s">
        <v>761</v>
      </c>
      <c r="C397" s="63" t="s">
        <v>248</v>
      </c>
      <c r="D397" s="48">
        <v>216.0</v>
      </c>
      <c r="E397" s="48">
        <v>155.0</v>
      </c>
      <c r="F397" s="48">
        <v>278.0</v>
      </c>
      <c r="G397" s="98">
        <f t="shared" ref="G397:G405" si="12">D397*E397*F397/1000000</f>
        <v>9.30744</v>
      </c>
      <c r="H397" s="49">
        <f t="shared" ref="H397:H405" si="13">D397*E397/100</f>
        <v>334.8</v>
      </c>
      <c r="I397" s="48">
        <v>3.0</v>
      </c>
      <c r="J397" s="48" t="s">
        <v>164</v>
      </c>
      <c r="K397" s="50" t="s">
        <v>688</v>
      </c>
      <c r="L397" s="51">
        <v>75.0</v>
      </c>
      <c r="M397" s="50" t="s">
        <v>166</v>
      </c>
      <c r="N397" s="51" t="s">
        <v>174</v>
      </c>
      <c r="O397" s="48">
        <v>208.0</v>
      </c>
      <c r="P397" s="48">
        <v>150.0</v>
      </c>
      <c r="Q397" s="48">
        <v>50.0</v>
      </c>
      <c r="R397" s="48">
        <v>2.0</v>
      </c>
      <c r="S397" s="50" t="s">
        <v>166</v>
      </c>
      <c r="T397" s="52" t="s">
        <v>762</v>
      </c>
      <c r="U397" s="52" t="s">
        <v>639</v>
      </c>
      <c r="V397" s="51">
        <v>3.0</v>
      </c>
      <c r="W397" s="48" t="s">
        <v>194</v>
      </c>
      <c r="X397" s="50" t="s">
        <v>166</v>
      </c>
      <c r="Y397" s="51" t="s">
        <v>166</v>
      </c>
      <c r="Z397" s="48" t="s">
        <v>166</v>
      </c>
      <c r="AA397" s="48" t="s">
        <v>166</v>
      </c>
      <c r="AB397" s="48" t="s">
        <v>166</v>
      </c>
      <c r="AC397" s="48" t="s">
        <v>194</v>
      </c>
      <c r="AD397" s="48" t="s">
        <v>194</v>
      </c>
      <c r="AE397" s="54" t="s">
        <v>166</v>
      </c>
      <c r="AF397" s="55" t="s">
        <v>166</v>
      </c>
      <c r="AG397" s="51" t="s">
        <v>166</v>
      </c>
      <c r="AH397" s="48" t="s">
        <v>166</v>
      </c>
      <c r="AI397" s="48">
        <v>1.0</v>
      </c>
      <c r="AJ397" s="50" t="s">
        <v>166</v>
      </c>
      <c r="AK397" s="56">
        <v>759.0</v>
      </c>
      <c r="AL397" s="57">
        <f>AK397*Sheets!$E$3</f>
        <v>104.6247345</v>
      </c>
      <c r="AM397" s="68"/>
      <c r="AN397" s="70"/>
      <c r="AO397" s="71"/>
      <c r="AP397" s="72">
        <v>44994.6608104051</v>
      </c>
      <c r="AQ397" s="66"/>
    </row>
    <row r="398">
      <c r="A398" s="99" t="s">
        <v>763</v>
      </c>
      <c r="B398" s="73" t="s">
        <v>764</v>
      </c>
      <c r="C398" s="63" t="s">
        <v>248</v>
      </c>
      <c r="D398" s="48">
        <v>336.0</v>
      </c>
      <c r="E398" s="48">
        <v>131.0</v>
      </c>
      <c r="F398" s="48">
        <v>212.0</v>
      </c>
      <c r="G398" s="49">
        <f t="shared" si="12"/>
        <v>9.331392</v>
      </c>
      <c r="H398" s="49">
        <f t="shared" si="13"/>
        <v>440.16</v>
      </c>
      <c r="I398" s="48" t="s">
        <v>170</v>
      </c>
      <c r="J398" s="48" t="s">
        <v>597</v>
      </c>
      <c r="K398" s="50" t="s">
        <v>305</v>
      </c>
      <c r="L398" s="51">
        <v>49.0</v>
      </c>
      <c r="M398" s="50">
        <v>120.0</v>
      </c>
      <c r="N398" s="51" t="s">
        <v>174</v>
      </c>
      <c r="O398" s="48">
        <v>320.0</v>
      </c>
      <c r="P398" s="48" t="s">
        <v>170</v>
      </c>
      <c r="Q398" s="48">
        <v>40.0</v>
      </c>
      <c r="R398" s="48">
        <v>2.0</v>
      </c>
      <c r="S398" s="50" t="s">
        <v>166</v>
      </c>
      <c r="T398" s="52" t="s">
        <v>167</v>
      </c>
      <c r="U398" s="52" t="s">
        <v>324</v>
      </c>
      <c r="V398" s="51" t="s">
        <v>416</v>
      </c>
      <c r="W398" s="48" t="s">
        <v>166</v>
      </c>
      <c r="X398" s="50" t="s">
        <v>166</v>
      </c>
      <c r="Y398" s="51" t="s">
        <v>426</v>
      </c>
      <c r="Z398" s="48" t="s">
        <v>193</v>
      </c>
      <c r="AA398" s="48" t="s">
        <v>193</v>
      </c>
      <c r="AB398" s="48" t="s">
        <v>166</v>
      </c>
      <c r="AC398" s="48" t="s">
        <v>194</v>
      </c>
      <c r="AD398" s="48" t="s">
        <v>166</v>
      </c>
      <c r="AE398" s="54" t="s">
        <v>166</v>
      </c>
      <c r="AF398" s="55" t="s">
        <v>166</v>
      </c>
      <c r="AG398" s="51" t="s">
        <v>166</v>
      </c>
      <c r="AH398" s="48">
        <v>2.0</v>
      </c>
      <c r="AI398" s="48" t="s">
        <v>166</v>
      </c>
      <c r="AJ398" s="50" t="s">
        <v>166</v>
      </c>
      <c r="AK398" s="56">
        <v>740.0</v>
      </c>
      <c r="AL398" s="57">
        <f>AK398*Sheets!$E$3</f>
        <v>102.00567</v>
      </c>
      <c r="AM398" s="68"/>
      <c r="AN398" s="70"/>
      <c r="AO398" s="71" t="s">
        <v>181</v>
      </c>
      <c r="AP398" s="71"/>
      <c r="AQ398" s="66"/>
    </row>
    <row r="399">
      <c r="A399" s="46" t="str">
        <f>HYPERLINK("https://shop159524301.world.taobao.com/","Warhead Design")</f>
        <v>Warhead Design</v>
      </c>
      <c r="B399" s="73" t="s">
        <v>765</v>
      </c>
      <c r="C399" s="63" t="s">
        <v>248</v>
      </c>
      <c r="D399" s="48">
        <v>315.0</v>
      </c>
      <c r="E399" s="48">
        <v>129.0</v>
      </c>
      <c r="F399" s="48">
        <v>230.0</v>
      </c>
      <c r="G399" s="49">
        <f t="shared" si="12"/>
        <v>9.34605</v>
      </c>
      <c r="H399" s="49">
        <f t="shared" si="13"/>
        <v>406.35</v>
      </c>
      <c r="I399" s="48">
        <v>1.2</v>
      </c>
      <c r="J399" s="48" t="s">
        <v>164</v>
      </c>
      <c r="K399" s="50" t="s">
        <v>164</v>
      </c>
      <c r="L399" s="51">
        <v>55.0</v>
      </c>
      <c r="M399" s="50" t="s">
        <v>547</v>
      </c>
      <c r="N399" s="51" t="s">
        <v>174</v>
      </c>
      <c r="O399" s="48">
        <v>300.0</v>
      </c>
      <c r="P399" s="48" t="s">
        <v>170</v>
      </c>
      <c r="Q399" s="48">
        <v>52.0</v>
      </c>
      <c r="R399" s="48">
        <v>2.0</v>
      </c>
      <c r="S399" s="50" t="s">
        <v>166</v>
      </c>
      <c r="T399" s="52" t="s">
        <v>167</v>
      </c>
      <c r="U399" s="52" t="s">
        <v>324</v>
      </c>
      <c r="V399" s="51">
        <v>2.0</v>
      </c>
      <c r="W399" s="48" t="s">
        <v>166</v>
      </c>
      <c r="X399" s="50" t="s">
        <v>166</v>
      </c>
      <c r="Y399" s="51" t="s">
        <v>166</v>
      </c>
      <c r="Z399" s="48" t="s">
        <v>166</v>
      </c>
      <c r="AA399" s="48" t="s">
        <v>166</v>
      </c>
      <c r="AB399" s="48" t="s">
        <v>166</v>
      </c>
      <c r="AC399" s="48">
        <v>2.0</v>
      </c>
      <c r="AD399" s="48" t="s">
        <v>166</v>
      </c>
      <c r="AE399" s="54" t="s">
        <v>166</v>
      </c>
      <c r="AF399" s="55" t="s">
        <v>166</v>
      </c>
      <c r="AG399" s="51" t="s">
        <v>166</v>
      </c>
      <c r="AH399" s="48" t="s">
        <v>166</v>
      </c>
      <c r="AI399" s="48" t="s">
        <v>166</v>
      </c>
      <c r="AJ399" s="50" t="s">
        <v>166</v>
      </c>
      <c r="AK399" s="56">
        <v>899.0</v>
      </c>
      <c r="AL399" s="57">
        <f>AK399*Sheets!$E$3</f>
        <v>123.9231045</v>
      </c>
      <c r="AM399" s="68"/>
      <c r="AN399" s="59"/>
      <c r="AO399" s="60" t="s">
        <v>181</v>
      </c>
      <c r="AP399" s="65">
        <v>44681.59682769676</v>
      </c>
      <c r="AQ399" s="66"/>
    </row>
    <row r="400">
      <c r="A400" s="69" t="str">
        <f>HYPERLINK("https://shop117227817.world.taobao.com/","深圳好玩数码")</f>
        <v>深圳好玩数码</v>
      </c>
      <c r="B400" s="73" t="s">
        <v>766</v>
      </c>
      <c r="C400" s="63" t="s">
        <v>248</v>
      </c>
      <c r="D400" s="48">
        <v>250.0</v>
      </c>
      <c r="E400" s="48">
        <v>134.0</v>
      </c>
      <c r="F400" s="48">
        <v>280.0</v>
      </c>
      <c r="G400" s="49">
        <f t="shared" si="12"/>
        <v>9.38</v>
      </c>
      <c r="H400" s="49">
        <f t="shared" si="13"/>
        <v>335</v>
      </c>
      <c r="I400" s="48" t="s">
        <v>170</v>
      </c>
      <c r="J400" s="48" t="s">
        <v>274</v>
      </c>
      <c r="K400" s="50" t="s">
        <v>305</v>
      </c>
      <c r="L400" s="51">
        <v>65.0</v>
      </c>
      <c r="M400" s="50" t="s">
        <v>166</v>
      </c>
      <c r="N400" s="51" t="s">
        <v>174</v>
      </c>
      <c r="O400" s="48">
        <v>240.0</v>
      </c>
      <c r="P400" s="48">
        <v>145.0</v>
      </c>
      <c r="Q400" s="48">
        <v>40.0</v>
      </c>
      <c r="R400" s="48">
        <v>2.0</v>
      </c>
      <c r="S400" s="50" t="s">
        <v>166</v>
      </c>
      <c r="T400" s="52" t="s">
        <v>167</v>
      </c>
      <c r="U400" s="52" t="s">
        <v>346</v>
      </c>
      <c r="V400" s="51" t="s">
        <v>412</v>
      </c>
      <c r="W400" s="48" t="s">
        <v>166</v>
      </c>
      <c r="X400" s="50" t="s">
        <v>166</v>
      </c>
      <c r="Y400" s="51" t="s">
        <v>166</v>
      </c>
      <c r="Z400" s="48" t="s">
        <v>166</v>
      </c>
      <c r="AA400" s="48" t="s">
        <v>166</v>
      </c>
      <c r="AB400" s="48" t="s">
        <v>166</v>
      </c>
      <c r="AC400" s="48">
        <v>1.0</v>
      </c>
      <c r="AD400" s="48" t="s">
        <v>166</v>
      </c>
      <c r="AE400" s="54" t="s">
        <v>166</v>
      </c>
      <c r="AF400" s="55" t="s">
        <v>166</v>
      </c>
      <c r="AG400" s="51" t="s">
        <v>166</v>
      </c>
      <c r="AH400" s="48">
        <v>1.0</v>
      </c>
      <c r="AI400" s="48" t="s">
        <v>166</v>
      </c>
      <c r="AJ400" s="50" t="s">
        <v>166</v>
      </c>
      <c r="AK400" s="56">
        <v>359.0</v>
      </c>
      <c r="AL400" s="57">
        <f>AK400*Sheets!$E$3</f>
        <v>49.4865345</v>
      </c>
      <c r="AM400" s="68"/>
      <c r="AN400" s="70"/>
      <c r="AO400" s="71" t="s">
        <v>181</v>
      </c>
      <c r="AP400" s="65">
        <v>45057.883731145834</v>
      </c>
      <c r="AQ400" s="66"/>
    </row>
    <row r="401">
      <c r="A401" s="83" t="str">
        <f>HYPERLINK("https://www.sfftime.com/","SFFtime")</f>
        <v>SFFtime</v>
      </c>
      <c r="B401" s="67" t="s">
        <v>767</v>
      </c>
      <c r="C401" s="63" t="s">
        <v>225</v>
      </c>
      <c r="D401" s="48">
        <v>380.0</v>
      </c>
      <c r="E401" s="48">
        <v>72.0</v>
      </c>
      <c r="F401" s="48">
        <v>343.0</v>
      </c>
      <c r="G401" s="49">
        <f t="shared" si="12"/>
        <v>9.38448</v>
      </c>
      <c r="H401" s="49">
        <f t="shared" si="13"/>
        <v>273.6</v>
      </c>
      <c r="I401" s="48" t="s">
        <v>170</v>
      </c>
      <c r="J401" s="48" t="s">
        <v>171</v>
      </c>
      <c r="K401" s="50" t="s">
        <v>768</v>
      </c>
      <c r="L401" s="51">
        <v>53.0</v>
      </c>
      <c r="M401" s="50" t="s">
        <v>565</v>
      </c>
      <c r="N401" s="51" t="s">
        <v>174</v>
      </c>
      <c r="O401" s="48">
        <v>370.0</v>
      </c>
      <c r="P401" s="48">
        <v>134.0</v>
      </c>
      <c r="Q401" s="48">
        <v>62.0</v>
      </c>
      <c r="R401" s="48">
        <v>3.0</v>
      </c>
      <c r="S401" s="50" t="s">
        <v>166</v>
      </c>
      <c r="T401" s="52" t="s">
        <v>769</v>
      </c>
      <c r="U401" s="52" t="s">
        <v>770</v>
      </c>
      <c r="V401" s="51" t="s">
        <v>771</v>
      </c>
      <c r="W401" s="48" t="s">
        <v>193</v>
      </c>
      <c r="X401" s="50" t="s">
        <v>166</v>
      </c>
      <c r="Y401" s="51" t="s">
        <v>193</v>
      </c>
      <c r="Z401" s="48" t="s">
        <v>562</v>
      </c>
      <c r="AA401" s="48" t="s">
        <v>166</v>
      </c>
      <c r="AB401" s="48" t="s">
        <v>194</v>
      </c>
      <c r="AC401" s="48" t="s">
        <v>194</v>
      </c>
      <c r="AD401" s="48" t="s">
        <v>166</v>
      </c>
      <c r="AE401" s="54" t="s">
        <v>166</v>
      </c>
      <c r="AF401" s="55" t="s">
        <v>166</v>
      </c>
      <c r="AG401" s="51" t="s">
        <v>166</v>
      </c>
      <c r="AH401" s="48">
        <v>2.0</v>
      </c>
      <c r="AI401" s="48" t="s">
        <v>166</v>
      </c>
      <c r="AJ401" s="50" t="s">
        <v>166</v>
      </c>
      <c r="AK401" s="56" t="s">
        <v>166</v>
      </c>
      <c r="AL401" s="57">
        <v>170.0</v>
      </c>
      <c r="AM401" s="64" t="str">
        <f>HYPERLINK("https://smallformfactor.net/forum/threads/sfftime-presents-p-atx-the-9l-case-with-atx-and-aio-support.10919/","Link")</f>
        <v>Link</v>
      </c>
      <c r="AN401" s="59"/>
      <c r="AO401" s="60" t="s">
        <v>181</v>
      </c>
      <c r="AP401" s="65">
        <v>44598.68190460648</v>
      </c>
      <c r="AQ401" s="66"/>
    </row>
    <row r="402">
      <c r="A402" s="99" t="s">
        <v>772</v>
      </c>
      <c r="B402" s="73" t="s">
        <v>773</v>
      </c>
      <c r="C402" s="63" t="s">
        <v>262</v>
      </c>
      <c r="D402" s="48">
        <v>289.0</v>
      </c>
      <c r="E402" s="48">
        <v>149.0</v>
      </c>
      <c r="F402" s="48">
        <v>218.0</v>
      </c>
      <c r="G402" s="49">
        <f t="shared" si="12"/>
        <v>9.387298</v>
      </c>
      <c r="H402" s="49">
        <f t="shared" si="13"/>
        <v>430.61</v>
      </c>
      <c r="I402" s="48" t="s">
        <v>170</v>
      </c>
      <c r="J402" s="48" t="s">
        <v>411</v>
      </c>
      <c r="K402" s="50" t="s">
        <v>722</v>
      </c>
      <c r="L402" s="51">
        <v>120.0</v>
      </c>
      <c r="M402" s="50" t="s">
        <v>166</v>
      </c>
      <c r="N402" s="51" t="s">
        <v>166</v>
      </c>
      <c r="O402" s="48">
        <v>280.0</v>
      </c>
      <c r="P402" s="48">
        <v>120.0</v>
      </c>
      <c r="Q402" s="48">
        <v>43.0</v>
      </c>
      <c r="R402" s="48">
        <v>2.0</v>
      </c>
      <c r="S402" s="50" t="s">
        <v>166</v>
      </c>
      <c r="T402" s="52" t="s">
        <v>167</v>
      </c>
      <c r="U402" s="52" t="s">
        <v>346</v>
      </c>
      <c r="V402" s="51">
        <v>2.0</v>
      </c>
      <c r="W402" s="48" t="s">
        <v>166</v>
      </c>
      <c r="X402" s="50" t="s">
        <v>166</v>
      </c>
      <c r="Y402" s="51" t="s">
        <v>166</v>
      </c>
      <c r="Z402" s="48" t="s">
        <v>166</v>
      </c>
      <c r="AA402" s="48">
        <v>1.0</v>
      </c>
      <c r="AB402" s="48" t="s">
        <v>166</v>
      </c>
      <c r="AC402" s="48" t="s">
        <v>166</v>
      </c>
      <c r="AD402" s="48" t="s">
        <v>166</v>
      </c>
      <c r="AE402" s="54" t="s">
        <v>166</v>
      </c>
      <c r="AF402" s="55" t="s">
        <v>166</v>
      </c>
      <c r="AG402" s="51" t="s">
        <v>166</v>
      </c>
      <c r="AH402" s="48">
        <v>1.0</v>
      </c>
      <c r="AI402" s="48" t="s">
        <v>166</v>
      </c>
      <c r="AJ402" s="50" t="s">
        <v>166</v>
      </c>
      <c r="AK402" s="56">
        <v>980.0</v>
      </c>
      <c r="AL402" s="57">
        <f>AK402*Sheets!$E$3</f>
        <v>135.08859</v>
      </c>
      <c r="AM402" s="68"/>
      <c r="AN402" s="70"/>
      <c r="AO402" s="71" t="s">
        <v>181</v>
      </c>
      <c r="AP402" s="72">
        <v>44442.73864457176</v>
      </c>
      <c r="AQ402" s="66"/>
    </row>
    <row r="403">
      <c r="A403" s="69" t="s">
        <v>600</v>
      </c>
      <c r="B403" s="46" t="s">
        <v>774</v>
      </c>
      <c r="C403" s="63" t="s">
        <v>248</v>
      </c>
      <c r="D403" s="48">
        <v>330.0</v>
      </c>
      <c r="E403" s="48">
        <v>150.0</v>
      </c>
      <c r="F403" s="48">
        <v>190.0</v>
      </c>
      <c r="G403" s="49">
        <f t="shared" si="12"/>
        <v>9.405</v>
      </c>
      <c r="H403" s="49">
        <f t="shared" si="13"/>
        <v>495</v>
      </c>
      <c r="I403" s="48">
        <v>2.0</v>
      </c>
      <c r="J403" s="48" t="s">
        <v>245</v>
      </c>
      <c r="K403" s="50" t="s">
        <v>164</v>
      </c>
      <c r="L403" s="51">
        <v>60.0</v>
      </c>
      <c r="M403" s="50" t="s">
        <v>166</v>
      </c>
      <c r="N403" s="51" t="s">
        <v>174</v>
      </c>
      <c r="O403" s="48">
        <v>325.0</v>
      </c>
      <c r="P403" s="48" t="s">
        <v>170</v>
      </c>
      <c r="Q403" s="48">
        <v>64.0</v>
      </c>
      <c r="R403" s="48">
        <v>3.0</v>
      </c>
      <c r="S403" s="50" t="s">
        <v>166</v>
      </c>
      <c r="T403" s="52" t="s">
        <v>167</v>
      </c>
      <c r="U403" s="52" t="s">
        <v>324</v>
      </c>
      <c r="V403" s="51">
        <v>1.0</v>
      </c>
      <c r="W403" s="48" t="s">
        <v>166</v>
      </c>
      <c r="X403" s="50" t="s">
        <v>166</v>
      </c>
      <c r="Y403" s="51" t="s">
        <v>166</v>
      </c>
      <c r="Z403" s="48" t="s">
        <v>166</v>
      </c>
      <c r="AA403" s="48" t="s">
        <v>166</v>
      </c>
      <c r="AB403" s="48" t="s">
        <v>166</v>
      </c>
      <c r="AC403" s="48" t="s">
        <v>166</v>
      </c>
      <c r="AD403" s="48" t="s">
        <v>166</v>
      </c>
      <c r="AE403" s="54" t="s">
        <v>166</v>
      </c>
      <c r="AF403" s="55" t="s">
        <v>166</v>
      </c>
      <c r="AG403" s="51" t="s">
        <v>166</v>
      </c>
      <c r="AH403" s="48">
        <v>1.0</v>
      </c>
      <c r="AI403" s="48" t="s">
        <v>166</v>
      </c>
      <c r="AJ403" s="50" t="s">
        <v>166</v>
      </c>
      <c r="AK403" s="56">
        <v>259.0</v>
      </c>
      <c r="AL403" s="57">
        <f>AK403*Sheets!$E$3</f>
        <v>35.7019845</v>
      </c>
      <c r="AM403" s="68"/>
      <c r="AN403" s="70"/>
      <c r="AO403" s="71"/>
      <c r="AP403" s="72"/>
      <c r="AQ403" s="66"/>
    </row>
    <row r="404">
      <c r="A404" s="46" t="str">
        <f>HYPERLINK("https://shop120331572.world.taobao.com/","Ultra Civilz")</f>
        <v>Ultra Civilz</v>
      </c>
      <c r="B404" s="73" t="s">
        <v>775</v>
      </c>
      <c r="C404" s="63" t="s">
        <v>248</v>
      </c>
      <c r="D404" s="48">
        <v>306.0</v>
      </c>
      <c r="E404" s="48">
        <v>143.0</v>
      </c>
      <c r="F404" s="48">
        <v>215.0</v>
      </c>
      <c r="G404" s="49">
        <f t="shared" si="12"/>
        <v>9.40797</v>
      </c>
      <c r="H404" s="49">
        <f t="shared" si="13"/>
        <v>437.58</v>
      </c>
      <c r="I404" s="48" t="s">
        <v>170</v>
      </c>
      <c r="J404" s="48" t="s">
        <v>235</v>
      </c>
      <c r="K404" s="50" t="s">
        <v>164</v>
      </c>
      <c r="L404" s="51">
        <v>76.0</v>
      </c>
      <c r="M404" s="50" t="s">
        <v>166</v>
      </c>
      <c r="N404" s="51" t="s">
        <v>174</v>
      </c>
      <c r="O404" s="48">
        <v>300.0</v>
      </c>
      <c r="P404" s="48" t="s">
        <v>170</v>
      </c>
      <c r="Q404" s="48">
        <v>45.0</v>
      </c>
      <c r="R404" s="48">
        <v>2.0</v>
      </c>
      <c r="S404" s="50" t="s">
        <v>166</v>
      </c>
      <c r="T404" s="52" t="s">
        <v>167</v>
      </c>
      <c r="U404" s="52" t="s">
        <v>324</v>
      </c>
      <c r="V404" s="51">
        <v>3.0</v>
      </c>
      <c r="W404" s="48">
        <v>1.0</v>
      </c>
      <c r="X404" s="50" t="s">
        <v>166</v>
      </c>
      <c r="Y404" s="51" t="s">
        <v>166</v>
      </c>
      <c r="Z404" s="48" t="s">
        <v>166</v>
      </c>
      <c r="AA404" s="48" t="s">
        <v>166</v>
      </c>
      <c r="AB404" s="48">
        <v>2.0</v>
      </c>
      <c r="AC404" s="48">
        <v>1.0</v>
      </c>
      <c r="AD404" s="48" t="s">
        <v>166</v>
      </c>
      <c r="AE404" s="54" t="s">
        <v>166</v>
      </c>
      <c r="AF404" s="55" t="s">
        <v>166</v>
      </c>
      <c r="AG404" s="51" t="s">
        <v>166</v>
      </c>
      <c r="AH404" s="48" t="s">
        <v>166</v>
      </c>
      <c r="AI404" s="48" t="s">
        <v>166</v>
      </c>
      <c r="AJ404" s="50" t="s">
        <v>166</v>
      </c>
      <c r="AK404" s="56">
        <v>869.0</v>
      </c>
      <c r="AL404" s="57">
        <f>AK404*Sheets!$E$3</f>
        <v>119.7877395</v>
      </c>
      <c r="AM404" s="68"/>
      <c r="AN404" s="70"/>
      <c r="AO404" s="71" t="s">
        <v>181</v>
      </c>
      <c r="AP404" s="71"/>
      <c r="AQ404" s="66"/>
    </row>
    <row r="405">
      <c r="A405" s="69" t="str">
        <f>HYPERLINK("https://metalfish.world.taobao.com/","Metalfish")</f>
        <v>Metalfish</v>
      </c>
      <c r="B405" s="46" t="str">
        <f>HYPERLINK("https://item.taobao.com/item.htm?id=600326254848","S3 Plus")</f>
        <v>S3 Plus</v>
      </c>
      <c r="C405" s="63" t="s">
        <v>248</v>
      </c>
      <c r="D405" s="48">
        <v>240.0</v>
      </c>
      <c r="E405" s="48">
        <v>140.0</v>
      </c>
      <c r="F405" s="48">
        <v>280.0</v>
      </c>
      <c r="G405" s="49">
        <f t="shared" si="12"/>
        <v>9.408</v>
      </c>
      <c r="H405" s="49">
        <f t="shared" si="13"/>
        <v>336</v>
      </c>
      <c r="I405" s="48">
        <v>1.2</v>
      </c>
      <c r="J405" s="48" t="s">
        <v>235</v>
      </c>
      <c r="K405" s="50" t="s">
        <v>305</v>
      </c>
      <c r="L405" s="51">
        <v>70.0</v>
      </c>
      <c r="M405" s="50" t="s">
        <v>166</v>
      </c>
      <c r="N405" s="51" t="s">
        <v>174</v>
      </c>
      <c r="O405" s="48">
        <v>230.0</v>
      </c>
      <c r="P405" s="48" t="s">
        <v>170</v>
      </c>
      <c r="Q405" s="48">
        <v>40.0</v>
      </c>
      <c r="R405" s="48">
        <v>2.0</v>
      </c>
      <c r="S405" s="50" t="s">
        <v>166</v>
      </c>
      <c r="T405" s="52" t="s">
        <v>167</v>
      </c>
      <c r="U405" s="52" t="s">
        <v>346</v>
      </c>
      <c r="V405" s="51">
        <v>4.0</v>
      </c>
      <c r="W405" s="48" t="s">
        <v>166</v>
      </c>
      <c r="X405" s="50" t="s">
        <v>166</v>
      </c>
      <c r="Y405" s="51" t="s">
        <v>166</v>
      </c>
      <c r="Z405" s="48" t="s">
        <v>166</v>
      </c>
      <c r="AA405" s="48" t="s">
        <v>166</v>
      </c>
      <c r="AB405" s="48" t="s">
        <v>166</v>
      </c>
      <c r="AC405" s="48">
        <v>1.0</v>
      </c>
      <c r="AD405" s="48" t="s">
        <v>166</v>
      </c>
      <c r="AE405" s="54" t="s">
        <v>166</v>
      </c>
      <c r="AF405" s="55" t="s">
        <v>166</v>
      </c>
      <c r="AG405" s="51" t="s">
        <v>166</v>
      </c>
      <c r="AH405" s="48">
        <v>2.0</v>
      </c>
      <c r="AI405" s="48" t="s">
        <v>166</v>
      </c>
      <c r="AJ405" s="50" t="s">
        <v>166</v>
      </c>
      <c r="AK405" s="56">
        <v>399.0</v>
      </c>
      <c r="AL405" s="57">
        <f>AK405*Sheets!$E$3</f>
        <v>55.0003545</v>
      </c>
      <c r="AM405" s="68"/>
      <c r="AN405" s="70"/>
      <c r="AO405" s="71" t="s">
        <v>181</v>
      </c>
      <c r="AP405" s="72">
        <v>44442.740903032405</v>
      </c>
      <c r="AQ405" s="66"/>
    </row>
    <row r="406">
      <c r="A406" s="69" t="str">
        <f>HYPERLINK("https://shop59429417.world.taobao.com/","龙猫定制")</f>
        <v>龙猫定制</v>
      </c>
      <c r="B406" s="73" t="s">
        <v>776</v>
      </c>
      <c r="C406" s="63" t="s">
        <v>248</v>
      </c>
      <c r="D406" s="48" t="s">
        <v>777</v>
      </c>
      <c r="E406" s="48" t="s">
        <v>777</v>
      </c>
      <c r="F406" s="48">
        <v>300.0</v>
      </c>
      <c r="G406" s="49">
        <f>0.25*pi()*200^2*F406/1000000</f>
        <v>9.424777961</v>
      </c>
      <c r="H406" s="49">
        <f>0.25*pi()*200^2/100</f>
        <v>314.1592654</v>
      </c>
      <c r="I406" s="48">
        <v>3.8</v>
      </c>
      <c r="J406" s="48" t="s">
        <v>164</v>
      </c>
      <c r="K406" s="50" t="s">
        <v>164</v>
      </c>
      <c r="L406" s="51">
        <v>65.0</v>
      </c>
      <c r="M406" s="50" t="s">
        <v>166</v>
      </c>
      <c r="N406" s="51" t="s">
        <v>174</v>
      </c>
      <c r="O406" s="48">
        <v>230.0</v>
      </c>
      <c r="P406" s="48">
        <v>110.0</v>
      </c>
      <c r="Q406" s="48">
        <v>43.0</v>
      </c>
      <c r="R406" s="48">
        <v>2.0</v>
      </c>
      <c r="S406" s="50" t="s">
        <v>166</v>
      </c>
      <c r="T406" s="52" t="s">
        <v>167</v>
      </c>
      <c r="U406" s="52" t="s">
        <v>324</v>
      </c>
      <c r="V406" s="51">
        <v>2.0</v>
      </c>
      <c r="W406" s="48" t="s">
        <v>166</v>
      </c>
      <c r="X406" s="50" t="s">
        <v>166</v>
      </c>
      <c r="Y406" s="51" t="s">
        <v>166</v>
      </c>
      <c r="Z406" s="48" t="s">
        <v>166</v>
      </c>
      <c r="AA406" s="48" t="s">
        <v>166</v>
      </c>
      <c r="AB406" s="48">
        <v>1.0</v>
      </c>
      <c r="AC406" s="48" t="s">
        <v>194</v>
      </c>
      <c r="AD406" s="48" t="s">
        <v>194</v>
      </c>
      <c r="AE406" s="54" t="s">
        <v>166</v>
      </c>
      <c r="AF406" s="55" t="s">
        <v>166</v>
      </c>
      <c r="AG406" s="51" t="s">
        <v>166</v>
      </c>
      <c r="AH406" s="48" t="s">
        <v>166</v>
      </c>
      <c r="AI406" s="48" t="s">
        <v>166</v>
      </c>
      <c r="AJ406" s="50" t="s">
        <v>166</v>
      </c>
      <c r="AK406" s="56">
        <v>1999.0</v>
      </c>
      <c r="AL406" s="57">
        <f>AK406*Sheets!$E$3</f>
        <v>275.5531545</v>
      </c>
      <c r="AM406" s="68"/>
      <c r="AN406" s="70"/>
      <c r="AO406" s="71" t="s">
        <v>181</v>
      </c>
      <c r="AP406" s="72">
        <v>44442.88340983796</v>
      </c>
      <c r="AQ406" s="66"/>
    </row>
    <row r="407">
      <c r="A407" s="69" t="str">
        <f>HYPERLINK("https://shop445541697.world.taobao.com/","Kyle's Studio")</f>
        <v>Kyle's Studio</v>
      </c>
      <c r="B407" s="73" t="s">
        <v>778</v>
      </c>
      <c r="C407" s="63" t="s">
        <v>262</v>
      </c>
      <c r="D407" s="48">
        <v>282.0</v>
      </c>
      <c r="E407" s="48">
        <v>147.0</v>
      </c>
      <c r="F407" s="48">
        <v>228.0</v>
      </c>
      <c r="G407" s="49">
        <f t="shared" ref="G407:G447" si="14">D407*E407*F407/1000000</f>
        <v>9.451512</v>
      </c>
      <c r="H407" s="49">
        <f t="shared" ref="H407:H447" si="15">D407*E407/100</f>
        <v>414.54</v>
      </c>
      <c r="I407" s="48" t="s">
        <v>170</v>
      </c>
      <c r="J407" s="48" t="s">
        <v>597</v>
      </c>
      <c r="K407" s="50" t="s">
        <v>164</v>
      </c>
      <c r="L407" s="51">
        <v>125.0</v>
      </c>
      <c r="M407" s="50" t="s">
        <v>166</v>
      </c>
      <c r="N407" s="51" t="s">
        <v>166</v>
      </c>
      <c r="O407" s="48">
        <v>275.0</v>
      </c>
      <c r="P407" s="48">
        <v>112.0</v>
      </c>
      <c r="Q407" s="48">
        <v>46.0</v>
      </c>
      <c r="R407" s="48">
        <v>2.0</v>
      </c>
      <c r="S407" s="50" t="s">
        <v>166</v>
      </c>
      <c r="T407" s="52" t="s">
        <v>167</v>
      </c>
      <c r="U407" s="52" t="s">
        <v>346</v>
      </c>
      <c r="V407" s="51">
        <v>3.0</v>
      </c>
      <c r="W407" s="48" t="s">
        <v>166</v>
      </c>
      <c r="X407" s="50" t="s">
        <v>166</v>
      </c>
      <c r="Y407" s="51" t="s">
        <v>166</v>
      </c>
      <c r="Z407" s="48" t="s">
        <v>166</v>
      </c>
      <c r="AA407" s="48" t="s">
        <v>166</v>
      </c>
      <c r="AB407" s="48">
        <v>1.0</v>
      </c>
      <c r="AC407" s="48" t="s">
        <v>166</v>
      </c>
      <c r="AD407" s="48" t="s">
        <v>166</v>
      </c>
      <c r="AE407" s="54" t="s">
        <v>166</v>
      </c>
      <c r="AF407" s="55" t="s">
        <v>166</v>
      </c>
      <c r="AG407" s="51" t="s">
        <v>166</v>
      </c>
      <c r="AH407" s="48" t="s">
        <v>166</v>
      </c>
      <c r="AI407" s="48" t="s">
        <v>166</v>
      </c>
      <c r="AJ407" s="50" t="s">
        <v>166</v>
      </c>
      <c r="AK407" s="56">
        <v>789.0</v>
      </c>
      <c r="AL407" s="57">
        <f>AK407*Sheets!$E$3</f>
        <v>108.7600995</v>
      </c>
      <c r="AM407" s="68"/>
      <c r="AN407" s="70"/>
      <c r="AO407" s="71" t="s">
        <v>181</v>
      </c>
      <c r="AP407" s="71"/>
      <c r="AQ407" s="66"/>
    </row>
    <row r="408">
      <c r="A408" s="69" t="str">
        <f>HYPERLINK("https://shop117227817.world.taobao.com/","深圳好玩数码")</f>
        <v>深圳好玩数码</v>
      </c>
      <c r="B408" s="73" t="s">
        <v>779</v>
      </c>
      <c r="C408" s="63" t="s">
        <v>262</v>
      </c>
      <c r="D408" s="48">
        <v>271.0</v>
      </c>
      <c r="E408" s="48">
        <v>158.0</v>
      </c>
      <c r="F408" s="48">
        <v>221.0</v>
      </c>
      <c r="G408" s="49">
        <f t="shared" si="14"/>
        <v>9.462778</v>
      </c>
      <c r="H408" s="49">
        <f t="shared" si="15"/>
        <v>428.18</v>
      </c>
      <c r="I408" s="48" t="s">
        <v>170</v>
      </c>
      <c r="J408" s="48" t="s">
        <v>274</v>
      </c>
      <c r="K408" s="50" t="s">
        <v>305</v>
      </c>
      <c r="L408" s="51">
        <v>135.0</v>
      </c>
      <c r="M408" s="50" t="s">
        <v>166</v>
      </c>
      <c r="N408" s="51" t="s">
        <v>166</v>
      </c>
      <c r="O408" s="48">
        <v>240.0</v>
      </c>
      <c r="P408" s="48">
        <v>140.0</v>
      </c>
      <c r="Q408" s="48">
        <v>50.0</v>
      </c>
      <c r="R408" s="48">
        <v>2.0</v>
      </c>
      <c r="S408" s="50" t="s">
        <v>166</v>
      </c>
      <c r="T408" s="52" t="s">
        <v>167</v>
      </c>
      <c r="U408" s="53" t="s">
        <v>324</v>
      </c>
      <c r="V408" s="51">
        <v>1.0</v>
      </c>
      <c r="W408" s="48" t="s">
        <v>166</v>
      </c>
      <c r="X408" s="50" t="s">
        <v>166</v>
      </c>
      <c r="Y408" s="51" t="s">
        <v>166</v>
      </c>
      <c r="Z408" s="48" t="s">
        <v>166</v>
      </c>
      <c r="AA408" s="48" t="s">
        <v>166</v>
      </c>
      <c r="AB408" s="48">
        <v>1.0</v>
      </c>
      <c r="AC408" s="48" t="s">
        <v>166</v>
      </c>
      <c r="AD408" s="48" t="s">
        <v>166</v>
      </c>
      <c r="AE408" s="54" t="s">
        <v>166</v>
      </c>
      <c r="AF408" s="55" t="s">
        <v>166</v>
      </c>
      <c r="AG408" s="51" t="s">
        <v>166</v>
      </c>
      <c r="AH408" s="48">
        <v>1.0</v>
      </c>
      <c r="AI408" s="48" t="s">
        <v>166</v>
      </c>
      <c r="AJ408" s="50" t="s">
        <v>166</v>
      </c>
      <c r="AK408" s="56">
        <v>199.0</v>
      </c>
      <c r="AL408" s="57">
        <f>AK408*Sheets!$E$3</f>
        <v>27.4312545</v>
      </c>
      <c r="AM408" s="68"/>
      <c r="AN408" s="70"/>
      <c r="AO408" s="71" t="s">
        <v>181</v>
      </c>
      <c r="AP408" s="65">
        <v>44569.46735903935</v>
      </c>
      <c r="AQ408" s="66"/>
    </row>
    <row r="409">
      <c r="A409" s="83" t="str">
        <f>HYPERLINK("https://www.salvostudiosltd.com/","Salvo Studios")</f>
        <v>Salvo Studios</v>
      </c>
      <c r="B409" s="83" t="s">
        <v>780</v>
      </c>
      <c r="C409" s="63" t="s">
        <v>225</v>
      </c>
      <c r="D409" s="106">
        <v>327.0</v>
      </c>
      <c r="E409" s="106">
        <v>78.7</v>
      </c>
      <c r="F409" s="106">
        <v>368.3</v>
      </c>
      <c r="G409" s="49">
        <f t="shared" si="14"/>
        <v>9.47816367</v>
      </c>
      <c r="H409" s="49">
        <f t="shared" si="15"/>
        <v>257.349</v>
      </c>
      <c r="I409" s="48" t="s">
        <v>170</v>
      </c>
      <c r="J409" s="48" t="s">
        <v>171</v>
      </c>
      <c r="K409" s="50" t="s">
        <v>781</v>
      </c>
      <c r="L409" s="51">
        <v>58.0</v>
      </c>
      <c r="M409" s="50">
        <v>120.0</v>
      </c>
      <c r="N409" s="51" t="s">
        <v>174</v>
      </c>
      <c r="O409" s="48">
        <v>316.0</v>
      </c>
      <c r="P409" s="48">
        <v>132.0</v>
      </c>
      <c r="Q409" s="48">
        <v>60.0</v>
      </c>
      <c r="R409" s="48">
        <v>3.0</v>
      </c>
      <c r="S409" s="50" t="s">
        <v>166</v>
      </c>
      <c r="T409" s="52" t="s">
        <v>167</v>
      </c>
      <c r="U409" s="52" t="s">
        <v>346</v>
      </c>
      <c r="V409" s="51" t="s">
        <v>584</v>
      </c>
      <c r="W409" s="48" t="s">
        <v>193</v>
      </c>
      <c r="X409" s="50" t="s">
        <v>166</v>
      </c>
      <c r="Y409" s="51" t="s">
        <v>166</v>
      </c>
      <c r="Z409" s="48" t="s">
        <v>426</v>
      </c>
      <c r="AA409" s="48" t="s">
        <v>166</v>
      </c>
      <c r="AB409" s="48" t="s">
        <v>166</v>
      </c>
      <c r="AC409" s="48" t="s">
        <v>166</v>
      </c>
      <c r="AD409" s="48" t="s">
        <v>166</v>
      </c>
      <c r="AE409" s="54" t="s">
        <v>166</v>
      </c>
      <c r="AF409" s="55" t="s">
        <v>166</v>
      </c>
      <c r="AG409" s="51" t="s">
        <v>166</v>
      </c>
      <c r="AH409" s="48">
        <v>2.0</v>
      </c>
      <c r="AI409" s="48" t="s">
        <v>166</v>
      </c>
      <c r="AJ409" s="50" t="s">
        <v>166</v>
      </c>
      <c r="AK409" s="56" t="s">
        <v>166</v>
      </c>
      <c r="AL409" s="57">
        <v>200.0</v>
      </c>
      <c r="AM409" s="64" t="s">
        <v>214</v>
      </c>
      <c r="AN409" s="70"/>
      <c r="AO409" s="71" t="s">
        <v>181</v>
      </c>
      <c r="AP409" s="65">
        <v>44563.99162030093</v>
      </c>
      <c r="AQ409" s="66"/>
    </row>
    <row r="410">
      <c r="A410" s="67" t="s">
        <v>782</v>
      </c>
      <c r="B410" s="67" t="s">
        <v>783</v>
      </c>
      <c r="C410" s="63" t="s">
        <v>248</v>
      </c>
      <c r="D410" s="48">
        <v>330.0</v>
      </c>
      <c r="E410" s="48">
        <v>133.0</v>
      </c>
      <c r="F410" s="48">
        <v>216.0</v>
      </c>
      <c r="G410" s="49">
        <f t="shared" si="14"/>
        <v>9.48024</v>
      </c>
      <c r="H410" s="49">
        <f t="shared" si="15"/>
        <v>438.9</v>
      </c>
      <c r="I410" s="48">
        <v>2.5</v>
      </c>
      <c r="J410" s="48" t="s">
        <v>240</v>
      </c>
      <c r="K410" s="50" t="s">
        <v>319</v>
      </c>
      <c r="L410" s="51">
        <v>70.0</v>
      </c>
      <c r="M410" s="50" t="s">
        <v>547</v>
      </c>
      <c r="N410" s="51" t="s">
        <v>174</v>
      </c>
      <c r="O410" s="48">
        <v>312.0</v>
      </c>
      <c r="P410" s="48">
        <v>140.0</v>
      </c>
      <c r="Q410" s="48">
        <v>60.0</v>
      </c>
      <c r="R410" s="48">
        <v>3.0</v>
      </c>
      <c r="S410" s="50" t="s">
        <v>166</v>
      </c>
      <c r="T410" s="52" t="s">
        <v>167</v>
      </c>
      <c r="U410" s="52" t="s">
        <v>324</v>
      </c>
      <c r="V410" s="51">
        <v>1.0</v>
      </c>
      <c r="W410" s="48" t="s">
        <v>166</v>
      </c>
      <c r="X410" s="50" t="s">
        <v>166</v>
      </c>
      <c r="Y410" s="51" t="s">
        <v>166</v>
      </c>
      <c r="Z410" s="48" t="s">
        <v>166</v>
      </c>
      <c r="AA410" s="48" t="s">
        <v>166</v>
      </c>
      <c r="AB410" s="48" t="s">
        <v>166</v>
      </c>
      <c r="AC410" s="48">
        <v>2.0</v>
      </c>
      <c r="AD410" s="48" t="s">
        <v>166</v>
      </c>
      <c r="AE410" s="54" t="s">
        <v>166</v>
      </c>
      <c r="AF410" s="55" t="s">
        <v>166</v>
      </c>
      <c r="AG410" s="51" t="s">
        <v>166</v>
      </c>
      <c r="AH410" s="48" t="s">
        <v>166</v>
      </c>
      <c r="AI410" s="48" t="s">
        <v>166</v>
      </c>
      <c r="AJ410" s="50" t="s">
        <v>166</v>
      </c>
      <c r="AK410" s="56" t="s">
        <v>166</v>
      </c>
      <c r="AL410" s="57">
        <v>210.0</v>
      </c>
      <c r="AM410" s="64" t="s">
        <v>214</v>
      </c>
      <c r="AN410" s="64" t="s">
        <v>214</v>
      </c>
      <c r="AO410" s="71" t="s">
        <v>181</v>
      </c>
      <c r="AP410" s="65">
        <v>45320.997371481484</v>
      </c>
      <c r="AQ410" s="66"/>
    </row>
    <row r="411">
      <c r="A411" s="62" t="s">
        <v>292</v>
      </c>
      <c r="B411" s="62" t="s">
        <v>784</v>
      </c>
      <c r="C411" s="63" t="s">
        <v>262</v>
      </c>
      <c r="D411" s="48">
        <v>273.0</v>
      </c>
      <c r="E411" s="48">
        <v>142.0</v>
      </c>
      <c r="F411" s="48">
        <v>245.0</v>
      </c>
      <c r="G411" s="49">
        <f t="shared" si="14"/>
        <v>9.49767</v>
      </c>
      <c r="H411" s="49">
        <f t="shared" si="15"/>
        <v>387.66</v>
      </c>
      <c r="I411" s="48" t="s">
        <v>170</v>
      </c>
      <c r="J411" s="48" t="s">
        <v>164</v>
      </c>
      <c r="K411" s="50" t="s">
        <v>164</v>
      </c>
      <c r="L411" s="51">
        <v>125.0</v>
      </c>
      <c r="M411" s="50" t="s">
        <v>166</v>
      </c>
      <c r="N411" s="51" t="s">
        <v>166</v>
      </c>
      <c r="O411" s="48">
        <v>270.0</v>
      </c>
      <c r="P411" s="48">
        <v>126.0</v>
      </c>
      <c r="Q411" s="48">
        <v>60.0</v>
      </c>
      <c r="R411" s="48">
        <v>2.0</v>
      </c>
      <c r="S411" s="50" t="s">
        <v>166</v>
      </c>
      <c r="T411" s="52" t="s">
        <v>167</v>
      </c>
      <c r="U411" s="52" t="s">
        <v>324</v>
      </c>
      <c r="V411" s="51" t="s">
        <v>166</v>
      </c>
      <c r="W411" s="48" t="s">
        <v>166</v>
      </c>
      <c r="X411" s="50" t="s">
        <v>166</v>
      </c>
      <c r="Y411" s="51" t="s">
        <v>166</v>
      </c>
      <c r="Z411" s="48" t="s">
        <v>166</v>
      </c>
      <c r="AA411" s="48" t="s">
        <v>166</v>
      </c>
      <c r="AB411" s="48" t="s">
        <v>166</v>
      </c>
      <c r="AC411" s="48">
        <v>1.0</v>
      </c>
      <c r="AD411" s="48" t="s">
        <v>166</v>
      </c>
      <c r="AE411" s="54" t="s">
        <v>166</v>
      </c>
      <c r="AF411" s="55" t="s">
        <v>166</v>
      </c>
      <c r="AG411" s="51" t="s">
        <v>166</v>
      </c>
      <c r="AH411" s="48" t="s">
        <v>166</v>
      </c>
      <c r="AI411" s="48" t="s">
        <v>166</v>
      </c>
      <c r="AJ411" s="50" t="s">
        <v>166</v>
      </c>
      <c r="AK411" s="56" t="s">
        <v>166</v>
      </c>
      <c r="AL411" s="57" t="s">
        <v>166</v>
      </c>
      <c r="AM411" s="64" t="s">
        <v>214</v>
      </c>
      <c r="AN411" s="59"/>
      <c r="AO411" s="60" t="s">
        <v>409</v>
      </c>
      <c r="AP411" s="65">
        <v>44959.72552013889</v>
      </c>
      <c r="AQ411" s="66"/>
    </row>
    <row r="412">
      <c r="A412" s="46" t="s">
        <v>746</v>
      </c>
      <c r="B412" s="46" t="s">
        <v>785</v>
      </c>
      <c r="C412" s="63" t="s">
        <v>248</v>
      </c>
      <c r="D412" s="48">
        <v>345.0</v>
      </c>
      <c r="E412" s="48">
        <v>143.0</v>
      </c>
      <c r="F412" s="48">
        <v>193.0</v>
      </c>
      <c r="G412" s="98">
        <f t="shared" si="14"/>
        <v>9.521655</v>
      </c>
      <c r="H412" s="49">
        <f t="shared" si="15"/>
        <v>493.35</v>
      </c>
      <c r="I412" s="48">
        <v>1.25</v>
      </c>
      <c r="J412" s="48" t="s">
        <v>164</v>
      </c>
      <c r="K412" s="50" t="s">
        <v>191</v>
      </c>
      <c r="L412" s="51">
        <v>60.0</v>
      </c>
      <c r="M412" s="50" t="s">
        <v>166</v>
      </c>
      <c r="N412" s="51" t="s">
        <v>174</v>
      </c>
      <c r="O412" s="48">
        <v>331.0</v>
      </c>
      <c r="P412" s="48">
        <v>140.0</v>
      </c>
      <c r="Q412" s="48">
        <v>56.0</v>
      </c>
      <c r="R412" s="48">
        <v>2.0</v>
      </c>
      <c r="S412" s="50" t="s">
        <v>166</v>
      </c>
      <c r="T412" s="52" t="s">
        <v>167</v>
      </c>
      <c r="U412" s="52" t="s">
        <v>346</v>
      </c>
      <c r="V412" s="51">
        <v>1.0</v>
      </c>
      <c r="W412" s="48">
        <v>1.0</v>
      </c>
      <c r="X412" s="50" t="s">
        <v>166</v>
      </c>
      <c r="Y412" s="51" t="s">
        <v>166</v>
      </c>
      <c r="Z412" s="48" t="s">
        <v>166</v>
      </c>
      <c r="AA412" s="48" t="s">
        <v>166</v>
      </c>
      <c r="AB412" s="48" t="s">
        <v>166</v>
      </c>
      <c r="AC412" s="48" t="s">
        <v>166</v>
      </c>
      <c r="AD412" s="48" t="s">
        <v>166</v>
      </c>
      <c r="AE412" s="54" t="s">
        <v>166</v>
      </c>
      <c r="AF412" s="55" t="s">
        <v>166</v>
      </c>
      <c r="AG412" s="51" t="s">
        <v>166</v>
      </c>
      <c r="AH412" s="48" t="s">
        <v>166</v>
      </c>
      <c r="AI412" s="48" t="s">
        <v>166</v>
      </c>
      <c r="AJ412" s="50" t="s">
        <v>166</v>
      </c>
      <c r="AK412" s="56">
        <v>1499.0</v>
      </c>
      <c r="AL412" s="57">
        <f>AK412*Sheets!$E$3</f>
        <v>206.6304045</v>
      </c>
      <c r="AM412" s="68"/>
      <c r="AN412" s="70"/>
      <c r="AO412" s="71"/>
      <c r="AP412" s="72">
        <v>44442.880566203705</v>
      </c>
      <c r="AQ412" s="66"/>
    </row>
    <row r="413">
      <c r="A413" s="91" t="s">
        <v>786</v>
      </c>
      <c r="B413" s="67" t="s">
        <v>787</v>
      </c>
      <c r="C413" s="47" t="s">
        <v>490</v>
      </c>
      <c r="D413" s="74">
        <v>254.0</v>
      </c>
      <c r="E413" s="74">
        <v>191.0</v>
      </c>
      <c r="F413" s="74">
        <v>197.0</v>
      </c>
      <c r="G413" s="49">
        <f t="shared" si="14"/>
        <v>9.557258</v>
      </c>
      <c r="H413" s="49">
        <f t="shared" si="15"/>
        <v>485.14</v>
      </c>
      <c r="I413" s="74">
        <v>4.0</v>
      </c>
      <c r="J413" s="48" t="s">
        <v>164</v>
      </c>
      <c r="K413" s="75" t="s">
        <v>171</v>
      </c>
      <c r="L413" s="76">
        <v>35.0</v>
      </c>
      <c r="M413" s="75" t="s">
        <v>166</v>
      </c>
      <c r="N413" s="77" t="s">
        <v>166</v>
      </c>
      <c r="O413" s="48" t="s">
        <v>166</v>
      </c>
      <c r="P413" s="74" t="s">
        <v>166</v>
      </c>
      <c r="Q413" s="48" t="s">
        <v>166</v>
      </c>
      <c r="R413" s="105">
        <v>1.0</v>
      </c>
      <c r="S413" s="50" t="s">
        <v>166</v>
      </c>
      <c r="T413" s="52" t="s">
        <v>167</v>
      </c>
      <c r="U413" s="53" t="s">
        <v>186</v>
      </c>
      <c r="V413" s="77">
        <v>1.0</v>
      </c>
      <c r="W413" s="74">
        <v>4.0</v>
      </c>
      <c r="X413" s="75" t="s">
        <v>166</v>
      </c>
      <c r="Y413" s="51" t="s">
        <v>166</v>
      </c>
      <c r="Z413" s="74" t="s">
        <v>166</v>
      </c>
      <c r="AA413" s="74">
        <v>1.0</v>
      </c>
      <c r="AB413" s="48" t="s">
        <v>166</v>
      </c>
      <c r="AC413" s="48" t="s">
        <v>166</v>
      </c>
      <c r="AD413" s="48" t="s">
        <v>166</v>
      </c>
      <c r="AE413" s="54" t="s">
        <v>166</v>
      </c>
      <c r="AF413" s="55" t="s">
        <v>166</v>
      </c>
      <c r="AG413" s="51">
        <v>2.0</v>
      </c>
      <c r="AH413" s="48" t="s">
        <v>166</v>
      </c>
      <c r="AI413" s="48" t="s">
        <v>166</v>
      </c>
      <c r="AJ413" s="50" t="s">
        <v>166</v>
      </c>
      <c r="AK413" s="56">
        <v>289.0</v>
      </c>
      <c r="AL413" s="57">
        <v>120.0</v>
      </c>
      <c r="AM413" s="64"/>
      <c r="AN413" s="59"/>
      <c r="AO413" s="71" t="s">
        <v>181</v>
      </c>
      <c r="AP413" s="65">
        <v>44887.956040624995</v>
      </c>
      <c r="AQ413" s="66"/>
    </row>
    <row r="414">
      <c r="A414" s="61" t="s">
        <v>205</v>
      </c>
      <c r="B414" s="62" t="s">
        <v>788</v>
      </c>
      <c r="C414" s="101" t="s">
        <v>262</v>
      </c>
      <c r="D414" s="74">
        <v>240.0</v>
      </c>
      <c r="E414" s="74">
        <v>135.0</v>
      </c>
      <c r="F414" s="74">
        <v>295.0</v>
      </c>
      <c r="G414" s="49">
        <f t="shared" si="14"/>
        <v>9.558</v>
      </c>
      <c r="H414" s="49">
        <f t="shared" si="15"/>
        <v>324</v>
      </c>
      <c r="I414" s="74">
        <v>3.5</v>
      </c>
      <c r="J414" s="48" t="s">
        <v>171</v>
      </c>
      <c r="K414" s="75" t="s">
        <v>492</v>
      </c>
      <c r="L414" s="77" t="s">
        <v>170</v>
      </c>
      <c r="M414" s="75" t="s">
        <v>166</v>
      </c>
      <c r="N414" s="77" t="s">
        <v>166</v>
      </c>
      <c r="O414" s="48" t="s">
        <v>170</v>
      </c>
      <c r="P414" s="74" t="s">
        <v>170</v>
      </c>
      <c r="Q414" s="89">
        <v>20.0</v>
      </c>
      <c r="R414" s="105">
        <v>1.0</v>
      </c>
      <c r="S414" s="50" t="s">
        <v>166</v>
      </c>
      <c r="T414" s="52" t="s">
        <v>167</v>
      </c>
      <c r="U414" s="53" t="s">
        <v>324</v>
      </c>
      <c r="V414" s="77">
        <v>1.0</v>
      </c>
      <c r="W414" s="74">
        <v>1.0</v>
      </c>
      <c r="X414" s="75">
        <v>1.0</v>
      </c>
      <c r="Y414" s="51" t="s">
        <v>166</v>
      </c>
      <c r="Z414" s="74">
        <v>2.0</v>
      </c>
      <c r="AA414" s="74">
        <v>1.0</v>
      </c>
      <c r="AB414" s="48" t="s">
        <v>166</v>
      </c>
      <c r="AC414" s="48" t="s">
        <v>166</v>
      </c>
      <c r="AD414" s="48" t="s">
        <v>166</v>
      </c>
      <c r="AE414" s="54" t="s">
        <v>166</v>
      </c>
      <c r="AF414" s="55" t="s">
        <v>166</v>
      </c>
      <c r="AG414" s="51" t="s">
        <v>166</v>
      </c>
      <c r="AH414" s="48">
        <v>2.0</v>
      </c>
      <c r="AI414" s="48" t="s">
        <v>166</v>
      </c>
      <c r="AJ414" s="50" t="s">
        <v>174</v>
      </c>
      <c r="AK414" s="56" t="s">
        <v>166</v>
      </c>
      <c r="AL414" s="57" t="s">
        <v>170</v>
      </c>
      <c r="AM414" s="68"/>
      <c r="AN414" s="59"/>
      <c r="AO414" s="60"/>
      <c r="AP414" s="65">
        <v>44803.97846085648</v>
      </c>
      <c r="AQ414" s="66"/>
    </row>
    <row r="415">
      <c r="A415" s="69" t="str">
        <f>HYPERLINK("https://shop117227817.world.taobao.com/","深圳好玩数码")</f>
        <v>深圳好玩数码</v>
      </c>
      <c r="B415" s="73" t="s">
        <v>789</v>
      </c>
      <c r="C415" s="63" t="s">
        <v>248</v>
      </c>
      <c r="D415" s="48">
        <v>320.0</v>
      </c>
      <c r="E415" s="48">
        <v>136.0</v>
      </c>
      <c r="F415" s="48">
        <v>220.0</v>
      </c>
      <c r="G415" s="49">
        <f t="shared" si="14"/>
        <v>9.5744</v>
      </c>
      <c r="H415" s="49">
        <f t="shared" si="15"/>
        <v>435.2</v>
      </c>
      <c r="I415" s="48" t="s">
        <v>170</v>
      </c>
      <c r="J415" s="48" t="s">
        <v>274</v>
      </c>
      <c r="K415" s="50" t="s">
        <v>305</v>
      </c>
      <c r="L415" s="51">
        <v>70.0</v>
      </c>
      <c r="M415" s="50" t="s">
        <v>166</v>
      </c>
      <c r="N415" s="51" t="s">
        <v>174</v>
      </c>
      <c r="O415" s="48">
        <v>300.0</v>
      </c>
      <c r="P415" s="48" t="s">
        <v>170</v>
      </c>
      <c r="Q415" s="48">
        <v>46.0</v>
      </c>
      <c r="R415" s="48">
        <v>2.0</v>
      </c>
      <c r="S415" s="50" t="s">
        <v>166</v>
      </c>
      <c r="T415" s="52" t="s">
        <v>790</v>
      </c>
      <c r="U415" s="53" t="s">
        <v>324</v>
      </c>
      <c r="V415" s="51">
        <v>1.0</v>
      </c>
      <c r="W415" s="48" t="s">
        <v>166</v>
      </c>
      <c r="X415" s="50" t="s">
        <v>166</v>
      </c>
      <c r="Y415" s="51" t="s">
        <v>166</v>
      </c>
      <c r="Z415" s="48" t="s">
        <v>166</v>
      </c>
      <c r="AA415" s="48" t="s">
        <v>166</v>
      </c>
      <c r="AB415" s="48" t="s">
        <v>166</v>
      </c>
      <c r="AC415" s="48">
        <v>2.0</v>
      </c>
      <c r="AD415" s="48" t="s">
        <v>166</v>
      </c>
      <c r="AE415" s="54" t="s">
        <v>166</v>
      </c>
      <c r="AF415" s="55" t="s">
        <v>166</v>
      </c>
      <c r="AG415" s="51" t="s">
        <v>166</v>
      </c>
      <c r="AH415" s="48">
        <v>2.0</v>
      </c>
      <c r="AI415" s="48" t="s">
        <v>166</v>
      </c>
      <c r="AJ415" s="50" t="s">
        <v>166</v>
      </c>
      <c r="AK415" s="56">
        <v>300.0</v>
      </c>
      <c r="AL415" s="57">
        <f>AK415*Sheets!$E$3</f>
        <v>41.35365</v>
      </c>
      <c r="AM415" s="68"/>
      <c r="AN415" s="70"/>
      <c r="AO415" s="71" t="s">
        <v>181</v>
      </c>
      <c r="AP415" s="65">
        <v>44604.554532685186</v>
      </c>
      <c r="AQ415" s="66"/>
    </row>
    <row r="416">
      <c r="A416" s="69" t="str">
        <f>HYPERLINK("https://shop34001191.world.taobao.com/","Mechanic Master")</f>
        <v>Mechanic Master</v>
      </c>
      <c r="B416" s="73" t="s">
        <v>791</v>
      </c>
      <c r="C416" s="63" t="s">
        <v>262</v>
      </c>
      <c r="D416" s="48">
        <v>249.0</v>
      </c>
      <c r="E416" s="48">
        <v>155.0</v>
      </c>
      <c r="F416" s="48">
        <v>249.0</v>
      </c>
      <c r="G416" s="49">
        <f t="shared" si="14"/>
        <v>9.610155</v>
      </c>
      <c r="H416" s="49">
        <f t="shared" si="15"/>
        <v>385.95</v>
      </c>
      <c r="I416" s="48">
        <v>2.5</v>
      </c>
      <c r="J416" s="48" t="s">
        <v>235</v>
      </c>
      <c r="K416" s="50" t="s">
        <v>792</v>
      </c>
      <c r="L416" s="51">
        <v>130.0</v>
      </c>
      <c r="M416" s="50" t="s">
        <v>166</v>
      </c>
      <c r="N416" s="51" t="s">
        <v>166</v>
      </c>
      <c r="O416" s="48">
        <v>245.0</v>
      </c>
      <c r="P416" s="48">
        <v>130.0</v>
      </c>
      <c r="Q416" s="48">
        <v>60.0</v>
      </c>
      <c r="R416" s="48">
        <v>3.0</v>
      </c>
      <c r="S416" s="50" t="s">
        <v>166</v>
      </c>
      <c r="T416" s="52" t="s">
        <v>793</v>
      </c>
      <c r="U416" s="52" t="s">
        <v>324</v>
      </c>
      <c r="V416" s="51" t="s">
        <v>568</v>
      </c>
      <c r="W416" s="48" t="s">
        <v>194</v>
      </c>
      <c r="X416" s="50" t="s">
        <v>166</v>
      </c>
      <c r="Y416" s="51" t="s">
        <v>166</v>
      </c>
      <c r="Z416" s="48" t="s">
        <v>166</v>
      </c>
      <c r="AA416" s="48" t="s">
        <v>416</v>
      </c>
      <c r="AB416" s="48">
        <v>1.0</v>
      </c>
      <c r="AC416" s="48" t="s">
        <v>194</v>
      </c>
      <c r="AD416" s="48" t="s">
        <v>166</v>
      </c>
      <c r="AE416" s="54" t="s">
        <v>166</v>
      </c>
      <c r="AF416" s="55" t="s">
        <v>166</v>
      </c>
      <c r="AG416" s="51" t="s">
        <v>166</v>
      </c>
      <c r="AH416" s="48">
        <v>2.0</v>
      </c>
      <c r="AI416" s="48" t="s">
        <v>166</v>
      </c>
      <c r="AJ416" s="50" t="s">
        <v>166</v>
      </c>
      <c r="AK416" s="56">
        <v>599.0</v>
      </c>
      <c r="AL416" s="57">
        <f>AK416*Sheets!$E$3</f>
        <v>82.5694545</v>
      </c>
      <c r="AM416" s="68"/>
      <c r="AN416" s="70"/>
      <c r="AO416" s="71" t="s">
        <v>181</v>
      </c>
      <c r="AP416" s="72">
        <v>44965.87358680555</v>
      </c>
      <c r="AQ416" s="66"/>
    </row>
    <row r="417">
      <c r="A417" s="69" t="str">
        <f>HYPERLINK("https://sgpc.world.taobao.com/","SGPC")</f>
        <v>SGPC</v>
      </c>
      <c r="B417" s="46" t="s">
        <v>794</v>
      </c>
      <c r="C417" s="63" t="s">
        <v>262</v>
      </c>
      <c r="D417" s="48">
        <v>276.0</v>
      </c>
      <c r="E417" s="48">
        <v>160.0</v>
      </c>
      <c r="F417" s="48">
        <v>218.0</v>
      </c>
      <c r="G417" s="49">
        <f t="shared" si="14"/>
        <v>9.62688</v>
      </c>
      <c r="H417" s="49">
        <f t="shared" si="15"/>
        <v>441.6</v>
      </c>
      <c r="I417" s="48">
        <v>1.6</v>
      </c>
      <c r="J417" s="48" t="s">
        <v>597</v>
      </c>
      <c r="K417" s="50" t="s">
        <v>185</v>
      </c>
      <c r="L417" s="51">
        <v>135.0</v>
      </c>
      <c r="M417" s="50" t="s">
        <v>166</v>
      </c>
      <c r="N417" s="51" t="s">
        <v>166</v>
      </c>
      <c r="O417" s="48">
        <v>270.0</v>
      </c>
      <c r="P417" s="48">
        <v>138.0</v>
      </c>
      <c r="Q417" s="48">
        <v>50.0</v>
      </c>
      <c r="R417" s="48">
        <v>2.0</v>
      </c>
      <c r="S417" s="50" t="s">
        <v>166</v>
      </c>
      <c r="T417" s="52" t="s">
        <v>167</v>
      </c>
      <c r="U417" s="52" t="s">
        <v>324</v>
      </c>
      <c r="V417" s="51">
        <v>3.0</v>
      </c>
      <c r="W417" s="48" t="s">
        <v>166</v>
      </c>
      <c r="X417" s="50" t="s">
        <v>166</v>
      </c>
      <c r="Y417" s="51" t="s">
        <v>166</v>
      </c>
      <c r="Z417" s="48" t="s">
        <v>166</v>
      </c>
      <c r="AA417" s="48">
        <v>2.0</v>
      </c>
      <c r="AB417" s="48" t="s">
        <v>166</v>
      </c>
      <c r="AC417" s="48" t="s">
        <v>166</v>
      </c>
      <c r="AD417" s="48" t="s">
        <v>166</v>
      </c>
      <c r="AE417" s="54" t="s">
        <v>166</v>
      </c>
      <c r="AF417" s="55" t="s">
        <v>166</v>
      </c>
      <c r="AG417" s="51" t="s">
        <v>166</v>
      </c>
      <c r="AH417" s="48" t="s">
        <v>166</v>
      </c>
      <c r="AI417" s="48" t="s">
        <v>166</v>
      </c>
      <c r="AJ417" s="50" t="s">
        <v>166</v>
      </c>
      <c r="AK417" s="56">
        <v>219.0</v>
      </c>
      <c r="AL417" s="57">
        <f>AK417*Sheets!$E$3</f>
        <v>30.1881645</v>
      </c>
      <c r="AM417" s="68"/>
      <c r="AN417" s="59"/>
      <c r="AO417" s="60"/>
      <c r="AP417" s="65">
        <v>44442.757110266204</v>
      </c>
      <c r="AQ417" s="66"/>
    </row>
    <row r="418">
      <c r="A418" s="82" t="str">
        <f>HYPERLINK("http://kolink.eu/index.html","Kolink")</f>
        <v>Kolink</v>
      </c>
      <c r="B418" s="83" t="str">
        <f>HYPERLINK("http://kolink.eu/Home/case-1/mini-itx-2/rocket.html","Rocket")</f>
        <v>Rocket</v>
      </c>
      <c r="C418" s="63" t="s">
        <v>248</v>
      </c>
      <c r="D418" s="48">
        <v>328.0</v>
      </c>
      <c r="E418" s="48">
        <v>125.0</v>
      </c>
      <c r="F418" s="48">
        <v>235.0</v>
      </c>
      <c r="G418" s="49">
        <f t="shared" si="14"/>
        <v>9.635</v>
      </c>
      <c r="H418" s="49">
        <f t="shared" si="15"/>
        <v>410</v>
      </c>
      <c r="I418" s="48">
        <v>3.5</v>
      </c>
      <c r="J418" s="48" t="s">
        <v>164</v>
      </c>
      <c r="K418" s="50" t="s">
        <v>795</v>
      </c>
      <c r="L418" s="51">
        <v>54.0</v>
      </c>
      <c r="M418" s="50" t="s">
        <v>166</v>
      </c>
      <c r="N418" s="51" t="s">
        <v>174</v>
      </c>
      <c r="O418" s="48">
        <v>310.0</v>
      </c>
      <c r="P418" s="48" t="s">
        <v>170</v>
      </c>
      <c r="Q418" s="48">
        <v>40.0</v>
      </c>
      <c r="R418" s="48">
        <v>2.0</v>
      </c>
      <c r="S418" s="50" t="s">
        <v>166</v>
      </c>
      <c r="T418" s="52" t="s">
        <v>167</v>
      </c>
      <c r="U418" s="52" t="s">
        <v>346</v>
      </c>
      <c r="V418" s="51">
        <v>2.0</v>
      </c>
      <c r="W418" s="48" t="s">
        <v>166</v>
      </c>
      <c r="X418" s="50" t="s">
        <v>166</v>
      </c>
      <c r="Y418" s="51" t="s">
        <v>166</v>
      </c>
      <c r="Z418" s="48" t="s">
        <v>166</v>
      </c>
      <c r="AA418" s="48">
        <v>1.0</v>
      </c>
      <c r="AB418" s="48" t="s">
        <v>166</v>
      </c>
      <c r="AC418" s="48" t="s">
        <v>166</v>
      </c>
      <c r="AD418" s="48" t="s">
        <v>166</v>
      </c>
      <c r="AE418" s="54" t="s">
        <v>166</v>
      </c>
      <c r="AF418" s="55" t="s">
        <v>166</v>
      </c>
      <c r="AG418" s="51" t="s">
        <v>166</v>
      </c>
      <c r="AH418" s="48">
        <v>2.0</v>
      </c>
      <c r="AI418" s="48" t="s">
        <v>166</v>
      </c>
      <c r="AJ418" s="50" t="s">
        <v>166</v>
      </c>
      <c r="AK418" s="56" t="s">
        <v>166</v>
      </c>
      <c r="AL418" s="57">
        <f>169.99*1.31</f>
        <v>222.6869</v>
      </c>
      <c r="AM418" s="58"/>
      <c r="AN418" s="59"/>
      <c r="AO418" s="60"/>
      <c r="AP418" s="65">
        <v>44563.991940057866</v>
      </c>
      <c r="AQ418" s="66"/>
    </row>
    <row r="419">
      <c r="A419" s="83" t="str">
        <f>HYPERLINK("http://www.louqe.com/","Louqe")</f>
        <v>Louqe</v>
      </c>
      <c r="B419" s="62" t="s">
        <v>796</v>
      </c>
      <c r="C419" s="63" t="s">
        <v>248</v>
      </c>
      <c r="D419" s="48">
        <v>322.0</v>
      </c>
      <c r="E419" s="48">
        <v>140.0</v>
      </c>
      <c r="F419" s="48">
        <v>214.0</v>
      </c>
      <c r="G419" s="49">
        <f t="shared" si="14"/>
        <v>9.64712</v>
      </c>
      <c r="H419" s="49">
        <f t="shared" si="15"/>
        <v>450.8</v>
      </c>
      <c r="I419" s="48">
        <v>2.5</v>
      </c>
      <c r="J419" s="48" t="s">
        <v>164</v>
      </c>
      <c r="K419" s="50" t="s">
        <v>688</v>
      </c>
      <c r="L419" s="51">
        <v>66.0</v>
      </c>
      <c r="M419" s="50" t="s">
        <v>673</v>
      </c>
      <c r="N419" s="51" t="s">
        <v>174</v>
      </c>
      <c r="O419" s="48">
        <v>305.0</v>
      </c>
      <c r="P419" s="48">
        <v>144.0</v>
      </c>
      <c r="Q419" s="48">
        <v>45.0</v>
      </c>
      <c r="R419" s="48">
        <v>2.0</v>
      </c>
      <c r="S419" s="50" t="s">
        <v>166</v>
      </c>
      <c r="T419" s="52" t="s">
        <v>167</v>
      </c>
      <c r="U419" s="52" t="s">
        <v>346</v>
      </c>
      <c r="V419" s="51" t="s">
        <v>195</v>
      </c>
      <c r="W419" s="48" t="s">
        <v>193</v>
      </c>
      <c r="X419" s="50" t="s">
        <v>166</v>
      </c>
      <c r="Y419" s="51" t="s">
        <v>166</v>
      </c>
      <c r="Z419" s="48" t="s">
        <v>166</v>
      </c>
      <c r="AA419" s="48" t="s">
        <v>166</v>
      </c>
      <c r="AB419" s="48" t="s">
        <v>166</v>
      </c>
      <c r="AC419" s="48" t="s">
        <v>426</v>
      </c>
      <c r="AD419" s="48" t="s">
        <v>166</v>
      </c>
      <c r="AE419" s="54" t="s">
        <v>166</v>
      </c>
      <c r="AF419" s="55" t="s">
        <v>166</v>
      </c>
      <c r="AG419" s="51" t="s">
        <v>166</v>
      </c>
      <c r="AH419" s="48" t="s">
        <v>166</v>
      </c>
      <c r="AI419" s="48" t="s">
        <v>166</v>
      </c>
      <c r="AJ419" s="50" t="s">
        <v>166</v>
      </c>
      <c r="AK419" s="56" t="s">
        <v>166</v>
      </c>
      <c r="AL419" s="57">
        <v>319.0</v>
      </c>
      <c r="AM419" s="64" t="str">
        <f>HYPERLINK("https://smallformfactor.net/forum/threads/the-world-most-flexible-sff-case-louqe-ghost-s1.1781/","Link")</f>
        <v>Link</v>
      </c>
      <c r="AN419" s="64" t="s">
        <v>214</v>
      </c>
      <c r="AO419" s="60"/>
      <c r="AP419" s="65">
        <v>44704.94624844907</v>
      </c>
      <c r="AQ419" s="66"/>
    </row>
    <row r="420">
      <c r="A420" s="61" t="s">
        <v>438</v>
      </c>
      <c r="B420" s="62" t="s">
        <v>797</v>
      </c>
      <c r="C420" s="63" t="s">
        <v>248</v>
      </c>
      <c r="D420" s="48">
        <v>311.0</v>
      </c>
      <c r="E420" s="48">
        <v>139.0</v>
      </c>
      <c r="F420" s="48">
        <v>224.0</v>
      </c>
      <c r="G420" s="49">
        <f t="shared" si="14"/>
        <v>9.683296</v>
      </c>
      <c r="H420" s="49">
        <f t="shared" si="15"/>
        <v>432.29</v>
      </c>
      <c r="I420" s="48">
        <v>1.98</v>
      </c>
      <c r="J420" s="48" t="s">
        <v>164</v>
      </c>
      <c r="K420" s="50" t="s">
        <v>164</v>
      </c>
      <c r="L420" s="51">
        <v>52.0</v>
      </c>
      <c r="M420" s="50">
        <v>92.0</v>
      </c>
      <c r="N420" s="51" t="s">
        <v>174</v>
      </c>
      <c r="O420" s="48">
        <v>305.0</v>
      </c>
      <c r="P420" s="48">
        <v>140.0</v>
      </c>
      <c r="Q420" s="48">
        <v>52.0</v>
      </c>
      <c r="R420" s="48">
        <v>2.0</v>
      </c>
      <c r="S420" s="50" t="s">
        <v>166</v>
      </c>
      <c r="T420" s="52" t="s">
        <v>167</v>
      </c>
      <c r="U420" s="52" t="s">
        <v>324</v>
      </c>
      <c r="V420" s="51" t="s">
        <v>426</v>
      </c>
      <c r="W420" s="48" t="s">
        <v>166</v>
      </c>
      <c r="X420" s="50" t="s">
        <v>166</v>
      </c>
      <c r="Y420" s="51" t="s">
        <v>166</v>
      </c>
      <c r="Z420" s="48" t="s">
        <v>166</v>
      </c>
      <c r="AA420" s="48" t="s">
        <v>166</v>
      </c>
      <c r="AB420" s="48" t="s">
        <v>194</v>
      </c>
      <c r="AC420" s="48" t="s">
        <v>416</v>
      </c>
      <c r="AD420" s="48" t="s">
        <v>166</v>
      </c>
      <c r="AE420" s="54" t="s">
        <v>166</v>
      </c>
      <c r="AF420" s="55" t="s">
        <v>166</v>
      </c>
      <c r="AG420" s="51" t="s">
        <v>166</v>
      </c>
      <c r="AH420" s="48">
        <v>2.0</v>
      </c>
      <c r="AI420" s="48" t="s">
        <v>166</v>
      </c>
      <c r="AJ420" s="50" t="s">
        <v>166</v>
      </c>
      <c r="AK420" s="56" t="s">
        <v>166</v>
      </c>
      <c r="AL420" s="57">
        <f>3550*0.033</f>
        <v>117.15</v>
      </c>
      <c r="AM420" s="58"/>
      <c r="AN420" s="59"/>
      <c r="AO420" s="60"/>
      <c r="AP420" s="65">
        <v>44696.76333053241</v>
      </c>
      <c r="AQ420" s="66"/>
    </row>
    <row r="421">
      <c r="A421" s="82" t="str">
        <f>HYPERLINK("http://sliger.com/","Sliger")</f>
        <v>Sliger</v>
      </c>
      <c r="B421" s="83" t="str">
        <f>HYPERLINK("https://www.sliger.com/products/cases/sm550/","SM550")</f>
        <v>SM550</v>
      </c>
      <c r="C421" s="63" t="s">
        <v>248</v>
      </c>
      <c r="D421" s="48">
        <v>335.0</v>
      </c>
      <c r="E421" s="48">
        <v>139.0</v>
      </c>
      <c r="F421" s="48">
        <v>208.0</v>
      </c>
      <c r="G421" s="49">
        <f t="shared" si="14"/>
        <v>9.68552</v>
      </c>
      <c r="H421" s="49">
        <f t="shared" si="15"/>
        <v>465.65</v>
      </c>
      <c r="I421" s="48">
        <v>2.52</v>
      </c>
      <c r="J421" s="48" t="s">
        <v>274</v>
      </c>
      <c r="K421" s="50" t="s">
        <v>798</v>
      </c>
      <c r="L421" s="51">
        <v>55.0</v>
      </c>
      <c r="M421" s="50" t="s">
        <v>565</v>
      </c>
      <c r="N421" s="51" t="s">
        <v>174</v>
      </c>
      <c r="O421" s="48">
        <v>305.0</v>
      </c>
      <c r="P421" s="48">
        <v>157.0</v>
      </c>
      <c r="Q421" s="48">
        <v>50.0</v>
      </c>
      <c r="R421" s="48">
        <v>2.0</v>
      </c>
      <c r="S421" s="50" t="s">
        <v>166</v>
      </c>
      <c r="T421" s="52" t="s">
        <v>167</v>
      </c>
      <c r="U421" s="52" t="s">
        <v>346</v>
      </c>
      <c r="V421" s="51" t="s">
        <v>799</v>
      </c>
      <c r="W421" s="48" t="s">
        <v>193</v>
      </c>
      <c r="X421" s="50" t="s">
        <v>166</v>
      </c>
      <c r="Y421" s="51" t="s">
        <v>166</v>
      </c>
      <c r="Z421" s="48" t="s">
        <v>166</v>
      </c>
      <c r="AA421" s="48" t="s">
        <v>166</v>
      </c>
      <c r="AB421" s="48" t="s">
        <v>166</v>
      </c>
      <c r="AC421" s="48" t="s">
        <v>193</v>
      </c>
      <c r="AD421" s="48" t="s">
        <v>166</v>
      </c>
      <c r="AE421" s="54" t="s">
        <v>166</v>
      </c>
      <c r="AF421" s="55" t="s">
        <v>166</v>
      </c>
      <c r="AG421" s="51" t="s">
        <v>166</v>
      </c>
      <c r="AH421" s="48">
        <v>1.0</v>
      </c>
      <c r="AI421" s="48">
        <v>1.0</v>
      </c>
      <c r="AJ421" s="50" t="s">
        <v>174</v>
      </c>
      <c r="AK421" s="56" t="s">
        <v>166</v>
      </c>
      <c r="AL421" s="57">
        <v>219.0</v>
      </c>
      <c r="AM421" s="64" t="str">
        <f>HYPERLINK("https://smallformfactor.net/forum/threads/sliger-sm550-560-570-580-2-and-3-slot-riser-layouts-with-air-and-liquid-cooling-variants.6789/","Link")</f>
        <v>Link</v>
      </c>
      <c r="AN421" s="64" t="s">
        <v>214</v>
      </c>
      <c r="AO421" s="60" t="s">
        <v>181</v>
      </c>
      <c r="AP421" s="65">
        <v>44508.481409189815</v>
      </c>
      <c r="AQ421" s="66"/>
    </row>
    <row r="422">
      <c r="A422" s="82" t="str">
        <f>HYPERLINK("https://thor-zone.com/","Thor Zone")</f>
        <v>Thor Zone</v>
      </c>
      <c r="B422" s="62" t="s">
        <v>800</v>
      </c>
      <c r="C422" s="63" t="s">
        <v>248</v>
      </c>
      <c r="D422" s="48">
        <v>354.0</v>
      </c>
      <c r="E422" s="48">
        <v>131.0</v>
      </c>
      <c r="F422" s="48">
        <v>209.0</v>
      </c>
      <c r="G422" s="49">
        <f t="shared" si="14"/>
        <v>9.692166</v>
      </c>
      <c r="H422" s="49">
        <f t="shared" si="15"/>
        <v>463.74</v>
      </c>
      <c r="I422" s="48">
        <v>3.4</v>
      </c>
      <c r="J422" s="48" t="s">
        <v>235</v>
      </c>
      <c r="K422" s="50" t="s">
        <v>801</v>
      </c>
      <c r="L422" s="51">
        <v>53.0</v>
      </c>
      <c r="M422" s="50" t="s">
        <v>547</v>
      </c>
      <c r="N422" s="51" t="s">
        <v>174</v>
      </c>
      <c r="O422" s="48">
        <v>322.0</v>
      </c>
      <c r="P422" s="48">
        <v>136.0</v>
      </c>
      <c r="Q422" s="48">
        <v>46.0</v>
      </c>
      <c r="R422" s="48">
        <v>2.0</v>
      </c>
      <c r="S422" s="50" t="s">
        <v>166</v>
      </c>
      <c r="T422" s="52" t="s">
        <v>167</v>
      </c>
      <c r="U422" s="52" t="s">
        <v>346</v>
      </c>
      <c r="V422" s="51">
        <v>2.0</v>
      </c>
      <c r="W422" s="48" t="s">
        <v>166</v>
      </c>
      <c r="X422" s="50" t="s">
        <v>166</v>
      </c>
      <c r="Y422" s="51" t="s">
        <v>166</v>
      </c>
      <c r="Z422" s="48" t="s">
        <v>166</v>
      </c>
      <c r="AA422" s="48" t="s">
        <v>166</v>
      </c>
      <c r="AB422" s="48" t="s">
        <v>166</v>
      </c>
      <c r="AC422" s="48">
        <v>2.0</v>
      </c>
      <c r="AD422" s="48" t="s">
        <v>166</v>
      </c>
      <c r="AE422" s="54" t="s">
        <v>166</v>
      </c>
      <c r="AF422" s="55" t="s">
        <v>166</v>
      </c>
      <c r="AG422" s="51" t="s">
        <v>166</v>
      </c>
      <c r="AH422" s="48" t="s">
        <v>166</v>
      </c>
      <c r="AI422" s="48" t="s">
        <v>166</v>
      </c>
      <c r="AJ422" s="50" t="s">
        <v>166</v>
      </c>
      <c r="AK422" s="56" t="s">
        <v>166</v>
      </c>
      <c r="AL422" s="57">
        <v>299.0</v>
      </c>
      <c r="AM422" s="64" t="str">
        <f>HYPERLINK("https://smallformfactor.net/forum/threads/huge-update-%E2%80%94-mjolnir-the-minimalistic-%E2%80%93-but-not-boring-%E2%80%93-9-7l-case.3500/","Link")</f>
        <v>Link</v>
      </c>
      <c r="AN422" s="59"/>
      <c r="AO422" s="60"/>
      <c r="AP422" s="60"/>
      <c r="AQ422" s="66"/>
    </row>
    <row r="423">
      <c r="A423" s="61" t="s">
        <v>254</v>
      </c>
      <c r="B423" s="83" t="str">
        <f>HYPERLINK("https://www.geeekstore.com/shop/a50-mini-itx-case/","A50")</f>
        <v>A50</v>
      </c>
      <c r="C423" s="63" t="s">
        <v>248</v>
      </c>
      <c r="D423" s="48">
        <v>330.0</v>
      </c>
      <c r="E423" s="48">
        <v>140.0</v>
      </c>
      <c r="F423" s="48">
        <v>210.0</v>
      </c>
      <c r="G423" s="49">
        <f t="shared" si="14"/>
        <v>9.702</v>
      </c>
      <c r="H423" s="49">
        <f t="shared" si="15"/>
        <v>462</v>
      </c>
      <c r="I423" s="48" t="s">
        <v>170</v>
      </c>
      <c r="J423" s="48" t="s">
        <v>245</v>
      </c>
      <c r="K423" s="50" t="s">
        <v>255</v>
      </c>
      <c r="L423" s="51">
        <v>66.0</v>
      </c>
      <c r="M423" s="50" t="s">
        <v>166</v>
      </c>
      <c r="N423" s="51" t="s">
        <v>174</v>
      </c>
      <c r="O423" s="48">
        <v>300.0</v>
      </c>
      <c r="P423" s="48">
        <v>134.0</v>
      </c>
      <c r="Q423" s="48">
        <v>50.0</v>
      </c>
      <c r="R423" s="48">
        <v>2.0</v>
      </c>
      <c r="S423" s="50" t="s">
        <v>166</v>
      </c>
      <c r="T423" s="52" t="s">
        <v>167</v>
      </c>
      <c r="U423" s="52" t="s">
        <v>346</v>
      </c>
      <c r="V423" s="51" t="s">
        <v>193</v>
      </c>
      <c r="W423" s="48" t="s">
        <v>166</v>
      </c>
      <c r="X423" s="50" t="s">
        <v>166</v>
      </c>
      <c r="Y423" s="51" t="s">
        <v>166</v>
      </c>
      <c r="Z423" s="48" t="s">
        <v>166</v>
      </c>
      <c r="AA423" s="48" t="s">
        <v>166</v>
      </c>
      <c r="AB423" s="48" t="s">
        <v>435</v>
      </c>
      <c r="AC423" s="48" t="s">
        <v>166</v>
      </c>
      <c r="AD423" s="48" t="s">
        <v>166</v>
      </c>
      <c r="AE423" s="54" t="s">
        <v>166</v>
      </c>
      <c r="AF423" s="55" t="s">
        <v>166</v>
      </c>
      <c r="AG423" s="51" t="s">
        <v>166</v>
      </c>
      <c r="AH423" s="48">
        <v>2.0</v>
      </c>
      <c r="AI423" s="48" t="s">
        <v>166</v>
      </c>
      <c r="AJ423" s="50" t="s">
        <v>166</v>
      </c>
      <c r="AK423" s="56" t="s">
        <v>166</v>
      </c>
      <c r="AL423" s="57">
        <v>69.0</v>
      </c>
      <c r="AM423" s="68"/>
      <c r="AN423" s="59"/>
      <c r="AO423" s="60" t="s">
        <v>181</v>
      </c>
      <c r="AP423" s="65">
        <v>44758.56479769676</v>
      </c>
      <c r="AQ423" s="66"/>
    </row>
    <row r="424">
      <c r="A424" s="46" t="s">
        <v>352</v>
      </c>
      <c r="B424" s="46" t="s">
        <v>802</v>
      </c>
      <c r="C424" s="63" t="s">
        <v>262</v>
      </c>
      <c r="D424" s="48">
        <v>313.0</v>
      </c>
      <c r="E424" s="48">
        <v>141.0</v>
      </c>
      <c r="F424" s="48">
        <v>220.0</v>
      </c>
      <c r="G424" s="49">
        <f t="shared" si="14"/>
        <v>9.70926</v>
      </c>
      <c r="H424" s="49">
        <f t="shared" si="15"/>
        <v>441.33</v>
      </c>
      <c r="I424" s="48">
        <v>2.5</v>
      </c>
      <c r="J424" s="48" t="s">
        <v>274</v>
      </c>
      <c r="K424" s="50" t="s">
        <v>164</v>
      </c>
      <c r="L424" s="51">
        <v>120.0</v>
      </c>
      <c r="M424" s="50" t="s">
        <v>166</v>
      </c>
      <c r="N424" s="51" t="s">
        <v>166</v>
      </c>
      <c r="O424" s="48" t="s">
        <v>170</v>
      </c>
      <c r="P424" s="48">
        <v>125.0</v>
      </c>
      <c r="Q424" s="48">
        <v>40.0</v>
      </c>
      <c r="R424" s="48">
        <v>2.0</v>
      </c>
      <c r="S424" s="50" t="s">
        <v>166</v>
      </c>
      <c r="T424" s="52" t="s">
        <v>167</v>
      </c>
      <c r="U424" s="52" t="s">
        <v>324</v>
      </c>
      <c r="V424" s="51">
        <v>1.0</v>
      </c>
      <c r="W424" s="48">
        <v>2.0</v>
      </c>
      <c r="X424" s="50" t="s">
        <v>166</v>
      </c>
      <c r="Y424" s="51" t="s">
        <v>166</v>
      </c>
      <c r="Z424" s="48" t="s">
        <v>166</v>
      </c>
      <c r="AA424" s="48" t="s">
        <v>166</v>
      </c>
      <c r="AB424" s="48" t="s">
        <v>166</v>
      </c>
      <c r="AC424" s="48" t="s">
        <v>166</v>
      </c>
      <c r="AD424" s="48" t="s">
        <v>166</v>
      </c>
      <c r="AE424" s="54" t="s">
        <v>166</v>
      </c>
      <c r="AF424" s="55" t="s">
        <v>166</v>
      </c>
      <c r="AG424" s="51" t="s">
        <v>166</v>
      </c>
      <c r="AH424" s="48">
        <v>1.0</v>
      </c>
      <c r="AI424" s="48" t="s">
        <v>166</v>
      </c>
      <c r="AJ424" s="50" t="s">
        <v>166</v>
      </c>
      <c r="AK424" s="56">
        <v>169.0</v>
      </c>
      <c r="AL424" s="57">
        <f>AK424*Sheets!$E$3</f>
        <v>23.2958895</v>
      </c>
      <c r="AM424" s="68"/>
      <c r="AN424" s="70"/>
      <c r="AO424" s="71"/>
      <c r="AP424" s="72">
        <v>44758.5572725463</v>
      </c>
      <c r="AQ424" s="66"/>
    </row>
    <row r="425">
      <c r="A425" s="46" t="str">
        <f>HYPERLINK("https://shop115457374.world.taobao.com/","Sirius Case / 天狼星机箱")</f>
        <v>Sirius Case / 天狼星机箱</v>
      </c>
      <c r="B425" s="46" t="str">
        <f>HYPERLINK("https://item.taobao.com/item.htm?id=609956085911","T70")</f>
        <v>T70</v>
      </c>
      <c r="C425" s="63" t="s">
        <v>262</v>
      </c>
      <c r="D425" s="48">
        <v>277.0</v>
      </c>
      <c r="E425" s="48">
        <v>159.5</v>
      </c>
      <c r="F425" s="48">
        <v>220.0</v>
      </c>
      <c r="G425" s="49">
        <f t="shared" si="14"/>
        <v>9.71993</v>
      </c>
      <c r="H425" s="49">
        <f t="shared" si="15"/>
        <v>441.815</v>
      </c>
      <c r="I425" s="48">
        <v>1.0</v>
      </c>
      <c r="J425" s="48" t="s">
        <v>274</v>
      </c>
      <c r="K425" s="50" t="s">
        <v>669</v>
      </c>
      <c r="L425" s="51">
        <v>139.0</v>
      </c>
      <c r="M425" s="50" t="s">
        <v>166</v>
      </c>
      <c r="N425" s="51" t="s">
        <v>166</v>
      </c>
      <c r="O425" s="48">
        <v>273.0</v>
      </c>
      <c r="P425" s="48">
        <v>139.0</v>
      </c>
      <c r="Q425" s="48">
        <v>52.0</v>
      </c>
      <c r="R425" s="48">
        <v>2.0</v>
      </c>
      <c r="S425" s="50" t="s">
        <v>166</v>
      </c>
      <c r="T425" s="52" t="s">
        <v>167</v>
      </c>
      <c r="U425" s="52" t="s">
        <v>324</v>
      </c>
      <c r="V425" s="51" t="s">
        <v>435</v>
      </c>
      <c r="W425" s="48" t="s">
        <v>194</v>
      </c>
      <c r="X425" s="50" t="s">
        <v>166</v>
      </c>
      <c r="Y425" s="51" t="s">
        <v>166</v>
      </c>
      <c r="Z425" s="48" t="s">
        <v>166</v>
      </c>
      <c r="AA425" s="48" t="s">
        <v>193</v>
      </c>
      <c r="AB425" s="48" t="s">
        <v>194</v>
      </c>
      <c r="AC425" s="48" t="s">
        <v>166</v>
      </c>
      <c r="AD425" s="48" t="s">
        <v>166</v>
      </c>
      <c r="AE425" s="54" t="s">
        <v>166</v>
      </c>
      <c r="AF425" s="55" t="s">
        <v>166</v>
      </c>
      <c r="AG425" s="51" t="s">
        <v>166</v>
      </c>
      <c r="AH425" s="48" t="s">
        <v>166</v>
      </c>
      <c r="AI425" s="48" t="s">
        <v>166</v>
      </c>
      <c r="AJ425" s="50" t="s">
        <v>166</v>
      </c>
      <c r="AK425" s="56">
        <v>159.0</v>
      </c>
      <c r="AL425" s="57">
        <f>AK425*Sheets!$E$3</f>
        <v>21.9174345</v>
      </c>
      <c r="AM425" s="58"/>
      <c r="AN425" s="59"/>
      <c r="AO425" s="60"/>
      <c r="AP425" s="65">
        <v>44563.992116504625</v>
      </c>
      <c r="AQ425" s="66"/>
    </row>
    <row r="426">
      <c r="A426" s="99" t="s">
        <v>543</v>
      </c>
      <c r="B426" s="73" t="s">
        <v>803</v>
      </c>
      <c r="C426" s="63" t="s">
        <v>262</v>
      </c>
      <c r="D426" s="48">
        <v>270.0</v>
      </c>
      <c r="E426" s="48">
        <v>160.0</v>
      </c>
      <c r="F426" s="48">
        <v>225.0</v>
      </c>
      <c r="G426" s="49">
        <f t="shared" si="14"/>
        <v>9.72</v>
      </c>
      <c r="H426" s="49">
        <f t="shared" si="15"/>
        <v>432</v>
      </c>
      <c r="I426" s="48" t="s">
        <v>170</v>
      </c>
      <c r="J426" s="48" t="s">
        <v>245</v>
      </c>
      <c r="K426" s="50" t="s">
        <v>319</v>
      </c>
      <c r="L426" s="51">
        <v>130.0</v>
      </c>
      <c r="M426" s="50" t="s">
        <v>166</v>
      </c>
      <c r="N426" s="51" t="s">
        <v>166</v>
      </c>
      <c r="O426" s="48">
        <v>260.0</v>
      </c>
      <c r="P426" s="48">
        <v>120.0</v>
      </c>
      <c r="Q426" s="48">
        <v>45.0</v>
      </c>
      <c r="R426" s="48">
        <v>2.0</v>
      </c>
      <c r="S426" s="50" t="s">
        <v>166</v>
      </c>
      <c r="T426" s="52" t="s">
        <v>167</v>
      </c>
      <c r="U426" s="52" t="s">
        <v>324</v>
      </c>
      <c r="V426" s="51">
        <v>1.0</v>
      </c>
      <c r="W426" s="48" t="s">
        <v>166</v>
      </c>
      <c r="X426" s="50" t="s">
        <v>166</v>
      </c>
      <c r="Y426" s="51" t="s">
        <v>166</v>
      </c>
      <c r="Z426" s="48" t="s">
        <v>166</v>
      </c>
      <c r="AA426" s="48">
        <v>2.0</v>
      </c>
      <c r="AB426" s="48" t="s">
        <v>166</v>
      </c>
      <c r="AC426" s="48" t="s">
        <v>166</v>
      </c>
      <c r="AD426" s="48" t="s">
        <v>166</v>
      </c>
      <c r="AE426" s="54" t="s">
        <v>166</v>
      </c>
      <c r="AF426" s="55" t="s">
        <v>166</v>
      </c>
      <c r="AG426" s="51" t="s">
        <v>166</v>
      </c>
      <c r="AH426" s="48">
        <v>1.0</v>
      </c>
      <c r="AI426" s="48" t="s">
        <v>166</v>
      </c>
      <c r="AJ426" s="50" t="s">
        <v>166</v>
      </c>
      <c r="AK426" s="56">
        <v>699.0</v>
      </c>
      <c r="AL426" s="57">
        <f>AK426*Sheets!$E$3</f>
        <v>96.3540045</v>
      </c>
      <c r="AM426" s="68"/>
      <c r="AN426" s="70"/>
      <c r="AO426" s="71" t="s">
        <v>181</v>
      </c>
      <c r="AP426" s="71"/>
      <c r="AQ426" s="66"/>
    </row>
    <row r="427">
      <c r="A427" s="69" t="str">
        <f>HYPERLINK("https://sgpc.world.taobao.com/","SGPC")</f>
        <v>SGPC</v>
      </c>
      <c r="B427" s="46" t="s">
        <v>804</v>
      </c>
      <c r="C427" s="63" t="s">
        <v>248</v>
      </c>
      <c r="D427" s="48">
        <v>315.0</v>
      </c>
      <c r="E427" s="48">
        <v>147.0</v>
      </c>
      <c r="F427" s="48">
        <v>210.0</v>
      </c>
      <c r="G427" s="49">
        <f t="shared" si="14"/>
        <v>9.72405</v>
      </c>
      <c r="H427" s="49">
        <f t="shared" si="15"/>
        <v>463.05</v>
      </c>
      <c r="I427" s="48">
        <v>1.9</v>
      </c>
      <c r="J427" s="48" t="s">
        <v>164</v>
      </c>
      <c r="K427" s="50" t="s">
        <v>645</v>
      </c>
      <c r="L427" s="51">
        <v>67.0</v>
      </c>
      <c r="M427" s="50" t="s">
        <v>166</v>
      </c>
      <c r="N427" s="51" t="s">
        <v>174</v>
      </c>
      <c r="O427" s="48">
        <v>310.0</v>
      </c>
      <c r="P427" s="48" t="s">
        <v>170</v>
      </c>
      <c r="Q427" s="48">
        <v>40.0</v>
      </c>
      <c r="R427" s="48">
        <v>2.0</v>
      </c>
      <c r="S427" s="50" t="s">
        <v>166</v>
      </c>
      <c r="T427" s="52" t="s">
        <v>167</v>
      </c>
      <c r="U427" s="52" t="s">
        <v>324</v>
      </c>
      <c r="V427" s="51">
        <v>2.0</v>
      </c>
      <c r="W427" s="48" t="s">
        <v>166</v>
      </c>
      <c r="X427" s="50" t="s">
        <v>166</v>
      </c>
      <c r="Y427" s="51" t="s">
        <v>166</v>
      </c>
      <c r="Z427" s="48" t="s">
        <v>166</v>
      </c>
      <c r="AA427" s="48" t="s">
        <v>166</v>
      </c>
      <c r="AB427" s="48" t="s">
        <v>166</v>
      </c>
      <c r="AC427" s="48" t="s">
        <v>193</v>
      </c>
      <c r="AD427" s="48" t="s">
        <v>193</v>
      </c>
      <c r="AE427" s="54" t="s">
        <v>166</v>
      </c>
      <c r="AF427" s="55" t="s">
        <v>166</v>
      </c>
      <c r="AG427" s="51" t="s">
        <v>166</v>
      </c>
      <c r="AH427" s="48">
        <v>1.0</v>
      </c>
      <c r="AI427" s="48">
        <v>1.0</v>
      </c>
      <c r="AJ427" s="50" t="s">
        <v>166</v>
      </c>
      <c r="AK427" s="56">
        <v>359.0</v>
      </c>
      <c r="AL427" s="57">
        <f>AK427*Sheets!$E$3</f>
        <v>49.4865345</v>
      </c>
      <c r="AM427" s="68"/>
      <c r="AN427" s="59"/>
      <c r="AO427" s="60"/>
      <c r="AP427" s="65">
        <v>44764.86962884259</v>
      </c>
      <c r="AQ427" s="66"/>
    </row>
    <row r="428">
      <c r="A428" s="46" t="str">
        <f>HYPERLINK("https://shop224033016.world.taobao.com/","魔神科技电脑机箱城")</f>
        <v>魔神科技电脑机箱城</v>
      </c>
      <c r="B428" s="46" t="str">
        <f>HYPERLINK("https://item.taobao.com/item.htm?id=606304906165","飞优浦 Ghost S1 (air cool)")</f>
        <v>飞优浦 Ghost S1 (air cool)</v>
      </c>
      <c r="C428" s="63" t="s">
        <v>248</v>
      </c>
      <c r="D428" s="48">
        <v>320.0</v>
      </c>
      <c r="E428" s="48">
        <v>145.0</v>
      </c>
      <c r="F428" s="48">
        <v>210.0</v>
      </c>
      <c r="G428" s="49">
        <f t="shared" si="14"/>
        <v>9.744</v>
      </c>
      <c r="H428" s="49">
        <f t="shared" si="15"/>
        <v>464</v>
      </c>
      <c r="I428" s="48">
        <v>2.5</v>
      </c>
      <c r="J428" s="48" t="s">
        <v>164</v>
      </c>
      <c r="K428" s="50" t="s">
        <v>164</v>
      </c>
      <c r="L428" s="51">
        <v>67.0</v>
      </c>
      <c r="M428" s="50" t="s">
        <v>166</v>
      </c>
      <c r="N428" s="51" t="s">
        <v>174</v>
      </c>
      <c r="O428" s="48">
        <v>310.0</v>
      </c>
      <c r="P428" s="48">
        <v>135.0</v>
      </c>
      <c r="Q428" s="48">
        <v>49.5</v>
      </c>
      <c r="R428" s="48">
        <v>2.0</v>
      </c>
      <c r="S428" s="50" t="s">
        <v>166</v>
      </c>
      <c r="T428" s="52" t="s">
        <v>167</v>
      </c>
      <c r="U428" s="52" t="s">
        <v>346</v>
      </c>
      <c r="V428" s="51">
        <v>3.0</v>
      </c>
      <c r="W428" s="48" t="s">
        <v>166</v>
      </c>
      <c r="X428" s="50" t="s">
        <v>166</v>
      </c>
      <c r="Y428" s="51" t="s">
        <v>166</v>
      </c>
      <c r="Z428" s="48" t="s">
        <v>166</v>
      </c>
      <c r="AA428" s="48" t="s">
        <v>166</v>
      </c>
      <c r="AB428" s="48" t="s">
        <v>166</v>
      </c>
      <c r="AC428" s="48">
        <v>3.0</v>
      </c>
      <c r="AD428" s="48" t="s">
        <v>166</v>
      </c>
      <c r="AE428" s="54" t="s">
        <v>166</v>
      </c>
      <c r="AF428" s="55" t="s">
        <v>166</v>
      </c>
      <c r="AG428" s="51" t="s">
        <v>166</v>
      </c>
      <c r="AH428" s="48" t="s">
        <v>166</v>
      </c>
      <c r="AI428" s="48" t="s">
        <v>166</v>
      </c>
      <c r="AJ428" s="50" t="s">
        <v>166</v>
      </c>
      <c r="AK428" s="56">
        <v>499.0</v>
      </c>
      <c r="AL428" s="57">
        <f>AK428*Sheets!$E$3</f>
        <v>68.7849045</v>
      </c>
      <c r="AM428" s="68"/>
      <c r="AN428" s="70"/>
      <c r="AO428" s="71"/>
      <c r="AP428" s="72">
        <v>44442.88250143519</v>
      </c>
      <c r="AQ428" s="66"/>
    </row>
    <row r="429">
      <c r="A429" s="69" t="str">
        <f>HYPERLINK("https://shop162335681.world.taobao.com/","柏越科技")</f>
        <v>柏越科技</v>
      </c>
      <c r="B429" s="73" t="s">
        <v>805</v>
      </c>
      <c r="C429" s="63" t="s">
        <v>248</v>
      </c>
      <c r="D429" s="48">
        <v>290.0</v>
      </c>
      <c r="E429" s="48">
        <v>120.0</v>
      </c>
      <c r="F429" s="48">
        <v>280.0</v>
      </c>
      <c r="G429" s="49">
        <f t="shared" si="14"/>
        <v>9.744</v>
      </c>
      <c r="H429" s="49">
        <f t="shared" si="15"/>
        <v>348</v>
      </c>
      <c r="I429" s="48" t="s">
        <v>170</v>
      </c>
      <c r="J429" s="48" t="s">
        <v>274</v>
      </c>
      <c r="K429" s="50" t="s">
        <v>164</v>
      </c>
      <c r="L429" s="51">
        <v>65.0</v>
      </c>
      <c r="M429" s="50" t="s">
        <v>166</v>
      </c>
      <c r="N429" s="51" t="s">
        <v>174</v>
      </c>
      <c r="O429" s="48">
        <v>285.0</v>
      </c>
      <c r="P429" s="48" t="s">
        <v>170</v>
      </c>
      <c r="Q429" s="48">
        <v>42.0</v>
      </c>
      <c r="R429" s="48">
        <v>2.0</v>
      </c>
      <c r="S429" s="50">
        <v>1.0</v>
      </c>
      <c r="T429" s="52" t="s">
        <v>423</v>
      </c>
      <c r="U429" s="52" t="s">
        <v>186</v>
      </c>
      <c r="V429" s="51" t="s">
        <v>412</v>
      </c>
      <c r="W429" s="48" t="s">
        <v>194</v>
      </c>
      <c r="X429" s="50" t="s">
        <v>166</v>
      </c>
      <c r="Y429" s="51" t="s">
        <v>166</v>
      </c>
      <c r="Z429" s="48" t="s">
        <v>166</v>
      </c>
      <c r="AA429" s="48" t="s">
        <v>166</v>
      </c>
      <c r="AB429" s="48" t="s">
        <v>166</v>
      </c>
      <c r="AC429" s="48">
        <v>2.0</v>
      </c>
      <c r="AD429" s="48" t="s">
        <v>166</v>
      </c>
      <c r="AE429" s="54" t="s">
        <v>166</v>
      </c>
      <c r="AF429" s="55" t="s">
        <v>166</v>
      </c>
      <c r="AG429" s="51" t="s">
        <v>166</v>
      </c>
      <c r="AH429" s="48" t="s">
        <v>166</v>
      </c>
      <c r="AI429" s="48" t="s">
        <v>166</v>
      </c>
      <c r="AJ429" s="50" t="s">
        <v>166</v>
      </c>
      <c r="AK429" s="56">
        <v>299.0</v>
      </c>
      <c r="AL429" s="57">
        <f>AK429*Sheets!$E$3</f>
        <v>41.2158045</v>
      </c>
      <c r="AM429" s="68"/>
      <c r="AN429" s="70"/>
      <c r="AO429" s="71" t="s">
        <v>181</v>
      </c>
      <c r="AP429" s="71"/>
      <c r="AQ429" s="66"/>
    </row>
    <row r="430">
      <c r="A430" s="46" t="str">
        <f>HYPERLINK("https://shop206098240.world.taobao.com/","LZmod")</f>
        <v>LZmod</v>
      </c>
      <c r="B430" s="73" t="s">
        <v>806</v>
      </c>
      <c r="C430" s="63" t="s">
        <v>248</v>
      </c>
      <c r="D430" s="48">
        <v>332.0</v>
      </c>
      <c r="E430" s="48">
        <v>140.0</v>
      </c>
      <c r="F430" s="48">
        <v>210.0</v>
      </c>
      <c r="G430" s="49">
        <f t="shared" si="14"/>
        <v>9.7608</v>
      </c>
      <c r="H430" s="49">
        <f t="shared" si="15"/>
        <v>464.8</v>
      </c>
      <c r="I430" s="48" t="s">
        <v>170</v>
      </c>
      <c r="J430" s="48" t="s">
        <v>235</v>
      </c>
      <c r="K430" s="50" t="s">
        <v>164</v>
      </c>
      <c r="L430" s="51">
        <v>64.62</v>
      </c>
      <c r="M430" s="50" t="s">
        <v>166</v>
      </c>
      <c r="N430" s="51" t="s">
        <v>174</v>
      </c>
      <c r="O430" s="48">
        <v>318.0</v>
      </c>
      <c r="P430" s="48" t="s">
        <v>170</v>
      </c>
      <c r="Q430" s="48">
        <v>55.0</v>
      </c>
      <c r="R430" s="48">
        <v>2.0</v>
      </c>
      <c r="S430" s="50" t="s">
        <v>166</v>
      </c>
      <c r="T430" s="52" t="s">
        <v>167</v>
      </c>
      <c r="U430" s="52" t="s">
        <v>324</v>
      </c>
      <c r="V430" s="51">
        <v>3.0</v>
      </c>
      <c r="W430" s="48" t="s">
        <v>166</v>
      </c>
      <c r="X430" s="50" t="s">
        <v>166</v>
      </c>
      <c r="Y430" s="51" t="s">
        <v>166</v>
      </c>
      <c r="Z430" s="48" t="s">
        <v>166</v>
      </c>
      <c r="AA430" s="48" t="s">
        <v>166</v>
      </c>
      <c r="AB430" s="48" t="s">
        <v>166</v>
      </c>
      <c r="AC430" s="48">
        <v>2.0</v>
      </c>
      <c r="AD430" s="48" t="s">
        <v>166</v>
      </c>
      <c r="AE430" s="54" t="s">
        <v>166</v>
      </c>
      <c r="AF430" s="55" t="s">
        <v>166</v>
      </c>
      <c r="AG430" s="51" t="s">
        <v>166</v>
      </c>
      <c r="AH430" s="48">
        <v>2.0</v>
      </c>
      <c r="AI430" s="48" t="s">
        <v>166</v>
      </c>
      <c r="AJ430" s="50" t="s">
        <v>174</v>
      </c>
      <c r="AK430" s="56">
        <v>899.0</v>
      </c>
      <c r="AL430" s="57">
        <f>AK430*Sheets!$E$3</f>
        <v>123.9231045</v>
      </c>
      <c r="AM430" s="68"/>
      <c r="AN430" s="70"/>
      <c r="AO430" s="71" t="s">
        <v>181</v>
      </c>
      <c r="AP430" s="72">
        <v>45128.01231635417</v>
      </c>
      <c r="AQ430" s="66"/>
    </row>
    <row r="431">
      <c r="A431" s="46" t="str">
        <f>HYPERLINK("https://shop224033016.world.taobao.com/","魔神科技电脑机箱城")</f>
        <v>魔神科技电脑机箱城</v>
      </c>
      <c r="B431" s="73" t="s">
        <v>807</v>
      </c>
      <c r="C431" s="63" t="s">
        <v>262</v>
      </c>
      <c r="D431" s="48">
        <v>278.0</v>
      </c>
      <c r="E431" s="48">
        <v>160.0</v>
      </c>
      <c r="F431" s="48">
        <v>220.0</v>
      </c>
      <c r="G431" s="49">
        <f t="shared" si="14"/>
        <v>9.7856</v>
      </c>
      <c r="H431" s="49">
        <f t="shared" si="15"/>
        <v>444.8</v>
      </c>
      <c r="I431" s="48">
        <v>2.5</v>
      </c>
      <c r="J431" s="48" t="s">
        <v>164</v>
      </c>
      <c r="K431" s="50" t="s">
        <v>164</v>
      </c>
      <c r="L431" s="51">
        <v>120.0</v>
      </c>
      <c r="M431" s="50" t="s">
        <v>166</v>
      </c>
      <c r="N431" s="51" t="s">
        <v>166</v>
      </c>
      <c r="O431" s="48">
        <v>255.0</v>
      </c>
      <c r="P431" s="48">
        <v>140.0</v>
      </c>
      <c r="Q431" s="48">
        <v>42.0</v>
      </c>
      <c r="R431" s="48">
        <v>2.0</v>
      </c>
      <c r="S431" s="50" t="s">
        <v>166</v>
      </c>
      <c r="T431" s="52" t="s">
        <v>167</v>
      </c>
      <c r="U431" s="52" t="s">
        <v>324</v>
      </c>
      <c r="V431" s="51">
        <v>2.0</v>
      </c>
      <c r="W431" s="48">
        <v>1.0</v>
      </c>
      <c r="X431" s="50" t="s">
        <v>166</v>
      </c>
      <c r="Y431" s="51" t="s">
        <v>166</v>
      </c>
      <c r="Z431" s="48" t="s">
        <v>166</v>
      </c>
      <c r="AA431" s="48">
        <v>1.0</v>
      </c>
      <c r="AB431" s="48" t="s">
        <v>166</v>
      </c>
      <c r="AC431" s="48" t="s">
        <v>166</v>
      </c>
      <c r="AD431" s="48" t="s">
        <v>166</v>
      </c>
      <c r="AE431" s="54" t="s">
        <v>166</v>
      </c>
      <c r="AF431" s="55" t="s">
        <v>166</v>
      </c>
      <c r="AG431" s="51" t="s">
        <v>166</v>
      </c>
      <c r="AH431" s="48" t="s">
        <v>166</v>
      </c>
      <c r="AI431" s="48" t="s">
        <v>166</v>
      </c>
      <c r="AJ431" s="50" t="s">
        <v>166</v>
      </c>
      <c r="AK431" s="56">
        <v>599.0</v>
      </c>
      <c r="AL431" s="57">
        <f>AK431*Sheets!$E$3</f>
        <v>82.5694545</v>
      </c>
      <c r="AM431" s="68"/>
      <c r="AN431" s="70"/>
      <c r="AO431" s="71" t="s">
        <v>181</v>
      </c>
      <c r="AP431" s="71"/>
      <c r="AQ431" s="66"/>
    </row>
    <row r="432">
      <c r="A432" s="82" t="str">
        <f t="shared" ref="A432:A433" si="16">HYPERLINK("https://www.in-win.com/","InWin")</f>
        <v>InWin</v>
      </c>
      <c r="B432" s="62" t="s">
        <v>808</v>
      </c>
      <c r="C432" s="63" t="s">
        <v>262</v>
      </c>
      <c r="D432" s="48">
        <v>355.0</v>
      </c>
      <c r="E432" s="48">
        <v>103.0</v>
      </c>
      <c r="F432" s="48">
        <v>268.0</v>
      </c>
      <c r="G432" s="49">
        <f t="shared" si="14"/>
        <v>9.79942</v>
      </c>
      <c r="H432" s="49">
        <f t="shared" si="15"/>
        <v>365.65</v>
      </c>
      <c r="I432" s="48" t="s">
        <v>170</v>
      </c>
      <c r="J432" s="48" t="s">
        <v>171</v>
      </c>
      <c r="K432" s="50" t="s">
        <v>171</v>
      </c>
      <c r="L432" s="51">
        <v>75.0</v>
      </c>
      <c r="M432" s="50" t="s">
        <v>166</v>
      </c>
      <c r="N432" s="51" t="s">
        <v>166</v>
      </c>
      <c r="O432" s="48">
        <v>186.0</v>
      </c>
      <c r="P432" s="48">
        <v>85.0</v>
      </c>
      <c r="Q432" s="48">
        <v>20.0</v>
      </c>
      <c r="R432" s="48" t="s">
        <v>166</v>
      </c>
      <c r="S432" s="50">
        <v>1.0</v>
      </c>
      <c r="T432" s="52" t="s">
        <v>167</v>
      </c>
      <c r="U432" s="52" t="s">
        <v>372</v>
      </c>
      <c r="V432" s="51">
        <v>2.0</v>
      </c>
      <c r="W432" s="48" t="s">
        <v>166</v>
      </c>
      <c r="X432" s="50">
        <v>1.0</v>
      </c>
      <c r="Y432" s="51" t="s">
        <v>166</v>
      </c>
      <c r="Z432" s="48" t="s">
        <v>166</v>
      </c>
      <c r="AA432" s="48">
        <v>1.0</v>
      </c>
      <c r="AB432" s="48" t="s">
        <v>166</v>
      </c>
      <c r="AC432" s="48" t="s">
        <v>166</v>
      </c>
      <c r="AD432" s="48" t="s">
        <v>166</v>
      </c>
      <c r="AE432" s="54" t="s">
        <v>166</v>
      </c>
      <c r="AF432" s="55" t="s">
        <v>166</v>
      </c>
      <c r="AG432" s="51" t="s">
        <v>193</v>
      </c>
      <c r="AH432" s="48" t="s">
        <v>193</v>
      </c>
      <c r="AI432" s="48" t="s">
        <v>166</v>
      </c>
      <c r="AJ432" s="50" t="s">
        <v>174</v>
      </c>
      <c r="AK432" s="56" t="s">
        <v>166</v>
      </c>
      <c r="AL432" s="57" t="s">
        <v>170</v>
      </c>
      <c r="AM432" s="58"/>
      <c r="AN432" s="59"/>
      <c r="AO432" s="60"/>
      <c r="AP432" s="65">
        <v>44467.824045</v>
      </c>
      <c r="AQ432" s="66"/>
    </row>
    <row r="433">
      <c r="A433" s="82" t="str">
        <f t="shared" si="16"/>
        <v>InWin</v>
      </c>
      <c r="B433" s="62" t="s">
        <v>809</v>
      </c>
      <c r="C433" s="63" t="s">
        <v>262</v>
      </c>
      <c r="D433" s="48">
        <v>355.0</v>
      </c>
      <c r="E433" s="48">
        <v>103.0</v>
      </c>
      <c r="F433" s="48">
        <v>268.0</v>
      </c>
      <c r="G433" s="49">
        <f t="shared" si="14"/>
        <v>9.79942</v>
      </c>
      <c r="H433" s="49">
        <f t="shared" si="15"/>
        <v>365.65</v>
      </c>
      <c r="I433" s="48" t="s">
        <v>170</v>
      </c>
      <c r="J433" s="48" t="s">
        <v>171</v>
      </c>
      <c r="K433" s="50" t="s">
        <v>171</v>
      </c>
      <c r="L433" s="51">
        <v>75.0</v>
      </c>
      <c r="M433" s="50" t="s">
        <v>166</v>
      </c>
      <c r="N433" s="51" t="s">
        <v>166</v>
      </c>
      <c r="O433" s="48">
        <v>186.0</v>
      </c>
      <c r="P433" s="48">
        <v>85.0</v>
      </c>
      <c r="Q433" s="48">
        <v>20.0</v>
      </c>
      <c r="R433" s="48" t="s">
        <v>166</v>
      </c>
      <c r="S433" s="50">
        <v>1.0</v>
      </c>
      <c r="T433" s="52" t="s">
        <v>167</v>
      </c>
      <c r="U433" s="52" t="s">
        <v>372</v>
      </c>
      <c r="V433" s="51">
        <v>2.0</v>
      </c>
      <c r="W433" s="48" t="s">
        <v>166</v>
      </c>
      <c r="X433" s="50">
        <v>1.0</v>
      </c>
      <c r="Y433" s="51" t="s">
        <v>166</v>
      </c>
      <c r="Z433" s="48" t="s">
        <v>166</v>
      </c>
      <c r="AA433" s="48">
        <v>1.0</v>
      </c>
      <c r="AB433" s="48" t="s">
        <v>166</v>
      </c>
      <c r="AC433" s="48" t="s">
        <v>166</v>
      </c>
      <c r="AD433" s="48" t="s">
        <v>166</v>
      </c>
      <c r="AE433" s="54" t="s">
        <v>166</v>
      </c>
      <c r="AF433" s="55" t="s">
        <v>166</v>
      </c>
      <c r="AG433" s="51" t="s">
        <v>193</v>
      </c>
      <c r="AH433" s="48" t="s">
        <v>193</v>
      </c>
      <c r="AI433" s="48" t="s">
        <v>166</v>
      </c>
      <c r="AJ433" s="50" t="s">
        <v>174</v>
      </c>
      <c r="AK433" s="56" t="s">
        <v>166</v>
      </c>
      <c r="AL433" s="57" t="s">
        <v>170</v>
      </c>
      <c r="AM433" s="58"/>
      <c r="AN433" s="59"/>
      <c r="AO433" s="60"/>
      <c r="AP433" s="65">
        <v>44467.82707555556</v>
      </c>
      <c r="AQ433" s="66"/>
    </row>
    <row r="434">
      <c r="A434" s="46" t="str">
        <f>HYPERLINK("https://shop206098240.world.taobao.com/","LZmod")</f>
        <v>LZmod</v>
      </c>
      <c r="B434" s="46" t="s">
        <v>810</v>
      </c>
      <c r="C434" s="63" t="s">
        <v>248</v>
      </c>
      <c r="D434" s="48">
        <v>326.0</v>
      </c>
      <c r="E434" s="48">
        <v>140.0</v>
      </c>
      <c r="F434" s="48">
        <v>215.0</v>
      </c>
      <c r="G434" s="49">
        <f t="shared" si="14"/>
        <v>9.8126</v>
      </c>
      <c r="H434" s="49">
        <f t="shared" si="15"/>
        <v>456.4</v>
      </c>
      <c r="I434" s="48">
        <v>3.5</v>
      </c>
      <c r="J434" s="48" t="s">
        <v>235</v>
      </c>
      <c r="K434" s="50" t="s">
        <v>328</v>
      </c>
      <c r="L434" s="51">
        <v>66.0</v>
      </c>
      <c r="M434" s="50" t="s">
        <v>619</v>
      </c>
      <c r="N434" s="51" t="s">
        <v>174</v>
      </c>
      <c r="O434" s="48">
        <v>318.0</v>
      </c>
      <c r="P434" s="48">
        <v>155.0</v>
      </c>
      <c r="Q434" s="48">
        <v>56.0</v>
      </c>
      <c r="R434" s="48">
        <v>2.0</v>
      </c>
      <c r="S434" s="50" t="s">
        <v>166</v>
      </c>
      <c r="T434" s="52" t="s">
        <v>167</v>
      </c>
      <c r="U434" s="52" t="s">
        <v>346</v>
      </c>
      <c r="V434" s="51">
        <v>4.0</v>
      </c>
      <c r="W434" s="48" t="s">
        <v>166</v>
      </c>
      <c r="X434" s="50" t="s">
        <v>166</v>
      </c>
      <c r="Y434" s="51" t="s">
        <v>166</v>
      </c>
      <c r="Z434" s="48" t="s">
        <v>166</v>
      </c>
      <c r="AA434" s="48" t="s">
        <v>166</v>
      </c>
      <c r="AB434" s="48" t="s">
        <v>166</v>
      </c>
      <c r="AC434" s="48" t="s">
        <v>166</v>
      </c>
      <c r="AD434" s="48" t="s">
        <v>166</v>
      </c>
      <c r="AE434" s="54" t="s">
        <v>166</v>
      </c>
      <c r="AF434" s="55" t="s">
        <v>166</v>
      </c>
      <c r="AG434" s="51" t="s">
        <v>166</v>
      </c>
      <c r="AH434" s="48" t="s">
        <v>166</v>
      </c>
      <c r="AI434" s="48" t="s">
        <v>166</v>
      </c>
      <c r="AJ434" s="50" t="s">
        <v>166</v>
      </c>
      <c r="AK434" s="56">
        <v>1299.0</v>
      </c>
      <c r="AL434" s="57">
        <f>AK434*Sheets!$E$3</f>
        <v>179.0613045</v>
      </c>
      <c r="AM434" s="68"/>
      <c r="AN434" s="70"/>
      <c r="AO434" s="71"/>
      <c r="AP434" s="72">
        <v>44478.57654576389</v>
      </c>
      <c r="AQ434" s="66"/>
    </row>
    <row r="435">
      <c r="A435" s="69" t="str">
        <f>HYPERLINK("https://shop445541697.world.taobao.com/","Kyle's Studio")</f>
        <v>Kyle's Studio</v>
      </c>
      <c r="B435" s="73" t="s">
        <v>811</v>
      </c>
      <c r="C435" s="63" t="s">
        <v>248</v>
      </c>
      <c r="D435" s="48">
        <v>315.0</v>
      </c>
      <c r="E435" s="48">
        <v>130.0</v>
      </c>
      <c r="F435" s="48">
        <v>240.0</v>
      </c>
      <c r="G435" s="49">
        <f t="shared" si="14"/>
        <v>9.828</v>
      </c>
      <c r="H435" s="49">
        <f t="shared" si="15"/>
        <v>409.5</v>
      </c>
      <c r="I435" s="48" t="s">
        <v>170</v>
      </c>
      <c r="J435" s="48" t="s">
        <v>597</v>
      </c>
      <c r="K435" s="50" t="s">
        <v>319</v>
      </c>
      <c r="L435" s="51">
        <v>55.0</v>
      </c>
      <c r="M435" s="50" t="s">
        <v>547</v>
      </c>
      <c r="N435" s="51" t="s">
        <v>174</v>
      </c>
      <c r="O435" s="48">
        <v>306.0</v>
      </c>
      <c r="P435" s="48">
        <v>140.0</v>
      </c>
      <c r="Q435" s="48">
        <v>54.0</v>
      </c>
      <c r="R435" s="48">
        <v>2.0</v>
      </c>
      <c r="S435" s="50" t="s">
        <v>166</v>
      </c>
      <c r="T435" s="52" t="s">
        <v>167</v>
      </c>
      <c r="U435" s="52" t="s">
        <v>324</v>
      </c>
      <c r="V435" s="51">
        <v>3.0</v>
      </c>
      <c r="W435" s="48" t="s">
        <v>166</v>
      </c>
      <c r="X435" s="50" t="s">
        <v>166</v>
      </c>
      <c r="Y435" s="51" t="s">
        <v>166</v>
      </c>
      <c r="Z435" s="48" t="s">
        <v>166</v>
      </c>
      <c r="AA435" s="48" t="s">
        <v>166</v>
      </c>
      <c r="AB435" s="48" t="s">
        <v>166</v>
      </c>
      <c r="AC435" s="48">
        <v>2.0</v>
      </c>
      <c r="AD435" s="48" t="s">
        <v>166</v>
      </c>
      <c r="AE435" s="54" t="s">
        <v>166</v>
      </c>
      <c r="AF435" s="55" t="s">
        <v>166</v>
      </c>
      <c r="AG435" s="51" t="s">
        <v>166</v>
      </c>
      <c r="AH435" s="48" t="s">
        <v>166</v>
      </c>
      <c r="AI435" s="48" t="s">
        <v>166</v>
      </c>
      <c r="AJ435" s="50" t="s">
        <v>166</v>
      </c>
      <c r="AK435" s="56">
        <v>689.0</v>
      </c>
      <c r="AL435" s="57">
        <f>AK435*Sheets!$E$3</f>
        <v>94.9755495</v>
      </c>
      <c r="AM435" s="68"/>
      <c r="AN435" s="70"/>
      <c r="AO435" s="71" t="s">
        <v>181</v>
      </c>
      <c r="AP435" s="72">
        <v>44454.906683865745</v>
      </c>
      <c r="AQ435" s="66"/>
    </row>
    <row r="436">
      <c r="A436" s="62" t="s">
        <v>292</v>
      </c>
      <c r="B436" s="67" t="s">
        <v>812</v>
      </c>
      <c r="C436" s="63" t="s">
        <v>248</v>
      </c>
      <c r="D436" s="74">
        <v>180.0</v>
      </c>
      <c r="E436" s="74">
        <v>140.0</v>
      </c>
      <c r="F436" s="74">
        <v>390.0</v>
      </c>
      <c r="G436" s="49">
        <f t="shared" si="14"/>
        <v>9.828</v>
      </c>
      <c r="H436" s="49">
        <f t="shared" si="15"/>
        <v>252</v>
      </c>
      <c r="I436" s="74" t="s">
        <v>170</v>
      </c>
      <c r="J436" s="48" t="s">
        <v>164</v>
      </c>
      <c r="K436" s="50" t="s">
        <v>164</v>
      </c>
      <c r="L436" s="76">
        <v>53.0</v>
      </c>
      <c r="M436" s="75">
        <v>120.0</v>
      </c>
      <c r="N436" s="77" t="s">
        <v>174</v>
      </c>
      <c r="O436" s="104">
        <v>305.0</v>
      </c>
      <c r="P436" s="74">
        <v>155.0</v>
      </c>
      <c r="Q436" s="89">
        <v>60.0</v>
      </c>
      <c r="R436" s="105">
        <v>3.0</v>
      </c>
      <c r="S436" s="50" t="s">
        <v>166</v>
      </c>
      <c r="T436" s="52" t="s">
        <v>167</v>
      </c>
      <c r="U436" s="52" t="s">
        <v>346</v>
      </c>
      <c r="V436" s="77" t="s">
        <v>166</v>
      </c>
      <c r="W436" s="74" t="s">
        <v>166</v>
      </c>
      <c r="X436" s="75" t="s">
        <v>166</v>
      </c>
      <c r="Y436" s="51" t="s">
        <v>166</v>
      </c>
      <c r="Z436" s="74" t="s">
        <v>166</v>
      </c>
      <c r="AA436" s="74" t="s">
        <v>166</v>
      </c>
      <c r="AB436" s="48" t="s">
        <v>166</v>
      </c>
      <c r="AC436" s="48">
        <v>1.0</v>
      </c>
      <c r="AD436" s="48" t="s">
        <v>166</v>
      </c>
      <c r="AE436" s="54" t="s">
        <v>166</v>
      </c>
      <c r="AF436" s="55" t="s">
        <v>166</v>
      </c>
      <c r="AG436" s="51" t="s">
        <v>166</v>
      </c>
      <c r="AH436" s="48" t="s">
        <v>166</v>
      </c>
      <c r="AI436" s="48" t="s">
        <v>166</v>
      </c>
      <c r="AJ436" s="50" t="s">
        <v>166</v>
      </c>
      <c r="AK436" s="56" t="s">
        <v>166</v>
      </c>
      <c r="AL436" s="57">
        <f>89.5*1.21</f>
        <v>108.295</v>
      </c>
      <c r="AM436" s="58"/>
      <c r="AN436" s="59"/>
      <c r="AO436" s="60" t="s">
        <v>181</v>
      </c>
      <c r="AP436" s="65">
        <v>44887.95523738426</v>
      </c>
      <c r="AQ436" s="66"/>
    </row>
    <row r="437">
      <c r="A437" s="82" t="s">
        <v>212</v>
      </c>
      <c r="B437" s="62" t="s">
        <v>813</v>
      </c>
      <c r="C437" s="63" t="s">
        <v>248</v>
      </c>
      <c r="D437" s="48">
        <v>320.0</v>
      </c>
      <c r="E437" s="48">
        <v>134.0</v>
      </c>
      <c r="F437" s="48">
        <v>230.0</v>
      </c>
      <c r="G437" s="49">
        <f t="shared" si="14"/>
        <v>9.8624</v>
      </c>
      <c r="H437" s="49">
        <f t="shared" si="15"/>
        <v>428.8</v>
      </c>
      <c r="I437" s="48">
        <v>2.1</v>
      </c>
      <c r="J437" s="48" t="s">
        <v>164</v>
      </c>
      <c r="K437" s="50" t="s">
        <v>252</v>
      </c>
      <c r="L437" s="51">
        <v>65.0</v>
      </c>
      <c r="M437" s="50" t="s">
        <v>619</v>
      </c>
      <c r="N437" s="51" t="s">
        <v>174</v>
      </c>
      <c r="O437" s="48">
        <v>314.5</v>
      </c>
      <c r="P437" s="48">
        <v>133.0</v>
      </c>
      <c r="Q437" s="48">
        <v>59.0</v>
      </c>
      <c r="R437" s="48">
        <v>2.0</v>
      </c>
      <c r="S437" s="50" t="s">
        <v>166</v>
      </c>
      <c r="T437" s="52" t="s">
        <v>167</v>
      </c>
      <c r="U437" s="52" t="s">
        <v>324</v>
      </c>
      <c r="V437" s="51" t="s">
        <v>412</v>
      </c>
      <c r="W437" s="48" t="s">
        <v>166</v>
      </c>
      <c r="X437" s="50" t="s">
        <v>166</v>
      </c>
      <c r="Y437" s="51" t="s">
        <v>166</v>
      </c>
      <c r="Z437" s="48" t="s">
        <v>166</v>
      </c>
      <c r="AA437" s="48" t="s">
        <v>166</v>
      </c>
      <c r="AB437" s="48" t="s">
        <v>166</v>
      </c>
      <c r="AC437" s="48" t="s">
        <v>412</v>
      </c>
      <c r="AD437" s="48" t="s">
        <v>166</v>
      </c>
      <c r="AE437" s="54" t="s">
        <v>166</v>
      </c>
      <c r="AF437" s="55" t="s">
        <v>166</v>
      </c>
      <c r="AG437" s="51" t="s">
        <v>166</v>
      </c>
      <c r="AH437" s="48" t="s">
        <v>166</v>
      </c>
      <c r="AI437" s="48" t="s">
        <v>166</v>
      </c>
      <c r="AJ437" s="50" t="s">
        <v>166</v>
      </c>
      <c r="AK437" s="56">
        <v>849.0</v>
      </c>
      <c r="AL437" s="57">
        <v>170.0</v>
      </c>
      <c r="AM437" s="68"/>
      <c r="AN437" s="64" t="s">
        <v>214</v>
      </c>
      <c r="AO437" s="71"/>
      <c r="AP437" s="72">
        <v>44442.771959317135</v>
      </c>
      <c r="AQ437" s="66"/>
    </row>
    <row r="438">
      <c r="A438" s="46" t="s">
        <v>451</v>
      </c>
      <c r="B438" s="46" t="s">
        <v>814</v>
      </c>
      <c r="C438" s="63" t="s">
        <v>248</v>
      </c>
      <c r="D438" s="48">
        <v>335.0</v>
      </c>
      <c r="E438" s="48">
        <v>155.0</v>
      </c>
      <c r="F438" s="48">
        <v>190.0</v>
      </c>
      <c r="G438" s="98">
        <f t="shared" si="14"/>
        <v>9.86575</v>
      </c>
      <c r="H438" s="49">
        <f t="shared" si="15"/>
        <v>519.25</v>
      </c>
      <c r="I438" s="48">
        <v>2.5</v>
      </c>
      <c r="J438" s="48" t="s">
        <v>164</v>
      </c>
      <c r="K438" s="50" t="s">
        <v>815</v>
      </c>
      <c r="L438" s="51">
        <v>75.0</v>
      </c>
      <c r="M438" s="50" t="s">
        <v>166</v>
      </c>
      <c r="N438" s="51" t="s">
        <v>174</v>
      </c>
      <c r="O438" s="48">
        <v>330.0</v>
      </c>
      <c r="P438" s="48">
        <v>140.0</v>
      </c>
      <c r="Q438" s="48">
        <v>58.0</v>
      </c>
      <c r="R438" s="48">
        <v>2.0</v>
      </c>
      <c r="S438" s="50" t="s">
        <v>166</v>
      </c>
      <c r="T438" s="52" t="s">
        <v>167</v>
      </c>
      <c r="U438" s="52" t="s">
        <v>816</v>
      </c>
      <c r="V438" s="51">
        <v>5.0</v>
      </c>
      <c r="W438" s="48" t="s">
        <v>166</v>
      </c>
      <c r="X438" s="50" t="s">
        <v>166</v>
      </c>
      <c r="Y438" s="51" t="s">
        <v>166</v>
      </c>
      <c r="Z438" s="48" t="s">
        <v>166</v>
      </c>
      <c r="AA438" s="48" t="s">
        <v>166</v>
      </c>
      <c r="AB438" s="48" t="s">
        <v>166</v>
      </c>
      <c r="AC438" s="48" t="s">
        <v>193</v>
      </c>
      <c r="AD438" s="48" t="s">
        <v>193</v>
      </c>
      <c r="AE438" s="54" t="s">
        <v>166</v>
      </c>
      <c r="AF438" s="55" t="s">
        <v>166</v>
      </c>
      <c r="AG438" s="51" t="s">
        <v>166</v>
      </c>
      <c r="AH438" s="48" t="s">
        <v>166</v>
      </c>
      <c r="AI438" s="48" t="s">
        <v>166</v>
      </c>
      <c r="AJ438" s="50" t="s">
        <v>166</v>
      </c>
      <c r="AK438" s="56">
        <v>499.0</v>
      </c>
      <c r="AL438" s="57">
        <f>AK438*Sheets!$E$3</f>
        <v>68.7849045</v>
      </c>
      <c r="AM438" s="68"/>
      <c r="AN438" s="70"/>
      <c r="AO438" s="71"/>
      <c r="AP438" s="71"/>
      <c r="AQ438" s="66"/>
    </row>
    <row r="439">
      <c r="A439" s="69" t="s">
        <v>222</v>
      </c>
      <c r="B439" s="103" t="s">
        <v>817</v>
      </c>
      <c r="C439" s="63" t="s">
        <v>248</v>
      </c>
      <c r="D439" s="48">
        <v>270.0</v>
      </c>
      <c r="E439" s="48">
        <v>126.0</v>
      </c>
      <c r="F439" s="48">
        <v>290.0</v>
      </c>
      <c r="G439" s="49">
        <f t="shared" si="14"/>
        <v>9.8658</v>
      </c>
      <c r="H439" s="49">
        <f t="shared" si="15"/>
        <v>340.2</v>
      </c>
      <c r="I439" s="48" t="s">
        <v>170</v>
      </c>
      <c r="J439" s="48" t="s">
        <v>171</v>
      </c>
      <c r="K439" s="50" t="s">
        <v>171</v>
      </c>
      <c r="L439" s="51">
        <v>58.0</v>
      </c>
      <c r="M439" s="50" t="s">
        <v>166</v>
      </c>
      <c r="N439" s="51" t="s">
        <v>174</v>
      </c>
      <c r="O439" s="48">
        <v>268.0</v>
      </c>
      <c r="P439" s="48">
        <v>160.0</v>
      </c>
      <c r="Q439" s="48">
        <v>50.0</v>
      </c>
      <c r="R439" s="48">
        <v>2.0</v>
      </c>
      <c r="S439" s="50" t="s">
        <v>166</v>
      </c>
      <c r="T439" s="52" t="s">
        <v>423</v>
      </c>
      <c r="U439" s="52" t="s">
        <v>818</v>
      </c>
      <c r="V439" s="51">
        <v>2.0</v>
      </c>
      <c r="W439" s="48" t="s">
        <v>166</v>
      </c>
      <c r="X439" s="50" t="s">
        <v>166</v>
      </c>
      <c r="Y439" s="51" t="s">
        <v>166</v>
      </c>
      <c r="Z439" s="48" t="s">
        <v>166</v>
      </c>
      <c r="AA439" s="48">
        <v>2.0</v>
      </c>
      <c r="AB439" s="48" t="s">
        <v>166</v>
      </c>
      <c r="AC439" s="48" t="s">
        <v>166</v>
      </c>
      <c r="AD439" s="48" t="s">
        <v>166</v>
      </c>
      <c r="AE439" s="54" t="s">
        <v>166</v>
      </c>
      <c r="AF439" s="55" t="s">
        <v>166</v>
      </c>
      <c r="AG439" s="51" t="s">
        <v>166</v>
      </c>
      <c r="AH439" s="48" t="s">
        <v>166</v>
      </c>
      <c r="AI439" s="48" t="s">
        <v>166</v>
      </c>
      <c r="AJ439" s="50" t="s">
        <v>166</v>
      </c>
      <c r="AK439" s="56">
        <v>230.0</v>
      </c>
      <c r="AL439" s="57">
        <f>AK439*Sheets!$E$3</f>
        <v>31.704465</v>
      </c>
      <c r="AM439" s="68"/>
      <c r="AN439" s="70"/>
      <c r="AO439" s="71" t="s">
        <v>181</v>
      </c>
      <c r="AP439" s="72">
        <v>44564.558904641206</v>
      </c>
      <c r="AQ439" s="66"/>
    </row>
    <row r="440">
      <c r="A440" s="99" t="s">
        <v>543</v>
      </c>
      <c r="B440" s="73" t="s">
        <v>819</v>
      </c>
      <c r="C440" s="63" t="s">
        <v>262</v>
      </c>
      <c r="D440" s="48">
        <v>278.0</v>
      </c>
      <c r="E440" s="48">
        <v>163.0</v>
      </c>
      <c r="F440" s="48">
        <v>218.0</v>
      </c>
      <c r="G440" s="49">
        <f t="shared" si="14"/>
        <v>9.878452</v>
      </c>
      <c r="H440" s="49">
        <f t="shared" si="15"/>
        <v>453.14</v>
      </c>
      <c r="I440" s="48" t="s">
        <v>170</v>
      </c>
      <c r="J440" s="48" t="s">
        <v>164</v>
      </c>
      <c r="K440" s="50" t="s">
        <v>164</v>
      </c>
      <c r="L440" s="51">
        <v>132.0</v>
      </c>
      <c r="M440" s="50" t="s">
        <v>166</v>
      </c>
      <c r="N440" s="51" t="s">
        <v>166</v>
      </c>
      <c r="O440" s="48">
        <v>270.0</v>
      </c>
      <c r="P440" s="48">
        <v>120.0</v>
      </c>
      <c r="Q440" s="48">
        <v>42.0</v>
      </c>
      <c r="R440" s="48">
        <v>2.0</v>
      </c>
      <c r="S440" s="50" t="s">
        <v>166</v>
      </c>
      <c r="T440" s="52" t="s">
        <v>167</v>
      </c>
      <c r="U440" s="52" t="s">
        <v>324</v>
      </c>
      <c r="V440" s="51">
        <v>2.0</v>
      </c>
      <c r="W440" s="48" t="s">
        <v>166</v>
      </c>
      <c r="X440" s="50" t="s">
        <v>166</v>
      </c>
      <c r="Y440" s="51" t="s">
        <v>166</v>
      </c>
      <c r="Z440" s="48" t="s">
        <v>166</v>
      </c>
      <c r="AA440" s="48" t="s">
        <v>166</v>
      </c>
      <c r="AB440" s="48">
        <v>1.0</v>
      </c>
      <c r="AC440" s="48" t="s">
        <v>166</v>
      </c>
      <c r="AD440" s="48" t="s">
        <v>166</v>
      </c>
      <c r="AE440" s="54" t="s">
        <v>166</v>
      </c>
      <c r="AF440" s="55" t="s">
        <v>166</v>
      </c>
      <c r="AG440" s="51" t="s">
        <v>166</v>
      </c>
      <c r="AH440" s="48" t="s">
        <v>166</v>
      </c>
      <c r="AI440" s="48" t="s">
        <v>166</v>
      </c>
      <c r="AJ440" s="50" t="s">
        <v>166</v>
      </c>
      <c r="AK440" s="56">
        <v>499.0</v>
      </c>
      <c r="AL440" s="57">
        <f>AK440*Sheets!$E$3</f>
        <v>68.7849045</v>
      </c>
      <c r="AM440" s="68"/>
      <c r="AN440" s="70"/>
      <c r="AO440" s="71" t="s">
        <v>181</v>
      </c>
      <c r="AP440" s="71"/>
      <c r="AQ440" s="66"/>
    </row>
    <row r="441">
      <c r="A441" s="61" t="s">
        <v>254</v>
      </c>
      <c r="B441" s="62" t="str">
        <f>HYPERLINK("https://www.geeekstore.com/shop/a50-plus-mini-itx-case/","A50 Plus")</f>
        <v>A50 Plus</v>
      </c>
      <c r="C441" s="63" t="s">
        <v>248</v>
      </c>
      <c r="D441" s="48">
        <v>330.0</v>
      </c>
      <c r="E441" s="48">
        <v>140.0</v>
      </c>
      <c r="F441" s="48">
        <v>214.0</v>
      </c>
      <c r="G441" s="49">
        <f t="shared" si="14"/>
        <v>9.8868</v>
      </c>
      <c r="H441" s="49">
        <f t="shared" si="15"/>
        <v>462</v>
      </c>
      <c r="I441" s="48" t="s">
        <v>170</v>
      </c>
      <c r="J441" s="48" t="s">
        <v>245</v>
      </c>
      <c r="K441" s="50" t="s">
        <v>255</v>
      </c>
      <c r="L441" s="51">
        <v>66.0</v>
      </c>
      <c r="M441" s="50" t="s">
        <v>166</v>
      </c>
      <c r="N441" s="51" t="s">
        <v>174</v>
      </c>
      <c r="O441" s="48">
        <v>305.0</v>
      </c>
      <c r="P441" s="48">
        <v>147.0</v>
      </c>
      <c r="Q441" s="48">
        <v>48.0</v>
      </c>
      <c r="R441" s="48">
        <v>2.0</v>
      </c>
      <c r="S441" s="50" t="s">
        <v>166</v>
      </c>
      <c r="T441" s="52" t="s">
        <v>167</v>
      </c>
      <c r="U441" s="52" t="s">
        <v>346</v>
      </c>
      <c r="V441" s="51" t="s">
        <v>193</v>
      </c>
      <c r="W441" s="48" t="s">
        <v>166</v>
      </c>
      <c r="X441" s="50" t="s">
        <v>166</v>
      </c>
      <c r="Y441" s="51" t="s">
        <v>166</v>
      </c>
      <c r="Z441" s="48" t="s">
        <v>166</v>
      </c>
      <c r="AA441" s="48" t="s">
        <v>166</v>
      </c>
      <c r="AB441" s="48" t="s">
        <v>435</v>
      </c>
      <c r="AC441" s="48" t="s">
        <v>166</v>
      </c>
      <c r="AD441" s="48" t="s">
        <v>166</v>
      </c>
      <c r="AE441" s="54" t="s">
        <v>166</v>
      </c>
      <c r="AF441" s="55" t="s">
        <v>166</v>
      </c>
      <c r="AG441" s="51" t="s">
        <v>166</v>
      </c>
      <c r="AH441" s="48">
        <v>2.0</v>
      </c>
      <c r="AI441" s="48" t="s">
        <v>166</v>
      </c>
      <c r="AJ441" s="50" t="s">
        <v>166</v>
      </c>
      <c r="AK441" s="56" t="s">
        <v>166</v>
      </c>
      <c r="AL441" s="57">
        <v>69.0</v>
      </c>
      <c r="AM441" s="68"/>
      <c r="AN441" s="64" t="s">
        <v>214</v>
      </c>
      <c r="AO441" s="60"/>
      <c r="AP441" s="60"/>
      <c r="AQ441" s="66"/>
    </row>
    <row r="442">
      <c r="A442" s="69" t="s">
        <v>196</v>
      </c>
      <c r="B442" s="73" t="s">
        <v>820</v>
      </c>
      <c r="C442" s="63" t="s">
        <v>248</v>
      </c>
      <c r="D442" s="48">
        <v>330.0</v>
      </c>
      <c r="E442" s="48">
        <v>143.0</v>
      </c>
      <c r="F442" s="48">
        <v>210.0</v>
      </c>
      <c r="G442" s="49">
        <f t="shared" si="14"/>
        <v>9.9099</v>
      </c>
      <c r="H442" s="49">
        <f t="shared" si="15"/>
        <v>471.9</v>
      </c>
      <c r="I442" s="48" t="s">
        <v>170</v>
      </c>
      <c r="J442" s="48" t="s">
        <v>274</v>
      </c>
      <c r="K442" s="50" t="s">
        <v>164</v>
      </c>
      <c r="L442" s="51">
        <v>65.0</v>
      </c>
      <c r="M442" s="50" t="s">
        <v>166</v>
      </c>
      <c r="N442" s="51" t="s">
        <v>174</v>
      </c>
      <c r="O442" s="48">
        <v>320.0</v>
      </c>
      <c r="P442" s="48">
        <v>140.0</v>
      </c>
      <c r="Q442" s="48">
        <v>55.0</v>
      </c>
      <c r="R442" s="48">
        <v>2.0</v>
      </c>
      <c r="S442" s="50" t="s">
        <v>166</v>
      </c>
      <c r="T442" s="52" t="s">
        <v>167</v>
      </c>
      <c r="U442" s="52" t="s">
        <v>346</v>
      </c>
      <c r="V442" s="51">
        <v>2.0</v>
      </c>
      <c r="W442" s="48" t="s">
        <v>166</v>
      </c>
      <c r="X442" s="50" t="s">
        <v>166</v>
      </c>
      <c r="Y442" s="51" t="s">
        <v>166</v>
      </c>
      <c r="Z442" s="48" t="s">
        <v>166</v>
      </c>
      <c r="AA442" s="48" t="s">
        <v>166</v>
      </c>
      <c r="AB442" s="48">
        <v>2.0</v>
      </c>
      <c r="AC442" s="48" t="s">
        <v>166</v>
      </c>
      <c r="AD442" s="48" t="s">
        <v>166</v>
      </c>
      <c r="AE442" s="54" t="s">
        <v>166</v>
      </c>
      <c r="AF442" s="55" t="s">
        <v>166</v>
      </c>
      <c r="AG442" s="51" t="s">
        <v>166</v>
      </c>
      <c r="AH442" s="48">
        <v>1.0</v>
      </c>
      <c r="AI442" s="48" t="s">
        <v>166</v>
      </c>
      <c r="AJ442" s="50" t="s">
        <v>166</v>
      </c>
      <c r="AK442" s="56">
        <v>169.0</v>
      </c>
      <c r="AL442" s="57">
        <f>AK442*Sheets!$E$3</f>
        <v>23.2958895</v>
      </c>
      <c r="AM442" s="68"/>
      <c r="AN442" s="70"/>
      <c r="AO442" s="71" t="s">
        <v>181</v>
      </c>
      <c r="AP442" s="72">
        <v>45205.94811179399</v>
      </c>
      <c r="AQ442" s="66"/>
    </row>
    <row r="443">
      <c r="A443" s="69" t="str">
        <f>HYPERLINK("https://shop34001191.world.taobao.com/","Mechanic Master")</f>
        <v>Mechanic Master</v>
      </c>
      <c r="B443" s="46" t="s">
        <v>821</v>
      </c>
      <c r="C443" s="63" t="s">
        <v>262</v>
      </c>
      <c r="D443" s="48">
        <v>249.0</v>
      </c>
      <c r="E443" s="48">
        <v>160.0</v>
      </c>
      <c r="F443" s="48">
        <v>249.0</v>
      </c>
      <c r="G443" s="49">
        <f t="shared" si="14"/>
        <v>9.92016</v>
      </c>
      <c r="H443" s="49">
        <f t="shared" si="15"/>
        <v>398.4</v>
      </c>
      <c r="I443" s="48">
        <v>2.5</v>
      </c>
      <c r="J443" s="48" t="s">
        <v>597</v>
      </c>
      <c r="K443" s="50" t="s">
        <v>792</v>
      </c>
      <c r="L443" s="51">
        <v>135.0</v>
      </c>
      <c r="M443" s="50" t="s">
        <v>166</v>
      </c>
      <c r="N443" s="51" t="s">
        <v>166</v>
      </c>
      <c r="O443" s="48">
        <v>245.0</v>
      </c>
      <c r="P443" s="48">
        <v>135.0</v>
      </c>
      <c r="Q443" s="48">
        <v>60.0</v>
      </c>
      <c r="R443" s="48">
        <v>3.0</v>
      </c>
      <c r="S443" s="50" t="s">
        <v>166</v>
      </c>
      <c r="T443" s="52" t="s">
        <v>793</v>
      </c>
      <c r="U443" s="52" t="s">
        <v>346</v>
      </c>
      <c r="V443" s="51" t="s">
        <v>416</v>
      </c>
      <c r="W443" s="48" t="s">
        <v>194</v>
      </c>
      <c r="X443" s="50" t="s">
        <v>166</v>
      </c>
      <c r="Y443" s="51" t="s">
        <v>166</v>
      </c>
      <c r="Z443" s="48" t="s">
        <v>166</v>
      </c>
      <c r="AA443" s="48" t="s">
        <v>278</v>
      </c>
      <c r="AB443" s="48">
        <v>1.0</v>
      </c>
      <c r="AC443" s="48" t="s">
        <v>193</v>
      </c>
      <c r="AD443" s="48" t="s">
        <v>166</v>
      </c>
      <c r="AE443" s="54" t="s">
        <v>166</v>
      </c>
      <c r="AF443" s="55" t="s">
        <v>166</v>
      </c>
      <c r="AG443" s="51" t="s">
        <v>166</v>
      </c>
      <c r="AH443" s="48" t="s">
        <v>207</v>
      </c>
      <c r="AI443" s="48" t="s">
        <v>194</v>
      </c>
      <c r="AJ443" s="50" t="s">
        <v>166</v>
      </c>
      <c r="AK443" s="56">
        <v>399.0</v>
      </c>
      <c r="AL443" s="57">
        <f>AK443*Sheets!$E$3</f>
        <v>55.0003545</v>
      </c>
      <c r="AM443" s="68"/>
      <c r="AN443" s="70"/>
      <c r="AO443" s="71"/>
      <c r="AP443" s="72">
        <v>44965.874048171296</v>
      </c>
      <c r="AQ443" s="66"/>
    </row>
    <row r="444">
      <c r="A444" s="62" t="s">
        <v>401</v>
      </c>
      <c r="B444" s="62" t="s">
        <v>822</v>
      </c>
      <c r="C444" s="63" t="s">
        <v>262</v>
      </c>
      <c r="D444" s="48">
        <v>208.0</v>
      </c>
      <c r="E444" s="48">
        <v>162.0</v>
      </c>
      <c r="F444" s="48">
        <v>295.0</v>
      </c>
      <c r="G444" s="49">
        <f t="shared" si="14"/>
        <v>9.94032</v>
      </c>
      <c r="H444" s="49">
        <f t="shared" si="15"/>
        <v>336.96</v>
      </c>
      <c r="I444" s="48">
        <v>1.3</v>
      </c>
      <c r="J444" s="48" t="s">
        <v>365</v>
      </c>
      <c r="K444" s="50" t="s">
        <v>403</v>
      </c>
      <c r="L444" s="51">
        <v>141.0</v>
      </c>
      <c r="M444" s="50" t="s">
        <v>166</v>
      </c>
      <c r="N444" s="51" t="s">
        <v>166</v>
      </c>
      <c r="O444" s="48">
        <v>195.0</v>
      </c>
      <c r="P444" s="48">
        <v>146.0</v>
      </c>
      <c r="Q444" s="48">
        <v>48.0</v>
      </c>
      <c r="R444" s="48">
        <v>2.0</v>
      </c>
      <c r="S444" s="50" t="s">
        <v>166</v>
      </c>
      <c r="T444" s="52" t="s">
        <v>167</v>
      </c>
      <c r="U444" s="52" t="s">
        <v>346</v>
      </c>
      <c r="V444" s="51">
        <v>2.0</v>
      </c>
      <c r="W444" s="48" t="s">
        <v>166</v>
      </c>
      <c r="X444" s="50" t="s">
        <v>166</v>
      </c>
      <c r="Y444" s="51" t="s">
        <v>166</v>
      </c>
      <c r="Z444" s="48" t="s">
        <v>166</v>
      </c>
      <c r="AA444" s="48">
        <v>2.0</v>
      </c>
      <c r="AB444" s="48" t="s">
        <v>166</v>
      </c>
      <c r="AC444" s="48" t="s">
        <v>435</v>
      </c>
      <c r="AD444" s="48" t="s">
        <v>194</v>
      </c>
      <c r="AE444" s="54" t="s">
        <v>166</v>
      </c>
      <c r="AF444" s="55" t="s">
        <v>166</v>
      </c>
      <c r="AG444" s="51" t="s">
        <v>166</v>
      </c>
      <c r="AH444" s="48" t="s">
        <v>166</v>
      </c>
      <c r="AI444" s="48" t="s">
        <v>166</v>
      </c>
      <c r="AJ444" s="50" t="s">
        <v>166</v>
      </c>
      <c r="AK444" s="56" t="s">
        <v>166</v>
      </c>
      <c r="AL444" s="57">
        <f>120.5*1.07</f>
        <v>128.935</v>
      </c>
      <c r="AM444" s="64"/>
      <c r="AN444" s="59"/>
      <c r="AO444" s="60"/>
      <c r="AP444" s="65">
        <v>45073.89359101852</v>
      </c>
      <c r="AQ444" s="66"/>
    </row>
    <row r="445">
      <c r="A445" s="62" t="s">
        <v>782</v>
      </c>
      <c r="B445" s="62" t="s">
        <v>823</v>
      </c>
      <c r="C445" s="63" t="s">
        <v>262</v>
      </c>
      <c r="D445" s="48">
        <v>335.0</v>
      </c>
      <c r="E445" s="48">
        <v>135.0</v>
      </c>
      <c r="F445" s="48">
        <v>220.0</v>
      </c>
      <c r="G445" s="49">
        <f t="shared" si="14"/>
        <v>9.9495</v>
      </c>
      <c r="H445" s="49">
        <f t="shared" si="15"/>
        <v>452.25</v>
      </c>
      <c r="I445" s="48">
        <v>2.5</v>
      </c>
      <c r="J445" s="48" t="s">
        <v>164</v>
      </c>
      <c r="K445" s="50" t="s">
        <v>824</v>
      </c>
      <c r="L445" s="51">
        <v>115.0</v>
      </c>
      <c r="M445" s="50" t="s">
        <v>825</v>
      </c>
      <c r="N445" s="51" t="s">
        <v>166</v>
      </c>
      <c r="O445" s="48">
        <v>325.0</v>
      </c>
      <c r="P445" s="48">
        <v>112.0</v>
      </c>
      <c r="Q445" s="48">
        <v>45.0</v>
      </c>
      <c r="R445" s="48">
        <v>2.0</v>
      </c>
      <c r="S445" s="50" t="s">
        <v>166</v>
      </c>
      <c r="T445" s="52" t="s">
        <v>227</v>
      </c>
      <c r="U445" s="52" t="s">
        <v>346</v>
      </c>
      <c r="V445" s="51" t="s">
        <v>166</v>
      </c>
      <c r="W445" s="48" t="s">
        <v>166</v>
      </c>
      <c r="X445" s="50" t="s">
        <v>166</v>
      </c>
      <c r="Y445" s="51" t="s">
        <v>166</v>
      </c>
      <c r="Z445" s="48" t="s">
        <v>166</v>
      </c>
      <c r="AA445" s="48" t="s">
        <v>166</v>
      </c>
      <c r="AB445" s="48" t="s">
        <v>166</v>
      </c>
      <c r="AC445" s="48" t="s">
        <v>416</v>
      </c>
      <c r="AD445" s="48" t="s">
        <v>193</v>
      </c>
      <c r="AE445" s="54" t="s">
        <v>166</v>
      </c>
      <c r="AF445" s="55" t="s">
        <v>166</v>
      </c>
      <c r="AG445" s="51" t="s">
        <v>166</v>
      </c>
      <c r="AH445" s="48" t="s">
        <v>166</v>
      </c>
      <c r="AI445" s="48" t="s">
        <v>194</v>
      </c>
      <c r="AJ445" s="50" t="s">
        <v>166</v>
      </c>
      <c r="AK445" s="56" t="s">
        <v>166</v>
      </c>
      <c r="AL445" s="57">
        <v>175.0</v>
      </c>
      <c r="AM445" s="64" t="s">
        <v>214</v>
      </c>
      <c r="AN445" s="59"/>
      <c r="AO445" s="134" t="s">
        <v>826</v>
      </c>
      <c r="AP445" s="65">
        <v>45350.5821891088</v>
      </c>
      <c r="AQ445" s="66"/>
    </row>
    <row r="446">
      <c r="A446" s="62" t="s">
        <v>782</v>
      </c>
      <c r="B446" s="62" t="s">
        <v>827</v>
      </c>
      <c r="C446" s="63" t="s">
        <v>248</v>
      </c>
      <c r="D446" s="48">
        <v>335.0</v>
      </c>
      <c r="E446" s="48">
        <v>135.0</v>
      </c>
      <c r="F446" s="48">
        <v>220.0</v>
      </c>
      <c r="G446" s="49">
        <f t="shared" si="14"/>
        <v>9.9495</v>
      </c>
      <c r="H446" s="49">
        <f t="shared" si="15"/>
        <v>452.25</v>
      </c>
      <c r="I446" s="48">
        <v>2.5</v>
      </c>
      <c r="J446" s="48" t="s">
        <v>164</v>
      </c>
      <c r="K446" s="50" t="s">
        <v>828</v>
      </c>
      <c r="L446" s="51">
        <v>88.0</v>
      </c>
      <c r="M446" s="50" t="s">
        <v>829</v>
      </c>
      <c r="N446" s="51" t="s">
        <v>174</v>
      </c>
      <c r="O446" s="48">
        <v>325.0</v>
      </c>
      <c r="P446" s="48">
        <v>140.0</v>
      </c>
      <c r="Q446" s="48">
        <v>65.0</v>
      </c>
      <c r="R446" s="48">
        <v>3.0</v>
      </c>
      <c r="S446" s="50" t="s">
        <v>166</v>
      </c>
      <c r="T446" s="52" t="s">
        <v>167</v>
      </c>
      <c r="U446" s="52" t="s">
        <v>346</v>
      </c>
      <c r="V446" s="51" t="s">
        <v>166</v>
      </c>
      <c r="W446" s="48" t="s">
        <v>166</v>
      </c>
      <c r="X446" s="50" t="s">
        <v>166</v>
      </c>
      <c r="Y446" s="51" t="s">
        <v>166</v>
      </c>
      <c r="Z446" s="48" t="s">
        <v>166</v>
      </c>
      <c r="AA446" s="48" t="s">
        <v>166</v>
      </c>
      <c r="AB446" s="48" t="s">
        <v>166</v>
      </c>
      <c r="AC446" s="48" t="s">
        <v>416</v>
      </c>
      <c r="AD446" s="48" t="s">
        <v>193</v>
      </c>
      <c r="AE446" s="54" t="s">
        <v>166</v>
      </c>
      <c r="AF446" s="55" t="s">
        <v>166</v>
      </c>
      <c r="AG446" s="51" t="s">
        <v>166</v>
      </c>
      <c r="AH446" s="48" t="s">
        <v>166</v>
      </c>
      <c r="AI446" s="48" t="s">
        <v>194</v>
      </c>
      <c r="AJ446" s="50" t="s">
        <v>166</v>
      </c>
      <c r="AK446" s="56" t="s">
        <v>166</v>
      </c>
      <c r="AL446" s="57">
        <v>195.0</v>
      </c>
      <c r="AM446" s="64" t="s">
        <v>214</v>
      </c>
      <c r="AN446" s="59"/>
      <c r="AO446" s="134" t="s">
        <v>826</v>
      </c>
      <c r="AP446" s="65">
        <v>45320.4062072338</v>
      </c>
      <c r="AQ446" s="66"/>
    </row>
    <row r="447">
      <c r="A447" s="62" t="s">
        <v>830</v>
      </c>
      <c r="B447" s="62" t="s">
        <v>831</v>
      </c>
      <c r="C447" s="63" t="s">
        <v>248</v>
      </c>
      <c r="D447" s="48">
        <v>335.0</v>
      </c>
      <c r="E447" s="48">
        <v>135.0</v>
      </c>
      <c r="F447" s="48">
        <v>220.0</v>
      </c>
      <c r="G447" s="49">
        <f t="shared" si="14"/>
        <v>9.9495</v>
      </c>
      <c r="H447" s="49">
        <f t="shared" si="15"/>
        <v>452.25</v>
      </c>
      <c r="I447" s="48">
        <v>2.5</v>
      </c>
      <c r="J447" s="48" t="s">
        <v>164</v>
      </c>
      <c r="K447" s="50" t="s">
        <v>824</v>
      </c>
      <c r="L447" s="51">
        <v>88.0</v>
      </c>
      <c r="M447" s="50" t="s">
        <v>829</v>
      </c>
      <c r="N447" s="51" t="s">
        <v>174</v>
      </c>
      <c r="O447" s="48">
        <v>325.0</v>
      </c>
      <c r="P447" s="48">
        <v>140.0</v>
      </c>
      <c r="Q447" s="48">
        <v>65.0</v>
      </c>
      <c r="R447" s="48">
        <v>3.0</v>
      </c>
      <c r="S447" s="50" t="s">
        <v>166</v>
      </c>
      <c r="T447" s="52" t="s">
        <v>167</v>
      </c>
      <c r="U447" s="52" t="s">
        <v>346</v>
      </c>
      <c r="V447" s="51" t="s">
        <v>166</v>
      </c>
      <c r="W447" s="48" t="s">
        <v>166</v>
      </c>
      <c r="X447" s="50" t="s">
        <v>166</v>
      </c>
      <c r="Y447" s="51" t="s">
        <v>166</v>
      </c>
      <c r="Z447" s="48" t="s">
        <v>166</v>
      </c>
      <c r="AA447" s="48" t="s">
        <v>166</v>
      </c>
      <c r="AB447" s="48" t="s">
        <v>166</v>
      </c>
      <c r="AC447" s="48" t="s">
        <v>416</v>
      </c>
      <c r="AD447" s="48" t="s">
        <v>193</v>
      </c>
      <c r="AE447" s="54" t="s">
        <v>166</v>
      </c>
      <c r="AF447" s="55" t="s">
        <v>166</v>
      </c>
      <c r="AG447" s="51" t="s">
        <v>166</v>
      </c>
      <c r="AH447" s="48" t="s">
        <v>166</v>
      </c>
      <c r="AI447" s="48" t="s">
        <v>194</v>
      </c>
      <c r="AJ447" s="50" t="s">
        <v>166</v>
      </c>
      <c r="AK447" s="56" t="s">
        <v>166</v>
      </c>
      <c r="AL447" s="57">
        <v>185.0</v>
      </c>
      <c r="AM447" s="64" t="s">
        <v>214</v>
      </c>
      <c r="AN447" s="59"/>
      <c r="AO447" s="134" t="s">
        <v>826</v>
      </c>
      <c r="AP447" s="71"/>
      <c r="AQ447" s="66"/>
    </row>
    <row r="448">
      <c r="A448" s="69" t="s">
        <v>757</v>
      </c>
      <c r="B448" s="46" t="s">
        <v>832</v>
      </c>
      <c r="C448" s="63" t="s">
        <v>248</v>
      </c>
      <c r="D448" s="48" t="s">
        <v>759</v>
      </c>
      <c r="E448" s="48" t="s">
        <v>759</v>
      </c>
      <c r="F448" s="48">
        <v>320.0</v>
      </c>
      <c r="G448" s="49">
        <f>0.25*pi()*199^2*F448/1000000</f>
        <v>9.952816854</v>
      </c>
      <c r="H448" s="49">
        <f>0.25*pi()*199^2/100</f>
        <v>311.0255267</v>
      </c>
      <c r="I448" s="48">
        <v>3.2</v>
      </c>
      <c r="J448" s="48" t="s">
        <v>164</v>
      </c>
      <c r="K448" s="50" t="s">
        <v>760</v>
      </c>
      <c r="L448" s="51">
        <v>75.0</v>
      </c>
      <c r="M448" s="50">
        <v>120.0</v>
      </c>
      <c r="N448" s="51" t="s">
        <v>174</v>
      </c>
      <c r="O448" s="48">
        <v>269.0</v>
      </c>
      <c r="P448" s="48">
        <v>112.0</v>
      </c>
      <c r="Q448" s="48">
        <v>42.0</v>
      </c>
      <c r="R448" s="48">
        <v>2.0</v>
      </c>
      <c r="S448" s="50" t="s">
        <v>166</v>
      </c>
      <c r="T448" s="52" t="s">
        <v>167</v>
      </c>
      <c r="U448" s="52" t="s">
        <v>324</v>
      </c>
      <c r="V448" s="51">
        <v>2.0</v>
      </c>
      <c r="W448" s="48" t="s">
        <v>166</v>
      </c>
      <c r="X448" s="50" t="s">
        <v>166</v>
      </c>
      <c r="Y448" s="51" t="s">
        <v>193</v>
      </c>
      <c r="Z448" s="48" t="s">
        <v>166</v>
      </c>
      <c r="AA448" s="48" t="s">
        <v>194</v>
      </c>
      <c r="AB448" s="48" t="s">
        <v>166</v>
      </c>
      <c r="AC448" s="48" t="s">
        <v>166</v>
      </c>
      <c r="AD448" s="48">
        <v>1.0</v>
      </c>
      <c r="AE448" s="54" t="s">
        <v>166</v>
      </c>
      <c r="AF448" s="55" t="s">
        <v>166</v>
      </c>
      <c r="AG448" s="51" t="s">
        <v>166</v>
      </c>
      <c r="AH448" s="48" t="s">
        <v>166</v>
      </c>
      <c r="AI448" s="48" t="s">
        <v>166</v>
      </c>
      <c r="AJ448" s="50" t="s">
        <v>166</v>
      </c>
      <c r="AK448" s="56">
        <v>1758.0</v>
      </c>
      <c r="AL448" s="57">
        <f>AK448*Sheets!$E$3</f>
        <v>242.332389</v>
      </c>
      <c r="AM448" s="68"/>
      <c r="AN448" s="70"/>
      <c r="AO448" s="71"/>
      <c r="AP448" s="71"/>
      <c r="AQ448" s="66"/>
    </row>
    <row r="449">
      <c r="A449" s="69" t="s">
        <v>591</v>
      </c>
      <c r="B449" s="46" t="s">
        <v>833</v>
      </c>
      <c r="C449" s="63" t="s">
        <v>262</v>
      </c>
      <c r="D449" s="48">
        <v>273.0</v>
      </c>
      <c r="E449" s="48">
        <v>160.0</v>
      </c>
      <c r="F449" s="48">
        <v>228.0</v>
      </c>
      <c r="G449" s="49">
        <f t="shared" ref="G449:G454" si="17">D449*E449*F449/1000000</f>
        <v>9.95904</v>
      </c>
      <c r="H449" s="49">
        <f t="shared" ref="H449:H454" si="18">D449*E449/100</f>
        <v>436.8</v>
      </c>
      <c r="I449" s="48" t="s">
        <v>170</v>
      </c>
      <c r="J449" s="48" t="s">
        <v>597</v>
      </c>
      <c r="K449" s="50" t="s">
        <v>185</v>
      </c>
      <c r="L449" s="51">
        <v>135.0</v>
      </c>
      <c r="M449" s="50" t="s">
        <v>166</v>
      </c>
      <c r="N449" s="51" t="s">
        <v>166</v>
      </c>
      <c r="O449" s="48">
        <v>265.0</v>
      </c>
      <c r="P449" s="48">
        <v>135.0</v>
      </c>
      <c r="Q449" s="48">
        <v>40.0</v>
      </c>
      <c r="R449" s="48">
        <v>2.0</v>
      </c>
      <c r="S449" s="50" t="s">
        <v>166</v>
      </c>
      <c r="T449" s="52" t="s">
        <v>167</v>
      </c>
      <c r="U449" s="52" t="s">
        <v>346</v>
      </c>
      <c r="V449" s="51">
        <v>3.0</v>
      </c>
      <c r="W449" s="48" t="s">
        <v>166</v>
      </c>
      <c r="X449" s="50" t="s">
        <v>166</v>
      </c>
      <c r="Y449" s="51" t="s">
        <v>166</v>
      </c>
      <c r="Z449" s="48" t="s">
        <v>166</v>
      </c>
      <c r="AA449" s="48">
        <v>2.0</v>
      </c>
      <c r="AB449" s="48" t="s">
        <v>166</v>
      </c>
      <c r="AC449" s="48" t="s">
        <v>166</v>
      </c>
      <c r="AD449" s="48" t="s">
        <v>166</v>
      </c>
      <c r="AE449" s="54" t="s">
        <v>166</v>
      </c>
      <c r="AF449" s="55" t="s">
        <v>166</v>
      </c>
      <c r="AG449" s="51" t="s">
        <v>166</v>
      </c>
      <c r="AH449" s="48">
        <v>1.0</v>
      </c>
      <c r="AI449" s="48" t="s">
        <v>166</v>
      </c>
      <c r="AJ449" s="50" t="s">
        <v>166</v>
      </c>
      <c r="AK449" s="56">
        <v>179.0</v>
      </c>
      <c r="AL449" s="57">
        <f>AK449*Sheets!$E$3</f>
        <v>24.6743445</v>
      </c>
      <c r="AM449" s="68"/>
      <c r="AN449" s="70"/>
      <c r="AO449" s="71"/>
      <c r="AP449" s="71"/>
      <c r="AQ449" s="66"/>
    </row>
    <row r="450">
      <c r="A450" s="62" t="s">
        <v>212</v>
      </c>
      <c r="B450" s="62" t="s">
        <v>834</v>
      </c>
      <c r="C450" s="63" t="s">
        <v>248</v>
      </c>
      <c r="D450" s="48">
        <v>228.0</v>
      </c>
      <c r="E450" s="48">
        <v>134.0</v>
      </c>
      <c r="F450" s="48">
        <v>326.0</v>
      </c>
      <c r="G450" s="49">
        <f t="shared" si="17"/>
        <v>9.959952</v>
      </c>
      <c r="H450" s="49">
        <f t="shared" si="18"/>
        <v>305.52</v>
      </c>
      <c r="I450" s="48">
        <v>2.7</v>
      </c>
      <c r="J450" s="48" t="s">
        <v>164</v>
      </c>
      <c r="K450" s="50" t="s">
        <v>835</v>
      </c>
      <c r="L450" s="51">
        <v>48.0</v>
      </c>
      <c r="M450" s="50" t="s">
        <v>547</v>
      </c>
      <c r="N450" s="51" t="s">
        <v>174</v>
      </c>
      <c r="O450" s="48">
        <v>322.0</v>
      </c>
      <c r="P450" s="48">
        <v>147.0</v>
      </c>
      <c r="Q450" s="48">
        <v>60.0</v>
      </c>
      <c r="R450" s="48">
        <v>2.0</v>
      </c>
      <c r="S450" s="50" t="s">
        <v>166</v>
      </c>
      <c r="T450" s="52" t="s">
        <v>167</v>
      </c>
      <c r="U450" s="52" t="s">
        <v>324</v>
      </c>
      <c r="V450" s="51" t="s">
        <v>193</v>
      </c>
      <c r="W450" s="48" t="s">
        <v>193</v>
      </c>
      <c r="X450" s="50" t="s">
        <v>166</v>
      </c>
      <c r="Y450" s="51" t="s">
        <v>166</v>
      </c>
      <c r="Z450" s="48" t="s">
        <v>166</v>
      </c>
      <c r="AA450" s="48" t="s">
        <v>166</v>
      </c>
      <c r="AB450" s="48" t="s">
        <v>166</v>
      </c>
      <c r="AC450" s="48">
        <v>2.0</v>
      </c>
      <c r="AD450" s="48" t="s">
        <v>166</v>
      </c>
      <c r="AE450" s="54" t="s">
        <v>166</v>
      </c>
      <c r="AF450" s="55" t="s">
        <v>166</v>
      </c>
      <c r="AG450" s="51" t="s">
        <v>166</v>
      </c>
      <c r="AH450" s="48">
        <v>1.0</v>
      </c>
      <c r="AI450" s="48">
        <v>1.0</v>
      </c>
      <c r="AJ450" s="50" t="s">
        <v>166</v>
      </c>
      <c r="AK450" s="56">
        <v>1099.0</v>
      </c>
      <c r="AL450" s="57">
        <v>167.0</v>
      </c>
      <c r="AM450" s="58"/>
      <c r="AN450" s="64" t="s">
        <v>214</v>
      </c>
      <c r="AO450" s="60"/>
      <c r="AP450" s="60"/>
      <c r="AQ450" s="66"/>
    </row>
    <row r="451">
      <c r="A451" s="69" t="s">
        <v>836</v>
      </c>
      <c r="B451" s="73" t="s">
        <v>837</v>
      </c>
      <c r="C451" s="63" t="s">
        <v>248</v>
      </c>
      <c r="D451" s="48">
        <v>318.0</v>
      </c>
      <c r="E451" s="48">
        <v>142.0</v>
      </c>
      <c r="F451" s="48">
        <v>221.0</v>
      </c>
      <c r="G451" s="49">
        <f t="shared" si="17"/>
        <v>9.979476</v>
      </c>
      <c r="H451" s="49">
        <f t="shared" si="18"/>
        <v>451.56</v>
      </c>
      <c r="I451" s="48" t="s">
        <v>170</v>
      </c>
      <c r="J451" s="48" t="s">
        <v>164</v>
      </c>
      <c r="K451" s="50" t="s">
        <v>164</v>
      </c>
      <c r="L451" s="51">
        <v>55.0</v>
      </c>
      <c r="M451" s="50" t="s">
        <v>166</v>
      </c>
      <c r="N451" s="51" t="s">
        <v>174</v>
      </c>
      <c r="O451" s="48">
        <v>290.0</v>
      </c>
      <c r="P451" s="48" t="s">
        <v>170</v>
      </c>
      <c r="Q451" s="48">
        <v>40.0</v>
      </c>
      <c r="R451" s="48">
        <v>2.0</v>
      </c>
      <c r="S451" s="50" t="s">
        <v>166</v>
      </c>
      <c r="T451" s="52" t="s">
        <v>167</v>
      </c>
      <c r="U451" s="52" t="s">
        <v>324</v>
      </c>
      <c r="V451" s="51">
        <v>5.0</v>
      </c>
      <c r="W451" s="48" t="s">
        <v>194</v>
      </c>
      <c r="X451" s="50" t="s">
        <v>166</v>
      </c>
      <c r="Y451" s="51" t="s">
        <v>166</v>
      </c>
      <c r="Z451" s="48" t="s">
        <v>166</v>
      </c>
      <c r="AA451" s="48" t="s">
        <v>166</v>
      </c>
      <c r="AB451" s="48" t="s">
        <v>166</v>
      </c>
      <c r="AC451" s="48">
        <v>2.0</v>
      </c>
      <c r="AD451" s="48" t="s">
        <v>166</v>
      </c>
      <c r="AE451" s="54" t="s">
        <v>166</v>
      </c>
      <c r="AF451" s="55" t="s">
        <v>166</v>
      </c>
      <c r="AG451" s="51" t="s">
        <v>166</v>
      </c>
      <c r="AH451" s="48">
        <v>2.0</v>
      </c>
      <c r="AI451" s="48" t="s">
        <v>166</v>
      </c>
      <c r="AJ451" s="50" t="s">
        <v>166</v>
      </c>
      <c r="AK451" s="56">
        <v>469.0</v>
      </c>
      <c r="AL451" s="57">
        <f>AK451*Sheets!$E$3</f>
        <v>64.6495395</v>
      </c>
      <c r="AM451" s="68"/>
      <c r="AN451" s="70"/>
      <c r="AO451" s="71" t="s">
        <v>181</v>
      </c>
      <c r="AP451" s="71"/>
      <c r="AQ451" s="66"/>
    </row>
    <row r="452">
      <c r="A452" s="99" t="s">
        <v>838</v>
      </c>
      <c r="B452" s="73" t="s">
        <v>839</v>
      </c>
      <c r="C452" s="63" t="s">
        <v>262</v>
      </c>
      <c r="D452" s="48">
        <v>280.0</v>
      </c>
      <c r="E452" s="48">
        <v>155.0</v>
      </c>
      <c r="F452" s="48">
        <v>230.0</v>
      </c>
      <c r="G452" s="49">
        <f t="shared" si="17"/>
        <v>9.982</v>
      </c>
      <c r="H452" s="49">
        <f t="shared" si="18"/>
        <v>434</v>
      </c>
      <c r="I452" s="48">
        <v>2.6</v>
      </c>
      <c r="J452" s="48" t="s">
        <v>274</v>
      </c>
      <c r="K452" s="50" t="s">
        <v>840</v>
      </c>
      <c r="L452" s="51">
        <v>134.0</v>
      </c>
      <c r="M452" s="50" t="s">
        <v>166</v>
      </c>
      <c r="N452" s="51" t="s">
        <v>166</v>
      </c>
      <c r="O452" s="48">
        <v>270.0</v>
      </c>
      <c r="P452" s="48">
        <v>135.0</v>
      </c>
      <c r="Q452" s="48">
        <v>53.0</v>
      </c>
      <c r="R452" s="48">
        <v>2.0</v>
      </c>
      <c r="S452" s="50" t="s">
        <v>166</v>
      </c>
      <c r="T452" s="52" t="s">
        <v>227</v>
      </c>
      <c r="U452" s="52" t="s">
        <v>346</v>
      </c>
      <c r="V452" s="51" t="s">
        <v>278</v>
      </c>
      <c r="W452" s="48" t="s">
        <v>194</v>
      </c>
      <c r="X452" s="50" t="s">
        <v>166</v>
      </c>
      <c r="Y452" s="51" t="s">
        <v>166</v>
      </c>
      <c r="Z452" s="48" t="s">
        <v>166</v>
      </c>
      <c r="AA452" s="48">
        <v>1.0</v>
      </c>
      <c r="AB452" s="48">
        <v>1.0</v>
      </c>
      <c r="AC452" s="48" t="s">
        <v>166</v>
      </c>
      <c r="AD452" s="48" t="s">
        <v>166</v>
      </c>
      <c r="AE452" s="54" t="s">
        <v>166</v>
      </c>
      <c r="AF452" s="55" t="s">
        <v>166</v>
      </c>
      <c r="AG452" s="51" t="s">
        <v>166</v>
      </c>
      <c r="AH452" s="48">
        <v>2.0</v>
      </c>
      <c r="AI452" s="48" t="s">
        <v>166</v>
      </c>
      <c r="AJ452" s="50" t="s">
        <v>166</v>
      </c>
      <c r="AK452" s="56">
        <v>599.0</v>
      </c>
      <c r="AL452" s="57">
        <f>AK452*Sheets!$E$3</f>
        <v>82.5694545</v>
      </c>
      <c r="AM452" s="68"/>
      <c r="AN452" s="70"/>
      <c r="AO452" s="71" t="s">
        <v>181</v>
      </c>
      <c r="AP452" s="71"/>
      <c r="AQ452" s="66"/>
    </row>
    <row r="453">
      <c r="A453" s="82" t="str">
        <f>HYPERLINK("https://www.in-win.com/","InWin")</f>
        <v>InWin</v>
      </c>
      <c r="B453" s="62" t="s">
        <v>841</v>
      </c>
      <c r="C453" s="63" t="s">
        <v>262</v>
      </c>
      <c r="D453" s="48">
        <v>362.0</v>
      </c>
      <c r="E453" s="48">
        <v>103.0</v>
      </c>
      <c r="F453" s="48">
        <v>268.0</v>
      </c>
      <c r="G453" s="49">
        <f t="shared" si="17"/>
        <v>9.992648</v>
      </c>
      <c r="H453" s="49">
        <f t="shared" si="18"/>
        <v>372.86</v>
      </c>
      <c r="I453" s="48" t="s">
        <v>170</v>
      </c>
      <c r="J453" s="48" t="s">
        <v>171</v>
      </c>
      <c r="K453" s="50" t="s">
        <v>171</v>
      </c>
      <c r="L453" s="51">
        <v>75.0</v>
      </c>
      <c r="M453" s="50" t="s">
        <v>166</v>
      </c>
      <c r="N453" s="51" t="s">
        <v>166</v>
      </c>
      <c r="O453" s="48">
        <v>186.0</v>
      </c>
      <c r="P453" s="48">
        <v>85.0</v>
      </c>
      <c r="Q453" s="48">
        <v>20.0</v>
      </c>
      <c r="R453" s="48" t="s">
        <v>166</v>
      </c>
      <c r="S453" s="50">
        <v>1.0</v>
      </c>
      <c r="T453" s="52" t="s">
        <v>167</v>
      </c>
      <c r="U453" s="52" t="s">
        <v>372</v>
      </c>
      <c r="V453" s="51">
        <v>2.0</v>
      </c>
      <c r="W453" s="48" t="s">
        <v>166</v>
      </c>
      <c r="X453" s="50">
        <v>1.0</v>
      </c>
      <c r="Y453" s="51" t="s">
        <v>166</v>
      </c>
      <c r="Z453" s="48" t="s">
        <v>166</v>
      </c>
      <c r="AA453" s="48">
        <v>1.0</v>
      </c>
      <c r="AB453" s="48" t="s">
        <v>166</v>
      </c>
      <c r="AC453" s="48" t="s">
        <v>166</v>
      </c>
      <c r="AD453" s="48" t="s">
        <v>166</v>
      </c>
      <c r="AE453" s="54" t="s">
        <v>166</v>
      </c>
      <c r="AF453" s="55" t="s">
        <v>166</v>
      </c>
      <c r="AG453" s="51" t="s">
        <v>193</v>
      </c>
      <c r="AH453" s="48" t="s">
        <v>193</v>
      </c>
      <c r="AI453" s="48" t="s">
        <v>166</v>
      </c>
      <c r="AJ453" s="50" t="s">
        <v>174</v>
      </c>
      <c r="AK453" s="56" t="s">
        <v>166</v>
      </c>
      <c r="AL453" s="57" t="s">
        <v>170</v>
      </c>
      <c r="AM453" s="58"/>
      <c r="AN453" s="59"/>
      <c r="AO453" s="60"/>
      <c r="AP453" s="65">
        <v>44467.8265262037</v>
      </c>
      <c r="AQ453" s="66"/>
    </row>
    <row r="454">
      <c r="A454" s="61" t="s">
        <v>734</v>
      </c>
      <c r="B454" s="62" t="s">
        <v>842</v>
      </c>
      <c r="C454" s="101" t="s">
        <v>262</v>
      </c>
      <c r="D454" s="74">
        <v>196.0</v>
      </c>
      <c r="E454" s="74">
        <v>173.0</v>
      </c>
      <c r="F454" s="74">
        <v>295.0</v>
      </c>
      <c r="G454" s="49">
        <f t="shared" si="17"/>
        <v>10.00286</v>
      </c>
      <c r="H454" s="49">
        <f t="shared" si="18"/>
        <v>339.08</v>
      </c>
      <c r="I454" s="74" t="s">
        <v>170</v>
      </c>
      <c r="J454" s="48" t="s">
        <v>245</v>
      </c>
      <c r="K454" s="75" t="s">
        <v>558</v>
      </c>
      <c r="L454" s="76">
        <v>145.0</v>
      </c>
      <c r="M454" s="75" t="s">
        <v>737</v>
      </c>
      <c r="N454" s="77" t="s">
        <v>166</v>
      </c>
      <c r="O454" s="104">
        <v>180.0</v>
      </c>
      <c r="P454" s="74">
        <v>130.0</v>
      </c>
      <c r="Q454" s="89">
        <v>52.0</v>
      </c>
      <c r="R454" s="105">
        <v>2.0</v>
      </c>
      <c r="S454" s="50" t="s">
        <v>166</v>
      </c>
      <c r="T454" s="52" t="s">
        <v>167</v>
      </c>
      <c r="U454" s="52" t="s">
        <v>346</v>
      </c>
      <c r="V454" s="77">
        <v>10.0</v>
      </c>
      <c r="W454" s="74" t="s">
        <v>166</v>
      </c>
      <c r="X454" s="75" t="s">
        <v>166</v>
      </c>
      <c r="Y454" s="51" t="s">
        <v>166</v>
      </c>
      <c r="Z454" s="74" t="s">
        <v>166</v>
      </c>
      <c r="AA454" s="74" t="s">
        <v>193</v>
      </c>
      <c r="AB454" s="48" t="s">
        <v>194</v>
      </c>
      <c r="AC454" s="48" t="s">
        <v>194</v>
      </c>
      <c r="AD454" s="48" t="s">
        <v>194</v>
      </c>
      <c r="AE454" s="54" t="s">
        <v>166</v>
      </c>
      <c r="AF454" s="55" t="s">
        <v>166</v>
      </c>
      <c r="AG454" s="51" t="s">
        <v>166</v>
      </c>
      <c r="AH454" s="48" t="s">
        <v>166</v>
      </c>
      <c r="AI454" s="48" t="s">
        <v>166</v>
      </c>
      <c r="AJ454" s="50" t="s">
        <v>166</v>
      </c>
      <c r="AK454" s="56" t="s">
        <v>166</v>
      </c>
      <c r="AL454" s="57">
        <v>50.0</v>
      </c>
      <c r="AM454" s="64" t="str">
        <f>HYPERLINK("https://smallformfactor.net/forum/threads/50-10l-laser-cut-case.12986/","Link")</f>
        <v>Link</v>
      </c>
      <c r="AN454" s="70"/>
      <c r="AO454" s="71" t="s">
        <v>181</v>
      </c>
      <c r="AP454" s="65">
        <v>44887.95830430556</v>
      </c>
      <c r="AQ454" s="66"/>
    </row>
    <row r="455">
      <c r="A455" s="69" t="str">
        <f>HYPERLINK("https://jixieku.world.taobao.com/","机械库")</f>
        <v>机械库</v>
      </c>
      <c r="B455" s="46" t="str">
        <f>HYPERLINK("https://item.taobao.com/item.htm?id=590456069854","JXK-J1")</f>
        <v>JXK-J1</v>
      </c>
      <c r="C455" s="63" t="s">
        <v>282</v>
      </c>
      <c r="D455" s="48">
        <v>200.0</v>
      </c>
      <c r="E455" s="48" t="s">
        <v>170</v>
      </c>
      <c r="F455" s="48" t="s">
        <v>170</v>
      </c>
      <c r="G455" s="48" t="s">
        <v>170</v>
      </c>
      <c r="H455" s="48" t="s">
        <v>170</v>
      </c>
      <c r="I455" s="48">
        <v>2.0</v>
      </c>
      <c r="J455" s="48" t="s">
        <v>282</v>
      </c>
      <c r="K455" s="50" t="s">
        <v>171</v>
      </c>
      <c r="L455" s="51" t="s">
        <v>282</v>
      </c>
      <c r="M455" s="50">
        <v>120.0</v>
      </c>
      <c r="N455" s="51" t="s">
        <v>166</v>
      </c>
      <c r="O455" s="48" t="s">
        <v>282</v>
      </c>
      <c r="P455" s="48" t="s">
        <v>282</v>
      </c>
      <c r="Q455" s="48">
        <v>40.0</v>
      </c>
      <c r="R455" s="48">
        <v>2.0</v>
      </c>
      <c r="S455" s="50" t="s">
        <v>166</v>
      </c>
      <c r="T455" s="52" t="s">
        <v>227</v>
      </c>
      <c r="U455" s="52" t="s">
        <v>686</v>
      </c>
      <c r="V455" s="51" t="s">
        <v>166</v>
      </c>
      <c r="W455" s="48" t="s">
        <v>166</v>
      </c>
      <c r="X455" s="50" t="s">
        <v>166</v>
      </c>
      <c r="Y455" s="51" t="s">
        <v>166</v>
      </c>
      <c r="Z455" s="48" t="s">
        <v>166</v>
      </c>
      <c r="AA455" s="48" t="s">
        <v>166</v>
      </c>
      <c r="AB455" s="48" t="s">
        <v>166</v>
      </c>
      <c r="AC455" s="48" t="s">
        <v>166</v>
      </c>
      <c r="AD455" s="48" t="s">
        <v>166</v>
      </c>
      <c r="AE455" s="54" t="s">
        <v>166</v>
      </c>
      <c r="AF455" s="55" t="s">
        <v>166</v>
      </c>
      <c r="AG455" s="51" t="s">
        <v>166</v>
      </c>
      <c r="AH455" s="48" t="s">
        <v>166</v>
      </c>
      <c r="AI455" s="48" t="s">
        <v>166</v>
      </c>
      <c r="AJ455" s="50" t="s">
        <v>166</v>
      </c>
      <c r="AK455" s="56">
        <v>699.0</v>
      </c>
      <c r="AL455" s="57">
        <f>AK455*Sheets!$E$3</f>
        <v>96.3540045</v>
      </c>
      <c r="AM455" s="68"/>
      <c r="AN455" s="70"/>
      <c r="AO455" s="71"/>
      <c r="AP455" s="72">
        <v>44681.5972749537</v>
      </c>
      <c r="AQ455" s="66"/>
    </row>
    <row r="45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135"/>
      <c r="AO456" s="135"/>
      <c r="AP456" s="135"/>
      <c r="AQ456" s="45"/>
    </row>
    <row r="457">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135"/>
      <c r="AO457" s="135"/>
      <c r="AP457" s="135"/>
      <c r="AQ457" s="45"/>
    </row>
    <row r="458">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135"/>
      <c r="AO458" s="135"/>
      <c r="AP458" s="135"/>
      <c r="AQ458" s="45"/>
    </row>
    <row r="459">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135"/>
      <c r="AO459" s="135"/>
      <c r="AP459" s="135"/>
      <c r="AQ459" s="45"/>
    </row>
    <row r="460">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135"/>
      <c r="AO460" s="135"/>
      <c r="AP460" s="135"/>
      <c r="AQ460" s="45"/>
    </row>
    <row r="46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135"/>
      <c r="AO461" s="135"/>
      <c r="AP461" s="135"/>
      <c r="AQ461" s="45"/>
    </row>
    <row r="462">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135"/>
      <c r="AO462" s="135"/>
      <c r="AP462" s="135"/>
      <c r="AQ462" s="45"/>
    </row>
    <row r="463">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135"/>
      <c r="AO463" s="135"/>
      <c r="AP463" s="135"/>
      <c r="AQ463" s="45"/>
    </row>
    <row r="464">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135"/>
      <c r="AO464" s="135"/>
      <c r="AP464" s="135"/>
      <c r="AQ464" s="45"/>
    </row>
    <row r="465">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135"/>
      <c r="AO465" s="135"/>
      <c r="AP465" s="135"/>
      <c r="AQ465" s="45"/>
    </row>
    <row r="46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135"/>
      <c r="AO466" s="135"/>
      <c r="AP466" s="135"/>
      <c r="AQ466" s="45"/>
    </row>
    <row r="467">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135"/>
      <c r="AO467" s="135"/>
      <c r="AP467" s="135"/>
      <c r="AQ467" s="45"/>
    </row>
    <row r="468">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135"/>
      <c r="AO468" s="135"/>
      <c r="AP468" s="135"/>
      <c r="AQ468" s="45"/>
    </row>
    <row r="469">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135"/>
      <c r="AO469" s="135"/>
      <c r="AP469" s="135"/>
      <c r="AQ469" s="45"/>
    </row>
    <row r="470">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135"/>
      <c r="AO470" s="135"/>
      <c r="AP470" s="135"/>
      <c r="AQ470" s="45"/>
    </row>
    <row r="47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135"/>
      <c r="AO471" s="135"/>
      <c r="AP471" s="135"/>
      <c r="AQ471" s="45"/>
    </row>
    <row r="472">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135"/>
      <c r="AO472" s="135"/>
      <c r="AP472" s="135"/>
      <c r="AQ472" s="45"/>
    </row>
  </sheetData>
  <autoFilter ref="$A$1:$AP$455">
    <sortState ref="A1:AP455">
      <sortCondition ref="G1:G455"/>
    </sortState>
  </autoFilter>
  <customSheetViews>
    <customSheetView guid="{95B6A7BE-A6BB-4946-92BF-A852DAF0DC4C}" filter="1" showAutoFilter="1">
      <autoFilter ref="$A$1:$AP$472">
        <sortState ref="A1:AP472">
          <sortCondition ref="A1:A472"/>
          <sortCondition ref="B1:B472"/>
        </sortState>
      </autoFilter>
    </customSheetView>
    <customSheetView guid="{82CCCB4E-F596-49FC-A800-37DE1380F4DB}" filter="1" showAutoFilter="1">
      <autoFilter ref="$A$1:$AP$472">
        <filterColumn colId="19">
          <filters blank="1">
            <filter val="mITX / mDTX / mATX / ATX / E-ATX (305x285)"/>
            <filter val="mITX / mATX (226x185)"/>
            <filter val="mITX / mATX (245x225)"/>
            <filter val="mITX / mATX (200x205)"/>
            <filter val="mITX / mATX (245x205)"/>
            <filter val="mITX / mDTX / mATX (226x170)"/>
            <filter val="mITX / mATX (245x210)"/>
            <filter val="mITX / mATX (245x220)"/>
            <filter val="mITX / mATX (245x201)"/>
            <filter val="mITX / mATX (245x200)"/>
            <filter val="mITX / mATX (245x185)"/>
            <filter val="mITX / mATX"/>
            <filter val="mITX / mATX / ATX"/>
            <filter val="mITX / mATX (190x190)"/>
            <filter val="mITX / mATX (200x190)"/>
            <filter val="mITX / mATX (225x175)"/>
            <filter val="mITX / mATX (226x190)"/>
            <filter val="mITX / mATX (244x195)"/>
          </filters>
        </filterColumn>
      </autoFilter>
    </customSheetView>
    <customSheetView guid="{ECC3305A-2B0E-4350-A9A4-E0400E210C2A}" filter="1" showAutoFilter="1">
      <autoFilter ref="$A$1:$AP$472">
        <filterColumn colId="16">
          <filters blank="1">
            <filter val="45"/>
            <filter val="46"/>
            <filter val="68"/>
            <filter val="25"/>
            <filter val="47"/>
            <filter val="48"/>
            <filter val="Open"/>
            <filter val="45.6"/>
            <filter val="47.5"/>
            <filter val="49.5"/>
            <filter val="50"/>
            <filter val="52"/>
            <filter val="53"/>
            <filter val="54"/>
            <filter val="55"/>
            <filter val="56"/>
            <filter val="57"/>
            <filter val="58"/>
            <filter val="59"/>
            <filter val="80"/>
            <filter val="60"/>
            <filter val="61"/>
            <filter val="62"/>
            <filter val="54.5"/>
            <filter val="64"/>
            <filter val="65"/>
          </filters>
        </filterColumn>
      </autoFilter>
    </customSheetView>
    <customSheetView guid="{E0EC73E7-92F2-4465-82D0-44EFB849A444}" filter="1" showAutoFilter="1">
      <autoFilter ref="$A$1:$AP$472">
        <filterColumn colId="20">
          <customFilters>
            <customFilter val="*Flex ATX*"/>
          </customFilters>
        </filterColumn>
      </autoFilter>
    </customSheetView>
    <customSheetView guid="{AF965720-BBF9-45B6-9F3C-EA0AAF9F7D06}" filter="1" showAutoFilter="1">
      <autoFilter ref="$A$1:$AP$472">
        <filterColumn colId="2">
          <filters blank="1">
            <filter val="APU"/>
          </filters>
        </filterColumn>
      </autoFilter>
    </customSheetView>
    <customSheetView guid="{B152A8EF-5B19-461B-A4DF-BD42DF2C558C}" filter="1" showAutoFilter="1">
      <autoFilter ref="$A$1:$AP$472">
        <sortState ref="A1:AP472">
          <sortCondition ref="O1:O472"/>
        </sortState>
      </autoFilter>
    </customSheetView>
    <customSheetView guid="{CDD9237C-13C3-4F3F-8D7B-B6AA897D820D}" filter="1" showAutoFilter="1">
      <autoFilter ref="$A$1:$AP$472">
        <filterColumn colId="2">
          <filters blank="1">
            <filter val="Sandwich"/>
          </filters>
        </filterColumn>
      </autoFilter>
    </customSheetView>
    <customSheetView guid="{45ECD915-252B-42EC-8227-F70214CF4F09}" filter="1" showAutoFilter="1">
      <autoFilter ref="$A$1:$AP$455">
        <sortState ref="A1:AP455">
          <sortCondition descending="1" ref="AP1:AP455"/>
        </sortState>
      </autoFilter>
    </customSheetView>
    <customSheetView guid="{7FF0FC83-E9C3-4BCE-A08B-F9686655C4B2}" filter="1" showAutoFilter="1">
      <autoFilter ref="$A$1:$AP$472">
        <filterColumn colId="20">
          <customFilters>
            <customFilter val="*SFX*"/>
          </customFilters>
        </filterColumn>
      </autoFilter>
    </customSheetView>
    <customSheetView guid="{D6F75E10-0D2A-4FD9-964F-8A11EEFA879B}" filter="1" showAutoFilter="1">
      <autoFilter ref="$A$1:$AP$472">
        <filterColumn colId="2">
          <filters blank="1">
            <filter val="Classic"/>
          </filters>
        </filterColumn>
      </autoFilter>
    </customSheetView>
    <customSheetView guid="{F31AF662-1F25-48F6-9471-08511ECB3617}" filter="1" showAutoFilter="1">
      <autoFilter ref="$A$1:$AP$472">
        <filterColumn colId="12">
          <filters blank="1">
            <filter val="120 / 140 / 240 / 2 x 240 / 280 / 240 + 280"/>
            <filter val="120 /w top hat"/>
            <filter val="120 / 140 / 240 / 280"/>
            <filter val="120 / 240"/>
            <filter val="120 / 240 /w top hat"/>
            <filter val="120 / 140"/>
            <filter val="120 / 240 /w L top hat"/>
            <filter val="92"/>
            <filter val="92 / 120"/>
            <filter val="120"/>
          </filters>
        </filterColumn>
      </autoFilter>
    </customSheetView>
    <customSheetView guid="{28C3112D-2CD6-440B-BC19-0A060A536CDB}" filter="1" showAutoFilter="1">
      <autoFilter ref="$A$1:$AP$472">
        <filterColumn colId="23">
          <filters blank="1">
            <filter val="1"/>
            <filter val="1 (Slim)"/>
            <filter val="1 (Slot)"/>
            <filter val="0 to 1 (Slim)"/>
          </filters>
        </filterColumn>
      </autoFilter>
    </customSheetView>
    <customSheetView guid="{C7AA6BBB-15F6-4206-AB68-B255A886B380}" filter="1" showAutoFilter="1">
      <autoFilter ref="$A$1:$AP$472">
        <filterColumn colId="2">
          <filters blank="1">
            <filter val="Console"/>
          </filters>
        </filterColumn>
      </autoFilter>
    </customSheetView>
    <customSheetView guid="{F1A7CD4E-438F-44EC-8840-87ADAE74067A}" filter="1" showAutoFilter="1">
      <autoFilter ref="$A$1:$AP$455">
        <filterColumn colId="19">
          <filters>
            <filter val="mITX / mDTX / mATX / ATX / E-ATX (305x285)"/>
            <filter val="mITX / mATX / ATX"/>
          </filters>
        </filterColumn>
      </autoFilter>
    </customSheetView>
    <customSheetView guid="{81DD85A5-2E82-48BA-B9ED-4F36F72F5E64}" filter="1" showAutoFilter="1">
      <autoFilter ref="$A$1:$AP$472">
        <filterColumn colId="0">
          <colorFilter dxfId="1"/>
        </filterColumn>
      </autoFilter>
    </customSheetView>
    <customSheetView guid="{9985519A-4597-48DE-9723-C221FE8383EA}" filter="1" showAutoFilter="1">
      <autoFilter ref="$A$1:$AP$472">
        <sortState ref="A1:AP472">
          <sortCondition ref="AL1:AL472"/>
        </sortState>
      </autoFilter>
    </customSheetView>
    <customSheetView guid="{48ACB338-AEF2-4CEA-A478-03DC5A51C0A7}" filter="1" showAutoFilter="1">
      <autoFilter ref="$A$1:$AP$472">
        <sortState ref="A1:AP472">
          <sortCondition ref="L1:L472"/>
        </sortState>
      </autoFilter>
    </customSheetView>
    <customSheetView guid="{ABF8B830-2BA9-4A62-A609-3F1E063D1EE0}" filter="1" showAutoFilter="1">
      <autoFilter ref="$A$1:$AP$455">
        <filterColumn colId="20">
          <filters>
            <filter val="SFX / SFX-L / ATX"/>
            <filter val="ATX"/>
            <filter val="SFX / ATX"/>
          </filters>
        </filterColumn>
      </autoFilter>
    </customSheetView>
    <customSheetView guid="{FB48EA26-B7D2-4210-A00C-9A2FAB89C010}" filter="1" showAutoFilter="1">
      <autoFilter ref="$A$1:$AP$472">
        <filterColumn colId="17">
          <filters blank="1">
            <filter val="3"/>
            <filter val="4"/>
            <filter val="Open"/>
          </filters>
        </filterColumn>
      </autoFilter>
    </customSheetView>
    <customSheetView guid="{7C5C71AA-26D2-4268-85C6-0349FEE33C6D}" filter="1" showAutoFilter="1">
      <autoFilter ref="$A$1:$AP$472">
        <filterColumn colId="22">
          <filters blank="1">
            <filter val="1"/>
            <filter val="2"/>
            <filter val="4"/>
            <filter val="1 to 2"/>
            <filter val="1 to 3"/>
            <filter val="0 to 2"/>
            <filter val="0 to 1"/>
          </filters>
        </filterColumn>
      </autoFilter>
    </customSheetView>
    <customSheetView guid="{88FC762E-79C0-4110-B706-61516F679340}" filter="1" showAutoFilter="1">
      <autoFilter ref="$A$1:$AP$472">
        <filterColumn colId="2">
          <filters blank="1">
            <filter val="NAS"/>
          </filters>
        </filterColumn>
      </autoFilter>
    </customSheetView>
    <customSheetView guid="{E767646A-A628-4CC0-B9D7-9609FF37CE35}" filter="1" showAutoFilter="1">
      <autoFilter ref="$A$1:$AP$472">
        <filterColumn colId="18">
          <filters blank="1">
            <filter val="1"/>
            <filter val="2"/>
            <filter val="3"/>
            <filter val="4"/>
          </filters>
        </filterColumn>
      </autoFilter>
    </customSheetView>
    <customSheetView guid="{A91DB93D-9B38-4E6B-AA5F-880AA2CC318C}" filter="1" showAutoFilter="1">
      <autoFilter ref="$A$1:$AP$472">
        <filterColumn colId="17">
          <filters blank="1">
            <filter val="2"/>
            <filter val="Open"/>
          </filters>
        </filterColumn>
      </autoFilter>
    </customSheetView>
    <customSheetView guid="{234F1DF1-E232-487E-B11C-9FE2199D5CFE}" filter="1" showAutoFilter="1">
      <autoFilter ref="$A$1:$AP$472"/>
    </customSheetView>
    <customSheetView guid="{2484191D-7B0A-413B-A550-5C733AC9516C}" filter="1" showAutoFilter="1">
      <autoFilter ref="$A$1:$AP$472">
        <filterColumn colId="20">
          <customFilters>
            <customFilter val="*DC-ATX*"/>
          </customFilters>
        </filterColumn>
      </autoFilter>
    </customSheetView>
    <customSheetView guid="{61FEFDD9-F7E8-4415-9F6B-976341A7522D}" filter="1" showAutoFilter="1">
      <autoFilter ref="$A$1:$AP$472">
        <filterColumn colId="0">
          <colorFilter dxfId="2"/>
        </filterColumn>
      </autoFilter>
    </customSheetView>
    <customSheetView guid="{61CD0F28-96E8-474C-ABBF-9901ED68A1BC}" filter="1" showAutoFilter="1">
      <autoFilter ref="$A$1:$AP$472">
        <filterColumn colId="2">
          <filters blank="1">
            <filter val="Open"/>
          </filters>
        </filterColumn>
      </autoFilter>
    </customSheetView>
  </customSheetViews>
  <conditionalFormatting sqref="G2:G455">
    <cfRule type="colorScale" priority="1">
      <colorScale>
        <cfvo type="min"/>
        <cfvo type="percentile" val="50"/>
        <cfvo type="max"/>
        <color rgb="FF57BB8A"/>
        <color rgb="FFFFD666"/>
        <color rgb="FFE67C73"/>
      </colorScale>
    </cfRule>
  </conditionalFormatting>
  <conditionalFormatting sqref="H2:H455">
    <cfRule type="colorScale" priority="2">
      <colorScale>
        <cfvo type="min"/>
        <cfvo type="percentile" val="50"/>
        <cfvo type="max"/>
        <color rgb="FF57BB8A"/>
        <color rgb="FFFFD666"/>
        <color rgb="FFE67C73"/>
      </colorScale>
    </cfRule>
  </conditionalFormatting>
  <conditionalFormatting sqref="L2:L455">
    <cfRule type="colorScale" priority="3">
      <colorScale>
        <cfvo type="formula" val="30"/>
        <cfvo type="formula" val="70"/>
        <cfvo type="formula" val="135"/>
        <color rgb="FFE67C73"/>
        <color rgb="FFFFD666"/>
        <color rgb="FF57BB8A"/>
      </colorScale>
    </cfRule>
  </conditionalFormatting>
  <conditionalFormatting sqref="O2:O455">
    <cfRule type="colorScale" priority="4">
      <colorScale>
        <cfvo type="formula" val="170"/>
        <cfvo type="formula" val="270"/>
        <cfvo type="formula" val="350"/>
        <color rgb="FFE67C73"/>
        <color rgb="FFFFD666"/>
        <color rgb="FF57BB8A"/>
      </colorScale>
    </cfRule>
  </conditionalFormatting>
  <conditionalFormatting sqref="P2:P455">
    <cfRule type="colorScale" priority="5">
      <colorScale>
        <cfvo type="min"/>
        <cfvo type="percentile" val="50"/>
        <cfvo type="max"/>
        <color rgb="FFE67C73"/>
        <color rgb="FFFFD666"/>
        <color rgb="FF57BB8A"/>
      </colorScale>
    </cfRule>
  </conditionalFormatting>
  <conditionalFormatting sqref="Q2:Q455">
    <cfRule type="colorScale" priority="6">
      <colorScale>
        <cfvo type="formula" val="20"/>
        <cfvo type="formula" val="40"/>
        <cfvo type="formula" val="60"/>
        <color rgb="FFE67C73"/>
        <color rgb="FFFFD666"/>
        <color rgb="FF57BB8A"/>
      </colorScale>
    </cfRule>
  </conditionalFormatting>
  <conditionalFormatting sqref="R2:S455">
    <cfRule type="colorScale" priority="7">
      <colorScale>
        <cfvo type="min"/>
        <cfvo type="percentile" val="50"/>
        <cfvo type="max"/>
        <color rgb="FFE67C73"/>
        <color rgb="FFFFD666"/>
        <color rgb="FF57BB8A"/>
      </colorScale>
    </cfRule>
  </conditionalFormatting>
  <conditionalFormatting sqref="AK2:AK455">
    <cfRule type="colorScale" priority="8">
      <colorScale>
        <cfvo type="min"/>
        <cfvo type="percentile" val="50"/>
        <cfvo type="max"/>
        <color rgb="FF57BB8A"/>
        <color rgb="FFFFD666"/>
        <color rgb="FFE67C73"/>
      </colorScale>
    </cfRule>
  </conditionalFormatting>
  <conditionalFormatting sqref="AL2:AL455">
    <cfRule type="colorScale" priority="9">
      <colorScale>
        <cfvo type="min"/>
        <cfvo type="percentile" val="50"/>
        <cfvo type="max"/>
        <color rgb="FF57BB8A"/>
        <color rgb="FFFFD666"/>
        <color rgb="FFE67C73"/>
      </colorScale>
    </cfRule>
  </conditionalFormatting>
  <conditionalFormatting sqref="I2:I455">
    <cfRule type="colorScale" priority="10">
      <colorScale>
        <cfvo type="min"/>
        <cfvo type="percentile" val="50"/>
        <cfvo type="formula" val="6"/>
        <color rgb="FF57BB8A"/>
        <color rgb="FFFFD666"/>
        <color rgb="FFE67C73"/>
      </colorScale>
    </cfRule>
  </conditionalFormatting>
  <conditionalFormatting sqref="N2:N455">
    <cfRule type="cellIs" dxfId="3" priority="11" operator="equal">
      <formula>"Y"</formula>
    </cfRule>
  </conditionalFormatting>
  <conditionalFormatting sqref="AJ2:AJ455">
    <cfRule type="cellIs" dxfId="3" priority="12" operator="equal">
      <formula>"Y"</formula>
    </cfRule>
  </conditionalFormatting>
  <hyperlinks>
    <hyperlink r:id="rId2" ref="B2"/>
    <hyperlink r:id="rId3" ref="A3"/>
    <hyperlink r:id="rId4" ref="A4"/>
    <hyperlink r:id="rId5" ref="B4"/>
    <hyperlink r:id="rId6" ref="A5"/>
    <hyperlink r:id="rId7" ref="B5"/>
    <hyperlink r:id="rId8" ref="A6"/>
    <hyperlink r:id="rId9" ref="B6"/>
    <hyperlink r:id="rId10" ref="A7"/>
    <hyperlink r:id="rId11" ref="A8"/>
    <hyperlink r:id="rId12" ref="B8"/>
    <hyperlink r:id="rId13" ref="A9"/>
    <hyperlink r:id="rId14" ref="B9"/>
    <hyperlink r:id="rId15" ref="A12"/>
    <hyperlink r:id="rId16" ref="A16"/>
    <hyperlink r:id="rId17" ref="B17"/>
    <hyperlink r:id="rId18" ref="B20"/>
    <hyperlink r:id="rId19" ref="B21"/>
    <hyperlink r:id="rId20" ref="A22"/>
    <hyperlink r:id="rId21" ref="B22"/>
    <hyperlink r:id="rId22" ref="A23"/>
    <hyperlink r:id="rId23" ref="A24"/>
    <hyperlink r:id="rId24" ref="A25"/>
    <hyperlink r:id="rId25" ref="B25"/>
    <hyperlink r:id="rId26" ref="A26"/>
    <hyperlink r:id="rId27" ref="AN26"/>
    <hyperlink r:id="rId28" ref="A27"/>
    <hyperlink r:id="rId29" ref="B27"/>
    <hyperlink r:id="rId30" ref="B28"/>
    <hyperlink r:id="rId31" ref="B30"/>
    <hyperlink r:id="rId32" ref="B31"/>
    <hyperlink r:id="rId33" ref="A32"/>
    <hyperlink r:id="rId34" ref="B32"/>
    <hyperlink r:id="rId35" ref="B36"/>
    <hyperlink r:id="rId36" ref="A38"/>
    <hyperlink r:id="rId37" ref="B39"/>
    <hyperlink r:id="rId38" ref="A40"/>
    <hyperlink r:id="rId39" ref="B40"/>
    <hyperlink r:id="rId40" ref="A43"/>
    <hyperlink r:id="rId41" ref="B43"/>
    <hyperlink r:id="rId42" ref="A45"/>
    <hyperlink r:id="rId43" ref="B45"/>
    <hyperlink r:id="rId44" ref="AM45"/>
    <hyperlink r:id="rId45" ref="A48"/>
    <hyperlink r:id="rId46" ref="A49"/>
    <hyperlink r:id="rId47" ref="B49"/>
    <hyperlink r:id="rId48" ref="A50"/>
    <hyperlink r:id="rId49" ref="B50"/>
    <hyperlink r:id="rId50" ref="A51"/>
    <hyperlink r:id="rId51" ref="A52"/>
    <hyperlink r:id="rId52" ref="B52"/>
    <hyperlink r:id="rId53" ref="B53"/>
    <hyperlink r:id="rId54" ref="B54"/>
    <hyperlink r:id="rId55" ref="A55"/>
    <hyperlink r:id="rId56" ref="B55"/>
    <hyperlink r:id="rId57" ref="A56"/>
    <hyperlink r:id="rId58" ref="B56"/>
    <hyperlink r:id="rId59" ref="B57"/>
    <hyperlink r:id="rId60" ref="A58"/>
    <hyperlink r:id="rId61" ref="A59"/>
    <hyperlink r:id="rId62" ref="A61"/>
    <hyperlink r:id="rId63" ref="B61"/>
    <hyperlink r:id="rId64" ref="B64"/>
    <hyperlink r:id="rId65" ref="A65"/>
    <hyperlink r:id="rId66" ref="B65"/>
    <hyperlink r:id="rId67" ref="A66"/>
    <hyperlink r:id="rId68" ref="B66"/>
    <hyperlink r:id="rId69" ref="B67"/>
    <hyperlink r:id="rId70" ref="AN67"/>
    <hyperlink r:id="rId71" ref="A68"/>
    <hyperlink r:id="rId72" ref="B68"/>
    <hyperlink r:id="rId73" ref="B69"/>
    <hyperlink r:id="rId74" ref="A70"/>
    <hyperlink r:id="rId75" ref="B70"/>
    <hyperlink r:id="rId76" ref="AM70"/>
    <hyperlink r:id="rId77" ref="A71"/>
    <hyperlink r:id="rId78" ref="AM71"/>
    <hyperlink r:id="rId79" ref="A72"/>
    <hyperlink r:id="rId80" ref="AN73"/>
    <hyperlink r:id="rId81" ref="A74"/>
    <hyperlink r:id="rId82" ref="B74"/>
    <hyperlink r:id="rId83" ref="AM74"/>
    <hyperlink r:id="rId84" ref="A75"/>
    <hyperlink r:id="rId85" ref="B75"/>
    <hyperlink r:id="rId86" ref="AM77"/>
    <hyperlink r:id="rId87" ref="A78"/>
    <hyperlink r:id="rId88" ref="B78"/>
    <hyperlink r:id="rId89" ref="A79"/>
    <hyperlink r:id="rId90" ref="B79"/>
    <hyperlink r:id="rId91" ref="A80"/>
    <hyperlink r:id="rId92" ref="B80"/>
    <hyperlink r:id="rId93" ref="A81"/>
    <hyperlink r:id="rId94" ref="B81"/>
    <hyperlink r:id="rId95" ref="B82"/>
    <hyperlink r:id="rId96" ref="B83"/>
    <hyperlink r:id="rId97" ref="A84"/>
    <hyperlink r:id="rId98" ref="B87"/>
    <hyperlink r:id="rId99" ref="B88"/>
    <hyperlink r:id="rId100" ref="B90"/>
    <hyperlink r:id="rId101" ref="A91"/>
    <hyperlink r:id="rId102" ref="B91"/>
    <hyperlink r:id="rId103" ref="AN91"/>
    <hyperlink r:id="rId104" ref="B92"/>
    <hyperlink r:id="rId105" ref="A93"/>
    <hyperlink r:id="rId106" ref="B93"/>
    <hyperlink r:id="rId107" ref="AN95"/>
    <hyperlink r:id="rId108" ref="A98"/>
    <hyperlink r:id="rId109" ref="AN98"/>
    <hyperlink r:id="rId110" ref="B99"/>
    <hyperlink r:id="rId111" ref="AN100"/>
    <hyperlink r:id="rId112" ref="B101"/>
    <hyperlink r:id="rId113" ref="B102"/>
    <hyperlink r:id="rId114" ref="AM104"/>
    <hyperlink r:id="rId115" ref="A105"/>
    <hyperlink r:id="rId116" ref="B105"/>
    <hyperlink r:id="rId117" ref="A111"/>
    <hyperlink r:id="rId118" ref="A112"/>
    <hyperlink r:id="rId119" ref="B112"/>
    <hyperlink r:id="rId120" ref="A115"/>
    <hyperlink r:id="rId121" ref="A117"/>
    <hyperlink r:id="rId122" ref="B117"/>
    <hyperlink r:id="rId123" ref="B119"/>
    <hyperlink r:id="rId124" ref="A120"/>
    <hyperlink r:id="rId125" ref="A121"/>
    <hyperlink r:id="rId126" ref="B121"/>
    <hyperlink r:id="rId127" ref="A122"/>
    <hyperlink r:id="rId128" ref="A123"/>
    <hyperlink r:id="rId129" ref="A124"/>
    <hyperlink r:id="rId130" ref="B124"/>
    <hyperlink r:id="rId131" ref="A125"/>
    <hyperlink r:id="rId132" ref="B125"/>
    <hyperlink r:id="rId133" ref="A126"/>
    <hyperlink r:id="rId134" ref="B126"/>
    <hyperlink r:id="rId135" ref="A127"/>
    <hyperlink r:id="rId136" ref="B127"/>
    <hyperlink r:id="rId137" ref="A128"/>
    <hyperlink r:id="rId138" ref="B128"/>
    <hyperlink r:id="rId139" ref="A129"/>
    <hyperlink r:id="rId140" ref="B129"/>
    <hyperlink r:id="rId141" ref="B130"/>
    <hyperlink r:id="rId142" ref="AN130"/>
    <hyperlink r:id="rId143" ref="B131"/>
    <hyperlink r:id="rId144" ref="A132"/>
    <hyperlink r:id="rId145" ref="B133"/>
    <hyperlink r:id="rId146" ref="AM134"/>
    <hyperlink r:id="rId147" ref="B135"/>
    <hyperlink r:id="rId148" ref="A136"/>
    <hyperlink r:id="rId149" ref="B136"/>
    <hyperlink r:id="rId150" ref="B137"/>
    <hyperlink r:id="rId151" ref="AM137"/>
    <hyperlink r:id="rId152" ref="AN137"/>
    <hyperlink r:id="rId153" ref="A138"/>
    <hyperlink r:id="rId154" ref="B138"/>
    <hyperlink r:id="rId155" ref="B139"/>
    <hyperlink r:id="rId156" ref="A140"/>
    <hyperlink r:id="rId157" ref="AN140"/>
    <hyperlink r:id="rId158" ref="B141"/>
    <hyperlink r:id="rId159" ref="A142"/>
    <hyperlink r:id="rId160" ref="B142"/>
    <hyperlink r:id="rId161" ref="A143"/>
    <hyperlink r:id="rId162" ref="B143"/>
    <hyperlink r:id="rId163" ref="A145"/>
    <hyperlink r:id="rId164" ref="A146"/>
    <hyperlink r:id="rId165" ref="B146"/>
    <hyperlink r:id="rId166" ref="A147"/>
    <hyperlink r:id="rId167" ref="B147"/>
    <hyperlink r:id="rId168" ref="AM147"/>
    <hyperlink r:id="rId169" ref="A150"/>
    <hyperlink r:id="rId170" ref="A154"/>
    <hyperlink r:id="rId171" ref="B154"/>
    <hyperlink r:id="rId172" ref="B155"/>
    <hyperlink r:id="rId173" ref="A157"/>
    <hyperlink r:id="rId174" ref="B157"/>
    <hyperlink r:id="rId175" ref="A158"/>
    <hyperlink r:id="rId176" ref="A159"/>
    <hyperlink r:id="rId177" ref="B159"/>
    <hyperlink r:id="rId178" ref="A160"/>
    <hyperlink r:id="rId179" ref="AN160"/>
    <hyperlink r:id="rId180" ref="A161"/>
    <hyperlink r:id="rId181" ref="A163"/>
    <hyperlink r:id="rId182" ref="B163"/>
    <hyperlink r:id="rId183" ref="AM163"/>
    <hyperlink r:id="rId184" ref="A164"/>
    <hyperlink r:id="rId185" ref="B164"/>
    <hyperlink r:id="rId186" ref="A165"/>
    <hyperlink r:id="rId187" ref="B165"/>
    <hyperlink r:id="rId188" ref="B167"/>
    <hyperlink r:id="rId189" ref="A168"/>
    <hyperlink r:id="rId190" ref="B169"/>
    <hyperlink r:id="rId191" ref="A170"/>
    <hyperlink r:id="rId192" ref="B170"/>
    <hyperlink r:id="rId193" ref="A171"/>
    <hyperlink r:id="rId194" ref="B171"/>
    <hyperlink r:id="rId195" ref="A172"/>
    <hyperlink r:id="rId196" ref="B172"/>
    <hyperlink r:id="rId197" ref="A173"/>
    <hyperlink r:id="rId198" ref="B173"/>
    <hyperlink r:id="rId199" ref="A174"/>
    <hyperlink r:id="rId200" ref="B174"/>
    <hyperlink r:id="rId201" ref="AN175"/>
    <hyperlink r:id="rId202" ref="A176"/>
    <hyperlink r:id="rId203" ref="B176"/>
    <hyperlink r:id="rId204" ref="A177"/>
    <hyperlink r:id="rId205" ref="B177"/>
    <hyperlink r:id="rId206" ref="AM177"/>
    <hyperlink r:id="rId207" ref="A180"/>
    <hyperlink r:id="rId208" ref="A181"/>
    <hyperlink r:id="rId209" ref="B181"/>
    <hyperlink r:id="rId210" ref="B183"/>
    <hyperlink r:id="rId211" ref="AN183"/>
    <hyperlink r:id="rId212" ref="B184"/>
    <hyperlink r:id="rId213" ref="A185"/>
    <hyperlink r:id="rId214" ref="A186"/>
    <hyperlink r:id="rId215" ref="A190"/>
    <hyperlink r:id="rId216" ref="A192"/>
    <hyperlink r:id="rId217" ref="B192"/>
    <hyperlink r:id="rId218" ref="A193"/>
    <hyperlink r:id="rId219" ref="AN193"/>
    <hyperlink r:id="rId220" ref="A195"/>
    <hyperlink r:id="rId221" ref="B195"/>
    <hyperlink r:id="rId222" ref="A196"/>
    <hyperlink r:id="rId223" ref="A197"/>
    <hyperlink r:id="rId224" ref="B197"/>
    <hyperlink r:id="rId225" ref="AN197"/>
    <hyperlink r:id="rId226" ref="B199"/>
    <hyperlink r:id="rId227" ref="A200"/>
    <hyperlink r:id="rId228" ref="B200"/>
    <hyperlink r:id="rId229" ref="A201"/>
    <hyperlink r:id="rId230" ref="B201"/>
    <hyperlink r:id="rId231" ref="B204"/>
    <hyperlink r:id="rId232" ref="A206"/>
    <hyperlink r:id="rId233" ref="A207"/>
    <hyperlink r:id="rId234" ref="A208"/>
    <hyperlink r:id="rId235" ref="B208"/>
    <hyperlink r:id="rId236" ref="B213"/>
    <hyperlink r:id="rId237" ref="A214"/>
    <hyperlink r:id="rId238" ref="A215"/>
    <hyperlink r:id="rId239" ref="B215"/>
    <hyperlink r:id="rId240" ref="A217"/>
    <hyperlink r:id="rId241" ref="A218"/>
    <hyperlink r:id="rId242" ref="AN218"/>
    <hyperlink r:id="rId243" ref="A219"/>
    <hyperlink r:id="rId244" ref="B219"/>
    <hyperlink r:id="rId245" ref="AN219"/>
    <hyperlink r:id="rId246" ref="A220"/>
    <hyperlink r:id="rId247" ref="A222"/>
    <hyperlink r:id="rId248" ref="B222"/>
    <hyperlink r:id="rId249" ref="A223"/>
    <hyperlink r:id="rId250" ref="B223"/>
    <hyperlink r:id="rId251" ref="A224"/>
    <hyperlink r:id="rId252" ref="B224"/>
    <hyperlink r:id="rId253" ref="A225"/>
    <hyperlink r:id="rId254" ref="A226"/>
    <hyperlink r:id="rId255" ref="B226"/>
    <hyperlink r:id="rId256" ref="A228"/>
    <hyperlink r:id="rId257" ref="A231"/>
    <hyperlink r:id="rId258" ref="A234"/>
    <hyperlink r:id="rId259" ref="A235"/>
    <hyperlink r:id="rId260" ref="B235"/>
    <hyperlink r:id="rId261" ref="A236"/>
    <hyperlink r:id="rId262" ref="A239"/>
    <hyperlink r:id="rId263" ref="B239"/>
    <hyperlink r:id="rId264" ref="AM239"/>
    <hyperlink r:id="rId265" ref="B240"/>
    <hyperlink r:id="rId266" ref="A241"/>
    <hyperlink r:id="rId267" ref="B241"/>
    <hyperlink r:id="rId268" ref="B242"/>
    <hyperlink r:id="rId269" ref="B244"/>
    <hyperlink r:id="rId270" ref="A245"/>
    <hyperlink r:id="rId271" ref="B248"/>
    <hyperlink r:id="rId272" ref="AM248"/>
    <hyperlink r:id="rId273" ref="A249"/>
    <hyperlink r:id="rId274" ref="A250"/>
    <hyperlink r:id="rId275" ref="A251"/>
    <hyperlink r:id="rId276" ref="B251"/>
    <hyperlink r:id="rId277" ref="A253"/>
    <hyperlink r:id="rId278" ref="AM254"/>
    <hyperlink r:id="rId279" ref="A255"/>
    <hyperlink r:id="rId280" ref="B255"/>
    <hyperlink r:id="rId281" ref="B256"/>
    <hyperlink r:id="rId282" ref="A257"/>
    <hyperlink r:id="rId283" ref="B257"/>
    <hyperlink r:id="rId284" ref="AN257"/>
    <hyperlink r:id="rId285" ref="A258"/>
    <hyperlink r:id="rId286" ref="A259"/>
    <hyperlink r:id="rId287" ref="A260"/>
    <hyperlink r:id="rId288" ref="A261"/>
    <hyperlink r:id="rId289" ref="A263"/>
    <hyperlink r:id="rId290" ref="B265"/>
    <hyperlink r:id="rId291" ref="A266"/>
    <hyperlink r:id="rId292" ref="A267"/>
    <hyperlink r:id="rId293" ref="B268"/>
    <hyperlink r:id="rId294" ref="A271"/>
    <hyperlink r:id="rId295" ref="A272"/>
    <hyperlink r:id="rId296" ref="B272"/>
    <hyperlink r:id="rId297" ref="A273"/>
    <hyperlink r:id="rId298" ref="B273"/>
    <hyperlink r:id="rId299" ref="A274"/>
    <hyperlink r:id="rId300" ref="A275"/>
    <hyperlink r:id="rId301" ref="A276"/>
    <hyperlink r:id="rId302" ref="A277"/>
    <hyperlink r:id="rId303" ref="B277"/>
    <hyperlink r:id="rId304" ref="A278"/>
    <hyperlink r:id="rId305" ref="A279"/>
    <hyperlink r:id="rId306" ref="B279"/>
    <hyperlink r:id="rId307" ref="A281"/>
    <hyperlink r:id="rId308" ref="B281"/>
    <hyperlink r:id="rId309" ref="A282"/>
    <hyperlink r:id="rId310" ref="B282"/>
    <hyperlink r:id="rId311" ref="A283"/>
    <hyperlink r:id="rId312" ref="B283"/>
    <hyperlink r:id="rId313" ref="A284"/>
    <hyperlink r:id="rId314" ref="B284"/>
    <hyperlink r:id="rId315" ref="A285"/>
    <hyperlink r:id="rId316" ref="B285"/>
    <hyperlink r:id="rId317" ref="A286"/>
    <hyperlink r:id="rId318" ref="B286"/>
    <hyperlink r:id="rId319" ref="A287"/>
    <hyperlink r:id="rId320" ref="B287"/>
    <hyperlink r:id="rId321" ref="AN287"/>
    <hyperlink r:id="rId322" ref="B289"/>
    <hyperlink r:id="rId323" ref="A290"/>
    <hyperlink r:id="rId324" ref="B290"/>
    <hyperlink r:id="rId325" ref="AN290"/>
    <hyperlink r:id="rId326" ref="B291"/>
    <hyperlink r:id="rId327" ref="B292"/>
    <hyperlink r:id="rId328" ref="A293"/>
    <hyperlink r:id="rId329" ref="A294"/>
    <hyperlink r:id="rId330" ref="A295"/>
    <hyperlink r:id="rId331" ref="B295"/>
    <hyperlink r:id="rId332" ref="AN295"/>
    <hyperlink r:id="rId333" ref="A296"/>
    <hyperlink r:id="rId334" ref="A298"/>
    <hyperlink r:id="rId335" ref="B298"/>
    <hyperlink r:id="rId336" ref="A299"/>
    <hyperlink r:id="rId337" ref="B299"/>
    <hyperlink r:id="rId338" ref="A300"/>
    <hyperlink r:id="rId339" ref="AM300"/>
    <hyperlink r:id="rId340" ref="A302"/>
    <hyperlink r:id="rId341" ref="A303"/>
    <hyperlink r:id="rId342" ref="B303"/>
    <hyperlink r:id="rId343" ref="B304"/>
    <hyperlink r:id="rId344" ref="A305"/>
    <hyperlink r:id="rId345" ref="B308"/>
    <hyperlink r:id="rId346" ref="B309"/>
    <hyperlink r:id="rId347" ref="A310"/>
    <hyperlink r:id="rId348" ref="B310"/>
    <hyperlink r:id="rId349" ref="A311"/>
    <hyperlink r:id="rId350" ref="B312"/>
    <hyperlink r:id="rId351" ref="A316"/>
    <hyperlink r:id="rId352" ref="B316"/>
    <hyperlink r:id="rId353" ref="A318"/>
    <hyperlink r:id="rId354" ref="B318"/>
    <hyperlink r:id="rId355" ref="B320"/>
    <hyperlink r:id="rId356" ref="B323"/>
    <hyperlink r:id="rId357" ref="A324"/>
    <hyperlink r:id="rId358" ref="B324"/>
    <hyperlink r:id="rId359" ref="A325"/>
    <hyperlink r:id="rId360" ref="B325"/>
    <hyperlink r:id="rId361" ref="A326"/>
    <hyperlink r:id="rId362" ref="B326"/>
    <hyperlink r:id="rId363" ref="B328"/>
    <hyperlink r:id="rId364" ref="AN328"/>
    <hyperlink r:id="rId365" ref="A329"/>
    <hyperlink r:id="rId366" ref="B329"/>
    <hyperlink r:id="rId367" ref="A330"/>
    <hyperlink r:id="rId368" ref="B330"/>
    <hyperlink r:id="rId369" ref="B332"/>
    <hyperlink r:id="rId370" ref="A334"/>
    <hyperlink r:id="rId371" ref="B337"/>
    <hyperlink r:id="rId372" ref="A338"/>
    <hyperlink r:id="rId373" ref="B338"/>
    <hyperlink r:id="rId374" ref="A339"/>
    <hyperlink r:id="rId375" ref="AM339"/>
    <hyperlink r:id="rId376" ref="AN339"/>
    <hyperlink r:id="rId377" ref="B340"/>
    <hyperlink r:id="rId378" ref="A341"/>
    <hyperlink r:id="rId379" ref="B341"/>
    <hyperlink r:id="rId380" ref="A342"/>
    <hyperlink r:id="rId381" ref="AM342"/>
    <hyperlink r:id="rId382" ref="A343"/>
    <hyperlink r:id="rId383" ref="B343"/>
    <hyperlink r:id="rId384" ref="AM343"/>
    <hyperlink r:id="rId385" ref="AN343"/>
    <hyperlink r:id="rId386" ref="A344"/>
    <hyperlink r:id="rId387" ref="A345"/>
    <hyperlink r:id="rId388" ref="B348"/>
    <hyperlink r:id="rId389" ref="AN348"/>
    <hyperlink r:id="rId390" ref="A349"/>
    <hyperlink r:id="rId391" ref="B349"/>
    <hyperlink r:id="rId392" ref="B353"/>
    <hyperlink r:id="rId393" ref="A354"/>
    <hyperlink r:id="rId394" ref="B354"/>
    <hyperlink r:id="rId395" ref="B360"/>
    <hyperlink r:id="rId396" ref="B363"/>
    <hyperlink r:id="rId397" ref="A364"/>
    <hyperlink r:id="rId398" ref="B364"/>
    <hyperlink r:id="rId399" ref="B365"/>
    <hyperlink r:id="rId400" ref="B366"/>
    <hyperlink r:id="rId401" ref="A371"/>
    <hyperlink r:id="rId402" ref="A374"/>
    <hyperlink r:id="rId403" ref="A375"/>
    <hyperlink r:id="rId404" ref="A377"/>
    <hyperlink r:id="rId405" ref="B377"/>
    <hyperlink r:id="rId406" ref="A379"/>
    <hyperlink r:id="rId407" ref="AN379"/>
    <hyperlink r:id="rId408" ref="B380"/>
    <hyperlink r:id="rId409" ref="A381"/>
    <hyperlink r:id="rId410" ref="B381"/>
    <hyperlink r:id="rId411" ref="A382"/>
    <hyperlink r:id="rId412" ref="B382"/>
    <hyperlink r:id="rId413" ref="AM382"/>
    <hyperlink r:id="rId414" ref="B383"/>
    <hyperlink r:id="rId415" ref="A384"/>
    <hyperlink r:id="rId416" ref="B384"/>
    <hyperlink r:id="rId417" ref="A385"/>
    <hyperlink r:id="rId418" ref="B385"/>
    <hyperlink r:id="rId419" ref="A386"/>
    <hyperlink r:id="rId420" ref="A387"/>
    <hyperlink r:id="rId421" ref="A388"/>
    <hyperlink r:id="rId422" ref="B388"/>
    <hyperlink r:id="rId423" ref="B389"/>
    <hyperlink r:id="rId424" ref="AN389"/>
    <hyperlink r:id="rId425" ref="A391"/>
    <hyperlink r:id="rId426" ref="B391"/>
    <hyperlink r:id="rId427" ref="A392"/>
    <hyperlink r:id="rId428" ref="A396"/>
    <hyperlink r:id="rId429" ref="B396"/>
    <hyperlink r:id="rId430" ref="A397"/>
    <hyperlink r:id="rId431" ref="B397"/>
    <hyperlink r:id="rId432" ref="A403"/>
    <hyperlink r:id="rId433" ref="B403"/>
    <hyperlink r:id="rId434" ref="B409"/>
    <hyperlink r:id="rId435" ref="AM409"/>
    <hyperlink r:id="rId436" ref="AM410"/>
    <hyperlink r:id="rId437" ref="AN410"/>
    <hyperlink r:id="rId438" ref="A411"/>
    <hyperlink r:id="rId439" ref="B411"/>
    <hyperlink r:id="rId440" ref="AM411"/>
    <hyperlink r:id="rId441" ref="A412"/>
    <hyperlink r:id="rId442" ref="B412"/>
    <hyperlink r:id="rId443" ref="A414"/>
    <hyperlink r:id="rId444" ref="B414"/>
    <hyperlink r:id="rId445" ref="B417"/>
    <hyperlink r:id="rId446" ref="B419"/>
    <hyperlink r:id="rId447" ref="AN419"/>
    <hyperlink r:id="rId448" ref="A420"/>
    <hyperlink r:id="rId449" ref="B420"/>
    <hyperlink r:id="rId450" ref="AN421"/>
    <hyperlink r:id="rId451" ref="B422"/>
    <hyperlink r:id="rId452" ref="A423"/>
    <hyperlink r:id="rId453" ref="A424"/>
    <hyperlink r:id="rId454" ref="B424"/>
    <hyperlink r:id="rId455" ref="B427"/>
    <hyperlink r:id="rId456" ref="B432"/>
    <hyperlink r:id="rId457" ref="B433"/>
    <hyperlink r:id="rId458" ref="B434"/>
    <hyperlink r:id="rId459" ref="A436"/>
    <hyperlink r:id="rId460" ref="A437"/>
    <hyperlink r:id="rId461" ref="B437"/>
    <hyperlink r:id="rId462" ref="AN437"/>
    <hyperlink r:id="rId463" ref="A438"/>
    <hyperlink r:id="rId464" ref="B438"/>
    <hyperlink r:id="rId465" ref="A439"/>
    <hyperlink r:id="rId466" ref="A441"/>
    <hyperlink r:id="rId467" ref="AN441"/>
    <hyperlink r:id="rId468" ref="A442"/>
    <hyperlink r:id="rId469" ref="B443"/>
    <hyperlink r:id="rId470" ref="A444"/>
    <hyperlink r:id="rId471" ref="A445"/>
    <hyperlink r:id="rId472" ref="B445"/>
    <hyperlink r:id="rId473" ref="AM445"/>
    <hyperlink r:id="rId474" ref="AO445"/>
    <hyperlink r:id="rId475" ref="A446"/>
    <hyperlink r:id="rId476" ref="B446"/>
    <hyperlink r:id="rId477" ref="AM446"/>
    <hyperlink r:id="rId478" ref="AO446"/>
    <hyperlink r:id="rId479" ref="A447"/>
    <hyperlink r:id="rId480" ref="B447"/>
    <hyperlink r:id="rId481" ref="AM447"/>
    <hyperlink r:id="rId482" ref="AO447"/>
    <hyperlink r:id="rId483" ref="A448"/>
    <hyperlink r:id="rId484" ref="B448"/>
    <hyperlink r:id="rId485" ref="A449"/>
    <hyperlink r:id="rId486" ref="B449"/>
    <hyperlink r:id="rId487" ref="A450"/>
    <hyperlink r:id="rId488" ref="B450"/>
    <hyperlink r:id="rId489" ref="AN450"/>
    <hyperlink r:id="rId490" ref="A451"/>
    <hyperlink r:id="rId491" ref="B453"/>
    <hyperlink r:id="rId492" ref="A454"/>
    <hyperlink r:id="rId493" ref="B454"/>
  </hyperlinks>
  <drawing r:id="rId494"/>
  <legacyDrawing r:id="rId49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4.88"/>
    <col customWidth="1" min="2" max="2" width="14.0"/>
    <col customWidth="1" min="3" max="3" width="8.0"/>
    <col customWidth="1" min="4" max="5" width="7.13"/>
    <col customWidth="1" min="6" max="6" width="6.13"/>
    <col customWidth="1" min="7" max="7" width="5.63"/>
    <col customWidth="1" min="8" max="8" width="6.88"/>
    <col customWidth="1" min="9" max="9" width="5.63"/>
    <col customWidth="1" min="10" max="10" width="9.75"/>
    <col customWidth="1" min="11" max="11" width="10.38"/>
    <col customWidth="1" min="12" max="13" width="8.0"/>
    <col customWidth="1" min="14" max="16" width="5.63"/>
    <col customWidth="1" min="17" max="17" width="6.5"/>
    <col customWidth="1" min="18" max="19" width="5.63"/>
    <col customWidth="1" min="20" max="20" width="9.13"/>
    <col customWidth="1" min="21" max="21" width="8.0"/>
    <col customWidth="1" min="22" max="22" width="6.0"/>
    <col customWidth="1" min="23" max="23" width="5.63"/>
    <col customWidth="1" min="24" max="24" width="6.5"/>
    <col customWidth="1" min="25" max="25" width="7.38"/>
    <col customWidth="1" min="26" max="26" width="7.63"/>
    <col customWidth="1" min="27" max="29" width="7.5"/>
    <col customWidth="1" min="30" max="30" width="7.63"/>
    <col customWidth="1" min="31" max="35" width="5.63"/>
    <col customWidth="1" min="36" max="36" width="5.75"/>
    <col customWidth="1" min="37" max="37" width="7.38"/>
    <col customWidth="1" min="38" max="38" width="6.0"/>
    <col customWidth="1" min="39" max="40" width="5.63"/>
    <col customWidth="1" min="41" max="41" width="13.38"/>
    <col customWidth="1" min="42" max="42" width="12.13"/>
    <col customWidth="1" min="43" max="43" width="12.63"/>
  </cols>
  <sheetData>
    <row r="1" ht="72.75" customHeight="1">
      <c r="A1" s="32" t="s">
        <v>121</v>
      </c>
      <c r="B1" s="32" t="s">
        <v>122</v>
      </c>
      <c r="C1" s="33" t="s">
        <v>123</v>
      </c>
      <c r="D1" s="34" t="s">
        <v>124</v>
      </c>
      <c r="E1" s="34" t="s">
        <v>125</v>
      </c>
      <c r="F1" s="34" t="s">
        <v>126</v>
      </c>
      <c r="G1" s="34" t="s">
        <v>127</v>
      </c>
      <c r="H1" s="34" t="s">
        <v>128</v>
      </c>
      <c r="I1" s="34" t="s">
        <v>129</v>
      </c>
      <c r="J1" s="32" t="s">
        <v>130</v>
      </c>
      <c r="K1" s="35" t="s">
        <v>131</v>
      </c>
      <c r="L1" s="36" t="s">
        <v>132</v>
      </c>
      <c r="M1" s="37" t="s">
        <v>133</v>
      </c>
      <c r="N1" s="36" t="s">
        <v>134</v>
      </c>
      <c r="O1" s="34" t="s">
        <v>135</v>
      </c>
      <c r="P1" s="34" t="s">
        <v>136</v>
      </c>
      <c r="Q1" s="38" t="s">
        <v>137</v>
      </c>
      <c r="R1" s="34" t="s">
        <v>138</v>
      </c>
      <c r="S1" s="37" t="s">
        <v>139</v>
      </c>
      <c r="T1" s="39" t="s">
        <v>140</v>
      </c>
      <c r="U1" s="40" t="s">
        <v>42</v>
      </c>
      <c r="V1" s="36" t="s">
        <v>141</v>
      </c>
      <c r="W1" s="34" t="s">
        <v>142</v>
      </c>
      <c r="X1" s="37" t="s">
        <v>143</v>
      </c>
      <c r="Y1" s="36" t="s">
        <v>144</v>
      </c>
      <c r="Z1" s="34" t="s">
        <v>145</v>
      </c>
      <c r="AA1" s="34" t="s">
        <v>146</v>
      </c>
      <c r="AB1" s="34" t="s">
        <v>147</v>
      </c>
      <c r="AC1" s="34" t="s">
        <v>148</v>
      </c>
      <c r="AD1" s="34" t="s">
        <v>149</v>
      </c>
      <c r="AE1" s="34" t="s">
        <v>150</v>
      </c>
      <c r="AF1" s="37" t="s">
        <v>151</v>
      </c>
      <c r="AG1" s="36" t="s">
        <v>152</v>
      </c>
      <c r="AH1" s="36" t="s">
        <v>153</v>
      </c>
      <c r="AI1" s="34" t="s">
        <v>154</v>
      </c>
      <c r="AJ1" s="37" t="s">
        <v>155</v>
      </c>
      <c r="AK1" s="36" t="s">
        <v>156</v>
      </c>
      <c r="AL1" s="41" t="s">
        <v>157</v>
      </c>
      <c r="AM1" s="42" t="s">
        <v>843</v>
      </c>
      <c r="AN1" s="43" t="s">
        <v>159</v>
      </c>
      <c r="AO1" s="44" t="s">
        <v>160</v>
      </c>
      <c r="AP1" s="44" t="s">
        <v>161</v>
      </c>
      <c r="AQ1" s="45"/>
    </row>
    <row r="2">
      <c r="A2" s="69" t="s">
        <v>844</v>
      </c>
      <c r="B2" s="73" t="s">
        <v>845</v>
      </c>
      <c r="C2" s="63" t="s">
        <v>248</v>
      </c>
      <c r="D2" s="48">
        <v>325.0</v>
      </c>
      <c r="E2" s="48">
        <v>140.0</v>
      </c>
      <c r="F2" s="48">
        <v>220.0</v>
      </c>
      <c r="G2" s="49">
        <f t="shared" ref="G2:G125" si="1">D2*E2*F2/1000000</f>
        <v>10.01</v>
      </c>
      <c r="H2" s="49">
        <f t="shared" ref="H2:H125" si="2">D2*E2/100</f>
        <v>455</v>
      </c>
      <c r="I2" s="48" t="s">
        <v>170</v>
      </c>
      <c r="J2" s="48" t="s">
        <v>245</v>
      </c>
      <c r="K2" s="50" t="s">
        <v>185</v>
      </c>
      <c r="L2" s="51">
        <v>60.0</v>
      </c>
      <c r="M2" s="50" t="s">
        <v>166</v>
      </c>
      <c r="N2" s="51" t="s">
        <v>174</v>
      </c>
      <c r="O2" s="48">
        <v>320.0</v>
      </c>
      <c r="P2" s="48" t="s">
        <v>170</v>
      </c>
      <c r="Q2" s="48">
        <v>40.0</v>
      </c>
      <c r="R2" s="48">
        <v>2.0</v>
      </c>
      <c r="S2" s="50" t="s">
        <v>166</v>
      </c>
      <c r="T2" s="52" t="s">
        <v>167</v>
      </c>
      <c r="U2" s="52" t="s">
        <v>346</v>
      </c>
      <c r="V2" s="51">
        <v>4.0</v>
      </c>
      <c r="W2" s="48" t="s">
        <v>166</v>
      </c>
      <c r="X2" s="50" t="s">
        <v>166</v>
      </c>
      <c r="Y2" s="51" t="s">
        <v>166</v>
      </c>
      <c r="Z2" s="48" t="s">
        <v>166</v>
      </c>
      <c r="AA2" s="48" t="s">
        <v>166</v>
      </c>
      <c r="AB2" s="48" t="s">
        <v>166</v>
      </c>
      <c r="AC2" s="48">
        <v>2.0</v>
      </c>
      <c r="AD2" s="48" t="s">
        <v>166</v>
      </c>
      <c r="AE2" s="54" t="s">
        <v>166</v>
      </c>
      <c r="AF2" s="55" t="s">
        <v>166</v>
      </c>
      <c r="AG2" s="51" t="s">
        <v>166</v>
      </c>
      <c r="AH2" s="48">
        <v>2.0</v>
      </c>
      <c r="AI2" s="48" t="s">
        <v>166</v>
      </c>
      <c r="AJ2" s="50" t="s">
        <v>166</v>
      </c>
      <c r="AK2" s="56">
        <v>399.0</v>
      </c>
      <c r="AL2" s="57">
        <f>AK2*Sheets!$E$3</f>
        <v>55.0003545</v>
      </c>
      <c r="AM2" s="68"/>
      <c r="AN2" s="59"/>
      <c r="AO2" s="60" t="s">
        <v>181</v>
      </c>
      <c r="AP2" s="65">
        <v>45446.48408685185</v>
      </c>
      <c r="AQ2" s="66"/>
    </row>
    <row r="3">
      <c r="A3" s="82" t="str">
        <f>HYPERLINK("https://streacom.com/","Streacom")</f>
        <v>Streacom</v>
      </c>
      <c r="B3" s="62" t="s">
        <v>846</v>
      </c>
      <c r="C3" s="63" t="s">
        <v>262</v>
      </c>
      <c r="D3" s="48">
        <v>289.0</v>
      </c>
      <c r="E3" s="48">
        <v>348.0</v>
      </c>
      <c r="F3" s="48">
        <v>100.0</v>
      </c>
      <c r="G3" s="49">
        <f t="shared" si="1"/>
        <v>10.0572</v>
      </c>
      <c r="H3" s="49">
        <f t="shared" si="2"/>
        <v>1005.72</v>
      </c>
      <c r="I3" s="48">
        <v>4.4</v>
      </c>
      <c r="J3" s="48" t="s">
        <v>164</v>
      </c>
      <c r="K3" s="50" t="s">
        <v>387</v>
      </c>
      <c r="L3" s="51" t="s">
        <v>170</v>
      </c>
      <c r="M3" s="50" t="s">
        <v>166</v>
      </c>
      <c r="N3" s="51" t="s">
        <v>166</v>
      </c>
      <c r="O3" s="48">
        <v>156.0</v>
      </c>
      <c r="P3" s="48" t="s">
        <v>170</v>
      </c>
      <c r="Q3" s="48">
        <v>60.0</v>
      </c>
      <c r="R3" s="48" t="s">
        <v>166</v>
      </c>
      <c r="S3" s="50">
        <v>3.0</v>
      </c>
      <c r="T3" s="52" t="s">
        <v>423</v>
      </c>
      <c r="U3" s="52" t="s">
        <v>299</v>
      </c>
      <c r="V3" s="51" t="s">
        <v>435</v>
      </c>
      <c r="W3" s="48" t="s">
        <v>412</v>
      </c>
      <c r="X3" s="50" t="s">
        <v>218</v>
      </c>
      <c r="Y3" s="51" t="s">
        <v>166</v>
      </c>
      <c r="Z3" s="48" t="s">
        <v>166</v>
      </c>
      <c r="AA3" s="48" t="s">
        <v>166</v>
      </c>
      <c r="AB3" s="48" t="s">
        <v>166</v>
      </c>
      <c r="AC3" s="48" t="s">
        <v>166</v>
      </c>
      <c r="AD3" s="48" t="s">
        <v>166</v>
      </c>
      <c r="AE3" s="54" t="s">
        <v>166</v>
      </c>
      <c r="AF3" s="55" t="s">
        <v>166</v>
      </c>
      <c r="AG3" s="51" t="s">
        <v>166</v>
      </c>
      <c r="AH3" s="48">
        <v>2.0</v>
      </c>
      <c r="AI3" s="48" t="s">
        <v>166</v>
      </c>
      <c r="AJ3" s="50" t="s">
        <v>166</v>
      </c>
      <c r="AK3" s="56" t="s">
        <v>166</v>
      </c>
      <c r="AL3" s="57" t="s">
        <v>170</v>
      </c>
      <c r="AM3" s="58"/>
      <c r="AN3" s="59"/>
      <c r="AO3" s="60"/>
      <c r="AP3" s="65">
        <v>44717.9389806713</v>
      </c>
      <c r="AQ3" s="66"/>
    </row>
    <row r="4">
      <c r="A4" s="46" t="s">
        <v>847</v>
      </c>
      <c r="B4" s="46" t="s">
        <v>848</v>
      </c>
      <c r="C4" s="63" t="s">
        <v>262</v>
      </c>
      <c r="D4" s="48">
        <v>216.0</v>
      </c>
      <c r="E4" s="48">
        <v>216.0</v>
      </c>
      <c r="F4" s="48">
        <v>216.0</v>
      </c>
      <c r="G4" s="49">
        <f t="shared" si="1"/>
        <v>10.077696</v>
      </c>
      <c r="H4" s="49">
        <f t="shared" si="2"/>
        <v>466.56</v>
      </c>
      <c r="I4" s="48">
        <v>3.3</v>
      </c>
      <c r="J4" s="48" t="s">
        <v>164</v>
      </c>
      <c r="K4" s="50" t="s">
        <v>849</v>
      </c>
      <c r="L4" s="51">
        <v>165.0</v>
      </c>
      <c r="M4" s="50" t="s">
        <v>166</v>
      </c>
      <c r="N4" s="51" t="s">
        <v>166</v>
      </c>
      <c r="O4" s="48">
        <v>200.0</v>
      </c>
      <c r="P4" s="48">
        <v>170.0</v>
      </c>
      <c r="Q4" s="48">
        <v>40.0</v>
      </c>
      <c r="R4" s="48">
        <v>2.0</v>
      </c>
      <c r="S4" s="50" t="s">
        <v>166</v>
      </c>
      <c r="T4" s="52" t="s">
        <v>167</v>
      </c>
      <c r="U4" s="52" t="s">
        <v>346</v>
      </c>
      <c r="V4" s="51" t="s">
        <v>207</v>
      </c>
      <c r="W4" s="48" t="s">
        <v>193</v>
      </c>
      <c r="X4" s="50" t="s">
        <v>166</v>
      </c>
      <c r="Y4" s="51" t="s">
        <v>166</v>
      </c>
      <c r="Z4" s="48" t="s">
        <v>166</v>
      </c>
      <c r="AA4" s="48" t="s">
        <v>166</v>
      </c>
      <c r="AB4" s="48" t="s">
        <v>166</v>
      </c>
      <c r="AC4" s="48" t="s">
        <v>194</v>
      </c>
      <c r="AD4" s="48" t="s">
        <v>194</v>
      </c>
      <c r="AE4" s="54" t="s">
        <v>166</v>
      </c>
      <c r="AF4" s="55" t="s">
        <v>166</v>
      </c>
      <c r="AG4" s="51" t="s">
        <v>166</v>
      </c>
      <c r="AH4" s="48">
        <v>2.0</v>
      </c>
      <c r="AI4" s="48" t="s">
        <v>166</v>
      </c>
      <c r="AJ4" s="50" t="s">
        <v>166</v>
      </c>
      <c r="AK4" s="56">
        <v>380.0</v>
      </c>
      <c r="AL4" s="57">
        <f>AK4*Sheets!$E$3</f>
        <v>52.38129</v>
      </c>
      <c r="AM4" s="68"/>
      <c r="AN4" s="70"/>
      <c r="AO4" s="71"/>
      <c r="AP4" s="72">
        <v>45071.55505657407</v>
      </c>
      <c r="AQ4" s="66"/>
    </row>
    <row r="5">
      <c r="A5" s="83" t="str">
        <f>HYPERLINK("https://www.sfftime.com/","SFFtime")</f>
        <v>SFFtime</v>
      </c>
      <c r="B5" s="62" t="s">
        <v>850</v>
      </c>
      <c r="C5" s="63" t="s">
        <v>225</v>
      </c>
      <c r="D5" s="48">
        <v>378.0</v>
      </c>
      <c r="E5" s="48">
        <v>78.0</v>
      </c>
      <c r="F5" s="48">
        <v>342.0</v>
      </c>
      <c r="G5" s="49">
        <f t="shared" si="1"/>
        <v>10.083528</v>
      </c>
      <c r="H5" s="49">
        <f t="shared" si="2"/>
        <v>294.84</v>
      </c>
      <c r="I5" s="48">
        <v>2.8</v>
      </c>
      <c r="J5" s="48" t="s">
        <v>171</v>
      </c>
      <c r="K5" s="50" t="s">
        <v>851</v>
      </c>
      <c r="L5" s="51">
        <v>59.0</v>
      </c>
      <c r="M5" s="50" t="s">
        <v>565</v>
      </c>
      <c r="N5" s="51" t="s">
        <v>174</v>
      </c>
      <c r="O5" s="48">
        <v>370.0</v>
      </c>
      <c r="P5" s="48">
        <v>140.0</v>
      </c>
      <c r="Q5" s="48">
        <v>62.0</v>
      </c>
      <c r="R5" s="48">
        <v>3.0</v>
      </c>
      <c r="S5" s="50" t="s">
        <v>166</v>
      </c>
      <c r="T5" s="52" t="s">
        <v>852</v>
      </c>
      <c r="U5" s="52" t="s">
        <v>346</v>
      </c>
      <c r="V5" s="51" t="s">
        <v>771</v>
      </c>
      <c r="W5" s="48" t="s">
        <v>193</v>
      </c>
      <c r="X5" s="50" t="s">
        <v>166</v>
      </c>
      <c r="Y5" s="51" t="s">
        <v>166</v>
      </c>
      <c r="Z5" s="48" t="s">
        <v>166</v>
      </c>
      <c r="AA5" s="48" t="s">
        <v>166</v>
      </c>
      <c r="AB5" s="48" t="s">
        <v>194</v>
      </c>
      <c r="AC5" s="48" t="s">
        <v>194</v>
      </c>
      <c r="AD5" s="48" t="s">
        <v>166</v>
      </c>
      <c r="AE5" s="54" t="s">
        <v>166</v>
      </c>
      <c r="AF5" s="55" t="s">
        <v>166</v>
      </c>
      <c r="AG5" s="51" t="s">
        <v>166</v>
      </c>
      <c r="AH5" s="48">
        <v>2.0</v>
      </c>
      <c r="AI5" s="48" t="s">
        <v>166</v>
      </c>
      <c r="AJ5" s="50" t="s">
        <v>166</v>
      </c>
      <c r="AK5" s="56" t="s">
        <v>166</v>
      </c>
      <c r="AL5" s="57">
        <v>179.0</v>
      </c>
      <c r="AM5" s="64" t="s">
        <v>214</v>
      </c>
      <c r="AN5" s="64" t="s">
        <v>214</v>
      </c>
      <c r="AO5" s="60" t="s">
        <v>181</v>
      </c>
      <c r="AP5" s="65">
        <v>44564.01488888889</v>
      </c>
      <c r="AQ5" s="66"/>
    </row>
    <row r="6">
      <c r="A6" s="111" t="str">
        <f>HYPERLINK("https://www.u-nas.com/","U-NAS")</f>
        <v>U-NAS</v>
      </c>
      <c r="B6" s="112" t="s">
        <v>853</v>
      </c>
      <c r="C6" s="101" t="s">
        <v>490</v>
      </c>
      <c r="D6" s="74">
        <v>263.0</v>
      </c>
      <c r="E6" s="74">
        <v>195.0</v>
      </c>
      <c r="F6" s="74">
        <v>197.0</v>
      </c>
      <c r="G6" s="114">
        <f t="shared" si="1"/>
        <v>10.103145</v>
      </c>
      <c r="H6" s="115">
        <f t="shared" si="2"/>
        <v>512.85</v>
      </c>
      <c r="I6" s="116">
        <v>4.1</v>
      </c>
      <c r="J6" s="48" t="s">
        <v>164</v>
      </c>
      <c r="K6" s="117" t="s">
        <v>171</v>
      </c>
      <c r="L6" s="118">
        <v>40.0</v>
      </c>
      <c r="M6" s="117" t="s">
        <v>166</v>
      </c>
      <c r="N6" s="51" t="s">
        <v>166</v>
      </c>
      <c r="O6" s="113" t="s">
        <v>166</v>
      </c>
      <c r="P6" s="113" t="s">
        <v>166</v>
      </c>
      <c r="Q6" s="113" t="s">
        <v>166</v>
      </c>
      <c r="R6" s="74">
        <v>1.0</v>
      </c>
      <c r="S6" s="117" t="s">
        <v>166</v>
      </c>
      <c r="T6" s="120" t="s">
        <v>167</v>
      </c>
      <c r="U6" s="120" t="s">
        <v>186</v>
      </c>
      <c r="V6" s="77">
        <v>3.0</v>
      </c>
      <c r="W6" s="74">
        <v>4.0</v>
      </c>
      <c r="X6" s="117" t="s">
        <v>166</v>
      </c>
      <c r="Y6" s="119" t="s">
        <v>166</v>
      </c>
      <c r="Z6" s="113" t="s">
        <v>166</v>
      </c>
      <c r="AA6" s="74" t="s">
        <v>166</v>
      </c>
      <c r="AB6" s="113" t="s">
        <v>166</v>
      </c>
      <c r="AC6" s="74">
        <v>1.0</v>
      </c>
      <c r="AD6" s="113" t="s">
        <v>166</v>
      </c>
      <c r="AE6" s="54" t="s">
        <v>166</v>
      </c>
      <c r="AF6" s="55" t="s">
        <v>166</v>
      </c>
      <c r="AG6" s="77">
        <v>1.0</v>
      </c>
      <c r="AH6" s="74">
        <v>2.0</v>
      </c>
      <c r="AI6" s="74" t="s">
        <v>166</v>
      </c>
      <c r="AJ6" s="75" t="s">
        <v>174</v>
      </c>
      <c r="AK6" s="121" t="s">
        <v>166</v>
      </c>
      <c r="AL6" s="122">
        <v>159.0</v>
      </c>
      <c r="AM6" s="123"/>
      <c r="AN6" s="123"/>
      <c r="AO6" s="124"/>
      <c r="AP6" s="136">
        <v>44722.400105162036</v>
      </c>
      <c r="AQ6" s="66"/>
    </row>
    <row r="7">
      <c r="A7" s="82" t="str">
        <f>HYPERLINK("https://www.fractal-design.com/","Fractal Design")</f>
        <v>Fractal Design</v>
      </c>
      <c r="B7" s="83" t="str">
        <f>HYPERLINK("https://www.fractal-design.com/products/cases/node/node-202/black/","Node 202")</f>
        <v>Node 202</v>
      </c>
      <c r="C7" s="63" t="s">
        <v>225</v>
      </c>
      <c r="D7" s="48">
        <v>330.0</v>
      </c>
      <c r="E7" s="48">
        <v>82.0</v>
      </c>
      <c r="F7" s="48">
        <v>377.0</v>
      </c>
      <c r="G7" s="49">
        <f t="shared" si="1"/>
        <v>10.20162</v>
      </c>
      <c r="H7" s="49">
        <f t="shared" si="2"/>
        <v>270.6</v>
      </c>
      <c r="I7" s="48">
        <v>3.5</v>
      </c>
      <c r="J7" s="48" t="s">
        <v>854</v>
      </c>
      <c r="K7" s="50" t="s">
        <v>211</v>
      </c>
      <c r="L7" s="51">
        <v>56.0</v>
      </c>
      <c r="M7" s="50" t="s">
        <v>166</v>
      </c>
      <c r="N7" s="51" t="s">
        <v>174</v>
      </c>
      <c r="O7" s="48">
        <v>310.0</v>
      </c>
      <c r="P7" s="48">
        <v>145.0</v>
      </c>
      <c r="Q7" s="48">
        <v>47.0</v>
      </c>
      <c r="R7" s="48">
        <v>2.0</v>
      </c>
      <c r="S7" s="50" t="s">
        <v>166</v>
      </c>
      <c r="T7" s="52" t="s">
        <v>167</v>
      </c>
      <c r="U7" s="52" t="s">
        <v>346</v>
      </c>
      <c r="V7" s="51">
        <v>2.0</v>
      </c>
      <c r="W7" s="48" t="s">
        <v>166</v>
      </c>
      <c r="X7" s="50" t="s">
        <v>166</v>
      </c>
      <c r="Y7" s="51" t="s">
        <v>166</v>
      </c>
      <c r="Z7" s="48" t="s">
        <v>166</v>
      </c>
      <c r="AA7" s="48" t="s">
        <v>166</v>
      </c>
      <c r="AB7" s="48" t="s">
        <v>166</v>
      </c>
      <c r="AC7" s="48" t="s">
        <v>193</v>
      </c>
      <c r="AD7" s="48" t="s">
        <v>166</v>
      </c>
      <c r="AE7" s="54" t="s">
        <v>166</v>
      </c>
      <c r="AF7" s="55" t="s">
        <v>166</v>
      </c>
      <c r="AG7" s="51" t="s">
        <v>166</v>
      </c>
      <c r="AH7" s="48">
        <v>2.0</v>
      </c>
      <c r="AI7" s="48" t="s">
        <v>166</v>
      </c>
      <c r="AJ7" s="50" t="s">
        <v>174</v>
      </c>
      <c r="AK7" s="56" t="s">
        <v>166</v>
      </c>
      <c r="AL7" s="57">
        <v>86.0</v>
      </c>
      <c r="AM7" s="58"/>
      <c r="AN7" s="64" t="s">
        <v>214</v>
      </c>
      <c r="AO7" s="60"/>
      <c r="AP7" s="65">
        <v>44644.504647118054</v>
      </c>
      <c r="AQ7" s="66"/>
    </row>
    <row r="8">
      <c r="A8" s="46" t="s">
        <v>746</v>
      </c>
      <c r="B8" s="73" t="s">
        <v>855</v>
      </c>
      <c r="C8" s="63" t="s">
        <v>248</v>
      </c>
      <c r="D8" s="48">
        <v>357.0</v>
      </c>
      <c r="E8" s="48">
        <v>143.0</v>
      </c>
      <c r="F8" s="48">
        <v>200.1</v>
      </c>
      <c r="G8" s="49">
        <f t="shared" si="1"/>
        <v>10.2153051</v>
      </c>
      <c r="H8" s="49">
        <f t="shared" si="2"/>
        <v>510.51</v>
      </c>
      <c r="I8" s="48">
        <v>1.25</v>
      </c>
      <c r="J8" s="48" t="s">
        <v>164</v>
      </c>
      <c r="K8" s="50" t="s">
        <v>191</v>
      </c>
      <c r="L8" s="51">
        <v>60.0</v>
      </c>
      <c r="M8" s="50" t="s">
        <v>166</v>
      </c>
      <c r="N8" s="51" t="s">
        <v>174</v>
      </c>
      <c r="O8" s="48">
        <v>331.0</v>
      </c>
      <c r="P8" s="48">
        <v>140.0</v>
      </c>
      <c r="Q8" s="48">
        <v>56.0</v>
      </c>
      <c r="R8" s="48">
        <v>2.0</v>
      </c>
      <c r="S8" s="50" t="s">
        <v>166</v>
      </c>
      <c r="T8" s="52" t="s">
        <v>167</v>
      </c>
      <c r="U8" s="52" t="s">
        <v>346</v>
      </c>
      <c r="V8" s="51">
        <v>1.0</v>
      </c>
      <c r="W8" s="48">
        <v>1.0</v>
      </c>
      <c r="X8" s="50" t="s">
        <v>166</v>
      </c>
      <c r="Y8" s="51" t="s">
        <v>166</v>
      </c>
      <c r="Z8" s="48" t="s">
        <v>166</v>
      </c>
      <c r="AA8" s="48" t="s">
        <v>166</v>
      </c>
      <c r="AB8" s="48" t="s">
        <v>166</v>
      </c>
      <c r="AC8" s="48" t="s">
        <v>166</v>
      </c>
      <c r="AD8" s="48" t="s">
        <v>166</v>
      </c>
      <c r="AE8" s="54" t="s">
        <v>166</v>
      </c>
      <c r="AF8" s="55" t="s">
        <v>166</v>
      </c>
      <c r="AG8" s="51" t="s">
        <v>166</v>
      </c>
      <c r="AH8" s="48" t="s">
        <v>166</v>
      </c>
      <c r="AI8" s="48" t="s">
        <v>166</v>
      </c>
      <c r="AJ8" s="50" t="s">
        <v>166</v>
      </c>
      <c r="AK8" s="56">
        <v>2199.0</v>
      </c>
      <c r="AL8" s="57">
        <f>AK8*Sheets!$E$3</f>
        <v>303.1222545</v>
      </c>
      <c r="AM8" s="68"/>
      <c r="AN8" s="59"/>
      <c r="AO8" s="71" t="s">
        <v>181</v>
      </c>
      <c r="AP8" s="65">
        <v>44604.56313238426</v>
      </c>
      <c r="AQ8" s="66"/>
    </row>
    <row r="9">
      <c r="A9" s="46" t="str">
        <f>HYPERLINK("https://shop309038390.world.taobao.com/","ZZAW")</f>
        <v>ZZAW</v>
      </c>
      <c r="B9" s="46" t="str">
        <f>HYPERLINK("https://item.taobao.com/item.htm?id=609085237571","B2")</f>
        <v>B2</v>
      </c>
      <c r="C9" s="63" t="s">
        <v>248</v>
      </c>
      <c r="D9" s="48">
        <v>312.0</v>
      </c>
      <c r="E9" s="48">
        <v>140.0</v>
      </c>
      <c r="F9" s="48">
        <v>235.0</v>
      </c>
      <c r="G9" s="49">
        <f t="shared" si="1"/>
        <v>10.2648</v>
      </c>
      <c r="H9" s="49">
        <f t="shared" si="2"/>
        <v>436.8</v>
      </c>
      <c r="I9" s="48">
        <v>2.0</v>
      </c>
      <c r="J9" s="48" t="s">
        <v>274</v>
      </c>
      <c r="K9" s="50" t="s">
        <v>323</v>
      </c>
      <c r="L9" s="51">
        <v>60.0</v>
      </c>
      <c r="M9" s="50" t="s">
        <v>166</v>
      </c>
      <c r="N9" s="51" t="s">
        <v>174</v>
      </c>
      <c r="O9" s="48">
        <v>300.0</v>
      </c>
      <c r="P9" s="48">
        <v>133.0</v>
      </c>
      <c r="Q9" s="48">
        <v>53.0</v>
      </c>
      <c r="R9" s="48">
        <v>2.0</v>
      </c>
      <c r="S9" s="50" t="s">
        <v>166</v>
      </c>
      <c r="T9" s="52" t="s">
        <v>167</v>
      </c>
      <c r="U9" s="52" t="s">
        <v>346</v>
      </c>
      <c r="V9" s="51">
        <v>2.0</v>
      </c>
      <c r="W9" s="48" t="s">
        <v>194</v>
      </c>
      <c r="X9" s="50" t="s">
        <v>166</v>
      </c>
      <c r="Y9" s="51" t="s">
        <v>166</v>
      </c>
      <c r="Z9" s="48" t="s">
        <v>166</v>
      </c>
      <c r="AA9" s="48" t="s">
        <v>166</v>
      </c>
      <c r="AB9" s="48" t="s">
        <v>166</v>
      </c>
      <c r="AC9" s="48">
        <v>2.0</v>
      </c>
      <c r="AD9" s="48" t="s">
        <v>166</v>
      </c>
      <c r="AE9" s="54" t="s">
        <v>166</v>
      </c>
      <c r="AF9" s="55" t="s">
        <v>166</v>
      </c>
      <c r="AG9" s="51" t="s">
        <v>166</v>
      </c>
      <c r="AH9" s="48">
        <v>2.0</v>
      </c>
      <c r="AI9" s="48" t="s">
        <v>166</v>
      </c>
      <c r="AJ9" s="50" t="s">
        <v>166</v>
      </c>
      <c r="AK9" s="56">
        <v>398.0</v>
      </c>
      <c r="AL9" s="57">
        <f>AK9*Sheets!$E$3</f>
        <v>54.862509</v>
      </c>
      <c r="AM9" s="58"/>
      <c r="AN9" s="59"/>
      <c r="AO9" s="60"/>
      <c r="AP9" s="65">
        <v>44563.99283483796</v>
      </c>
      <c r="AQ9" s="66"/>
    </row>
    <row r="10">
      <c r="A10" s="69" t="str">
        <f>HYPERLINK("https://shop445541697.world.taobao.com/","Kyle's Studio")</f>
        <v>Kyle's Studio</v>
      </c>
      <c r="B10" s="46" t="str">
        <f>HYPERLINK("https://item.taobao.com/item.htm?&amp;id=564940642229","Cube X1")</f>
        <v>Cube X1</v>
      </c>
      <c r="C10" s="63" t="s">
        <v>248</v>
      </c>
      <c r="D10" s="48">
        <v>310.0</v>
      </c>
      <c r="E10" s="48">
        <v>138.0</v>
      </c>
      <c r="F10" s="48">
        <v>240.0</v>
      </c>
      <c r="G10" s="49">
        <f t="shared" si="1"/>
        <v>10.2672</v>
      </c>
      <c r="H10" s="49">
        <f t="shared" si="2"/>
        <v>427.8</v>
      </c>
      <c r="I10" s="48">
        <v>3.5</v>
      </c>
      <c r="J10" s="48" t="s">
        <v>274</v>
      </c>
      <c r="K10" s="50" t="s">
        <v>213</v>
      </c>
      <c r="L10" s="51">
        <v>55.0</v>
      </c>
      <c r="M10" s="50" t="s">
        <v>547</v>
      </c>
      <c r="N10" s="51" t="s">
        <v>174</v>
      </c>
      <c r="O10" s="48">
        <v>300.0</v>
      </c>
      <c r="P10" s="48">
        <v>135.0</v>
      </c>
      <c r="Q10" s="48">
        <v>54.5</v>
      </c>
      <c r="R10" s="48">
        <v>2.0</v>
      </c>
      <c r="S10" s="50" t="s">
        <v>166</v>
      </c>
      <c r="T10" s="52" t="s">
        <v>167</v>
      </c>
      <c r="U10" s="52" t="s">
        <v>324</v>
      </c>
      <c r="V10" s="51" t="s">
        <v>426</v>
      </c>
      <c r="W10" s="48" t="s">
        <v>166</v>
      </c>
      <c r="X10" s="50" t="s">
        <v>166</v>
      </c>
      <c r="Y10" s="51" t="s">
        <v>166</v>
      </c>
      <c r="Z10" s="48" t="s">
        <v>166</v>
      </c>
      <c r="AA10" s="48" t="s">
        <v>166</v>
      </c>
      <c r="AB10" s="48" t="s">
        <v>166</v>
      </c>
      <c r="AC10" s="48" t="s">
        <v>435</v>
      </c>
      <c r="AD10" s="48" t="s">
        <v>166</v>
      </c>
      <c r="AE10" s="54" t="s">
        <v>166</v>
      </c>
      <c r="AF10" s="55" t="s">
        <v>166</v>
      </c>
      <c r="AG10" s="51" t="s">
        <v>166</v>
      </c>
      <c r="AH10" s="48" t="s">
        <v>166</v>
      </c>
      <c r="AI10" s="48" t="s">
        <v>166</v>
      </c>
      <c r="AJ10" s="50" t="s">
        <v>166</v>
      </c>
      <c r="AK10" s="56">
        <v>689.0</v>
      </c>
      <c r="AL10" s="57">
        <f>AK10*Sheets!$E$3</f>
        <v>94.9755495</v>
      </c>
      <c r="AM10" s="68"/>
      <c r="AN10" s="70"/>
      <c r="AO10" s="71"/>
      <c r="AP10" s="72">
        <v>44681.597605717594</v>
      </c>
      <c r="AQ10" s="66"/>
    </row>
    <row r="11">
      <c r="A11" s="46" t="str">
        <f>HYPERLINK("https://shop120331572.world.taobao.com/","Ultra Civilz")</f>
        <v>Ultra Civilz</v>
      </c>
      <c r="B11" s="73" t="s">
        <v>856</v>
      </c>
      <c r="C11" s="63" t="s">
        <v>248</v>
      </c>
      <c r="D11" s="48">
        <v>308.0</v>
      </c>
      <c r="E11" s="48">
        <v>139.0</v>
      </c>
      <c r="F11" s="48">
        <v>240.0</v>
      </c>
      <c r="G11" s="49">
        <f t="shared" si="1"/>
        <v>10.27488</v>
      </c>
      <c r="H11" s="49">
        <f t="shared" si="2"/>
        <v>428.12</v>
      </c>
      <c r="I11" s="48" t="s">
        <v>170</v>
      </c>
      <c r="J11" s="48" t="s">
        <v>164</v>
      </c>
      <c r="K11" s="50" t="s">
        <v>164</v>
      </c>
      <c r="L11" s="51">
        <v>68.0</v>
      </c>
      <c r="M11" s="50" t="s">
        <v>166</v>
      </c>
      <c r="N11" s="51" t="s">
        <v>174</v>
      </c>
      <c r="O11" s="48">
        <v>300.0</v>
      </c>
      <c r="P11" s="48">
        <v>158.0</v>
      </c>
      <c r="Q11" s="48">
        <v>45.0</v>
      </c>
      <c r="R11" s="48">
        <v>2.0</v>
      </c>
      <c r="S11" s="50" t="s">
        <v>166</v>
      </c>
      <c r="T11" s="52" t="s">
        <v>167</v>
      </c>
      <c r="U11" s="52" t="s">
        <v>346</v>
      </c>
      <c r="V11" s="51">
        <v>2.0</v>
      </c>
      <c r="W11" s="48" t="s">
        <v>166</v>
      </c>
      <c r="X11" s="50" t="s">
        <v>166</v>
      </c>
      <c r="Y11" s="51" t="s">
        <v>166</v>
      </c>
      <c r="Z11" s="48" t="s">
        <v>166</v>
      </c>
      <c r="AA11" s="48" t="s">
        <v>166</v>
      </c>
      <c r="AB11" s="48" t="s">
        <v>166</v>
      </c>
      <c r="AC11" s="48">
        <v>4.0</v>
      </c>
      <c r="AD11" s="48" t="s">
        <v>166</v>
      </c>
      <c r="AE11" s="54" t="s">
        <v>166</v>
      </c>
      <c r="AF11" s="55" t="s">
        <v>166</v>
      </c>
      <c r="AG11" s="51" t="s">
        <v>166</v>
      </c>
      <c r="AH11" s="48" t="s">
        <v>166</v>
      </c>
      <c r="AI11" s="48" t="s">
        <v>166</v>
      </c>
      <c r="AJ11" s="50" t="s">
        <v>166</v>
      </c>
      <c r="AK11" s="56">
        <v>999.0</v>
      </c>
      <c r="AL11" s="57">
        <f>AK11*Sheets!$E$3</f>
        <v>137.7076545</v>
      </c>
      <c r="AM11" s="68"/>
      <c r="AN11" s="70"/>
      <c r="AO11" s="71" t="s">
        <v>181</v>
      </c>
      <c r="AP11" s="72">
        <v>44442.9071062963</v>
      </c>
      <c r="AQ11" s="66"/>
    </row>
    <row r="12">
      <c r="A12" s="46" t="str">
        <f>HYPERLINK("https://shop309038390.world.taobao.com/","ZZAW")</f>
        <v>ZZAW</v>
      </c>
      <c r="B12" s="46" t="str">
        <f>HYPERLINK("https://item.taobao.com/item.htm?id=610223199605","B1")</f>
        <v>B1</v>
      </c>
      <c r="C12" s="63" t="s">
        <v>248</v>
      </c>
      <c r="D12" s="48">
        <v>310.0</v>
      </c>
      <c r="E12" s="48">
        <v>140.0</v>
      </c>
      <c r="F12" s="48">
        <v>237.0</v>
      </c>
      <c r="G12" s="49">
        <f t="shared" si="1"/>
        <v>10.2858</v>
      </c>
      <c r="H12" s="49">
        <f t="shared" si="2"/>
        <v>434</v>
      </c>
      <c r="I12" s="48">
        <v>1.7</v>
      </c>
      <c r="J12" s="48" t="s">
        <v>274</v>
      </c>
      <c r="K12" s="50" t="s">
        <v>185</v>
      </c>
      <c r="L12" s="51">
        <v>60.0</v>
      </c>
      <c r="M12" s="50" t="s">
        <v>166</v>
      </c>
      <c r="N12" s="51" t="s">
        <v>174</v>
      </c>
      <c r="O12" s="48">
        <v>305.0</v>
      </c>
      <c r="P12" s="48">
        <v>133.0</v>
      </c>
      <c r="Q12" s="48">
        <v>53.0</v>
      </c>
      <c r="R12" s="48">
        <v>2.0</v>
      </c>
      <c r="S12" s="50" t="s">
        <v>166</v>
      </c>
      <c r="T12" s="52" t="s">
        <v>167</v>
      </c>
      <c r="U12" s="52" t="s">
        <v>346</v>
      </c>
      <c r="V12" s="51">
        <v>2.0</v>
      </c>
      <c r="W12" s="48" t="s">
        <v>194</v>
      </c>
      <c r="X12" s="50" t="s">
        <v>166</v>
      </c>
      <c r="Y12" s="51" t="s">
        <v>166</v>
      </c>
      <c r="Z12" s="48" t="s">
        <v>166</v>
      </c>
      <c r="AA12" s="48" t="s">
        <v>166</v>
      </c>
      <c r="AB12" s="48" t="s">
        <v>166</v>
      </c>
      <c r="AC12" s="48">
        <v>2.0</v>
      </c>
      <c r="AD12" s="48" t="s">
        <v>166</v>
      </c>
      <c r="AE12" s="54" t="s">
        <v>166</v>
      </c>
      <c r="AF12" s="55" t="s">
        <v>166</v>
      </c>
      <c r="AG12" s="51" t="s">
        <v>166</v>
      </c>
      <c r="AH12" s="48">
        <v>2.0</v>
      </c>
      <c r="AI12" s="48" t="s">
        <v>166</v>
      </c>
      <c r="AJ12" s="50" t="s">
        <v>166</v>
      </c>
      <c r="AK12" s="56">
        <v>368.0</v>
      </c>
      <c r="AL12" s="57">
        <f>AK12*Sheets!$E$3</f>
        <v>50.727144</v>
      </c>
      <c r="AM12" s="58"/>
      <c r="AN12" s="59"/>
      <c r="AO12" s="60"/>
      <c r="AP12" s="65"/>
      <c r="AQ12" s="66"/>
    </row>
    <row r="13">
      <c r="A13" s="82" t="s">
        <v>212</v>
      </c>
      <c r="B13" s="62" t="s">
        <v>857</v>
      </c>
      <c r="C13" s="47" t="s">
        <v>248</v>
      </c>
      <c r="D13" s="74">
        <v>320.0</v>
      </c>
      <c r="E13" s="74">
        <v>134.0</v>
      </c>
      <c r="F13" s="74">
        <v>240.0</v>
      </c>
      <c r="G13" s="49">
        <f t="shared" si="1"/>
        <v>10.2912</v>
      </c>
      <c r="H13" s="49">
        <f t="shared" si="2"/>
        <v>428.8</v>
      </c>
      <c r="I13" s="74">
        <v>2.1</v>
      </c>
      <c r="J13" s="48" t="s">
        <v>164</v>
      </c>
      <c r="K13" s="75" t="s">
        <v>252</v>
      </c>
      <c r="L13" s="76">
        <v>65.0</v>
      </c>
      <c r="M13" s="50" t="s">
        <v>619</v>
      </c>
      <c r="N13" s="77" t="s">
        <v>174</v>
      </c>
      <c r="O13" s="104">
        <v>314.5</v>
      </c>
      <c r="P13" s="74">
        <v>133.0</v>
      </c>
      <c r="Q13" s="89">
        <v>59.0</v>
      </c>
      <c r="R13" s="105">
        <v>2.0</v>
      </c>
      <c r="S13" s="50" t="s">
        <v>166</v>
      </c>
      <c r="T13" s="52" t="s">
        <v>167</v>
      </c>
      <c r="U13" s="53" t="s">
        <v>324</v>
      </c>
      <c r="V13" s="51" t="s">
        <v>412</v>
      </c>
      <c r="W13" s="74" t="s">
        <v>166</v>
      </c>
      <c r="X13" s="75" t="s">
        <v>166</v>
      </c>
      <c r="Y13" s="51" t="s">
        <v>166</v>
      </c>
      <c r="Z13" s="74" t="s">
        <v>166</v>
      </c>
      <c r="AA13" s="74" t="s">
        <v>166</v>
      </c>
      <c r="AB13" s="48" t="s">
        <v>166</v>
      </c>
      <c r="AC13" s="48" t="s">
        <v>412</v>
      </c>
      <c r="AD13" s="48" t="s">
        <v>166</v>
      </c>
      <c r="AE13" s="54" t="s">
        <v>166</v>
      </c>
      <c r="AF13" s="55" t="s">
        <v>166</v>
      </c>
      <c r="AG13" s="51" t="s">
        <v>166</v>
      </c>
      <c r="AH13" s="48" t="s">
        <v>166</v>
      </c>
      <c r="AI13" s="48" t="s">
        <v>166</v>
      </c>
      <c r="AJ13" s="50" t="s">
        <v>166</v>
      </c>
      <c r="AK13" s="56">
        <v>900.0</v>
      </c>
      <c r="AL13" s="57">
        <v>170.0</v>
      </c>
      <c r="AM13" s="68"/>
      <c r="AN13" s="64" t="s">
        <v>214</v>
      </c>
      <c r="AO13" s="60"/>
      <c r="AP13" s="65">
        <v>44901.93766186343</v>
      </c>
      <c r="AQ13" s="66"/>
    </row>
    <row r="14">
      <c r="A14" s="82" t="str">
        <f>HYPERLINK("https://www.in-win.com/","InWin")</f>
        <v>InWin</v>
      </c>
      <c r="B14" s="62" t="s">
        <v>858</v>
      </c>
      <c r="C14" s="63" t="s">
        <v>262</v>
      </c>
      <c r="D14" s="48">
        <v>373.0</v>
      </c>
      <c r="E14" s="48">
        <v>103.0</v>
      </c>
      <c r="F14" s="48">
        <v>268.0</v>
      </c>
      <c r="G14" s="49">
        <f t="shared" si="1"/>
        <v>10.296292</v>
      </c>
      <c r="H14" s="49">
        <f t="shared" si="2"/>
        <v>384.19</v>
      </c>
      <c r="I14" s="48" t="s">
        <v>170</v>
      </c>
      <c r="J14" s="48" t="s">
        <v>171</v>
      </c>
      <c r="K14" s="50" t="s">
        <v>171</v>
      </c>
      <c r="L14" s="51">
        <v>75.0</v>
      </c>
      <c r="M14" s="50" t="s">
        <v>166</v>
      </c>
      <c r="N14" s="51" t="s">
        <v>166</v>
      </c>
      <c r="O14" s="48">
        <v>186.0</v>
      </c>
      <c r="P14" s="48">
        <v>85.0</v>
      </c>
      <c r="Q14" s="48">
        <v>20.0</v>
      </c>
      <c r="R14" s="48" t="s">
        <v>166</v>
      </c>
      <c r="S14" s="50">
        <v>1.0</v>
      </c>
      <c r="T14" s="52" t="s">
        <v>167</v>
      </c>
      <c r="U14" s="52" t="s">
        <v>372</v>
      </c>
      <c r="V14" s="51">
        <v>2.0</v>
      </c>
      <c r="W14" s="48" t="s">
        <v>166</v>
      </c>
      <c r="X14" s="50">
        <v>1.0</v>
      </c>
      <c r="Y14" s="51" t="s">
        <v>166</v>
      </c>
      <c r="Z14" s="48" t="s">
        <v>166</v>
      </c>
      <c r="AA14" s="48">
        <v>1.0</v>
      </c>
      <c r="AB14" s="48" t="s">
        <v>166</v>
      </c>
      <c r="AC14" s="48" t="s">
        <v>166</v>
      </c>
      <c r="AD14" s="48" t="s">
        <v>166</v>
      </c>
      <c r="AE14" s="54" t="s">
        <v>166</v>
      </c>
      <c r="AF14" s="55" t="s">
        <v>166</v>
      </c>
      <c r="AG14" s="51" t="s">
        <v>193</v>
      </c>
      <c r="AH14" s="48" t="s">
        <v>193</v>
      </c>
      <c r="AI14" s="48" t="s">
        <v>166</v>
      </c>
      <c r="AJ14" s="50" t="s">
        <v>174</v>
      </c>
      <c r="AK14" s="56" t="s">
        <v>166</v>
      </c>
      <c r="AL14" s="57" t="s">
        <v>170</v>
      </c>
      <c r="AM14" s="58"/>
      <c r="AN14" s="59"/>
      <c r="AO14" s="60"/>
      <c r="AP14" s="65">
        <v>44467.827833414354</v>
      </c>
      <c r="AQ14" s="66"/>
    </row>
    <row r="15">
      <c r="A15" s="46" t="s">
        <v>451</v>
      </c>
      <c r="B15" s="46" t="s">
        <v>859</v>
      </c>
      <c r="C15" s="63" t="s">
        <v>248</v>
      </c>
      <c r="D15" s="48">
        <v>190.0</v>
      </c>
      <c r="E15" s="48">
        <v>155.0</v>
      </c>
      <c r="F15" s="48">
        <v>350.0</v>
      </c>
      <c r="G15" s="98">
        <f t="shared" si="1"/>
        <v>10.3075</v>
      </c>
      <c r="H15" s="49">
        <f t="shared" si="2"/>
        <v>294.5</v>
      </c>
      <c r="I15" s="48">
        <v>3.5</v>
      </c>
      <c r="J15" s="48" t="s">
        <v>164</v>
      </c>
      <c r="K15" s="50" t="s">
        <v>860</v>
      </c>
      <c r="L15" s="51">
        <v>74.0</v>
      </c>
      <c r="M15" s="50" t="s">
        <v>619</v>
      </c>
      <c r="N15" s="51" t="s">
        <v>174</v>
      </c>
      <c r="O15" s="48">
        <v>305.0</v>
      </c>
      <c r="P15" s="48">
        <v>146.0</v>
      </c>
      <c r="Q15" s="48">
        <v>62.0</v>
      </c>
      <c r="R15" s="48">
        <v>2.0</v>
      </c>
      <c r="S15" s="50" t="s">
        <v>166</v>
      </c>
      <c r="T15" s="52" t="s">
        <v>167</v>
      </c>
      <c r="U15" s="52" t="s">
        <v>346</v>
      </c>
      <c r="V15" s="51">
        <v>2.0</v>
      </c>
      <c r="W15" s="48" t="s">
        <v>193</v>
      </c>
      <c r="X15" s="50" t="s">
        <v>166</v>
      </c>
      <c r="Y15" s="51" t="s">
        <v>166</v>
      </c>
      <c r="Z15" s="48" t="s">
        <v>166</v>
      </c>
      <c r="AA15" s="48" t="s">
        <v>166</v>
      </c>
      <c r="AB15" s="48" t="s">
        <v>166</v>
      </c>
      <c r="AC15" s="48" t="s">
        <v>193</v>
      </c>
      <c r="AD15" s="48" t="s">
        <v>193</v>
      </c>
      <c r="AE15" s="54" t="s">
        <v>166</v>
      </c>
      <c r="AF15" s="55" t="s">
        <v>166</v>
      </c>
      <c r="AG15" s="51" t="s">
        <v>166</v>
      </c>
      <c r="AH15" s="48" t="s">
        <v>166</v>
      </c>
      <c r="AI15" s="48">
        <v>1.0</v>
      </c>
      <c r="AJ15" s="50" t="s">
        <v>166</v>
      </c>
      <c r="AK15" s="56">
        <v>799.0</v>
      </c>
      <c r="AL15" s="57">
        <f>AK15*Sheets!$E$3</f>
        <v>110.1385545</v>
      </c>
      <c r="AM15" s="68"/>
      <c r="AN15" s="70"/>
      <c r="AO15" s="71"/>
      <c r="AP15" s="72">
        <v>44442.88801599537</v>
      </c>
      <c r="AQ15" s="66"/>
    </row>
    <row r="16">
      <c r="A16" s="69" t="str">
        <f>HYPERLINK("https://metalfish.world.taobao.com/","Metalfish")</f>
        <v>Metalfish</v>
      </c>
      <c r="B16" s="73" t="s">
        <v>861</v>
      </c>
      <c r="C16" s="63" t="s">
        <v>262</v>
      </c>
      <c r="D16" s="48">
        <v>285.0</v>
      </c>
      <c r="E16" s="48">
        <v>125.0</v>
      </c>
      <c r="F16" s="48">
        <v>290.0</v>
      </c>
      <c r="G16" s="49">
        <f t="shared" si="1"/>
        <v>10.33125</v>
      </c>
      <c r="H16" s="49">
        <f t="shared" si="2"/>
        <v>356.25</v>
      </c>
      <c r="I16" s="48" t="s">
        <v>170</v>
      </c>
      <c r="J16" s="48" t="s">
        <v>597</v>
      </c>
      <c r="K16" s="50" t="s">
        <v>164</v>
      </c>
      <c r="L16" s="51">
        <v>60.0</v>
      </c>
      <c r="M16" s="50" t="s">
        <v>166</v>
      </c>
      <c r="N16" s="51" t="s">
        <v>166</v>
      </c>
      <c r="O16" s="48" t="s">
        <v>170</v>
      </c>
      <c r="P16" s="48">
        <v>70.0</v>
      </c>
      <c r="Q16" s="48">
        <v>60.0</v>
      </c>
      <c r="R16" s="48" t="s">
        <v>166</v>
      </c>
      <c r="S16" s="50">
        <v>3.0</v>
      </c>
      <c r="T16" s="52" t="s">
        <v>423</v>
      </c>
      <c r="U16" s="52" t="s">
        <v>168</v>
      </c>
      <c r="V16" s="51">
        <v>2.0</v>
      </c>
      <c r="W16" s="48" t="s">
        <v>166</v>
      </c>
      <c r="X16" s="50" t="s">
        <v>166</v>
      </c>
      <c r="Y16" s="51" t="s">
        <v>166</v>
      </c>
      <c r="Z16" s="48" t="s">
        <v>166</v>
      </c>
      <c r="AA16" s="48" t="s">
        <v>166</v>
      </c>
      <c r="AB16" s="48">
        <v>4.0</v>
      </c>
      <c r="AC16" s="48" t="s">
        <v>166</v>
      </c>
      <c r="AD16" s="48" t="s">
        <v>166</v>
      </c>
      <c r="AE16" s="54" t="s">
        <v>166</v>
      </c>
      <c r="AF16" s="55" t="s">
        <v>166</v>
      </c>
      <c r="AG16" s="51" t="s">
        <v>166</v>
      </c>
      <c r="AH16" s="48">
        <v>1.0</v>
      </c>
      <c r="AI16" s="48" t="s">
        <v>166</v>
      </c>
      <c r="AJ16" s="50" t="s">
        <v>166</v>
      </c>
      <c r="AK16" s="56">
        <v>399.0</v>
      </c>
      <c r="AL16" s="57">
        <f>AK16*Sheets!$E$3</f>
        <v>55.0003545</v>
      </c>
      <c r="AM16" s="68"/>
      <c r="AN16" s="70"/>
      <c r="AO16" s="71" t="s">
        <v>181</v>
      </c>
      <c r="AP16" s="72">
        <v>44887.93880528935</v>
      </c>
      <c r="AQ16" s="66"/>
    </row>
    <row r="17">
      <c r="A17" s="61" t="s">
        <v>209</v>
      </c>
      <c r="B17" s="62" t="s">
        <v>862</v>
      </c>
      <c r="C17" s="63" t="s">
        <v>225</v>
      </c>
      <c r="D17" s="48">
        <v>285.0</v>
      </c>
      <c r="E17" s="48">
        <v>330.0</v>
      </c>
      <c r="F17" s="48">
        <v>110.0</v>
      </c>
      <c r="G17" s="49">
        <f t="shared" si="1"/>
        <v>10.3455</v>
      </c>
      <c r="H17" s="49">
        <f t="shared" si="2"/>
        <v>940.5</v>
      </c>
      <c r="I17" s="48">
        <v>2.48</v>
      </c>
      <c r="J17" s="48" t="s">
        <v>171</v>
      </c>
      <c r="K17" s="50" t="s">
        <v>211</v>
      </c>
      <c r="L17" s="51">
        <v>90.0</v>
      </c>
      <c r="M17" s="50" t="s">
        <v>166</v>
      </c>
      <c r="N17" s="51" t="s">
        <v>166</v>
      </c>
      <c r="O17" s="48">
        <v>272.0</v>
      </c>
      <c r="P17" s="48">
        <v>96.0</v>
      </c>
      <c r="Q17" s="48">
        <v>80.0</v>
      </c>
      <c r="R17" s="48" t="s">
        <v>166</v>
      </c>
      <c r="S17" s="50">
        <v>4.0</v>
      </c>
      <c r="T17" s="52" t="s">
        <v>423</v>
      </c>
      <c r="U17" s="52" t="s">
        <v>372</v>
      </c>
      <c r="V17" s="51" t="s">
        <v>207</v>
      </c>
      <c r="W17" s="48" t="s">
        <v>194</v>
      </c>
      <c r="X17" s="50" t="s">
        <v>208</v>
      </c>
      <c r="Y17" s="51" t="s">
        <v>166</v>
      </c>
      <c r="Z17" s="48" t="s">
        <v>194</v>
      </c>
      <c r="AA17" s="48" t="s">
        <v>207</v>
      </c>
      <c r="AB17" s="48" t="s">
        <v>166</v>
      </c>
      <c r="AC17" s="48" t="s">
        <v>166</v>
      </c>
      <c r="AD17" s="48" t="s">
        <v>166</v>
      </c>
      <c r="AE17" s="54" t="s">
        <v>166</v>
      </c>
      <c r="AF17" s="55" t="s">
        <v>166</v>
      </c>
      <c r="AG17" s="51">
        <v>2.0</v>
      </c>
      <c r="AH17" s="48">
        <v>2.0</v>
      </c>
      <c r="AI17" s="48" t="s">
        <v>166</v>
      </c>
      <c r="AJ17" s="50" t="s">
        <v>174</v>
      </c>
      <c r="AK17" s="56" t="s">
        <v>166</v>
      </c>
      <c r="AL17" s="57">
        <v>79.99</v>
      </c>
      <c r="AM17" s="58"/>
      <c r="AN17" s="59"/>
      <c r="AO17" s="60"/>
      <c r="AP17" s="65">
        <v>45061.012076921295</v>
      </c>
      <c r="AQ17" s="66"/>
    </row>
    <row r="18">
      <c r="A18" s="82" t="str">
        <f>HYPERLINK("http://lazer3d.com/","Lazer3D")</f>
        <v>Lazer3D</v>
      </c>
      <c r="B18" s="67" t="s">
        <v>863</v>
      </c>
      <c r="C18" s="63" t="s">
        <v>262</v>
      </c>
      <c r="D18" s="48">
        <v>290.0</v>
      </c>
      <c r="E18" s="48">
        <v>226.0</v>
      </c>
      <c r="F18" s="48">
        <v>158.0</v>
      </c>
      <c r="G18" s="49">
        <f t="shared" si="1"/>
        <v>10.35532</v>
      </c>
      <c r="H18" s="49">
        <f t="shared" si="2"/>
        <v>655.4</v>
      </c>
      <c r="I18" s="48" t="s">
        <v>170</v>
      </c>
      <c r="J18" s="48" t="s">
        <v>245</v>
      </c>
      <c r="K18" s="50" t="s">
        <v>558</v>
      </c>
      <c r="L18" s="51">
        <v>135.0</v>
      </c>
      <c r="M18" s="50">
        <v>120.0</v>
      </c>
      <c r="N18" s="51" t="s">
        <v>166</v>
      </c>
      <c r="O18" s="48">
        <v>280.0</v>
      </c>
      <c r="P18" s="48">
        <v>131.0</v>
      </c>
      <c r="Q18" s="48">
        <v>40.0</v>
      </c>
      <c r="R18" s="48">
        <v>2.0</v>
      </c>
      <c r="S18" s="50" t="s">
        <v>166</v>
      </c>
      <c r="T18" s="52" t="s">
        <v>167</v>
      </c>
      <c r="U18" s="52" t="s">
        <v>324</v>
      </c>
      <c r="V18" s="51">
        <v>2.0</v>
      </c>
      <c r="W18" s="48" t="s">
        <v>166</v>
      </c>
      <c r="X18" s="50" t="s">
        <v>166</v>
      </c>
      <c r="Y18" s="51" t="s">
        <v>166</v>
      </c>
      <c r="Z18" s="48" t="s">
        <v>166</v>
      </c>
      <c r="AA18" s="48">
        <v>1.0</v>
      </c>
      <c r="AB18" s="48">
        <v>1.0</v>
      </c>
      <c r="AC18" s="48">
        <v>1.0</v>
      </c>
      <c r="AD18" s="48">
        <v>1.0</v>
      </c>
      <c r="AE18" s="54" t="s">
        <v>166</v>
      </c>
      <c r="AF18" s="55" t="s">
        <v>166</v>
      </c>
      <c r="AG18" s="51" t="s">
        <v>166</v>
      </c>
      <c r="AH18" s="48">
        <v>2.0</v>
      </c>
      <c r="AI18" s="48" t="s">
        <v>166</v>
      </c>
      <c r="AJ18" s="50" t="s">
        <v>174</v>
      </c>
      <c r="AK18" s="56" t="s">
        <v>166</v>
      </c>
      <c r="AL18" s="57">
        <f>158.33*1.31</f>
        <v>207.4123</v>
      </c>
      <c r="AM18" s="64" t="str">
        <f>HYPERLINK("https://smallformfactor.net/forum/threads/lazer3d-lz-xtd-alternative-designs.766/","Link")</f>
        <v>Link</v>
      </c>
      <c r="AN18" s="59"/>
      <c r="AO18" s="71" t="s">
        <v>181</v>
      </c>
      <c r="AP18" s="65">
        <v>45446.4891265162</v>
      </c>
      <c r="AQ18" s="66"/>
    </row>
    <row r="19">
      <c r="A19" s="46" t="s">
        <v>451</v>
      </c>
      <c r="B19" s="73" t="s">
        <v>485</v>
      </c>
      <c r="C19" s="63" t="s">
        <v>248</v>
      </c>
      <c r="D19" s="48">
        <v>335.0</v>
      </c>
      <c r="E19" s="48">
        <v>155.0</v>
      </c>
      <c r="F19" s="48">
        <v>200.0</v>
      </c>
      <c r="G19" s="98">
        <f t="shared" si="1"/>
        <v>10.385</v>
      </c>
      <c r="H19" s="49">
        <f t="shared" si="2"/>
        <v>519.25</v>
      </c>
      <c r="I19" s="48">
        <v>2.3</v>
      </c>
      <c r="J19" s="48" t="s">
        <v>235</v>
      </c>
      <c r="K19" s="50" t="s">
        <v>864</v>
      </c>
      <c r="L19" s="51">
        <v>76.0</v>
      </c>
      <c r="M19" s="50" t="s">
        <v>865</v>
      </c>
      <c r="N19" s="51" t="s">
        <v>174</v>
      </c>
      <c r="O19" s="48">
        <v>330.0</v>
      </c>
      <c r="P19" s="48">
        <v>140.0</v>
      </c>
      <c r="Q19" s="48">
        <v>50.0</v>
      </c>
      <c r="R19" s="48">
        <v>2.0</v>
      </c>
      <c r="S19" s="50" t="s">
        <v>166</v>
      </c>
      <c r="T19" s="52" t="s">
        <v>167</v>
      </c>
      <c r="U19" s="52" t="s">
        <v>346</v>
      </c>
      <c r="V19" s="51">
        <v>2.0</v>
      </c>
      <c r="W19" s="48" t="s">
        <v>426</v>
      </c>
      <c r="X19" s="50" t="s">
        <v>166</v>
      </c>
      <c r="Y19" s="51" t="s">
        <v>166</v>
      </c>
      <c r="Z19" s="48" t="s">
        <v>166</v>
      </c>
      <c r="AA19" s="48" t="s">
        <v>166</v>
      </c>
      <c r="AB19" s="48" t="s">
        <v>166</v>
      </c>
      <c r="AC19" s="48" t="s">
        <v>193</v>
      </c>
      <c r="AD19" s="48" t="s">
        <v>193</v>
      </c>
      <c r="AE19" s="54" t="s">
        <v>166</v>
      </c>
      <c r="AF19" s="55" t="s">
        <v>166</v>
      </c>
      <c r="AG19" s="51" t="s">
        <v>166</v>
      </c>
      <c r="AH19" s="48" t="s">
        <v>166</v>
      </c>
      <c r="AI19" s="48">
        <v>1.0</v>
      </c>
      <c r="AJ19" s="50" t="s">
        <v>166</v>
      </c>
      <c r="AK19" s="56">
        <v>469.0</v>
      </c>
      <c r="AL19" s="57">
        <f>AK19*Sheets!$E$3</f>
        <v>64.6495395</v>
      </c>
      <c r="AM19" s="68"/>
      <c r="AN19" s="70"/>
      <c r="AO19" s="71" t="s">
        <v>181</v>
      </c>
      <c r="AP19" s="72">
        <v>45070.40896534722</v>
      </c>
      <c r="AQ19" s="66"/>
    </row>
    <row r="20">
      <c r="A20" s="46" t="s">
        <v>451</v>
      </c>
      <c r="B20" s="73" t="s">
        <v>866</v>
      </c>
      <c r="C20" s="63" t="s">
        <v>248</v>
      </c>
      <c r="D20" s="48">
        <v>335.0</v>
      </c>
      <c r="E20" s="48">
        <v>155.0</v>
      </c>
      <c r="F20" s="48">
        <v>200.0</v>
      </c>
      <c r="G20" s="98">
        <f t="shared" si="1"/>
        <v>10.385</v>
      </c>
      <c r="H20" s="49">
        <f t="shared" si="2"/>
        <v>519.25</v>
      </c>
      <c r="I20" s="48">
        <v>2.3</v>
      </c>
      <c r="J20" s="48" t="s">
        <v>235</v>
      </c>
      <c r="K20" s="50" t="s">
        <v>864</v>
      </c>
      <c r="L20" s="51">
        <v>68.0</v>
      </c>
      <c r="M20" s="50" t="s">
        <v>865</v>
      </c>
      <c r="N20" s="51" t="s">
        <v>174</v>
      </c>
      <c r="O20" s="48">
        <v>330.0</v>
      </c>
      <c r="P20" s="48">
        <v>140.0</v>
      </c>
      <c r="Q20" s="48">
        <v>58.0</v>
      </c>
      <c r="R20" s="48">
        <v>2.0</v>
      </c>
      <c r="S20" s="50" t="s">
        <v>166</v>
      </c>
      <c r="T20" s="52" t="s">
        <v>167</v>
      </c>
      <c r="U20" s="52" t="s">
        <v>346</v>
      </c>
      <c r="V20" s="51">
        <v>2.0</v>
      </c>
      <c r="W20" s="48" t="s">
        <v>426</v>
      </c>
      <c r="X20" s="50" t="s">
        <v>166</v>
      </c>
      <c r="Y20" s="51" t="s">
        <v>166</v>
      </c>
      <c r="Z20" s="48" t="s">
        <v>166</v>
      </c>
      <c r="AA20" s="48" t="s">
        <v>166</v>
      </c>
      <c r="AB20" s="48" t="s">
        <v>166</v>
      </c>
      <c r="AC20" s="48" t="s">
        <v>193</v>
      </c>
      <c r="AD20" s="48" t="s">
        <v>193</v>
      </c>
      <c r="AE20" s="54" t="s">
        <v>166</v>
      </c>
      <c r="AF20" s="55" t="s">
        <v>166</v>
      </c>
      <c r="AG20" s="51" t="s">
        <v>166</v>
      </c>
      <c r="AH20" s="48" t="s">
        <v>166</v>
      </c>
      <c r="AI20" s="48" t="s">
        <v>166</v>
      </c>
      <c r="AJ20" s="50" t="s">
        <v>166</v>
      </c>
      <c r="AK20" s="56">
        <v>499.0</v>
      </c>
      <c r="AL20" s="57">
        <f>AK20*Sheets!$E$3</f>
        <v>68.7849045</v>
      </c>
      <c r="AM20" s="68"/>
      <c r="AN20" s="70"/>
      <c r="AO20" s="71" t="s">
        <v>181</v>
      </c>
      <c r="AP20" s="71"/>
      <c r="AQ20" s="66"/>
    </row>
    <row r="21">
      <c r="A21" s="46" t="s">
        <v>451</v>
      </c>
      <c r="B21" s="73" t="s">
        <v>867</v>
      </c>
      <c r="C21" s="63" t="s">
        <v>248</v>
      </c>
      <c r="D21" s="48">
        <v>335.0</v>
      </c>
      <c r="E21" s="48">
        <v>155.0</v>
      </c>
      <c r="F21" s="48">
        <v>200.0</v>
      </c>
      <c r="G21" s="98">
        <f t="shared" si="1"/>
        <v>10.385</v>
      </c>
      <c r="H21" s="49">
        <f t="shared" si="2"/>
        <v>519.25</v>
      </c>
      <c r="I21" s="48">
        <v>2.3</v>
      </c>
      <c r="J21" s="48" t="s">
        <v>235</v>
      </c>
      <c r="K21" s="50" t="s">
        <v>864</v>
      </c>
      <c r="L21" s="51">
        <v>76.0</v>
      </c>
      <c r="M21" s="50" t="s">
        <v>865</v>
      </c>
      <c r="N21" s="51" t="s">
        <v>174</v>
      </c>
      <c r="O21" s="48">
        <v>330.0</v>
      </c>
      <c r="P21" s="48">
        <v>140.0</v>
      </c>
      <c r="Q21" s="48">
        <v>50.0</v>
      </c>
      <c r="R21" s="48">
        <v>2.0</v>
      </c>
      <c r="S21" s="50" t="s">
        <v>166</v>
      </c>
      <c r="T21" s="52" t="s">
        <v>167</v>
      </c>
      <c r="U21" s="52" t="s">
        <v>599</v>
      </c>
      <c r="V21" s="51">
        <v>2.0</v>
      </c>
      <c r="W21" s="48" t="s">
        <v>426</v>
      </c>
      <c r="X21" s="50" t="s">
        <v>166</v>
      </c>
      <c r="Y21" s="51" t="s">
        <v>166</v>
      </c>
      <c r="Z21" s="48" t="s">
        <v>166</v>
      </c>
      <c r="AA21" s="48" t="s">
        <v>166</v>
      </c>
      <c r="AB21" s="48" t="s">
        <v>166</v>
      </c>
      <c r="AC21" s="48" t="s">
        <v>193</v>
      </c>
      <c r="AD21" s="48" t="s">
        <v>193</v>
      </c>
      <c r="AE21" s="54" t="s">
        <v>166</v>
      </c>
      <c r="AF21" s="55" t="s">
        <v>166</v>
      </c>
      <c r="AG21" s="51" t="s">
        <v>166</v>
      </c>
      <c r="AH21" s="48" t="s">
        <v>166</v>
      </c>
      <c r="AI21" s="48" t="s">
        <v>166</v>
      </c>
      <c r="AJ21" s="50" t="s">
        <v>166</v>
      </c>
      <c r="AK21" s="56">
        <v>499.0</v>
      </c>
      <c r="AL21" s="57">
        <f>AK21*Sheets!$E$3</f>
        <v>68.7849045</v>
      </c>
      <c r="AM21" s="68"/>
      <c r="AN21" s="70"/>
      <c r="AO21" s="71" t="s">
        <v>181</v>
      </c>
      <c r="AP21" s="72">
        <v>45070.40920517361</v>
      </c>
      <c r="AQ21" s="66"/>
    </row>
    <row r="22">
      <c r="A22" s="82" t="str">
        <f>HYPERLINK("https://www.fractal-design.com/","Fractal Design")</f>
        <v>Fractal Design</v>
      </c>
      <c r="B22" s="88" t="s">
        <v>868</v>
      </c>
      <c r="C22" s="63" t="s">
        <v>248</v>
      </c>
      <c r="D22" s="48">
        <v>343.0</v>
      </c>
      <c r="E22" s="48">
        <v>153.0</v>
      </c>
      <c r="F22" s="48">
        <v>198.0</v>
      </c>
      <c r="G22" s="49">
        <f t="shared" si="1"/>
        <v>10.390842</v>
      </c>
      <c r="H22" s="49">
        <f t="shared" si="2"/>
        <v>524.79</v>
      </c>
      <c r="I22" s="48">
        <v>3.1</v>
      </c>
      <c r="J22" s="48" t="s">
        <v>164</v>
      </c>
      <c r="K22" s="50" t="s">
        <v>869</v>
      </c>
      <c r="L22" s="51">
        <v>77.0</v>
      </c>
      <c r="M22" s="50">
        <v>120.0</v>
      </c>
      <c r="N22" s="51" t="s">
        <v>174</v>
      </c>
      <c r="O22" s="48">
        <v>322.0</v>
      </c>
      <c r="P22" s="48">
        <v>131.0</v>
      </c>
      <c r="Q22" s="48">
        <v>72.0</v>
      </c>
      <c r="R22" s="48">
        <v>3.0</v>
      </c>
      <c r="S22" s="50" t="s">
        <v>166</v>
      </c>
      <c r="T22" s="52" t="s">
        <v>167</v>
      </c>
      <c r="U22" s="52" t="s">
        <v>346</v>
      </c>
      <c r="V22" s="51">
        <v>2.0</v>
      </c>
      <c r="W22" s="48" t="s">
        <v>166</v>
      </c>
      <c r="X22" s="50" t="s">
        <v>166</v>
      </c>
      <c r="Y22" s="51" t="s">
        <v>166</v>
      </c>
      <c r="Z22" s="48" t="s">
        <v>166</v>
      </c>
      <c r="AA22" s="48" t="s">
        <v>166</v>
      </c>
      <c r="AB22" s="48" t="s">
        <v>166</v>
      </c>
      <c r="AC22" s="48">
        <v>1.0</v>
      </c>
      <c r="AD22" s="48" t="s">
        <v>166</v>
      </c>
      <c r="AE22" s="54" t="s">
        <v>166</v>
      </c>
      <c r="AF22" s="55" t="s">
        <v>166</v>
      </c>
      <c r="AG22" s="51" t="s">
        <v>166</v>
      </c>
      <c r="AH22" s="48">
        <v>1.0</v>
      </c>
      <c r="AI22" s="48">
        <v>1.0</v>
      </c>
      <c r="AJ22" s="50" t="s">
        <v>166</v>
      </c>
      <c r="AK22" s="56" t="s">
        <v>166</v>
      </c>
      <c r="AL22" s="57">
        <v>179.99</v>
      </c>
      <c r="AM22" s="58"/>
      <c r="AN22" s="64"/>
      <c r="AO22" s="60"/>
      <c r="AP22" s="65">
        <v>45077.6977787037</v>
      </c>
      <c r="AQ22" s="66"/>
    </row>
    <row r="23">
      <c r="A23" s="83" t="str">
        <f>HYPERLINK("https://www.sfftime.com/","SFFtime")</f>
        <v>SFFtime</v>
      </c>
      <c r="B23" s="62" t="s">
        <v>870</v>
      </c>
      <c r="C23" s="63" t="s">
        <v>225</v>
      </c>
      <c r="D23" s="48">
        <v>377.5</v>
      </c>
      <c r="E23" s="48">
        <v>81.0</v>
      </c>
      <c r="F23" s="48">
        <v>340.0</v>
      </c>
      <c r="G23" s="49">
        <f t="shared" si="1"/>
        <v>10.39635</v>
      </c>
      <c r="H23" s="49">
        <f t="shared" si="2"/>
        <v>305.775</v>
      </c>
      <c r="I23" s="48">
        <v>1.7</v>
      </c>
      <c r="J23" s="48" t="s">
        <v>164</v>
      </c>
      <c r="K23" s="50" t="s">
        <v>164</v>
      </c>
      <c r="L23" s="51">
        <v>59.0</v>
      </c>
      <c r="M23" s="50">
        <v>120.0</v>
      </c>
      <c r="N23" s="51" t="s">
        <v>174</v>
      </c>
      <c r="O23" s="48">
        <v>370.0</v>
      </c>
      <c r="P23" s="48">
        <v>140.0</v>
      </c>
      <c r="Q23" s="48">
        <v>62.0</v>
      </c>
      <c r="R23" s="48">
        <v>3.0</v>
      </c>
      <c r="S23" s="50" t="s">
        <v>166</v>
      </c>
      <c r="T23" s="52" t="s">
        <v>852</v>
      </c>
      <c r="U23" s="52" t="s">
        <v>346</v>
      </c>
      <c r="V23" s="51" t="s">
        <v>682</v>
      </c>
      <c r="W23" s="48" t="s">
        <v>194</v>
      </c>
      <c r="X23" s="50" t="s">
        <v>166</v>
      </c>
      <c r="Y23" s="51" t="s">
        <v>166</v>
      </c>
      <c r="Z23" s="48" t="s">
        <v>166</v>
      </c>
      <c r="AA23" s="48" t="s">
        <v>166</v>
      </c>
      <c r="AB23" s="48" t="s">
        <v>166</v>
      </c>
      <c r="AC23" s="48" t="s">
        <v>194</v>
      </c>
      <c r="AD23" s="48" t="s">
        <v>166</v>
      </c>
      <c r="AE23" s="54" t="s">
        <v>166</v>
      </c>
      <c r="AF23" s="55" t="s">
        <v>166</v>
      </c>
      <c r="AG23" s="51" t="s">
        <v>166</v>
      </c>
      <c r="AH23" s="48" t="s">
        <v>166</v>
      </c>
      <c r="AI23" s="48">
        <v>1.0</v>
      </c>
      <c r="AJ23" s="50" t="s">
        <v>166</v>
      </c>
      <c r="AK23" s="56" t="s">
        <v>166</v>
      </c>
      <c r="AL23" s="57">
        <v>169.0</v>
      </c>
      <c r="AM23" s="64" t="s">
        <v>214</v>
      </c>
      <c r="AN23" s="64"/>
      <c r="AO23" s="60"/>
      <c r="AP23" s="65">
        <v>44734.619452430554</v>
      </c>
      <c r="AQ23" s="66"/>
    </row>
    <row r="24">
      <c r="A24" s="69" t="str">
        <f>HYPERLINK("https://shop70176301.world.taobao.com/","Dream Case")</f>
        <v>Dream Case</v>
      </c>
      <c r="B24" s="73" t="s">
        <v>871</v>
      </c>
      <c r="C24" s="63" t="s">
        <v>248</v>
      </c>
      <c r="D24" s="48">
        <v>310.0</v>
      </c>
      <c r="E24" s="48">
        <v>140.0</v>
      </c>
      <c r="F24" s="48">
        <v>240.0</v>
      </c>
      <c r="G24" s="49">
        <f t="shared" si="1"/>
        <v>10.416</v>
      </c>
      <c r="H24" s="49">
        <f t="shared" si="2"/>
        <v>434</v>
      </c>
      <c r="I24" s="48" t="s">
        <v>170</v>
      </c>
      <c r="J24" s="48" t="s">
        <v>171</v>
      </c>
      <c r="K24" s="50" t="s">
        <v>171</v>
      </c>
      <c r="L24" s="51">
        <v>62.0</v>
      </c>
      <c r="M24" s="50" t="s">
        <v>547</v>
      </c>
      <c r="N24" s="51" t="s">
        <v>174</v>
      </c>
      <c r="O24" s="48">
        <v>310.0</v>
      </c>
      <c r="P24" s="48">
        <v>160.0</v>
      </c>
      <c r="Q24" s="48">
        <v>58.0</v>
      </c>
      <c r="R24" s="48">
        <v>2.0</v>
      </c>
      <c r="S24" s="50" t="s">
        <v>166</v>
      </c>
      <c r="T24" s="52" t="s">
        <v>227</v>
      </c>
      <c r="U24" s="52" t="s">
        <v>346</v>
      </c>
      <c r="V24" s="51">
        <v>2.0</v>
      </c>
      <c r="W24" s="48" t="s">
        <v>166</v>
      </c>
      <c r="X24" s="50" t="s">
        <v>166</v>
      </c>
      <c r="Y24" s="51" t="s">
        <v>166</v>
      </c>
      <c r="Z24" s="48" t="s">
        <v>166</v>
      </c>
      <c r="AA24" s="48" t="s">
        <v>166</v>
      </c>
      <c r="AB24" s="48" t="s">
        <v>166</v>
      </c>
      <c r="AC24" s="48">
        <v>2.0</v>
      </c>
      <c r="AD24" s="48" t="s">
        <v>166</v>
      </c>
      <c r="AE24" s="54" t="s">
        <v>166</v>
      </c>
      <c r="AF24" s="55" t="s">
        <v>166</v>
      </c>
      <c r="AG24" s="51" t="s">
        <v>166</v>
      </c>
      <c r="AH24" s="48" t="s">
        <v>166</v>
      </c>
      <c r="AI24" s="48" t="s">
        <v>166</v>
      </c>
      <c r="AJ24" s="50" t="s">
        <v>166</v>
      </c>
      <c r="AK24" s="56">
        <v>268.0</v>
      </c>
      <c r="AL24" s="57">
        <f>AK24*Sheets!$E$3</f>
        <v>36.942594</v>
      </c>
      <c r="AM24" s="58"/>
      <c r="AN24" s="59"/>
      <c r="AO24" s="60" t="s">
        <v>181</v>
      </c>
      <c r="AP24" s="65">
        <v>44737.67580275463</v>
      </c>
      <c r="AQ24" s="66"/>
    </row>
    <row r="25">
      <c r="A25" s="69" t="str">
        <f t="shared" ref="A25:A26" si="3">HYPERLINK("https://shop162335681.world.taobao.com/","柏越科技")</f>
        <v>柏越科技</v>
      </c>
      <c r="B25" s="73" t="s">
        <v>872</v>
      </c>
      <c r="C25" s="63" t="s">
        <v>248</v>
      </c>
      <c r="D25" s="48">
        <v>329.0</v>
      </c>
      <c r="E25" s="48">
        <v>132.0</v>
      </c>
      <c r="F25" s="48">
        <v>240.0</v>
      </c>
      <c r="G25" s="49">
        <f t="shared" si="1"/>
        <v>10.42272</v>
      </c>
      <c r="H25" s="49">
        <f t="shared" si="2"/>
        <v>434.28</v>
      </c>
      <c r="I25" s="48" t="s">
        <v>170</v>
      </c>
      <c r="J25" s="48" t="s">
        <v>274</v>
      </c>
      <c r="K25" s="50" t="s">
        <v>164</v>
      </c>
      <c r="L25" s="51">
        <v>65.0</v>
      </c>
      <c r="M25" s="50">
        <v>120.0</v>
      </c>
      <c r="N25" s="51" t="s">
        <v>174</v>
      </c>
      <c r="O25" s="48">
        <v>325.0</v>
      </c>
      <c r="P25" s="48" t="s">
        <v>170</v>
      </c>
      <c r="Q25" s="48">
        <v>40.0</v>
      </c>
      <c r="R25" s="48">
        <v>2.0</v>
      </c>
      <c r="S25" s="50" t="s">
        <v>166</v>
      </c>
      <c r="T25" s="52" t="s">
        <v>167</v>
      </c>
      <c r="U25" s="52" t="s">
        <v>186</v>
      </c>
      <c r="V25" s="51">
        <v>6.0</v>
      </c>
      <c r="W25" s="48" t="s">
        <v>426</v>
      </c>
      <c r="X25" s="50" t="s">
        <v>166</v>
      </c>
      <c r="Y25" s="51" t="s">
        <v>166</v>
      </c>
      <c r="Z25" s="48" t="s">
        <v>166</v>
      </c>
      <c r="AA25" s="48" t="s">
        <v>166</v>
      </c>
      <c r="AB25" s="48" t="s">
        <v>166</v>
      </c>
      <c r="AC25" s="48" t="s">
        <v>435</v>
      </c>
      <c r="AD25" s="48" t="s">
        <v>166</v>
      </c>
      <c r="AE25" s="54" t="s">
        <v>166</v>
      </c>
      <c r="AF25" s="55" t="s">
        <v>166</v>
      </c>
      <c r="AG25" s="51" t="s">
        <v>166</v>
      </c>
      <c r="AH25" s="48">
        <v>2.0</v>
      </c>
      <c r="AI25" s="48" t="s">
        <v>166</v>
      </c>
      <c r="AJ25" s="50" t="s">
        <v>174</v>
      </c>
      <c r="AK25" s="56">
        <v>299.0</v>
      </c>
      <c r="AL25" s="57">
        <f>AK25*Sheets!$E$3</f>
        <v>41.2158045</v>
      </c>
      <c r="AM25" s="68"/>
      <c r="AN25" s="70"/>
      <c r="AO25" s="71" t="s">
        <v>181</v>
      </c>
      <c r="AP25" s="72">
        <v>44442.91125686343</v>
      </c>
      <c r="AQ25" s="66"/>
    </row>
    <row r="26">
      <c r="A26" s="69" t="str">
        <f t="shared" si="3"/>
        <v>柏越科技</v>
      </c>
      <c r="B26" s="46" t="str">
        <f>HYPERLINK("https://item.taobao.com/item.htm?id=599945830908","M99 V3")</f>
        <v>M99 V3</v>
      </c>
      <c r="C26" s="63" t="s">
        <v>248</v>
      </c>
      <c r="D26" s="48">
        <v>280.0</v>
      </c>
      <c r="E26" s="48">
        <v>135.0</v>
      </c>
      <c r="F26" s="48">
        <v>276.0</v>
      </c>
      <c r="G26" s="49">
        <f t="shared" si="1"/>
        <v>10.4328</v>
      </c>
      <c r="H26" s="49">
        <f t="shared" si="2"/>
        <v>378</v>
      </c>
      <c r="I26" s="48">
        <v>3.0</v>
      </c>
      <c r="J26" s="48" t="s">
        <v>274</v>
      </c>
      <c r="K26" s="50" t="s">
        <v>164</v>
      </c>
      <c r="L26" s="51">
        <v>65.0</v>
      </c>
      <c r="M26" s="50" t="s">
        <v>166</v>
      </c>
      <c r="N26" s="51" t="s">
        <v>174</v>
      </c>
      <c r="O26" s="48">
        <v>275.0</v>
      </c>
      <c r="P26" s="48" t="s">
        <v>170</v>
      </c>
      <c r="Q26" s="48">
        <v>50.0</v>
      </c>
      <c r="R26" s="48">
        <v>2.0</v>
      </c>
      <c r="S26" s="50">
        <v>1.0</v>
      </c>
      <c r="T26" s="52" t="s">
        <v>423</v>
      </c>
      <c r="U26" s="52" t="s">
        <v>186</v>
      </c>
      <c r="V26" s="51" t="s">
        <v>873</v>
      </c>
      <c r="W26" s="48" t="s">
        <v>193</v>
      </c>
      <c r="X26" s="50" t="s">
        <v>166</v>
      </c>
      <c r="Y26" s="51" t="s">
        <v>166</v>
      </c>
      <c r="Z26" s="48" t="s">
        <v>166</v>
      </c>
      <c r="AA26" s="48" t="s">
        <v>166</v>
      </c>
      <c r="AB26" s="48" t="s">
        <v>166</v>
      </c>
      <c r="AC26" s="48">
        <v>2.0</v>
      </c>
      <c r="AD26" s="48" t="s">
        <v>166</v>
      </c>
      <c r="AE26" s="54" t="s">
        <v>166</v>
      </c>
      <c r="AF26" s="55" t="s">
        <v>166</v>
      </c>
      <c r="AG26" s="51" t="s">
        <v>166</v>
      </c>
      <c r="AH26" s="48">
        <v>2.0</v>
      </c>
      <c r="AI26" s="48" t="s">
        <v>166</v>
      </c>
      <c r="AJ26" s="50" t="s">
        <v>174</v>
      </c>
      <c r="AK26" s="56">
        <v>299.0</v>
      </c>
      <c r="AL26" s="57">
        <f>AK26*Sheets!$E$3</f>
        <v>41.2158045</v>
      </c>
      <c r="AM26" s="68"/>
      <c r="AN26" s="70"/>
      <c r="AO26" s="71"/>
      <c r="AP26" s="72">
        <v>44681.597779247684</v>
      </c>
      <c r="AQ26" s="66"/>
    </row>
    <row r="27">
      <c r="A27" s="46" t="str">
        <f t="shared" ref="A27:A28" si="4">HYPERLINK("https://shop34132006.world.taobao.com/","YTC")</f>
        <v>YTC</v>
      </c>
      <c r="B27" s="46" t="s">
        <v>874</v>
      </c>
      <c r="C27" s="63" t="s">
        <v>248</v>
      </c>
      <c r="D27" s="48">
        <v>280.0</v>
      </c>
      <c r="E27" s="48">
        <v>135.0</v>
      </c>
      <c r="F27" s="48">
        <v>276.0</v>
      </c>
      <c r="G27" s="49">
        <f t="shared" si="1"/>
        <v>10.4328</v>
      </c>
      <c r="H27" s="49">
        <f t="shared" si="2"/>
        <v>378</v>
      </c>
      <c r="I27" s="48">
        <v>2.0</v>
      </c>
      <c r="J27" s="48" t="s">
        <v>171</v>
      </c>
      <c r="K27" s="50" t="s">
        <v>171</v>
      </c>
      <c r="L27" s="51">
        <v>63.0</v>
      </c>
      <c r="M27" s="50" t="s">
        <v>166</v>
      </c>
      <c r="N27" s="51" t="s">
        <v>174</v>
      </c>
      <c r="O27" s="48">
        <v>275.0</v>
      </c>
      <c r="P27" s="48" t="s">
        <v>170</v>
      </c>
      <c r="Q27" s="48">
        <v>50.0</v>
      </c>
      <c r="R27" s="48">
        <v>2.0</v>
      </c>
      <c r="S27" s="50">
        <v>1.0</v>
      </c>
      <c r="T27" s="52" t="s">
        <v>423</v>
      </c>
      <c r="U27" s="52" t="s">
        <v>186</v>
      </c>
      <c r="V27" s="51" t="s">
        <v>873</v>
      </c>
      <c r="W27" s="48" t="s">
        <v>193</v>
      </c>
      <c r="X27" s="50" t="s">
        <v>166</v>
      </c>
      <c r="Y27" s="51" t="s">
        <v>166</v>
      </c>
      <c r="Z27" s="48" t="s">
        <v>166</v>
      </c>
      <c r="AA27" s="48" t="s">
        <v>166</v>
      </c>
      <c r="AB27" s="48" t="s">
        <v>166</v>
      </c>
      <c r="AC27" s="48">
        <v>2.0</v>
      </c>
      <c r="AD27" s="48" t="s">
        <v>166</v>
      </c>
      <c r="AE27" s="54" t="s">
        <v>166</v>
      </c>
      <c r="AF27" s="55" t="s">
        <v>166</v>
      </c>
      <c r="AG27" s="51" t="s">
        <v>166</v>
      </c>
      <c r="AH27" s="48">
        <v>2.0</v>
      </c>
      <c r="AI27" s="48" t="s">
        <v>166</v>
      </c>
      <c r="AJ27" s="50" t="s">
        <v>174</v>
      </c>
      <c r="AK27" s="56">
        <v>149.0</v>
      </c>
      <c r="AL27" s="57">
        <f>AK27*Sheets!$E$3</f>
        <v>20.5389795</v>
      </c>
      <c r="AM27" s="68"/>
      <c r="AN27" s="70"/>
      <c r="AO27" s="71"/>
      <c r="AP27" s="72">
        <v>44681.597820358795</v>
      </c>
      <c r="AQ27" s="66"/>
    </row>
    <row r="28">
      <c r="A28" s="46" t="str">
        <f t="shared" si="4"/>
        <v>YTC</v>
      </c>
      <c r="B28" s="46" t="s">
        <v>875</v>
      </c>
      <c r="C28" s="63" t="s">
        <v>248</v>
      </c>
      <c r="D28" s="48">
        <v>280.0</v>
      </c>
      <c r="E28" s="48">
        <v>135.0</v>
      </c>
      <c r="F28" s="48">
        <v>276.0</v>
      </c>
      <c r="G28" s="49">
        <f t="shared" si="1"/>
        <v>10.4328</v>
      </c>
      <c r="H28" s="49">
        <f t="shared" si="2"/>
        <v>378</v>
      </c>
      <c r="I28" s="48" t="s">
        <v>170</v>
      </c>
      <c r="J28" s="48" t="s">
        <v>240</v>
      </c>
      <c r="K28" s="50" t="s">
        <v>171</v>
      </c>
      <c r="L28" s="51">
        <v>63.0</v>
      </c>
      <c r="M28" s="50" t="s">
        <v>166</v>
      </c>
      <c r="N28" s="51" t="s">
        <v>174</v>
      </c>
      <c r="O28" s="48">
        <v>275.0</v>
      </c>
      <c r="P28" s="48" t="s">
        <v>170</v>
      </c>
      <c r="Q28" s="48">
        <v>50.0</v>
      </c>
      <c r="R28" s="48">
        <v>2.0</v>
      </c>
      <c r="S28" s="50">
        <v>1.0</v>
      </c>
      <c r="T28" s="52" t="s">
        <v>423</v>
      </c>
      <c r="U28" s="52" t="s">
        <v>671</v>
      </c>
      <c r="V28" s="51" t="s">
        <v>873</v>
      </c>
      <c r="W28" s="48" t="s">
        <v>193</v>
      </c>
      <c r="X28" s="50" t="s">
        <v>166</v>
      </c>
      <c r="Y28" s="51" t="s">
        <v>166</v>
      </c>
      <c r="Z28" s="48" t="s">
        <v>166</v>
      </c>
      <c r="AA28" s="48" t="s">
        <v>166</v>
      </c>
      <c r="AB28" s="48" t="s">
        <v>166</v>
      </c>
      <c r="AC28" s="48">
        <v>2.0</v>
      </c>
      <c r="AD28" s="48" t="s">
        <v>166</v>
      </c>
      <c r="AE28" s="54" t="s">
        <v>166</v>
      </c>
      <c r="AF28" s="55" t="s">
        <v>166</v>
      </c>
      <c r="AG28" s="51" t="s">
        <v>166</v>
      </c>
      <c r="AH28" s="48">
        <v>2.0</v>
      </c>
      <c r="AI28" s="48" t="s">
        <v>166</v>
      </c>
      <c r="AJ28" s="50" t="s">
        <v>174</v>
      </c>
      <c r="AK28" s="56">
        <v>248.0</v>
      </c>
      <c r="AL28" s="57">
        <f>AK28*Sheets!$E$3</f>
        <v>34.185684</v>
      </c>
      <c r="AM28" s="68"/>
      <c r="AN28" s="70"/>
      <c r="AO28" s="71"/>
      <c r="AP28" s="72">
        <v>44649.86909305556</v>
      </c>
      <c r="AQ28" s="66"/>
    </row>
    <row r="29">
      <c r="A29" s="69" t="str">
        <f>HYPERLINK("https://shop34001191.world.taobao.com/","Mechanic Master")</f>
        <v>Mechanic Master</v>
      </c>
      <c r="B29" s="73" t="s">
        <v>876</v>
      </c>
      <c r="C29" s="63" t="s">
        <v>248</v>
      </c>
      <c r="D29" s="48">
        <v>342.0</v>
      </c>
      <c r="E29" s="48">
        <v>142.0</v>
      </c>
      <c r="F29" s="48">
        <v>215.0</v>
      </c>
      <c r="G29" s="49">
        <f t="shared" si="1"/>
        <v>10.44126</v>
      </c>
      <c r="H29" s="49">
        <f t="shared" si="2"/>
        <v>485.64</v>
      </c>
      <c r="I29" s="48">
        <v>3.5</v>
      </c>
      <c r="J29" s="48" t="s">
        <v>164</v>
      </c>
      <c r="K29" s="50" t="s">
        <v>605</v>
      </c>
      <c r="L29" s="51">
        <v>70.0</v>
      </c>
      <c r="M29" s="50" t="s">
        <v>547</v>
      </c>
      <c r="N29" s="51" t="s">
        <v>174</v>
      </c>
      <c r="O29" s="48">
        <v>335.0</v>
      </c>
      <c r="P29" s="48" t="s">
        <v>170</v>
      </c>
      <c r="Q29" s="48">
        <v>60.0</v>
      </c>
      <c r="R29" s="48">
        <v>3.0</v>
      </c>
      <c r="S29" s="50" t="s">
        <v>166</v>
      </c>
      <c r="T29" s="52" t="s">
        <v>167</v>
      </c>
      <c r="U29" s="52" t="s">
        <v>346</v>
      </c>
      <c r="V29" s="51">
        <v>2.0</v>
      </c>
      <c r="W29" s="48" t="s">
        <v>194</v>
      </c>
      <c r="X29" s="50" t="s">
        <v>166</v>
      </c>
      <c r="Y29" s="51" t="s">
        <v>166</v>
      </c>
      <c r="Z29" s="48" t="s">
        <v>166</v>
      </c>
      <c r="AA29" s="48" t="s">
        <v>166</v>
      </c>
      <c r="AB29" s="48" t="s">
        <v>166</v>
      </c>
      <c r="AC29" s="48" t="s">
        <v>435</v>
      </c>
      <c r="AD29" s="48" t="s">
        <v>166</v>
      </c>
      <c r="AE29" s="54" t="s">
        <v>166</v>
      </c>
      <c r="AF29" s="55" t="s">
        <v>166</v>
      </c>
      <c r="AG29" s="51" t="s">
        <v>166</v>
      </c>
      <c r="AH29" s="48">
        <v>1.0</v>
      </c>
      <c r="AI29" s="48">
        <v>1.0</v>
      </c>
      <c r="AJ29" s="50" t="s">
        <v>166</v>
      </c>
      <c r="AK29" s="56">
        <v>499.0</v>
      </c>
      <c r="AL29" s="57">
        <f>AK29*Sheets!$E$3</f>
        <v>68.7849045</v>
      </c>
      <c r="AM29" s="58"/>
      <c r="AN29" s="59"/>
      <c r="AO29" s="71" t="s">
        <v>181</v>
      </c>
      <c r="AP29" s="65">
        <v>45128.001760451385</v>
      </c>
      <c r="AQ29" s="66"/>
    </row>
    <row r="30">
      <c r="A30" s="61" t="str">
        <f t="shared" ref="A30:A31" si="5">HYPERLINK("https://www.chieftec.eu/en/","Chieftec")</f>
        <v>Chieftec</v>
      </c>
      <c r="B30" s="62" t="str">
        <f>HYPERLINK("https://www.chieftec.eu/en/chassis/itx/elox-series-itx/bt-04b-u3.html","BT-04B")</f>
        <v>BT-04B</v>
      </c>
      <c r="C30" s="101" t="s">
        <v>262</v>
      </c>
      <c r="D30" s="74">
        <v>240.0</v>
      </c>
      <c r="E30" s="74">
        <v>135.0</v>
      </c>
      <c r="F30" s="74">
        <v>323.0</v>
      </c>
      <c r="G30" s="49">
        <f t="shared" si="1"/>
        <v>10.4652</v>
      </c>
      <c r="H30" s="49">
        <f t="shared" si="2"/>
        <v>324</v>
      </c>
      <c r="I30" s="74">
        <v>3.5</v>
      </c>
      <c r="J30" s="48" t="s">
        <v>164</v>
      </c>
      <c r="K30" s="75" t="s">
        <v>877</v>
      </c>
      <c r="L30" s="76">
        <v>70.0</v>
      </c>
      <c r="M30" s="75" t="s">
        <v>166</v>
      </c>
      <c r="N30" s="77" t="s">
        <v>166</v>
      </c>
      <c r="O30" s="104">
        <v>190.0</v>
      </c>
      <c r="P30" s="74" t="s">
        <v>170</v>
      </c>
      <c r="Q30" s="89">
        <v>40.0</v>
      </c>
      <c r="R30" s="105">
        <v>2.0</v>
      </c>
      <c r="S30" s="50" t="s">
        <v>166</v>
      </c>
      <c r="T30" s="52" t="s">
        <v>167</v>
      </c>
      <c r="U30" s="53" t="s">
        <v>324</v>
      </c>
      <c r="V30" s="77" t="s">
        <v>207</v>
      </c>
      <c r="W30" s="74" t="s">
        <v>194</v>
      </c>
      <c r="X30" s="75" t="s">
        <v>208</v>
      </c>
      <c r="Y30" s="51" t="s">
        <v>166</v>
      </c>
      <c r="Z30" s="74">
        <v>2.0</v>
      </c>
      <c r="AA30" s="74">
        <v>1.0</v>
      </c>
      <c r="AB30" s="48" t="s">
        <v>166</v>
      </c>
      <c r="AC30" s="48" t="s">
        <v>166</v>
      </c>
      <c r="AD30" s="48" t="s">
        <v>166</v>
      </c>
      <c r="AE30" s="54" t="s">
        <v>166</v>
      </c>
      <c r="AF30" s="55" t="s">
        <v>166</v>
      </c>
      <c r="AG30" s="51" t="s">
        <v>166</v>
      </c>
      <c r="AH30" s="48">
        <v>2.0</v>
      </c>
      <c r="AI30" s="48" t="s">
        <v>166</v>
      </c>
      <c r="AJ30" s="50" t="s">
        <v>174</v>
      </c>
      <c r="AK30" s="56" t="s">
        <v>166</v>
      </c>
      <c r="AL30" s="57" t="s">
        <v>170</v>
      </c>
      <c r="AM30" s="68"/>
      <c r="AN30" s="59"/>
      <c r="AO30" s="60"/>
      <c r="AP30" s="65">
        <v>44717.93903861111</v>
      </c>
      <c r="AQ30" s="66"/>
    </row>
    <row r="31">
      <c r="A31" s="61" t="str">
        <f t="shared" si="5"/>
        <v>Chieftec</v>
      </c>
      <c r="B31" s="62" t="str">
        <f>HYPERLINK("https://www.chieftec.eu/en/chassis/itx/elox-series-itx/bt-06b-250vs.html","BT-06B")</f>
        <v>BT-06B</v>
      </c>
      <c r="C31" s="101" t="s">
        <v>262</v>
      </c>
      <c r="D31" s="74">
        <v>240.0</v>
      </c>
      <c r="E31" s="74">
        <v>135.0</v>
      </c>
      <c r="F31" s="74">
        <v>323.0</v>
      </c>
      <c r="G31" s="49">
        <f t="shared" si="1"/>
        <v>10.4652</v>
      </c>
      <c r="H31" s="49">
        <f t="shared" si="2"/>
        <v>324</v>
      </c>
      <c r="I31" s="74">
        <v>2.85</v>
      </c>
      <c r="J31" s="48" t="s">
        <v>164</v>
      </c>
      <c r="K31" s="75" t="s">
        <v>877</v>
      </c>
      <c r="L31" s="76">
        <v>110.0</v>
      </c>
      <c r="M31" s="75" t="s">
        <v>166</v>
      </c>
      <c r="N31" s="77" t="s">
        <v>166</v>
      </c>
      <c r="O31" s="104">
        <v>190.0</v>
      </c>
      <c r="P31" s="74">
        <v>115.0</v>
      </c>
      <c r="Q31" s="89">
        <v>40.0</v>
      </c>
      <c r="R31" s="105">
        <v>2.0</v>
      </c>
      <c r="S31" s="50" t="s">
        <v>166</v>
      </c>
      <c r="T31" s="52" t="s">
        <v>167</v>
      </c>
      <c r="U31" s="53" t="s">
        <v>324</v>
      </c>
      <c r="V31" s="77">
        <v>2.0</v>
      </c>
      <c r="W31" s="74">
        <v>1.0</v>
      </c>
      <c r="X31" s="75" t="s">
        <v>166</v>
      </c>
      <c r="Y31" s="51" t="s">
        <v>166</v>
      </c>
      <c r="Z31" s="74">
        <v>2.0</v>
      </c>
      <c r="AA31" s="74">
        <v>1.0</v>
      </c>
      <c r="AB31" s="48" t="s">
        <v>166</v>
      </c>
      <c r="AC31" s="48" t="s">
        <v>166</v>
      </c>
      <c r="AD31" s="48" t="s">
        <v>166</v>
      </c>
      <c r="AE31" s="54" t="s">
        <v>166</v>
      </c>
      <c r="AF31" s="55" t="s">
        <v>166</v>
      </c>
      <c r="AG31" s="51" t="s">
        <v>166</v>
      </c>
      <c r="AH31" s="48">
        <v>2.0</v>
      </c>
      <c r="AI31" s="48" t="s">
        <v>166</v>
      </c>
      <c r="AJ31" s="50" t="s">
        <v>174</v>
      </c>
      <c r="AK31" s="56" t="s">
        <v>166</v>
      </c>
      <c r="AL31" s="57">
        <v>102.47</v>
      </c>
      <c r="AM31" s="68"/>
      <c r="AN31" s="59"/>
      <c r="AO31" s="60"/>
      <c r="AP31" s="65">
        <v>45071.55535145833</v>
      </c>
      <c r="AQ31" s="66"/>
    </row>
    <row r="32">
      <c r="A32" s="46" t="s">
        <v>594</v>
      </c>
      <c r="B32" s="46" t="s">
        <v>878</v>
      </c>
      <c r="C32" s="63" t="s">
        <v>248</v>
      </c>
      <c r="D32" s="48">
        <v>340.0</v>
      </c>
      <c r="E32" s="48">
        <v>140.0</v>
      </c>
      <c r="F32" s="48">
        <v>220.0</v>
      </c>
      <c r="G32" s="49">
        <f t="shared" si="1"/>
        <v>10.472</v>
      </c>
      <c r="H32" s="49">
        <f t="shared" si="2"/>
        <v>476</v>
      </c>
      <c r="I32" s="48">
        <v>2.35</v>
      </c>
      <c r="J32" s="48" t="s">
        <v>240</v>
      </c>
      <c r="K32" s="50" t="s">
        <v>375</v>
      </c>
      <c r="L32" s="51">
        <v>67.0</v>
      </c>
      <c r="M32" s="50" t="s">
        <v>166</v>
      </c>
      <c r="N32" s="51" t="s">
        <v>174</v>
      </c>
      <c r="O32" s="48">
        <v>335.0</v>
      </c>
      <c r="P32" s="48">
        <v>154.0</v>
      </c>
      <c r="Q32" s="48">
        <v>65.0</v>
      </c>
      <c r="R32" s="48">
        <v>3.0</v>
      </c>
      <c r="S32" s="50" t="s">
        <v>166</v>
      </c>
      <c r="T32" s="52" t="s">
        <v>167</v>
      </c>
      <c r="U32" s="52" t="s">
        <v>346</v>
      </c>
      <c r="V32" s="51">
        <v>3.0</v>
      </c>
      <c r="W32" s="48" t="s">
        <v>194</v>
      </c>
      <c r="X32" s="50" t="s">
        <v>166</v>
      </c>
      <c r="Y32" s="51" t="s">
        <v>166</v>
      </c>
      <c r="Z32" s="48" t="s">
        <v>166</v>
      </c>
      <c r="AA32" s="48" t="s">
        <v>166</v>
      </c>
      <c r="AB32" s="48">
        <v>1.0</v>
      </c>
      <c r="AC32" s="48">
        <v>2.0</v>
      </c>
      <c r="AD32" s="48" t="s">
        <v>166</v>
      </c>
      <c r="AE32" s="54" t="s">
        <v>166</v>
      </c>
      <c r="AF32" s="55" t="s">
        <v>166</v>
      </c>
      <c r="AG32" s="51" t="s">
        <v>166</v>
      </c>
      <c r="AH32" s="48">
        <v>1.0</v>
      </c>
      <c r="AI32" s="48">
        <v>1.0</v>
      </c>
      <c r="AJ32" s="50" t="s">
        <v>166</v>
      </c>
      <c r="AK32" s="56">
        <v>349.0</v>
      </c>
      <c r="AL32" s="57">
        <f>AK32*Sheets!$E$3</f>
        <v>48.1080795</v>
      </c>
      <c r="AM32" s="58"/>
      <c r="AN32" s="59"/>
      <c r="AO32" s="60"/>
      <c r="AP32" s="65"/>
      <c r="AQ32" s="66"/>
    </row>
    <row r="33">
      <c r="A33" s="61" t="s">
        <v>738</v>
      </c>
      <c r="B33" s="102" t="s">
        <v>879</v>
      </c>
      <c r="C33" s="63" t="s">
        <v>248</v>
      </c>
      <c r="D33" s="48">
        <v>340.0</v>
      </c>
      <c r="E33" s="48">
        <v>140.0</v>
      </c>
      <c r="F33" s="48">
        <v>220.0</v>
      </c>
      <c r="G33" s="49">
        <f t="shared" si="1"/>
        <v>10.472</v>
      </c>
      <c r="H33" s="49">
        <f t="shared" si="2"/>
        <v>476</v>
      </c>
      <c r="I33" s="48">
        <v>2.6</v>
      </c>
      <c r="J33" s="48" t="s">
        <v>240</v>
      </c>
      <c r="K33" s="50" t="s">
        <v>164</v>
      </c>
      <c r="L33" s="51">
        <v>81.5</v>
      </c>
      <c r="M33" s="50" t="s">
        <v>825</v>
      </c>
      <c r="N33" s="51" t="s">
        <v>174</v>
      </c>
      <c r="O33" s="48">
        <v>330.0</v>
      </c>
      <c r="P33" s="48">
        <v>145.0</v>
      </c>
      <c r="Q33" s="48">
        <v>67.0</v>
      </c>
      <c r="R33" s="48">
        <v>3.0</v>
      </c>
      <c r="S33" s="50" t="s">
        <v>166</v>
      </c>
      <c r="T33" s="52" t="s">
        <v>167</v>
      </c>
      <c r="U33" s="52" t="s">
        <v>686</v>
      </c>
      <c r="V33" s="51" t="s">
        <v>568</v>
      </c>
      <c r="W33" s="48" t="s">
        <v>194</v>
      </c>
      <c r="X33" s="50" t="s">
        <v>166</v>
      </c>
      <c r="Y33" s="51" t="s">
        <v>166</v>
      </c>
      <c r="Z33" s="48" t="s">
        <v>166</v>
      </c>
      <c r="AA33" s="48" t="s">
        <v>166</v>
      </c>
      <c r="AB33" s="48" t="s">
        <v>166</v>
      </c>
      <c r="AC33" s="48" t="s">
        <v>416</v>
      </c>
      <c r="AD33" s="48" t="s">
        <v>193</v>
      </c>
      <c r="AE33" s="54" t="s">
        <v>166</v>
      </c>
      <c r="AF33" s="55" t="s">
        <v>166</v>
      </c>
      <c r="AG33" s="51" t="s">
        <v>166</v>
      </c>
      <c r="AH33" s="48" t="s">
        <v>166</v>
      </c>
      <c r="AI33" s="48">
        <v>1.0</v>
      </c>
      <c r="AJ33" s="50" t="s">
        <v>174</v>
      </c>
      <c r="AK33" s="56">
        <v>1099.0</v>
      </c>
      <c r="AL33" s="57">
        <f>AK33*Sheets!$E$3</f>
        <v>151.4922045</v>
      </c>
      <c r="AM33" s="68"/>
      <c r="AN33" s="70"/>
      <c r="AO33" s="71" t="s">
        <v>181</v>
      </c>
      <c r="AP33" s="65">
        <v>44550.837866284724</v>
      </c>
      <c r="AQ33" s="66"/>
    </row>
    <row r="34">
      <c r="A34" s="46" t="s">
        <v>451</v>
      </c>
      <c r="B34" s="46" t="s">
        <v>880</v>
      </c>
      <c r="C34" s="63" t="s">
        <v>248</v>
      </c>
      <c r="D34" s="48">
        <v>216.0</v>
      </c>
      <c r="E34" s="48">
        <v>155.0</v>
      </c>
      <c r="F34" s="48">
        <v>313.0</v>
      </c>
      <c r="G34" s="49">
        <f t="shared" si="1"/>
        <v>10.47924</v>
      </c>
      <c r="H34" s="49">
        <f t="shared" si="2"/>
        <v>334.8</v>
      </c>
      <c r="I34" s="48">
        <v>3.5</v>
      </c>
      <c r="J34" s="48" t="s">
        <v>164</v>
      </c>
      <c r="K34" s="50" t="s">
        <v>688</v>
      </c>
      <c r="L34" s="51">
        <v>75.0</v>
      </c>
      <c r="M34" s="50" t="s">
        <v>737</v>
      </c>
      <c r="N34" s="51" t="s">
        <v>174</v>
      </c>
      <c r="O34" s="48">
        <v>208.0</v>
      </c>
      <c r="P34" s="48">
        <v>150.0</v>
      </c>
      <c r="Q34" s="48">
        <v>50.0</v>
      </c>
      <c r="R34" s="48">
        <v>2.0</v>
      </c>
      <c r="S34" s="50" t="s">
        <v>166</v>
      </c>
      <c r="T34" s="52" t="s">
        <v>881</v>
      </c>
      <c r="U34" s="52" t="s">
        <v>639</v>
      </c>
      <c r="V34" s="51">
        <v>3.0</v>
      </c>
      <c r="W34" s="48">
        <v>2.0</v>
      </c>
      <c r="X34" s="50" t="s">
        <v>166</v>
      </c>
      <c r="Y34" s="51" t="s">
        <v>166</v>
      </c>
      <c r="Z34" s="48" t="s">
        <v>166</v>
      </c>
      <c r="AA34" s="48" t="s">
        <v>166</v>
      </c>
      <c r="AB34" s="48" t="s">
        <v>166</v>
      </c>
      <c r="AC34" s="48" t="s">
        <v>194</v>
      </c>
      <c r="AD34" s="48" t="s">
        <v>194</v>
      </c>
      <c r="AE34" s="54" t="s">
        <v>166</v>
      </c>
      <c r="AF34" s="55" t="s">
        <v>166</v>
      </c>
      <c r="AG34" s="51" t="s">
        <v>166</v>
      </c>
      <c r="AH34" s="48" t="s">
        <v>166</v>
      </c>
      <c r="AI34" s="48">
        <v>1.0</v>
      </c>
      <c r="AJ34" s="50" t="s">
        <v>166</v>
      </c>
      <c r="AK34" s="56">
        <v>869.0</v>
      </c>
      <c r="AL34" s="57">
        <f>AK34*Sheets!$E$3</f>
        <v>119.7877395</v>
      </c>
      <c r="AM34" s="68"/>
      <c r="AN34" s="70"/>
      <c r="AO34" s="71"/>
      <c r="AP34" s="71"/>
      <c r="AQ34" s="66"/>
    </row>
    <row r="35">
      <c r="A35" s="69" t="str">
        <f>HYPERLINK("https://sunmilo.world.taobao.com/","Sunmilo Studio")</f>
        <v>Sunmilo Studio</v>
      </c>
      <c r="B35" s="73" t="s">
        <v>882</v>
      </c>
      <c r="C35" s="63" t="s">
        <v>248</v>
      </c>
      <c r="D35" s="48">
        <v>320.0</v>
      </c>
      <c r="E35" s="48">
        <v>130.0</v>
      </c>
      <c r="F35" s="48">
        <v>252.0</v>
      </c>
      <c r="G35" s="49">
        <f t="shared" si="1"/>
        <v>10.4832</v>
      </c>
      <c r="H35" s="49">
        <f t="shared" si="2"/>
        <v>416</v>
      </c>
      <c r="I35" s="48" t="s">
        <v>170</v>
      </c>
      <c r="J35" s="48" t="s">
        <v>235</v>
      </c>
      <c r="K35" s="50" t="s">
        <v>164</v>
      </c>
      <c r="L35" s="51">
        <v>56.0</v>
      </c>
      <c r="M35" s="50" t="s">
        <v>547</v>
      </c>
      <c r="N35" s="51" t="s">
        <v>174</v>
      </c>
      <c r="O35" s="48">
        <v>310.0</v>
      </c>
      <c r="P35" s="48">
        <v>130.0</v>
      </c>
      <c r="Q35" s="48">
        <v>49.0</v>
      </c>
      <c r="R35" s="48">
        <v>2.0</v>
      </c>
      <c r="S35" s="50" t="s">
        <v>166</v>
      </c>
      <c r="T35" s="52" t="s">
        <v>167</v>
      </c>
      <c r="U35" s="52" t="s">
        <v>324</v>
      </c>
      <c r="V35" s="51">
        <v>2.0</v>
      </c>
      <c r="W35" s="48" t="s">
        <v>166</v>
      </c>
      <c r="X35" s="50" t="s">
        <v>166</v>
      </c>
      <c r="Y35" s="51" t="s">
        <v>166</v>
      </c>
      <c r="Z35" s="48" t="s">
        <v>166</v>
      </c>
      <c r="AA35" s="48" t="s">
        <v>166</v>
      </c>
      <c r="AB35" s="48" t="s">
        <v>166</v>
      </c>
      <c r="AC35" s="48">
        <v>2.0</v>
      </c>
      <c r="AD35" s="48" t="s">
        <v>166</v>
      </c>
      <c r="AE35" s="54" t="s">
        <v>166</v>
      </c>
      <c r="AF35" s="55" t="s">
        <v>166</v>
      </c>
      <c r="AG35" s="51" t="s">
        <v>166</v>
      </c>
      <c r="AH35" s="48" t="s">
        <v>166</v>
      </c>
      <c r="AI35" s="48" t="s">
        <v>166</v>
      </c>
      <c r="AJ35" s="50" t="s">
        <v>166</v>
      </c>
      <c r="AK35" s="56">
        <v>839.0</v>
      </c>
      <c r="AL35" s="57">
        <f>AK35*Sheets!$E$3</f>
        <v>115.6523745</v>
      </c>
      <c r="AM35" s="68"/>
      <c r="AN35" s="59"/>
      <c r="AO35" s="60" t="s">
        <v>181</v>
      </c>
      <c r="AP35" s="60"/>
      <c r="AQ35" s="66"/>
    </row>
    <row r="36">
      <c r="A36" s="61" t="s">
        <v>250</v>
      </c>
      <c r="B36" s="62" t="s">
        <v>883</v>
      </c>
      <c r="C36" s="63" t="s">
        <v>282</v>
      </c>
      <c r="D36" s="48">
        <v>190.0</v>
      </c>
      <c r="E36" s="48">
        <v>160.0</v>
      </c>
      <c r="F36" s="48">
        <v>345.0</v>
      </c>
      <c r="G36" s="49">
        <f t="shared" si="1"/>
        <v>10.488</v>
      </c>
      <c r="H36" s="49">
        <f t="shared" si="2"/>
        <v>304</v>
      </c>
      <c r="I36" s="48" t="s">
        <v>170</v>
      </c>
      <c r="J36" s="48" t="s">
        <v>282</v>
      </c>
      <c r="K36" s="50" t="s">
        <v>252</v>
      </c>
      <c r="L36" s="51" t="s">
        <v>282</v>
      </c>
      <c r="M36" s="50" t="s">
        <v>884</v>
      </c>
      <c r="N36" s="51" t="s">
        <v>174</v>
      </c>
      <c r="O36" s="48">
        <v>315.0</v>
      </c>
      <c r="P36" s="48" t="s">
        <v>282</v>
      </c>
      <c r="Q36" s="48" t="s">
        <v>282</v>
      </c>
      <c r="R36" s="48">
        <v>2.0</v>
      </c>
      <c r="S36" s="50" t="s">
        <v>166</v>
      </c>
      <c r="T36" s="52" t="s">
        <v>167</v>
      </c>
      <c r="U36" s="52" t="s">
        <v>324</v>
      </c>
      <c r="V36" s="51">
        <v>2.0</v>
      </c>
      <c r="W36" s="48" t="s">
        <v>166</v>
      </c>
      <c r="X36" s="50" t="s">
        <v>166</v>
      </c>
      <c r="Y36" s="51" t="s">
        <v>166</v>
      </c>
      <c r="Z36" s="48" t="s">
        <v>166</v>
      </c>
      <c r="AA36" s="48" t="s">
        <v>166</v>
      </c>
      <c r="AB36" s="48" t="s">
        <v>166</v>
      </c>
      <c r="AC36" s="48" t="s">
        <v>166</v>
      </c>
      <c r="AD36" s="48" t="s">
        <v>166</v>
      </c>
      <c r="AE36" s="54" t="s">
        <v>166</v>
      </c>
      <c r="AF36" s="55" t="s">
        <v>166</v>
      </c>
      <c r="AG36" s="51" t="s">
        <v>166</v>
      </c>
      <c r="AH36" s="48">
        <v>2.0</v>
      </c>
      <c r="AI36" s="48" t="s">
        <v>166</v>
      </c>
      <c r="AJ36" s="50" t="s">
        <v>174</v>
      </c>
      <c r="AK36" s="56">
        <v>650.0</v>
      </c>
      <c r="AL36" s="57">
        <v>125.0</v>
      </c>
      <c r="AM36" s="68"/>
      <c r="AN36" s="70"/>
      <c r="AO36" s="71"/>
      <c r="AP36" s="72">
        <v>44572.42139153935</v>
      </c>
      <c r="AQ36" s="66"/>
    </row>
    <row r="37">
      <c r="A37" s="61" t="s">
        <v>250</v>
      </c>
      <c r="B37" s="62" t="s">
        <v>885</v>
      </c>
      <c r="C37" s="63" t="s">
        <v>282</v>
      </c>
      <c r="D37" s="48">
        <v>190.0</v>
      </c>
      <c r="E37" s="48">
        <v>160.0</v>
      </c>
      <c r="F37" s="48">
        <v>345.0</v>
      </c>
      <c r="G37" s="49">
        <f t="shared" si="1"/>
        <v>10.488</v>
      </c>
      <c r="H37" s="49">
        <f t="shared" si="2"/>
        <v>304</v>
      </c>
      <c r="I37" s="48" t="s">
        <v>170</v>
      </c>
      <c r="J37" s="48" t="s">
        <v>282</v>
      </c>
      <c r="K37" s="50" t="s">
        <v>252</v>
      </c>
      <c r="L37" s="51" t="s">
        <v>282</v>
      </c>
      <c r="M37" s="50" t="s">
        <v>884</v>
      </c>
      <c r="N37" s="51" t="s">
        <v>174</v>
      </c>
      <c r="O37" s="48">
        <v>330.0</v>
      </c>
      <c r="P37" s="48" t="s">
        <v>282</v>
      </c>
      <c r="Q37" s="48" t="s">
        <v>282</v>
      </c>
      <c r="R37" s="48">
        <v>2.0</v>
      </c>
      <c r="S37" s="50" t="s">
        <v>166</v>
      </c>
      <c r="T37" s="52" t="s">
        <v>167</v>
      </c>
      <c r="U37" s="52" t="s">
        <v>324</v>
      </c>
      <c r="V37" s="51">
        <v>2.0</v>
      </c>
      <c r="W37" s="51" t="s">
        <v>166</v>
      </c>
      <c r="X37" s="50" t="s">
        <v>166</v>
      </c>
      <c r="Y37" s="51" t="s">
        <v>166</v>
      </c>
      <c r="Z37" s="48" t="s">
        <v>166</v>
      </c>
      <c r="AA37" s="48" t="s">
        <v>166</v>
      </c>
      <c r="AB37" s="48" t="s">
        <v>166</v>
      </c>
      <c r="AC37" s="48" t="s">
        <v>166</v>
      </c>
      <c r="AD37" s="48" t="s">
        <v>166</v>
      </c>
      <c r="AE37" s="54" t="s">
        <v>166</v>
      </c>
      <c r="AF37" s="55" t="s">
        <v>166</v>
      </c>
      <c r="AG37" s="51" t="s">
        <v>166</v>
      </c>
      <c r="AH37" s="48">
        <v>2.0</v>
      </c>
      <c r="AI37" s="48" t="s">
        <v>166</v>
      </c>
      <c r="AJ37" s="50" t="s">
        <v>174</v>
      </c>
      <c r="AK37" s="56">
        <v>680.0</v>
      </c>
      <c r="AL37" s="57">
        <v>133.0</v>
      </c>
      <c r="AM37" s="68"/>
      <c r="AN37" s="70"/>
      <c r="AO37" s="71"/>
      <c r="AP37" s="72">
        <v>44572.4218208449</v>
      </c>
      <c r="AQ37" s="66"/>
    </row>
    <row r="38">
      <c r="A38" s="61" t="s">
        <v>738</v>
      </c>
      <c r="B38" s="62" t="s">
        <v>886</v>
      </c>
      <c r="C38" s="63" t="s">
        <v>248</v>
      </c>
      <c r="D38" s="48">
        <v>340.0</v>
      </c>
      <c r="E38" s="48">
        <v>140.0</v>
      </c>
      <c r="F38" s="48">
        <v>221.0</v>
      </c>
      <c r="G38" s="49">
        <f t="shared" si="1"/>
        <v>10.5196</v>
      </c>
      <c r="H38" s="49">
        <f t="shared" si="2"/>
        <v>476</v>
      </c>
      <c r="I38" s="48">
        <v>2.4</v>
      </c>
      <c r="J38" s="48" t="s">
        <v>164</v>
      </c>
      <c r="K38" s="50" t="s">
        <v>688</v>
      </c>
      <c r="L38" s="51">
        <v>92.0</v>
      </c>
      <c r="M38" s="50" t="s">
        <v>887</v>
      </c>
      <c r="N38" s="51" t="s">
        <v>174</v>
      </c>
      <c r="O38" s="48">
        <v>337.0</v>
      </c>
      <c r="P38" s="48">
        <v>151.0</v>
      </c>
      <c r="Q38" s="48">
        <v>68.0</v>
      </c>
      <c r="R38" s="48">
        <v>2.0</v>
      </c>
      <c r="S38" s="50" t="s">
        <v>166</v>
      </c>
      <c r="T38" s="52" t="s">
        <v>167</v>
      </c>
      <c r="U38" s="52" t="s">
        <v>816</v>
      </c>
      <c r="V38" s="51" t="s">
        <v>740</v>
      </c>
      <c r="W38" s="51" t="s">
        <v>194</v>
      </c>
      <c r="X38" s="50" t="s">
        <v>166</v>
      </c>
      <c r="Y38" s="51" t="s">
        <v>166</v>
      </c>
      <c r="Z38" s="48" t="s">
        <v>166</v>
      </c>
      <c r="AA38" s="48" t="s">
        <v>166</v>
      </c>
      <c r="AB38" s="48" t="s">
        <v>166</v>
      </c>
      <c r="AC38" s="48" t="s">
        <v>416</v>
      </c>
      <c r="AD38" s="48" t="s">
        <v>193</v>
      </c>
      <c r="AE38" s="54" t="s">
        <v>166</v>
      </c>
      <c r="AF38" s="55" t="s">
        <v>166</v>
      </c>
      <c r="AG38" s="51" t="s">
        <v>166</v>
      </c>
      <c r="AH38" s="48" t="s">
        <v>166</v>
      </c>
      <c r="AI38" s="48" t="s">
        <v>166</v>
      </c>
      <c r="AJ38" s="50" t="s">
        <v>166</v>
      </c>
      <c r="AK38" s="56">
        <v>1799.0</v>
      </c>
      <c r="AL38" s="57">
        <v>284.99</v>
      </c>
      <c r="AM38" s="64" t="s">
        <v>214</v>
      </c>
      <c r="AN38" s="70"/>
      <c r="AO38" s="71"/>
      <c r="AP38" s="65">
        <v>45416.655343969906</v>
      </c>
      <c r="AQ38" s="66"/>
    </row>
    <row r="39">
      <c r="A39" s="61" t="s">
        <v>738</v>
      </c>
      <c r="B39" s="62" t="s">
        <v>888</v>
      </c>
      <c r="C39" s="63" t="s">
        <v>262</v>
      </c>
      <c r="D39" s="48">
        <v>340.0</v>
      </c>
      <c r="E39" s="48">
        <v>140.0</v>
      </c>
      <c r="F39" s="48">
        <v>221.0</v>
      </c>
      <c r="G39" s="49">
        <f t="shared" si="1"/>
        <v>10.5196</v>
      </c>
      <c r="H39" s="49">
        <f t="shared" si="2"/>
        <v>476</v>
      </c>
      <c r="I39" s="48">
        <v>2.4</v>
      </c>
      <c r="J39" s="48" t="s">
        <v>164</v>
      </c>
      <c r="K39" s="50" t="s">
        <v>688</v>
      </c>
      <c r="L39" s="51">
        <v>117.0</v>
      </c>
      <c r="M39" s="50" t="s">
        <v>825</v>
      </c>
      <c r="N39" s="51" t="s">
        <v>166</v>
      </c>
      <c r="O39" s="48">
        <v>332.0</v>
      </c>
      <c r="P39" s="48">
        <v>124.0</v>
      </c>
      <c r="Q39" s="48">
        <v>45.0</v>
      </c>
      <c r="R39" s="48">
        <v>2.0</v>
      </c>
      <c r="S39" s="50" t="s">
        <v>166</v>
      </c>
      <c r="T39" s="52" t="s">
        <v>227</v>
      </c>
      <c r="U39" s="52" t="s">
        <v>346</v>
      </c>
      <c r="V39" s="51" t="s">
        <v>740</v>
      </c>
      <c r="W39" s="51" t="s">
        <v>194</v>
      </c>
      <c r="X39" s="50" t="s">
        <v>166</v>
      </c>
      <c r="Y39" s="51" t="s">
        <v>166</v>
      </c>
      <c r="Z39" s="48">
        <v>2.0</v>
      </c>
      <c r="AA39" s="48" t="s">
        <v>166</v>
      </c>
      <c r="AB39" s="48" t="s">
        <v>166</v>
      </c>
      <c r="AC39" s="48" t="s">
        <v>416</v>
      </c>
      <c r="AD39" s="48" t="s">
        <v>193</v>
      </c>
      <c r="AE39" s="54" t="s">
        <v>166</v>
      </c>
      <c r="AF39" s="55" t="s">
        <v>166</v>
      </c>
      <c r="AG39" s="51" t="s">
        <v>166</v>
      </c>
      <c r="AH39" s="48" t="s">
        <v>166</v>
      </c>
      <c r="AI39" s="48" t="s">
        <v>166</v>
      </c>
      <c r="AJ39" s="50" t="s">
        <v>166</v>
      </c>
      <c r="AK39" s="56">
        <v>1989.0</v>
      </c>
      <c r="AL39" s="57">
        <v>314.99</v>
      </c>
      <c r="AM39" s="64" t="s">
        <v>214</v>
      </c>
      <c r="AN39" s="70"/>
      <c r="AO39" s="71"/>
      <c r="AP39" s="65">
        <v>45071.55554148148</v>
      </c>
      <c r="AQ39" s="66"/>
    </row>
    <row r="40">
      <c r="A40" s="61" t="s">
        <v>438</v>
      </c>
      <c r="B40" s="62" t="s">
        <v>889</v>
      </c>
      <c r="C40" s="63" t="s">
        <v>282</v>
      </c>
      <c r="D40" s="48">
        <v>256.0</v>
      </c>
      <c r="E40" s="48">
        <v>150.0</v>
      </c>
      <c r="F40" s="48">
        <v>274.0</v>
      </c>
      <c r="G40" s="49">
        <f t="shared" si="1"/>
        <v>10.5216</v>
      </c>
      <c r="H40" s="49">
        <f t="shared" si="2"/>
        <v>384</v>
      </c>
      <c r="I40" s="48">
        <v>0.8</v>
      </c>
      <c r="J40" s="48" t="s">
        <v>282</v>
      </c>
      <c r="K40" s="50" t="s">
        <v>213</v>
      </c>
      <c r="L40" s="51" t="s">
        <v>282</v>
      </c>
      <c r="M40" s="50">
        <v>120.0</v>
      </c>
      <c r="N40" s="51" t="s">
        <v>166</v>
      </c>
      <c r="O40" s="48" t="s">
        <v>282</v>
      </c>
      <c r="P40" s="48" t="s">
        <v>282</v>
      </c>
      <c r="Q40" s="48">
        <v>71.0</v>
      </c>
      <c r="R40" s="48">
        <v>2.0</v>
      </c>
      <c r="S40" s="50" t="s">
        <v>166</v>
      </c>
      <c r="T40" s="52" t="s">
        <v>167</v>
      </c>
      <c r="U40" s="52" t="s">
        <v>324</v>
      </c>
      <c r="V40" s="51">
        <v>1.0</v>
      </c>
      <c r="W40" s="51" t="s">
        <v>166</v>
      </c>
      <c r="X40" s="50" t="s">
        <v>166</v>
      </c>
      <c r="Y40" s="51" t="s">
        <v>166</v>
      </c>
      <c r="Z40" s="48" t="s">
        <v>166</v>
      </c>
      <c r="AA40" s="48" t="s">
        <v>166</v>
      </c>
      <c r="AB40" s="48" t="s">
        <v>166</v>
      </c>
      <c r="AC40" s="48">
        <v>1.0</v>
      </c>
      <c r="AD40" s="48" t="s">
        <v>166</v>
      </c>
      <c r="AE40" s="54" t="s">
        <v>166</v>
      </c>
      <c r="AF40" s="55" t="s">
        <v>166</v>
      </c>
      <c r="AG40" s="51" t="s">
        <v>166</v>
      </c>
      <c r="AH40" s="48">
        <v>2.0</v>
      </c>
      <c r="AI40" s="48" t="s">
        <v>166</v>
      </c>
      <c r="AJ40" s="50" t="s">
        <v>166</v>
      </c>
      <c r="AK40" s="56" t="s">
        <v>166</v>
      </c>
      <c r="AL40" s="57">
        <f>2550*0.031</f>
        <v>79.05</v>
      </c>
      <c r="AM40" s="64"/>
      <c r="AN40" s="59"/>
      <c r="AO40" s="60"/>
      <c r="AP40" s="65">
        <v>44854.651921111115</v>
      </c>
      <c r="AQ40" s="66"/>
    </row>
    <row r="41">
      <c r="A41" s="69" t="str">
        <f>HYPERLINK("https://sunmilo.world.taobao.com/","Sunmilo Studio")</f>
        <v>Sunmilo Studio</v>
      </c>
      <c r="B41" s="46" t="str">
        <f>HYPERLINK("https://item.taobao.com/item.htm?id=595232262319","C01s")</f>
        <v>C01s</v>
      </c>
      <c r="C41" s="63" t="s">
        <v>262</v>
      </c>
      <c r="D41" s="48">
        <v>280.0</v>
      </c>
      <c r="E41" s="48">
        <v>160.0</v>
      </c>
      <c r="F41" s="48">
        <v>235.0</v>
      </c>
      <c r="G41" s="49">
        <f t="shared" si="1"/>
        <v>10.528</v>
      </c>
      <c r="H41" s="49">
        <f t="shared" si="2"/>
        <v>448</v>
      </c>
      <c r="I41" s="48" t="s">
        <v>170</v>
      </c>
      <c r="J41" s="48" t="s">
        <v>597</v>
      </c>
      <c r="K41" s="50" t="s">
        <v>164</v>
      </c>
      <c r="L41" s="51">
        <v>135.0</v>
      </c>
      <c r="M41" s="50" t="s">
        <v>166</v>
      </c>
      <c r="N41" s="51" t="s">
        <v>166</v>
      </c>
      <c r="O41" s="48">
        <v>277.0</v>
      </c>
      <c r="P41" s="48">
        <v>140.0</v>
      </c>
      <c r="Q41" s="48">
        <v>40.0</v>
      </c>
      <c r="R41" s="48">
        <v>2.0</v>
      </c>
      <c r="S41" s="50" t="s">
        <v>166</v>
      </c>
      <c r="T41" s="52" t="s">
        <v>167</v>
      </c>
      <c r="U41" s="52" t="s">
        <v>346</v>
      </c>
      <c r="V41" s="51">
        <v>1.0</v>
      </c>
      <c r="W41" s="51" t="s">
        <v>166</v>
      </c>
      <c r="X41" s="50" t="s">
        <v>166</v>
      </c>
      <c r="Y41" s="51" t="s">
        <v>166</v>
      </c>
      <c r="Z41" s="48" t="s">
        <v>166</v>
      </c>
      <c r="AA41" s="48" t="s">
        <v>194</v>
      </c>
      <c r="AB41" s="48" t="s">
        <v>194</v>
      </c>
      <c r="AC41" s="48" t="s">
        <v>166</v>
      </c>
      <c r="AD41" s="48" t="s">
        <v>166</v>
      </c>
      <c r="AE41" s="54" t="s">
        <v>166</v>
      </c>
      <c r="AF41" s="55" t="s">
        <v>166</v>
      </c>
      <c r="AG41" s="51" t="s">
        <v>166</v>
      </c>
      <c r="AH41" s="48">
        <v>1.0</v>
      </c>
      <c r="AI41" s="48" t="s">
        <v>166</v>
      </c>
      <c r="AJ41" s="50" t="s">
        <v>166</v>
      </c>
      <c r="AK41" s="56">
        <v>869.0</v>
      </c>
      <c r="AL41" s="57">
        <f>AK41*Sheets!$E$3</f>
        <v>119.7877395</v>
      </c>
      <c r="AM41" s="68"/>
      <c r="AN41" s="59"/>
      <c r="AO41" s="60"/>
      <c r="AP41" s="65">
        <v>45071.55559221064</v>
      </c>
      <c r="AQ41" s="66"/>
    </row>
    <row r="42">
      <c r="A42" s="69" t="str">
        <f t="shared" ref="A42:A43" si="6">HYPERLINK("https://metalfish.world.taobao.com/","Metalfish")</f>
        <v>Metalfish</v>
      </c>
      <c r="B42" s="46" t="s">
        <v>890</v>
      </c>
      <c r="C42" s="63" t="s">
        <v>262</v>
      </c>
      <c r="D42" s="48">
        <v>300.0</v>
      </c>
      <c r="E42" s="48">
        <v>160.0</v>
      </c>
      <c r="F42" s="48">
        <v>220.0</v>
      </c>
      <c r="G42" s="49">
        <f t="shared" si="1"/>
        <v>10.56</v>
      </c>
      <c r="H42" s="49">
        <f t="shared" si="2"/>
        <v>480</v>
      </c>
      <c r="I42" s="48">
        <v>1.5</v>
      </c>
      <c r="J42" s="48" t="s">
        <v>597</v>
      </c>
      <c r="K42" s="50" t="s">
        <v>473</v>
      </c>
      <c r="L42" s="51">
        <v>135.0</v>
      </c>
      <c r="M42" s="50" t="s">
        <v>166</v>
      </c>
      <c r="N42" s="51" t="s">
        <v>166</v>
      </c>
      <c r="O42" s="48">
        <v>290.0</v>
      </c>
      <c r="P42" s="48">
        <v>140.0</v>
      </c>
      <c r="Q42" s="48">
        <v>50.0</v>
      </c>
      <c r="R42" s="48">
        <v>2.0</v>
      </c>
      <c r="S42" s="50" t="s">
        <v>166</v>
      </c>
      <c r="T42" s="52" t="s">
        <v>167</v>
      </c>
      <c r="U42" s="52" t="s">
        <v>346</v>
      </c>
      <c r="V42" s="51" t="s">
        <v>193</v>
      </c>
      <c r="W42" s="48" t="s">
        <v>194</v>
      </c>
      <c r="X42" s="50" t="s">
        <v>166</v>
      </c>
      <c r="Y42" s="51" t="s">
        <v>166</v>
      </c>
      <c r="Z42" s="48" t="s">
        <v>166</v>
      </c>
      <c r="AA42" s="48" t="s">
        <v>166</v>
      </c>
      <c r="AB42" s="48">
        <v>1.0</v>
      </c>
      <c r="AC42" s="48" t="s">
        <v>166</v>
      </c>
      <c r="AD42" s="48" t="s">
        <v>166</v>
      </c>
      <c r="AE42" s="54" t="s">
        <v>166</v>
      </c>
      <c r="AF42" s="55" t="s">
        <v>166</v>
      </c>
      <c r="AG42" s="51" t="s">
        <v>166</v>
      </c>
      <c r="AH42" s="48">
        <v>2.0</v>
      </c>
      <c r="AI42" s="48" t="s">
        <v>166</v>
      </c>
      <c r="AJ42" s="50" t="s">
        <v>166</v>
      </c>
      <c r="AK42" s="56">
        <v>299.0</v>
      </c>
      <c r="AL42" s="57">
        <f>AK42*Sheets!$E$3</f>
        <v>41.2158045</v>
      </c>
      <c r="AM42" s="68"/>
      <c r="AN42" s="70"/>
      <c r="AO42" s="71"/>
      <c r="AP42" s="72">
        <v>45071.55563481482</v>
      </c>
      <c r="AQ42" s="66"/>
    </row>
    <row r="43">
      <c r="A43" s="69" t="str">
        <f t="shared" si="6"/>
        <v>Metalfish</v>
      </c>
      <c r="B43" s="46" t="s">
        <v>891</v>
      </c>
      <c r="C43" s="63" t="s">
        <v>262</v>
      </c>
      <c r="D43" s="48">
        <v>300.0</v>
      </c>
      <c r="E43" s="48">
        <v>160.0</v>
      </c>
      <c r="F43" s="48">
        <v>220.0</v>
      </c>
      <c r="G43" s="49">
        <f t="shared" si="1"/>
        <v>10.56</v>
      </c>
      <c r="H43" s="49">
        <f t="shared" si="2"/>
        <v>480</v>
      </c>
      <c r="I43" s="48">
        <v>1.5</v>
      </c>
      <c r="J43" s="48" t="s">
        <v>597</v>
      </c>
      <c r="K43" s="50" t="s">
        <v>473</v>
      </c>
      <c r="L43" s="51">
        <v>135.0</v>
      </c>
      <c r="M43" s="50" t="s">
        <v>166</v>
      </c>
      <c r="N43" s="51" t="s">
        <v>166</v>
      </c>
      <c r="O43" s="48">
        <v>290.0</v>
      </c>
      <c r="P43" s="48">
        <v>140.0</v>
      </c>
      <c r="Q43" s="48">
        <v>50.0</v>
      </c>
      <c r="R43" s="48">
        <v>2.0</v>
      </c>
      <c r="S43" s="50" t="s">
        <v>166</v>
      </c>
      <c r="T43" s="52" t="s">
        <v>167</v>
      </c>
      <c r="U43" s="52" t="s">
        <v>346</v>
      </c>
      <c r="V43" s="51" t="s">
        <v>412</v>
      </c>
      <c r="W43" s="48" t="s">
        <v>194</v>
      </c>
      <c r="X43" s="50" t="s">
        <v>166</v>
      </c>
      <c r="Y43" s="51" t="s">
        <v>166</v>
      </c>
      <c r="Z43" s="48" t="s">
        <v>166</v>
      </c>
      <c r="AA43" s="48" t="s">
        <v>166</v>
      </c>
      <c r="AB43" s="48">
        <v>1.0</v>
      </c>
      <c r="AC43" s="48" t="s">
        <v>166</v>
      </c>
      <c r="AD43" s="48" t="s">
        <v>166</v>
      </c>
      <c r="AE43" s="54" t="s">
        <v>166</v>
      </c>
      <c r="AF43" s="55" t="s">
        <v>166</v>
      </c>
      <c r="AG43" s="51" t="s">
        <v>166</v>
      </c>
      <c r="AH43" s="48">
        <v>2.0</v>
      </c>
      <c r="AI43" s="48" t="s">
        <v>166</v>
      </c>
      <c r="AJ43" s="50" t="s">
        <v>166</v>
      </c>
      <c r="AK43" s="56">
        <v>299.0</v>
      </c>
      <c r="AL43" s="57">
        <f>AK43*Sheets!$E$3</f>
        <v>41.2158045</v>
      </c>
      <c r="AM43" s="68"/>
      <c r="AN43" s="70"/>
      <c r="AO43" s="71"/>
      <c r="AP43" s="72">
        <v>45071.55564774305</v>
      </c>
      <c r="AQ43" s="66"/>
    </row>
    <row r="44">
      <c r="A44" s="69" t="str">
        <f>HYPERLINK("https://gsgzs.world.taobao.com/","GJ")</f>
        <v>GJ</v>
      </c>
      <c r="B44" s="73" t="s">
        <v>892</v>
      </c>
      <c r="C44" s="63" t="s">
        <v>248</v>
      </c>
      <c r="D44" s="48">
        <v>333.0</v>
      </c>
      <c r="E44" s="48">
        <v>155.0</v>
      </c>
      <c r="F44" s="48">
        <v>205.0</v>
      </c>
      <c r="G44" s="49">
        <f t="shared" si="1"/>
        <v>10.581075</v>
      </c>
      <c r="H44" s="49">
        <f t="shared" si="2"/>
        <v>516.15</v>
      </c>
      <c r="I44" s="48" t="s">
        <v>170</v>
      </c>
      <c r="J44" s="48" t="s">
        <v>164</v>
      </c>
      <c r="K44" s="50" t="s">
        <v>893</v>
      </c>
      <c r="L44" s="51">
        <v>65.0</v>
      </c>
      <c r="M44" s="50" t="s">
        <v>166</v>
      </c>
      <c r="N44" s="51" t="s">
        <v>174</v>
      </c>
      <c r="O44" s="48">
        <v>320.0</v>
      </c>
      <c r="P44" s="48">
        <v>135.0</v>
      </c>
      <c r="Q44" s="48">
        <v>55.0</v>
      </c>
      <c r="R44" s="48">
        <v>2.0</v>
      </c>
      <c r="S44" s="50" t="s">
        <v>166</v>
      </c>
      <c r="T44" s="52" t="s">
        <v>167</v>
      </c>
      <c r="U44" s="52" t="s">
        <v>324</v>
      </c>
      <c r="V44" s="51" t="s">
        <v>412</v>
      </c>
      <c r="W44" s="48" t="s">
        <v>166</v>
      </c>
      <c r="X44" s="50" t="s">
        <v>166</v>
      </c>
      <c r="Y44" s="51" t="s">
        <v>166</v>
      </c>
      <c r="Z44" s="48" t="s">
        <v>166</v>
      </c>
      <c r="AA44" s="48" t="s">
        <v>166</v>
      </c>
      <c r="AB44" s="48" t="s">
        <v>194</v>
      </c>
      <c r="AC44" s="48" t="s">
        <v>435</v>
      </c>
      <c r="AD44" s="48" t="s">
        <v>166</v>
      </c>
      <c r="AE44" s="54" t="s">
        <v>166</v>
      </c>
      <c r="AF44" s="55" t="s">
        <v>166</v>
      </c>
      <c r="AG44" s="51" t="s">
        <v>166</v>
      </c>
      <c r="AH44" s="48">
        <v>1.0</v>
      </c>
      <c r="AI44" s="48" t="s">
        <v>166</v>
      </c>
      <c r="AJ44" s="50" t="s">
        <v>166</v>
      </c>
      <c r="AK44" s="56">
        <v>899.0</v>
      </c>
      <c r="AL44" s="57">
        <f>AK44*Sheets!$E$3</f>
        <v>123.9231045</v>
      </c>
      <c r="AM44" s="68"/>
      <c r="AN44" s="70"/>
      <c r="AO44" s="71" t="s">
        <v>181</v>
      </c>
      <c r="AP44" s="71"/>
      <c r="AQ44" s="66"/>
    </row>
    <row r="45">
      <c r="A45" s="69" t="s">
        <v>894</v>
      </c>
      <c r="B45" s="73" t="s">
        <v>895</v>
      </c>
      <c r="C45" s="63" t="s">
        <v>248</v>
      </c>
      <c r="D45" s="48">
        <v>332.0</v>
      </c>
      <c r="E45" s="48">
        <v>149.0</v>
      </c>
      <c r="F45" s="48">
        <v>214.0</v>
      </c>
      <c r="G45" s="49">
        <f t="shared" si="1"/>
        <v>10.586152</v>
      </c>
      <c r="H45" s="49">
        <f t="shared" si="2"/>
        <v>494.68</v>
      </c>
      <c r="I45" s="48" t="s">
        <v>170</v>
      </c>
      <c r="J45" s="48" t="s">
        <v>274</v>
      </c>
      <c r="K45" s="50" t="s">
        <v>896</v>
      </c>
      <c r="L45" s="51">
        <v>65.0</v>
      </c>
      <c r="M45" s="50" t="s">
        <v>166</v>
      </c>
      <c r="N45" s="51" t="s">
        <v>174</v>
      </c>
      <c r="O45" s="48">
        <v>332.0</v>
      </c>
      <c r="P45" s="48">
        <v>147.0</v>
      </c>
      <c r="Q45" s="48">
        <v>55.0</v>
      </c>
      <c r="R45" s="48">
        <v>2.0</v>
      </c>
      <c r="S45" s="50" t="s">
        <v>166</v>
      </c>
      <c r="T45" s="52" t="s">
        <v>167</v>
      </c>
      <c r="U45" s="52" t="s">
        <v>346</v>
      </c>
      <c r="V45" s="51">
        <v>4.0</v>
      </c>
      <c r="W45" s="48">
        <v>2.0</v>
      </c>
      <c r="X45" s="50" t="s">
        <v>166</v>
      </c>
      <c r="Y45" s="51" t="s">
        <v>166</v>
      </c>
      <c r="Z45" s="48" t="s">
        <v>166</v>
      </c>
      <c r="AA45" s="48" t="s">
        <v>166</v>
      </c>
      <c r="AB45" s="48" t="s">
        <v>166</v>
      </c>
      <c r="AC45" s="48">
        <v>2.0</v>
      </c>
      <c r="AD45" s="48" t="s">
        <v>166</v>
      </c>
      <c r="AE45" s="54" t="s">
        <v>166</v>
      </c>
      <c r="AF45" s="55" t="s">
        <v>166</v>
      </c>
      <c r="AG45" s="51" t="s">
        <v>166</v>
      </c>
      <c r="AH45" s="48" t="s">
        <v>166</v>
      </c>
      <c r="AI45" s="48" t="s">
        <v>166</v>
      </c>
      <c r="AJ45" s="50" t="s">
        <v>166</v>
      </c>
      <c r="AK45" s="56">
        <v>499.0</v>
      </c>
      <c r="AL45" s="57">
        <f>AK45*Sheets!$E$3</f>
        <v>68.7849045</v>
      </c>
      <c r="AM45" s="58"/>
      <c r="AN45" s="70"/>
      <c r="AO45" s="71" t="s">
        <v>181</v>
      </c>
      <c r="AP45" s="72">
        <v>44442.91124048611</v>
      </c>
      <c r="AQ45" s="66"/>
    </row>
    <row r="46">
      <c r="A46" s="46" t="str">
        <f>HYPERLINK("https://shop115457374.world.taobao.com/","Sirius Case / 天狼星机箱")</f>
        <v>Sirius Case / 天狼星机箱</v>
      </c>
      <c r="B46" s="73" t="s">
        <v>897</v>
      </c>
      <c r="C46" s="63" t="s">
        <v>248</v>
      </c>
      <c r="D46" s="48">
        <v>324.0</v>
      </c>
      <c r="E46" s="48">
        <v>148.0</v>
      </c>
      <c r="F46" s="48">
        <v>221.0</v>
      </c>
      <c r="G46" s="49">
        <f t="shared" si="1"/>
        <v>10.597392</v>
      </c>
      <c r="H46" s="49">
        <f t="shared" si="2"/>
        <v>479.52</v>
      </c>
      <c r="I46" s="48">
        <v>2.0</v>
      </c>
      <c r="J46" s="48" t="s">
        <v>898</v>
      </c>
      <c r="K46" s="50" t="s">
        <v>255</v>
      </c>
      <c r="L46" s="51">
        <v>61.0</v>
      </c>
      <c r="M46" s="50" t="s">
        <v>166</v>
      </c>
      <c r="N46" s="51" t="s">
        <v>174</v>
      </c>
      <c r="O46" s="48">
        <v>303.0</v>
      </c>
      <c r="P46" s="48">
        <v>129.0</v>
      </c>
      <c r="Q46" s="48">
        <v>55.0</v>
      </c>
      <c r="R46" s="48">
        <v>2.0</v>
      </c>
      <c r="S46" s="50" t="s">
        <v>166</v>
      </c>
      <c r="T46" s="52" t="s">
        <v>167</v>
      </c>
      <c r="U46" s="52" t="s">
        <v>346</v>
      </c>
      <c r="V46" s="51" t="s">
        <v>412</v>
      </c>
      <c r="W46" s="48" t="s">
        <v>166</v>
      </c>
      <c r="X46" s="50" t="s">
        <v>166</v>
      </c>
      <c r="Y46" s="51" t="s">
        <v>166</v>
      </c>
      <c r="Z46" s="48" t="s">
        <v>166</v>
      </c>
      <c r="AA46" s="48" t="s">
        <v>166</v>
      </c>
      <c r="AB46" s="48">
        <v>3.0</v>
      </c>
      <c r="AC46" s="48" t="s">
        <v>166</v>
      </c>
      <c r="AD46" s="48" t="s">
        <v>166</v>
      </c>
      <c r="AE46" s="54" t="s">
        <v>166</v>
      </c>
      <c r="AF46" s="55" t="s">
        <v>166</v>
      </c>
      <c r="AG46" s="51" t="s">
        <v>166</v>
      </c>
      <c r="AH46" s="48" t="s">
        <v>166</v>
      </c>
      <c r="AI46" s="48" t="s">
        <v>166</v>
      </c>
      <c r="AJ46" s="50" t="s">
        <v>166</v>
      </c>
      <c r="AK46" s="56">
        <v>199.0</v>
      </c>
      <c r="AL46" s="57">
        <f>AK46*Sheets!$E$3</f>
        <v>27.4312545</v>
      </c>
      <c r="AM46" s="68"/>
      <c r="AN46" s="70"/>
      <c r="AO46" s="71" t="s">
        <v>181</v>
      </c>
      <c r="AP46" s="71"/>
      <c r="AQ46" s="66"/>
    </row>
    <row r="47">
      <c r="A47" s="46" t="str">
        <f>HYPERLINK("https://shop224033016.world.taobao.com/","魔神科技电脑机箱城")</f>
        <v>魔神科技电脑机箱城</v>
      </c>
      <c r="B47" s="73" t="s">
        <v>899</v>
      </c>
      <c r="C47" s="63" t="s">
        <v>282</v>
      </c>
      <c r="D47" s="48">
        <v>190.0</v>
      </c>
      <c r="E47" s="48">
        <v>155.0</v>
      </c>
      <c r="F47" s="48">
        <v>360.0</v>
      </c>
      <c r="G47" s="49">
        <f t="shared" si="1"/>
        <v>10.602</v>
      </c>
      <c r="H47" s="49">
        <f t="shared" si="2"/>
        <v>294.5</v>
      </c>
      <c r="I47" s="48">
        <v>1.0</v>
      </c>
      <c r="J47" s="48" t="s">
        <v>282</v>
      </c>
      <c r="K47" s="50" t="s">
        <v>164</v>
      </c>
      <c r="L47" s="51" t="s">
        <v>282</v>
      </c>
      <c r="M47" s="50" t="s">
        <v>166</v>
      </c>
      <c r="N47" s="51" t="s">
        <v>174</v>
      </c>
      <c r="O47" s="48">
        <v>330.0</v>
      </c>
      <c r="P47" s="48">
        <v>135.0</v>
      </c>
      <c r="Q47" s="48">
        <v>55.0</v>
      </c>
      <c r="R47" s="48">
        <v>2.0</v>
      </c>
      <c r="S47" s="50" t="s">
        <v>166</v>
      </c>
      <c r="T47" s="52" t="s">
        <v>167</v>
      </c>
      <c r="U47" s="52" t="s">
        <v>346</v>
      </c>
      <c r="V47" s="51">
        <v>2.0</v>
      </c>
      <c r="W47" s="48" t="s">
        <v>166</v>
      </c>
      <c r="X47" s="50" t="s">
        <v>166</v>
      </c>
      <c r="Y47" s="51" t="s">
        <v>166</v>
      </c>
      <c r="Z47" s="48" t="s">
        <v>166</v>
      </c>
      <c r="AA47" s="48" t="s">
        <v>166</v>
      </c>
      <c r="AB47" s="48" t="s">
        <v>166</v>
      </c>
      <c r="AC47" s="48" t="s">
        <v>166</v>
      </c>
      <c r="AD47" s="48" t="s">
        <v>166</v>
      </c>
      <c r="AE47" s="54" t="s">
        <v>166</v>
      </c>
      <c r="AF47" s="55" t="s">
        <v>166</v>
      </c>
      <c r="AG47" s="51" t="s">
        <v>166</v>
      </c>
      <c r="AH47" s="48" t="s">
        <v>166</v>
      </c>
      <c r="AI47" s="48" t="s">
        <v>166</v>
      </c>
      <c r="AJ47" s="50" t="s">
        <v>166</v>
      </c>
      <c r="AK47" s="56">
        <v>268.0</v>
      </c>
      <c r="AL47" s="57">
        <f>AK47*Sheets!$E$3</f>
        <v>36.942594</v>
      </c>
      <c r="AM47" s="68"/>
      <c r="AN47" s="70"/>
      <c r="AO47" s="71" t="s">
        <v>181</v>
      </c>
      <c r="AP47" s="65">
        <v>44442.91288131944</v>
      </c>
      <c r="AQ47" s="66"/>
    </row>
    <row r="48">
      <c r="A48" s="82" t="str">
        <f>HYPERLINK("https://www.geeekstore.com/","GEEEK")</f>
        <v>GEEEK</v>
      </c>
      <c r="B48" s="88" t="s">
        <v>900</v>
      </c>
      <c r="C48" s="63" t="s">
        <v>248</v>
      </c>
      <c r="D48" s="48">
        <v>340.0</v>
      </c>
      <c r="E48" s="48">
        <v>140.0</v>
      </c>
      <c r="F48" s="48">
        <v>223.0</v>
      </c>
      <c r="G48" s="49">
        <f t="shared" si="1"/>
        <v>10.6148</v>
      </c>
      <c r="H48" s="49">
        <f t="shared" si="2"/>
        <v>476</v>
      </c>
      <c r="I48" s="48" t="s">
        <v>170</v>
      </c>
      <c r="J48" s="48" t="s">
        <v>171</v>
      </c>
      <c r="K48" s="50" t="s">
        <v>447</v>
      </c>
      <c r="L48" s="51">
        <v>65.0</v>
      </c>
      <c r="M48" s="50" t="s">
        <v>547</v>
      </c>
      <c r="N48" s="51" t="s">
        <v>174</v>
      </c>
      <c r="O48" s="48">
        <v>320.0</v>
      </c>
      <c r="P48" s="48">
        <v>135.0</v>
      </c>
      <c r="Q48" s="48">
        <v>65.0</v>
      </c>
      <c r="R48" s="48">
        <v>2.0</v>
      </c>
      <c r="S48" s="50" t="s">
        <v>166</v>
      </c>
      <c r="T48" s="52" t="s">
        <v>167</v>
      </c>
      <c r="U48" s="52" t="s">
        <v>346</v>
      </c>
      <c r="V48" s="51" t="s">
        <v>193</v>
      </c>
      <c r="W48" s="48" t="s">
        <v>194</v>
      </c>
      <c r="X48" s="50" t="s">
        <v>166</v>
      </c>
      <c r="Y48" s="51" t="s">
        <v>166</v>
      </c>
      <c r="Z48" s="48" t="s">
        <v>166</v>
      </c>
      <c r="AA48" s="48" t="s">
        <v>166</v>
      </c>
      <c r="AB48" s="48" t="s">
        <v>166</v>
      </c>
      <c r="AC48" s="48">
        <v>4.0</v>
      </c>
      <c r="AD48" s="48" t="s">
        <v>166</v>
      </c>
      <c r="AE48" s="54" t="s">
        <v>166</v>
      </c>
      <c r="AF48" s="55" t="s">
        <v>166</v>
      </c>
      <c r="AG48" s="51" t="s">
        <v>166</v>
      </c>
      <c r="AH48" s="48" t="s">
        <v>166</v>
      </c>
      <c r="AI48" s="48" t="s">
        <v>166</v>
      </c>
      <c r="AJ48" s="50" t="s">
        <v>166</v>
      </c>
      <c r="AK48" s="56" t="s">
        <v>166</v>
      </c>
      <c r="AL48" s="57">
        <v>89.0</v>
      </c>
      <c r="AM48" s="64"/>
      <c r="AN48" s="59"/>
      <c r="AO48" s="60"/>
      <c r="AP48" s="65">
        <v>44563.99494711806</v>
      </c>
      <c r="AQ48" s="66"/>
    </row>
    <row r="49">
      <c r="A49" s="62" t="s">
        <v>292</v>
      </c>
      <c r="B49" s="62" t="s">
        <v>901</v>
      </c>
      <c r="C49" s="63" t="s">
        <v>262</v>
      </c>
      <c r="D49" s="48">
        <v>213.0</v>
      </c>
      <c r="E49" s="48">
        <v>156.0</v>
      </c>
      <c r="F49" s="48">
        <v>320.0</v>
      </c>
      <c r="G49" s="49">
        <f t="shared" si="1"/>
        <v>10.63296</v>
      </c>
      <c r="H49" s="49">
        <f t="shared" si="2"/>
        <v>332.28</v>
      </c>
      <c r="I49" s="48" t="s">
        <v>170</v>
      </c>
      <c r="J49" s="48" t="s">
        <v>164</v>
      </c>
      <c r="K49" s="50" t="s">
        <v>164</v>
      </c>
      <c r="L49" s="51">
        <v>136.0</v>
      </c>
      <c r="M49" s="50" t="s">
        <v>166</v>
      </c>
      <c r="N49" s="51" t="s">
        <v>166</v>
      </c>
      <c r="O49" s="48">
        <v>277.0</v>
      </c>
      <c r="P49" s="48">
        <v>141.0</v>
      </c>
      <c r="Q49" s="48">
        <v>40.0</v>
      </c>
      <c r="R49" s="48">
        <v>2.0</v>
      </c>
      <c r="S49" s="50" t="s">
        <v>166</v>
      </c>
      <c r="T49" s="52" t="s">
        <v>167</v>
      </c>
      <c r="U49" s="52" t="s">
        <v>816</v>
      </c>
      <c r="V49" s="51" t="s">
        <v>166</v>
      </c>
      <c r="W49" s="48" t="s">
        <v>166</v>
      </c>
      <c r="X49" s="50" t="s">
        <v>166</v>
      </c>
      <c r="Y49" s="51" t="s">
        <v>166</v>
      </c>
      <c r="Z49" s="48" t="s">
        <v>166</v>
      </c>
      <c r="AA49" s="48" t="s">
        <v>166</v>
      </c>
      <c r="AB49" s="48">
        <v>2.0</v>
      </c>
      <c r="AC49" s="48" t="s">
        <v>166</v>
      </c>
      <c r="AD49" s="48" t="s">
        <v>166</v>
      </c>
      <c r="AE49" s="54" t="s">
        <v>166</v>
      </c>
      <c r="AF49" s="55" t="s">
        <v>166</v>
      </c>
      <c r="AG49" s="51" t="s">
        <v>166</v>
      </c>
      <c r="AH49" s="48" t="s">
        <v>166</v>
      </c>
      <c r="AI49" s="48" t="s">
        <v>166</v>
      </c>
      <c r="AJ49" s="50" t="s">
        <v>166</v>
      </c>
      <c r="AK49" s="56" t="s">
        <v>166</v>
      </c>
      <c r="AL49" s="57" t="s">
        <v>166</v>
      </c>
      <c r="AM49" s="64" t="s">
        <v>214</v>
      </c>
      <c r="AN49" s="59"/>
      <c r="AO49" s="60" t="s">
        <v>181</v>
      </c>
      <c r="AP49" s="65">
        <v>45071.555661377315</v>
      </c>
      <c r="AQ49" s="66"/>
    </row>
    <row r="50">
      <c r="A50" s="69" t="str">
        <f>HYPERLINK("https://shop70176301.world.taobao.com/","Dream Case")</f>
        <v>Dream Case</v>
      </c>
      <c r="B50" s="73" t="s">
        <v>902</v>
      </c>
      <c r="C50" s="63" t="s">
        <v>248</v>
      </c>
      <c r="D50" s="48">
        <v>315.0</v>
      </c>
      <c r="E50" s="48">
        <v>130.0</v>
      </c>
      <c r="F50" s="48">
        <v>260.0</v>
      </c>
      <c r="G50" s="49">
        <f t="shared" si="1"/>
        <v>10.647</v>
      </c>
      <c r="H50" s="49">
        <f t="shared" si="2"/>
        <v>409.5</v>
      </c>
      <c r="I50" s="48" t="s">
        <v>170</v>
      </c>
      <c r="J50" s="48" t="s">
        <v>171</v>
      </c>
      <c r="K50" s="50" t="s">
        <v>171</v>
      </c>
      <c r="L50" s="51">
        <v>55.0</v>
      </c>
      <c r="M50" s="50" t="s">
        <v>547</v>
      </c>
      <c r="N50" s="51" t="s">
        <v>174</v>
      </c>
      <c r="O50" s="48">
        <v>310.0</v>
      </c>
      <c r="P50" s="48">
        <v>148.0</v>
      </c>
      <c r="Q50" s="48">
        <v>50.0</v>
      </c>
      <c r="R50" s="48">
        <v>2.0</v>
      </c>
      <c r="S50" s="50" t="s">
        <v>166</v>
      </c>
      <c r="T50" s="52" t="s">
        <v>227</v>
      </c>
      <c r="U50" s="52" t="s">
        <v>324</v>
      </c>
      <c r="V50" s="51">
        <v>1.0</v>
      </c>
      <c r="W50" s="48" t="s">
        <v>166</v>
      </c>
      <c r="X50" s="50" t="s">
        <v>166</v>
      </c>
      <c r="Y50" s="51" t="s">
        <v>166</v>
      </c>
      <c r="Z50" s="48" t="s">
        <v>166</v>
      </c>
      <c r="AA50" s="48" t="s">
        <v>166</v>
      </c>
      <c r="AB50" s="48" t="s">
        <v>166</v>
      </c>
      <c r="AC50" s="48">
        <v>2.0</v>
      </c>
      <c r="AD50" s="48" t="s">
        <v>166</v>
      </c>
      <c r="AE50" s="54" t="s">
        <v>166</v>
      </c>
      <c r="AF50" s="55" t="s">
        <v>166</v>
      </c>
      <c r="AG50" s="51" t="s">
        <v>166</v>
      </c>
      <c r="AH50" s="48" t="s">
        <v>166</v>
      </c>
      <c r="AI50" s="48" t="s">
        <v>166</v>
      </c>
      <c r="AJ50" s="50" t="s">
        <v>166</v>
      </c>
      <c r="AK50" s="56">
        <v>270.0</v>
      </c>
      <c r="AL50" s="57">
        <f>AK50*Sheets!$E$3</f>
        <v>37.218285</v>
      </c>
      <c r="AM50" s="58"/>
      <c r="AN50" s="59"/>
      <c r="AO50" s="60" t="s">
        <v>181</v>
      </c>
      <c r="AP50" s="65">
        <v>44737.67583828703</v>
      </c>
      <c r="AQ50" s="66"/>
    </row>
    <row r="51">
      <c r="A51" s="46" t="s">
        <v>746</v>
      </c>
      <c r="B51" s="73" t="s">
        <v>903</v>
      </c>
      <c r="C51" s="63" t="s">
        <v>248</v>
      </c>
      <c r="D51" s="48">
        <v>361.0</v>
      </c>
      <c r="E51" s="48">
        <v>145.0</v>
      </c>
      <c r="F51" s="48">
        <v>203.6</v>
      </c>
      <c r="G51" s="49">
        <f t="shared" si="1"/>
        <v>10.657442</v>
      </c>
      <c r="H51" s="49">
        <f t="shared" si="2"/>
        <v>523.45</v>
      </c>
      <c r="I51" s="48">
        <v>1.25</v>
      </c>
      <c r="J51" s="48" t="s">
        <v>164</v>
      </c>
      <c r="K51" s="50" t="s">
        <v>191</v>
      </c>
      <c r="L51" s="51">
        <v>60.0</v>
      </c>
      <c r="M51" s="50" t="s">
        <v>166</v>
      </c>
      <c r="N51" s="51" t="s">
        <v>174</v>
      </c>
      <c r="O51" s="48">
        <v>331.0</v>
      </c>
      <c r="P51" s="48">
        <v>140.0</v>
      </c>
      <c r="Q51" s="48">
        <v>56.0</v>
      </c>
      <c r="R51" s="48">
        <v>2.0</v>
      </c>
      <c r="S51" s="50" t="s">
        <v>166</v>
      </c>
      <c r="T51" s="52" t="s">
        <v>167</v>
      </c>
      <c r="U51" s="52" t="s">
        <v>346</v>
      </c>
      <c r="V51" s="51">
        <v>1.0</v>
      </c>
      <c r="W51" s="48">
        <v>1.0</v>
      </c>
      <c r="X51" s="50" t="s">
        <v>166</v>
      </c>
      <c r="Y51" s="51" t="s">
        <v>166</v>
      </c>
      <c r="Z51" s="48" t="s">
        <v>166</v>
      </c>
      <c r="AA51" s="48" t="s">
        <v>166</v>
      </c>
      <c r="AB51" s="48" t="s">
        <v>166</v>
      </c>
      <c r="AC51" s="48" t="s">
        <v>166</v>
      </c>
      <c r="AD51" s="48" t="s">
        <v>166</v>
      </c>
      <c r="AE51" s="54" t="s">
        <v>166</v>
      </c>
      <c r="AF51" s="55" t="s">
        <v>166</v>
      </c>
      <c r="AG51" s="51" t="s">
        <v>166</v>
      </c>
      <c r="AH51" s="48" t="s">
        <v>166</v>
      </c>
      <c r="AI51" s="48" t="s">
        <v>166</v>
      </c>
      <c r="AJ51" s="50" t="s">
        <v>166</v>
      </c>
      <c r="AK51" s="56">
        <v>2199.0</v>
      </c>
      <c r="AL51" s="57">
        <f>AK51*Sheets!$E$3</f>
        <v>303.1222545</v>
      </c>
      <c r="AM51" s="68"/>
      <c r="AN51" s="59"/>
      <c r="AO51" s="60" t="s">
        <v>181</v>
      </c>
      <c r="AP51" s="65">
        <v>45446.48974913194</v>
      </c>
      <c r="AQ51" s="66"/>
    </row>
    <row r="52">
      <c r="A52" s="82" t="s">
        <v>904</v>
      </c>
      <c r="B52" s="62" t="s">
        <v>905</v>
      </c>
      <c r="C52" s="63" t="s">
        <v>248</v>
      </c>
      <c r="D52" s="48">
        <v>330.0</v>
      </c>
      <c r="E52" s="48">
        <v>149.0</v>
      </c>
      <c r="F52" s="48">
        <v>217.0</v>
      </c>
      <c r="G52" s="49">
        <f t="shared" si="1"/>
        <v>10.66989</v>
      </c>
      <c r="H52" s="49">
        <f t="shared" si="2"/>
        <v>491.7</v>
      </c>
      <c r="I52" s="48">
        <v>2.4</v>
      </c>
      <c r="J52" s="48" t="s">
        <v>164</v>
      </c>
      <c r="K52" s="50" t="s">
        <v>164</v>
      </c>
      <c r="L52" s="51">
        <v>70.0</v>
      </c>
      <c r="M52" s="50" t="s">
        <v>166</v>
      </c>
      <c r="N52" s="51" t="s">
        <v>174</v>
      </c>
      <c r="O52" s="48">
        <v>305.0</v>
      </c>
      <c r="P52" s="48">
        <v>140.0</v>
      </c>
      <c r="Q52" s="48">
        <v>45.0</v>
      </c>
      <c r="R52" s="48">
        <v>2.0</v>
      </c>
      <c r="S52" s="50" t="s">
        <v>166</v>
      </c>
      <c r="T52" s="52" t="s">
        <v>167</v>
      </c>
      <c r="U52" s="52" t="s">
        <v>346</v>
      </c>
      <c r="V52" s="51" t="s">
        <v>412</v>
      </c>
      <c r="W52" s="48" t="s">
        <v>166</v>
      </c>
      <c r="X52" s="50" t="s">
        <v>166</v>
      </c>
      <c r="Y52" s="51" t="s">
        <v>166</v>
      </c>
      <c r="Z52" s="48" t="s">
        <v>166</v>
      </c>
      <c r="AA52" s="48" t="s">
        <v>166</v>
      </c>
      <c r="AB52" s="48" t="s">
        <v>166</v>
      </c>
      <c r="AC52" s="48">
        <v>2.0</v>
      </c>
      <c r="AD52" s="48" t="s">
        <v>166</v>
      </c>
      <c r="AE52" s="54" t="s">
        <v>166</v>
      </c>
      <c r="AF52" s="55" t="s">
        <v>166</v>
      </c>
      <c r="AG52" s="51" t="s">
        <v>166</v>
      </c>
      <c r="AH52" s="48">
        <v>2.0</v>
      </c>
      <c r="AI52" s="48">
        <v>1.0</v>
      </c>
      <c r="AJ52" s="50" t="s">
        <v>174</v>
      </c>
      <c r="AK52" s="56">
        <v>1299.0</v>
      </c>
      <c r="AL52" s="57">
        <v>299.0</v>
      </c>
      <c r="AM52" s="58"/>
      <c r="AN52" s="59"/>
      <c r="AO52" s="60"/>
      <c r="AP52" s="65">
        <v>44528.461697962965</v>
      </c>
      <c r="AQ52" s="66"/>
    </row>
    <row r="53">
      <c r="A53" s="46" t="str">
        <f>HYPERLINK("https://lxdj.world.taobao.com/","浪险电竞装机馆")</f>
        <v>浪险电竞装机馆</v>
      </c>
      <c r="B53" s="46" t="str">
        <f>HYPERLINK("https://item.taobao.com/item.htm?id=611494105738","ProArtist Elfish 3")</f>
        <v>ProArtist Elfish 3</v>
      </c>
      <c r="C53" s="63" t="s">
        <v>248</v>
      </c>
      <c r="D53" s="51">
        <v>320.0</v>
      </c>
      <c r="E53" s="51">
        <v>145.0</v>
      </c>
      <c r="F53" s="51">
        <v>230.0</v>
      </c>
      <c r="G53" s="81">
        <f t="shared" si="1"/>
        <v>10.672</v>
      </c>
      <c r="H53" s="81">
        <f t="shared" si="2"/>
        <v>464</v>
      </c>
      <c r="I53" s="51">
        <v>5.5</v>
      </c>
      <c r="J53" s="48" t="s">
        <v>164</v>
      </c>
      <c r="K53" s="52" t="s">
        <v>319</v>
      </c>
      <c r="L53" s="51">
        <v>56.0</v>
      </c>
      <c r="M53" s="50" t="s">
        <v>166</v>
      </c>
      <c r="N53" s="51" t="s">
        <v>174</v>
      </c>
      <c r="O53" s="51">
        <v>290.0</v>
      </c>
      <c r="P53" s="51" t="s">
        <v>170</v>
      </c>
      <c r="Q53" s="51">
        <v>40.0</v>
      </c>
      <c r="R53" s="51">
        <v>2.0</v>
      </c>
      <c r="S53" s="52" t="s">
        <v>166</v>
      </c>
      <c r="T53" s="52" t="s">
        <v>167</v>
      </c>
      <c r="U53" s="52" t="s">
        <v>324</v>
      </c>
      <c r="V53" s="51" t="s">
        <v>170</v>
      </c>
      <c r="W53" s="51" t="s">
        <v>166</v>
      </c>
      <c r="X53" s="52" t="s">
        <v>166</v>
      </c>
      <c r="Y53" s="51" t="s">
        <v>166</v>
      </c>
      <c r="Z53" s="51" t="s">
        <v>166</v>
      </c>
      <c r="AA53" s="51" t="s">
        <v>166</v>
      </c>
      <c r="AB53" s="51" t="s">
        <v>166</v>
      </c>
      <c r="AC53" s="51">
        <v>2.0</v>
      </c>
      <c r="AD53" s="51" t="s">
        <v>166</v>
      </c>
      <c r="AE53" s="54" t="s">
        <v>166</v>
      </c>
      <c r="AF53" s="55" t="s">
        <v>166</v>
      </c>
      <c r="AG53" s="51" t="s">
        <v>166</v>
      </c>
      <c r="AH53" s="48" t="s">
        <v>166</v>
      </c>
      <c r="AI53" s="48">
        <v>1.0</v>
      </c>
      <c r="AJ53" s="50" t="s">
        <v>166</v>
      </c>
      <c r="AK53" s="56">
        <v>1399.0</v>
      </c>
      <c r="AL53" s="57">
        <f>AK53*Sheets!$E$3</f>
        <v>192.8458545</v>
      </c>
      <c r="AM53" s="68"/>
      <c r="AN53" s="59"/>
      <c r="AO53" s="60"/>
      <c r="AP53" s="133">
        <v>44681.59825363426</v>
      </c>
      <c r="AQ53" s="130"/>
    </row>
    <row r="54">
      <c r="A54" s="46" t="str">
        <f>HYPERLINK("https://shop115457374.world.taobao.com/","Sirius Case / 天狼星机箱")</f>
        <v>Sirius Case / 天狼星机箱</v>
      </c>
      <c r="B54" s="46" t="s">
        <v>906</v>
      </c>
      <c r="C54" s="63" t="s">
        <v>248</v>
      </c>
      <c r="D54" s="51">
        <v>331.0</v>
      </c>
      <c r="E54" s="51">
        <v>150.0</v>
      </c>
      <c r="F54" s="51">
        <v>216.0</v>
      </c>
      <c r="G54" s="81">
        <f t="shared" si="1"/>
        <v>10.7244</v>
      </c>
      <c r="H54" s="81">
        <f t="shared" si="2"/>
        <v>496.5</v>
      </c>
      <c r="I54" s="51">
        <v>2.0</v>
      </c>
      <c r="J54" s="48" t="s">
        <v>274</v>
      </c>
      <c r="K54" s="52" t="s">
        <v>706</v>
      </c>
      <c r="L54" s="51">
        <v>60.0</v>
      </c>
      <c r="M54" s="50" t="s">
        <v>166</v>
      </c>
      <c r="N54" s="51" t="s">
        <v>174</v>
      </c>
      <c r="O54" s="51">
        <v>325.0</v>
      </c>
      <c r="P54" s="51">
        <v>143.0</v>
      </c>
      <c r="Q54" s="51">
        <v>61.0</v>
      </c>
      <c r="R54" s="51">
        <v>2.0</v>
      </c>
      <c r="S54" s="52" t="s">
        <v>166</v>
      </c>
      <c r="T54" s="52" t="s">
        <v>167</v>
      </c>
      <c r="U54" s="52" t="s">
        <v>346</v>
      </c>
      <c r="V54" s="51">
        <v>4.0</v>
      </c>
      <c r="W54" s="51">
        <v>3.0</v>
      </c>
      <c r="X54" s="52" t="s">
        <v>166</v>
      </c>
      <c r="Y54" s="51" t="s">
        <v>166</v>
      </c>
      <c r="Z54" s="51">
        <v>4.0</v>
      </c>
      <c r="AA54" s="51" t="s">
        <v>166</v>
      </c>
      <c r="AB54" s="51" t="s">
        <v>166</v>
      </c>
      <c r="AC54" s="51">
        <v>2.0</v>
      </c>
      <c r="AD54" s="51" t="s">
        <v>166</v>
      </c>
      <c r="AE54" s="54" t="s">
        <v>166</v>
      </c>
      <c r="AF54" s="55" t="s">
        <v>166</v>
      </c>
      <c r="AG54" s="51" t="s">
        <v>166</v>
      </c>
      <c r="AH54" s="48" t="s">
        <v>166</v>
      </c>
      <c r="AI54" s="48" t="s">
        <v>166</v>
      </c>
      <c r="AJ54" s="50" t="s">
        <v>166</v>
      </c>
      <c r="AK54" s="56">
        <v>269.0</v>
      </c>
      <c r="AL54" s="57">
        <f>AK54*Sheets!$E$3</f>
        <v>37.0804395</v>
      </c>
      <c r="AM54" s="68"/>
      <c r="AN54" s="70"/>
      <c r="AO54" s="126"/>
      <c r="AP54" s="126"/>
      <c r="AQ54" s="130"/>
    </row>
    <row r="55">
      <c r="A55" s="69" t="str">
        <f>HYPERLINK("https://sunmilo.world.taobao.com/","Sunmilo Studio")</f>
        <v>Sunmilo Studio</v>
      </c>
      <c r="B55" s="46" t="str">
        <f>HYPERLINK("https://item.taobao.com/item.htm?id=572918958857","T03 Pro")</f>
        <v>T03 Pro</v>
      </c>
      <c r="C55" s="63" t="s">
        <v>248</v>
      </c>
      <c r="D55" s="51">
        <v>320.0</v>
      </c>
      <c r="E55" s="51">
        <v>130.0</v>
      </c>
      <c r="F55" s="51">
        <v>258.0</v>
      </c>
      <c r="G55" s="81">
        <f t="shared" si="1"/>
        <v>10.7328</v>
      </c>
      <c r="H55" s="81">
        <f t="shared" si="2"/>
        <v>416</v>
      </c>
      <c r="I55" s="51">
        <v>5.0</v>
      </c>
      <c r="J55" s="48" t="s">
        <v>235</v>
      </c>
      <c r="K55" s="52" t="s">
        <v>164</v>
      </c>
      <c r="L55" s="51">
        <v>56.0</v>
      </c>
      <c r="M55" s="50" t="s">
        <v>547</v>
      </c>
      <c r="N55" s="51" t="s">
        <v>174</v>
      </c>
      <c r="O55" s="51">
        <v>314.0</v>
      </c>
      <c r="P55" s="51">
        <v>135.0</v>
      </c>
      <c r="Q55" s="51">
        <v>48.0</v>
      </c>
      <c r="R55" s="51">
        <v>2.0</v>
      </c>
      <c r="S55" s="52" t="s">
        <v>166</v>
      </c>
      <c r="T55" s="52" t="s">
        <v>167</v>
      </c>
      <c r="U55" s="52" t="s">
        <v>324</v>
      </c>
      <c r="V55" s="51">
        <v>2.0</v>
      </c>
      <c r="W55" s="51" t="s">
        <v>166</v>
      </c>
      <c r="X55" s="52" t="s">
        <v>166</v>
      </c>
      <c r="Y55" s="51" t="s">
        <v>166</v>
      </c>
      <c r="Z55" s="51" t="s">
        <v>166</v>
      </c>
      <c r="AA55" s="51" t="s">
        <v>166</v>
      </c>
      <c r="AB55" s="51" t="s">
        <v>166</v>
      </c>
      <c r="AC55" s="51">
        <v>4.0</v>
      </c>
      <c r="AD55" s="51" t="s">
        <v>166</v>
      </c>
      <c r="AE55" s="54" t="s">
        <v>166</v>
      </c>
      <c r="AF55" s="55" t="s">
        <v>166</v>
      </c>
      <c r="AG55" s="51" t="s">
        <v>166</v>
      </c>
      <c r="AH55" s="48" t="s">
        <v>166</v>
      </c>
      <c r="AI55" s="48" t="s">
        <v>166</v>
      </c>
      <c r="AJ55" s="50" t="s">
        <v>166</v>
      </c>
      <c r="AK55" s="56">
        <v>839.0</v>
      </c>
      <c r="AL55" s="57">
        <f>AK55*Sheets!$E$3</f>
        <v>115.6523745</v>
      </c>
      <c r="AM55" s="68"/>
      <c r="AN55" s="59"/>
      <c r="AO55" s="132"/>
      <c r="AP55" s="133">
        <v>44681.59833700232</v>
      </c>
      <c r="AQ55" s="130"/>
    </row>
    <row r="56">
      <c r="A56" s="91" t="s">
        <v>907</v>
      </c>
      <c r="B56" s="62" t="s">
        <v>908</v>
      </c>
      <c r="C56" s="63" t="s">
        <v>225</v>
      </c>
      <c r="D56" s="51">
        <v>356.0</v>
      </c>
      <c r="E56" s="51">
        <v>67.0</v>
      </c>
      <c r="F56" s="51">
        <v>451.0</v>
      </c>
      <c r="G56" s="81">
        <f t="shared" si="1"/>
        <v>10.757252</v>
      </c>
      <c r="H56" s="81">
        <f t="shared" si="2"/>
        <v>238.52</v>
      </c>
      <c r="I56" s="51">
        <v>3.0</v>
      </c>
      <c r="J56" s="48" t="s">
        <v>164</v>
      </c>
      <c r="K56" s="52" t="s">
        <v>524</v>
      </c>
      <c r="L56" s="51">
        <v>50.0</v>
      </c>
      <c r="M56" s="52" t="s">
        <v>909</v>
      </c>
      <c r="N56" s="51" t="s">
        <v>174</v>
      </c>
      <c r="O56" s="51">
        <v>340.0</v>
      </c>
      <c r="P56" s="51">
        <v>135.0</v>
      </c>
      <c r="Q56" s="51">
        <v>63.0</v>
      </c>
      <c r="R56" s="51">
        <v>3.0</v>
      </c>
      <c r="S56" s="52" t="s">
        <v>166</v>
      </c>
      <c r="T56" s="52" t="s">
        <v>167</v>
      </c>
      <c r="U56" s="52" t="s">
        <v>324</v>
      </c>
      <c r="V56" s="51" t="s">
        <v>910</v>
      </c>
      <c r="W56" s="51" t="s">
        <v>194</v>
      </c>
      <c r="X56" s="52" t="s">
        <v>166</v>
      </c>
      <c r="Y56" s="51" t="s">
        <v>166</v>
      </c>
      <c r="Z56" s="51" t="s">
        <v>166</v>
      </c>
      <c r="AA56" s="51" t="s">
        <v>166</v>
      </c>
      <c r="AB56" s="51" t="s">
        <v>166</v>
      </c>
      <c r="AC56" s="51">
        <v>3.0</v>
      </c>
      <c r="AD56" s="51" t="s">
        <v>166</v>
      </c>
      <c r="AE56" s="54" t="s">
        <v>166</v>
      </c>
      <c r="AF56" s="55" t="s">
        <v>166</v>
      </c>
      <c r="AG56" s="51" t="s">
        <v>166</v>
      </c>
      <c r="AH56" s="48" t="s">
        <v>166</v>
      </c>
      <c r="AI56" s="48" t="s">
        <v>166</v>
      </c>
      <c r="AJ56" s="50" t="s">
        <v>166</v>
      </c>
      <c r="AK56" s="56" t="s">
        <v>166</v>
      </c>
      <c r="AL56" s="57">
        <f>163*1.16</f>
        <v>189.08</v>
      </c>
      <c r="AM56" s="64" t="s">
        <v>214</v>
      </c>
      <c r="AN56" s="64" t="s">
        <v>214</v>
      </c>
      <c r="AO56" s="137" t="s">
        <v>181</v>
      </c>
      <c r="AP56" s="133">
        <v>45056.402232465276</v>
      </c>
      <c r="AQ56" s="130"/>
    </row>
    <row r="57">
      <c r="A57" s="61" t="s">
        <v>209</v>
      </c>
      <c r="B57" s="138" t="str">
        <f>HYPERLINK("https://www.silverstonetek.com/product.php?pid=413","SG05")</f>
        <v>SG05</v>
      </c>
      <c r="C57" s="63" t="s">
        <v>262</v>
      </c>
      <c r="D57" s="51">
        <v>276.0</v>
      </c>
      <c r="E57" s="51">
        <v>222.0</v>
      </c>
      <c r="F57" s="51">
        <v>176.0</v>
      </c>
      <c r="G57" s="81">
        <f t="shared" si="1"/>
        <v>10.783872</v>
      </c>
      <c r="H57" s="81">
        <f t="shared" si="2"/>
        <v>612.72</v>
      </c>
      <c r="I57" s="51">
        <v>2.3</v>
      </c>
      <c r="J57" s="48" t="s">
        <v>171</v>
      </c>
      <c r="K57" s="52" t="s">
        <v>211</v>
      </c>
      <c r="L57" s="51">
        <v>82.0</v>
      </c>
      <c r="M57" s="52" t="s">
        <v>166</v>
      </c>
      <c r="N57" s="51" t="s">
        <v>166</v>
      </c>
      <c r="O57" s="51">
        <v>254.0</v>
      </c>
      <c r="P57" s="51">
        <v>129.0</v>
      </c>
      <c r="Q57" s="51">
        <v>40.0</v>
      </c>
      <c r="R57" s="51">
        <v>2.0</v>
      </c>
      <c r="S57" s="52" t="s">
        <v>166</v>
      </c>
      <c r="T57" s="52" t="s">
        <v>227</v>
      </c>
      <c r="U57" s="52" t="s">
        <v>324</v>
      </c>
      <c r="V57" s="51">
        <v>1.0</v>
      </c>
      <c r="W57" s="51">
        <v>1.0</v>
      </c>
      <c r="X57" s="52" t="s">
        <v>208</v>
      </c>
      <c r="Y57" s="51" t="s">
        <v>166</v>
      </c>
      <c r="Z57" s="51" t="s">
        <v>166</v>
      </c>
      <c r="AA57" s="51" t="s">
        <v>166</v>
      </c>
      <c r="AB57" s="51" t="s">
        <v>166</v>
      </c>
      <c r="AC57" s="51">
        <v>1.0</v>
      </c>
      <c r="AD57" s="51" t="s">
        <v>166</v>
      </c>
      <c r="AE57" s="54" t="s">
        <v>166</v>
      </c>
      <c r="AF57" s="55" t="s">
        <v>166</v>
      </c>
      <c r="AG57" s="51" t="s">
        <v>166</v>
      </c>
      <c r="AH57" s="48">
        <v>2.0</v>
      </c>
      <c r="AI57" s="48" t="s">
        <v>166</v>
      </c>
      <c r="AJ57" s="50" t="s">
        <v>174</v>
      </c>
      <c r="AK57" s="56" t="s">
        <v>166</v>
      </c>
      <c r="AL57" s="57">
        <v>50.0</v>
      </c>
      <c r="AM57" s="58"/>
      <c r="AN57" s="59"/>
      <c r="AO57" s="132"/>
      <c r="AP57" s="133">
        <v>44644.50482652777</v>
      </c>
      <c r="AQ57" s="130"/>
    </row>
    <row r="58">
      <c r="A58" s="69" t="s">
        <v>911</v>
      </c>
      <c r="B58" s="125" t="s">
        <v>912</v>
      </c>
      <c r="C58" s="63" t="s">
        <v>262</v>
      </c>
      <c r="D58" s="51">
        <v>289.0</v>
      </c>
      <c r="E58" s="51">
        <v>170.0</v>
      </c>
      <c r="F58" s="51">
        <v>220.0</v>
      </c>
      <c r="G58" s="81">
        <f t="shared" si="1"/>
        <v>10.8086</v>
      </c>
      <c r="H58" s="81">
        <f t="shared" si="2"/>
        <v>491.3</v>
      </c>
      <c r="I58" s="51" t="s">
        <v>170</v>
      </c>
      <c r="J58" s="48" t="s">
        <v>597</v>
      </c>
      <c r="K58" s="52" t="s">
        <v>164</v>
      </c>
      <c r="L58" s="51">
        <v>130.0</v>
      </c>
      <c r="M58" s="52" t="s">
        <v>166</v>
      </c>
      <c r="N58" s="51" t="s">
        <v>166</v>
      </c>
      <c r="O58" s="51">
        <v>270.0</v>
      </c>
      <c r="P58" s="51">
        <v>135.0</v>
      </c>
      <c r="Q58" s="51">
        <v>40.0</v>
      </c>
      <c r="R58" s="51">
        <v>2.0</v>
      </c>
      <c r="S58" s="52" t="s">
        <v>166</v>
      </c>
      <c r="T58" s="52" t="s">
        <v>227</v>
      </c>
      <c r="U58" s="52" t="s">
        <v>324</v>
      </c>
      <c r="V58" s="51">
        <v>3.0</v>
      </c>
      <c r="W58" s="51" t="s">
        <v>166</v>
      </c>
      <c r="X58" s="52" t="s">
        <v>166</v>
      </c>
      <c r="Y58" s="51" t="s">
        <v>166</v>
      </c>
      <c r="Z58" s="51" t="s">
        <v>166</v>
      </c>
      <c r="AA58" s="51" t="s">
        <v>166</v>
      </c>
      <c r="AB58" s="51">
        <v>1.0</v>
      </c>
      <c r="AC58" s="51">
        <v>1.0</v>
      </c>
      <c r="AD58" s="51" t="s">
        <v>166</v>
      </c>
      <c r="AE58" s="54" t="s">
        <v>166</v>
      </c>
      <c r="AF58" s="55" t="s">
        <v>166</v>
      </c>
      <c r="AG58" s="51" t="s">
        <v>166</v>
      </c>
      <c r="AH58" s="48" t="s">
        <v>166</v>
      </c>
      <c r="AI58" s="48" t="s">
        <v>166</v>
      </c>
      <c r="AJ58" s="50" t="s">
        <v>166</v>
      </c>
      <c r="AK58" s="56">
        <v>550.0</v>
      </c>
      <c r="AL58" s="57">
        <f>AK58*Sheets!$E$3</f>
        <v>75.815025</v>
      </c>
      <c r="AM58" s="68"/>
      <c r="AN58" s="59"/>
      <c r="AO58" s="137" t="s">
        <v>181</v>
      </c>
      <c r="AP58" s="133">
        <v>45127.99966077546</v>
      </c>
      <c r="AQ58" s="130"/>
    </row>
    <row r="59">
      <c r="A59" s="99" t="s">
        <v>754</v>
      </c>
      <c r="B59" s="73" t="s">
        <v>913</v>
      </c>
      <c r="C59" s="63" t="s">
        <v>262</v>
      </c>
      <c r="D59" s="48">
        <v>317.0</v>
      </c>
      <c r="E59" s="48">
        <v>155.0</v>
      </c>
      <c r="F59" s="48">
        <v>220.0</v>
      </c>
      <c r="G59" s="49">
        <f t="shared" si="1"/>
        <v>10.8097</v>
      </c>
      <c r="H59" s="49">
        <f t="shared" si="2"/>
        <v>491.35</v>
      </c>
      <c r="I59" s="48" t="s">
        <v>170</v>
      </c>
      <c r="J59" s="48" t="s">
        <v>164</v>
      </c>
      <c r="K59" s="50" t="s">
        <v>164</v>
      </c>
      <c r="L59" s="51">
        <v>125.0</v>
      </c>
      <c r="M59" s="50" t="s">
        <v>166</v>
      </c>
      <c r="N59" s="51" t="s">
        <v>166</v>
      </c>
      <c r="O59" s="48">
        <v>308.0</v>
      </c>
      <c r="P59" s="48">
        <v>130.0</v>
      </c>
      <c r="Q59" s="48">
        <v>40.0</v>
      </c>
      <c r="R59" s="48">
        <v>2.0</v>
      </c>
      <c r="S59" s="50" t="s">
        <v>166</v>
      </c>
      <c r="T59" s="52" t="s">
        <v>167</v>
      </c>
      <c r="U59" s="52" t="s">
        <v>346</v>
      </c>
      <c r="V59" s="51" t="s">
        <v>914</v>
      </c>
      <c r="W59" s="48" t="s">
        <v>193</v>
      </c>
      <c r="X59" s="50" t="s">
        <v>166</v>
      </c>
      <c r="Y59" s="51" t="s">
        <v>166</v>
      </c>
      <c r="Z59" s="48" t="s">
        <v>166</v>
      </c>
      <c r="AA59" s="48" t="s">
        <v>166</v>
      </c>
      <c r="AB59" s="48">
        <v>3.0</v>
      </c>
      <c r="AC59" s="48" t="s">
        <v>166</v>
      </c>
      <c r="AD59" s="48" t="s">
        <v>166</v>
      </c>
      <c r="AE59" s="54" t="s">
        <v>166</v>
      </c>
      <c r="AF59" s="55" t="s">
        <v>166</v>
      </c>
      <c r="AG59" s="51" t="s">
        <v>166</v>
      </c>
      <c r="AH59" s="48">
        <v>1.0</v>
      </c>
      <c r="AI59" s="48" t="s">
        <v>166</v>
      </c>
      <c r="AJ59" s="50" t="s">
        <v>166</v>
      </c>
      <c r="AK59" s="56">
        <v>658.0</v>
      </c>
      <c r="AL59" s="57">
        <f>AK59*Sheets!$E$3</f>
        <v>90.702339</v>
      </c>
      <c r="AM59" s="68"/>
      <c r="AN59" s="59"/>
      <c r="AO59" s="60" t="s">
        <v>181</v>
      </c>
      <c r="AP59" s="72">
        <v>45071.55581815972</v>
      </c>
      <c r="AQ59" s="66"/>
    </row>
    <row r="60">
      <c r="A60" s="46" t="str">
        <f>HYPERLINK("https://shop120331572.world.taobao.com/","Ultra Civilz")</f>
        <v>Ultra Civilz</v>
      </c>
      <c r="B60" s="73" t="s">
        <v>866</v>
      </c>
      <c r="C60" s="63" t="s">
        <v>248</v>
      </c>
      <c r="D60" s="48">
        <v>308.0</v>
      </c>
      <c r="E60" s="48">
        <v>135.0</v>
      </c>
      <c r="F60" s="48">
        <v>260.0</v>
      </c>
      <c r="G60" s="49">
        <f t="shared" si="1"/>
        <v>10.8108</v>
      </c>
      <c r="H60" s="49">
        <f t="shared" si="2"/>
        <v>415.8</v>
      </c>
      <c r="I60" s="48" t="s">
        <v>170</v>
      </c>
      <c r="J60" s="48" t="s">
        <v>597</v>
      </c>
      <c r="K60" s="50" t="s">
        <v>164</v>
      </c>
      <c r="L60" s="51">
        <v>68.0</v>
      </c>
      <c r="M60" s="50" t="s">
        <v>547</v>
      </c>
      <c r="N60" s="51" t="s">
        <v>174</v>
      </c>
      <c r="O60" s="48">
        <v>300.0</v>
      </c>
      <c r="P60" s="48" t="s">
        <v>170</v>
      </c>
      <c r="Q60" s="48">
        <v>45.0</v>
      </c>
      <c r="R60" s="48">
        <v>2.0</v>
      </c>
      <c r="S60" s="50" t="s">
        <v>166</v>
      </c>
      <c r="T60" s="52" t="s">
        <v>167</v>
      </c>
      <c r="U60" s="52" t="s">
        <v>324</v>
      </c>
      <c r="V60" s="51">
        <v>3.0</v>
      </c>
      <c r="W60" s="48" t="s">
        <v>166</v>
      </c>
      <c r="X60" s="50" t="s">
        <v>166</v>
      </c>
      <c r="Y60" s="51" t="s">
        <v>166</v>
      </c>
      <c r="Z60" s="48" t="s">
        <v>166</v>
      </c>
      <c r="AA60" s="48" t="s">
        <v>166</v>
      </c>
      <c r="AB60" s="48">
        <v>2.0</v>
      </c>
      <c r="AC60" s="48">
        <v>2.0</v>
      </c>
      <c r="AD60" s="48" t="s">
        <v>166</v>
      </c>
      <c r="AE60" s="54" t="s">
        <v>166</v>
      </c>
      <c r="AF60" s="55" t="s">
        <v>166</v>
      </c>
      <c r="AG60" s="51" t="s">
        <v>166</v>
      </c>
      <c r="AH60" s="48" t="s">
        <v>166</v>
      </c>
      <c r="AI60" s="48" t="s">
        <v>166</v>
      </c>
      <c r="AJ60" s="50" t="s">
        <v>166</v>
      </c>
      <c r="AK60" s="56">
        <v>1199.0</v>
      </c>
      <c r="AL60" s="57">
        <f>AK60*Sheets!$E$3</f>
        <v>165.2767545</v>
      </c>
      <c r="AM60" s="68"/>
      <c r="AN60" s="70"/>
      <c r="AO60" s="71" t="s">
        <v>181</v>
      </c>
      <c r="AP60" s="71"/>
      <c r="AQ60" s="66"/>
    </row>
    <row r="61">
      <c r="A61" s="82" t="str">
        <f>HYPERLINK("https://www.geeekstore.com/","GEEEK")</f>
        <v>GEEEK</v>
      </c>
      <c r="B61" s="83" t="str">
        <f>HYPERLINK("https://www.geeekstore.com/shop/a40-v2-mini-itx-case/","A40 V2")</f>
        <v>A40 V2</v>
      </c>
      <c r="C61" s="63" t="s">
        <v>248</v>
      </c>
      <c r="D61" s="48">
        <v>261.0</v>
      </c>
      <c r="E61" s="48">
        <v>139.0</v>
      </c>
      <c r="F61" s="48">
        <v>300.0</v>
      </c>
      <c r="G61" s="49">
        <f t="shared" si="1"/>
        <v>10.8837</v>
      </c>
      <c r="H61" s="49">
        <f t="shared" si="2"/>
        <v>362.79</v>
      </c>
      <c r="I61" s="48" t="s">
        <v>170</v>
      </c>
      <c r="J61" s="48" t="s">
        <v>245</v>
      </c>
      <c r="K61" s="50" t="s">
        <v>255</v>
      </c>
      <c r="L61" s="51">
        <v>60.0</v>
      </c>
      <c r="M61" s="50" t="s">
        <v>166</v>
      </c>
      <c r="N61" s="51" t="s">
        <v>174</v>
      </c>
      <c r="O61" s="48">
        <v>245.0</v>
      </c>
      <c r="P61" s="48">
        <v>135.0</v>
      </c>
      <c r="Q61" s="48">
        <v>48.0</v>
      </c>
      <c r="R61" s="48">
        <v>2.0</v>
      </c>
      <c r="S61" s="50" t="s">
        <v>166</v>
      </c>
      <c r="T61" s="52" t="s">
        <v>167</v>
      </c>
      <c r="U61" s="52" t="s">
        <v>346</v>
      </c>
      <c r="V61" s="51">
        <v>2.0</v>
      </c>
      <c r="W61" s="48" t="s">
        <v>166</v>
      </c>
      <c r="X61" s="50" t="s">
        <v>166</v>
      </c>
      <c r="Y61" s="51" t="s">
        <v>166</v>
      </c>
      <c r="Z61" s="48" t="s">
        <v>166</v>
      </c>
      <c r="AA61" s="48" t="s">
        <v>193</v>
      </c>
      <c r="AB61" s="48" t="s">
        <v>412</v>
      </c>
      <c r="AC61" s="48" t="s">
        <v>166</v>
      </c>
      <c r="AD61" s="48" t="s">
        <v>166</v>
      </c>
      <c r="AE61" s="54" t="s">
        <v>166</v>
      </c>
      <c r="AF61" s="55" t="s">
        <v>166</v>
      </c>
      <c r="AG61" s="51" t="s">
        <v>166</v>
      </c>
      <c r="AH61" s="48">
        <v>2.0</v>
      </c>
      <c r="AI61" s="48" t="s">
        <v>166</v>
      </c>
      <c r="AJ61" s="50" t="s">
        <v>174</v>
      </c>
      <c r="AK61" s="56" t="s">
        <v>166</v>
      </c>
      <c r="AL61" s="57">
        <v>59.0</v>
      </c>
      <c r="AM61" s="68"/>
      <c r="AN61" s="59"/>
      <c r="AO61" s="60" t="s">
        <v>181</v>
      </c>
      <c r="AP61" s="65">
        <v>44604.55759719908</v>
      </c>
      <c r="AQ61" s="66"/>
    </row>
    <row r="62">
      <c r="A62" s="69" t="str">
        <f>HYPERLINK("https://shop70176301.world.taobao.com/","Dream Case")</f>
        <v>Dream Case</v>
      </c>
      <c r="B62" s="73" t="s">
        <v>915</v>
      </c>
      <c r="C62" s="63" t="s">
        <v>248</v>
      </c>
      <c r="D62" s="48">
        <v>335.0</v>
      </c>
      <c r="E62" s="48">
        <v>155.0</v>
      </c>
      <c r="F62" s="48">
        <v>210.0</v>
      </c>
      <c r="G62" s="49">
        <f t="shared" si="1"/>
        <v>10.90425</v>
      </c>
      <c r="H62" s="49">
        <f t="shared" si="2"/>
        <v>519.25</v>
      </c>
      <c r="I62" s="48" t="s">
        <v>170</v>
      </c>
      <c r="J62" s="48" t="s">
        <v>171</v>
      </c>
      <c r="K62" s="50" t="s">
        <v>171</v>
      </c>
      <c r="L62" s="51">
        <v>85.0</v>
      </c>
      <c r="M62" s="50" t="s">
        <v>166</v>
      </c>
      <c r="N62" s="51" t="s">
        <v>174</v>
      </c>
      <c r="O62" s="48">
        <v>335.0</v>
      </c>
      <c r="P62" s="48">
        <v>160.0</v>
      </c>
      <c r="Q62" s="48">
        <v>55.0</v>
      </c>
      <c r="R62" s="48">
        <v>2.0</v>
      </c>
      <c r="S62" s="50" t="s">
        <v>166</v>
      </c>
      <c r="T62" s="52" t="s">
        <v>227</v>
      </c>
      <c r="U62" s="52" t="s">
        <v>599</v>
      </c>
      <c r="V62" s="51">
        <v>2.0</v>
      </c>
      <c r="W62" s="48">
        <v>1.0</v>
      </c>
      <c r="X62" s="50" t="s">
        <v>166</v>
      </c>
      <c r="Y62" s="51" t="s">
        <v>166</v>
      </c>
      <c r="Z62" s="48" t="s">
        <v>166</v>
      </c>
      <c r="AA62" s="48" t="s">
        <v>166</v>
      </c>
      <c r="AB62" s="48" t="s">
        <v>166</v>
      </c>
      <c r="AC62" s="48">
        <v>1.0</v>
      </c>
      <c r="AD62" s="48" t="s">
        <v>166</v>
      </c>
      <c r="AE62" s="54" t="s">
        <v>166</v>
      </c>
      <c r="AF62" s="55" t="s">
        <v>166</v>
      </c>
      <c r="AG62" s="51" t="s">
        <v>166</v>
      </c>
      <c r="AH62" s="48" t="s">
        <v>166</v>
      </c>
      <c r="AI62" s="48" t="s">
        <v>166</v>
      </c>
      <c r="AJ62" s="50" t="s">
        <v>166</v>
      </c>
      <c r="AK62" s="56">
        <v>288.0</v>
      </c>
      <c r="AL62" s="57">
        <f>AK62*Sheets!$E$3</f>
        <v>39.699504</v>
      </c>
      <c r="AM62" s="68"/>
      <c r="AN62" s="59"/>
      <c r="AO62" s="60" t="s">
        <v>181</v>
      </c>
      <c r="AP62" s="72">
        <v>44442.89912453704</v>
      </c>
      <c r="AQ62" s="66"/>
    </row>
    <row r="63">
      <c r="A63" s="82" t="str">
        <f>HYPERLINK("http://sliger.com/","Sliger")</f>
        <v>Sliger</v>
      </c>
      <c r="B63" s="62" t="s">
        <v>916</v>
      </c>
      <c r="C63" s="63" t="s">
        <v>225</v>
      </c>
      <c r="D63" s="48">
        <v>343.0</v>
      </c>
      <c r="E63" s="48">
        <v>92.0</v>
      </c>
      <c r="F63" s="48">
        <v>346.0</v>
      </c>
      <c r="G63" s="49">
        <f t="shared" si="1"/>
        <v>10.918376</v>
      </c>
      <c r="H63" s="49">
        <f t="shared" si="2"/>
        <v>315.56</v>
      </c>
      <c r="I63" s="48">
        <v>3.13</v>
      </c>
      <c r="J63" s="48" t="s">
        <v>171</v>
      </c>
      <c r="K63" s="50" t="s">
        <v>917</v>
      </c>
      <c r="L63" s="51">
        <v>75.0</v>
      </c>
      <c r="M63" s="50" t="s">
        <v>166</v>
      </c>
      <c r="N63" s="51" t="s">
        <v>174</v>
      </c>
      <c r="O63" s="48">
        <v>335.0</v>
      </c>
      <c r="P63" s="48">
        <v>157.0</v>
      </c>
      <c r="Q63" s="48">
        <v>63.0</v>
      </c>
      <c r="R63" s="48">
        <v>3.0</v>
      </c>
      <c r="S63" s="50" t="s">
        <v>166</v>
      </c>
      <c r="T63" s="52" t="s">
        <v>167</v>
      </c>
      <c r="U63" s="52" t="s">
        <v>346</v>
      </c>
      <c r="V63" s="51">
        <v>2.0</v>
      </c>
      <c r="W63" s="48" t="s">
        <v>166</v>
      </c>
      <c r="X63" s="50" t="s">
        <v>166</v>
      </c>
      <c r="Y63" s="51" t="s">
        <v>166</v>
      </c>
      <c r="Z63" s="48" t="s">
        <v>166</v>
      </c>
      <c r="AA63" s="48" t="s">
        <v>166</v>
      </c>
      <c r="AB63" s="48" t="s">
        <v>166</v>
      </c>
      <c r="AC63" s="48">
        <v>2.0</v>
      </c>
      <c r="AD63" s="48" t="s">
        <v>166</v>
      </c>
      <c r="AE63" s="54" t="s">
        <v>166</v>
      </c>
      <c r="AF63" s="55" t="s">
        <v>166</v>
      </c>
      <c r="AG63" s="51" t="s">
        <v>166</v>
      </c>
      <c r="AH63" s="48">
        <v>1.0</v>
      </c>
      <c r="AI63" s="48">
        <v>1.0</v>
      </c>
      <c r="AJ63" s="50" t="s">
        <v>174</v>
      </c>
      <c r="AK63" s="56" t="s">
        <v>166</v>
      </c>
      <c r="AL63" s="57">
        <v>169.0</v>
      </c>
      <c r="AM63" s="64" t="str">
        <f>HYPERLINK("https://smallformfactor.net/forum/threads/console-and-conswole-entry-level-2-slot-and-3-slot-console-cases.11539/","Link")</f>
        <v>Link</v>
      </c>
      <c r="AN63" s="64" t="s">
        <v>214</v>
      </c>
      <c r="AO63" s="60" t="s">
        <v>181</v>
      </c>
      <c r="AP63" s="65">
        <v>44604.530296770834</v>
      </c>
      <c r="AQ63" s="66"/>
    </row>
    <row r="64">
      <c r="A64" s="82" t="str">
        <f>HYPERLINK("https://www.geeekstore.com/","GEEEK")</f>
        <v>GEEEK</v>
      </c>
      <c r="B64" s="62" t="s">
        <v>918</v>
      </c>
      <c r="C64" s="63" t="s">
        <v>248</v>
      </c>
      <c r="D64" s="48">
        <v>261.0</v>
      </c>
      <c r="E64" s="48">
        <v>140.0</v>
      </c>
      <c r="F64" s="48">
        <v>299.0</v>
      </c>
      <c r="G64" s="49">
        <f t="shared" si="1"/>
        <v>10.92546</v>
      </c>
      <c r="H64" s="49">
        <f t="shared" si="2"/>
        <v>365.4</v>
      </c>
      <c r="I64" s="48" t="s">
        <v>170</v>
      </c>
      <c r="J64" s="48" t="s">
        <v>245</v>
      </c>
      <c r="K64" s="50" t="s">
        <v>255</v>
      </c>
      <c r="L64" s="51">
        <v>70.0</v>
      </c>
      <c r="M64" s="50">
        <v>92.0</v>
      </c>
      <c r="N64" s="51" t="s">
        <v>174</v>
      </c>
      <c r="O64" s="48">
        <v>245.0</v>
      </c>
      <c r="P64" s="48">
        <v>135.0</v>
      </c>
      <c r="Q64" s="48">
        <v>48.0</v>
      </c>
      <c r="R64" s="48">
        <v>2.0</v>
      </c>
      <c r="S64" s="50" t="s">
        <v>166</v>
      </c>
      <c r="T64" s="52" t="s">
        <v>167</v>
      </c>
      <c r="U64" s="52" t="s">
        <v>346</v>
      </c>
      <c r="V64" s="51">
        <v>2.0</v>
      </c>
      <c r="W64" s="48" t="s">
        <v>166</v>
      </c>
      <c r="X64" s="50" t="s">
        <v>166</v>
      </c>
      <c r="Y64" s="51" t="s">
        <v>166</v>
      </c>
      <c r="Z64" s="48" t="s">
        <v>166</v>
      </c>
      <c r="AA64" s="48" t="s">
        <v>166</v>
      </c>
      <c r="AB64" s="48">
        <v>3.0</v>
      </c>
      <c r="AC64" s="48" t="s">
        <v>166</v>
      </c>
      <c r="AD64" s="48" t="s">
        <v>166</v>
      </c>
      <c r="AE64" s="54" t="s">
        <v>166</v>
      </c>
      <c r="AF64" s="55" t="s">
        <v>166</v>
      </c>
      <c r="AG64" s="51" t="s">
        <v>166</v>
      </c>
      <c r="AH64" s="48">
        <v>2.0</v>
      </c>
      <c r="AI64" s="48" t="s">
        <v>166</v>
      </c>
      <c r="AJ64" s="50" t="s">
        <v>166</v>
      </c>
      <c r="AK64" s="56" t="s">
        <v>166</v>
      </c>
      <c r="AL64" s="57">
        <v>59.9</v>
      </c>
      <c r="AM64" s="68"/>
      <c r="AN64" s="64" t="s">
        <v>214</v>
      </c>
      <c r="AO64" s="60"/>
      <c r="AP64" s="60"/>
      <c r="AQ64" s="66"/>
    </row>
    <row r="65">
      <c r="A65" s="46" t="s">
        <v>919</v>
      </c>
      <c r="B65" s="73" t="s">
        <v>920</v>
      </c>
      <c r="C65" s="63" t="s">
        <v>248</v>
      </c>
      <c r="D65" s="48">
        <v>354.0</v>
      </c>
      <c r="E65" s="48">
        <v>141.0</v>
      </c>
      <c r="F65" s="48">
        <v>219.0</v>
      </c>
      <c r="G65" s="114">
        <f t="shared" si="1"/>
        <v>10.931166</v>
      </c>
      <c r="H65" s="115">
        <f t="shared" si="2"/>
        <v>499.14</v>
      </c>
      <c r="I65" s="48">
        <v>3.2</v>
      </c>
      <c r="J65" s="48" t="s">
        <v>235</v>
      </c>
      <c r="K65" s="50" t="s">
        <v>921</v>
      </c>
      <c r="L65" s="51">
        <v>50.0</v>
      </c>
      <c r="M65" s="50" t="s">
        <v>547</v>
      </c>
      <c r="N65" s="51" t="s">
        <v>174</v>
      </c>
      <c r="O65" s="48">
        <v>328.0</v>
      </c>
      <c r="P65" s="48">
        <v>134.0</v>
      </c>
      <c r="Q65" s="48">
        <v>60.0</v>
      </c>
      <c r="R65" s="48">
        <v>2.0</v>
      </c>
      <c r="S65" s="50" t="s">
        <v>166</v>
      </c>
      <c r="T65" s="120" t="s">
        <v>167</v>
      </c>
      <c r="U65" s="52" t="s">
        <v>324</v>
      </c>
      <c r="V65" s="51">
        <v>2.0</v>
      </c>
      <c r="W65" s="48" t="s">
        <v>166</v>
      </c>
      <c r="X65" s="50" t="s">
        <v>166</v>
      </c>
      <c r="Y65" s="51" t="s">
        <v>166</v>
      </c>
      <c r="Z65" s="48" t="s">
        <v>166</v>
      </c>
      <c r="AA65" s="48" t="s">
        <v>166</v>
      </c>
      <c r="AB65" s="48" t="s">
        <v>166</v>
      </c>
      <c r="AC65" s="48">
        <v>3.0</v>
      </c>
      <c r="AD65" s="48" t="s">
        <v>166</v>
      </c>
      <c r="AE65" s="54" t="s">
        <v>166</v>
      </c>
      <c r="AF65" s="55" t="s">
        <v>166</v>
      </c>
      <c r="AG65" s="51" t="s">
        <v>166</v>
      </c>
      <c r="AH65" s="48" t="s">
        <v>166</v>
      </c>
      <c r="AI65" s="48" t="s">
        <v>166</v>
      </c>
      <c r="AJ65" s="50" t="s">
        <v>166</v>
      </c>
      <c r="AK65" s="56">
        <v>1200.0</v>
      </c>
      <c r="AL65" s="57">
        <f>AK65*Sheets!$E$3</f>
        <v>165.4146</v>
      </c>
      <c r="AM65" s="58"/>
      <c r="AN65" s="59"/>
      <c r="AO65" s="60" t="s">
        <v>181</v>
      </c>
      <c r="AP65" s="65">
        <v>44759.76019369213</v>
      </c>
      <c r="AQ65" s="66"/>
    </row>
    <row r="66">
      <c r="A66" s="46" t="s">
        <v>919</v>
      </c>
      <c r="B66" s="46" t="s">
        <v>922</v>
      </c>
      <c r="C66" s="63" t="s">
        <v>248</v>
      </c>
      <c r="D66" s="48">
        <v>354.0</v>
      </c>
      <c r="E66" s="48">
        <v>141.0</v>
      </c>
      <c r="F66" s="48">
        <v>219.0</v>
      </c>
      <c r="G66" s="114">
        <f t="shared" si="1"/>
        <v>10.931166</v>
      </c>
      <c r="H66" s="115">
        <f t="shared" si="2"/>
        <v>499.14</v>
      </c>
      <c r="I66" s="48">
        <v>3.2</v>
      </c>
      <c r="J66" s="48" t="s">
        <v>235</v>
      </c>
      <c r="K66" s="50" t="s">
        <v>921</v>
      </c>
      <c r="L66" s="51">
        <v>50.0</v>
      </c>
      <c r="M66" s="50" t="s">
        <v>547</v>
      </c>
      <c r="N66" s="51" t="s">
        <v>174</v>
      </c>
      <c r="O66" s="48">
        <v>328.0</v>
      </c>
      <c r="P66" s="48">
        <v>134.0</v>
      </c>
      <c r="Q66" s="48">
        <v>60.0</v>
      </c>
      <c r="R66" s="48">
        <v>2.0</v>
      </c>
      <c r="S66" s="50" t="s">
        <v>166</v>
      </c>
      <c r="T66" s="120" t="s">
        <v>167</v>
      </c>
      <c r="U66" s="52" t="s">
        <v>324</v>
      </c>
      <c r="V66" s="51">
        <v>2.0</v>
      </c>
      <c r="W66" s="48" t="s">
        <v>166</v>
      </c>
      <c r="X66" s="50" t="s">
        <v>166</v>
      </c>
      <c r="Y66" s="51" t="s">
        <v>166</v>
      </c>
      <c r="Z66" s="48" t="s">
        <v>166</v>
      </c>
      <c r="AA66" s="48" t="s">
        <v>166</v>
      </c>
      <c r="AB66" s="48" t="s">
        <v>166</v>
      </c>
      <c r="AC66" s="48">
        <v>2.0</v>
      </c>
      <c r="AD66" s="48" t="s">
        <v>166</v>
      </c>
      <c r="AE66" s="54" t="s">
        <v>166</v>
      </c>
      <c r="AF66" s="55" t="s">
        <v>166</v>
      </c>
      <c r="AG66" s="51" t="s">
        <v>166</v>
      </c>
      <c r="AH66" s="48" t="s">
        <v>166</v>
      </c>
      <c r="AI66" s="48" t="s">
        <v>166</v>
      </c>
      <c r="AJ66" s="50" t="s">
        <v>166</v>
      </c>
      <c r="AK66" s="56">
        <v>1200.0</v>
      </c>
      <c r="AL66" s="57">
        <f>AK66*Sheets!$E$3</f>
        <v>165.4146</v>
      </c>
      <c r="AM66" s="58"/>
      <c r="AN66" s="59"/>
      <c r="AO66" s="60"/>
      <c r="AP66" s="60"/>
      <c r="AQ66" s="66"/>
    </row>
    <row r="67">
      <c r="A67" s="69" t="str">
        <f>HYPERLINK("https://sgpc.world.taobao.com/","SGPC")</f>
        <v>SGPC</v>
      </c>
      <c r="B67" s="73" t="s">
        <v>923</v>
      </c>
      <c r="C67" s="63" t="s">
        <v>262</v>
      </c>
      <c r="D67" s="48">
        <v>284.0</v>
      </c>
      <c r="E67" s="48">
        <v>156.0</v>
      </c>
      <c r="F67" s="48">
        <v>247.0</v>
      </c>
      <c r="G67" s="49">
        <f t="shared" si="1"/>
        <v>10.943088</v>
      </c>
      <c r="H67" s="49">
        <f t="shared" si="2"/>
        <v>443.04</v>
      </c>
      <c r="I67" s="48">
        <v>3.0</v>
      </c>
      <c r="J67" s="48" t="s">
        <v>653</v>
      </c>
      <c r="K67" s="50" t="s">
        <v>316</v>
      </c>
      <c r="L67" s="51">
        <v>135.0</v>
      </c>
      <c r="M67" s="50" t="s">
        <v>166</v>
      </c>
      <c r="N67" s="51" t="s">
        <v>166</v>
      </c>
      <c r="O67" s="48">
        <v>275.0</v>
      </c>
      <c r="P67" s="48">
        <v>140.0</v>
      </c>
      <c r="Q67" s="48">
        <v>70.0</v>
      </c>
      <c r="R67" s="48">
        <v>3.0</v>
      </c>
      <c r="S67" s="50" t="s">
        <v>166</v>
      </c>
      <c r="T67" s="52" t="s">
        <v>924</v>
      </c>
      <c r="U67" s="52" t="s">
        <v>686</v>
      </c>
      <c r="V67" s="51" t="s">
        <v>300</v>
      </c>
      <c r="W67" s="48" t="s">
        <v>166</v>
      </c>
      <c r="X67" s="50" t="s">
        <v>166</v>
      </c>
      <c r="Y67" s="51" t="s">
        <v>166</v>
      </c>
      <c r="Z67" s="48" t="s">
        <v>166</v>
      </c>
      <c r="AA67" s="48" t="s">
        <v>166</v>
      </c>
      <c r="AB67" s="48" t="s">
        <v>412</v>
      </c>
      <c r="AC67" s="48" t="s">
        <v>193</v>
      </c>
      <c r="AD67" s="48" t="s">
        <v>166</v>
      </c>
      <c r="AE67" s="54" t="s">
        <v>166</v>
      </c>
      <c r="AF67" s="55" t="s">
        <v>166</v>
      </c>
      <c r="AG67" s="51" t="s">
        <v>166</v>
      </c>
      <c r="AH67" s="48">
        <v>1.0</v>
      </c>
      <c r="AI67" s="48">
        <v>1.0</v>
      </c>
      <c r="AJ67" s="50" t="s">
        <v>166</v>
      </c>
      <c r="AK67" s="56">
        <v>239.0</v>
      </c>
      <c r="AL67" s="57">
        <f>AK67*Sheets!$E$3</f>
        <v>32.9450745</v>
      </c>
      <c r="AM67" s="68"/>
      <c r="AN67" s="59"/>
      <c r="AO67" s="60" t="s">
        <v>181</v>
      </c>
      <c r="AP67" s="65">
        <v>44721.98628612269</v>
      </c>
      <c r="AQ67" s="66"/>
    </row>
    <row r="68">
      <c r="A68" s="46" t="str">
        <f>HYPERLINK("https://geeek.world.taobao.com/","GEEEK机箱")</f>
        <v>GEEEK机箱</v>
      </c>
      <c r="B68" s="46" t="s">
        <v>925</v>
      </c>
      <c r="C68" s="63" t="s">
        <v>248</v>
      </c>
      <c r="D68" s="48">
        <v>330.0</v>
      </c>
      <c r="E68" s="48">
        <v>155.0</v>
      </c>
      <c r="F68" s="48">
        <v>214.0</v>
      </c>
      <c r="G68" s="49">
        <f t="shared" si="1"/>
        <v>10.9461</v>
      </c>
      <c r="H68" s="49">
        <f t="shared" si="2"/>
        <v>511.5</v>
      </c>
      <c r="I68" s="48">
        <v>2.5</v>
      </c>
      <c r="J68" s="48" t="s">
        <v>245</v>
      </c>
      <c r="K68" s="50" t="s">
        <v>255</v>
      </c>
      <c r="L68" s="51">
        <v>65.0</v>
      </c>
      <c r="M68" s="50" t="s">
        <v>166</v>
      </c>
      <c r="N68" s="51" t="s">
        <v>174</v>
      </c>
      <c r="O68" s="48">
        <v>305.0</v>
      </c>
      <c r="P68" s="48">
        <v>147.0</v>
      </c>
      <c r="Q68" s="48">
        <v>63.0</v>
      </c>
      <c r="R68" s="48">
        <v>2.0</v>
      </c>
      <c r="S68" s="50" t="s">
        <v>166</v>
      </c>
      <c r="T68" s="52" t="s">
        <v>167</v>
      </c>
      <c r="U68" s="52" t="s">
        <v>346</v>
      </c>
      <c r="V68" s="51">
        <v>2.0</v>
      </c>
      <c r="W68" s="48" t="s">
        <v>166</v>
      </c>
      <c r="X68" s="50" t="s">
        <v>166</v>
      </c>
      <c r="Y68" s="51" t="s">
        <v>166</v>
      </c>
      <c r="Z68" s="48" t="s">
        <v>166</v>
      </c>
      <c r="AA68" s="48" t="s">
        <v>166</v>
      </c>
      <c r="AB68" s="48" t="s">
        <v>166</v>
      </c>
      <c r="AC68" s="48">
        <v>3.0</v>
      </c>
      <c r="AD68" s="48" t="s">
        <v>166</v>
      </c>
      <c r="AE68" s="54" t="s">
        <v>166</v>
      </c>
      <c r="AF68" s="55" t="s">
        <v>166</v>
      </c>
      <c r="AG68" s="51" t="s">
        <v>166</v>
      </c>
      <c r="AH68" s="48">
        <v>1.0</v>
      </c>
      <c r="AI68" s="48" t="s">
        <v>166</v>
      </c>
      <c r="AJ68" s="50" t="s">
        <v>166</v>
      </c>
      <c r="AK68" s="56">
        <v>298.0</v>
      </c>
      <c r="AL68" s="57">
        <f>AK68*Sheets!$E$3</f>
        <v>41.077959</v>
      </c>
      <c r="AM68" s="68"/>
      <c r="AN68" s="70"/>
      <c r="AO68" s="71"/>
      <c r="AP68" s="72">
        <v>44681.59855886574</v>
      </c>
      <c r="AQ68" s="66"/>
    </row>
    <row r="69">
      <c r="A69" s="69" t="str">
        <f>HYPERLINK("https://shop490351919.world.taobao.com/","Small Case")</f>
        <v>Small Case</v>
      </c>
      <c r="B69" s="46" t="str">
        <f>HYPERLINK("https://item.taobao.com/item.htm?id=595660953056","Bs2 (Water)")</f>
        <v>Bs2 (Water)</v>
      </c>
      <c r="C69" s="63" t="s">
        <v>248</v>
      </c>
      <c r="D69" s="48">
        <v>320.0</v>
      </c>
      <c r="E69" s="48">
        <v>138.0</v>
      </c>
      <c r="F69" s="48">
        <v>248.0</v>
      </c>
      <c r="G69" s="49">
        <f t="shared" si="1"/>
        <v>10.95168</v>
      </c>
      <c r="H69" s="49">
        <f t="shared" si="2"/>
        <v>441.6</v>
      </c>
      <c r="I69" s="48">
        <v>2.9</v>
      </c>
      <c r="J69" s="48" t="s">
        <v>235</v>
      </c>
      <c r="K69" s="50" t="s">
        <v>756</v>
      </c>
      <c r="L69" s="51">
        <v>57.0</v>
      </c>
      <c r="M69" s="50" t="s">
        <v>547</v>
      </c>
      <c r="N69" s="51" t="s">
        <v>174</v>
      </c>
      <c r="O69" s="48">
        <v>298.0</v>
      </c>
      <c r="P69" s="48">
        <v>125.0</v>
      </c>
      <c r="Q69" s="48">
        <v>45.0</v>
      </c>
      <c r="R69" s="48">
        <v>2.0</v>
      </c>
      <c r="S69" s="50" t="s">
        <v>166</v>
      </c>
      <c r="T69" s="52" t="s">
        <v>167</v>
      </c>
      <c r="U69" s="52" t="s">
        <v>324</v>
      </c>
      <c r="V69" s="51">
        <v>2.0</v>
      </c>
      <c r="W69" s="48" t="s">
        <v>166</v>
      </c>
      <c r="X69" s="50" t="s">
        <v>166</v>
      </c>
      <c r="Y69" s="51" t="s">
        <v>166</v>
      </c>
      <c r="Z69" s="48" t="s">
        <v>166</v>
      </c>
      <c r="AA69" s="48" t="s">
        <v>166</v>
      </c>
      <c r="AB69" s="48" t="s">
        <v>166</v>
      </c>
      <c r="AC69" s="48">
        <v>2.0</v>
      </c>
      <c r="AD69" s="48" t="s">
        <v>166</v>
      </c>
      <c r="AE69" s="54" t="s">
        <v>166</v>
      </c>
      <c r="AF69" s="55" t="s">
        <v>166</v>
      </c>
      <c r="AG69" s="51" t="s">
        <v>166</v>
      </c>
      <c r="AH69" s="48" t="s">
        <v>166</v>
      </c>
      <c r="AI69" s="48" t="s">
        <v>166</v>
      </c>
      <c r="AJ69" s="50" t="s">
        <v>166</v>
      </c>
      <c r="AK69" s="56">
        <v>1169.0</v>
      </c>
      <c r="AL69" s="57">
        <f>AK69*Sheets!$E$3</f>
        <v>161.1413895</v>
      </c>
      <c r="AM69" s="68"/>
      <c r="AN69" s="70"/>
      <c r="AO69" s="71"/>
      <c r="AP69" s="72">
        <v>44965.872434212964</v>
      </c>
      <c r="AQ69" s="66"/>
    </row>
    <row r="70">
      <c r="A70" s="82" t="str">
        <f>HYPERLINK("https://www.geeekstore.com/","GEEEK")</f>
        <v>GEEEK</v>
      </c>
      <c r="B70" s="62" t="s">
        <v>926</v>
      </c>
      <c r="C70" s="63" t="s">
        <v>248</v>
      </c>
      <c r="D70" s="48">
        <v>214.0</v>
      </c>
      <c r="E70" s="48">
        <v>155.0</v>
      </c>
      <c r="F70" s="48">
        <v>331.0</v>
      </c>
      <c r="G70" s="49">
        <f t="shared" si="1"/>
        <v>10.97927</v>
      </c>
      <c r="H70" s="49">
        <f t="shared" si="2"/>
        <v>331.7</v>
      </c>
      <c r="I70" s="48" t="s">
        <v>170</v>
      </c>
      <c r="J70" s="48" t="s">
        <v>245</v>
      </c>
      <c r="K70" s="50" t="s">
        <v>255</v>
      </c>
      <c r="L70" s="51">
        <v>69.0</v>
      </c>
      <c r="M70" s="50" t="s">
        <v>166</v>
      </c>
      <c r="N70" s="51" t="s">
        <v>174</v>
      </c>
      <c r="O70" s="48">
        <v>305.0</v>
      </c>
      <c r="P70" s="48">
        <v>152.0</v>
      </c>
      <c r="Q70" s="48">
        <v>60.0</v>
      </c>
      <c r="R70" s="48">
        <v>2.0</v>
      </c>
      <c r="S70" s="50" t="s">
        <v>166</v>
      </c>
      <c r="T70" s="52" t="s">
        <v>167</v>
      </c>
      <c r="U70" s="52" t="s">
        <v>346</v>
      </c>
      <c r="V70" s="51">
        <v>2.0</v>
      </c>
      <c r="W70" s="48" t="s">
        <v>166</v>
      </c>
      <c r="X70" s="50" t="s">
        <v>166</v>
      </c>
      <c r="Y70" s="51" t="s">
        <v>166</v>
      </c>
      <c r="Z70" s="48" t="s">
        <v>166</v>
      </c>
      <c r="AA70" s="48" t="s">
        <v>166</v>
      </c>
      <c r="AB70" s="48" t="s">
        <v>166</v>
      </c>
      <c r="AC70" s="48">
        <v>2.0</v>
      </c>
      <c r="AD70" s="48" t="s">
        <v>166</v>
      </c>
      <c r="AE70" s="54" t="s">
        <v>166</v>
      </c>
      <c r="AF70" s="55" t="s">
        <v>166</v>
      </c>
      <c r="AG70" s="51" t="s">
        <v>166</v>
      </c>
      <c r="AH70" s="48">
        <v>2.0</v>
      </c>
      <c r="AI70" s="48" t="s">
        <v>166</v>
      </c>
      <c r="AJ70" s="50" t="s">
        <v>166</v>
      </c>
      <c r="AK70" s="56">
        <v>398.0</v>
      </c>
      <c r="AL70" s="57">
        <v>79.0</v>
      </c>
      <c r="AM70" s="68"/>
      <c r="AN70" s="64" t="s">
        <v>214</v>
      </c>
      <c r="AO70" s="60"/>
      <c r="AP70" s="65">
        <v>44737.597969166665</v>
      </c>
      <c r="AQ70" s="66"/>
    </row>
    <row r="71">
      <c r="A71" s="69" t="str">
        <f t="shared" ref="A71:A73" si="7">HYPERLINK("https://shop70176301.world.taobao.com/","Dream Case")</f>
        <v>Dream Case</v>
      </c>
      <c r="B71" s="73" t="s">
        <v>927</v>
      </c>
      <c r="C71" s="63" t="s">
        <v>248</v>
      </c>
      <c r="D71" s="48">
        <v>330.0</v>
      </c>
      <c r="E71" s="48">
        <v>160.0</v>
      </c>
      <c r="F71" s="48">
        <v>208.0</v>
      </c>
      <c r="G71" s="49">
        <f t="shared" si="1"/>
        <v>10.9824</v>
      </c>
      <c r="H71" s="49">
        <f t="shared" si="2"/>
        <v>528</v>
      </c>
      <c r="I71" s="48">
        <v>1.68</v>
      </c>
      <c r="J71" s="48" t="s">
        <v>171</v>
      </c>
      <c r="K71" s="50" t="s">
        <v>171</v>
      </c>
      <c r="L71" s="51">
        <v>80.0</v>
      </c>
      <c r="M71" s="50" t="s">
        <v>166</v>
      </c>
      <c r="N71" s="51" t="s">
        <v>174</v>
      </c>
      <c r="O71" s="48">
        <v>328.0</v>
      </c>
      <c r="P71" s="48">
        <v>160.0</v>
      </c>
      <c r="Q71" s="48">
        <v>55.0</v>
      </c>
      <c r="R71" s="48">
        <v>2.0</v>
      </c>
      <c r="S71" s="50" t="s">
        <v>166</v>
      </c>
      <c r="T71" s="52" t="s">
        <v>227</v>
      </c>
      <c r="U71" s="52" t="s">
        <v>599</v>
      </c>
      <c r="V71" s="51">
        <v>2.0</v>
      </c>
      <c r="W71" s="48" t="s">
        <v>194</v>
      </c>
      <c r="X71" s="50" t="s">
        <v>166</v>
      </c>
      <c r="Y71" s="51" t="s">
        <v>166</v>
      </c>
      <c r="Z71" s="48" t="s">
        <v>166</v>
      </c>
      <c r="AA71" s="48" t="s">
        <v>166</v>
      </c>
      <c r="AB71" s="48" t="s">
        <v>166</v>
      </c>
      <c r="AC71" s="48" t="s">
        <v>194</v>
      </c>
      <c r="AD71" s="48" t="s">
        <v>166</v>
      </c>
      <c r="AE71" s="54" t="s">
        <v>166</v>
      </c>
      <c r="AF71" s="55" t="s">
        <v>166</v>
      </c>
      <c r="AG71" s="51" t="s">
        <v>166</v>
      </c>
      <c r="AH71" s="48" t="s">
        <v>166</v>
      </c>
      <c r="AI71" s="48" t="s">
        <v>166</v>
      </c>
      <c r="AJ71" s="50" t="s">
        <v>166</v>
      </c>
      <c r="AK71" s="56">
        <v>188.0</v>
      </c>
      <c r="AL71" s="57">
        <f>AK71*Sheets!$E$3</f>
        <v>25.914954</v>
      </c>
      <c r="AM71" s="58"/>
      <c r="AN71" s="59"/>
      <c r="AO71" s="60" t="s">
        <v>181</v>
      </c>
      <c r="AP71" s="65">
        <v>44737.67698837963</v>
      </c>
      <c r="AQ71" s="66"/>
    </row>
    <row r="72">
      <c r="A72" s="69" t="str">
        <f t="shared" si="7"/>
        <v>Dream Case</v>
      </c>
      <c r="B72" s="46" t="s">
        <v>928</v>
      </c>
      <c r="C72" s="63" t="s">
        <v>248</v>
      </c>
      <c r="D72" s="48">
        <v>330.0</v>
      </c>
      <c r="E72" s="48">
        <v>160.0</v>
      </c>
      <c r="F72" s="48">
        <v>208.0</v>
      </c>
      <c r="G72" s="49">
        <f t="shared" si="1"/>
        <v>10.9824</v>
      </c>
      <c r="H72" s="49">
        <f t="shared" si="2"/>
        <v>528</v>
      </c>
      <c r="I72" s="48">
        <v>1.42</v>
      </c>
      <c r="J72" s="48" t="s">
        <v>171</v>
      </c>
      <c r="K72" s="50" t="s">
        <v>171</v>
      </c>
      <c r="L72" s="51">
        <v>82.0</v>
      </c>
      <c r="M72" s="50" t="s">
        <v>166</v>
      </c>
      <c r="N72" s="51" t="s">
        <v>174</v>
      </c>
      <c r="O72" s="48">
        <v>328.0</v>
      </c>
      <c r="P72" s="48">
        <v>155.0</v>
      </c>
      <c r="Q72" s="48">
        <v>52.0</v>
      </c>
      <c r="R72" s="48">
        <v>2.0</v>
      </c>
      <c r="S72" s="50" t="s">
        <v>166</v>
      </c>
      <c r="T72" s="52" t="s">
        <v>227</v>
      </c>
      <c r="U72" s="52" t="s">
        <v>599</v>
      </c>
      <c r="V72" s="51">
        <v>2.0</v>
      </c>
      <c r="W72" s="48" t="s">
        <v>194</v>
      </c>
      <c r="X72" s="50" t="s">
        <v>166</v>
      </c>
      <c r="Y72" s="51" t="s">
        <v>166</v>
      </c>
      <c r="Z72" s="48" t="s">
        <v>166</v>
      </c>
      <c r="AA72" s="48" t="s">
        <v>166</v>
      </c>
      <c r="AB72" s="48" t="s">
        <v>166</v>
      </c>
      <c r="AC72" s="48" t="s">
        <v>194</v>
      </c>
      <c r="AD72" s="48" t="s">
        <v>166</v>
      </c>
      <c r="AE72" s="54" t="s">
        <v>166</v>
      </c>
      <c r="AF72" s="55" t="s">
        <v>166</v>
      </c>
      <c r="AG72" s="51" t="s">
        <v>166</v>
      </c>
      <c r="AH72" s="48" t="s">
        <v>166</v>
      </c>
      <c r="AI72" s="48" t="s">
        <v>166</v>
      </c>
      <c r="AJ72" s="50" t="s">
        <v>166</v>
      </c>
      <c r="AK72" s="56">
        <v>178.0</v>
      </c>
      <c r="AL72" s="57">
        <f>AK72*Sheets!$E$3</f>
        <v>24.536499</v>
      </c>
      <c r="AM72" s="58"/>
      <c r="AN72" s="59"/>
      <c r="AO72" s="60"/>
      <c r="AP72" s="65">
        <v>44737.67770100695</v>
      </c>
      <c r="AQ72" s="66"/>
    </row>
    <row r="73">
      <c r="A73" s="69" t="str">
        <f t="shared" si="7"/>
        <v>Dream Case</v>
      </c>
      <c r="B73" s="46" t="s">
        <v>929</v>
      </c>
      <c r="C73" s="63" t="s">
        <v>262</v>
      </c>
      <c r="D73" s="48">
        <v>320.0</v>
      </c>
      <c r="E73" s="48">
        <v>156.0</v>
      </c>
      <c r="F73" s="48">
        <v>220.0</v>
      </c>
      <c r="G73" s="49">
        <f t="shared" si="1"/>
        <v>10.9824</v>
      </c>
      <c r="H73" s="49">
        <f t="shared" si="2"/>
        <v>499.2</v>
      </c>
      <c r="I73" s="48">
        <v>1.45</v>
      </c>
      <c r="J73" s="48" t="s">
        <v>171</v>
      </c>
      <c r="K73" s="50" t="s">
        <v>171</v>
      </c>
      <c r="L73" s="51">
        <v>135.0</v>
      </c>
      <c r="M73" s="50" t="s">
        <v>166</v>
      </c>
      <c r="N73" s="51" t="s">
        <v>166</v>
      </c>
      <c r="O73" s="48">
        <v>315.0</v>
      </c>
      <c r="P73" s="48">
        <v>140.0</v>
      </c>
      <c r="Q73" s="48">
        <v>50.0</v>
      </c>
      <c r="R73" s="48">
        <v>2.0</v>
      </c>
      <c r="S73" s="50" t="s">
        <v>166</v>
      </c>
      <c r="T73" s="52" t="s">
        <v>167</v>
      </c>
      <c r="U73" s="52" t="s">
        <v>324</v>
      </c>
      <c r="V73" s="51">
        <v>2.0</v>
      </c>
      <c r="W73" s="48">
        <v>1.0</v>
      </c>
      <c r="X73" s="50" t="s">
        <v>166</v>
      </c>
      <c r="Y73" s="51" t="s">
        <v>166</v>
      </c>
      <c r="Z73" s="48" t="s">
        <v>166</v>
      </c>
      <c r="AA73" s="48" t="s">
        <v>166</v>
      </c>
      <c r="AB73" s="48">
        <v>1.0</v>
      </c>
      <c r="AC73" s="48" t="s">
        <v>166</v>
      </c>
      <c r="AD73" s="48" t="s">
        <v>166</v>
      </c>
      <c r="AE73" s="54" t="s">
        <v>166</v>
      </c>
      <c r="AF73" s="55" t="s">
        <v>166</v>
      </c>
      <c r="AG73" s="51" t="s">
        <v>166</v>
      </c>
      <c r="AH73" s="48" t="s">
        <v>166</v>
      </c>
      <c r="AI73" s="48" t="s">
        <v>166</v>
      </c>
      <c r="AJ73" s="50" t="s">
        <v>166</v>
      </c>
      <c r="AK73" s="56">
        <v>108.0</v>
      </c>
      <c r="AL73" s="57">
        <f>AK73*Sheets!$E$3</f>
        <v>14.887314</v>
      </c>
      <c r="AM73" s="58"/>
      <c r="AN73" s="59"/>
      <c r="AO73" s="60"/>
      <c r="AP73" s="65">
        <v>45071.55588570602</v>
      </c>
      <c r="AQ73" s="66"/>
    </row>
    <row r="74">
      <c r="A74" s="69" t="str">
        <f>HYPERLINK("https://77to.world.taobao.com/","WDEAN DORA")</f>
        <v>WDEAN DORA</v>
      </c>
      <c r="B74" s="73" t="s">
        <v>930</v>
      </c>
      <c r="C74" s="63" t="s">
        <v>248</v>
      </c>
      <c r="D74" s="48">
        <v>350.0</v>
      </c>
      <c r="E74" s="48">
        <v>143.0</v>
      </c>
      <c r="F74" s="48">
        <v>220.0</v>
      </c>
      <c r="G74" s="98">
        <f t="shared" si="1"/>
        <v>11.011</v>
      </c>
      <c r="H74" s="49">
        <f t="shared" si="2"/>
        <v>500.5</v>
      </c>
      <c r="I74" s="48">
        <v>3.8</v>
      </c>
      <c r="J74" s="48" t="s">
        <v>164</v>
      </c>
      <c r="K74" s="50" t="s">
        <v>931</v>
      </c>
      <c r="L74" s="51">
        <v>55.8</v>
      </c>
      <c r="M74" s="50" t="s">
        <v>547</v>
      </c>
      <c r="N74" s="51" t="s">
        <v>174</v>
      </c>
      <c r="O74" s="48">
        <v>318.0</v>
      </c>
      <c r="P74" s="48">
        <v>150.0</v>
      </c>
      <c r="Q74" s="48">
        <v>56.0</v>
      </c>
      <c r="R74" s="48">
        <v>2.0</v>
      </c>
      <c r="S74" s="50" t="s">
        <v>166</v>
      </c>
      <c r="T74" s="52" t="s">
        <v>167</v>
      </c>
      <c r="U74" s="52" t="s">
        <v>346</v>
      </c>
      <c r="V74" s="51" t="s">
        <v>170</v>
      </c>
      <c r="W74" s="48" t="s">
        <v>170</v>
      </c>
      <c r="X74" s="50" t="s">
        <v>166</v>
      </c>
      <c r="Y74" s="51" t="s">
        <v>166</v>
      </c>
      <c r="Z74" s="48" t="s">
        <v>166</v>
      </c>
      <c r="AA74" s="48" t="s">
        <v>166</v>
      </c>
      <c r="AB74" s="48" t="s">
        <v>166</v>
      </c>
      <c r="AC74" s="48">
        <v>2.0</v>
      </c>
      <c r="AD74" s="48" t="s">
        <v>166</v>
      </c>
      <c r="AE74" s="54" t="s">
        <v>166</v>
      </c>
      <c r="AF74" s="55" t="s">
        <v>166</v>
      </c>
      <c r="AG74" s="51" t="s">
        <v>166</v>
      </c>
      <c r="AH74" s="48" t="s">
        <v>166</v>
      </c>
      <c r="AI74" s="48" t="s">
        <v>166</v>
      </c>
      <c r="AJ74" s="50" t="s">
        <v>166</v>
      </c>
      <c r="AK74" s="56">
        <v>1368.0</v>
      </c>
      <c r="AL74" s="57">
        <f>AK74*Sheets!$E$3</f>
        <v>188.572644</v>
      </c>
      <c r="AM74" s="68"/>
      <c r="AN74" s="59"/>
      <c r="AO74" s="71" t="s">
        <v>181</v>
      </c>
      <c r="AP74" s="65">
        <v>44887.940853692126</v>
      </c>
      <c r="AQ74" s="66"/>
    </row>
    <row r="75">
      <c r="A75" s="99" t="s">
        <v>754</v>
      </c>
      <c r="B75" s="73" t="s">
        <v>932</v>
      </c>
      <c r="C75" s="63" t="s">
        <v>248</v>
      </c>
      <c r="D75" s="48">
        <v>315.0</v>
      </c>
      <c r="E75" s="48">
        <v>140.0</v>
      </c>
      <c r="F75" s="48">
        <v>250.0</v>
      </c>
      <c r="G75" s="49">
        <f t="shared" si="1"/>
        <v>11.025</v>
      </c>
      <c r="H75" s="49">
        <f t="shared" si="2"/>
        <v>441</v>
      </c>
      <c r="I75" s="48" t="s">
        <v>170</v>
      </c>
      <c r="J75" s="48" t="s">
        <v>164</v>
      </c>
      <c r="K75" s="50" t="s">
        <v>164</v>
      </c>
      <c r="L75" s="51">
        <v>50.0</v>
      </c>
      <c r="M75" s="50" t="s">
        <v>547</v>
      </c>
      <c r="N75" s="51" t="s">
        <v>174</v>
      </c>
      <c r="O75" s="48">
        <v>308.0</v>
      </c>
      <c r="P75" s="48">
        <v>140.0</v>
      </c>
      <c r="Q75" s="48">
        <v>54.0</v>
      </c>
      <c r="R75" s="48">
        <v>2.0</v>
      </c>
      <c r="S75" s="50" t="s">
        <v>166</v>
      </c>
      <c r="T75" s="52" t="s">
        <v>167</v>
      </c>
      <c r="U75" s="52" t="s">
        <v>346</v>
      </c>
      <c r="V75" s="51">
        <v>3.0</v>
      </c>
      <c r="W75" s="48" t="s">
        <v>166</v>
      </c>
      <c r="X75" s="50" t="s">
        <v>166</v>
      </c>
      <c r="Y75" s="51" t="s">
        <v>166</v>
      </c>
      <c r="Z75" s="48" t="s">
        <v>166</v>
      </c>
      <c r="AA75" s="48" t="s">
        <v>166</v>
      </c>
      <c r="AB75" s="48" t="s">
        <v>166</v>
      </c>
      <c r="AC75" s="48">
        <v>2.0</v>
      </c>
      <c r="AD75" s="48" t="s">
        <v>166</v>
      </c>
      <c r="AE75" s="54" t="s">
        <v>166</v>
      </c>
      <c r="AF75" s="55" t="s">
        <v>166</v>
      </c>
      <c r="AG75" s="51" t="s">
        <v>166</v>
      </c>
      <c r="AH75" s="48">
        <v>1.0</v>
      </c>
      <c r="AI75" s="48" t="s">
        <v>166</v>
      </c>
      <c r="AJ75" s="50" t="s">
        <v>166</v>
      </c>
      <c r="AK75" s="56">
        <v>628.0</v>
      </c>
      <c r="AL75" s="57">
        <f>AK75*Sheets!$E$3</f>
        <v>86.566974</v>
      </c>
      <c r="AM75" s="68"/>
      <c r="AN75" s="59"/>
      <c r="AO75" s="60" t="s">
        <v>181</v>
      </c>
      <c r="AP75" s="72">
        <v>44442.90294763889</v>
      </c>
      <c r="AQ75" s="66"/>
    </row>
    <row r="76">
      <c r="A76" s="61" t="str">
        <f>HYPERLINK("https://hdplex.com/","HDPLEX")</f>
        <v>HDPLEX</v>
      </c>
      <c r="B76" s="62" t="str">
        <f>HYPERLINK("https://hdplex.com/hdplex-h3-v3-fanless-computer-chassis.html","H3 V3")</f>
        <v>H3 V3</v>
      </c>
      <c r="C76" s="63" t="s">
        <v>225</v>
      </c>
      <c r="D76" s="48">
        <v>302.2</v>
      </c>
      <c r="E76" s="48">
        <v>320.53</v>
      </c>
      <c r="F76" s="48">
        <v>114.0</v>
      </c>
      <c r="G76" s="49">
        <f t="shared" si="1"/>
        <v>11.04251492</v>
      </c>
      <c r="H76" s="49">
        <f t="shared" si="2"/>
        <v>968.64166</v>
      </c>
      <c r="I76" s="48">
        <v>5.5</v>
      </c>
      <c r="J76" s="48" t="s">
        <v>164</v>
      </c>
      <c r="K76" s="50" t="s">
        <v>347</v>
      </c>
      <c r="L76" s="51" t="s">
        <v>348</v>
      </c>
      <c r="M76" s="50" t="s">
        <v>166</v>
      </c>
      <c r="N76" s="51" t="s">
        <v>166</v>
      </c>
      <c r="O76" s="48" t="s">
        <v>170</v>
      </c>
      <c r="P76" s="48">
        <v>70.0</v>
      </c>
      <c r="Q76" s="48">
        <v>40.0</v>
      </c>
      <c r="R76" s="48">
        <v>1.0</v>
      </c>
      <c r="S76" s="50">
        <v>2.0</v>
      </c>
      <c r="T76" s="52" t="s">
        <v>423</v>
      </c>
      <c r="U76" s="52" t="s">
        <v>168</v>
      </c>
      <c r="V76" s="51" t="s">
        <v>416</v>
      </c>
      <c r="W76" s="48" t="s">
        <v>194</v>
      </c>
      <c r="X76" s="50" t="s">
        <v>166</v>
      </c>
      <c r="Y76" s="51" t="s">
        <v>166</v>
      </c>
      <c r="Z76" s="48" t="s">
        <v>166</v>
      </c>
      <c r="AA76" s="48" t="s">
        <v>166</v>
      </c>
      <c r="AB76" s="48" t="s">
        <v>166</v>
      </c>
      <c r="AC76" s="48" t="s">
        <v>166</v>
      </c>
      <c r="AD76" s="48" t="s">
        <v>166</v>
      </c>
      <c r="AE76" s="54" t="s">
        <v>166</v>
      </c>
      <c r="AF76" s="55" t="s">
        <v>166</v>
      </c>
      <c r="AG76" s="51" t="s">
        <v>166</v>
      </c>
      <c r="AH76" s="48" t="s">
        <v>166</v>
      </c>
      <c r="AI76" s="48">
        <v>1.0</v>
      </c>
      <c r="AJ76" s="50" t="s">
        <v>174</v>
      </c>
      <c r="AK76" s="51" t="s">
        <v>166</v>
      </c>
      <c r="AL76" s="57">
        <v>258.0</v>
      </c>
      <c r="AM76" s="58"/>
      <c r="AN76" s="59"/>
      <c r="AO76" s="60"/>
      <c r="AP76" s="60"/>
      <c r="AQ76" s="66"/>
    </row>
    <row r="77">
      <c r="A77" s="83" t="str">
        <f>HYPERLINK("http://www.louqe.com/","Louqe")</f>
        <v>Louqe</v>
      </c>
      <c r="B77" s="62" t="s">
        <v>933</v>
      </c>
      <c r="C77" s="63" t="s">
        <v>248</v>
      </c>
      <c r="D77" s="48">
        <v>322.0</v>
      </c>
      <c r="E77" s="48">
        <v>140.0</v>
      </c>
      <c r="F77" s="48">
        <v>245.0</v>
      </c>
      <c r="G77" s="49">
        <f t="shared" si="1"/>
        <v>11.0446</v>
      </c>
      <c r="H77" s="49">
        <f t="shared" si="2"/>
        <v>450.8</v>
      </c>
      <c r="I77" s="48">
        <v>2.5</v>
      </c>
      <c r="J77" s="48" t="s">
        <v>164</v>
      </c>
      <c r="K77" s="50" t="s">
        <v>688</v>
      </c>
      <c r="L77" s="51">
        <v>66.0</v>
      </c>
      <c r="M77" s="50" t="s">
        <v>673</v>
      </c>
      <c r="N77" s="51" t="s">
        <v>174</v>
      </c>
      <c r="O77" s="48">
        <v>305.0</v>
      </c>
      <c r="P77" s="48">
        <v>144.0</v>
      </c>
      <c r="Q77" s="48">
        <v>45.0</v>
      </c>
      <c r="R77" s="48">
        <v>2.0</v>
      </c>
      <c r="S77" s="50" t="s">
        <v>166</v>
      </c>
      <c r="T77" s="52" t="s">
        <v>167</v>
      </c>
      <c r="U77" s="52" t="s">
        <v>346</v>
      </c>
      <c r="V77" s="51" t="s">
        <v>195</v>
      </c>
      <c r="W77" s="48" t="s">
        <v>193</v>
      </c>
      <c r="X77" s="50" t="s">
        <v>166</v>
      </c>
      <c r="Y77" s="51" t="s">
        <v>166</v>
      </c>
      <c r="Z77" s="48" t="s">
        <v>166</v>
      </c>
      <c r="AA77" s="48" t="s">
        <v>166</v>
      </c>
      <c r="AB77" s="48" t="s">
        <v>166</v>
      </c>
      <c r="AC77" s="48" t="s">
        <v>426</v>
      </c>
      <c r="AD77" s="48" t="s">
        <v>166</v>
      </c>
      <c r="AE77" s="54" t="s">
        <v>166</v>
      </c>
      <c r="AF77" s="55" t="s">
        <v>166</v>
      </c>
      <c r="AG77" s="51" t="s">
        <v>166</v>
      </c>
      <c r="AH77" s="48" t="s">
        <v>166</v>
      </c>
      <c r="AI77" s="48" t="s">
        <v>166</v>
      </c>
      <c r="AJ77" s="50" t="s">
        <v>166</v>
      </c>
      <c r="AK77" s="56" t="s">
        <v>166</v>
      </c>
      <c r="AL77" s="57">
        <v>319.0</v>
      </c>
      <c r="AM77" s="64" t="str">
        <f>HYPERLINK("https://smallformfactor.net/forum/threads/the-world-most-flexible-sff-case-louqe-ghost-s1.1781/","Link")</f>
        <v>Link</v>
      </c>
      <c r="AN77" s="64" t="s">
        <v>214</v>
      </c>
      <c r="AO77" s="60"/>
      <c r="AP77" s="65">
        <v>44704.94665182871</v>
      </c>
      <c r="AQ77" s="66"/>
    </row>
    <row r="78">
      <c r="A78" s="69" t="str">
        <f>HYPERLINK("https://sgpc.world.taobao.com/","SGPC")</f>
        <v>SGPC</v>
      </c>
      <c r="B78" s="73" t="s">
        <v>934</v>
      </c>
      <c r="C78" s="63" t="s">
        <v>262</v>
      </c>
      <c r="D78" s="48">
        <v>282.0</v>
      </c>
      <c r="E78" s="48">
        <v>158.0</v>
      </c>
      <c r="F78" s="48">
        <v>248.0</v>
      </c>
      <c r="G78" s="49">
        <f t="shared" si="1"/>
        <v>11.049888</v>
      </c>
      <c r="H78" s="49">
        <f t="shared" si="2"/>
        <v>445.56</v>
      </c>
      <c r="I78" s="48">
        <v>1.38</v>
      </c>
      <c r="J78" s="48" t="s">
        <v>597</v>
      </c>
      <c r="K78" s="50" t="s">
        <v>185</v>
      </c>
      <c r="L78" s="51">
        <v>135.0</v>
      </c>
      <c r="M78" s="50" t="s">
        <v>166</v>
      </c>
      <c r="N78" s="51" t="s">
        <v>166</v>
      </c>
      <c r="O78" s="48">
        <v>275.0</v>
      </c>
      <c r="P78" s="48">
        <v>140.0</v>
      </c>
      <c r="Q78" s="48">
        <v>70.0</v>
      </c>
      <c r="R78" s="48">
        <v>3.0</v>
      </c>
      <c r="S78" s="50" t="s">
        <v>166</v>
      </c>
      <c r="T78" s="52" t="s">
        <v>935</v>
      </c>
      <c r="U78" s="52" t="s">
        <v>686</v>
      </c>
      <c r="V78" s="51" t="s">
        <v>300</v>
      </c>
      <c r="W78" s="48" t="s">
        <v>166</v>
      </c>
      <c r="X78" s="50" t="s">
        <v>166</v>
      </c>
      <c r="Y78" s="51" t="s">
        <v>166</v>
      </c>
      <c r="Z78" s="48" t="s">
        <v>166</v>
      </c>
      <c r="AA78" s="48" t="s">
        <v>166</v>
      </c>
      <c r="AB78" s="48" t="s">
        <v>412</v>
      </c>
      <c r="AC78" s="48" t="s">
        <v>193</v>
      </c>
      <c r="AD78" s="48" t="s">
        <v>166</v>
      </c>
      <c r="AE78" s="54" t="s">
        <v>166</v>
      </c>
      <c r="AF78" s="55" t="s">
        <v>166</v>
      </c>
      <c r="AG78" s="51" t="s">
        <v>166</v>
      </c>
      <c r="AH78" s="48" t="s">
        <v>166</v>
      </c>
      <c r="AI78" s="48" t="s">
        <v>166</v>
      </c>
      <c r="AJ78" s="50" t="s">
        <v>166</v>
      </c>
      <c r="AK78" s="56">
        <v>199.0</v>
      </c>
      <c r="AL78" s="57">
        <f>AK78*Sheets!$E$3</f>
        <v>27.4312545</v>
      </c>
      <c r="AM78" s="68"/>
      <c r="AN78" s="59"/>
      <c r="AO78" s="60" t="s">
        <v>181</v>
      </c>
      <c r="AP78" s="65">
        <v>44713.83151795139</v>
      </c>
      <c r="AQ78" s="66"/>
    </row>
    <row r="79">
      <c r="A79" s="82" t="str">
        <f>HYPERLINK("http://sliger.com/","Sliger")</f>
        <v>Sliger</v>
      </c>
      <c r="B79" s="83" t="str">
        <f>HYPERLINK("https://www.sliger.com/products/cases/sm560/","SM560")</f>
        <v>SM560</v>
      </c>
      <c r="C79" s="63" t="s">
        <v>248</v>
      </c>
      <c r="D79" s="48">
        <v>335.0</v>
      </c>
      <c r="E79" s="48">
        <v>159.0</v>
      </c>
      <c r="F79" s="48">
        <v>208.0</v>
      </c>
      <c r="G79" s="49">
        <f t="shared" si="1"/>
        <v>11.07912</v>
      </c>
      <c r="H79" s="81">
        <f t="shared" si="2"/>
        <v>532.65</v>
      </c>
      <c r="I79" s="48">
        <v>2.65</v>
      </c>
      <c r="J79" s="48" t="s">
        <v>274</v>
      </c>
      <c r="K79" s="50" t="s">
        <v>936</v>
      </c>
      <c r="L79" s="51">
        <v>55.0</v>
      </c>
      <c r="M79" s="50" t="s">
        <v>565</v>
      </c>
      <c r="N79" s="51" t="s">
        <v>174</v>
      </c>
      <c r="O79" s="48">
        <v>325.0</v>
      </c>
      <c r="P79" s="48">
        <v>157.0</v>
      </c>
      <c r="Q79" s="48">
        <v>67.0</v>
      </c>
      <c r="R79" s="48">
        <v>3.0</v>
      </c>
      <c r="S79" s="50" t="s">
        <v>166</v>
      </c>
      <c r="T79" s="52" t="s">
        <v>167</v>
      </c>
      <c r="U79" s="52" t="s">
        <v>346</v>
      </c>
      <c r="V79" s="51" t="s">
        <v>799</v>
      </c>
      <c r="W79" s="48" t="s">
        <v>193</v>
      </c>
      <c r="X79" s="50" t="s">
        <v>166</v>
      </c>
      <c r="Y79" s="51" t="s">
        <v>166</v>
      </c>
      <c r="Z79" s="48" t="s">
        <v>166</v>
      </c>
      <c r="AA79" s="48" t="s">
        <v>166</v>
      </c>
      <c r="AB79" s="48" t="s">
        <v>166</v>
      </c>
      <c r="AC79" s="48" t="s">
        <v>193</v>
      </c>
      <c r="AD79" s="48" t="s">
        <v>166</v>
      </c>
      <c r="AE79" s="54" t="s">
        <v>166</v>
      </c>
      <c r="AF79" s="55" t="s">
        <v>166</v>
      </c>
      <c r="AG79" s="51" t="s">
        <v>166</v>
      </c>
      <c r="AH79" s="48">
        <v>1.0</v>
      </c>
      <c r="AI79" s="48">
        <v>1.0</v>
      </c>
      <c r="AJ79" s="50" t="s">
        <v>174</v>
      </c>
      <c r="AK79" s="56" t="s">
        <v>166</v>
      </c>
      <c r="AL79" s="57">
        <v>229.0</v>
      </c>
      <c r="AM79" s="64" t="str">
        <f>HYPERLINK("https://smallformfactor.net/forum/threads/sliger-sm550-560-570-580-2-and-3-slot-riser-layouts-with-air-and-liquid-cooling-variants.6789/","Link")</f>
        <v>Link</v>
      </c>
      <c r="AN79" s="64" t="s">
        <v>214</v>
      </c>
      <c r="AO79" s="60" t="s">
        <v>181</v>
      </c>
      <c r="AP79" s="60"/>
      <c r="AQ79" s="66"/>
    </row>
    <row r="80">
      <c r="A80" s="61" t="s">
        <v>438</v>
      </c>
      <c r="B80" s="62" t="s">
        <v>937</v>
      </c>
      <c r="C80" s="63" t="s">
        <v>262</v>
      </c>
      <c r="D80" s="48">
        <v>259.0</v>
      </c>
      <c r="E80" s="48">
        <v>155.0</v>
      </c>
      <c r="F80" s="48">
        <v>276.0</v>
      </c>
      <c r="G80" s="98">
        <f t="shared" si="1"/>
        <v>11.08002</v>
      </c>
      <c r="H80" s="81">
        <f t="shared" si="2"/>
        <v>401.45</v>
      </c>
      <c r="I80" s="48">
        <v>3.1</v>
      </c>
      <c r="J80" s="48" t="s">
        <v>164</v>
      </c>
      <c r="K80" s="50" t="s">
        <v>213</v>
      </c>
      <c r="L80" s="51">
        <v>128.0</v>
      </c>
      <c r="M80" s="50">
        <v>120.0</v>
      </c>
      <c r="N80" s="51" t="s">
        <v>166</v>
      </c>
      <c r="O80" s="48">
        <v>250.0</v>
      </c>
      <c r="P80" s="48">
        <v>133.0</v>
      </c>
      <c r="Q80" s="48">
        <v>55.0</v>
      </c>
      <c r="R80" s="48">
        <v>2.0</v>
      </c>
      <c r="S80" s="50" t="s">
        <v>166</v>
      </c>
      <c r="T80" s="52" t="s">
        <v>167</v>
      </c>
      <c r="U80" s="52" t="s">
        <v>324</v>
      </c>
      <c r="V80" s="51">
        <v>1.0</v>
      </c>
      <c r="W80" s="48" t="s">
        <v>166</v>
      </c>
      <c r="X80" s="50" t="s">
        <v>166</v>
      </c>
      <c r="Y80" s="51" t="s">
        <v>166</v>
      </c>
      <c r="Z80" s="48" t="s">
        <v>166</v>
      </c>
      <c r="AA80" s="48" t="s">
        <v>166</v>
      </c>
      <c r="AB80" s="48">
        <v>1.0</v>
      </c>
      <c r="AC80" s="48">
        <v>2.0</v>
      </c>
      <c r="AD80" s="48" t="s">
        <v>166</v>
      </c>
      <c r="AE80" s="54" t="s">
        <v>166</v>
      </c>
      <c r="AF80" s="55" t="s">
        <v>166</v>
      </c>
      <c r="AG80" s="51" t="s">
        <v>166</v>
      </c>
      <c r="AH80" s="48">
        <v>2.0</v>
      </c>
      <c r="AI80" s="48" t="s">
        <v>166</v>
      </c>
      <c r="AJ80" s="50" t="s">
        <v>166</v>
      </c>
      <c r="AK80" s="56" t="s">
        <v>166</v>
      </c>
      <c r="AL80" s="57">
        <f>4450*0.031</f>
        <v>137.95</v>
      </c>
      <c r="AM80" s="64"/>
      <c r="AN80" s="59"/>
      <c r="AO80" s="60"/>
      <c r="AP80" s="65">
        <v>45071.555937083336</v>
      </c>
      <c r="AQ80" s="66"/>
    </row>
    <row r="81">
      <c r="A81" s="91" t="s">
        <v>659</v>
      </c>
      <c r="B81" s="67" t="s">
        <v>938</v>
      </c>
      <c r="C81" s="63" t="s">
        <v>248</v>
      </c>
      <c r="D81" s="48">
        <v>330.0</v>
      </c>
      <c r="E81" s="48">
        <v>160.0</v>
      </c>
      <c r="F81" s="48">
        <v>210.0</v>
      </c>
      <c r="G81" s="49">
        <f t="shared" si="1"/>
        <v>11.088</v>
      </c>
      <c r="H81" s="49">
        <f t="shared" si="2"/>
        <v>528</v>
      </c>
      <c r="I81" s="48" t="s">
        <v>170</v>
      </c>
      <c r="J81" s="48" t="s">
        <v>171</v>
      </c>
      <c r="K81" s="50" t="s">
        <v>939</v>
      </c>
      <c r="L81" s="51">
        <v>70.0</v>
      </c>
      <c r="M81" s="50" t="s">
        <v>166</v>
      </c>
      <c r="N81" s="51" t="s">
        <v>174</v>
      </c>
      <c r="O81" s="48">
        <v>315.0</v>
      </c>
      <c r="P81" s="48" t="s">
        <v>170</v>
      </c>
      <c r="Q81" s="48">
        <v>60.0</v>
      </c>
      <c r="R81" s="48">
        <v>3.0</v>
      </c>
      <c r="S81" s="50" t="s">
        <v>166</v>
      </c>
      <c r="T81" s="52" t="s">
        <v>167</v>
      </c>
      <c r="U81" s="52" t="s">
        <v>346</v>
      </c>
      <c r="V81" s="51">
        <v>1.0</v>
      </c>
      <c r="W81" s="48" t="s">
        <v>166</v>
      </c>
      <c r="X81" s="50" t="s">
        <v>166</v>
      </c>
      <c r="Y81" s="51" t="s">
        <v>166</v>
      </c>
      <c r="Z81" s="48" t="s">
        <v>166</v>
      </c>
      <c r="AA81" s="48" t="s">
        <v>166</v>
      </c>
      <c r="AB81" s="48" t="s">
        <v>166</v>
      </c>
      <c r="AC81" s="48">
        <v>2.0</v>
      </c>
      <c r="AD81" s="48" t="s">
        <v>166</v>
      </c>
      <c r="AE81" s="54" t="s">
        <v>166</v>
      </c>
      <c r="AF81" s="55" t="s">
        <v>166</v>
      </c>
      <c r="AG81" s="51" t="s">
        <v>166</v>
      </c>
      <c r="AH81" s="48" t="s">
        <v>166</v>
      </c>
      <c r="AI81" s="48" t="s">
        <v>166</v>
      </c>
      <c r="AJ81" s="50" t="s">
        <v>166</v>
      </c>
      <c r="AK81" s="56" t="s">
        <v>166</v>
      </c>
      <c r="AL81" s="57">
        <v>88.0</v>
      </c>
      <c r="AM81" s="68"/>
      <c r="AN81" s="59"/>
      <c r="AO81" s="60" t="s">
        <v>181</v>
      </c>
      <c r="AP81" s="65">
        <v>44887.96266041667</v>
      </c>
      <c r="AQ81" s="66"/>
    </row>
    <row r="82">
      <c r="A82" s="82" t="str">
        <f>HYPERLINK("http://www.jonsbo.com/en/","Jonsbo")</f>
        <v>Jonsbo</v>
      </c>
      <c r="B82" s="62" t="s">
        <v>940</v>
      </c>
      <c r="C82" s="63" t="s">
        <v>490</v>
      </c>
      <c r="D82" s="48">
        <v>222.5</v>
      </c>
      <c r="E82" s="48">
        <v>222.5</v>
      </c>
      <c r="F82" s="48">
        <v>224.0</v>
      </c>
      <c r="G82" s="49">
        <f t="shared" si="1"/>
        <v>11.0894</v>
      </c>
      <c r="H82" s="49">
        <f t="shared" si="2"/>
        <v>495.0625</v>
      </c>
      <c r="I82" s="48">
        <v>2.9</v>
      </c>
      <c r="J82" s="48" t="s">
        <v>164</v>
      </c>
      <c r="K82" s="50" t="s">
        <v>605</v>
      </c>
      <c r="L82" s="51">
        <v>65.0</v>
      </c>
      <c r="M82" s="50" t="s">
        <v>166</v>
      </c>
      <c r="N82" s="51" t="s">
        <v>166</v>
      </c>
      <c r="O82" s="48">
        <v>197.0</v>
      </c>
      <c r="P82" s="48">
        <v>70.0</v>
      </c>
      <c r="Q82" s="48">
        <v>20.0</v>
      </c>
      <c r="R82" s="48" t="s">
        <v>166</v>
      </c>
      <c r="S82" s="50">
        <v>1.0</v>
      </c>
      <c r="T82" s="52" t="s">
        <v>167</v>
      </c>
      <c r="U82" s="52" t="s">
        <v>346</v>
      </c>
      <c r="V82" s="51">
        <v>1.0</v>
      </c>
      <c r="W82" s="48">
        <v>5.0</v>
      </c>
      <c r="X82" s="50" t="s">
        <v>166</v>
      </c>
      <c r="Y82" s="51" t="s">
        <v>166</v>
      </c>
      <c r="Z82" s="48" t="s">
        <v>166</v>
      </c>
      <c r="AA82" s="48" t="s">
        <v>166</v>
      </c>
      <c r="AB82" s="48" t="s">
        <v>166</v>
      </c>
      <c r="AC82" s="48">
        <v>1.0</v>
      </c>
      <c r="AD82" s="48" t="s">
        <v>166</v>
      </c>
      <c r="AE82" s="54" t="s">
        <v>166</v>
      </c>
      <c r="AF82" s="55" t="s">
        <v>166</v>
      </c>
      <c r="AG82" s="51" t="s">
        <v>166</v>
      </c>
      <c r="AH82" s="48">
        <v>1.0</v>
      </c>
      <c r="AI82" s="48">
        <v>1.0</v>
      </c>
      <c r="AJ82" s="50" t="s">
        <v>174</v>
      </c>
      <c r="AK82" s="56" t="s">
        <v>166</v>
      </c>
      <c r="AL82" s="57">
        <v>150.0</v>
      </c>
      <c r="AM82" s="68"/>
      <c r="AN82" s="59"/>
      <c r="AO82" s="60"/>
      <c r="AP82" s="65">
        <v>45061.01256275463</v>
      </c>
      <c r="AQ82" s="66"/>
    </row>
    <row r="83">
      <c r="A83" s="69" t="str">
        <f>HYPERLINK("https://shop34001191.world.taobao.com/","Mechanic Master")</f>
        <v>Mechanic Master</v>
      </c>
      <c r="B83" s="46" t="s">
        <v>941</v>
      </c>
      <c r="C83" s="63" t="s">
        <v>282</v>
      </c>
      <c r="D83" s="48">
        <v>210.0</v>
      </c>
      <c r="E83" s="48">
        <v>145.0</v>
      </c>
      <c r="F83" s="48">
        <v>365.0</v>
      </c>
      <c r="G83" s="49">
        <f t="shared" si="1"/>
        <v>11.11425</v>
      </c>
      <c r="H83" s="49">
        <f t="shared" si="2"/>
        <v>304.5</v>
      </c>
      <c r="I83" s="48">
        <v>1.25</v>
      </c>
      <c r="J83" s="48" t="s">
        <v>282</v>
      </c>
      <c r="K83" s="50" t="s">
        <v>164</v>
      </c>
      <c r="L83" s="51" t="s">
        <v>282</v>
      </c>
      <c r="M83" s="50" t="s">
        <v>825</v>
      </c>
      <c r="N83" s="51" t="s">
        <v>174</v>
      </c>
      <c r="O83" s="48">
        <v>335.0</v>
      </c>
      <c r="P83" s="48" t="s">
        <v>282</v>
      </c>
      <c r="Q83" s="48" t="s">
        <v>282</v>
      </c>
      <c r="R83" s="48" t="s">
        <v>282</v>
      </c>
      <c r="S83" s="50" t="s">
        <v>166</v>
      </c>
      <c r="T83" s="52" t="s">
        <v>167</v>
      </c>
      <c r="U83" s="52" t="s">
        <v>346</v>
      </c>
      <c r="V83" s="51" t="s">
        <v>166</v>
      </c>
      <c r="W83" s="48" t="s">
        <v>166</v>
      </c>
      <c r="X83" s="50" t="s">
        <v>166</v>
      </c>
      <c r="Y83" s="51" t="s">
        <v>166</v>
      </c>
      <c r="Z83" s="48" t="s">
        <v>166</v>
      </c>
      <c r="AA83" s="48" t="s">
        <v>166</v>
      </c>
      <c r="AB83" s="48" t="s">
        <v>166</v>
      </c>
      <c r="AC83" s="48" t="s">
        <v>170</v>
      </c>
      <c r="AD83" s="48" t="s">
        <v>170</v>
      </c>
      <c r="AE83" s="54" t="s">
        <v>166</v>
      </c>
      <c r="AF83" s="55" t="s">
        <v>166</v>
      </c>
      <c r="AG83" s="51" t="s">
        <v>166</v>
      </c>
      <c r="AH83" s="48">
        <v>1.0</v>
      </c>
      <c r="AI83" s="48">
        <v>1.0</v>
      </c>
      <c r="AJ83" s="50" t="s">
        <v>166</v>
      </c>
      <c r="AK83" s="56">
        <v>799.0</v>
      </c>
      <c r="AL83" s="57">
        <f>AK83*Sheets!$E$3</f>
        <v>110.1385545</v>
      </c>
      <c r="AM83" s="68"/>
      <c r="AN83" s="59"/>
      <c r="AO83" s="71" t="s">
        <v>181</v>
      </c>
      <c r="AP83" s="60"/>
      <c r="AQ83" s="66"/>
    </row>
    <row r="84">
      <c r="A84" s="61" t="s">
        <v>942</v>
      </c>
      <c r="B84" s="62" t="s">
        <v>943</v>
      </c>
      <c r="C84" s="63" t="s">
        <v>248</v>
      </c>
      <c r="D84" s="48">
        <v>326.0</v>
      </c>
      <c r="E84" s="48">
        <v>140.0</v>
      </c>
      <c r="F84" s="48">
        <v>244.0</v>
      </c>
      <c r="G84" s="49">
        <f t="shared" si="1"/>
        <v>11.13616</v>
      </c>
      <c r="H84" s="49">
        <f t="shared" si="2"/>
        <v>456.4</v>
      </c>
      <c r="I84" s="48">
        <v>2.9</v>
      </c>
      <c r="J84" s="48" t="s">
        <v>164</v>
      </c>
      <c r="K84" s="50" t="s">
        <v>944</v>
      </c>
      <c r="L84" s="51">
        <v>55.0</v>
      </c>
      <c r="M84" s="50" t="s">
        <v>547</v>
      </c>
      <c r="N84" s="51" t="s">
        <v>174</v>
      </c>
      <c r="O84" s="48">
        <v>322.0</v>
      </c>
      <c r="P84" s="48">
        <v>155.0</v>
      </c>
      <c r="Q84" s="48">
        <v>65.0</v>
      </c>
      <c r="R84" s="48">
        <v>3.0</v>
      </c>
      <c r="S84" s="50" t="s">
        <v>166</v>
      </c>
      <c r="T84" s="52" t="s">
        <v>167</v>
      </c>
      <c r="U84" s="52" t="s">
        <v>346</v>
      </c>
      <c r="V84" s="51">
        <v>1.0</v>
      </c>
      <c r="W84" s="48" t="s">
        <v>166</v>
      </c>
      <c r="X84" s="50" t="s">
        <v>166</v>
      </c>
      <c r="Y84" s="51" t="s">
        <v>166</v>
      </c>
      <c r="Z84" s="48" t="s">
        <v>166</v>
      </c>
      <c r="AA84" s="48" t="s">
        <v>166</v>
      </c>
      <c r="AB84" s="48" t="s">
        <v>166</v>
      </c>
      <c r="AC84" s="48">
        <v>2.0</v>
      </c>
      <c r="AD84" s="48" t="s">
        <v>166</v>
      </c>
      <c r="AE84" s="54" t="s">
        <v>166</v>
      </c>
      <c r="AF84" s="55" t="s">
        <v>166</v>
      </c>
      <c r="AG84" s="51" t="s">
        <v>166</v>
      </c>
      <c r="AH84" s="48">
        <v>1.0</v>
      </c>
      <c r="AI84" s="48">
        <v>1.0</v>
      </c>
      <c r="AJ84" s="50" t="s">
        <v>174</v>
      </c>
      <c r="AK84" s="56" t="s">
        <v>166</v>
      </c>
      <c r="AL84" s="57">
        <v>119.99</v>
      </c>
      <c r="AM84" s="64" t="s">
        <v>214</v>
      </c>
      <c r="AN84" s="59"/>
      <c r="AO84" s="60"/>
      <c r="AP84" s="65">
        <v>45347.51364362269</v>
      </c>
      <c r="AQ84" s="66"/>
    </row>
    <row r="85">
      <c r="A85" s="61" t="s">
        <v>209</v>
      </c>
      <c r="B85" s="83" t="str">
        <f>HYPERLINK("https://www.silverstonetek.com/product.php?pid=414&amp;area=en","SG06")</f>
        <v>SG06</v>
      </c>
      <c r="C85" s="63" t="s">
        <v>262</v>
      </c>
      <c r="D85" s="48">
        <v>286.0</v>
      </c>
      <c r="E85" s="48">
        <v>220.0</v>
      </c>
      <c r="F85" s="48">
        <v>177.0</v>
      </c>
      <c r="G85" s="49">
        <f t="shared" si="1"/>
        <v>11.13684</v>
      </c>
      <c r="H85" s="49">
        <f t="shared" si="2"/>
        <v>629.2</v>
      </c>
      <c r="I85" s="48">
        <v>2.43</v>
      </c>
      <c r="J85" s="48" t="s">
        <v>171</v>
      </c>
      <c r="K85" s="50" t="s">
        <v>512</v>
      </c>
      <c r="L85" s="51">
        <v>82.0</v>
      </c>
      <c r="M85" s="50" t="s">
        <v>166</v>
      </c>
      <c r="N85" s="51" t="s">
        <v>166</v>
      </c>
      <c r="O85" s="48">
        <v>254.0</v>
      </c>
      <c r="P85" s="48">
        <v>129.0</v>
      </c>
      <c r="Q85" s="48">
        <v>40.0</v>
      </c>
      <c r="R85" s="48">
        <v>2.0</v>
      </c>
      <c r="S85" s="50" t="s">
        <v>166</v>
      </c>
      <c r="T85" s="52" t="s">
        <v>227</v>
      </c>
      <c r="U85" s="52" t="s">
        <v>324</v>
      </c>
      <c r="V85" s="51">
        <v>1.0</v>
      </c>
      <c r="W85" s="48">
        <v>1.0</v>
      </c>
      <c r="X85" s="50" t="s">
        <v>208</v>
      </c>
      <c r="Y85" s="51" t="s">
        <v>166</v>
      </c>
      <c r="Z85" s="48" t="s">
        <v>166</v>
      </c>
      <c r="AA85" s="48" t="s">
        <v>166</v>
      </c>
      <c r="AB85" s="48" t="s">
        <v>166</v>
      </c>
      <c r="AC85" s="48">
        <v>1.0</v>
      </c>
      <c r="AD85" s="48" t="s">
        <v>166</v>
      </c>
      <c r="AE85" s="54" t="s">
        <v>166</v>
      </c>
      <c r="AF85" s="55" t="s">
        <v>166</v>
      </c>
      <c r="AG85" s="51" t="s">
        <v>166</v>
      </c>
      <c r="AH85" s="48">
        <v>2.0</v>
      </c>
      <c r="AI85" s="48" t="s">
        <v>166</v>
      </c>
      <c r="AJ85" s="50" t="s">
        <v>174</v>
      </c>
      <c r="AK85" s="56" t="s">
        <v>166</v>
      </c>
      <c r="AL85" s="57">
        <v>60.0</v>
      </c>
      <c r="AM85" s="58"/>
      <c r="AN85" s="59"/>
      <c r="AO85" s="60"/>
      <c r="AP85" s="65">
        <v>44644.50505694444</v>
      </c>
      <c r="AQ85" s="66"/>
    </row>
    <row r="86">
      <c r="A86" s="82" t="str">
        <f>HYPERLINK("https://www.geeekstore.com/","GEEEK")</f>
        <v>GEEEK</v>
      </c>
      <c r="B86" s="62" t="s">
        <v>945</v>
      </c>
      <c r="C86" s="63" t="s">
        <v>248</v>
      </c>
      <c r="D86" s="48">
        <v>330.0</v>
      </c>
      <c r="E86" s="48">
        <v>145.0</v>
      </c>
      <c r="F86" s="48">
        <v>233.0</v>
      </c>
      <c r="G86" s="49">
        <f t="shared" si="1"/>
        <v>11.14905</v>
      </c>
      <c r="H86" s="49">
        <f t="shared" si="2"/>
        <v>478.5</v>
      </c>
      <c r="I86" s="48" t="s">
        <v>170</v>
      </c>
      <c r="J86" s="48" t="s">
        <v>274</v>
      </c>
      <c r="K86" s="50" t="s">
        <v>305</v>
      </c>
      <c r="L86" s="51">
        <v>66.0</v>
      </c>
      <c r="M86" s="50" t="s">
        <v>547</v>
      </c>
      <c r="N86" s="51" t="s">
        <v>174</v>
      </c>
      <c r="O86" s="48">
        <v>325.0</v>
      </c>
      <c r="P86" s="48">
        <v>145.0</v>
      </c>
      <c r="Q86" s="48">
        <v>55.0</v>
      </c>
      <c r="R86" s="48">
        <v>2.0</v>
      </c>
      <c r="S86" s="50" t="s">
        <v>166</v>
      </c>
      <c r="T86" s="52" t="s">
        <v>167</v>
      </c>
      <c r="U86" s="52" t="s">
        <v>346</v>
      </c>
      <c r="V86" s="51">
        <v>4.0</v>
      </c>
      <c r="W86" s="48" t="s">
        <v>166</v>
      </c>
      <c r="X86" s="50" t="s">
        <v>166</v>
      </c>
      <c r="Y86" s="51" t="s">
        <v>166</v>
      </c>
      <c r="Z86" s="48" t="s">
        <v>166</v>
      </c>
      <c r="AA86" s="48" t="s">
        <v>166</v>
      </c>
      <c r="AB86" s="48" t="s">
        <v>166</v>
      </c>
      <c r="AC86" s="48">
        <v>4.0</v>
      </c>
      <c r="AD86" s="48" t="s">
        <v>166</v>
      </c>
      <c r="AE86" s="54" t="s">
        <v>166</v>
      </c>
      <c r="AF86" s="55" t="s">
        <v>166</v>
      </c>
      <c r="AG86" s="51" t="s">
        <v>166</v>
      </c>
      <c r="AH86" s="48" t="s">
        <v>166</v>
      </c>
      <c r="AI86" s="48" t="s">
        <v>166</v>
      </c>
      <c r="AJ86" s="50" t="s">
        <v>166</v>
      </c>
      <c r="AK86" s="56" t="s">
        <v>166</v>
      </c>
      <c r="AL86" s="57">
        <v>99.0</v>
      </c>
      <c r="AM86" s="68"/>
      <c r="AN86" s="64" t="s">
        <v>214</v>
      </c>
      <c r="AO86" s="60"/>
      <c r="AP86" s="60"/>
      <c r="AQ86" s="66"/>
    </row>
    <row r="87">
      <c r="A87" s="46" t="str">
        <f>HYPERLINK("https://shop115457374.world.taobao.com/","Sirius Case / 天狼星机箱")</f>
        <v>Sirius Case / 天狼星机箱</v>
      </c>
      <c r="B87" s="73" t="s">
        <v>946</v>
      </c>
      <c r="C87" s="63" t="s">
        <v>248</v>
      </c>
      <c r="D87" s="48">
        <v>319.0</v>
      </c>
      <c r="E87" s="48">
        <v>140.0</v>
      </c>
      <c r="F87" s="48">
        <v>250.0</v>
      </c>
      <c r="G87" s="49">
        <f t="shared" si="1"/>
        <v>11.165</v>
      </c>
      <c r="H87" s="49">
        <f t="shared" si="2"/>
        <v>446.6</v>
      </c>
      <c r="I87" s="48" t="s">
        <v>170</v>
      </c>
      <c r="J87" s="48" t="s">
        <v>898</v>
      </c>
      <c r="K87" s="50" t="s">
        <v>164</v>
      </c>
      <c r="L87" s="51">
        <v>59.0</v>
      </c>
      <c r="M87" s="50" t="s">
        <v>547</v>
      </c>
      <c r="N87" s="51" t="s">
        <v>174</v>
      </c>
      <c r="O87" s="48">
        <v>312.0</v>
      </c>
      <c r="P87" s="48">
        <v>165.0</v>
      </c>
      <c r="Q87" s="48">
        <v>49.0</v>
      </c>
      <c r="R87" s="48">
        <v>2.0</v>
      </c>
      <c r="S87" s="50" t="s">
        <v>166</v>
      </c>
      <c r="T87" s="52" t="s">
        <v>167</v>
      </c>
      <c r="U87" s="52" t="s">
        <v>346</v>
      </c>
      <c r="V87" s="51">
        <v>1.0</v>
      </c>
      <c r="W87" s="48" t="s">
        <v>166</v>
      </c>
      <c r="X87" s="50" t="s">
        <v>166</v>
      </c>
      <c r="Y87" s="51" t="s">
        <v>166</v>
      </c>
      <c r="Z87" s="48" t="s">
        <v>166</v>
      </c>
      <c r="AA87" s="48" t="s">
        <v>166</v>
      </c>
      <c r="AB87" s="48" t="s">
        <v>166</v>
      </c>
      <c r="AC87" s="48">
        <v>2.0</v>
      </c>
      <c r="AD87" s="48" t="s">
        <v>166</v>
      </c>
      <c r="AE87" s="54" t="s">
        <v>166</v>
      </c>
      <c r="AF87" s="55" t="s">
        <v>166</v>
      </c>
      <c r="AG87" s="51" t="s">
        <v>166</v>
      </c>
      <c r="AH87" s="48" t="s">
        <v>166</v>
      </c>
      <c r="AI87" s="48" t="s">
        <v>166</v>
      </c>
      <c r="AJ87" s="50" t="s">
        <v>166</v>
      </c>
      <c r="AK87" s="56">
        <v>462.0</v>
      </c>
      <c r="AL87" s="57">
        <f>AK87*Sheets!$E$3</f>
        <v>63.684621</v>
      </c>
      <c r="AM87" s="68"/>
      <c r="AN87" s="70"/>
      <c r="AO87" s="71" t="s">
        <v>181</v>
      </c>
      <c r="AP87" s="71"/>
      <c r="AQ87" s="66"/>
    </row>
    <row r="88">
      <c r="A88" s="69" t="s">
        <v>286</v>
      </c>
      <c r="B88" s="46" t="str">
        <f>HYPERLINK("https://item.taobao.com/item.htm?id=600358697578","V2")</f>
        <v>V2</v>
      </c>
      <c r="C88" s="63" t="s">
        <v>248</v>
      </c>
      <c r="D88" s="48">
        <v>318.0</v>
      </c>
      <c r="E88" s="48">
        <v>140.0</v>
      </c>
      <c r="F88" s="48">
        <v>251.0</v>
      </c>
      <c r="G88" s="49">
        <f t="shared" si="1"/>
        <v>11.17452</v>
      </c>
      <c r="H88" s="49">
        <f t="shared" si="2"/>
        <v>445.2</v>
      </c>
      <c r="I88" s="48" t="s">
        <v>170</v>
      </c>
      <c r="J88" s="48" t="s">
        <v>235</v>
      </c>
      <c r="K88" s="50" t="s">
        <v>418</v>
      </c>
      <c r="L88" s="51">
        <v>62.0</v>
      </c>
      <c r="M88" s="50" t="s">
        <v>547</v>
      </c>
      <c r="N88" s="51" t="s">
        <v>174</v>
      </c>
      <c r="O88" s="48">
        <v>307.0</v>
      </c>
      <c r="P88" s="48">
        <v>133.0</v>
      </c>
      <c r="Q88" s="48">
        <v>45.0</v>
      </c>
      <c r="R88" s="48">
        <v>2.0</v>
      </c>
      <c r="S88" s="50" t="s">
        <v>166</v>
      </c>
      <c r="T88" s="52" t="s">
        <v>167</v>
      </c>
      <c r="U88" s="52" t="s">
        <v>346</v>
      </c>
      <c r="V88" s="51">
        <v>2.0</v>
      </c>
      <c r="W88" s="48" t="s">
        <v>166</v>
      </c>
      <c r="X88" s="50" t="s">
        <v>166</v>
      </c>
      <c r="Y88" s="51" t="s">
        <v>166</v>
      </c>
      <c r="Z88" s="48" t="s">
        <v>166</v>
      </c>
      <c r="AA88" s="48" t="s">
        <v>166</v>
      </c>
      <c r="AB88" s="48" t="s">
        <v>166</v>
      </c>
      <c r="AC88" s="48">
        <v>3.0</v>
      </c>
      <c r="AD88" s="48" t="s">
        <v>166</v>
      </c>
      <c r="AE88" s="54" t="s">
        <v>166</v>
      </c>
      <c r="AF88" s="55" t="s">
        <v>166</v>
      </c>
      <c r="AG88" s="51" t="s">
        <v>166</v>
      </c>
      <c r="AH88" s="48" t="s">
        <v>166</v>
      </c>
      <c r="AI88" s="48" t="s">
        <v>166</v>
      </c>
      <c r="AJ88" s="50" t="s">
        <v>166</v>
      </c>
      <c r="AK88" s="56">
        <v>899.0</v>
      </c>
      <c r="AL88" s="57">
        <f>AK88*Sheets!$E$3</f>
        <v>123.9231045</v>
      </c>
      <c r="AM88" s="68"/>
      <c r="AN88" s="70"/>
      <c r="AO88" s="71"/>
      <c r="AP88" s="71"/>
      <c r="AQ88" s="66"/>
    </row>
    <row r="89">
      <c r="A89" s="46" t="s">
        <v>947</v>
      </c>
      <c r="B89" s="73" t="s">
        <v>948</v>
      </c>
      <c r="C89" s="63" t="s">
        <v>282</v>
      </c>
      <c r="D89" s="48">
        <v>210.0</v>
      </c>
      <c r="E89" s="48">
        <v>150.0</v>
      </c>
      <c r="F89" s="48">
        <v>355.0</v>
      </c>
      <c r="G89" s="49">
        <f t="shared" si="1"/>
        <v>11.1825</v>
      </c>
      <c r="H89" s="49">
        <f t="shared" si="2"/>
        <v>315</v>
      </c>
      <c r="I89" s="48" t="s">
        <v>170</v>
      </c>
      <c r="J89" s="48" t="s">
        <v>282</v>
      </c>
      <c r="K89" s="50" t="s">
        <v>164</v>
      </c>
      <c r="L89" s="51">
        <v>139.0</v>
      </c>
      <c r="M89" s="50" t="s">
        <v>166</v>
      </c>
      <c r="N89" s="51" t="s">
        <v>166</v>
      </c>
      <c r="O89" s="48">
        <v>335.0</v>
      </c>
      <c r="P89" s="48">
        <v>130.0</v>
      </c>
      <c r="Q89" s="48">
        <v>50.0</v>
      </c>
      <c r="R89" s="48">
        <v>2.0</v>
      </c>
      <c r="S89" s="50" t="s">
        <v>166</v>
      </c>
      <c r="T89" s="52" t="s">
        <v>227</v>
      </c>
      <c r="U89" s="52" t="s">
        <v>346</v>
      </c>
      <c r="V89" s="51" t="s">
        <v>682</v>
      </c>
      <c r="W89" s="48" t="s">
        <v>426</v>
      </c>
      <c r="X89" s="50" t="s">
        <v>166</v>
      </c>
      <c r="Y89" s="51" t="s">
        <v>166</v>
      </c>
      <c r="Z89" s="48" t="s">
        <v>166</v>
      </c>
      <c r="AA89" s="48" t="s">
        <v>166</v>
      </c>
      <c r="AB89" s="48">
        <v>1.0</v>
      </c>
      <c r="AC89" s="48" t="s">
        <v>166</v>
      </c>
      <c r="AD89" s="48" t="s">
        <v>166</v>
      </c>
      <c r="AE89" s="54" t="s">
        <v>166</v>
      </c>
      <c r="AF89" s="55" t="s">
        <v>166</v>
      </c>
      <c r="AG89" s="51" t="s">
        <v>166</v>
      </c>
      <c r="AH89" s="48" t="s">
        <v>166</v>
      </c>
      <c r="AI89" s="48" t="s">
        <v>166</v>
      </c>
      <c r="AJ89" s="50" t="s">
        <v>166</v>
      </c>
      <c r="AK89" s="56">
        <v>599.0</v>
      </c>
      <c r="AL89" s="57">
        <f>AK89*Sheets!$E$3</f>
        <v>82.5694545</v>
      </c>
      <c r="AM89" s="64"/>
      <c r="AN89" s="59"/>
      <c r="AO89" s="71" t="s">
        <v>181</v>
      </c>
      <c r="AP89" s="65">
        <v>44681.59878714121</v>
      </c>
      <c r="AQ89" s="66"/>
    </row>
    <row r="90">
      <c r="A90" s="82" t="str">
        <f>HYPERLINK("https://www.geeekstore.com/","GEEEK")</f>
        <v>GEEEK</v>
      </c>
      <c r="B90" s="62" t="s">
        <v>949</v>
      </c>
      <c r="C90" s="63" t="s">
        <v>248</v>
      </c>
      <c r="D90" s="48">
        <v>332.0</v>
      </c>
      <c r="E90" s="48">
        <v>144.0</v>
      </c>
      <c r="F90" s="48">
        <v>234.0</v>
      </c>
      <c r="G90" s="49">
        <f t="shared" si="1"/>
        <v>11.187072</v>
      </c>
      <c r="H90" s="49">
        <f t="shared" si="2"/>
        <v>478.08</v>
      </c>
      <c r="I90" s="48">
        <v>1.95</v>
      </c>
      <c r="J90" s="48" t="s">
        <v>245</v>
      </c>
      <c r="K90" s="50" t="s">
        <v>950</v>
      </c>
      <c r="L90" s="51">
        <v>66.0</v>
      </c>
      <c r="M90" s="50" t="s">
        <v>166</v>
      </c>
      <c r="N90" s="51" t="s">
        <v>174</v>
      </c>
      <c r="O90" s="48">
        <v>320.0</v>
      </c>
      <c r="P90" s="48">
        <v>150.0</v>
      </c>
      <c r="Q90" s="48">
        <v>50.0</v>
      </c>
      <c r="R90" s="48">
        <v>2.0</v>
      </c>
      <c r="S90" s="50" t="s">
        <v>166</v>
      </c>
      <c r="T90" s="52" t="s">
        <v>167</v>
      </c>
      <c r="U90" s="52" t="s">
        <v>346</v>
      </c>
      <c r="V90" s="51">
        <v>2.0</v>
      </c>
      <c r="W90" s="48" t="s">
        <v>166</v>
      </c>
      <c r="X90" s="50" t="s">
        <v>166</v>
      </c>
      <c r="Y90" s="51" t="s">
        <v>166</v>
      </c>
      <c r="Z90" s="48" t="s">
        <v>166</v>
      </c>
      <c r="AA90" s="48" t="s">
        <v>166</v>
      </c>
      <c r="AB90" s="48" t="s">
        <v>166</v>
      </c>
      <c r="AC90" s="48">
        <v>4.0</v>
      </c>
      <c r="AD90" s="48" t="s">
        <v>166</v>
      </c>
      <c r="AE90" s="54" t="s">
        <v>166</v>
      </c>
      <c r="AF90" s="55" t="s">
        <v>166</v>
      </c>
      <c r="AG90" s="51" t="s">
        <v>166</v>
      </c>
      <c r="AH90" s="48" t="s">
        <v>166</v>
      </c>
      <c r="AI90" s="48" t="s">
        <v>166</v>
      </c>
      <c r="AJ90" s="50" t="s">
        <v>166</v>
      </c>
      <c r="AK90" s="56" t="s">
        <v>166</v>
      </c>
      <c r="AL90" s="57">
        <v>149.0</v>
      </c>
      <c r="AM90" s="68"/>
      <c r="AN90" s="59"/>
      <c r="AO90" s="71" t="s">
        <v>181</v>
      </c>
      <c r="AP90" s="60"/>
      <c r="AQ90" s="66"/>
    </row>
    <row r="91">
      <c r="A91" s="46" t="str">
        <f>HYPERLINK("https://geeek.world.taobao.com/","GEEEK机箱")</f>
        <v>GEEEK机箱</v>
      </c>
      <c r="B91" s="73" t="s">
        <v>951</v>
      </c>
      <c r="C91" s="63" t="s">
        <v>262</v>
      </c>
      <c r="D91" s="48">
        <v>290.0</v>
      </c>
      <c r="E91" s="48">
        <v>155.0</v>
      </c>
      <c r="F91" s="48">
        <v>250.0</v>
      </c>
      <c r="G91" s="49">
        <f t="shared" si="1"/>
        <v>11.2375</v>
      </c>
      <c r="H91" s="49">
        <f t="shared" si="2"/>
        <v>449.5</v>
      </c>
      <c r="I91" s="48">
        <v>2.0</v>
      </c>
      <c r="J91" s="48" t="s">
        <v>245</v>
      </c>
      <c r="K91" s="50" t="s">
        <v>255</v>
      </c>
      <c r="L91" s="51">
        <v>125.0</v>
      </c>
      <c r="M91" s="50" t="s">
        <v>166</v>
      </c>
      <c r="N91" s="51" t="s">
        <v>166</v>
      </c>
      <c r="O91" s="48">
        <v>280.0</v>
      </c>
      <c r="P91" s="48">
        <v>130.0</v>
      </c>
      <c r="Q91" s="48">
        <v>45.0</v>
      </c>
      <c r="R91" s="48">
        <v>2.0</v>
      </c>
      <c r="S91" s="50" t="s">
        <v>166</v>
      </c>
      <c r="T91" s="52" t="s">
        <v>167</v>
      </c>
      <c r="U91" s="52" t="s">
        <v>346</v>
      </c>
      <c r="V91" s="51">
        <v>2.0</v>
      </c>
      <c r="W91" s="48" t="s">
        <v>166</v>
      </c>
      <c r="X91" s="50" t="s">
        <v>166</v>
      </c>
      <c r="Y91" s="51" t="s">
        <v>166</v>
      </c>
      <c r="Z91" s="48" t="s">
        <v>166</v>
      </c>
      <c r="AA91" s="48">
        <v>2.0</v>
      </c>
      <c r="AB91" s="48" t="s">
        <v>166</v>
      </c>
      <c r="AC91" s="48">
        <v>2.0</v>
      </c>
      <c r="AD91" s="48" t="s">
        <v>166</v>
      </c>
      <c r="AE91" s="54" t="s">
        <v>166</v>
      </c>
      <c r="AF91" s="55" t="s">
        <v>166</v>
      </c>
      <c r="AG91" s="51" t="s">
        <v>166</v>
      </c>
      <c r="AH91" s="48" t="s">
        <v>166</v>
      </c>
      <c r="AI91" s="48" t="s">
        <v>166</v>
      </c>
      <c r="AJ91" s="50" t="s">
        <v>166</v>
      </c>
      <c r="AK91" s="56">
        <v>298.0</v>
      </c>
      <c r="AL91" s="57">
        <f>AK91*Sheets!$E$3</f>
        <v>41.077959</v>
      </c>
      <c r="AM91" s="68"/>
      <c r="AN91" s="70"/>
      <c r="AO91" s="71" t="s">
        <v>181</v>
      </c>
      <c r="AP91" s="72">
        <v>45071.55601901621</v>
      </c>
      <c r="AQ91" s="66"/>
    </row>
    <row r="92">
      <c r="A92" s="61" t="s">
        <v>178</v>
      </c>
      <c r="B92" s="67" t="s">
        <v>952</v>
      </c>
      <c r="C92" s="63" t="s">
        <v>262</v>
      </c>
      <c r="D92" s="48">
        <v>315.0</v>
      </c>
      <c r="E92" s="48">
        <v>152.5</v>
      </c>
      <c r="F92" s="48">
        <v>234.0</v>
      </c>
      <c r="G92" s="49">
        <f t="shared" si="1"/>
        <v>11.240775</v>
      </c>
      <c r="H92" s="49">
        <f t="shared" si="2"/>
        <v>480.375</v>
      </c>
      <c r="I92" s="48" t="s">
        <v>170</v>
      </c>
      <c r="J92" s="48" t="s">
        <v>411</v>
      </c>
      <c r="K92" s="50" t="s">
        <v>249</v>
      </c>
      <c r="L92" s="51">
        <v>128.0</v>
      </c>
      <c r="M92" s="50" t="s">
        <v>825</v>
      </c>
      <c r="N92" s="51" t="s">
        <v>166</v>
      </c>
      <c r="O92" s="48">
        <v>305.0</v>
      </c>
      <c r="P92" s="48">
        <v>133.0</v>
      </c>
      <c r="Q92" s="48">
        <v>60.0</v>
      </c>
      <c r="R92" s="48">
        <v>3.0</v>
      </c>
      <c r="S92" s="50" t="s">
        <v>166</v>
      </c>
      <c r="T92" s="52" t="s">
        <v>227</v>
      </c>
      <c r="U92" s="52" t="s">
        <v>346</v>
      </c>
      <c r="V92" s="51">
        <v>2.0</v>
      </c>
      <c r="W92" s="48" t="s">
        <v>166</v>
      </c>
      <c r="X92" s="50" t="s">
        <v>166</v>
      </c>
      <c r="Y92" s="51" t="s">
        <v>166</v>
      </c>
      <c r="Z92" s="48" t="s">
        <v>166</v>
      </c>
      <c r="AA92" s="48" t="s">
        <v>166</v>
      </c>
      <c r="AB92" s="48">
        <v>1.0</v>
      </c>
      <c r="AC92" s="48" t="s">
        <v>278</v>
      </c>
      <c r="AD92" s="48" t="s">
        <v>278</v>
      </c>
      <c r="AE92" s="54" t="s">
        <v>166</v>
      </c>
      <c r="AF92" s="55" t="s">
        <v>166</v>
      </c>
      <c r="AG92" s="51" t="s">
        <v>166</v>
      </c>
      <c r="AH92" s="48">
        <v>2.0</v>
      </c>
      <c r="AI92" s="48" t="s">
        <v>166</v>
      </c>
      <c r="AJ92" s="50" t="s">
        <v>174</v>
      </c>
      <c r="AK92" s="56" t="s">
        <v>166</v>
      </c>
      <c r="AL92" s="57">
        <v>79.0</v>
      </c>
      <c r="AM92" s="58"/>
      <c r="AN92" s="59"/>
      <c r="AO92" s="71" t="s">
        <v>181</v>
      </c>
      <c r="AP92" s="65">
        <v>45184.711179351856</v>
      </c>
      <c r="AQ92" s="66"/>
    </row>
    <row r="93">
      <c r="A93" s="69" t="str">
        <f>HYPERLINK("https://shop114698654.world.taobao.com/","酷酷的小机箱")</f>
        <v>酷酷的小机箱</v>
      </c>
      <c r="B93" s="73" t="s">
        <v>953</v>
      </c>
      <c r="C93" s="63" t="s">
        <v>262</v>
      </c>
      <c r="D93" s="48">
        <v>280.0</v>
      </c>
      <c r="E93" s="48">
        <v>150.0</v>
      </c>
      <c r="F93" s="48">
        <v>268.0</v>
      </c>
      <c r="G93" s="49">
        <f t="shared" si="1"/>
        <v>11.256</v>
      </c>
      <c r="H93" s="49">
        <f t="shared" si="2"/>
        <v>420</v>
      </c>
      <c r="I93" s="48">
        <v>2.01</v>
      </c>
      <c r="J93" s="48" t="s">
        <v>171</v>
      </c>
      <c r="K93" s="50" t="s">
        <v>180</v>
      </c>
      <c r="L93" s="51">
        <v>60.0</v>
      </c>
      <c r="M93" s="50" t="s">
        <v>166</v>
      </c>
      <c r="N93" s="51" t="s">
        <v>166</v>
      </c>
      <c r="O93" s="48">
        <v>265.0</v>
      </c>
      <c r="P93" s="48">
        <v>127.0</v>
      </c>
      <c r="Q93" s="48">
        <v>60.0</v>
      </c>
      <c r="R93" s="48">
        <v>3.0</v>
      </c>
      <c r="S93" s="50" t="s">
        <v>166</v>
      </c>
      <c r="T93" s="52" t="s">
        <v>423</v>
      </c>
      <c r="U93" s="52" t="s">
        <v>324</v>
      </c>
      <c r="V93" s="51" t="s">
        <v>193</v>
      </c>
      <c r="W93" s="48" t="s">
        <v>194</v>
      </c>
      <c r="X93" s="50" t="s">
        <v>166</v>
      </c>
      <c r="Y93" s="51" t="s">
        <v>166</v>
      </c>
      <c r="Z93" s="48" t="s">
        <v>166</v>
      </c>
      <c r="AA93" s="48">
        <v>4.0</v>
      </c>
      <c r="AB93" s="48" t="s">
        <v>166</v>
      </c>
      <c r="AC93" s="48" t="s">
        <v>166</v>
      </c>
      <c r="AD93" s="48" t="s">
        <v>166</v>
      </c>
      <c r="AE93" s="54" t="s">
        <v>166</v>
      </c>
      <c r="AF93" s="55" t="s">
        <v>166</v>
      </c>
      <c r="AG93" s="51" t="s">
        <v>166</v>
      </c>
      <c r="AH93" s="48">
        <v>2.0</v>
      </c>
      <c r="AI93" s="48" t="s">
        <v>166</v>
      </c>
      <c r="AJ93" s="50" t="s">
        <v>166</v>
      </c>
      <c r="AK93" s="56">
        <v>188.0</v>
      </c>
      <c r="AL93" s="57">
        <f>AK93*Sheets!$E$3</f>
        <v>25.914954</v>
      </c>
      <c r="AM93" s="68"/>
      <c r="AN93" s="70"/>
      <c r="AO93" s="71" t="s">
        <v>181</v>
      </c>
      <c r="AP93" s="72">
        <v>44604.56259701389</v>
      </c>
      <c r="AQ93" s="66"/>
    </row>
    <row r="94">
      <c r="A94" s="46" t="str">
        <f>HYPERLINK("https://shop159524301.world.taobao.com/","Warhead Design")</f>
        <v>Warhead Design</v>
      </c>
      <c r="B94" s="73" t="s">
        <v>954</v>
      </c>
      <c r="C94" s="63" t="s">
        <v>248</v>
      </c>
      <c r="D94" s="48">
        <v>335.0</v>
      </c>
      <c r="E94" s="48">
        <v>143.0</v>
      </c>
      <c r="F94" s="48">
        <v>235.0</v>
      </c>
      <c r="G94" s="49">
        <f t="shared" si="1"/>
        <v>11.257675</v>
      </c>
      <c r="H94" s="49">
        <f t="shared" si="2"/>
        <v>479.05</v>
      </c>
      <c r="I94" s="48">
        <v>2.0</v>
      </c>
      <c r="J94" s="48" t="s">
        <v>240</v>
      </c>
      <c r="K94" s="50" t="s">
        <v>164</v>
      </c>
      <c r="L94" s="51">
        <v>80.0</v>
      </c>
      <c r="M94" s="50" t="s">
        <v>825</v>
      </c>
      <c r="N94" s="51" t="s">
        <v>174</v>
      </c>
      <c r="O94" s="48">
        <v>330.0</v>
      </c>
      <c r="P94" s="48" t="s">
        <v>170</v>
      </c>
      <c r="Q94" s="48">
        <v>60.0</v>
      </c>
      <c r="R94" s="48">
        <v>2.0</v>
      </c>
      <c r="S94" s="50" t="s">
        <v>166</v>
      </c>
      <c r="T94" s="52" t="s">
        <v>167</v>
      </c>
      <c r="U94" s="52" t="s">
        <v>816</v>
      </c>
      <c r="V94" s="51">
        <v>1.0</v>
      </c>
      <c r="W94" s="48" t="s">
        <v>166</v>
      </c>
      <c r="X94" s="50" t="s">
        <v>166</v>
      </c>
      <c r="Y94" s="51" t="s">
        <v>166</v>
      </c>
      <c r="Z94" s="48" t="s">
        <v>166</v>
      </c>
      <c r="AA94" s="48" t="s">
        <v>166</v>
      </c>
      <c r="AB94" s="48" t="s">
        <v>166</v>
      </c>
      <c r="AC94" s="48" t="s">
        <v>193</v>
      </c>
      <c r="AD94" s="48" t="s">
        <v>193</v>
      </c>
      <c r="AE94" s="54" t="s">
        <v>166</v>
      </c>
      <c r="AF94" s="55" t="s">
        <v>166</v>
      </c>
      <c r="AG94" s="51" t="s">
        <v>166</v>
      </c>
      <c r="AH94" s="48" t="s">
        <v>166</v>
      </c>
      <c r="AI94" s="48" t="s">
        <v>166</v>
      </c>
      <c r="AJ94" s="50" t="s">
        <v>166</v>
      </c>
      <c r="AK94" s="56">
        <v>599.0</v>
      </c>
      <c r="AL94" s="57">
        <f>AK94*Sheets!$E$3</f>
        <v>82.5694545</v>
      </c>
      <c r="AM94" s="68"/>
      <c r="AN94" s="59"/>
      <c r="AO94" s="71" t="s">
        <v>181</v>
      </c>
      <c r="AP94" s="65">
        <v>45070.410369143516</v>
      </c>
      <c r="AQ94" s="66"/>
    </row>
    <row r="95">
      <c r="A95" s="46" t="str">
        <f>HYPERLINK("https://shop206098240.world.taobao.com/","LZmod")</f>
        <v>LZmod</v>
      </c>
      <c r="B95" s="46" t="s">
        <v>955</v>
      </c>
      <c r="C95" s="63" t="s">
        <v>248</v>
      </c>
      <c r="D95" s="48">
        <v>326.0</v>
      </c>
      <c r="E95" s="48">
        <v>140.0</v>
      </c>
      <c r="F95" s="48">
        <v>247.0</v>
      </c>
      <c r="G95" s="49">
        <f t="shared" si="1"/>
        <v>11.27308</v>
      </c>
      <c r="H95" s="49">
        <f t="shared" si="2"/>
        <v>456.4</v>
      </c>
      <c r="I95" s="48">
        <v>3.5</v>
      </c>
      <c r="J95" s="48" t="s">
        <v>235</v>
      </c>
      <c r="K95" s="50" t="s">
        <v>328</v>
      </c>
      <c r="L95" s="51">
        <v>66.0</v>
      </c>
      <c r="M95" s="50" t="s">
        <v>547</v>
      </c>
      <c r="N95" s="51" t="s">
        <v>174</v>
      </c>
      <c r="O95" s="48">
        <v>318.0</v>
      </c>
      <c r="P95" s="48">
        <v>155.0</v>
      </c>
      <c r="Q95" s="48">
        <v>56.0</v>
      </c>
      <c r="R95" s="48">
        <v>2.0</v>
      </c>
      <c r="S95" s="50" t="s">
        <v>166</v>
      </c>
      <c r="T95" s="52" t="s">
        <v>167</v>
      </c>
      <c r="U95" s="52" t="s">
        <v>346</v>
      </c>
      <c r="V95" s="51">
        <v>4.0</v>
      </c>
      <c r="W95" s="48" t="s">
        <v>166</v>
      </c>
      <c r="X95" s="50" t="s">
        <v>166</v>
      </c>
      <c r="Y95" s="51" t="s">
        <v>166</v>
      </c>
      <c r="Z95" s="48" t="s">
        <v>166</v>
      </c>
      <c r="AA95" s="48" t="s">
        <v>166</v>
      </c>
      <c r="AB95" s="48" t="s">
        <v>166</v>
      </c>
      <c r="AC95" s="48">
        <v>2.0</v>
      </c>
      <c r="AD95" s="48" t="s">
        <v>166</v>
      </c>
      <c r="AE95" s="54" t="s">
        <v>166</v>
      </c>
      <c r="AF95" s="55" t="s">
        <v>166</v>
      </c>
      <c r="AG95" s="51" t="s">
        <v>166</v>
      </c>
      <c r="AH95" s="48" t="s">
        <v>166</v>
      </c>
      <c r="AI95" s="48" t="s">
        <v>166</v>
      </c>
      <c r="AJ95" s="50" t="s">
        <v>166</v>
      </c>
      <c r="AK95" s="56">
        <v>1299.0</v>
      </c>
      <c r="AL95" s="57">
        <f>AK95*Sheets!$E$3</f>
        <v>179.0613045</v>
      </c>
      <c r="AM95" s="68"/>
      <c r="AN95" s="70"/>
      <c r="AO95" s="71"/>
      <c r="AP95" s="72">
        <v>44478.577485208334</v>
      </c>
      <c r="AQ95" s="66"/>
    </row>
    <row r="96">
      <c r="A96" s="46" t="str">
        <f>HYPERLINK("https://shop309038390.world.taobao.com/","ZZAW")</f>
        <v>ZZAW</v>
      </c>
      <c r="B96" s="46" t="s">
        <v>956</v>
      </c>
      <c r="C96" s="63" t="s">
        <v>262</v>
      </c>
      <c r="D96" s="48">
        <v>327.0</v>
      </c>
      <c r="E96" s="48">
        <v>150.0</v>
      </c>
      <c r="F96" s="48">
        <v>230.0</v>
      </c>
      <c r="G96" s="49">
        <f t="shared" si="1"/>
        <v>11.2815</v>
      </c>
      <c r="H96" s="49">
        <f t="shared" si="2"/>
        <v>490.5</v>
      </c>
      <c r="I96" s="48">
        <v>2.1</v>
      </c>
      <c r="J96" s="48" t="s">
        <v>164</v>
      </c>
      <c r="K96" s="50" t="s">
        <v>323</v>
      </c>
      <c r="L96" s="51">
        <v>120.0</v>
      </c>
      <c r="M96" s="50" t="s">
        <v>547</v>
      </c>
      <c r="N96" s="51" t="s">
        <v>166</v>
      </c>
      <c r="O96" s="48">
        <v>300.0</v>
      </c>
      <c r="P96" s="48">
        <v>125.0</v>
      </c>
      <c r="Q96" s="48">
        <v>52.0</v>
      </c>
      <c r="R96" s="48">
        <v>2.0</v>
      </c>
      <c r="S96" s="50" t="s">
        <v>166</v>
      </c>
      <c r="T96" s="52" t="s">
        <v>227</v>
      </c>
      <c r="U96" s="52" t="s">
        <v>346</v>
      </c>
      <c r="V96" s="51">
        <v>2.0</v>
      </c>
      <c r="W96" s="48" t="s">
        <v>166</v>
      </c>
      <c r="X96" s="50" t="s">
        <v>166</v>
      </c>
      <c r="Y96" s="51" t="s">
        <v>166</v>
      </c>
      <c r="Z96" s="48" t="s">
        <v>166</v>
      </c>
      <c r="AA96" s="48">
        <v>1.0</v>
      </c>
      <c r="AB96" s="48" t="s">
        <v>166</v>
      </c>
      <c r="AC96" s="48">
        <v>2.0</v>
      </c>
      <c r="AD96" s="48" t="s">
        <v>166</v>
      </c>
      <c r="AE96" s="54" t="s">
        <v>166</v>
      </c>
      <c r="AF96" s="55" t="s">
        <v>166</v>
      </c>
      <c r="AG96" s="51" t="s">
        <v>166</v>
      </c>
      <c r="AH96" s="48">
        <v>1.0</v>
      </c>
      <c r="AI96" s="48">
        <v>1.0</v>
      </c>
      <c r="AJ96" s="50" t="s">
        <v>166</v>
      </c>
      <c r="AK96" s="56">
        <v>499.0</v>
      </c>
      <c r="AL96" s="57">
        <f>AK96*Sheets!$E$3</f>
        <v>68.7849045</v>
      </c>
      <c r="AM96" s="58"/>
      <c r="AN96" s="59"/>
      <c r="AO96" s="60"/>
      <c r="AP96" s="65">
        <v>45071.55616908565</v>
      </c>
      <c r="AQ96" s="66"/>
    </row>
    <row r="97">
      <c r="A97" s="91" t="s">
        <v>419</v>
      </c>
      <c r="B97" s="67" t="s">
        <v>957</v>
      </c>
      <c r="C97" s="63" t="s">
        <v>225</v>
      </c>
      <c r="D97" s="48">
        <v>330.0</v>
      </c>
      <c r="E97" s="48">
        <v>95.0</v>
      </c>
      <c r="F97" s="48">
        <v>360.0</v>
      </c>
      <c r="G97" s="49">
        <f t="shared" si="1"/>
        <v>11.286</v>
      </c>
      <c r="H97" s="49">
        <f t="shared" si="2"/>
        <v>313.5</v>
      </c>
      <c r="I97" s="48">
        <v>1.2</v>
      </c>
      <c r="J97" s="48" t="s">
        <v>245</v>
      </c>
      <c r="K97" s="50" t="s">
        <v>421</v>
      </c>
      <c r="L97" s="51">
        <v>70.0</v>
      </c>
      <c r="M97" s="50">
        <v>120.0</v>
      </c>
      <c r="N97" s="51" t="s">
        <v>174</v>
      </c>
      <c r="O97" s="48">
        <v>305.0</v>
      </c>
      <c r="P97" s="48">
        <v>130.0</v>
      </c>
      <c r="Q97" s="48">
        <v>42.0</v>
      </c>
      <c r="R97" s="48">
        <v>2.0</v>
      </c>
      <c r="S97" s="50" t="s">
        <v>166</v>
      </c>
      <c r="T97" s="52" t="s">
        <v>167</v>
      </c>
      <c r="U97" s="52" t="s">
        <v>324</v>
      </c>
      <c r="V97" s="51">
        <v>2.0</v>
      </c>
      <c r="W97" s="48" t="s">
        <v>166</v>
      </c>
      <c r="X97" s="50" t="s">
        <v>166</v>
      </c>
      <c r="Y97" s="51" t="s">
        <v>166</v>
      </c>
      <c r="Z97" s="48" t="s">
        <v>166</v>
      </c>
      <c r="AA97" s="48">
        <v>3.0</v>
      </c>
      <c r="AB97" s="48" t="s">
        <v>166</v>
      </c>
      <c r="AC97" s="48" t="s">
        <v>166</v>
      </c>
      <c r="AD97" s="48" t="s">
        <v>166</v>
      </c>
      <c r="AE97" s="54" t="s">
        <v>166</v>
      </c>
      <c r="AF97" s="55" t="s">
        <v>166</v>
      </c>
      <c r="AG97" s="51" t="s">
        <v>166</v>
      </c>
      <c r="AH97" s="48" t="s">
        <v>166</v>
      </c>
      <c r="AI97" s="48" t="s">
        <v>166</v>
      </c>
      <c r="AJ97" s="50" t="s">
        <v>166</v>
      </c>
      <c r="AK97" s="56" t="s">
        <v>166</v>
      </c>
      <c r="AL97" s="57">
        <v>169.0</v>
      </c>
      <c r="AM97" s="64" t="str">
        <f>HYPERLINK("https://smallformfactor.net/forum/threads/modivio-xcase-customizable-console-style-case.2732/","Link")</f>
        <v>Link</v>
      </c>
      <c r="AN97" s="59"/>
      <c r="AO97" s="60" t="s">
        <v>181</v>
      </c>
      <c r="AP97" s="65">
        <v>44563.995265879625</v>
      </c>
      <c r="AQ97" s="66"/>
    </row>
    <row r="98">
      <c r="A98" s="82" t="str">
        <f>HYPERLINK("http://www.jonsbo.com/en/","Jonsbo")</f>
        <v>Jonsbo</v>
      </c>
      <c r="B98" s="62" t="str">
        <f>HYPERLINK("http://www.jonsbo.com/en/products/u1plussilver.html","U1 Plus")</f>
        <v>U1 Plus</v>
      </c>
      <c r="C98" s="63" t="s">
        <v>262</v>
      </c>
      <c r="D98" s="48">
        <v>220.0</v>
      </c>
      <c r="E98" s="48">
        <v>170.0</v>
      </c>
      <c r="F98" s="48">
        <v>302.0</v>
      </c>
      <c r="G98" s="49">
        <f t="shared" si="1"/>
        <v>11.2948</v>
      </c>
      <c r="H98" s="49">
        <f t="shared" si="2"/>
        <v>374</v>
      </c>
      <c r="I98" s="48">
        <v>2.77</v>
      </c>
      <c r="J98" s="48" t="s">
        <v>597</v>
      </c>
      <c r="K98" s="50" t="s">
        <v>252</v>
      </c>
      <c r="L98" s="51">
        <v>133.0</v>
      </c>
      <c r="M98" s="50" t="s">
        <v>166</v>
      </c>
      <c r="N98" s="51" t="s">
        <v>166</v>
      </c>
      <c r="O98" s="48">
        <v>195.0</v>
      </c>
      <c r="P98" s="48">
        <v>138.0</v>
      </c>
      <c r="Q98" s="48">
        <v>40.0</v>
      </c>
      <c r="R98" s="48">
        <v>2.0</v>
      </c>
      <c r="S98" s="50" t="s">
        <v>166</v>
      </c>
      <c r="T98" s="52" t="s">
        <v>167</v>
      </c>
      <c r="U98" s="52" t="s">
        <v>324</v>
      </c>
      <c r="V98" s="51">
        <v>2.0</v>
      </c>
      <c r="W98" s="48" t="s">
        <v>166</v>
      </c>
      <c r="X98" s="50" t="s">
        <v>166</v>
      </c>
      <c r="Y98" s="51" t="s">
        <v>166</v>
      </c>
      <c r="Z98" s="48" t="s">
        <v>166</v>
      </c>
      <c r="AA98" s="48">
        <v>1.0</v>
      </c>
      <c r="AB98" s="48" t="s">
        <v>166</v>
      </c>
      <c r="AC98" s="48" t="s">
        <v>166</v>
      </c>
      <c r="AD98" s="48" t="s">
        <v>166</v>
      </c>
      <c r="AE98" s="54" t="s">
        <v>166</v>
      </c>
      <c r="AF98" s="55" t="s">
        <v>166</v>
      </c>
      <c r="AG98" s="51" t="s">
        <v>166</v>
      </c>
      <c r="AH98" s="48">
        <v>2.0</v>
      </c>
      <c r="AI98" s="48" t="s">
        <v>166</v>
      </c>
      <c r="AJ98" s="50" t="s">
        <v>174</v>
      </c>
      <c r="AK98" s="56">
        <v>399.0</v>
      </c>
      <c r="AL98" s="57">
        <v>73.6</v>
      </c>
      <c r="AM98" s="68"/>
      <c r="AN98" s="59"/>
      <c r="AO98" s="60"/>
      <c r="AP98" s="65">
        <v>45071.55620773148</v>
      </c>
      <c r="AQ98" s="66"/>
    </row>
    <row r="99">
      <c r="A99" s="82" t="str">
        <f>HYPERLINK("https://thor-zone.com/","Thor Zone")</f>
        <v>Thor Zone</v>
      </c>
      <c r="B99" s="62" t="s">
        <v>958</v>
      </c>
      <c r="C99" s="63" t="s">
        <v>248</v>
      </c>
      <c r="D99" s="48">
        <v>355.0</v>
      </c>
      <c r="E99" s="48">
        <v>141.0</v>
      </c>
      <c r="F99" s="48">
        <v>226.0</v>
      </c>
      <c r="G99" s="49">
        <f t="shared" si="1"/>
        <v>11.31243</v>
      </c>
      <c r="H99" s="49">
        <f t="shared" si="2"/>
        <v>500.55</v>
      </c>
      <c r="I99" s="48">
        <v>2.9</v>
      </c>
      <c r="J99" s="48" t="s">
        <v>164</v>
      </c>
      <c r="K99" s="50" t="s">
        <v>171</v>
      </c>
      <c r="L99" s="51">
        <v>51.0</v>
      </c>
      <c r="M99" s="50" t="s">
        <v>547</v>
      </c>
      <c r="N99" s="51" t="s">
        <v>174</v>
      </c>
      <c r="O99" s="48">
        <v>327.0</v>
      </c>
      <c r="P99" s="48">
        <v>158.0</v>
      </c>
      <c r="Q99" s="48">
        <v>63.0</v>
      </c>
      <c r="R99" s="48">
        <v>3.0</v>
      </c>
      <c r="S99" s="50" t="s">
        <v>166</v>
      </c>
      <c r="T99" s="52" t="s">
        <v>167</v>
      </c>
      <c r="U99" s="52" t="s">
        <v>346</v>
      </c>
      <c r="V99" s="51" t="s">
        <v>166</v>
      </c>
      <c r="W99" s="48" t="s">
        <v>166</v>
      </c>
      <c r="X99" s="50" t="s">
        <v>166</v>
      </c>
      <c r="Y99" s="51" t="s">
        <v>166</v>
      </c>
      <c r="Z99" s="48" t="s">
        <v>166</v>
      </c>
      <c r="AA99" s="48" t="s">
        <v>166</v>
      </c>
      <c r="AB99" s="48" t="s">
        <v>166</v>
      </c>
      <c r="AC99" s="48">
        <v>2.0</v>
      </c>
      <c r="AD99" s="48" t="s">
        <v>166</v>
      </c>
      <c r="AE99" s="54" t="s">
        <v>166</v>
      </c>
      <c r="AF99" s="55" t="s">
        <v>166</v>
      </c>
      <c r="AG99" s="51" t="s">
        <v>166</v>
      </c>
      <c r="AH99" s="48" t="s">
        <v>166</v>
      </c>
      <c r="AI99" s="48" t="s">
        <v>166</v>
      </c>
      <c r="AJ99" s="50" t="s">
        <v>166</v>
      </c>
      <c r="AK99" s="56" t="s">
        <v>166</v>
      </c>
      <c r="AL99" s="57">
        <f>319*1.08</f>
        <v>344.52</v>
      </c>
      <c r="AM99" s="64"/>
      <c r="AN99" s="59"/>
      <c r="AO99" s="60"/>
      <c r="AP99" s="65">
        <v>45347.496438194445</v>
      </c>
      <c r="AQ99" s="66"/>
    </row>
    <row r="100">
      <c r="A100" s="69" t="str">
        <f>HYPERLINK("https://sgpc.world.taobao.com/","SGPC")</f>
        <v>SGPC</v>
      </c>
      <c r="B100" s="46" t="s">
        <v>959</v>
      </c>
      <c r="C100" s="63" t="s">
        <v>248</v>
      </c>
      <c r="D100" s="48">
        <v>318.0</v>
      </c>
      <c r="E100" s="48">
        <v>138.0</v>
      </c>
      <c r="F100" s="48">
        <v>258.0</v>
      </c>
      <c r="G100" s="49">
        <f t="shared" si="1"/>
        <v>11.322072</v>
      </c>
      <c r="H100" s="49">
        <f t="shared" si="2"/>
        <v>438.84</v>
      </c>
      <c r="I100" s="48">
        <v>1.2</v>
      </c>
      <c r="J100" s="48" t="s">
        <v>597</v>
      </c>
      <c r="K100" s="50" t="s">
        <v>185</v>
      </c>
      <c r="L100" s="51">
        <v>66.0</v>
      </c>
      <c r="M100" s="50" t="s">
        <v>547</v>
      </c>
      <c r="N100" s="51" t="s">
        <v>174</v>
      </c>
      <c r="O100" s="48">
        <v>305.0</v>
      </c>
      <c r="P100" s="48">
        <v>140.0</v>
      </c>
      <c r="Q100" s="48">
        <v>43.0</v>
      </c>
      <c r="R100" s="48">
        <v>2.0</v>
      </c>
      <c r="S100" s="50" t="s">
        <v>166</v>
      </c>
      <c r="T100" s="52" t="s">
        <v>167</v>
      </c>
      <c r="U100" s="52" t="s">
        <v>324</v>
      </c>
      <c r="V100" s="51">
        <v>3.0</v>
      </c>
      <c r="W100" s="48" t="s">
        <v>166</v>
      </c>
      <c r="X100" s="50" t="s">
        <v>166</v>
      </c>
      <c r="Y100" s="51" t="s">
        <v>166</v>
      </c>
      <c r="Z100" s="48" t="s">
        <v>166</v>
      </c>
      <c r="AA100" s="48" t="s">
        <v>166</v>
      </c>
      <c r="AB100" s="48" t="s">
        <v>166</v>
      </c>
      <c r="AC100" s="48">
        <v>2.0</v>
      </c>
      <c r="AD100" s="48" t="s">
        <v>166</v>
      </c>
      <c r="AE100" s="54" t="s">
        <v>166</v>
      </c>
      <c r="AF100" s="55" t="s">
        <v>166</v>
      </c>
      <c r="AG100" s="51" t="s">
        <v>166</v>
      </c>
      <c r="AH100" s="48" t="s">
        <v>166</v>
      </c>
      <c r="AI100" s="48" t="s">
        <v>166</v>
      </c>
      <c r="AJ100" s="50" t="s">
        <v>166</v>
      </c>
      <c r="AK100" s="56">
        <v>159.0</v>
      </c>
      <c r="AL100" s="57">
        <f>AK100*Sheets!$E$3</f>
        <v>21.9174345</v>
      </c>
      <c r="AM100" s="68"/>
      <c r="AN100" s="59"/>
      <c r="AO100" s="60"/>
      <c r="AP100" s="65">
        <v>44718.978774375</v>
      </c>
      <c r="AQ100" s="66"/>
    </row>
    <row r="101">
      <c r="A101" s="69" t="s">
        <v>960</v>
      </c>
      <c r="B101" s="73" t="s">
        <v>961</v>
      </c>
      <c r="C101" s="63" t="s">
        <v>248</v>
      </c>
      <c r="D101" s="48">
        <v>315.0</v>
      </c>
      <c r="E101" s="48">
        <v>145.0</v>
      </c>
      <c r="F101" s="48">
        <v>249.0</v>
      </c>
      <c r="G101" s="49">
        <f t="shared" si="1"/>
        <v>11.373075</v>
      </c>
      <c r="H101" s="49">
        <f t="shared" si="2"/>
        <v>456.75</v>
      </c>
      <c r="I101" s="48">
        <v>2.0</v>
      </c>
      <c r="J101" s="48" t="s">
        <v>245</v>
      </c>
      <c r="K101" s="50" t="s">
        <v>962</v>
      </c>
      <c r="L101" s="51">
        <v>55.0</v>
      </c>
      <c r="M101" s="50" t="s">
        <v>547</v>
      </c>
      <c r="N101" s="51" t="s">
        <v>174</v>
      </c>
      <c r="O101" s="48">
        <v>308.0</v>
      </c>
      <c r="P101" s="48" t="s">
        <v>170</v>
      </c>
      <c r="Q101" s="48">
        <v>60.0</v>
      </c>
      <c r="R101" s="48">
        <v>2.0</v>
      </c>
      <c r="S101" s="50" t="s">
        <v>166</v>
      </c>
      <c r="T101" s="52" t="s">
        <v>167</v>
      </c>
      <c r="U101" s="52" t="s">
        <v>324</v>
      </c>
      <c r="V101" s="51">
        <v>3.0</v>
      </c>
      <c r="W101" s="48">
        <v>4.0</v>
      </c>
      <c r="X101" s="50" t="s">
        <v>166</v>
      </c>
      <c r="Y101" s="51" t="s">
        <v>166</v>
      </c>
      <c r="Z101" s="48" t="s">
        <v>166</v>
      </c>
      <c r="AA101" s="48" t="s">
        <v>166</v>
      </c>
      <c r="AB101" s="48" t="s">
        <v>166</v>
      </c>
      <c r="AC101" s="48">
        <v>2.0</v>
      </c>
      <c r="AD101" s="48" t="s">
        <v>166</v>
      </c>
      <c r="AE101" s="54" t="s">
        <v>166</v>
      </c>
      <c r="AF101" s="55" t="s">
        <v>166</v>
      </c>
      <c r="AG101" s="51" t="s">
        <v>166</v>
      </c>
      <c r="AH101" s="48" t="s">
        <v>166</v>
      </c>
      <c r="AI101" s="48" t="s">
        <v>166</v>
      </c>
      <c r="AJ101" s="50" t="s">
        <v>166</v>
      </c>
      <c r="AK101" s="56">
        <v>499.0</v>
      </c>
      <c r="AL101" s="57">
        <f>AK101*Sheets!$E$3</f>
        <v>68.7849045</v>
      </c>
      <c r="AM101" s="68"/>
      <c r="AN101" s="59"/>
      <c r="AO101" s="71" t="s">
        <v>181</v>
      </c>
      <c r="AP101" s="65">
        <v>44681.59909133102</v>
      </c>
      <c r="AQ101" s="66"/>
    </row>
    <row r="102">
      <c r="A102" s="46" t="str">
        <f>HYPERLINK("https://shop206098240.world.taobao.com/","LZmod")</f>
        <v>LZmod</v>
      </c>
      <c r="B102" s="73" t="s">
        <v>963</v>
      </c>
      <c r="C102" s="63" t="s">
        <v>248</v>
      </c>
      <c r="D102" s="48">
        <v>332.0</v>
      </c>
      <c r="E102" s="48">
        <v>140.0</v>
      </c>
      <c r="F102" s="48">
        <v>245.0</v>
      </c>
      <c r="G102" s="49">
        <f t="shared" si="1"/>
        <v>11.3876</v>
      </c>
      <c r="H102" s="49">
        <f t="shared" si="2"/>
        <v>464.8</v>
      </c>
      <c r="I102" s="48" t="s">
        <v>170</v>
      </c>
      <c r="J102" s="48" t="s">
        <v>235</v>
      </c>
      <c r="K102" s="50" t="s">
        <v>164</v>
      </c>
      <c r="L102" s="51">
        <v>64.62</v>
      </c>
      <c r="M102" s="50" t="s">
        <v>547</v>
      </c>
      <c r="N102" s="51" t="s">
        <v>174</v>
      </c>
      <c r="O102" s="48">
        <v>318.0</v>
      </c>
      <c r="P102" s="48" t="s">
        <v>170</v>
      </c>
      <c r="Q102" s="48">
        <v>55.0</v>
      </c>
      <c r="R102" s="48">
        <v>2.0</v>
      </c>
      <c r="S102" s="50" t="s">
        <v>166</v>
      </c>
      <c r="T102" s="52" t="s">
        <v>167</v>
      </c>
      <c r="U102" s="52" t="s">
        <v>324</v>
      </c>
      <c r="V102" s="51">
        <v>4.0</v>
      </c>
      <c r="W102" s="48" t="s">
        <v>166</v>
      </c>
      <c r="X102" s="50" t="s">
        <v>166</v>
      </c>
      <c r="Y102" s="51" t="s">
        <v>166</v>
      </c>
      <c r="Z102" s="48" t="s">
        <v>166</v>
      </c>
      <c r="AA102" s="48" t="s">
        <v>166</v>
      </c>
      <c r="AB102" s="48" t="s">
        <v>166</v>
      </c>
      <c r="AC102" s="48">
        <v>2.0</v>
      </c>
      <c r="AD102" s="48" t="s">
        <v>166</v>
      </c>
      <c r="AE102" s="54" t="s">
        <v>166</v>
      </c>
      <c r="AF102" s="55" t="s">
        <v>166</v>
      </c>
      <c r="AG102" s="51" t="s">
        <v>166</v>
      </c>
      <c r="AH102" s="48">
        <v>2.0</v>
      </c>
      <c r="AI102" s="48" t="s">
        <v>166</v>
      </c>
      <c r="AJ102" s="50" t="s">
        <v>174</v>
      </c>
      <c r="AK102" s="56">
        <v>950.0</v>
      </c>
      <c r="AL102" s="57">
        <f>AK102*Sheets!$E$3</f>
        <v>130.953225</v>
      </c>
      <c r="AM102" s="68"/>
      <c r="AN102" s="70"/>
      <c r="AO102" s="71" t="s">
        <v>181</v>
      </c>
      <c r="AP102" s="72">
        <v>45446.491148182875</v>
      </c>
      <c r="AQ102" s="66"/>
    </row>
    <row r="103">
      <c r="A103" s="61" t="s">
        <v>250</v>
      </c>
      <c r="B103" s="62" t="s">
        <v>964</v>
      </c>
      <c r="C103" s="63" t="s">
        <v>282</v>
      </c>
      <c r="D103" s="48">
        <v>190.0</v>
      </c>
      <c r="E103" s="48">
        <v>160.0</v>
      </c>
      <c r="F103" s="48">
        <v>375.0</v>
      </c>
      <c r="G103" s="49">
        <f t="shared" si="1"/>
        <v>11.4</v>
      </c>
      <c r="H103" s="49">
        <f t="shared" si="2"/>
        <v>304</v>
      </c>
      <c r="I103" s="48" t="s">
        <v>170</v>
      </c>
      <c r="J103" s="48" t="s">
        <v>282</v>
      </c>
      <c r="K103" s="50" t="s">
        <v>252</v>
      </c>
      <c r="L103" s="51" t="s">
        <v>282</v>
      </c>
      <c r="M103" s="50" t="s">
        <v>884</v>
      </c>
      <c r="N103" s="51" t="s">
        <v>174</v>
      </c>
      <c r="O103" s="48">
        <v>360.0</v>
      </c>
      <c r="P103" s="48" t="s">
        <v>282</v>
      </c>
      <c r="Q103" s="48" t="s">
        <v>282</v>
      </c>
      <c r="R103" s="48">
        <v>3.0</v>
      </c>
      <c r="S103" s="50" t="s">
        <v>166</v>
      </c>
      <c r="T103" s="52" t="s">
        <v>167</v>
      </c>
      <c r="U103" s="52" t="s">
        <v>686</v>
      </c>
      <c r="V103" s="51">
        <v>2.0</v>
      </c>
      <c r="W103" s="48" t="s">
        <v>166</v>
      </c>
      <c r="X103" s="50" t="s">
        <v>166</v>
      </c>
      <c r="Y103" s="51" t="s">
        <v>166</v>
      </c>
      <c r="Z103" s="48" t="s">
        <v>166</v>
      </c>
      <c r="AA103" s="48" t="s">
        <v>166</v>
      </c>
      <c r="AB103" s="48" t="s">
        <v>166</v>
      </c>
      <c r="AC103" s="48" t="s">
        <v>166</v>
      </c>
      <c r="AD103" s="48" t="s">
        <v>166</v>
      </c>
      <c r="AE103" s="54" t="s">
        <v>166</v>
      </c>
      <c r="AF103" s="55" t="s">
        <v>166</v>
      </c>
      <c r="AG103" s="51" t="s">
        <v>166</v>
      </c>
      <c r="AH103" s="48">
        <v>2.0</v>
      </c>
      <c r="AI103" s="48" t="s">
        <v>166</v>
      </c>
      <c r="AJ103" s="50" t="s">
        <v>174</v>
      </c>
      <c r="AK103" s="56">
        <v>728.0</v>
      </c>
      <c r="AL103" s="57">
        <v>143.0</v>
      </c>
      <c r="AM103" s="68"/>
      <c r="AN103" s="70"/>
      <c r="AO103" s="71"/>
      <c r="AP103" s="72">
        <v>44572.42202006944</v>
      </c>
      <c r="AQ103" s="66"/>
    </row>
    <row r="104">
      <c r="A104" s="82" t="str">
        <f>HYPERLINK("https://www.nouvolo.com/","Nouvolo")</f>
        <v>Nouvolo</v>
      </c>
      <c r="B104" s="67" t="s">
        <v>965</v>
      </c>
      <c r="C104" s="63" t="s">
        <v>248</v>
      </c>
      <c r="D104" s="48">
        <v>315.0</v>
      </c>
      <c r="E104" s="48">
        <v>142.0</v>
      </c>
      <c r="F104" s="48">
        <v>255.0</v>
      </c>
      <c r="G104" s="49">
        <f t="shared" si="1"/>
        <v>11.40615</v>
      </c>
      <c r="H104" s="49">
        <f t="shared" si="2"/>
        <v>447.3</v>
      </c>
      <c r="I104" s="48" t="s">
        <v>170</v>
      </c>
      <c r="J104" s="48" t="s">
        <v>235</v>
      </c>
      <c r="K104" s="50" t="s">
        <v>715</v>
      </c>
      <c r="L104" s="51">
        <v>70.0</v>
      </c>
      <c r="M104" s="50" t="s">
        <v>547</v>
      </c>
      <c r="N104" s="51" t="s">
        <v>174</v>
      </c>
      <c r="O104" s="48">
        <v>300.0</v>
      </c>
      <c r="P104" s="48">
        <v>140.0</v>
      </c>
      <c r="Q104" s="48">
        <v>42.0</v>
      </c>
      <c r="R104" s="48">
        <v>2.0</v>
      </c>
      <c r="S104" s="50" t="s">
        <v>166</v>
      </c>
      <c r="T104" s="52" t="s">
        <v>167</v>
      </c>
      <c r="U104" s="52" t="s">
        <v>324</v>
      </c>
      <c r="V104" s="51" t="s">
        <v>412</v>
      </c>
      <c r="W104" s="48" t="s">
        <v>166</v>
      </c>
      <c r="X104" s="50" t="s">
        <v>166</v>
      </c>
      <c r="Y104" s="51" t="s">
        <v>166</v>
      </c>
      <c r="Z104" s="48" t="s">
        <v>166</v>
      </c>
      <c r="AA104" s="48" t="s">
        <v>166</v>
      </c>
      <c r="AB104" s="48" t="s">
        <v>166</v>
      </c>
      <c r="AC104" s="48">
        <v>3.0</v>
      </c>
      <c r="AD104" s="48" t="s">
        <v>166</v>
      </c>
      <c r="AE104" s="54" t="s">
        <v>166</v>
      </c>
      <c r="AF104" s="55" t="s">
        <v>166</v>
      </c>
      <c r="AG104" s="51" t="s">
        <v>166</v>
      </c>
      <c r="AH104" s="48" t="s">
        <v>166</v>
      </c>
      <c r="AI104" s="48" t="s">
        <v>166</v>
      </c>
      <c r="AJ104" s="50" t="s">
        <v>166</v>
      </c>
      <c r="AK104" s="56" t="s">
        <v>166</v>
      </c>
      <c r="AL104" s="57">
        <v>169.0</v>
      </c>
      <c r="AM104" s="64" t="str">
        <f>HYPERLINK("https://smallformfactor.net/forum/threads/nouvolo-steck-sff-8-7-11-2l-itx-pc-case-supports-liquid-cooling.7099/","Link")</f>
        <v>Link</v>
      </c>
      <c r="AN104" s="59"/>
      <c r="AO104" s="60" t="s">
        <v>181</v>
      </c>
      <c r="AP104" s="65">
        <v>44563.99533791667</v>
      </c>
      <c r="AQ104" s="139"/>
    </row>
    <row r="105">
      <c r="A105" s="46" t="s">
        <v>451</v>
      </c>
      <c r="B105" s="46" t="s">
        <v>966</v>
      </c>
      <c r="C105" s="63" t="s">
        <v>248</v>
      </c>
      <c r="D105" s="48">
        <v>340.0</v>
      </c>
      <c r="E105" s="48">
        <v>160.0</v>
      </c>
      <c r="F105" s="48">
        <v>210.0</v>
      </c>
      <c r="G105" s="98">
        <f t="shared" si="1"/>
        <v>11.424</v>
      </c>
      <c r="H105" s="49">
        <f t="shared" si="2"/>
        <v>544</v>
      </c>
      <c r="I105" s="48">
        <v>3.5</v>
      </c>
      <c r="J105" s="48" t="s">
        <v>164</v>
      </c>
      <c r="K105" s="50" t="s">
        <v>860</v>
      </c>
      <c r="L105" s="51">
        <v>73.0</v>
      </c>
      <c r="M105" s="50" t="s">
        <v>967</v>
      </c>
      <c r="N105" s="51" t="s">
        <v>174</v>
      </c>
      <c r="O105" s="48">
        <v>330.0</v>
      </c>
      <c r="P105" s="48">
        <v>142.5</v>
      </c>
      <c r="Q105" s="48">
        <v>59.0</v>
      </c>
      <c r="R105" s="48">
        <v>2.0</v>
      </c>
      <c r="S105" s="50" t="s">
        <v>166</v>
      </c>
      <c r="T105" s="52" t="s">
        <v>167</v>
      </c>
      <c r="U105" s="52" t="s">
        <v>346</v>
      </c>
      <c r="V105" s="51" t="s">
        <v>697</v>
      </c>
      <c r="W105" s="48" t="s">
        <v>426</v>
      </c>
      <c r="X105" s="50" t="s">
        <v>166</v>
      </c>
      <c r="Y105" s="51" t="s">
        <v>166</v>
      </c>
      <c r="Z105" s="48" t="s">
        <v>166</v>
      </c>
      <c r="AA105" s="48" t="s">
        <v>166</v>
      </c>
      <c r="AB105" s="48" t="s">
        <v>166</v>
      </c>
      <c r="AC105" s="48" t="s">
        <v>426</v>
      </c>
      <c r="AD105" s="48" t="s">
        <v>193</v>
      </c>
      <c r="AE105" s="54" t="s">
        <v>166</v>
      </c>
      <c r="AF105" s="55" t="s">
        <v>166</v>
      </c>
      <c r="AG105" s="51" t="s">
        <v>166</v>
      </c>
      <c r="AH105" s="48" t="s">
        <v>166</v>
      </c>
      <c r="AI105" s="48" t="s">
        <v>194</v>
      </c>
      <c r="AJ105" s="50" t="s">
        <v>166</v>
      </c>
      <c r="AK105" s="56">
        <v>799.0</v>
      </c>
      <c r="AL105" s="57">
        <f>AK105*Sheets!$E$3</f>
        <v>110.1385545</v>
      </c>
      <c r="AM105" s="68"/>
      <c r="AN105" s="70"/>
      <c r="AO105" s="71"/>
      <c r="AP105" s="71"/>
      <c r="AQ105" s="66"/>
    </row>
    <row r="106">
      <c r="A106" s="46" t="str">
        <f>HYPERLINK("https://shop120331572.world.taobao.com/","Ultra Civilz")</f>
        <v>Ultra Civilz</v>
      </c>
      <c r="B106" s="73" t="s">
        <v>640</v>
      </c>
      <c r="C106" s="63" t="s">
        <v>262</v>
      </c>
      <c r="D106" s="48">
        <v>318.0</v>
      </c>
      <c r="E106" s="48">
        <v>160.0</v>
      </c>
      <c r="F106" s="48">
        <v>225.0</v>
      </c>
      <c r="G106" s="49">
        <f t="shared" si="1"/>
        <v>11.448</v>
      </c>
      <c r="H106" s="49">
        <f t="shared" si="2"/>
        <v>508.8</v>
      </c>
      <c r="I106" s="48" t="s">
        <v>170</v>
      </c>
      <c r="J106" s="48" t="s">
        <v>235</v>
      </c>
      <c r="K106" s="50" t="s">
        <v>164</v>
      </c>
      <c r="L106" s="51">
        <v>138.0</v>
      </c>
      <c r="M106" s="50" t="s">
        <v>547</v>
      </c>
      <c r="N106" s="51" t="s">
        <v>166</v>
      </c>
      <c r="O106" s="48">
        <v>310.0</v>
      </c>
      <c r="P106" s="48">
        <v>143.0</v>
      </c>
      <c r="Q106" s="48">
        <v>58.0</v>
      </c>
      <c r="R106" s="48">
        <v>2.0</v>
      </c>
      <c r="S106" s="50" t="s">
        <v>166</v>
      </c>
      <c r="T106" s="52" t="s">
        <v>167</v>
      </c>
      <c r="U106" s="52" t="s">
        <v>324</v>
      </c>
      <c r="V106" s="51">
        <v>3.0</v>
      </c>
      <c r="W106" s="48">
        <v>1.0</v>
      </c>
      <c r="X106" s="50" t="s">
        <v>166</v>
      </c>
      <c r="Y106" s="51" t="s">
        <v>166</v>
      </c>
      <c r="Z106" s="48" t="s">
        <v>166</v>
      </c>
      <c r="AA106" s="48" t="s">
        <v>194</v>
      </c>
      <c r="AB106" s="48" t="s">
        <v>194</v>
      </c>
      <c r="AC106" s="48">
        <v>2.0</v>
      </c>
      <c r="AD106" s="48" t="s">
        <v>166</v>
      </c>
      <c r="AE106" s="54" t="s">
        <v>166</v>
      </c>
      <c r="AF106" s="55" t="s">
        <v>166</v>
      </c>
      <c r="AG106" s="51" t="s">
        <v>166</v>
      </c>
      <c r="AH106" s="48">
        <v>2.0</v>
      </c>
      <c r="AI106" s="48" t="s">
        <v>166</v>
      </c>
      <c r="AJ106" s="50" t="s">
        <v>166</v>
      </c>
      <c r="AK106" s="56">
        <v>969.0</v>
      </c>
      <c r="AL106" s="57">
        <f>AK106*Sheets!$E$3</f>
        <v>133.5722895</v>
      </c>
      <c r="AM106" s="68"/>
      <c r="AN106" s="70"/>
      <c r="AO106" s="71" t="s">
        <v>181</v>
      </c>
      <c r="AP106" s="72">
        <v>45071.55636108796</v>
      </c>
      <c r="AQ106" s="66"/>
    </row>
    <row r="107">
      <c r="A107" s="61" t="s">
        <v>209</v>
      </c>
      <c r="B107" s="83" t="str">
        <f>HYPERLINK("https://www.silverstonetek.com/product.php?pid=536&amp;area=en","SG13")</f>
        <v>SG13</v>
      </c>
      <c r="C107" s="63" t="s">
        <v>262</v>
      </c>
      <c r="D107" s="48">
        <v>285.0</v>
      </c>
      <c r="E107" s="48">
        <v>222.0</v>
      </c>
      <c r="F107" s="48">
        <v>181.0</v>
      </c>
      <c r="G107" s="49">
        <f t="shared" si="1"/>
        <v>11.45187</v>
      </c>
      <c r="H107" s="49">
        <f t="shared" si="2"/>
        <v>632.7</v>
      </c>
      <c r="I107" s="48">
        <v>2.47</v>
      </c>
      <c r="J107" s="48" t="s">
        <v>171</v>
      </c>
      <c r="K107" s="50" t="s">
        <v>211</v>
      </c>
      <c r="L107" s="51">
        <v>61.0</v>
      </c>
      <c r="M107" s="50" t="s">
        <v>737</v>
      </c>
      <c r="N107" s="51" t="s">
        <v>166</v>
      </c>
      <c r="O107" s="48">
        <v>270.0</v>
      </c>
      <c r="P107" s="48">
        <v>129.0</v>
      </c>
      <c r="Q107" s="48">
        <v>50.0</v>
      </c>
      <c r="R107" s="48">
        <v>2.0</v>
      </c>
      <c r="S107" s="50" t="s">
        <v>166</v>
      </c>
      <c r="T107" s="52" t="s">
        <v>227</v>
      </c>
      <c r="U107" s="52" t="s">
        <v>599</v>
      </c>
      <c r="V107" s="51" t="s">
        <v>412</v>
      </c>
      <c r="W107" s="48" t="s">
        <v>194</v>
      </c>
      <c r="X107" s="50" t="s">
        <v>166</v>
      </c>
      <c r="Y107" s="51" t="s">
        <v>166</v>
      </c>
      <c r="Z107" s="48" t="s">
        <v>166</v>
      </c>
      <c r="AA107" s="48" t="s">
        <v>166</v>
      </c>
      <c r="AB107" s="48" t="s">
        <v>166</v>
      </c>
      <c r="AC107" s="48" t="s">
        <v>194</v>
      </c>
      <c r="AD107" s="48" t="s">
        <v>194</v>
      </c>
      <c r="AE107" s="54" t="s">
        <v>166</v>
      </c>
      <c r="AF107" s="55" t="s">
        <v>166</v>
      </c>
      <c r="AG107" s="51" t="s">
        <v>166</v>
      </c>
      <c r="AH107" s="48" t="s">
        <v>207</v>
      </c>
      <c r="AI107" s="48" t="s">
        <v>194</v>
      </c>
      <c r="AJ107" s="50" t="s">
        <v>166</v>
      </c>
      <c r="AK107" s="56" t="s">
        <v>166</v>
      </c>
      <c r="AL107" s="57">
        <v>57.99</v>
      </c>
      <c r="AM107" s="58"/>
      <c r="AN107" s="64" t="s">
        <v>214</v>
      </c>
      <c r="AO107" s="60"/>
      <c r="AP107" s="65">
        <v>44644.505196342594</v>
      </c>
      <c r="AQ107" s="66"/>
    </row>
    <row r="108">
      <c r="A108" s="69" t="str">
        <f>HYPERLINK("https://sgpc.world.taobao.com/","SGPC")</f>
        <v>SGPC</v>
      </c>
      <c r="B108" s="46" t="s">
        <v>968</v>
      </c>
      <c r="C108" s="63" t="s">
        <v>262</v>
      </c>
      <c r="D108" s="48">
        <v>290.0</v>
      </c>
      <c r="E108" s="48">
        <v>158.0</v>
      </c>
      <c r="F108" s="48">
        <v>250.0</v>
      </c>
      <c r="G108" s="49">
        <f t="shared" si="1"/>
        <v>11.455</v>
      </c>
      <c r="H108" s="49">
        <f t="shared" si="2"/>
        <v>458.2</v>
      </c>
      <c r="I108" s="48" t="s">
        <v>170</v>
      </c>
      <c r="J108" s="48" t="s">
        <v>597</v>
      </c>
      <c r="K108" s="50" t="s">
        <v>611</v>
      </c>
      <c r="L108" s="51">
        <v>135.0</v>
      </c>
      <c r="M108" s="50">
        <v>120.0</v>
      </c>
      <c r="N108" s="51" t="s">
        <v>166</v>
      </c>
      <c r="O108" s="48">
        <v>280.0</v>
      </c>
      <c r="P108" s="48">
        <v>140.0</v>
      </c>
      <c r="Q108" s="48">
        <v>70.0</v>
      </c>
      <c r="R108" s="48">
        <v>3.0</v>
      </c>
      <c r="S108" s="50" t="s">
        <v>166</v>
      </c>
      <c r="T108" s="52" t="s">
        <v>969</v>
      </c>
      <c r="U108" s="52" t="s">
        <v>686</v>
      </c>
      <c r="V108" s="51" t="s">
        <v>682</v>
      </c>
      <c r="W108" s="48" t="s">
        <v>194</v>
      </c>
      <c r="X108" s="50" t="s">
        <v>166</v>
      </c>
      <c r="Y108" s="51" t="s">
        <v>166</v>
      </c>
      <c r="Z108" s="48" t="s">
        <v>166</v>
      </c>
      <c r="AA108" s="48" t="s">
        <v>166</v>
      </c>
      <c r="AB108" s="48">
        <v>6.0</v>
      </c>
      <c r="AC108" s="48" t="s">
        <v>194</v>
      </c>
      <c r="AD108" s="48" t="s">
        <v>166</v>
      </c>
      <c r="AE108" s="54" t="s">
        <v>166</v>
      </c>
      <c r="AF108" s="55" t="s">
        <v>166</v>
      </c>
      <c r="AG108" s="51" t="s">
        <v>166</v>
      </c>
      <c r="AH108" s="48">
        <v>1.0</v>
      </c>
      <c r="AI108" s="48">
        <v>1.0</v>
      </c>
      <c r="AJ108" s="50" t="s">
        <v>166</v>
      </c>
      <c r="AK108" s="56">
        <v>159.0</v>
      </c>
      <c r="AL108" s="57">
        <f>AK108*Sheets!$E$3</f>
        <v>21.9174345</v>
      </c>
      <c r="AM108" s="68"/>
      <c r="AN108" s="59"/>
      <c r="AO108" s="60"/>
      <c r="AP108" s="65">
        <v>44721.993834594905</v>
      </c>
      <c r="AQ108" s="66"/>
    </row>
    <row r="109">
      <c r="A109" s="69" t="s">
        <v>445</v>
      </c>
      <c r="B109" s="46" t="s">
        <v>970</v>
      </c>
      <c r="C109" s="63" t="s">
        <v>262</v>
      </c>
      <c r="D109" s="48">
        <v>290.0</v>
      </c>
      <c r="E109" s="48">
        <v>158.0</v>
      </c>
      <c r="F109" s="48">
        <v>250.0</v>
      </c>
      <c r="G109" s="49">
        <f t="shared" si="1"/>
        <v>11.455</v>
      </c>
      <c r="H109" s="49">
        <f t="shared" si="2"/>
        <v>458.2</v>
      </c>
      <c r="I109" s="48" t="s">
        <v>170</v>
      </c>
      <c r="J109" s="48" t="s">
        <v>336</v>
      </c>
      <c r="K109" s="50" t="s">
        <v>971</v>
      </c>
      <c r="L109" s="51">
        <v>135.0</v>
      </c>
      <c r="M109" s="50" t="s">
        <v>166</v>
      </c>
      <c r="N109" s="51" t="s">
        <v>166</v>
      </c>
      <c r="O109" s="48">
        <v>280.0</v>
      </c>
      <c r="P109" s="48">
        <v>140.0</v>
      </c>
      <c r="Q109" s="48">
        <v>60.0</v>
      </c>
      <c r="R109" s="48">
        <v>3.0</v>
      </c>
      <c r="S109" s="50" t="s">
        <v>166</v>
      </c>
      <c r="T109" s="52" t="s">
        <v>972</v>
      </c>
      <c r="U109" s="52" t="s">
        <v>816</v>
      </c>
      <c r="V109" s="51">
        <v>4.0</v>
      </c>
      <c r="W109" s="48">
        <v>1.0</v>
      </c>
      <c r="X109" s="50" t="s">
        <v>166</v>
      </c>
      <c r="Y109" s="51" t="s">
        <v>166</v>
      </c>
      <c r="Z109" s="48" t="s">
        <v>166</v>
      </c>
      <c r="AA109" s="48" t="s">
        <v>166</v>
      </c>
      <c r="AB109" s="48">
        <v>5.0</v>
      </c>
      <c r="AC109" s="48" t="s">
        <v>166</v>
      </c>
      <c r="AD109" s="48" t="s">
        <v>166</v>
      </c>
      <c r="AE109" s="54" t="s">
        <v>166</v>
      </c>
      <c r="AF109" s="55" t="s">
        <v>166</v>
      </c>
      <c r="AG109" s="51" t="s">
        <v>166</v>
      </c>
      <c r="AH109" s="48">
        <v>1.0</v>
      </c>
      <c r="AI109" s="48">
        <v>1.0</v>
      </c>
      <c r="AJ109" s="50" t="s">
        <v>166</v>
      </c>
      <c r="AK109" s="56">
        <v>169.0</v>
      </c>
      <c r="AL109" s="57">
        <f>AK109*Sheets!$E$3</f>
        <v>23.2958895</v>
      </c>
      <c r="AM109" s="68"/>
      <c r="AN109" s="59"/>
      <c r="AO109" s="60"/>
      <c r="AP109" s="65"/>
      <c r="AQ109" s="66"/>
    </row>
    <row r="110">
      <c r="A110" s="62" t="s">
        <v>292</v>
      </c>
      <c r="B110" s="67" t="s">
        <v>973</v>
      </c>
      <c r="C110" s="63" t="s">
        <v>262</v>
      </c>
      <c r="D110" s="48">
        <v>197.0</v>
      </c>
      <c r="E110" s="48">
        <v>197.0</v>
      </c>
      <c r="F110" s="48">
        <v>296.0</v>
      </c>
      <c r="G110" s="49">
        <f t="shared" si="1"/>
        <v>11.487464</v>
      </c>
      <c r="H110" s="49">
        <f t="shared" si="2"/>
        <v>388.09</v>
      </c>
      <c r="I110" s="48" t="s">
        <v>170</v>
      </c>
      <c r="J110" s="48" t="s">
        <v>164</v>
      </c>
      <c r="K110" s="50" t="s">
        <v>305</v>
      </c>
      <c r="L110" s="51">
        <v>100.0</v>
      </c>
      <c r="M110" s="50" t="s">
        <v>974</v>
      </c>
      <c r="N110" s="51" t="s">
        <v>166</v>
      </c>
      <c r="O110" s="48">
        <v>191.0</v>
      </c>
      <c r="P110" s="48" t="s">
        <v>170</v>
      </c>
      <c r="Q110" s="48">
        <v>40.0</v>
      </c>
      <c r="R110" s="48">
        <v>2.0</v>
      </c>
      <c r="S110" s="50" t="s">
        <v>166</v>
      </c>
      <c r="T110" s="52" t="s">
        <v>167</v>
      </c>
      <c r="U110" s="52" t="s">
        <v>566</v>
      </c>
      <c r="V110" s="51" t="s">
        <v>166</v>
      </c>
      <c r="W110" s="48" t="s">
        <v>166</v>
      </c>
      <c r="X110" s="50" t="s">
        <v>166</v>
      </c>
      <c r="Y110" s="51" t="s">
        <v>166</v>
      </c>
      <c r="Z110" s="48" t="s">
        <v>166</v>
      </c>
      <c r="AA110" s="48" t="s">
        <v>166</v>
      </c>
      <c r="AB110" s="48" t="s">
        <v>166</v>
      </c>
      <c r="AC110" s="48" t="s">
        <v>166</v>
      </c>
      <c r="AD110" s="48" t="s">
        <v>166</v>
      </c>
      <c r="AE110" s="140" t="s">
        <v>193</v>
      </c>
      <c r="AF110" s="57" t="s">
        <v>193</v>
      </c>
      <c r="AG110" s="51" t="s">
        <v>166</v>
      </c>
      <c r="AH110" s="48" t="s">
        <v>166</v>
      </c>
      <c r="AI110" s="48" t="s">
        <v>166</v>
      </c>
      <c r="AJ110" s="50" t="s">
        <v>166</v>
      </c>
      <c r="AK110" s="56" t="s">
        <v>166</v>
      </c>
      <c r="AL110" s="57">
        <f>65*1.13</f>
        <v>73.45</v>
      </c>
      <c r="AM110" s="64" t="s">
        <v>214</v>
      </c>
      <c r="AN110" s="59"/>
      <c r="AO110" s="60" t="s">
        <v>181</v>
      </c>
      <c r="AP110" s="65">
        <v>44714.425898217596</v>
      </c>
      <c r="AQ110" s="66"/>
    </row>
    <row r="111">
      <c r="A111" s="61" t="s">
        <v>975</v>
      </c>
      <c r="B111" s="62" t="s">
        <v>976</v>
      </c>
      <c r="C111" s="63" t="s">
        <v>282</v>
      </c>
      <c r="D111" s="48">
        <v>192.0</v>
      </c>
      <c r="E111" s="48">
        <v>164.0</v>
      </c>
      <c r="F111" s="48">
        <v>365.0</v>
      </c>
      <c r="G111" s="49">
        <f t="shared" si="1"/>
        <v>11.49312</v>
      </c>
      <c r="H111" s="49">
        <f t="shared" si="2"/>
        <v>314.88</v>
      </c>
      <c r="I111" s="48" t="s">
        <v>170</v>
      </c>
      <c r="J111" s="48" t="s">
        <v>282</v>
      </c>
      <c r="K111" s="50" t="s">
        <v>977</v>
      </c>
      <c r="L111" s="51" t="s">
        <v>282</v>
      </c>
      <c r="M111" s="50" t="s">
        <v>825</v>
      </c>
      <c r="N111" s="51" t="s">
        <v>174</v>
      </c>
      <c r="O111" s="48">
        <v>325.0</v>
      </c>
      <c r="P111" s="48" t="s">
        <v>282</v>
      </c>
      <c r="Q111" s="48" t="s">
        <v>282</v>
      </c>
      <c r="R111" s="48">
        <v>2.0</v>
      </c>
      <c r="S111" s="50" t="s">
        <v>166</v>
      </c>
      <c r="T111" s="52" t="s">
        <v>167</v>
      </c>
      <c r="U111" s="52" t="s">
        <v>324</v>
      </c>
      <c r="V111" s="51">
        <v>2.0</v>
      </c>
      <c r="W111" s="48" t="s">
        <v>166</v>
      </c>
      <c r="X111" s="50" t="s">
        <v>166</v>
      </c>
      <c r="Y111" s="51" t="s">
        <v>166</v>
      </c>
      <c r="Z111" s="48" t="s">
        <v>166</v>
      </c>
      <c r="AA111" s="48" t="s">
        <v>166</v>
      </c>
      <c r="AB111" s="48" t="s">
        <v>166</v>
      </c>
      <c r="AC111" s="48" t="s">
        <v>166</v>
      </c>
      <c r="AD111" s="48" t="s">
        <v>166</v>
      </c>
      <c r="AE111" s="54" t="s">
        <v>166</v>
      </c>
      <c r="AF111" s="55" t="s">
        <v>166</v>
      </c>
      <c r="AG111" s="51" t="s">
        <v>166</v>
      </c>
      <c r="AH111" s="48" t="s">
        <v>166</v>
      </c>
      <c r="AI111" s="48" t="s">
        <v>166</v>
      </c>
      <c r="AJ111" s="50" t="s">
        <v>166</v>
      </c>
      <c r="AK111" s="56" t="s">
        <v>166</v>
      </c>
      <c r="AL111" s="57">
        <f>90*1.2</f>
        <v>108</v>
      </c>
      <c r="AM111" s="68"/>
      <c r="AN111" s="70"/>
      <c r="AO111" s="71"/>
      <c r="AP111" s="71"/>
      <c r="AQ111" s="66"/>
    </row>
    <row r="112">
      <c r="A112" s="69" t="str">
        <f>HYPERLINK("https://shop320774212.world.taobao.com/","Critical")</f>
        <v>Critical</v>
      </c>
      <c r="B112" s="46" t="str">
        <f>HYPERLINK("https://item.taobao.com/item.htm?&amp;id=575072640024","CP-2")</f>
        <v>CP-2</v>
      </c>
      <c r="C112" s="63" t="s">
        <v>248</v>
      </c>
      <c r="D112" s="48">
        <v>333.0</v>
      </c>
      <c r="E112" s="48">
        <v>144.0</v>
      </c>
      <c r="F112" s="48">
        <v>240.0</v>
      </c>
      <c r="G112" s="49">
        <f t="shared" si="1"/>
        <v>11.50848</v>
      </c>
      <c r="H112" s="49">
        <f t="shared" si="2"/>
        <v>479.52</v>
      </c>
      <c r="I112" s="48">
        <v>2.5</v>
      </c>
      <c r="J112" s="48" t="s">
        <v>274</v>
      </c>
      <c r="K112" s="50" t="s">
        <v>978</v>
      </c>
      <c r="L112" s="51">
        <v>53.0</v>
      </c>
      <c r="M112" s="50" t="s">
        <v>547</v>
      </c>
      <c r="N112" s="51" t="s">
        <v>174</v>
      </c>
      <c r="O112" s="48">
        <v>327.0</v>
      </c>
      <c r="P112" s="48" t="s">
        <v>170</v>
      </c>
      <c r="Q112" s="48">
        <v>59.0</v>
      </c>
      <c r="R112" s="48">
        <v>2.0</v>
      </c>
      <c r="S112" s="50" t="s">
        <v>166</v>
      </c>
      <c r="T112" s="52" t="s">
        <v>167</v>
      </c>
      <c r="U112" s="52" t="s">
        <v>324</v>
      </c>
      <c r="V112" s="51">
        <v>2.0</v>
      </c>
      <c r="W112" s="48" t="s">
        <v>166</v>
      </c>
      <c r="X112" s="50" t="s">
        <v>166</v>
      </c>
      <c r="Y112" s="51" t="s">
        <v>166</v>
      </c>
      <c r="Z112" s="48" t="s">
        <v>166</v>
      </c>
      <c r="AA112" s="48" t="s">
        <v>166</v>
      </c>
      <c r="AB112" s="48" t="s">
        <v>166</v>
      </c>
      <c r="AC112" s="48">
        <v>3.0</v>
      </c>
      <c r="AD112" s="48" t="s">
        <v>166</v>
      </c>
      <c r="AE112" s="54" t="s">
        <v>166</v>
      </c>
      <c r="AF112" s="55" t="s">
        <v>166</v>
      </c>
      <c r="AG112" s="51" t="s">
        <v>166</v>
      </c>
      <c r="AH112" s="48" t="s">
        <v>166</v>
      </c>
      <c r="AI112" s="48" t="s">
        <v>166</v>
      </c>
      <c r="AJ112" s="50" t="s">
        <v>166</v>
      </c>
      <c r="AK112" s="56">
        <v>399.0</v>
      </c>
      <c r="AL112" s="57">
        <f>AK112*Sheets!$E$3</f>
        <v>55.0003545</v>
      </c>
      <c r="AM112" s="68"/>
      <c r="AN112" s="70"/>
      <c r="AO112" s="71"/>
      <c r="AP112" s="72">
        <v>44681.59925035879</v>
      </c>
      <c r="AQ112" s="66"/>
    </row>
    <row r="113">
      <c r="A113" s="69" t="str">
        <f>HYPERLINK("https://sunmilo.world.taobao.com/","Sunmilo Studio")</f>
        <v>Sunmilo Studio</v>
      </c>
      <c r="B113" s="46" t="str">
        <f>HYPERLINK("https://item.taobao.com/item.htm?id=572918958857","T03 Pro (extended)")</f>
        <v>T03 Pro (extended)</v>
      </c>
      <c r="C113" s="63" t="s">
        <v>248</v>
      </c>
      <c r="D113" s="48">
        <v>320.0</v>
      </c>
      <c r="E113" s="48">
        <v>140.0</v>
      </c>
      <c r="F113" s="48">
        <v>258.0</v>
      </c>
      <c r="G113" s="49">
        <f t="shared" si="1"/>
        <v>11.5584</v>
      </c>
      <c r="H113" s="49">
        <f t="shared" si="2"/>
        <v>448</v>
      </c>
      <c r="I113" s="48">
        <v>5.0</v>
      </c>
      <c r="J113" s="48" t="s">
        <v>235</v>
      </c>
      <c r="K113" s="50" t="s">
        <v>164</v>
      </c>
      <c r="L113" s="51">
        <v>56.0</v>
      </c>
      <c r="M113" s="50" t="s">
        <v>547</v>
      </c>
      <c r="N113" s="51" t="s">
        <v>174</v>
      </c>
      <c r="O113" s="48">
        <v>314.0</v>
      </c>
      <c r="P113" s="48">
        <v>135.0</v>
      </c>
      <c r="Q113" s="48">
        <v>58.0</v>
      </c>
      <c r="R113" s="48">
        <v>2.0</v>
      </c>
      <c r="S113" s="50" t="s">
        <v>166</v>
      </c>
      <c r="T113" s="52" t="s">
        <v>167</v>
      </c>
      <c r="U113" s="52" t="s">
        <v>324</v>
      </c>
      <c r="V113" s="51">
        <v>2.0</v>
      </c>
      <c r="W113" s="48" t="s">
        <v>166</v>
      </c>
      <c r="X113" s="50" t="s">
        <v>166</v>
      </c>
      <c r="Y113" s="51" t="s">
        <v>166</v>
      </c>
      <c r="Z113" s="48" t="s">
        <v>166</v>
      </c>
      <c r="AA113" s="48" t="s">
        <v>166</v>
      </c>
      <c r="AB113" s="48" t="s">
        <v>166</v>
      </c>
      <c r="AC113" s="48">
        <v>4.0</v>
      </c>
      <c r="AD113" s="48" t="s">
        <v>166</v>
      </c>
      <c r="AE113" s="54" t="s">
        <v>166</v>
      </c>
      <c r="AF113" s="55" t="s">
        <v>166</v>
      </c>
      <c r="AG113" s="51" t="s">
        <v>166</v>
      </c>
      <c r="AH113" s="48" t="s">
        <v>166</v>
      </c>
      <c r="AI113" s="48" t="s">
        <v>166</v>
      </c>
      <c r="AJ113" s="50" t="s">
        <v>166</v>
      </c>
      <c r="AK113" s="56">
        <v>839.0</v>
      </c>
      <c r="AL113" s="57">
        <f>AK113*Sheets!$E$3</f>
        <v>115.6523745</v>
      </c>
      <c r="AM113" s="68"/>
      <c r="AN113" s="59"/>
      <c r="AO113" s="60"/>
      <c r="AP113" s="65">
        <v>44681.59932878472</v>
      </c>
      <c r="AQ113" s="66"/>
    </row>
    <row r="114">
      <c r="A114" s="61" t="str">
        <f>HYPERLINK("https://www.zalman.com/","Zalman")</f>
        <v>Zalman</v>
      </c>
      <c r="B114" s="62" t="s">
        <v>979</v>
      </c>
      <c r="C114" s="63" t="s">
        <v>248</v>
      </c>
      <c r="D114" s="48">
        <v>328.0</v>
      </c>
      <c r="E114" s="48">
        <v>150.0</v>
      </c>
      <c r="F114" s="48">
        <v>235.0</v>
      </c>
      <c r="G114" s="49">
        <f t="shared" si="1"/>
        <v>11.562</v>
      </c>
      <c r="H114" s="49">
        <f t="shared" si="2"/>
        <v>492</v>
      </c>
      <c r="I114" s="48">
        <v>2.8</v>
      </c>
      <c r="J114" s="48" t="s">
        <v>245</v>
      </c>
      <c r="K114" s="50" t="s">
        <v>512</v>
      </c>
      <c r="L114" s="51">
        <v>60.0</v>
      </c>
      <c r="M114" s="50" t="s">
        <v>166</v>
      </c>
      <c r="N114" s="51" t="s">
        <v>174</v>
      </c>
      <c r="O114" s="48">
        <v>295.0</v>
      </c>
      <c r="P114" s="48" t="s">
        <v>170</v>
      </c>
      <c r="Q114" s="48">
        <v>45.0</v>
      </c>
      <c r="R114" s="48">
        <v>2.0</v>
      </c>
      <c r="S114" s="50" t="s">
        <v>166</v>
      </c>
      <c r="T114" s="52" t="s">
        <v>167</v>
      </c>
      <c r="U114" s="52" t="s">
        <v>346</v>
      </c>
      <c r="V114" s="51">
        <v>2.0</v>
      </c>
      <c r="W114" s="48" t="s">
        <v>166</v>
      </c>
      <c r="X114" s="50" t="s">
        <v>166</v>
      </c>
      <c r="Y114" s="51" t="s">
        <v>166</v>
      </c>
      <c r="Z114" s="48" t="s">
        <v>166</v>
      </c>
      <c r="AA114" s="48">
        <v>1.0</v>
      </c>
      <c r="AB114" s="48" t="s">
        <v>166</v>
      </c>
      <c r="AC114" s="48" t="s">
        <v>166</v>
      </c>
      <c r="AD114" s="48" t="s">
        <v>166</v>
      </c>
      <c r="AE114" s="54" t="s">
        <v>166</v>
      </c>
      <c r="AF114" s="55" t="s">
        <v>166</v>
      </c>
      <c r="AG114" s="51" t="s">
        <v>166</v>
      </c>
      <c r="AH114" s="48">
        <v>1.0</v>
      </c>
      <c r="AI114" s="48">
        <v>1.0</v>
      </c>
      <c r="AJ114" s="50" t="s">
        <v>166</v>
      </c>
      <c r="AK114" s="56" t="s">
        <v>166</v>
      </c>
      <c r="AL114" s="57" t="s">
        <v>170</v>
      </c>
      <c r="AM114" s="58"/>
      <c r="AN114" s="59"/>
      <c r="AO114" s="60"/>
      <c r="AP114" s="65">
        <v>44717.939169097226</v>
      </c>
      <c r="AQ114" s="66"/>
    </row>
    <row r="115">
      <c r="A115" s="69" t="s">
        <v>509</v>
      </c>
      <c r="B115" s="46" t="s">
        <v>980</v>
      </c>
      <c r="C115" s="63" t="s">
        <v>282</v>
      </c>
      <c r="D115" s="48">
        <v>325.0</v>
      </c>
      <c r="E115" s="48">
        <v>159.0</v>
      </c>
      <c r="F115" s="48">
        <v>224.0</v>
      </c>
      <c r="G115" s="49">
        <f t="shared" si="1"/>
        <v>11.5752</v>
      </c>
      <c r="H115" s="49">
        <f t="shared" si="2"/>
        <v>516.75</v>
      </c>
      <c r="I115" s="48" t="s">
        <v>170</v>
      </c>
      <c r="J115" s="48" t="s">
        <v>282</v>
      </c>
      <c r="K115" s="50" t="s">
        <v>164</v>
      </c>
      <c r="L115" s="51" t="s">
        <v>282</v>
      </c>
      <c r="M115" s="50" t="s">
        <v>981</v>
      </c>
      <c r="N115" s="51" t="s">
        <v>174</v>
      </c>
      <c r="O115" s="48" t="s">
        <v>282</v>
      </c>
      <c r="P115" s="48">
        <v>200.0</v>
      </c>
      <c r="Q115" s="48">
        <v>60.0</v>
      </c>
      <c r="R115" s="48">
        <v>3.0</v>
      </c>
      <c r="S115" s="50" t="s">
        <v>166</v>
      </c>
      <c r="T115" s="52" t="s">
        <v>167</v>
      </c>
      <c r="U115" s="52" t="s">
        <v>324</v>
      </c>
      <c r="V115" s="51" t="s">
        <v>170</v>
      </c>
      <c r="W115" s="48" t="s">
        <v>170</v>
      </c>
      <c r="X115" s="50" t="s">
        <v>166</v>
      </c>
      <c r="Y115" s="51" t="s">
        <v>166</v>
      </c>
      <c r="Z115" s="48" t="s">
        <v>166</v>
      </c>
      <c r="AA115" s="48" t="s">
        <v>166</v>
      </c>
      <c r="AB115" s="48" t="s">
        <v>166</v>
      </c>
      <c r="AC115" s="48" t="s">
        <v>166</v>
      </c>
      <c r="AD115" s="48">
        <v>2.0</v>
      </c>
      <c r="AE115" s="54" t="s">
        <v>166</v>
      </c>
      <c r="AF115" s="55" t="s">
        <v>166</v>
      </c>
      <c r="AG115" s="51" t="s">
        <v>166</v>
      </c>
      <c r="AH115" s="48" t="s">
        <v>166</v>
      </c>
      <c r="AI115" s="48" t="s">
        <v>166</v>
      </c>
      <c r="AJ115" s="50" t="s">
        <v>166</v>
      </c>
      <c r="AK115" s="56">
        <v>1599.0</v>
      </c>
      <c r="AL115" s="57">
        <f>AK115*Sheets!$E$3</f>
        <v>220.4149545</v>
      </c>
      <c r="AM115" s="58"/>
      <c r="AN115" s="59"/>
      <c r="AO115" s="60"/>
      <c r="AP115" s="65">
        <v>44489.8874399537</v>
      </c>
      <c r="AQ115" s="66"/>
    </row>
    <row r="116">
      <c r="A116" s="46" t="str">
        <f>HYPERLINK("https://shop224033016.world.taobao.com/","魔神科技电脑机箱城")</f>
        <v>魔神科技电脑机箱城</v>
      </c>
      <c r="B116" s="46" t="str">
        <f>HYPERLINK("https://item.taobao.com/item.htm?id=606304906165","飞优浦 Ghost S1 (water cool)")</f>
        <v>飞优浦 Ghost S1 (water cool)</v>
      </c>
      <c r="C116" s="63" t="s">
        <v>248</v>
      </c>
      <c r="D116" s="48">
        <v>320.0</v>
      </c>
      <c r="E116" s="48">
        <v>145.0</v>
      </c>
      <c r="F116" s="48">
        <v>250.0</v>
      </c>
      <c r="G116" s="49">
        <f t="shared" si="1"/>
        <v>11.6</v>
      </c>
      <c r="H116" s="49">
        <f t="shared" si="2"/>
        <v>464</v>
      </c>
      <c r="I116" s="48">
        <v>2.5</v>
      </c>
      <c r="J116" s="48" t="s">
        <v>164</v>
      </c>
      <c r="K116" s="50" t="s">
        <v>164</v>
      </c>
      <c r="L116" s="51">
        <v>67.0</v>
      </c>
      <c r="M116" s="50" t="s">
        <v>547</v>
      </c>
      <c r="N116" s="51" t="s">
        <v>174</v>
      </c>
      <c r="O116" s="48">
        <v>310.0</v>
      </c>
      <c r="P116" s="48">
        <v>135.0</v>
      </c>
      <c r="Q116" s="48">
        <v>49.5</v>
      </c>
      <c r="R116" s="48">
        <v>2.0</v>
      </c>
      <c r="S116" s="50" t="s">
        <v>166</v>
      </c>
      <c r="T116" s="52" t="s">
        <v>167</v>
      </c>
      <c r="U116" s="52" t="s">
        <v>346</v>
      </c>
      <c r="V116" s="51">
        <v>3.0</v>
      </c>
      <c r="W116" s="48" t="s">
        <v>166</v>
      </c>
      <c r="X116" s="50" t="s">
        <v>166</v>
      </c>
      <c r="Y116" s="51" t="s">
        <v>166</v>
      </c>
      <c r="Z116" s="48" t="s">
        <v>166</v>
      </c>
      <c r="AA116" s="48" t="s">
        <v>166</v>
      </c>
      <c r="AB116" s="48" t="s">
        <v>166</v>
      </c>
      <c r="AC116" s="48">
        <v>3.0</v>
      </c>
      <c r="AD116" s="48" t="s">
        <v>166</v>
      </c>
      <c r="AE116" s="54" t="s">
        <v>166</v>
      </c>
      <c r="AF116" s="55" t="s">
        <v>166</v>
      </c>
      <c r="AG116" s="51" t="s">
        <v>166</v>
      </c>
      <c r="AH116" s="48" t="s">
        <v>166</v>
      </c>
      <c r="AI116" s="48" t="s">
        <v>166</v>
      </c>
      <c r="AJ116" s="50" t="s">
        <v>166</v>
      </c>
      <c r="AK116" s="56">
        <v>699.0</v>
      </c>
      <c r="AL116" s="57">
        <f>AK116*Sheets!$E$3</f>
        <v>96.3540045</v>
      </c>
      <c r="AM116" s="68"/>
      <c r="AN116" s="70"/>
      <c r="AO116" s="71"/>
      <c r="AP116" s="71"/>
      <c r="AQ116" s="66"/>
    </row>
    <row r="117">
      <c r="A117" s="69" t="str">
        <f>HYPERLINK("https://metalfish.world.taobao.com/","Metalfish")</f>
        <v>Metalfish</v>
      </c>
      <c r="B117" s="46" t="str">
        <f>HYPERLINK("https://item.taobao.com/item.htm?id=597410083909","G5 Plus")</f>
        <v>G5 Plus</v>
      </c>
      <c r="C117" s="63" t="s">
        <v>248</v>
      </c>
      <c r="D117" s="48">
        <v>320.0</v>
      </c>
      <c r="E117" s="48">
        <v>140.0</v>
      </c>
      <c r="F117" s="48">
        <v>260.0</v>
      </c>
      <c r="G117" s="49">
        <f t="shared" si="1"/>
        <v>11.648</v>
      </c>
      <c r="H117" s="49">
        <f t="shared" si="2"/>
        <v>448</v>
      </c>
      <c r="I117" s="48">
        <v>1.5</v>
      </c>
      <c r="J117" s="48" t="s">
        <v>274</v>
      </c>
      <c r="K117" s="50" t="s">
        <v>213</v>
      </c>
      <c r="L117" s="51">
        <v>60.0</v>
      </c>
      <c r="M117" s="50" t="s">
        <v>166</v>
      </c>
      <c r="N117" s="51" t="s">
        <v>174</v>
      </c>
      <c r="O117" s="48">
        <v>306.0</v>
      </c>
      <c r="P117" s="48" t="s">
        <v>170</v>
      </c>
      <c r="Q117" s="48">
        <v>50.0</v>
      </c>
      <c r="R117" s="48">
        <v>2.0</v>
      </c>
      <c r="S117" s="50" t="s">
        <v>166</v>
      </c>
      <c r="T117" s="52" t="s">
        <v>167</v>
      </c>
      <c r="U117" s="52" t="s">
        <v>346</v>
      </c>
      <c r="V117" s="51">
        <v>2.0</v>
      </c>
      <c r="W117" s="48" t="s">
        <v>166</v>
      </c>
      <c r="X117" s="50" t="s">
        <v>166</v>
      </c>
      <c r="Y117" s="51" t="s">
        <v>166</v>
      </c>
      <c r="Z117" s="48" t="s">
        <v>166</v>
      </c>
      <c r="AA117" s="48" t="s">
        <v>166</v>
      </c>
      <c r="AB117" s="48" t="s">
        <v>166</v>
      </c>
      <c r="AC117" s="48">
        <v>2.0</v>
      </c>
      <c r="AD117" s="48" t="s">
        <v>166</v>
      </c>
      <c r="AE117" s="54" t="s">
        <v>166</v>
      </c>
      <c r="AF117" s="55" t="s">
        <v>166</v>
      </c>
      <c r="AG117" s="51" t="s">
        <v>166</v>
      </c>
      <c r="AH117" s="48">
        <v>2.0</v>
      </c>
      <c r="AI117" s="48" t="s">
        <v>166</v>
      </c>
      <c r="AJ117" s="50" t="s">
        <v>166</v>
      </c>
      <c r="AK117" s="56">
        <v>399.0</v>
      </c>
      <c r="AL117" s="57">
        <f>AK117*Sheets!$E$3</f>
        <v>55.0003545</v>
      </c>
      <c r="AM117" s="68"/>
      <c r="AN117" s="70"/>
      <c r="AO117" s="71"/>
      <c r="AP117" s="71"/>
      <c r="AQ117" s="66"/>
    </row>
    <row r="118">
      <c r="A118" s="46" t="str">
        <f>HYPERLINK("https://shop224033016.world.taobao.com/","魔神科技电脑机箱城")</f>
        <v>魔神科技电脑机箱城</v>
      </c>
      <c r="B118" s="73" t="s">
        <v>982</v>
      </c>
      <c r="C118" s="63" t="s">
        <v>248</v>
      </c>
      <c r="D118" s="48">
        <v>320.0</v>
      </c>
      <c r="E118" s="48">
        <v>140.0</v>
      </c>
      <c r="F118" s="48">
        <v>260.0</v>
      </c>
      <c r="G118" s="49">
        <f t="shared" si="1"/>
        <v>11.648</v>
      </c>
      <c r="H118" s="49">
        <f t="shared" si="2"/>
        <v>448</v>
      </c>
      <c r="I118" s="48">
        <v>2.5</v>
      </c>
      <c r="J118" s="48" t="s">
        <v>235</v>
      </c>
      <c r="K118" s="50" t="s">
        <v>164</v>
      </c>
      <c r="L118" s="51">
        <v>55.0</v>
      </c>
      <c r="M118" s="50" t="s">
        <v>547</v>
      </c>
      <c r="N118" s="51" t="s">
        <v>174</v>
      </c>
      <c r="O118" s="48">
        <v>310.0</v>
      </c>
      <c r="P118" s="48">
        <v>135.0</v>
      </c>
      <c r="Q118" s="48">
        <v>48.0</v>
      </c>
      <c r="R118" s="48">
        <v>2.0</v>
      </c>
      <c r="S118" s="50" t="s">
        <v>166</v>
      </c>
      <c r="T118" s="52" t="s">
        <v>167</v>
      </c>
      <c r="U118" s="52" t="s">
        <v>324</v>
      </c>
      <c r="V118" s="51">
        <v>2.0</v>
      </c>
      <c r="W118" s="48" t="s">
        <v>166</v>
      </c>
      <c r="X118" s="50" t="s">
        <v>166</v>
      </c>
      <c r="Y118" s="51" t="s">
        <v>166</v>
      </c>
      <c r="Z118" s="48" t="s">
        <v>166</v>
      </c>
      <c r="AA118" s="48" t="s">
        <v>166</v>
      </c>
      <c r="AB118" s="48" t="s">
        <v>166</v>
      </c>
      <c r="AC118" s="48">
        <v>2.0</v>
      </c>
      <c r="AD118" s="48" t="s">
        <v>166</v>
      </c>
      <c r="AE118" s="54" t="s">
        <v>166</v>
      </c>
      <c r="AF118" s="55" t="s">
        <v>166</v>
      </c>
      <c r="AG118" s="51" t="s">
        <v>166</v>
      </c>
      <c r="AH118" s="48" t="s">
        <v>166</v>
      </c>
      <c r="AI118" s="48" t="s">
        <v>166</v>
      </c>
      <c r="AJ118" s="50" t="s">
        <v>166</v>
      </c>
      <c r="AK118" s="56">
        <v>299.0</v>
      </c>
      <c r="AL118" s="57">
        <f>AK118*Sheets!$E$3</f>
        <v>41.2158045</v>
      </c>
      <c r="AM118" s="68"/>
      <c r="AN118" s="70"/>
      <c r="AO118" s="71" t="s">
        <v>181</v>
      </c>
      <c r="AP118" s="71"/>
      <c r="AQ118" s="66"/>
    </row>
    <row r="119">
      <c r="A119" s="69" t="str">
        <f>HYPERLINK("https://jixieku.world.taobao.com/","机械库")</f>
        <v>机械库</v>
      </c>
      <c r="B119" s="73" t="s">
        <v>983</v>
      </c>
      <c r="C119" s="63" t="s">
        <v>262</v>
      </c>
      <c r="D119" s="48">
        <v>285.0</v>
      </c>
      <c r="E119" s="48">
        <v>160.0</v>
      </c>
      <c r="F119" s="48">
        <v>256.0</v>
      </c>
      <c r="G119" s="49">
        <f t="shared" si="1"/>
        <v>11.6736</v>
      </c>
      <c r="H119" s="49">
        <f t="shared" si="2"/>
        <v>456</v>
      </c>
      <c r="I119" s="48" t="s">
        <v>170</v>
      </c>
      <c r="J119" s="48" t="s">
        <v>274</v>
      </c>
      <c r="K119" s="50" t="s">
        <v>512</v>
      </c>
      <c r="L119" s="51">
        <v>135.0</v>
      </c>
      <c r="M119" s="50">
        <v>120.0</v>
      </c>
      <c r="N119" s="51" t="s">
        <v>166</v>
      </c>
      <c r="O119" s="48">
        <v>279.0</v>
      </c>
      <c r="P119" s="48">
        <v>140.0</v>
      </c>
      <c r="Q119" s="48">
        <v>55.0</v>
      </c>
      <c r="R119" s="48">
        <v>2.0</v>
      </c>
      <c r="S119" s="50" t="s">
        <v>166</v>
      </c>
      <c r="T119" s="52" t="s">
        <v>167</v>
      </c>
      <c r="U119" s="52" t="s">
        <v>816</v>
      </c>
      <c r="V119" s="51">
        <v>1.0</v>
      </c>
      <c r="W119" s="48">
        <v>1.0</v>
      </c>
      <c r="X119" s="50" t="s">
        <v>166</v>
      </c>
      <c r="Y119" s="51" t="s">
        <v>166</v>
      </c>
      <c r="Z119" s="48" t="s">
        <v>166</v>
      </c>
      <c r="AA119" s="48">
        <v>2.0</v>
      </c>
      <c r="AB119" s="48" t="s">
        <v>166</v>
      </c>
      <c r="AC119" s="48">
        <v>1.0</v>
      </c>
      <c r="AD119" s="48" t="s">
        <v>166</v>
      </c>
      <c r="AE119" s="54" t="s">
        <v>166</v>
      </c>
      <c r="AF119" s="55" t="s">
        <v>166</v>
      </c>
      <c r="AG119" s="51" t="s">
        <v>166</v>
      </c>
      <c r="AH119" s="48" t="s">
        <v>166</v>
      </c>
      <c r="AI119" s="48" t="s">
        <v>166</v>
      </c>
      <c r="AJ119" s="50" t="s">
        <v>166</v>
      </c>
      <c r="AK119" s="56">
        <v>199.0</v>
      </c>
      <c r="AL119" s="57">
        <f>AK119*Sheets!$E$3</f>
        <v>27.4312545</v>
      </c>
      <c r="AM119" s="68"/>
      <c r="AN119" s="70"/>
      <c r="AO119" s="71" t="s">
        <v>181</v>
      </c>
      <c r="AP119" s="72">
        <v>45071.55648702546</v>
      </c>
      <c r="AQ119" s="66"/>
    </row>
    <row r="120">
      <c r="A120" s="69" t="str">
        <f>HYPERLINK("https://shop34001191.world.taobao.com/","Mechanic Master")</f>
        <v>Mechanic Master</v>
      </c>
      <c r="B120" s="73" t="s">
        <v>984</v>
      </c>
      <c r="C120" s="63" t="s">
        <v>248</v>
      </c>
      <c r="D120" s="48">
        <v>216.0</v>
      </c>
      <c r="E120" s="48">
        <v>129.0</v>
      </c>
      <c r="F120" s="48">
        <v>420.0</v>
      </c>
      <c r="G120" s="49">
        <f t="shared" si="1"/>
        <v>11.70288</v>
      </c>
      <c r="H120" s="49">
        <f t="shared" si="2"/>
        <v>278.64</v>
      </c>
      <c r="I120" s="48">
        <v>3.0</v>
      </c>
      <c r="J120" s="48" t="s">
        <v>164</v>
      </c>
      <c r="K120" s="50" t="s">
        <v>985</v>
      </c>
      <c r="L120" s="51">
        <v>65.0</v>
      </c>
      <c r="M120" s="50">
        <v>120.0</v>
      </c>
      <c r="N120" s="51" t="s">
        <v>174</v>
      </c>
      <c r="O120" s="48">
        <v>330.0</v>
      </c>
      <c r="P120" s="48" t="s">
        <v>170</v>
      </c>
      <c r="Q120" s="48">
        <v>48.0</v>
      </c>
      <c r="R120" s="48">
        <v>2.0</v>
      </c>
      <c r="S120" s="50" t="s">
        <v>166</v>
      </c>
      <c r="T120" s="52" t="s">
        <v>167</v>
      </c>
      <c r="U120" s="52" t="s">
        <v>816</v>
      </c>
      <c r="V120" s="51" t="s">
        <v>568</v>
      </c>
      <c r="W120" s="48" t="s">
        <v>193</v>
      </c>
      <c r="X120" s="50" t="s">
        <v>166</v>
      </c>
      <c r="Y120" s="51" t="s">
        <v>166</v>
      </c>
      <c r="Z120" s="48" t="s">
        <v>166</v>
      </c>
      <c r="AA120" s="48" t="s">
        <v>166</v>
      </c>
      <c r="AB120" s="48" t="s">
        <v>166</v>
      </c>
      <c r="AC120" s="48" t="s">
        <v>194</v>
      </c>
      <c r="AD120" s="48" t="s">
        <v>166</v>
      </c>
      <c r="AE120" s="54" t="s">
        <v>166</v>
      </c>
      <c r="AF120" s="55" t="s">
        <v>166</v>
      </c>
      <c r="AG120" s="51" t="s">
        <v>166</v>
      </c>
      <c r="AH120" s="48" t="s">
        <v>166</v>
      </c>
      <c r="AI120" s="48" t="s">
        <v>166</v>
      </c>
      <c r="AJ120" s="50" t="s">
        <v>166</v>
      </c>
      <c r="AK120" s="56">
        <v>599.0</v>
      </c>
      <c r="AL120" s="57">
        <f>AK120*Sheets!$E$3</f>
        <v>82.5694545</v>
      </c>
      <c r="AM120" s="68"/>
      <c r="AN120" s="70"/>
      <c r="AO120" s="71" t="s">
        <v>181</v>
      </c>
      <c r="AP120" s="71"/>
      <c r="AQ120" s="66"/>
    </row>
    <row r="121">
      <c r="A121" s="82" t="str">
        <f>HYPERLINK("https://www.circlestudio.co/","Circle Studio")</f>
        <v>Circle Studio</v>
      </c>
      <c r="B121" s="83" t="str">
        <f>HYPERLINK("https://www.circlestudio.co/products/circle-pro-case","Circle Pro")</f>
        <v>Circle Pro</v>
      </c>
      <c r="C121" s="63" t="s">
        <v>248</v>
      </c>
      <c r="D121" s="48">
        <v>292.9</v>
      </c>
      <c r="E121" s="48">
        <v>136.9</v>
      </c>
      <c r="F121" s="48">
        <v>292.9</v>
      </c>
      <c r="G121" s="49">
        <f t="shared" si="1"/>
        <v>11.74470713</v>
      </c>
      <c r="H121" s="49">
        <f t="shared" si="2"/>
        <v>400.9801</v>
      </c>
      <c r="I121" s="48" t="s">
        <v>170</v>
      </c>
      <c r="J121" s="48" t="s">
        <v>597</v>
      </c>
      <c r="K121" s="50" t="s">
        <v>164</v>
      </c>
      <c r="L121" s="51">
        <v>53.0</v>
      </c>
      <c r="M121" s="50" t="s">
        <v>547</v>
      </c>
      <c r="N121" s="51" t="s">
        <v>174</v>
      </c>
      <c r="O121" s="48">
        <v>213.0</v>
      </c>
      <c r="P121" s="48" t="s">
        <v>170</v>
      </c>
      <c r="Q121" s="48">
        <v>45.0</v>
      </c>
      <c r="R121" s="48">
        <v>2.0</v>
      </c>
      <c r="S121" s="50" t="s">
        <v>166</v>
      </c>
      <c r="T121" s="52" t="s">
        <v>167</v>
      </c>
      <c r="U121" s="52" t="s">
        <v>324</v>
      </c>
      <c r="V121" s="51">
        <v>2.0</v>
      </c>
      <c r="W121" s="48" t="s">
        <v>166</v>
      </c>
      <c r="X121" s="50" t="s">
        <v>166</v>
      </c>
      <c r="Y121" s="51" t="s">
        <v>166</v>
      </c>
      <c r="Z121" s="48" t="s">
        <v>166</v>
      </c>
      <c r="AA121" s="48" t="s">
        <v>166</v>
      </c>
      <c r="AB121" s="48" t="s">
        <v>166</v>
      </c>
      <c r="AC121" s="48">
        <v>4.0</v>
      </c>
      <c r="AD121" s="48" t="s">
        <v>166</v>
      </c>
      <c r="AE121" s="54" t="s">
        <v>166</v>
      </c>
      <c r="AF121" s="55" t="s">
        <v>166</v>
      </c>
      <c r="AG121" s="51" t="s">
        <v>166</v>
      </c>
      <c r="AH121" s="48" t="s">
        <v>166</v>
      </c>
      <c r="AI121" s="48" t="s">
        <v>166</v>
      </c>
      <c r="AJ121" s="50" t="s">
        <v>166</v>
      </c>
      <c r="AK121" s="56" t="s">
        <v>166</v>
      </c>
      <c r="AL121" s="57">
        <v>449.0</v>
      </c>
      <c r="AM121" s="64" t="str">
        <f>HYPERLINK("https://smallformfactor.net/forum/threads/circle-pro-solid-alu-cnced-mini-itx-case-240mm-liquid-cooling-preorder-now.2189/","Link")</f>
        <v>Link</v>
      </c>
      <c r="AN121" s="70"/>
      <c r="AO121" s="71" t="s">
        <v>181</v>
      </c>
      <c r="AP121" s="65">
        <v>44563.99545957176</v>
      </c>
      <c r="AQ121" s="66"/>
    </row>
    <row r="122">
      <c r="A122" s="99" t="s">
        <v>838</v>
      </c>
      <c r="B122" s="73" t="s">
        <v>986</v>
      </c>
      <c r="C122" s="63" t="s">
        <v>262</v>
      </c>
      <c r="D122" s="48">
        <v>330.0</v>
      </c>
      <c r="E122" s="48">
        <v>155.0</v>
      </c>
      <c r="F122" s="48">
        <v>230.0</v>
      </c>
      <c r="G122" s="49">
        <f t="shared" si="1"/>
        <v>11.7645</v>
      </c>
      <c r="H122" s="49">
        <f t="shared" si="2"/>
        <v>511.5</v>
      </c>
      <c r="I122" s="48">
        <v>2.9</v>
      </c>
      <c r="J122" s="48" t="s">
        <v>274</v>
      </c>
      <c r="K122" s="50" t="s">
        <v>840</v>
      </c>
      <c r="L122" s="51">
        <v>134.0</v>
      </c>
      <c r="M122" s="50" t="s">
        <v>825</v>
      </c>
      <c r="N122" s="51" t="s">
        <v>166</v>
      </c>
      <c r="O122" s="48">
        <v>320.0</v>
      </c>
      <c r="P122" s="48">
        <v>139.0</v>
      </c>
      <c r="Q122" s="48">
        <v>53.0</v>
      </c>
      <c r="R122" s="48">
        <v>2.0</v>
      </c>
      <c r="S122" s="50" t="s">
        <v>166</v>
      </c>
      <c r="T122" s="52" t="s">
        <v>227</v>
      </c>
      <c r="U122" s="52" t="s">
        <v>346</v>
      </c>
      <c r="V122" s="51" t="s">
        <v>207</v>
      </c>
      <c r="W122" s="48" t="s">
        <v>207</v>
      </c>
      <c r="X122" s="50" t="s">
        <v>166</v>
      </c>
      <c r="Y122" s="51" t="s">
        <v>166</v>
      </c>
      <c r="Z122" s="48" t="s">
        <v>166</v>
      </c>
      <c r="AA122" s="48">
        <v>1.0</v>
      </c>
      <c r="AB122" s="48">
        <v>1.0</v>
      </c>
      <c r="AC122" s="48" t="s">
        <v>193</v>
      </c>
      <c r="AD122" s="48" t="s">
        <v>193</v>
      </c>
      <c r="AE122" s="54" t="s">
        <v>166</v>
      </c>
      <c r="AF122" s="55" t="s">
        <v>166</v>
      </c>
      <c r="AG122" s="51" t="s">
        <v>166</v>
      </c>
      <c r="AH122" s="48">
        <v>2.0</v>
      </c>
      <c r="AI122" s="48" t="s">
        <v>166</v>
      </c>
      <c r="AJ122" s="50" t="s">
        <v>166</v>
      </c>
      <c r="AK122" s="56">
        <v>699.0</v>
      </c>
      <c r="AL122" s="57">
        <f>AK122*Sheets!$E$3</f>
        <v>96.3540045</v>
      </c>
      <c r="AM122" s="68"/>
      <c r="AN122" s="70"/>
      <c r="AO122" s="71" t="s">
        <v>181</v>
      </c>
      <c r="AP122" s="72">
        <v>45071.5565208912</v>
      </c>
      <c r="AQ122" s="66"/>
    </row>
    <row r="123">
      <c r="A123" s="61" t="str">
        <f>HYPERLINK("https://yuelbeast.com/","Yuel Beast Designs")</f>
        <v>Yuel Beast Designs</v>
      </c>
      <c r="B123" s="62" t="s">
        <v>987</v>
      </c>
      <c r="C123" s="63" t="s">
        <v>282</v>
      </c>
      <c r="D123" s="48">
        <v>181.6</v>
      </c>
      <c r="E123" s="48">
        <v>201.4</v>
      </c>
      <c r="F123" s="48">
        <v>321.8</v>
      </c>
      <c r="G123" s="49">
        <f t="shared" si="1"/>
        <v>11.76959043</v>
      </c>
      <c r="H123" s="49">
        <f t="shared" si="2"/>
        <v>365.7424</v>
      </c>
      <c r="I123" s="48" t="s">
        <v>170</v>
      </c>
      <c r="J123" s="48" t="s">
        <v>282</v>
      </c>
      <c r="K123" s="50" t="s">
        <v>988</v>
      </c>
      <c r="L123" s="51" t="s">
        <v>282</v>
      </c>
      <c r="M123" s="50" t="s">
        <v>166</v>
      </c>
      <c r="N123" s="51" t="s">
        <v>166</v>
      </c>
      <c r="O123" s="48" t="s">
        <v>282</v>
      </c>
      <c r="P123" s="48" t="s">
        <v>282</v>
      </c>
      <c r="Q123" s="48">
        <v>40.0</v>
      </c>
      <c r="R123" s="48">
        <v>2.0</v>
      </c>
      <c r="S123" s="50" t="s">
        <v>166</v>
      </c>
      <c r="T123" s="52" t="s">
        <v>167</v>
      </c>
      <c r="U123" s="52" t="s">
        <v>346</v>
      </c>
      <c r="V123" s="51" t="s">
        <v>166</v>
      </c>
      <c r="W123" s="48" t="s">
        <v>166</v>
      </c>
      <c r="X123" s="50" t="s">
        <v>166</v>
      </c>
      <c r="Y123" s="51" t="s">
        <v>166</v>
      </c>
      <c r="Z123" s="48" t="s">
        <v>166</v>
      </c>
      <c r="AA123" s="48" t="s">
        <v>166</v>
      </c>
      <c r="AB123" s="48" t="s">
        <v>166</v>
      </c>
      <c r="AC123" s="48" t="s">
        <v>166</v>
      </c>
      <c r="AD123" s="48" t="s">
        <v>166</v>
      </c>
      <c r="AE123" s="54" t="s">
        <v>166</v>
      </c>
      <c r="AF123" s="55" t="s">
        <v>166</v>
      </c>
      <c r="AG123" s="51" t="s">
        <v>166</v>
      </c>
      <c r="AH123" s="48" t="s">
        <v>166</v>
      </c>
      <c r="AI123" s="48" t="s">
        <v>166</v>
      </c>
      <c r="AJ123" s="50" t="s">
        <v>166</v>
      </c>
      <c r="AK123" s="56" t="s">
        <v>166</v>
      </c>
      <c r="AL123" s="57">
        <v>275.0</v>
      </c>
      <c r="AM123" s="58"/>
      <c r="AN123" s="70"/>
      <c r="AO123" s="71"/>
      <c r="AP123" s="65">
        <v>44728.57860626157</v>
      </c>
      <c r="AQ123" s="66"/>
    </row>
    <row r="124">
      <c r="A124" s="61" t="s">
        <v>209</v>
      </c>
      <c r="B124" s="62" t="s">
        <v>989</v>
      </c>
      <c r="C124" s="63" t="s">
        <v>490</v>
      </c>
      <c r="D124" s="48">
        <v>301.0</v>
      </c>
      <c r="E124" s="48">
        <v>221.5</v>
      </c>
      <c r="F124" s="48">
        <v>176.7</v>
      </c>
      <c r="G124" s="49">
        <f t="shared" si="1"/>
        <v>11.78085405</v>
      </c>
      <c r="H124" s="49">
        <f t="shared" si="2"/>
        <v>666.715</v>
      </c>
      <c r="I124" s="48">
        <v>3.3</v>
      </c>
      <c r="J124" s="48" t="s">
        <v>990</v>
      </c>
      <c r="K124" s="50" t="s">
        <v>171</v>
      </c>
      <c r="L124" s="51">
        <v>65.0</v>
      </c>
      <c r="M124" s="50" t="s">
        <v>166</v>
      </c>
      <c r="N124" s="51" t="s">
        <v>166</v>
      </c>
      <c r="O124" s="48">
        <v>220.0</v>
      </c>
      <c r="P124" s="48">
        <v>60.75</v>
      </c>
      <c r="Q124" s="48">
        <v>40.0</v>
      </c>
      <c r="R124" s="48">
        <v>2.0</v>
      </c>
      <c r="S124" s="50" t="s">
        <v>166</v>
      </c>
      <c r="T124" s="52" t="s">
        <v>227</v>
      </c>
      <c r="U124" s="52" t="s">
        <v>324</v>
      </c>
      <c r="V124" s="51">
        <v>9.0</v>
      </c>
      <c r="W124" s="48" t="s">
        <v>166</v>
      </c>
      <c r="X124" s="50" t="s">
        <v>166</v>
      </c>
      <c r="Y124" s="51" t="s">
        <v>166</v>
      </c>
      <c r="Z124" s="48" t="s">
        <v>166</v>
      </c>
      <c r="AA124" s="48">
        <v>2.0</v>
      </c>
      <c r="AB124" s="48" t="s">
        <v>166</v>
      </c>
      <c r="AC124" s="48" t="s">
        <v>166</v>
      </c>
      <c r="AD124" s="48" t="s">
        <v>166</v>
      </c>
      <c r="AE124" s="54" t="s">
        <v>166</v>
      </c>
      <c r="AF124" s="55" t="s">
        <v>166</v>
      </c>
      <c r="AG124" s="51" t="s">
        <v>166</v>
      </c>
      <c r="AH124" s="48">
        <v>2.0</v>
      </c>
      <c r="AI124" s="48" t="s">
        <v>166</v>
      </c>
      <c r="AJ124" s="50" t="s">
        <v>174</v>
      </c>
      <c r="AK124" s="51" t="s">
        <v>166</v>
      </c>
      <c r="AL124" s="57">
        <v>190.0</v>
      </c>
      <c r="AM124" s="58"/>
      <c r="AN124" s="59"/>
      <c r="AO124" s="60"/>
      <c r="AP124" s="60"/>
      <c r="AQ124" s="66"/>
    </row>
    <row r="125">
      <c r="A125" s="46" t="str">
        <f>HYPERLINK("https://geeek.world.taobao.com/","GEEEK机箱")</f>
        <v>GEEEK机箱</v>
      </c>
      <c r="B125" s="46" t="s">
        <v>991</v>
      </c>
      <c r="C125" s="63" t="s">
        <v>248</v>
      </c>
      <c r="D125" s="48">
        <v>340.0</v>
      </c>
      <c r="E125" s="48">
        <v>148.0</v>
      </c>
      <c r="F125" s="48">
        <v>235.0</v>
      </c>
      <c r="G125" s="49">
        <f t="shared" si="1"/>
        <v>11.8252</v>
      </c>
      <c r="H125" s="49">
        <f t="shared" si="2"/>
        <v>503.2</v>
      </c>
      <c r="I125" s="48">
        <v>3.5</v>
      </c>
      <c r="J125" s="48" t="s">
        <v>171</v>
      </c>
      <c r="K125" s="50" t="s">
        <v>514</v>
      </c>
      <c r="L125" s="51">
        <v>72.0</v>
      </c>
      <c r="M125" s="50" t="s">
        <v>547</v>
      </c>
      <c r="N125" s="51" t="s">
        <v>174</v>
      </c>
      <c r="O125" s="48">
        <v>330.0</v>
      </c>
      <c r="P125" s="48">
        <v>150.0</v>
      </c>
      <c r="Q125" s="48">
        <v>70.0</v>
      </c>
      <c r="R125" s="48">
        <v>2.0</v>
      </c>
      <c r="S125" s="50" t="s">
        <v>166</v>
      </c>
      <c r="T125" s="52" t="s">
        <v>167</v>
      </c>
      <c r="U125" s="52" t="s">
        <v>816</v>
      </c>
      <c r="V125" s="51">
        <v>2.0</v>
      </c>
      <c r="W125" s="48">
        <v>1.0</v>
      </c>
      <c r="X125" s="50" t="s">
        <v>166</v>
      </c>
      <c r="Y125" s="51" t="s">
        <v>166</v>
      </c>
      <c r="Z125" s="48" t="s">
        <v>166</v>
      </c>
      <c r="AA125" s="48" t="s">
        <v>166</v>
      </c>
      <c r="AB125" s="48" t="s">
        <v>166</v>
      </c>
      <c r="AC125" s="48" t="s">
        <v>416</v>
      </c>
      <c r="AD125" s="48" t="s">
        <v>166</v>
      </c>
      <c r="AE125" s="54" t="s">
        <v>166</v>
      </c>
      <c r="AF125" s="55" t="s">
        <v>166</v>
      </c>
      <c r="AG125" s="51" t="s">
        <v>166</v>
      </c>
      <c r="AH125" s="48" t="s">
        <v>166</v>
      </c>
      <c r="AI125" s="48">
        <v>1.0</v>
      </c>
      <c r="AJ125" s="50" t="s">
        <v>166</v>
      </c>
      <c r="AK125" s="56">
        <v>438.0</v>
      </c>
      <c r="AL125" s="57">
        <f>AK125*Sheets!$E$3</f>
        <v>60.376329</v>
      </c>
      <c r="AM125" s="68"/>
      <c r="AN125" s="70"/>
      <c r="AO125" s="71"/>
      <c r="AP125" s="72">
        <v>44965.87184363426</v>
      </c>
      <c r="AQ125" s="66"/>
    </row>
    <row r="126">
      <c r="A126" s="69" t="str">
        <f t="shared" ref="A126:A127" si="8">HYPERLINK("https://shop115184075.world.taobao.com/","Galaxy Studios")</f>
        <v>Galaxy Studios</v>
      </c>
      <c r="B126" s="46" t="str">
        <f>HYPERLINK("https://item.taobao.com/item.htm?id=563166410889","W2")</f>
        <v>W2</v>
      </c>
      <c r="C126" s="63" t="s">
        <v>248</v>
      </c>
      <c r="D126" s="48" t="s">
        <v>992</v>
      </c>
      <c r="E126" s="48" t="s">
        <v>992</v>
      </c>
      <c r="F126" s="48">
        <v>369.0</v>
      </c>
      <c r="G126" s="49">
        <f t="shared" ref="G126:G127" si="9">0.25*pi()*202^2*F126/1000000</f>
        <v>11.82548568</v>
      </c>
      <c r="H126" s="49">
        <f t="shared" ref="H126:H127" si="10">0.25*pi()*202^2/100</f>
        <v>320.4738666</v>
      </c>
      <c r="I126" s="48">
        <v>5.0</v>
      </c>
      <c r="J126" s="48" t="s">
        <v>164</v>
      </c>
      <c r="K126" s="50" t="s">
        <v>164</v>
      </c>
      <c r="L126" s="51">
        <v>80.0</v>
      </c>
      <c r="M126" s="50" t="s">
        <v>166</v>
      </c>
      <c r="N126" s="51" t="s">
        <v>174</v>
      </c>
      <c r="O126" s="48">
        <v>270.0</v>
      </c>
      <c r="P126" s="48">
        <v>120.0</v>
      </c>
      <c r="Q126" s="48">
        <v>43.0</v>
      </c>
      <c r="R126" s="48">
        <v>2.0</v>
      </c>
      <c r="S126" s="50" t="s">
        <v>166</v>
      </c>
      <c r="T126" s="52" t="s">
        <v>167</v>
      </c>
      <c r="U126" s="52" t="s">
        <v>324</v>
      </c>
      <c r="V126" s="51">
        <v>2.0</v>
      </c>
      <c r="W126" s="48" t="s">
        <v>194</v>
      </c>
      <c r="X126" s="50" t="s">
        <v>166</v>
      </c>
      <c r="Y126" s="51" t="s">
        <v>166</v>
      </c>
      <c r="Z126" s="48" t="s">
        <v>166</v>
      </c>
      <c r="AA126" s="48" t="s">
        <v>166</v>
      </c>
      <c r="AB126" s="48" t="s">
        <v>166</v>
      </c>
      <c r="AC126" s="48" t="s">
        <v>194</v>
      </c>
      <c r="AD126" s="48" t="s">
        <v>194</v>
      </c>
      <c r="AE126" s="54" t="s">
        <v>166</v>
      </c>
      <c r="AF126" s="55" t="s">
        <v>166</v>
      </c>
      <c r="AG126" s="51" t="s">
        <v>166</v>
      </c>
      <c r="AH126" s="48" t="s">
        <v>166</v>
      </c>
      <c r="AI126" s="48" t="s">
        <v>166</v>
      </c>
      <c r="AJ126" s="50" t="s">
        <v>166</v>
      </c>
      <c r="AK126" s="56">
        <v>1398.0</v>
      </c>
      <c r="AL126" s="57">
        <f>AK126*Sheets!$E$3</f>
        <v>192.708009</v>
      </c>
      <c r="AM126" s="68"/>
      <c r="AN126" s="70"/>
      <c r="AO126" s="71"/>
      <c r="AP126" s="72">
        <v>44723.67784130787</v>
      </c>
      <c r="AQ126" s="66"/>
    </row>
    <row r="127">
      <c r="A127" s="69" t="str">
        <f t="shared" si="8"/>
        <v>Galaxy Studios</v>
      </c>
      <c r="B127" s="46" t="str">
        <f>HYPERLINK("https://item.taobao.com/item.htm?id=608616348385","W2 Pro")</f>
        <v>W2 Pro</v>
      </c>
      <c r="C127" s="63" t="s">
        <v>248</v>
      </c>
      <c r="D127" s="48" t="s">
        <v>992</v>
      </c>
      <c r="E127" s="48" t="s">
        <v>992</v>
      </c>
      <c r="F127" s="48">
        <v>369.0</v>
      </c>
      <c r="G127" s="49">
        <f t="shared" si="9"/>
        <v>11.82548568</v>
      </c>
      <c r="H127" s="49">
        <f t="shared" si="10"/>
        <v>320.4738666</v>
      </c>
      <c r="I127" s="48">
        <v>5.0</v>
      </c>
      <c r="J127" s="48" t="s">
        <v>164</v>
      </c>
      <c r="K127" s="50" t="s">
        <v>164</v>
      </c>
      <c r="L127" s="51">
        <v>80.0</v>
      </c>
      <c r="M127" s="50" t="s">
        <v>166</v>
      </c>
      <c r="N127" s="51" t="s">
        <v>174</v>
      </c>
      <c r="O127" s="48">
        <v>270.0</v>
      </c>
      <c r="P127" s="48">
        <v>120.0</v>
      </c>
      <c r="Q127" s="48">
        <v>43.0</v>
      </c>
      <c r="R127" s="48">
        <v>2.0</v>
      </c>
      <c r="S127" s="50" t="s">
        <v>166</v>
      </c>
      <c r="T127" s="52" t="s">
        <v>167</v>
      </c>
      <c r="U127" s="52" t="s">
        <v>324</v>
      </c>
      <c r="V127" s="51">
        <v>2.0</v>
      </c>
      <c r="W127" s="48" t="s">
        <v>194</v>
      </c>
      <c r="X127" s="50" t="s">
        <v>166</v>
      </c>
      <c r="Y127" s="51" t="s">
        <v>166</v>
      </c>
      <c r="Z127" s="48" t="s">
        <v>166</v>
      </c>
      <c r="AA127" s="48" t="s">
        <v>166</v>
      </c>
      <c r="AB127" s="48" t="s">
        <v>166</v>
      </c>
      <c r="AC127" s="48" t="s">
        <v>194</v>
      </c>
      <c r="AD127" s="48" t="s">
        <v>194</v>
      </c>
      <c r="AE127" s="54" t="s">
        <v>166</v>
      </c>
      <c r="AF127" s="55" t="s">
        <v>166</v>
      </c>
      <c r="AG127" s="51" t="s">
        <v>166</v>
      </c>
      <c r="AH127" s="48" t="s">
        <v>166</v>
      </c>
      <c r="AI127" s="48" t="s">
        <v>166</v>
      </c>
      <c r="AJ127" s="50" t="s">
        <v>166</v>
      </c>
      <c r="AK127" s="56">
        <v>1698.0</v>
      </c>
      <c r="AL127" s="57">
        <f>AK127*Sheets!$E$3</f>
        <v>234.061659</v>
      </c>
      <c r="AM127" s="68"/>
      <c r="AN127" s="70"/>
      <c r="AO127" s="71"/>
      <c r="AP127" s="72">
        <v>44681.59950048611</v>
      </c>
      <c r="AQ127" s="66"/>
    </row>
    <row r="128">
      <c r="A128" s="69" t="s">
        <v>294</v>
      </c>
      <c r="B128" s="73" t="s">
        <v>993</v>
      </c>
      <c r="C128" s="63" t="s">
        <v>262</v>
      </c>
      <c r="D128" s="48">
        <v>312.0</v>
      </c>
      <c r="E128" s="48">
        <v>167.0</v>
      </c>
      <c r="F128" s="48">
        <v>227.0</v>
      </c>
      <c r="G128" s="49">
        <f t="shared" ref="G128:G410" si="11">D128*E128*F128/1000000</f>
        <v>11.827608</v>
      </c>
      <c r="H128" s="49">
        <f t="shared" ref="H128:H422" si="12">D128*E128/100</f>
        <v>521.04</v>
      </c>
      <c r="I128" s="48" t="s">
        <v>170</v>
      </c>
      <c r="J128" s="48" t="s">
        <v>994</v>
      </c>
      <c r="K128" s="50" t="s">
        <v>296</v>
      </c>
      <c r="L128" s="51">
        <v>141.0</v>
      </c>
      <c r="M128" s="50" t="s">
        <v>547</v>
      </c>
      <c r="N128" s="51" t="s">
        <v>166</v>
      </c>
      <c r="O128" s="48">
        <v>306.0</v>
      </c>
      <c r="P128" s="48">
        <v>146.0</v>
      </c>
      <c r="Q128" s="48">
        <v>56.0</v>
      </c>
      <c r="R128" s="48">
        <v>2.0</v>
      </c>
      <c r="S128" s="50" t="s">
        <v>166</v>
      </c>
      <c r="T128" s="52" t="s">
        <v>167</v>
      </c>
      <c r="U128" s="52" t="s">
        <v>324</v>
      </c>
      <c r="V128" s="51">
        <v>3.0</v>
      </c>
      <c r="W128" s="48" t="s">
        <v>166</v>
      </c>
      <c r="X128" s="50" t="s">
        <v>166</v>
      </c>
      <c r="Y128" s="51" t="s">
        <v>166</v>
      </c>
      <c r="Z128" s="48" t="s">
        <v>166</v>
      </c>
      <c r="AA128" s="48" t="s">
        <v>166</v>
      </c>
      <c r="AB128" s="48">
        <v>1.0</v>
      </c>
      <c r="AC128" s="48" t="s">
        <v>412</v>
      </c>
      <c r="AD128" s="48" t="s">
        <v>166</v>
      </c>
      <c r="AE128" s="54" t="s">
        <v>166</v>
      </c>
      <c r="AF128" s="55" t="s">
        <v>166</v>
      </c>
      <c r="AG128" s="51" t="s">
        <v>166</v>
      </c>
      <c r="AH128" s="48">
        <v>1.0</v>
      </c>
      <c r="AI128" s="48" t="s">
        <v>166</v>
      </c>
      <c r="AJ128" s="50" t="s">
        <v>166</v>
      </c>
      <c r="AK128" s="56">
        <v>1678.0</v>
      </c>
      <c r="AL128" s="57">
        <f>AK128*Sheets!$E$3</f>
        <v>231.304749</v>
      </c>
      <c r="AM128" s="58"/>
      <c r="AN128" s="59"/>
      <c r="AO128" s="60" t="s">
        <v>181</v>
      </c>
      <c r="AP128" s="65">
        <v>45071.5565584375</v>
      </c>
      <c r="AQ128" s="66"/>
    </row>
    <row r="129">
      <c r="A129" s="62" t="s">
        <v>292</v>
      </c>
      <c r="B129" s="62" t="s">
        <v>995</v>
      </c>
      <c r="C129" s="63" t="s">
        <v>262</v>
      </c>
      <c r="D129" s="48">
        <v>225.0</v>
      </c>
      <c r="E129" s="48">
        <v>156.0</v>
      </c>
      <c r="F129" s="48">
        <v>338.0</v>
      </c>
      <c r="G129" s="49">
        <f t="shared" si="11"/>
        <v>11.8638</v>
      </c>
      <c r="H129" s="49">
        <f t="shared" si="12"/>
        <v>351</v>
      </c>
      <c r="I129" s="48" t="s">
        <v>170</v>
      </c>
      <c r="J129" s="48" t="s">
        <v>164</v>
      </c>
      <c r="K129" s="50" t="s">
        <v>164</v>
      </c>
      <c r="L129" s="51">
        <v>136.0</v>
      </c>
      <c r="M129" s="50" t="s">
        <v>166</v>
      </c>
      <c r="N129" s="51" t="s">
        <v>166</v>
      </c>
      <c r="O129" s="48">
        <v>310.0</v>
      </c>
      <c r="P129" s="48">
        <v>141.0</v>
      </c>
      <c r="Q129" s="48">
        <v>55.0</v>
      </c>
      <c r="R129" s="48">
        <v>2.0</v>
      </c>
      <c r="S129" s="50" t="s">
        <v>166</v>
      </c>
      <c r="T129" s="52" t="s">
        <v>167</v>
      </c>
      <c r="U129" s="52" t="s">
        <v>816</v>
      </c>
      <c r="V129" s="51" t="s">
        <v>166</v>
      </c>
      <c r="W129" s="48" t="s">
        <v>166</v>
      </c>
      <c r="X129" s="50" t="s">
        <v>166</v>
      </c>
      <c r="Y129" s="51" t="s">
        <v>166</v>
      </c>
      <c r="Z129" s="48" t="s">
        <v>166</v>
      </c>
      <c r="AA129" s="48" t="s">
        <v>166</v>
      </c>
      <c r="AB129" s="48">
        <v>2.0</v>
      </c>
      <c r="AC129" s="48" t="s">
        <v>166</v>
      </c>
      <c r="AD129" s="48" t="s">
        <v>166</v>
      </c>
      <c r="AE129" s="54" t="s">
        <v>166</v>
      </c>
      <c r="AF129" s="55" t="s">
        <v>166</v>
      </c>
      <c r="AG129" s="51" t="s">
        <v>166</v>
      </c>
      <c r="AH129" s="48" t="s">
        <v>166</v>
      </c>
      <c r="AI129" s="48" t="s">
        <v>166</v>
      </c>
      <c r="AJ129" s="50" t="s">
        <v>166</v>
      </c>
      <c r="AK129" s="56" t="s">
        <v>166</v>
      </c>
      <c r="AL129" s="57" t="s">
        <v>166</v>
      </c>
      <c r="AM129" s="64" t="s">
        <v>214</v>
      </c>
      <c r="AN129" s="59"/>
      <c r="AO129" s="60" t="s">
        <v>181</v>
      </c>
      <c r="AP129" s="65">
        <v>45071.556602557874</v>
      </c>
      <c r="AQ129" s="66"/>
    </row>
    <row r="130">
      <c r="A130" s="61" t="s">
        <v>942</v>
      </c>
      <c r="B130" s="67" t="s">
        <v>996</v>
      </c>
      <c r="C130" s="63" t="s">
        <v>262</v>
      </c>
      <c r="D130" s="48">
        <v>252.0</v>
      </c>
      <c r="E130" s="48">
        <v>170.0</v>
      </c>
      <c r="F130" s="48">
        <v>277.0</v>
      </c>
      <c r="G130" s="49">
        <f t="shared" si="11"/>
        <v>11.86668</v>
      </c>
      <c r="H130" s="49">
        <f t="shared" si="12"/>
        <v>428.4</v>
      </c>
      <c r="I130" s="48" t="s">
        <v>170</v>
      </c>
      <c r="J130" s="48" t="s">
        <v>164</v>
      </c>
      <c r="K130" s="50" t="s">
        <v>164</v>
      </c>
      <c r="L130" s="51">
        <v>60.0</v>
      </c>
      <c r="M130" s="50" t="s">
        <v>166</v>
      </c>
      <c r="N130" s="51" t="s">
        <v>166</v>
      </c>
      <c r="O130" s="48">
        <v>193.0</v>
      </c>
      <c r="P130" s="48" t="s">
        <v>170</v>
      </c>
      <c r="Q130" s="48">
        <v>40.0</v>
      </c>
      <c r="R130" s="48">
        <v>2.0</v>
      </c>
      <c r="S130" s="50" t="s">
        <v>166</v>
      </c>
      <c r="T130" s="52" t="s">
        <v>227</v>
      </c>
      <c r="U130" s="52" t="s">
        <v>324</v>
      </c>
      <c r="V130" s="51" t="s">
        <v>435</v>
      </c>
      <c r="W130" s="48" t="s">
        <v>166</v>
      </c>
      <c r="X130" s="50" t="s">
        <v>208</v>
      </c>
      <c r="Y130" s="51" t="s">
        <v>166</v>
      </c>
      <c r="Z130" s="48" t="s">
        <v>166</v>
      </c>
      <c r="AA130" s="48" t="s">
        <v>166</v>
      </c>
      <c r="AB130" s="48" t="s">
        <v>166</v>
      </c>
      <c r="AC130" s="48">
        <v>1.0</v>
      </c>
      <c r="AD130" s="48" t="s">
        <v>166</v>
      </c>
      <c r="AE130" s="54" t="s">
        <v>166</v>
      </c>
      <c r="AF130" s="55" t="s">
        <v>166</v>
      </c>
      <c r="AG130" s="51" t="s">
        <v>166</v>
      </c>
      <c r="AH130" s="48">
        <v>2.0</v>
      </c>
      <c r="AI130" s="48" t="s">
        <v>166</v>
      </c>
      <c r="AJ130" s="50" t="s">
        <v>174</v>
      </c>
      <c r="AK130" s="56" t="s">
        <v>166</v>
      </c>
      <c r="AL130" s="57">
        <v>129.99</v>
      </c>
      <c r="AM130" s="58"/>
      <c r="AN130" s="59"/>
      <c r="AO130" s="60" t="s">
        <v>181</v>
      </c>
      <c r="AP130" s="60"/>
      <c r="AQ130" s="66"/>
    </row>
    <row r="131">
      <c r="A131" s="69" t="str">
        <f>HYPERLINK("https://shop200669052.world.taobao.com/","Acat机箱")</f>
        <v>Acat机箱</v>
      </c>
      <c r="B131" s="73" t="s">
        <v>997</v>
      </c>
      <c r="C131" s="63" t="s">
        <v>248</v>
      </c>
      <c r="D131" s="48">
        <v>340.0</v>
      </c>
      <c r="E131" s="48">
        <v>152.0</v>
      </c>
      <c r="F131" s="48">
        <v>230.0</v>
      </c>
      <c r="G131" s="49">
        <f t="shared" si="11"/>
        <v>11.8864</v>
      </c>
      <c r="H131" s="49">
        <f t="shared" si="12"/>
        <v>516.8</v>
      </c>
      <c r="I131" s="48">
        <v>4.0</v>
      </c>
      <c r="J131" s="48" t="s">
        <v>164</v>
      </c>
      <c r="K131" s="50" t="s">
        <v>164</v>
      </c>
      <c r="L131" s="51">
        <v>75.0</v>
      </c>
      <c r="M131" s="50" t="s">
        <v>825</v>
      </c>
      <c r="N131" s="51" t="s">
        <v>174</v>
      </c>
      <c r="O131" s="48">
        <v>336.0</v>
      </c>
      <c r="P131" s="48">
        <v>155.0</v>
      </c>
      <c r="Q131" s="48">
        <v>82.0</v>
      </c>
      <c r="R131" s="48">
        <v>2.0</v>
      </c>
      <c r="S131" s="50" t="s">
        <v>166</v>
      </c>
      <c r="T131" s="52" t="s">
        <v>167</v>
      </c>
      <c r="U131" s="52" t="s">
        <v>816</v>
      </c>
      <c r="V131" s="51">
        <v>6.0</v>
      </c>
      <c r="W131" s="48" t="s">
        <v>193</v>
      </c>
      <c r="X131" s="50" t="s">
        <v>166</v>
      </c>
      <c r="Y131" s="51" t="s">
        <v>166</v>
      </c>
      <c r="Z131" s="48" t="s">
        <v>166</v>
      </c>
      <c r="AA131" s="48" t="s">
        <v>166</v>
      </c>
      <c r="AB131" s="48" t="s">
        <v>166</v>
      </c>
      <c r="AC131" s="48" t="s">
        <v>278</v>
      </c>
      <c r="AD131" s="48" t="s">
        <v>278</v>
      </c>
      <c r="AE131" s="54" t="s">
        <v>166</v>
      </c>
      <c r="AF131" s="55" t="s">
        <v>166</v>
      </c>
      <c r="AG131" s="51" t="s">
        <v>166</v>
      </c>
      <c r="AH131" s="48" t="s">
        <v>166</v>
      </c>
      <c r="AI131" s="48">
        <v>1.0</v>
      </c>
      <c r="AJ131" s="50" t="s">
        <v>166</v>
      </c>
      <c r="AK131" s="56">
        <v>2100.0</v>
      </c>
      <c r="AL131" s="57">
        <f>AK131*Sheets!$E$3</f>
        <v>289.47555</v>
      </c>
      <c r="AM131" s="68"/>
      <c r="AN131" s="59"/>
      <c r="AO131" s="60" t="s">
        <v>181</v>
      </c>
      <c r="AP131" s="65">
        <v>45060.78388369213</v>
      </c>
      <c r="AQ131" s="66"/>
    </row>
    <row r="132">
      <c r="A132" s="69" t="str">
        <f>HYPERLINK("https://jixieku.world.taobao.com/","机械库")</f>
        <v>机械库</v>
      </c>
      <c r="B132" s="46" t="str">
        <f>HYPERLINK("https://item.taobao.com/item.htm?id=594683870420","JXK-F1")</f>
        <v>JXK-F1</v>
      </c>
      <c r="C132" s="63" t="s">
        <v>262</v>
      </c>
      <c r="D132" s="48">
        <v>320.0</v>
      </c>
      <c r="E132" s="48">
        <v>157.0</v>
      </c>
      <c r="F132" s="48">
        <v>237.0</v>
      </c>
      <c r="G132" s="49">
        <f t="shared" si="11"/>
        <v>11.90688</v>
      </c>
      <c r="H132" s="49">
        <f t="shared" si="12"/>
        <v>502.4</v>
      </c>
      <c r="I132" s="48">
        <v>2.0</v>
      </c>
      <c r="J132" s="48" t="s">
        <v>274</v>
      </c>
      <c r="K132" s="50" t="s">
        <v>305</v>
      </c>
      <c r="L132" s="51">
        <v>136.0</v>
      </c>
      <c r="M132" s="50" t="s">
        <v>166</v>
      </c>
      <c r="N132" s="51" t="s">
        <v>166</v>
      </c>
      <c r="O132" s="48">
        <v>315.0</v>
      </c>
      <c r="P132" s="48">
        <v>141.0</v>
      </c>
      <c r="Q132" s="48">
        <v>60.0</v>
      </c>
      <c r="R132" s="48">
        <v>2.0</v>
      </c>
      <c r="S132" s="50" t="s">
        <v>166</v>
      </c>
      <c r="T132" s="52" t="s">
        <v>167</v>
      </c>
      <c r="U132" s="52" t="s">
        <v>324</v>
      </c>
      <c r="V132" s="51">
        <v>2.0</v>
      </c>
      <c r="W132" s="48">
        <v>1.0</v>
      </c>
      <c r="X132" s="50" t="s">
        <v>166</v>
      </c>
      <c r="Y132" s="51" t="s">
        <v>166</v>
      </c>
      <c r="Z132" s="48" t="s">
        <v>193</v>
      </c>
      <c r="AA132" s="48" t="s">
        <v>166</v>
      </c>
      <c r="AB132" s="48" t="s">
        <v>194</v>
      </c>
      <c r="AC132" s="48" t="s">
        <v>166</v>
      </c>
      <c r="AD132" s="48" t="s">
        <v>166</v>
      </c>
      <c r="AE132" s="54" t="s">
        <v>166</v>
      </c>
      <c r="AF132" s="55" t="s">
        <v>166</v>
      </c>
      <c r="AG132" s="51" t="s">
        <v>166</v>
      </c>
      <c r="AH132" s="48">
        <v>2.0</v>
      </c>
      <c r="AI132" s="48" t="s">
        <v>166</v>
      </c>
      <c r="AJ132" s="50" t="s">
        <v>174</v>
      </c>
      <c r="AK132" s="56">
        <v>300.0</v>
      </c>
      <c r="AL132" s="57">
        <f>AK132*Sheets!$E$3</f>
        <v>41.35365</v>
      </c>
      <c r="AM132" s="68"/>
      <c r="AN132" s="70"/>
      <c r="AO132" s="71"/>
      <c r="AP132" s="72">
        <v>45071.55668896991</v>
      </c>
      <c r="AQ132" s="66"/>
    </row>
    <row r="133">
      <c r="A133" s="82" t="str">
        <f>HYPERLINK("https://www.geeekstore.com/","GEEEK")</f>
        <v>GEEEK</v>
      </c>
      <c r="B133" s="62" t="s">
        <v>998</v>
      </c>
      <c r="C133" s="63" t="s">
        <v>262</v>
      </c>
      <c r="D133" s="48">
        <v>289.0</v>
      </c>
      <c r="E133" s="48">
        <v>166.0</v>
      </c>
      <c r="F133" s="48">
        <v>250.0</v>
      </c>
      <c r="G133" s="49">
        <f t="shared" si="11"/>
        <v>11.9935</v>
      </c>
      <c r="H133" s="49">
        <f t="shared" si="12"/>
        <v>479.74</v>
      </c>
      <c r="I133" s="48" t="s">
        <v>170</v>
      </c>
      <c r="J133" s="48" t="s">
        <v>245</v>
      </c>
      <c r="K133" s="50" t="s">
        <v>255</v>
      </c>
      <c r="L133" s="51">
        <v>135.0</v>
      </c>
      <c r="M133" s="50">
        <v>92.0</v>
      </c>
      <c r="N133" s="51" t="s">
        <v>166</v>
      </c>
      <c r="O133" s="48">
        <v>280.0</v>
      </c>
      <c r="P133" s="48">
        <v>135.0</v>
      </c>
      <c r="Q133" s="48">
        <v>65.0</v>
      </c>
      <c r="R133" s="48">
        <v>2.0</v>
      </c>
      <c r="S133" s="50" t="s">
        <v>166</v>
      </c>
      <c r="T133" s="52" t="s">
        <v>167</v>
      </c>
      <c r="U133" s="52" t="s">
        <v>346</v>
      </c>
      <c r="V133" s="51">
        <v>2.0</v>
      </c>
      <c r="W133" s="48" t="s">
        <v>166</v>
      </c>
      <c r="X133" s="50" t="s">
        <v>166</v>
      </c>
      <c r="Y133" s="51" t="s">
        <v>166</v>
      </c>
      <c r="Z133" s="48" t="s">
        <v>166</v>
      </c>
      <c r="AA133" s="48" t="s">
        <v>166</v>
      </c>
      <c r="AB133" s="48">
        <v>1.0</v>
      </c>
      <c r="AC133" s="48">
        <v>3.0</v>
      </c>
      <c r="AD133" s="48" t="s">
        <v>166</v>
      </c>
      <c r="AE133" s="54" t="s">
        <v>166</v>
      </c>
      <c r="AF133" s="55" t="s">
        <v>166</v>
      </c>
      <c r="AG133" s="51" t="s">
        <v>166</v>
      </c>
      <c r="AH133" s="48">
        <v>1.0</v>
      </c>
      <c r="AI133" s="48" t="s">
        <v>166</v>
      </c>
      <c r="AJ133" s="50" t="s">
        <v>166</v>
      </c>
      <c r="AK133" s="56" t="s">
        <v>166</v>
      </c>
      <c r="AL133" s="57">
        <v>69.0</v>
      </c>
      <c r="AM133" s="58"/>
      <c r="AN133" s="64" t="s">
        <v>214</v>
      </c>
      <c r="AO133" s="60" t="s">
        <v>181</v>
      </c>
      <c r="AP133" s="60"/>
      <c r="AQ133" s="66"/>
    </row>
    <row r="134">
      <c r="A134" s="69" t="str">
        <f>HYPERLINK("https://77to.world.taobao.com/","WDEAN DORA")</f>
        <v>WDEAN DORA</v>
      </c>
      <c r="B134" s="73" t="s">
        <v>999</v>
      </c>
      <c r="C134" s="63" t="s">
        <v>248</v>
      </c>
      <c r="D134" s="48">
        <v>297.0</v>
      </c>
      <c r="E134" s="48">
        <v>136.0</v>
      </c>
      <c r="F134" s="48">
        <v>297.0</v>
      </c>
      <c r="G134" s="98">
        <f t="shared" si="11"/>
        <v>11.996424</v>
      </c>
      <c r="H134" s="49">
        <f t="shared" si="12"/>
        <v>403.92</v>
      </c>
      <c r="I134" s="48" t="s">
        <v>170</v>
      </c>
      <c r="J134" s="48" t="s">
        <v>597</v>
      </c>
      <c r="K134" s="50" t="s">
        <v>164</v>
      </c>
      <c r="L134" s="51">
        <v>60.0</v>
      </c>
      <c r="M134" s="50" t="s">
        <v>547</v>
      </c>
      <c r="N134" s="51" t="s">
        <v>174</v>
      </c>
      <c r="O134" s="48">
        <v>215.0</v>
      </c>
      <c r="P134" s="48">
        <v>135.0</v>
      </c>
      <c r="Q134" s="48">
        <v>54.0</v>
      </c>
      <c r="R134" s="48">
        <v>2.0</v>
      </c>
      <c r="S134" s="50" t="s">
        <v>166</v>
      </c>
      <c r="T134" s="52" t="s">
        <v>167</v>
      </c>
      <c r="U134" s="52" t="s">
        <v>1000</v>
      </c>
      <c r="V134" s="51" t="s">
        <v>170</v>
      </c>
      <c r="W134" s="48" t="s">
        <v>170</v>
      </c>
      <c r="X134" s="50" t="s">
        <v>166</v>
      </c>
      <c r="Y134" s="51" t="s">
        <v>166</v>
      </c>
      <c r="Z134" s="48" t="s">
        <v>166</v>
      </c>
      <c r="AA134" s="48" t="s">
        <v>166</v>
      </c>
      <c r="AB134" s="48" t="s">
        <v>166</v>
      </c>
      <c r="AC134" s="48" t="s">
        <v>170</v>
      </c>
      <c r="AD134" s="48" t="s">
        <v>166</v>
      </c>
      <c r="AE134" s="54" t="s">
        <v>166</v>
      </c>
      <c r="AF134" s="55" t="s">
        <v>166</v>
      </c>
      <c r="AG134" s="51" t="s">
        <v>166</v>
      </c>
      <c r="AH134" s="48" t="s">
        <v>166</v>
      </c>
      <c r="AI134" s="48" t="s">
        <v>166</v>
      </c>
      <c r="AJ134" s="50" t="s">
        <v>166</v>
      </c>
      <c r="AK134" s="56">
        <v>999.0</v>
      </c>
      <c r="AL134" s="57">
        <f>AK134*Sheets!$E$3</f>
        <v>137.7076545</v>
      </c>
      <c r="AM134" s="68"/>
      <c r="AN134" s="70"/>
      <c r="AO134" s="71" t="s">
        <v>181</v>
      </c>
      <c r="AP134" s="72">
        <v>44564.5856704051</v>
      </c>
      <c r="AQ134" s="66"/>
    </row>
    <row r="135">
      <c r="A135" s="69" t="s">
        <v>196</v>
      </c>
      <c r="B135" s="73" t="s">
        <v>1001</v>
      </c>
      <c r="C135" s="63" t="s">
        <v>248</v>
      </c>
      <c r="D135" s="48">
        <v>330.0</v>
      </c>
      <c r="E135" s="48">
        <v>140.0</v>
      </c>
      <c r="F135" s="48">
        <v>260.0</v>
      </c>
      <c r="G135" s="49">
        <f t="shared" si="11"/>
        <v>12.012</v>
      </c>
      <c r="H135" s="49">
        <f t="shared" si="12"/>
        <v>462</v>
      </c>
      <c r="I135" s="48" t="s">
        <v>170</v>
      </c>
      <c r="J135" s="48" t="s">
        <v>245</v>
      </c>
      <c r="K135" s="50" t="s">
        <v>164</v>
      </c>
      <c r="L135" s="51">
        <v>65.0</v>
      </c>
      <c r="M135" s="50" t="s">
        <v>547</v>
      </c>
      <c r="N135" s="51" t="s">
        <v>174</v>
      </c>
      <c r="O135" s="48">
        <v>320.0</v>
      </c>
      <c r="P135" s="48">
        <v>140.0</v>
      </c>
      <c r="Q135" s="48">
        <v>55.0</v>
      </c>
      <c r="R135" s="48">
        <v>2.0</v>
      </c>
      <c r="S135" s="50" t="s">
        <v>166</v>
      </c>
      <c r="T135" s="52" t="s">
        <v>167</v>
      </c>
      <c r="U135" s="52" t="s">
        <v>346</v>
      </c>
      <c r="V135" s="51">
        <v>2.0</v>
      </c>
      <c r="W135" s="48" t="s">
        <v>166</v>
      </c>
      <c r="X135" s="50" t="s">
        <v>166</v>
      </c>
      <c r="Y135" s="51" t="s">
        <v>166</v>
      </c>
      <c r="Z135" s="48" t="s">
        <v>166</v>
      </c>
      <c r="AA135" s="48" t="s">
        <v>166</v>
      </c>
      <c r="AB135" s="48" t="s">
        <v>166</v>
      </c>
      <c r="AC135" s="48">
        <v>2.0</v>
      </c>
      <c r="AD135" s="48" t="s">
        <v>166</v>
      </c>
      <c r="AE135" s="54" t="s">
        <v>166</v>
      </c>
      <c r="AF135" s="55" t="s">
        <v>166</v>
      </c>
      <c r="AG135" s="51" t="s">
        <v>166</v>
      </c>
      <c r="AH135" s="48">
        <v>1.0</v>
      </c>
      <c r="AI135" s="48" t="s">
        <v>166</v>
      </c>
      <c r="AJ135" s="50" t="s">
        <v>166</v>
      </c>
      <c r="AK135" s="56">
        <v>209.0</v>
      </c>
      <c r="AL135" s="57">
        <f>AK135*Sheets!$E$3</f>
        <v>28.8097095</v>
      </c>
      <c r="AM135" s="68"/>
      <c r="AN135" s="59"/>
      <c r="AO135" s="71" t="s">
        <v>181</v>
      </c>
      <c r="AP135" s="65">
        <v>44442.91164068287</v>
      </c>
      <c r="AQ135" s="66"/>
    </row>
    <row r="136">
      <c r="A136" s="46" t="str">
        <f>HYPERLINK("https://shop159524301.world.taobao.com/","Warhead Design")</f>
        <v>Warhead Design</v>
      </c>
      <c r="B136" s="73" t="s">
        <v>1002</v>
      </c>
      <c r="C136" s="63" t="s">
        <v>248</v>
      </c>
      <c r="D136" s="48">
        <v>250.0</v>
      </c>
      <c r="E136" s="48">
        <v>130.0</v>
      </c>
      <c r="F136" s="48">
        <v>370.0</v>
      </c>
      <c r="G136" s="49">
        <f t="shared" si="11"/>
        <v>12.025</v>
      </c>
      <c r="H136" s="49">
        <f t="shared" si="12"/>
        <v>325</v>
      </c>
      <c r="I136" s="48" t="s">
        <v>170</v>
      </c>
      <c r="J136" s="48" t="s">
        <v>164</v>
      </c>
      <c r="K136" s="50" t="s">
        <v>164</v>
      </c>
      <c r="L136" s="51">
        <v>50.0</v>
      </c>
      <c r="M136" s="50" t="s">
        <v>1003</v>
      </c>
      <c r="N136" s="51" t="s">
        <v>174</v>
      </c>
      <c r="O136" s="48">
        <v>320.0</v>
      </c>
      <c r="P136" s="48">
        <v>150.0</v>
      </c>
      <c r="Q136" s="48">
        <v>60.0</v>
      </c>
      <c r="R136" s="48">
        <v>2.0</v>
      </c>
      <c r="S136" s="50" t="s">
        <v>166</v>
      </c>
      <c r="T136" s="52" t="s">
        <v>167</v>
      </c>
      <c r="U136" s="52" t="s">
        <v>324</v>
      </c>
      <c r="V136" s="51">
        <v>2.0</v>
      </c>
      <c r="W136" s="48" t="s">
        <v>166</v>
      </c>
      <c r="X136" s="50" t="s">
        <v>166</v>
      </c>
      <c r="Y136" s="51" t="s">
        <v>166</v>
      </c>
      <c r="Z136" s="48" t="s">
        <v>166</v>
      </c>
      <c r="AA136" s="48" t="s">
        <v>166</v>
      </c>
      <c r="AB136" s="48" t="s">
        <v>166</v>
      </c>
      <c r="AC136" s="48">
        <v>2.0</v>
      </c>
      <c r="AD136" s="48" t="s">
        <v>166</v>
      </c>
      <c r="AE136" s="54" t="s">
        <v>166</v>
      </c>
      <c r="AF136" s="55" t="s">
        <v>166</v>
      </c>
      <c r="AG136" s="51" t="s">
        <v>166</v>
      </c>
      <c r="AH136" s="48">
        <v>1.0</v>
      </c>
      <c r="AI136" s="48">
        <v>1.0</v>
      </c>
      <c r="AJ136" s="50" t="s">
        <v>166</v>
      </c>
      <c r="AK136" s="56">
        <v>1599.0</v>
      </c>
      <c r="AL136" s="57">
        <f>AK136*Sheets!$E$3</f>
        <v>220.4149545</v>
      </c>
      <c r="AM136" s="68"/>
      <c r="AN136" s="70"/>
      <c r="AO136" s="71" t="s">
        <v>181</v>
      </c>
      <c r="AP136" s="65">
        <v>44564.58547128472</v>
      </c>
      <c r="AQ136" s="66"/>
    </row>
    <row r="137">
      <c r="A137" s="46" t="str">
        <f>HYPERLINK("https://geeek.world.taobao.com/","GEEEK机箱")</f>
        <v>GEEEK机箱</v>
      </c>
      <c r="B137" s="46" t="s">
        <v>1004</v>
      </c>
      <c r="C137" s="63" t="s">
        <v>262</v>
      </c>
      <c r="D137" s="48">
        <v>290.0</v>
      </c>
      <c r="E137" s="48">
        <v>166.0</v>
      </c>
      <c r="F137" s="48">
        <v>250.0</v>
      </c>
      <c r="G137" s="49">
        <f t="shared" si="11"/>
        <v>12.035</v>
      </c>
      <c r="H137" s="49">
        <f t="shared" si="12"/>
        <v>481.4</v>
      </c>
      <c r="I137" s="48">
        <v>3.0</v>
      </c>
      <c r="J137" s="48" t="s">
        <v>245</v>
      </c>
      <c r="K137" s="50" t="s">
        <v>255</v>
      </c>
      <c r="L137" s="51">
        <v>135.0</v>
      </c>
      <c r="M137" s="50" t="s">
        <v>166</v>
      </c>
      <c r="N137" s="51" t="s">
        <v>166</v>
      </c>
      <c r="O137" s="48">
        <v>275.0</v>
      </c>
      <c r="P137" s="48">
        <v>135.0</v>
      </c>
      <c r="Q137" s="48">
        <v>60.0</v>
      </c>
      <c r="R137" s="48">
        <v>2.0</v>
      </c>
      <c r="S137" s="50" t="s">
        <v>166</v>
      </c>
      <c r="T137" s="52" t="s">
        <v>1005</v>
      </c>
      <c r="U137" s="52" t="s">
        <v>346</v>
      </c>
      <c r="V137" s="51">
        <v>2.0</v>
      </c>
      <c r="W137" s="48" t="s">
        <v>166</v>
      </c>
      <c r="X137" s="50" t="s">
        <v>166</v>
      </c>
      <c r="Y137" s="51" t="s">
        <v>166</v>
      </c>
      <c r="Z137" s="48" t="s">
        <v>166</v>
      </c>
      <c r="AA137" s="48" t="s">
        <v>166</v>
      </c>
      <c r="AB137" s="48">
        <v>1.0</v>
      </c>
      <c r="AC137" s="48">
        <v>1.0</v>
      </c>
      <c r="AD137" s="48" t="s">
        <v>166</v>
      </c>
      <c r="AE137" s="54" t="s">
        <v>166</v>
      </c>
      <c r="AF137" s="55" t="s">
        <v>166</v>
      </c>
      <c r="AG137" s="51" t="s">
        <v>166</v>
      </c>
      <c r="AH137" s="48">
        <v>1.0</v>
      </c>
      <c r="AI137" s="48" t="s">
        <v>166</v>
      </c>
      <c r="AJ137" s="50" t="s">
        <v>166</v>
      </c>
      <c r="AK137" s="56">
        <v>298.0</v>
      </c>
      <c r="AL137" s="57">
        <f>AK137*Sheets!$E$3</f>
        <v>41.077959</v>
      </c>
      <c r="AM137" s="68"/>
      <c r="AN137" s="70"/>
      <c r="AO137" s="71"/>
      <c r="AP137" s="72">
        <v>44681.59968408565</v>
      </c>
      <c r="AQ137" s="66"/>
    </row>
    <row r="138">
      <c r="A138" s="46" t="s">
        <v>451</v>
      </c>
      <c r="B138" s="73" t="s">
        <v>1006</v>
      </c>
      <c r="C138" s="63" t="s">
        <v>248</v>
      </c>
      <c r="D138" s="48">
        <v>190.0</v>
      </c>
      <c r="E138" s="48">
        <v>155.0</v>
      </c>
      <c r="F138" s="48">
        <v>410.0</v>
      </c>
      <c r="G138" s="98">
        <f t="shared" si="11"/>
        <v>12.0745</v>
      </c>
      <c r="H138" s="49">
        <f t="shared" si="12"/>
        <v>294.5</v>
      </c>
      <c r="I138" s="48">
        <v>3.8</v>
      </c>
      <c r="J138" s="48" t="s">
        <v>164</v>
      </c>
      <c r="K138" s="50" t="s">
        <v>860</v>
      </c>
      <c r="L138" s="51">
        <v>74.0</v>
      </c>
      <c r="M138" s="50" t="s">
        <v>619</v>
      </c>
      <c r="N138" s="51" t="s">
        <v>174</v>
      </c>
      <c r="O138" s="48">
        <v>360.0</v>
      </c>
      <c r="P138" s="48">
        <v>146.0</v>
      </c>
      <c r="Q138" s="48">
        <v>62.0</v>
      </c>
      <c r="R138" s="48">
        <v>2.0</v>
      </c>
      <c r="S138" s="50" t="s">
        <v>166</v>
      </c>
      <c r="T138" s="52" t="s">
        <v>167</v>
      </c>
      <c r="U138" s="52" t="s">
        <v>816</v>
      </c>
      <c r="V138" s="51">
        <v>2.0</v>
      </c>
      <c r="W138" s="48" t="s">
        <v>193</v>
      </c>
      <c r="X138" s="50" t="s">
        <v>166</v>
      </c>
      <c r="Y138" s="51" t="s">
        <v>166</v>
      </c>
      <c r="Z138" s="48" t="s">
        <v>166</v>
      </c>
      <c r="AA138" s="48" t="s">
        <v>166</v>
      </c>
      <c r="AB138" s="48" t="s">
        <v>166</v>
      </c>
      <c r="AC138" s="48" t="s">
        <v>193</v>
      </c>
      <c r="AD138" s="48" t="s">
        <v>193</v>
      </c>
      <c r="AE138" s="54" t="s">
        <v>166</v>
      </c>
      <c r="AF138" s="55" t="s">
        <v>166</v>
      </c>
      <c r="AG138" s="51" t="s">
        <v>166</v>
      </c>
      <c r="AH138" s="48" t="s">
        <v>166</v>
      </c>
      <c r="AI138" s="48">
        <v>1.0</v>
      </c>
      <c r="AJ138" s="50" t="s">
        <v>166</v>
      </c>
      <c r="AK138" s="56">
        <v>969.0</v>
      </c>
      <c r="AL138" s="57">
        <f>AK138*Sheets!$E$3</f>
        <v>133.5722895</v>
      </c>
      <c r="AM138" s="68"/>
      <c r="AN138" s="70"/>
      <c r="AO138" s="71" t="s">
        <v>181</v>
      </c>
      <c r="AP138" s="72">
        <v>44442.88845907408</v>
      </c>
      <c r="AQ138" s="66"/>
    </row>
    <row r="139">
      <c r="A139" s="69" t="str">
        <f>HYPERLINK("https://shop34001191.world.taobao.com/","Mechanic Master")</f>
        <v>Mechanic Master</v>
      </c>
      <c r="B139" s="46" t="s">
        <v>1007</v>
      </c>
      <c r="C139" s="63" t="s">
        <v>248</v>
      </c>
      <c r="D139" s="48">
        <v>355.0</v>
      </c>
      <c r="E139" s="48">
        <v>159.0</v>
      </c>
      <c r="F139" s="48">
        <v>214.0</v>
      </c>
      <c r="G139" s="49">
        <f t="shared" si="11"/>
        <v>12.07923</v>
      </c>
      <c r="H139" s="49">
        <f t="shared" si="12"/>
        <v>564.45</v>
      </c>
      <c r="I139" s="48">
        <v>3.15</v>
      </c>
      <c r="J139" s="48" t="s">
        <v>171</v>
      </c>
      <c r="K139" s="50" t="s">
        <v>447</v>
      </c>
      <c r="L139" s="51">
        <v>67.0</v>
      </c>
      <c r="M139" s="50" t="s">
        <v>166</v>
      </c>
      <c r="N139" s="51" t="s">
        <v>174</v>
      </c>
      <c r="O139" s="48">
        <v>345.0</v>
      </c>
      <c r="P139" s="48" t="s">
        <v>170</v>
      </c>
      <c r="Q139" s="48">
        <v>65.0</v>
      </c>
      <c r="R139" s="48">
        <v>3.0</v>
      </c>
      <c r="S139" s="50" t="s">
        <v>166</v>
      </c>
      <c r="T139" s="52" t="s">
        <v>167</v>
      </c>
      <c r="U139" s="52" t="s">
        <v>816</v>
      </c>
      <c r="V139" s="51">
        <v>2.0</v>
      </c>
      <c r="W139" s="48" t="s">
        <v>193</v>
      </c>
      <c r="X139" s="50" t="s">
        <v>166</v>
      </c>
      <c r="Y139" s="51" t="s">
        <v>166</v>
      </c>
      <c r="Z139" s="48" t="s">
        <v>166</v>
      </c>
      <c r="AA139" s="48" t="s">
        <v>166</v>
      </c>
      <c r="AB139" s="48" t="s">
        <v>166</v>
      </c>
      <c r="AC139" s="48">
        <v>2.0</v>
      </c>
      <c r="AD139" s="48" t="s">
        <v>166</v>
      </c>
      <c r="AE139" s="54" t="s">
        <v>166</v>
      </c>
      <c r="AF139" s="55" t="s">
        <v>166</v>
      </c>
      <c r="AG139" s="51" t="s">
        <v>166</v>
      </c>
      <c r="AH139" s="48">
        <v>1.0</v>
      </c>
      <c r="AI139" s="48">
        <v>1.0</v>
      </c>
      <c r="AJ139" s="50" t="s">
        <v>174</v>
      </c>
      <c r="AK139" s="56">
        <v>349.0</v>
      </c>
      <c r="AL139" s="57">
        <f>AK139*Sheets!$E$3</f>
        <v>48.1080795</v>
      </c>
      <c r="AM139" s="58"/>
      <c r="AN139" s="59"/>
      <c r="AO139" s="71"/>
      <c r="AP139" s="65">
        <v>45295.648551805556</v>
      </c>
      <c r="AQ139" s="66"/>
    </row>
    <row r="140">
      <c r="A140" s="82" t="str">
        <f>HYPERLINK("http://www.jonsbo.com/en/","Jonsbo")</f>
        <v>Jonsbo</v>
      </c>
      <c r="B140" s="62" t="str">
        <f>HYPERLINK("http://www.jonsbo.com/en/products/c2silver.html","C2")</f>
        <v>C2</v>
      </c>
      <c r="C140" s="63" t="s">
        <v>262</v>
      </c>
      <c r="D140" s="48">
        <v>224.0</v>
      </c>
      <c r="E140" s="48">
        <v>200.0</v>
      </c>
      <c r="F140" s="48">
        <v>270.0</v>
      </c>
      <c r="G140" s="49">
        <f t="shared" si="11"/>
        <v>12.096</v>
      </c>
      <c r="H140" s="49">
        <f t="shared" si="12"/>
        <v>448</v>
      </c>
      <c r="I140" s="48">
        <v>1.2</v>
      </c>
      <c r="J140" s="48" t="s">
        <v>164</v>
      </c>
      <c r="K140" s="50" t="s">
        <v>1008</v>
      </c>
      <c r="L140" s="51">
        <v>80.0</v>
      </c>
      <c r="M140" s="50" t="s">
        <v>166</v>
      </c>
      <c r="N140" s="51" t="s">
        <v>166</v>
      </c>
      <c r="O140" s="48">
        <v>220.0</v>
      </c>
      <c r="P140" s="48" t="s">
        <v>170</v>
      </c>
      <c r="Q140" s="48">
        <v>60.0</v>
      </c>
      <c r="R140" s="48">
        <v>3.0</v>
      </c>
      <c r="S140" s="50" t="s">
        <v>166</v>
      </c>
      <c r="T140" s="52" t="s">
        <v>1009</v>
      </c>
      <c r="U140" s="52" t="s">
        <v>599</v>
      </c>
      <c r="V140" s="51" t="s">
        <v>207</v>
      </c>
      <c r="W140" s="48" t="s">
        <v>207</v>
      </c>
      <c r="X140" s="50" t="s">
        <v>166</v>
      </c>
      <c r="Y140" s="51" t="s">
        <v>166</v>
      </c>
      <c r="Z140" s="48" t="s">
        <v>166</v>
      </c>
      <c r="AA140" s="48" t="s">
        <v>166</v>
      </c>
      <c r="AB140" s="48" t="s">
        <v>166</v>
      </c>
      <c r="AC140" s="48" t="s">
        <v>194</v>
      </c>
      <c r="AD140" s="48" t="s">
        <v>194</v>
      </c>
      <c r="AE140" s="54" t="s">
        <v>166</v>
      </c>
      <c r="AF140" s="55" t="s">
        <v>166</v>
      </c>
      <c r="AG140" s="51">
        <v>1.0</v>
      </c>
      <c r="AH140" s="48">
        <v>1.0</v>
      </c>
      <c r="AI140" s="48" t="s">
        <v>166</v>
      </c>
      <c r="AJ140" s="50" t="s">
        <v>174</v>
      </c>
      <c r="AK140" s="56">
        <v>155.0</v>
      </c>
      <c r="AL140" s="57">
        <v>86.8</v>
      </c>
      <c r="AM140" s="68"/>
      <c r="AN140" s="59"/>
      <c r="AO140" s="60"/>
      <c r="AP140" s="60"/>
      <c r="AQ140" s="66"/>
    </row>
    <row r="141">
      <c r="A141" s="69" t="str">
        <f>HYPERLINK("https://jixieku.world.taobao.com/","机械库")</f>
        <v>机械库</v>
      </c>
      <c r="B141" s="46" t="str">
        <f>HYPERLINK("https://item.taobao.com/item.htm?id=604828525092","JXK-M1")</f>
        <v>JXK-M1</v>
      </c>
      <c r="C141" s="63" t="s">
        <v>262</v>
      </c>
      <c r="D141" s="48">
        <v>280.0</v>
      </c>
      <c r="E141" s="48">
        <v>160.0</v>
      </c>
      <c r="F141" s="48">
        <v>270.0</v>
      </c>
      <c r="G141" s="49">
        <f t="shared" si="11"/>
        <v>12.096</v>
      </c>
      <c r="H141" s="49">
        <f t="shared" si="12"/>
        <v>448</v>
      </c>
      <c r="I141" s="48">
        <v>2.0</v>
      </c>
      <c r="J141" s="48" t="s">
        <v>245</v>
      </c>
      <c r="K141" s="50" t="s">
        <v>164</v>
      </c>
      <c r="L141" s="51">
        <v>136.0</v>
      </c>
      <c r="M141" s="50" t="s">
        <v>166</v>
      </c>
      <c r="N141" s="51" t="s">
        <v>166</v>
      </c>
      <c r="O141" s="48">
        <v>270.0</v>
      </c>
      <c r="P141" s="48">
        <v>141.0</v>
      </c>
      <c r="Q141" s="48">
        <v>60.0</v>
      </c>
      <c r="R141" s="48">
        <v>2.0</v>
      </c>
      <c r="S141" s="50" t="s">
        <v>166</v>
      </c>
      <c r="T141" s="52" t="s">
        <v>1010</v>
      </c>
      <c r="U141" s="52" t="s">
        <v>324</v>
      </c>
      <c r="V141" s="51" t="s">
        <v>194</v>
      </c>
      <c r="W141" s="48" t="s">
        <v>194</v>
      </c>
      <c r="X141" s="50" t="s">
        <v>166</v>
      </c>
      <c r="Y141" s="51" t="s">
        <v>166</v>
      </c>
      <c r="Z141" s="48" t="s">
        <v>194</v>
      </c>
      <c r="AA141" s="48" t="s">
        <v>426</v>
      </c>
      <c r="AB141" s="48" t="s">
        <v>426</v>
      </c>
      <c r="AC141" s="48" t="s">
        <v>193</v>
      </c>
      <c r="AD141" s="48" t="s">
        <v>166</v>
      </c>
      <c r="AE141" s="54" t="s">
        <v>166</v>
      </c>
      <c r="AF141" s="55" t="s">
        <v>166</v>
      </c>
      <c r="AG141" s="51" t="s">
        <v>166</v>
      </c>
      <c r="AH141" s="48" t="s">
        <v>166</v>
      </c>
      <c r="AI141" s="48" t="s">
        <v>166</v>
      </c>
      <c r="AJ141" s="50" t="s">
        <v>166</v>
      </c>
      <c r="AK141" s="56">
        <v>299.0</v>
      </c>
      <c r="AL141" s="57">
        <f>AK141*Sheets!$E$3</f>
        <v>41.2158045</v>
      </c>
      <c r="AM141" s="58"/>
      <c r="AN141" s="59"/>
      <c r="AO141" s="60"/>
      <c r="AP141" s="65">
        <v>45183.47029888889</v>
      </c>
      <c r="AQ141" s="66"/>
    </row>
    <row r="142">
      <c r="A142" s="69" t="s">
        <v>894</v>
      </c>
      <c r="B142" s="73" t="s">
        <v>1011</v>
      </c>
      <c r="C142" s="63" t="s">
        <v>248</v>
      </c>
      <c r="D142" s="48">
        <v>332.0</v>
      </c>
      <c r="E142" s="48">
        <v>149.0</v>
      </c>
      <c r="F142" s="48">
        <v>245.0</v>
      </c>
      <c r="G142" s="49">
        <f t="shared" si="11"/>
        <v>12.11966</v>
      </c>
      <c r="H142" s="49">
        <f t="shared" si="12"/>
        <v>494.68</v>
      </c>
      <c r="I142" s="48" t="s">
        <v>170</v>
      </c>
      <c r="J142" s="48" t="s">
        <v>274</v>
      </c>
      <c r="K142" s="50" t="s">
        <v>896</v>
      </c>
      <c r="L142" s="51">
        <v>65.0</v>
      </c>
      <c r="M142" s="50" t="s">
        <v>547</v>
      </c>
      <c r="N142" s="51" t="s">
        <v>174</v>
      </c>
      <c r="O142" s="48">
        <v>332.0</v>
      </c>
      <c r="P142" s="48">
        <v>147.0</v>
      </c>
      <c r="Q142" s="48">
        <v>55.0</v>
      </c>
      <c r="R142" s="48">
        <v>2.0</v>
      </c>
      <c r="S142" s="50" t="s">
        <v>166</v>
      </c>
      <c r="T142" s="52" t="s">
        <v>167</v>
      </c>
      <c r="U142" s="52" t="s">
        <v>346</v>
      </c>
      <c r="V142" s="51">
        <v>4.0</v>
      </c>
      <c r="W142" s="48">
        <v>2.0</v>
      </c>
      <c r="X142" s="50" t="s">
        <v>166</v>
      </c>
      <c r="Y142" s="51" t="s">
        <v>166</v>
      </c>
      <c r="Z142" s="48" t="s">
        <v>166</v>
      </c>
      <c r="AA142" s="48" t="s">
        <v>166</v>
      </c>
      <c r="AB142" s="48" t="s">
        <v>166</v>
      </c>
      <c r="AC142" s="48">
        <v>2.0</v>
      </c>
      <c r="AD142" s="48" t="s">
        <v>166</v>
      </c>
      <c r="AE142" s="54" t="s">
        <v>166</v>
      </c>
      <c r="AF142" s="55" t="s">
        <v>166</v>
      </c>
      <c r="AG142" s="51" t="s">
        <v>166</v>
      </c>
      <c r="AH142" s="48" t="s">
        <v>166</v>
      </c>
      <c r="AI142" s="48" t="s">
        <v>166</v>
      </c>
      <c r="AJ142" s="50" t="s">
        <v>166</v>
      </c>
      <c r="AK142" s="56">
        <v>499.0</v>
      </c>
      <c r="AL142" s="57">
        <f>AK142*Sheets!$E$3</f>
        <v>68.7849045</v>
      </c>
      <c r="AM142" s="68"/>
      <c r="AN142" s="70"/>
      <c r="AO142" s="71" t="s">
        <v>181</v>
      </c>
      <c r="AP142" s="72">
        <v>44442.91124652778</v>
      </c>
      <c r="AQ142" s="66"/>
    </row>
    <row r="143">
      <c r="A143" s="69" t="str">
        <f>HYPERLINK("https://9781365.world.taobao.com/","MPCG")</f>
        <v>MPCG</v>
      </c>
      <c r="B143" s="73" t="s">
        <v>640</v>
      </c>
      <c r="C143" s="63" t="s">
        <v>262</v>
      </c>
      <c r="D143" s="48">
        <v>330.0</v>
      </c>
      <c r="E143" s="48">
        <v>160.0</v>
      </c>
      <c r="F143" s="48">
        <v>230.0</v>
      </c>
      <c r="G143" s="98">
        <f t="shared" si="11"/>
        <v>12.144</v>
      </c>
      <c r="H143" s="49">
        <f t="shared" si="12"/>
        <v>528</v>
      </c>
      <c r="I143" s="48" t="s">
        <v>170</v>
      </c>
      <c r="J143" s="48" t="s">
        <v>164</v>
      </c>
      <c r="K143" s="50" t="s">
        <v>191</v>
      </c>
      <c r="L143" s="51">
        <v>130.0</v>
      </c>
      <c r="M143" s="50" t="s">
        <v>825</v>
      </c>
      <c r="N143" s="51" t="s">
        <v>166</v>
      </c>
      <c r="O143" s="48">
        <v>318.0</v>
      </c>
      <c r="P143" s="48">
        <v>135.0</v>
      </c>
      <c r="Q143" s="48">
        <v>60.0</v>
      </c>
      <c r="R143" s="48">
        <v>3.0</v>
      </c>
      <c r="S143" s="50" t="s">
        <v>166</v>
      </c>
      <c r="T143" s="52" t="s">
        <v>167</v>
      </c>
      <c r="U143" s="52" t="s">
        <v>686</v>
      </c>
      <c r="V143" s="51">
        <v>2.0</v>
      </c>
      <c r="W143" s="48" t="s">
        <v>166</v>
      </c>
      <c r="X143" s="50" t="s">
        <v>166</v>
      </c>
      <c r="Y143" s="51" t="s">
        <v>166</v>
      </c>
      <c r="Z143" s="48" t="s">
        <v>166</v>
      </c>
      <c r="AA143" s="48" t="s">
        <v>166</v>
      </c>
      <c r="AB143" s="48" t="s">
        <v>166</v>
      </c>
      <c r="AC143" s="48" t="s">
        <v>193</v>
      </c>
      <c r="AD143" s="48" t="s">
        <v>193</v>
      </c>
      <c r="AE143" s="54" t="s">
        <v>166</v>
      </c>
      <c r="AF143" s="55" t="s">
        <v>166</v>
      </c>
      <c r="AG143" s="51" t="s">
        <v>166</v>
      </c>
      <c r="AH143" s="48" t="s">
        <v>166</v>
      </c>
      <c r="AI143" s="48" t="s">
        <v>166</v>
      </c>
      <c r="AJ143" s="50" t="s">
        <v>166</v>
      </c>
      <c r="AK143" s="56">
        <v>1099.0</v>
      </c>
      <c r="AL143" s="57">
        <f>AK143*Sheets!$E$3</f>
        <v>151.4922045</v>
      </c>
      <c r="AM143" s="68"/>
      <c r="AN143" s="70"/>
      <c r="AO143" s="71" t="s">
        <v>181</v>
      </c>
      <c r="AP143" s="72">
        <v>44696.96244604167</v>
      </c>
      <c r="AQ143" s="66"/>
    </row>
    <row r="144">
      <c r="A144" s="61" t="s">
        <v>438</v>
      </c>
      <c r="B144" s="62" t="s">
        <v>1012</v>
      </c>
      <c r="C144" s="63" t="s">
        <v>248</v>
      </c>
      <c r="D144" s="48">
        <v>329.0</v>
      </c>
      <c r="E144" s="48">
        <v>165.0</v>
      </c>
      <c r="F144" s="48">
        <v>224.0</v>
      </c>
      <c r="G144" s="49">
        <f t="shared" si="11"/>
        <v>12.15984</v>
      </c>
      <c r="H144" s="49">
        <f t="shared" si="12"/>
        <v>542.85</v>
      </c>
      <c r="I144" s="48">
        <v>2.23</v>
      </c>
      <c r="J144" s="48" t="s">
        <v>164</v>
      </c>
      <c r="K144" s="50" t="s">
        <v>164</v>
      </c>
      <c r="L144" s="51">
        <v>70.0</v>
      </c>
      <c r="M144" s="50">
        <v>120.0</v>
      </c>
      <c r="N144" s="51" t="s">
        <v>174</v>
      </c>
      <c r="O144" s="48">
        <v>323.0</v>
      </c>
      <c r="P144" s="48">
        <v>140.0</v>
      </c>
      <c r="Q144" s="48">
        <v>60.0</v>
      </c>
      <c r="R144" s="48">
        <v>3.0</v>
      </c>
      <c r="S144" s="50" t="s">
        <v>166</v>
      </c>
      <c r="T144" s="52" t="s">
        <v>167</v>
      </c>
      <c r="U144" s="52" t="s">
        <v>324</v>
      </c>
      <c r="V144" s="51">
        <v>2.0</v>
      </c>
      <c r="W144" s="48" t="s">
        <v>166</v>
      </c>
      <c r="X144" s="50" t="s">
        <v>166</v>
      </c>
      <c r="Y144" s="51" t="s">
        <v>166</v>
      </c>
      <c r="Z144" s="48" t="s">
        <v>166</v>
      </c>
      <c r="AA144" s="48" t="s">
        <v>166</v>
      </c>
      <c r="AB144" s="48" t="s">
        <v>166</v>
      </c>
      <c r="AC144" s="48">
        <v>4.0</v>
      </c>
      <c r="AD144" s="48" t="s">
        <v>166</v>
      </c>
      <c r="AE144" s="54" t="s">
        <v>166</v>
      </c>
      <c r="AF144" s="55" t="s">
        <v>166</v>
      </c>
      <c r="AG144" s="51" t="s">
        <v>166</v>
      </c>
      <c r="AH144" s="48">
        <v>2.0</v>
      </c>
      <c r="AI144" s="48" t="s">
        <v>166</v>
      </c>
      <c r="AJ144" s="50" t="s">
        <v>166</v>
      </c>
      <c r="AK144" s="56" t="s">
        <v>166</v>
      </c>
      <c r="AL144" s="57">
        <f>3880*0.033</f>
        <v>128.04</v>
      </c>
      <c r="AM144" s="64"/>
      <c r="AN144" s="59"/>
      <c r="AO144" s="60"/>
      <c r="AP144" s="65">
        <v>44696.76311854167</v>
      </c>
      <c r="AQ144" s="66"/>
    </row>
    <row r="145">
      <c r="A145" s="69" t="str">
        <f>HYPERLINK("https://sunmilo.world.taobao.com/","Sunmilo Studio")</f>
        <v>Sunmilo Studio</v>
      </c>
      <c r="B145" s="46" t="str">
        <f>HYPERLINK("https://item.taobao.com/item.htm?id=590261480123","C01")</f>
        <v>C01</v>
      </c>
      <c r="C145" s="63" t="s">
        <v>262</v>
      </c>
      <c r="D145" s="48">
        <v>280.0</v>
      </c>
      <c r="E145" s="48">
        <v>185.0</v>
      </c>
      <c r="F145" s="48">
        <v>235.0</v>
      </c>
      <c r="G145" s="49">
        <f t="shared" si="11"/>
        <v>12.173</v>
      </c>
      <c r="H145" s="49">
        <f t="shared" si="12"/>
        <v>518</v>
      </c>
      <c r="I145" s="48" t="s">
        <v>170</v>
      </c>
      <c r="J145" s="48" t="s">
        <v>597</v>
      </c>
      <c r="K145" s="50" t="s">
        <v>164</v>
      </c>
      <c r="L145" s="51">
        <v>160.0</v>
      </c>
      <c r="M145" s="50">
        <v>120.0</v>
      </c>
      <c r="N145" s="51" t="s">
        <v>166</v>
      </c>
      <c r="O145" s="48">
        <v>277.0</v>
      </c>
      <c r="P145" s="48">
        <v>165.0</v>
      </c>
      <c r="Q145" s="48">
        <v>40.0</v>
      </c>
      <c r="R145" s="48">
        <v>2.0</v>
      </c>
      <c r="S145" s="50" t="s">
        <v>166</v>
      </c>
      <c r="T145" s="52" t="s">
        <v>167</v>
      </c>
      <c r="U145" s="52" t="s">
        <v>346</v>
      </c>
      <c r="V145" s="51">
        <v>2.0</v>
      </c>
      <c r="W145" s="48" t="s">
        <v>166</v>
      </c>
      <c r="X145" s="50" t="s">
        <v>166</v>
      </c>
      <c r="Y145" s="51" t="s">
        <v>166</v>
      </c>
      <c r="Z145" s="48" t="s">
        <v>166</v>
      </c>
      <c r="AA145" s="48" t="s">
        <v>166</v>
      </c>
      <c r="AB145" s="48" t="s">
        <v>166</v>
      </c>
      <c r="AC145" s="48">
        <v>1.0</v>
      </c>
      <c r="AD145" s="48" t="s">
        <v>166</v>
      </c>
      <c r="AE145" s="54" t="s">
        <v>166</v>
      </c>
      <c r="AF145" s="55" t="s">
        <v>166</v>
      </c>
      <c r="AG145" s="51" t="s">
        <v>166</v>
      </c>
      <c r="AH145" s="48">
        <v>1.0</v>
      </c>
      <c r="AI145" s="48" t="s">
        <v>166</v>
      </c>
      <c r="AJ145" s="50" t="s">
        <v>166</v>
      </c>
      <c r="AK145" s="56">
        <v>899.0</v>
      </c>
      <c r="AL145" s="57">
        <f>AK145*Sheets!$E$3</f>
        <v>123.9231045</v>
      </c>
      <c r="AM145" s="58"/>
      <c r="AN145" s="59"/>
      <c r="AO145" s="60"/>
      <c r="AP145" s="65">
        <v>45071.55685918982</v>
      </c>
      <c r="AQ145" s="66"/>
    </row>
    <row r="146">
      <c r="A146" s="82" t="str">
        <f>HYPERLINK("https://www.nouvolo.com/","Nouvolo")</f>
        <v>Nouvolo</v>
      </c>
      <c r="B146" s="62" t="s">
        <v>1013</v>
      </c>
      <c r="C146" s="63" t="s">
        <v>248</v>
      </c>
      <c r="D146" s="48">
        <v>343.0</v>
      </c>
      <c r="E146" s="48">
        <v>156.0</v>
      </c>
      <c r="F146" s="48">
        <v>228.0</v>
      </c>
      <c r="G146" s="49">
        <f t="shared" si="11"/>
        <v>12.199824</v>
      </c>
      <c r="H146" s="49">
        <f t="shared" si="12"/>
        <v>535.08</v>
      </c>
      <c r="I146" s="48">
        <v>3.5</v>
      </c>
      <c r="J146" s="48" t="s">
        <v>235</v>
      </c>
      <c r="K146" s="50" t="s">
        <v>605</v>
      </c>
      <c r="L146" s="51">
        <v>72.0</v>
      </c>
      <c r="M146" s="50" t="s">
        <v>619</v>
      </c>
      <c r="N146" s="51" t="s">
        <v>174</v>
      </c>
      <c r="O146" s="48">
        <v>320.0</v>
      </c>
      <c r="P146" s="48" t="s">
        <v>170</v>
      </c>
      <c r="Q146" s="48">
        <v>63.0</v>
      </c>
      <c r="R146" s="48">
        <v>2.0</v>
      </c>
      <c r="S146" s="50" t="s">
        <v>166</v>
      </c>
      <c r="T146" s="52" t="s">
        <v>167</v>
      </c>
      <c r="U146" s="52" t="s">
        <v>346</v>
      </c>
      <c r="V146" s="51">
        <v>1.0</v>
      </c>
      <c r="W146" s="48" t="s">
        <v>166</v>
      </c>
      <c r="X146" s="50" t="s">
        <v>166</v>
      </c>
      <c r="Y146" s="51" t="s">
        <v>166</v>
      </c>
      <c r="Z146" s="48" t="s">
        <v>166</v>
      </c>
      <c r="AA146" s="48" t="s">
        <v>166</v>
      </c>
      <c r="AB146" s="48" t="s">
        <v>166</v>
      </c>
      <c r="AC146" s="48">
        <v>4.0</v>
      </c>
      <c r="AD146" s="48" t="s">
        <v>166</v>
      </c>
      <c r="AE146" s="54" t="s">
        <v>166</v>
      </c>
      <c r="AF146" s="55" t="s">
        <v>166</v>
      </c>
      <c r="AG146" s="51" t="s">
        <v>166</v>
      </c>
      <c r="AH146" s="48" t="s">
        <v>166</v>
      </c>
      <c r="AI146" s="48" t="s">
        <v>166</v>
      </c>
      <c r="AJ146" s="50" t="s">
        <v>166</v>
      </c>
      <c r="AK146" s="56" t="s">
        <v>166</v>
      </c>
      <c r="AL146" s="57">
        <v>190.0</v>
      </c>
      <c r="AM146" s="64" t="s">
        <v>214</v>
      </c>
      <c r="AN146" s="59"/>
      <c r="AO146" s="60"/>
      <c r="AP146" s="65">
        <v>44846.94080502314</v>
      </c>
      <c r="AQ146" s="66"/>
    </row>
    <row r="147">
      <c r="A147" s="46" t="str">
        <f>HYPERLINK("https://shop159524301.world.taobao.com/","Warhead Design")</f>
        <v>Warhead Design</v>
      </c>
      <c r="B147" s="73" t="s">
        <v>1014</v>
      </c>
      <c r="C147" s="63" t="s">
        <v>262</v>
      </c>
      <c r="D147" s="48">
        <v>315.0</v>
      </c>
      <c r="E147" s="48">
        <v>152.0</v>
      </c>
      <c r="F147" s="48">
        <v>255.0</v>
      </c>
      <c r="G147" s="49">
        <f t="shared" si="11"/>
        <v>12.2094</v>
      </c>
      <c r="H147" s="49">
        <f t="shared" si="12"/>
        <v>478.8</v>
      </c>
      <c r="I147" s="48" t="s">
        <v>170</v>
      </c>
      <c r="J147" s="48" t="s">
        <v>164</v>
      </c>
      <c r="K147" s="50" t="s">
        <v>323</v>
      </c>
      <c r="L147" s="51">
        <v>135.0</v>
      </c>
      <c r="M147" s="50" t="s">
        <v>547</v>
      </c>
      <c r="N147" s="51" t="s">
        <v>166</v>
      </c>
      <c r="O147" s="48">
        <v>315.0</v>
      </c>
      <c r="P147" s="48">
        <v>140.0</v>
      </c>
      <c r="Q147" s="48">
        <v>60.0</v>
      </c>
      <c r="R147" s="48">
        <v>3.0</v>
      </c>
      <c r="S147" s="50" t="s">
        <v>166</v>
      </c>
      <c r="T147" s="52" t="s">
        <v>227</v>
      </c>
      <c r="U147" s="52" t="s">
        <v>324</v>
      </c>
      <c r="V147" s="51">
        <v>1.0</v>
      </c>
      <c r="W147" s="48" t="s">
        <v>193</v>
      </c>
      <c r="X147" s="50" t="s">
        <v>166</v>
      </c>
      <c r="Y147" s="51" t="s">
        <v>166</v>
      </c>
      <c r="Z147" s="48" t="s">
        <v>166</v>
      </c>
      <c r="AA147" s="48">
        <v>2.0</v>
      </c>
      <c r="AB147" s="48" t="s">
        <v>166</v>
      </c>
      <c r="AC147" s="48" t="s">
        <v>416</v>
      </c>
      <c r="AD147" s="48" t="s">
        <v>166</v>
      </c>
      <c r="AE147" s="54" t="s">
        <v>166</v>
      </c>
      <c r="AF147" s="55" t="s">
        <v>166</v>
      </c>
      <c r="AG147" s="51" t="s">
        <v>166</v>
      </c>
      <c r="AH147" s="48" t="s">
        <v>166</v>
      </c>
      <c r="AI147" s="48" t="s">
        <v>166</v>
      </c>
      <c r="AJ147" s="50" t="s">
        <v>166</v>
      </c>
      <c r="AK147" s="56">
        <v>599.0</v>
      </c>
      <c r="AL147" s="57">
        <f>AK147*Sheets!$E$3</f>
        <v>82.5694545</v>
      </c>
      <c r="AM147" s="68"/>
      <c r="AN147" s="70"/>
      <c r="AO147" s="71" t="s">
        <v>181</v>
      </c>
      <c r="AP147" s="72">
        <v>45071.55688738426</v>
      </c>
      <c r="AQ147" s="66"/>
    </row>
    <row r="148">
      <c r="A148" s="69" t="s">
        <v>836</v>
      </c>
      <c r="B148" s="46" t="s">
        <v>1015</v>
      </c>
      <c r="C148" s="63" t="s">
        <v>262</v>
      </c>
      <c r="D148" s="48">
        <v>283.0</v>
      </c>
      <c r="E148" s="48">
        <v>160.0</v>
      </c>
      <c r="F148" s="48">
        <v>270.0</v>
      </c>
      <c r="G148" s="49">
        <f t="shared" si="11"/>
        <v>12.2256</v>
      </c>
      <c r="H148" s="49">
        <f t="shared" si="12"/>
        <v>452.8</v>
      </c>
      <c r="I148" s="48" t="s">
        <v>170</v>
      </c>
      <c r="J148" s="48" t="s">
        <v>245</v>
      </c>
      <c r="K148" s="50" t="s">
        <v>164</v>
      </c>
      <c r="L148" s="51">
        <v>125.0</v>
      </c>
      <c r="M148" s="50" t="s">
        <v>166</v>
      </c>
      <c r="N148" s="51" t="s">
        <v>166</v>
      </c>
      <c r="O148" s="48">
        <v>268.0</v>
      </c>
      <c r="P148" s="48">
        <v>130.0</v>
      </c>
      <c r="Q148" s="48">
        <v>80.0</v>
      </c>
      <c r="R148" s="48">
        <v>4.0</v>
      </c>
      <c r="S148" s="50" t="s">
        <v>166</v>
      </c>
      <c r="T148" s="52" t="s">
        <v>573</v>
      </c>
      <c r="U148" s="52" t="s">
        <v>324</v>
      </c>
      <c r="V148" s="51" t="s">
        <v>194</v>
      </c>
      <c r="W148" s="48" t="s">
        <v>194</v>
      </c>
      <c r="X148" s="50" t="s">
        <v>166</v>
      </c>
      <c r="Y148" s="51" t="s">
        <v>166</v>
      </c>
      <c r="Z148" s="48" t="s">
        <v>166</v>
      </c>
      <c r="AA148" s="48" t="s">
        <v>166</v>
      </c>
      <c r="AB148" s="48">
        <v>1.0</v>
      </c>
      <c r="AC148" s="48" t="s">
        <v>207</v>
      </c>
      <c r="AD148" s="48" t="s">
        <v>166</v>
      </c>
      <c r="AE148" s="54" t="s">
        <v>166</v>
      </c>
      <c r="AF148" s="55" t="s">
        <v>166</v>
      </c>
      <c r="AG148" s="51" t="s">
        <v>166</v>
      </c>
      <c r="AH148" s="48">
        <v>1.0</v>
      </c>
      <c r="AI148" s="48" t="s">
        <v>166</v>
      </c>
      <c r="AJ148" s="50" t="s">
        <v>166</v>
      </c>
      <c r="AK148" s="56">
        <v>219.0</v>
      </c>
      <c r="AL148" s="57">
        <f>AK148*Sheets!$E$3</f>
        <v>30.1881645</v>
      </c>
      <c r="AM148" s="58"/>
      <c r="AN148" s="59"/>
      <c r="AO148" s="60"/>
      <c r="AP148" s="65">
        <v>45071.55690166667</v>
      </c>
      <c r="AQ148" s="66"/>
    </row>
    <row r="149">
      <c r="A149" s="61" t="s">
        <v>209</v>
      </c>
      <c r="B149" s="83" t="str">
        <f>HYPERLINK("https://www.silverstonetek.com/product.php?pid=607&amp;area=en","ML08")</f>
        <v>ML08</v>
      </c>
      <c r="C149" s="63" t="s">
        <v>225</v>
      </c>
      <c r="D149" s="48">
        <v>370.0</v>
      </c>
      <c r="E149" s="48">
        <v>87.0</v>
      </c>
      <c r="F149" s="48">
        <v>380.0</v>
      </c>
      <c r="G149" s="49">
        <f t="shared" si="11"/>
        <v>12.2322</v>
      </c>
      <c r="H149" s="49">
        <f t="shared" si="12"/>
        <v>321.9</v>
      </c>
      <c r="I149" s="48">
        <v>3.2</v>
      </c>
      <c r="J149" s="48" t="s">
        <v>854</v>
      </c>
      <c r="K149" s="50" t="s">
        <v>211</v>
      </c>
      <c r="L149" s="51">
        <v>58.0</v>
      </c>
      <c r="M149" s="50" t="s">
        <v>166</v>
      </c>
      <c r="N149" s="51" t="s">
        <v>174</v>
      </c>
      <c r="O149" s="48">
        <v>330.0</v>
      </c>
      <c r="P149" s="48">
        <v>156.0</v>
      </c>
      <c r="Q149" s="48">
        <v>43.0</v>
      </c>
      <c r="R149" s="48">
        <v>2.0</v>
      </c>
      <c r="S149" s="50" t="s">
        <v>166</v>
      </c>
      <c r="T149" s="52" t="s">
        <v>167</v>
      </c>
      <c r="U149" s="52" t="s">
        <v>346</v>
      </c>
      <c r="V149" s="51" t="s">
        <v>435</v>
      </c>
      <c r="W149" s="48" t="s">
        <v>194</v>
      </c>
      <c r="X149" s="50" t="s">
        <v>208</v>
      </c>
      <c r="Y149" s="51" t="s">
        <v>166</v>
      </c>
      <c r="Z149" s="48" t="s">
        <v>166</v>
      </c>
      <c r="AA149" s="48" t="s">
        <v>166</v>
      </c>
      <c r="AB149" s="48" t="s">
        <v>166</v>
      </c>
      <c r="AC149" s="48" t="s">
        <v>166</v>
      </c>
      <c r="AD149" s="48" t="s">
        <v>166</v>
      </c>
      <c r="AE149" s="54" t="s">
        <v>166</v>
      </c>
      <c r="AF149" s="55" t="s">
        <v>166</v>
      </c>
      <c r="AG149" s="51" t="s">
        <v>166</v>
      </c>
      <c r="AH149" s="48">
        <v>2.0</v>
      </c>
      <c r="AI149" s="48" t="s">
        <v>166</v>
      </c>
      <c r="AJ149" s="50" t="s">
        <v>174</v>
      </c>
      <c r="AK149" s="56" t="s">
        <v>166</v>
      </c>
      <c r="AL149" s="57">
        <v>87.99</v>
      </c>
      <c r="AM149" s="58"/>
      <c r="AN149" s="64" t="s">
        <v>214</v>
      </c>
      <c r="AO149" s="60"/>
      <c r="AP149" s="65">
        <v>44644.50538133102</v>
      </c>
      <c r="AQ149" s="66"/>
    </row>
    <row r="150">
      <c r="A150" s="61" t="s">
        <v>209</v>
      </c>
      <c r="B150" s="83" t="str">
        <f>HYPERLINK("https://www.silverstonetek.com/raven/products/index.php?model=RVZ02&amp;area=en&amp;top=S","RVZ02")</f>
        <v>RVZ02</v>
      </c>
      <c r="C150" s="63" t="s">
        <v>225</v>
      </c>
      <c r="D150" s="48">
        <v>370.0</v>
      </c>
      <c r="E150" s="48">
        <v>87.0</v>
      </c>
      <c r="F150" s="48">
        <v>380.0</v>
      </c>
      <c r="G150" s="49">
        <f t="shared" si="11"/>
        <v>12.2322</v>
      </c>
      <c r="H150" s="49">
        <f t="shared" si="12"/>
        <v>321.9</v>
      </c>
      <c r="I150" s="48">
        <v>3.2</v>
      </c>
      <c r="J150" s="48" t="s">
        <v>854</v>
      </c>
      <c r="K150" s="50" t="s">
        <v>211</v>
      </c>
      <c r="L150" s="51">
        <v>58.0</v>
      </c>
      <c r="M150" s="50" t="s">
        <v>166</v>
      </c>
      <c r="N150" s="51" t="s">
        <v>174</v>
      </c>
      <c r="O150" s="48">
        <v>330.0</v>
      </c>
      <c r="P150" s="48">
        <v>156.0</v>
      </c>
      <c r="Q150" s="48">
        <v>43.0</v>
      </c>
      <c r="R150" s="48">
        <v>2.0</v>
      </c>
      <c r="S150" s="50" t="s">
        <v>166</v>
      </c>
      <c r="T150" s="52" t="s">
        <v>167</v>
      </c>
      <c r="U150" s="52" t="s">
        <v>346</v>
      </c>
      <c r="V150" s="51" t="s">
        <v>435</v>
      </c>
      <c r="W150" s="48" t="s">
        <v>194</v>
      </c>
      <c r="X150" s="50" t="s">
        <v>208</v>
      </c>
      <c r="Y150" s="51" t="s">
        <v>166</v>
      </c>
      <c r="Z150" s="48" t="s">
        <v>166</v>
      </c>
      <c r="AA150" s="48" t="s">
        <v>166</v>
      </c>
      <c r="AB150" s="48" t="s">
        <v>166</v>
      </c>
      <c r="AC150" s="48" t="s">
        <v>166</v>
      </c>
      <c r="AD150" s="48" t="s">
        <v>166</v>
      </c>
      <c r="AE150" s="54" t="s">
        <v>166</v>
      </c>
      <c r="AF150" s="55" t="s">
        <v>166</v>
      </c>
      <c r="AG150" s="51" t="s">
        <v>166</v>
      </c>
      <c r="AH150" s="48">
        <v>2.0</v>
      </c>
      <c r="AI150" s="48" t="s">
        <v>166</v>
      </c>
      <c r="AJ150" s="50" t="s">
        <v>174</v>
      </c>
      <c r="AK150" s="56" t="s">
        <v>166</v>
      </c>
      <c r="AL150" s="57">
        <v>101.99</v>
      </c>
      <c r="AM150" s="58"/>
      <c r="AN150" s="64" t="s">
        <v>214</v>
      </c>
      <c r="AO150" s="60"/>
      <c r="AP150" s="65">
        <v>44644.50539351851</v>
      </c>
      <c r="AQ150" s="66"/>
    </row>
    <row r="151">
      <c r="A151" s="69" t="str">
        <f>HYPERLINK("https://cemo.world.taobao.com/","Cemo / 佑泽企业店")</f>
        <v>Cemo / 佑泽企业店</v>
      </c>
      <c r="B151" s="73" t="s">
        <v>1016</v>
      </c>
      <c r="C151" s="63" t="s">
        <v>248</v>
      </c>
      <c r="D151" s="48">
        <v>325.0</v>
      </c>
      <c r="E151" s="48">
        <v>145.0</v>
      </c>
      <c r="F151" s="48">
        <v>260.0</v>
      </c>
      <c r="G151" s="49">
        <f t="shared" si="11"/>
        <v>12.2525</v>
      </c>
      <c r="H151" s="49">
        <f t="shared" si="12"/>
        <v>471.25</v>
      </c>
      <c r="I151" s="48" t="s">
        <v>170</v>
      </c>
      <c r="J151" s="48" t="s">
        <v>235</v>
      </c>
      <c r="K151" s="50" t="s">
        <v>305</v>
      </c>
      <c r="L151" s="51">
        <v>55.0</v>
      </c>
      <c r="M151" s="50" t="s">
        <v>547</v>
      </c>
      <c r="N151" s="51" t="s">
        <v>174</v>
      </c>
      <c r="O151" s="48">
        <v>315.0</v>
      </c>
      <c r="P151" s="48">
        <v>155.0</v>
      </c>
      <c r="Q151" s="48">
        <v>55.0</v>
      </c>
      <c r="R151" s="48">
        <v>2.0</v>
      </c>
      <c r="S151" s="50" t="s">
        <v>166</v>
      </c>
      <c r="T151" s="52" t="s">
        <v>167</v>
      </c>
      <c r="U151" s="52" t="s">
        <v>324</v>
      </c>
      <c r="V151" s="51">
        <v>2.0</v>
      </c>
      <c r="W151" s="48" t="s">
        <v>166</v>
      </c>
      <c r="X151" s="50" t="s">
        <v>166</v>
      </c>
      <c r="Y151" s="51" t="s">
        <v>166</v>
      </c>
      <c r="Z151" s="48" t="s">
        <v>166</v>
      </c>
      <c r="AA151" s="48" t="s">
        <v>166</v>
      </c>
      <c r="AB151" s="48" t="s">
        <v>166</v>
      </c>
      <c r="AC151" s="48">
        <v>3.0</v>
      </c>
      <c r="AD151" s="48" t="s">
        <v>166</v>
      </c>
      <c r="AE151" s="54" t="s">
        <v>166</v>
      </c>
      <c r="AF151" s="55" t="s">
        <v>166</v>
      </c>
      <c r="AG151" s="51" t="s">
        <v>166</v>
      </c>
      <c r="AH151" s="48" t="s">
        <v>166</v>
      </c>
      <c r="AI151" s="48" t="s">
        <v>166</v>
      </c>
      <c r="AJ151" s="50" t="s">
        <v>166</v>
      </c>
      <c r="AK151" s="56">
        <v>328.0</v>
      </c>
      <c r="AL151" s="57">
        <f>AK151*Sheets!$E$3</f>
        <v>45.213324</v>
      </c>
      <c r="AM151" s="68"/>
      <c r="AN151" s="70"/>
      <c r="AO151" s="71" t="s">
        <v>181</v>
      </c>
      <c r="AP151" s="72">
        <v>45446.49241931713</v>
      </c>
      <c r="AQ151" s="66"/>
    </row>
    <row r="152">
      <c r="A152" s="82" t="s">
        <v>904</v>
      </c>
      <c r="B152" s="62" t="s">
        <v>1017</v>
      </c>
      <c r="C152" s="63" t="s">
        <v>248</v>
      </c>
      <c r="D152" s="48">
        <v>330.0</v>
      </c>
      <c r="E152" s="48">
        <v>149.0</v>
      </c>
      <c r="F152" s="48">
        <v>250.0</v>
      </c>
      <c r="G152" s="49">
        <f t="shared" si="11"/>
        <v>12.2925</v>
      </c>
      <c r="H152" s="49">
        <f t="shared" si="12"/>
        <v>491.7</v>
      </c>
      <c r="I152" s="48" t="s">
        <v>170</v>
      </c>
      <c r="J152" s="48" t="s">
        <v>164</v>
      </c>
      <c r="K152" s="50" t="s">
        <v>164</v>
      </c>
      <c r="L152" s="51">
        <v>55.0</v>
      </c>
      <c r="M152" s="50" t="s">
        <v>547</v>
      </c>
      <c r="N152" s="51" t="s">
        <v>174</v>
      </c>
      <c r="O152" s="48">
        <v>305.0</v>
      </c>
      <c r="P152" s="48">
        <v>140.0</v>
      </c>
      <c r="Q152" s="48">
        <v>60.0</v>
      </c>
      <c r="R152" s="48">
        <v>2.0</v>
      </c>
      <c r="S152" s="50" t="s">
        <v>166</v>
      </c>
      <c r="T152" s="52" t="s">
        <v>167</v>
      </c>
      <c r="U152" s="52" t="s">
        <v>346</v>
      </c>
      <c r="V152" s="51" t="s">
        <v>412</v>
      </c>
      <c r="W152" s="48" t="s">
        <v>166</v>
      </c>
      <c r="X152" s="50" t="s">
        <v>166</v>
      </c>
      <c r="Y152" s="51" t="s">
        <v>166</v>
      </c>
      <c r="Z152" s="48" t="s">
        <v>166</v>
      </c>
      <c r="AA152" s="48" t="s">
        <v>166</v>
      </c>
      <c r="AB152" s="48" t="s">
        <v>166</v>
      </c>
      <c r="AC152" s="48">
        <v>2.0</v>
      </c>
      <c r="AD152" s="48" t="s">
        <v>166</v>
      </c>
      <c r="AE152" s="54" t="s">
        <v>166</v>
      </c>
      <c r="AF152" s="55" t="s">
        <v>166</v>
      </c>
      <c r="AG152" s="51" t="s">
        <v>166</v>
      </c>
      <c r="AH152" s="48">
        <v>2.0</v>
      </c>
      <c r="AI152" s="48">
        <v>1.0</v>
      </c>
      <c r="AJ152" s="50" t="s">
        <v>174</v>
      </c>
      <c r="AK152" s="56">
        <v>1699.0</v>
      </c>
      <c r="AL152" s="57">
        <v>359.0</v>
      </c>
      <c r="AM152" s="58"/>
      <c r="AN152" s="59"/>
      <c r="AO152" s="60"/>
      <c r="AP152" s="60"/>
      <c r="AQ152" s="66"/>
    </row>
    <row r="153">
      <c r="A153" s="69" t="str">
        <f>HYPERLINK("https://shop320774212.world.taobao.com/","Critical")</f>
        <v>Critical</v>
      </c>
      <c r="B153" s="46" t="str">
        <f>HYPERLINK("https://item.taobao.com/item.htm?id=607353416922","CP-3")</f>
        <v>CP-3</v>
      </c>
      <c r="C153" s="63" t="s">
        <v>262</v>
      </c>
      <c r="D153" s="48">
        <v>322.0</v>
      </c>
      <c r="E153" s="48">
        <v>157.0</v>
      </c>
      <c r="F153" s="48">
        <v>245.0</v>
      </c>
      <c r="G153" s="49">
        <f t="shared" si="11"/>
        <v>12.38573</v>
      </c>
      <c r="H153" s="49">
        <f t="shared" si="12"/>
        <v>505.54</v>
      </c>
      <c r="I153" s="48" t="s">
        <v>170</v>
      </c>
      <c r="J153" s="48" t="s">
        <v>245</v>
      </c>
      <c r="K153" s="50" t="s">
        <v>978</v>
      </c>
      <c r="L153" s="51">
        <v>136.0</v>
      </c>
      <c r="M153" s="50" t="s">
        <v>166</v>
      </c>
      <c r="N153" s="51" t="s">
        <v>166</v>
      </c>
      <c r="O153" s="48">
        <v>316.0</v>
      </c>
      <c r="P153" s="48">
        <v>142.0</v>
      </c>
      <c r="Q153" s="48">
        <v>61.0</v>
      </c>
      <c r="R153" s="48">
        <v>2.0</v>
      </c>
      <c r="S153" s="50" t="s">
        <v>166</v>
      </c>
      <c r="T153" s="52" t="s">
        <v>167</v>
      </c>
      <c r="U153" s="52" t="s">
        <v>324</v>
      </c>
      <c r="V153" s="51" t="s">
        <v>1018</v>
      </c>
      <c r="W153" s="48" t="s">
        <v>193</v>
      </c>
      <c r="X153" s="50" t="s">
        <v>166</v>
      </c>
      <c r="Y153" s="51" t="s">
        <v>166</v>
      </c>
      <c r="Z153" s="48" t="s">
        <v>166</v>
      </c>
      <c r="AA153" s="48" t="s">
        <v>166</v>
      </c>
      <c r="AB153" s="48">
        <v>1.0</v>
      </c>
      <c r="AC153" s="48" t="s">
        <v>166</v>
      </c>
      <c r="AD153" s="48" t="s">
        <v>166</v>
      </c>
      <c r="AE153" s="54" t="s">
        <v>166</v>
      </c>
      <c r="AF153" s="55" t="s">
        <v>166</v>
      </c>
      <c r="AG153" s="51" t="s">
        <v>166</v>
      </c>
      <c r="AH153" s="48">
        <v>2.0</v>
      </c>
      <c r="AI153" s="48" t="s">
        <v>166</v>
      </c>
      <c r="AJ153" s="50" t="s">
        <v>174</v>
      </c>
      <c r="AK153" s="56">
        <v>387.0</v>
      </c>
      <c r="AL153" s="57">
        <f>AK153*Sheets!$E$3</f>
        <v>53.3462085</v>
      </c>
      <c r="AM153" s="68"/>
      <c r="AN153" s="70"/>
      <c r="AO153" s="71"/>
      <c r="AP153" s="72">
        <v>44696.9638696412</v>
      </c>
      <c r="AQ153" s="66"/>
    </row>
    <row r="154">
      <c r="A154" s="61" t="s">
        <v>178</v>
      </c>
      <c r="B154" s="67" t="s">
        <v>1019</v>
      </c>
      <c r="C154" s="63" t="s">
        <v>282</v>
      </c>
      <c r="D154" s="48">
        <v>185.0</v>
      </c>
      <c r="E154" s="48">
        <v>197.0</v>
      </c>
      <c r="F154" s="48">
        <v>340.0</v>
      </c>
      <c r="G154" s="49">
        <f t="shared" si="11"/>
        <v>12.3913</v>
      </c>
      <c r="H154" s="49">
        <f t="shared" si="12"/>
        <v>364.45</v>
      </c>
      <c r="I154" s="48">
        <v>2.0</v>
      </c>
      <c r="J154" s="48" t="s">
        <v>282</v>
      </c>
      <c r="K154" s="50" t="s">
        <v>1020</v>
      </c>
      <c r="L154" s="51" t="s">
        <v>282</v>
      </c>
      <c r="M154" s="50" t="s">
        <v>547</v>
      </c>
      <c r="N154" s="51" t="s">
        <v>166</v>
      </c>
      <c r="O154" s="48" t="s">
        <v>282</v>
      </c>
      <c r="P154" s="48" t="s">
        <v>282</v>
      </c>
      <c r="Q154" s="48" t="s">
        <v>282</v>
      </c>
      <c r="R154" s="48">
        <v>2.0</v>
      </c>
      <c r="S154" s="50" t="s">
        <v>166</v>
      </c>
      <c r="T154" s="52" t="s">
        <v>227</v>
      </c>
      <c r="U154" s="52" t="s">
        <v>346</v>
      </c>
      <c r="V154" s="51">
        <v>1.0</v>
      </c>
      <c r="W154" s="48" t="s">
        <v>166</v>
      </c>
      <c r="X154" s="50" t="s">
        <v>166</v>
      </c>
      <c r="Y154" s="51" t="s">
        <v>166</v>
      </c>
      <c r="Z154" s="48" t="s">
        <v>166</v>
      </c>
      <c r="AA154" s="48" t="s">
        <v>166</v>
      </c>
      <c r="AB154" s="48" t="s">
        <v>166</v>
      </c>
      <c r="AC154" s="48" t="s">
        <v>193</v>
      </c>
      <c r="AD154" s="48" t="s">
        <v>166</v>
      </c>
      <c r="AE154" s="54" t="s">
        <v>166</v>
      </c>
      <c r="AF154" s="55" t="s">
        <v>166</v>
      </c>
      <c r="AG154" s="51" t="s">
        <v>166</v>
      </c>
      <c r="AH154" s="48" t="s">
        <v>166</v>
      </c>
      <c r="AI154" s="48" t="s">
        <v>166</v>
      </c>
      <c r="AJ154" s="50" t="s">
        <v>166</v>
      </c>
      <c r="AK154" s="56" t="s">
        <v>166</v>
      </c>
      <c r="AL154" s="57">
        <v>79.0</v>
      </c>
      <c r="AM154" s="58"/>
      <c r="AN154" s="59"/>
      <c r="AO154" s="71" t="s">
        <v>181</v>
      </c>
      <c r="AP154" s="65">
        <v>45184.71155278935</v>
      </c>
      <c r="AQ154" s="66"/>
    </row>
    <row r="155">
      <c r="A155" s="46" t="s">
        <v>594</v>
      </c>
      <c r="B155" s="46" t="s">
        <v>1021</v>
      </c>
      <c r="C155" s="63" t="s">
        <v>248</v>
      </c>
      <c r="D155" s="48">
        <v>340.0</v>
      </c>
      <c r="E155" s="48">
        <v>149.0</v>
      </c>
      <c r="F155" s="48">
        <v>245.0</v>
      </c>
      <c r="G155" s="49">
        <f t="shared" si="11"/>
        <v>12.4117</v>
      </c>
      <c r="H155" s="49">
        <f t="shared" si="12"/>
        <v>506.6</v>
      </c>
      <c r="I155" s="48">
        <v>2.75</v>
      </c>
      <c r="J155" s="48" t="s">
        <v>240</v>
      </c>
      <c r="K155" s="50" t="s">
        <v>375</v>
      </c>
      <c r="L155" s="51">
        <v>60.0</v>
      </c>
      <c r="M155" s="50" t="s">
        <v>547</v>
      </c>
      <c r="N155" s="51" t="s">
        <v>174</v>
      </c>
      <c r="O155" s="48">
        <v>337.0</v>
      </c>
      <c r="P155" s="48" t="s">
        <v>170</v>
      </c>
      <c r="Q155" s="48">
        <v>60.0</v>
      </c>
      <c r="R155" s="48">
        <v>3.0</v>
      </c>
      <c r="S155" s="50" t="s">
        <v>166</v>
      </c>
      <c r="T155" s="52" t="s">
        <v>167</v>
      </c>
      <c r="U155" s="52" t="s">
        <v>346</v>
      </c>
      <c r="V155" s="51">
        <v>1.0</v>
      </c>
      <c r="W155" s="48">
        <v>1.0</v>
      </c>
      <c r="X155" s="50" t="s">
        <v>166</v>
      </c>
      <c r="Y155" s="51" t="s">
        <v>166</v>
      </c>
      <c r="Z155" s="48" t="s">
        <v>166</v>
      </c>
      <c r="AA155" s="48" t="s">
        <v>166</v>
      </c>
      <c r="AB155" s="48" t="s">
        <v>166</v>
      </c>
      <c r="AC155" s="48">
        <v>2.0</v>
      </c>
      <c r="AD155" s="48" t="s">
        <v>166</v>
      </c>
      <c r="AE155" s="54" t="s">
        <v>166</v>
      </c>
      <c r="AF155" s="55" t="s">
        <v>166</v>
      </c>
      <c r="AG155" s="51" t="s">
        <v>166</v>
      </c>
      <c r="AH155" s="48">
        <v>2.0</v>
      </c>
      <c r="AI155" s="48">
        <v>1.0</v>
      </c>
      <c r="AJ155" s="50" t="s">
        <v>166</v>
      </c>
      <c r="AK155" s="56">
        <v>399.0</v>
      </c>
      <c r="AL155" s="57">
        <f>AK155*Sheets!$E$3</f>
        <v>55.0003545</v>
      </c>
      <c r="AM155" s="58"/>
      <c r="AN155" s="59"/>
      <c r="AO155" s="60"/>
      <c r="AP155" s="65">
        <v>45293.8570934375</v>
      </c>
      <c r="AQ155" s="66"/>
    </row>
    <row r="156">
      <c r="A156" s="82" t="str">
        <f>HYPERLINK("https://www.geeekstore.com/","GEEEK")</f>
        <v>GEEEK</v>
      </c>
      <c r="B156" s="62" t="s">
        <v>1022</v>
      </c>
      <c r="C156" s="63" t="s">
        <v>248</v>
      </c>
      <c r="D156" s="48">
        <v>345.0</v>
      </c>
      <c r="E156" s="48">
        <v>150.0</v>
      </c>
      <c r="F156" s="48">
        <v>240.0</v>
      </c>
      <c r="G156" s="49">
        <f t="shared" si="11"/>
        <v>12.42</v>
      </c>
      <c r="H156" s="49">
        <f t="shared" si="12"/>
        <v>517.5</v>
      </c>
      <c r="I156" s="48" t="s">
        <v>170</v>
      </c>
      <c r="J156" s="48" t="s">
        <v>164</v>
      </c>
      <c r="K156" s="50" t="s">
        <v>375</v>
      </c>
      <c r="L156" s="51">
        <v>68.0</v>
      </c>
      <c r="M156" s="50" t="s">
        <v>547</v>
      </c>
      <c r="N156" s="51" t="s">
        <v>174</v>
      </c>
      <c r="O156" s="48">
        <v>330.0</v>
      </c>
      <c r="P156" s="48">
        <v>150.0</v>
      </c>
      <c r="Q156" s="48">
        <v>65.0</v>
      </c>
      <c r="R156" s="48">
        <v>2.0</v>
      </c>
      <c r="S156" s="50" t="s">
        <v>166</v>
      </c>
      <c r="T156" s="52" t="s">
        <v>167</v>
      </c>
      <c r="U156" s="52" t="s">
        <v>346</v>
      </c>
      <c r="V156" s="51" t="s">
        <v>194</v>
      </c>
      <c r="W156" s="48" t="s">
        <v>194</v>
      </c>
      <c r="X156" s="50" t="s">
        <v>166</v>
      </c>
      <c r="Y156" s="51" t="s">
        <v>166</v>
      </c>
      <c r="Z156" s="48" t="s">
        <v>166</v>
      </c>
      <c r="AA156" s="48" t="s">
        <v>166</v>
      </c>
      <c r="AB156" s="48" t="s">
        <v>166</v>
      </c>
      <c r="AC156" s="48" t="s">
        <v>278</v>
      </c>
      <c r="AD156" s="48" t="s">
        <v>278</v>
      </c>
      <c r="AE156" s="54" t="s">
        <v>166</v>
      </c>
      <c r="AF156" s="55" t="s">
        <v>166</v>
      </c>
      <c r="AG156" s="51" t="s">
        <v>166</v>
      </c>
      <c r="AH156" s="48" t="s">
        <v>166</v>
      </c>
      <c r="AI156" s="48">
        <v>1.0</v>
      </c>
      <c r="AJ156" s="50" t="s">
        <v>166</v>
      </c>
      <c r="AK156" s="56" t="s">
        <v>166</v>
      </c>
      <c r="AL156" s="57">
        <v>119.0</v>
      </c>
      <c r="AM156" s="68"/>
      <c r="AN156" s="64"/>
      <c r="AO156" s="60"/>
      <c r="AP156" s="60"/>
      <c r="AQ156" s="66"/>
    </row>
    <row r="157">
      <c r="A157" s="83" t="str">
        <f>HYPERLINK("http://www.louqe.com/","Louqe")</f>
        <v>Louqe</v>
      </c>
      <c r="B157" s="62" t="s">
        <v>1023</v>
      </c>
      <c r="C157" s="63" t="s">
        <v>248</v>
      </c>
      <c r="D157" s="48">
        <v>191.0</v>
      </c>
      <c r="E157" s="48">
        <v>172.0</v>
      </c>
      <c r="F157" s="48">
        <v>379.0</v>
      </c>
      <c r="G157" s="49">
        <f t="shared" si="11"/>
        <v>12.450908</v>
      </c>
      <c r="H157" s="49">
        <f t="shared" si="12"/>
        <v>328.52</v>
      </c>
      <c r="I157" s="48">
        <v>3.2</v>
      </c>
      <c r="J157" s="48" t="s">
        <v>164</v>
      </c>
      <c r="K157" s="50" t="s">
        <v>1024</v>
      </c>
      <c r="L157" s="51">
        <v>75.0</v>
      </c>
      <c r="M157" s="50" t="s">
        <v>166</v>
      </c>
      <c r="N157" s="51" t="s">
        <v>174</v>
      </c>
      <c r="O157" s="48">
        <v>320.0</v>
      </c>
      <c r="P157" s="48">
        <v>145.0</v>
      </c>
      <c r="Q157" s="48">
        <v>65.0</v>
      </c>
      <c r="R157" s="48">
        <v>3.0</v>
      </c>
      <c r="S157" s="50" t="s">
        <v>166</v>
      </c>
      <c r="T157" s="52" t="s">
        <v>167</v>
      </c>
      <c r="U157" s="52" t="s">
        <v>346</v>
      </c>
      <c r="V157" s="51">
        <v>1.0</v>
      </c>
      <c r="W157" s="48" t="s">
        <v>166</v>
      </c>
      <c r="X157" s="50" t="s">
        <v>166</v>
      </c>
      <c r="Y157" s="51" t="s">
        <v>166</v>
      </c>
      <c r="Z157" s="48" t="s">
        <v>166</v>
      </c>
      <c r="AA157" s="48" t="s">
        <v>166</v>
      </c>
      <c r="AB157" s="48" t="s">
        <v>166</v>
      </c>
      <c r="AC157" s="48">
        <v>1.0</v>
      </c>
      <c r="AD157" s="48">
        <v>1.0</v>
      </c>
      <c r="AE157" s="54" t="s">
        <v>166</v>
      </c>
      <c r="AF157" s="55" t="s">
        <v>166</v>
      </c>
      <c r="AG157" s="51" t="s">
        <v>166</v>
      </c>
      <c r="AH157" s="48" t="s">
        <v>166</v>
      </c>
      <c r="AI157" s="48">
        <v>1.0</v>
      </c>
      <c r="AJ157" s="50" t="s">
        <v>166</v>
      </c>
      <c r="AK157" s="56" t="s">
        <v>166</v>
      </c>
      <c r="AL157" s="57">
        <v>329.0</v>
      </c>
      <c r="AM157" s="58"/>
      <c r="AN157" s="59"/>
      <c r="AO157" s="60"/>
      <c r="AP157" s="60"/>
      <c r="AQ157" s="66"/>
    </row>
    <row r="158">
      <c r="A158" s="69" t="str">
        <f>HYPERLINK("https://metalfish.world.taobao.com/","Metalfish")</f>
        <v>Metalfish</v>
      </c>
      <c r="B158" s="73" t="s">
        <v>1025</v>
      </c>
      <c r="C158" s="63" t="s">
        <v>262</v>
      </c>
      <c r="D158" s="48">
        <v>300.0</v>
      </c>
      <c r="E158" s="48">
        <v>160.0</v>
      </c>
      <c r="F158" s="48">
        <v>260.0</v>
      </c>
      <c r="G158" s="49">
        <f t="shared" si="11"/>
        <v>12.48</v>
      </c>
      <c r="H158" s="49">
        <f t="shared" si="12"/>
        <v>480</v>
      </c>
      <c r="I158" s="48">
        <v>1.4</v>
      </c>
      <c r="J158" s="48" t="s">
        <v>597</v>
      </c>
      <c r="K158" s="50" t="s">
        <v>305</v>
      </c>
      <c r="L158" s="51">
        <v>135.0</v>
      </c>
      <c r="M158" s="50" t="s">
        <v>166</v>
      </c>
      <c r="N158" s="51" t="s">
        <v>166</v>
      </c>
      <c r="O158" s="48">
        <v>290.0</v>
      </c>
      <c r="P158" s="48">
        <v>140.0</v>
      </c>
      <c r="Q158" s="48">
        <v>80.0</v>
      </c>
      <c r="R158" s="48">
        <v>4.0</v>
      </c>
      <c r="S158" s="50" t="s">
        <v>166</v>
      </c>
      <c r="T158" s="52" t="s">
        <v>730</v>
      </c>
      <c r="U158" s="52" t="s">
        <v>346</v>
      </c>
      <c r="V158" s="51">
        <v>1.0</v>
      </c>
      <c r="W158" s="48" t="s">
        <v>193</v>
      </c>
      <c r="X158" s="50" t="s">
        <v>166</v>
      </c>
      <c r="Y158" s="51" t="s">
        <v>166</v>
      </c>
      <c r="Z158" s="48" t="s">
        <v>166</v>
      </c>
      <c r="AA158" s="48" t="s">
        <v>166</v>
      </c>
      <c r="AB158" s="48" t="s">
        <v>412</v>
      </c>
      <c r="AC158" s="48" t="s">
        <v>207</v>
      </c>
      <c r="AD158" s="48" t="s">
        <v>166</v>
      </c>
      <c r="AE158" s="54" t="s">
        <v>166</v>
      </c>
      <c r="AF158" s="55" t="s">
        <v>166</v>
      </c>
      <c r="AG158" s="51" t="s">
        <v>166</v>
      </c>
      <c r="AH158" s="48">
        <v>2.0</v>
      </c>
      <c r="AI158" s="48" t="s">
        <v>166</v>
      </c>
      <c r="AJ158" s="50" t="s">
        <v>166</v>
      </c>
      <c r="AK158" s="56">
        <v>359.0</v>
      </c>
      <c r="AL158" s="57">
        <f>AK158*Sheets!$E$3</f>
        <v>49.4865345</v>
      </c>
      <c r="AM158" s="68"/>
      <c r="AN158" s="70"/>
      <c r="AO158" s="71" t="s">
        <v>181</v>
      </c>
      <c r="AP158" s="72">
        <v>45071.556986041665</v>
      </c>
      <c r="AQ158" s="66"/>
    </row>
    <row r="159">
      <c r="A159" s="82" t="str">
        <f>HYPERLINK("http://www.jonsbo.com/en/","Jonsbo")</f>
        <v>Jonsbo</v>
      </c>
      <c r="B159" s="62" t="s">
        <v>1026</v>
      </c>
      <c r="C159" s="63" t="s">
        <v>262</v>
      </c>
      <c r="D159" s="48">
        <v>272.0</v>
      </c>
      <c r="E159" s="48">
        <v>163.0</v>
      </c>
      <c r="F159" s="48">
        <v>282.0</v>
      </c>
      <c r="G159" s="49">
        <f t="shared" si="11"/>
        <v>12.502752</v>
      </c>
      <c r="H159" s="49">
        <f t="shared" si="12"/>
        <v>443.36</v>
      </c>
      <c r="I159" s="48">
        <v>3.2</v>
      </c>
      <c r="J159" s="48" t="s">
        <v>597</v>
      </c>
      <c r="K159" s="50" t="s">
        <v>1027</v>
      </c>
      <c r="L159" s="51">
        <v>135.0</v>
      </c>
      <c r="M159" s="50" t="s">
        <v>166</v>
      </c>
      <c r="N159" s="51" t="s">
        <v>166</v>
      </c>
      <c r="O159" s="48">
        <v>270.0</v>
      </c>
      <c r="P159" s="48">
        <v>140.0</v>
      </c>
      <c r="Q159" s="48">
        <v>60.0</v>
      </c>
      <c r="R159" s="48">
        <v>3.0</v>
      </c>
      <c r="S159" s="50" t="s">
        <v>166</v>
      </c>
      <c r="T159" s="52" t="s">
        <v>167</v>
      </c>
      <c r="U159" s="52" t="s">
        <v>599</v>
      </c>
      <c r="V159" s="51" t="s">
        <v>562</v>
      </c>
      <c r="W159" s="48" t="s">
        <v>166</v>
      </c>
      <c r="X159" s="50" t="s">
        <v>166</v>
      </c>
      <c r="Y159" s="51" t="s">
        <v>166</v>
      </c>
      <c r="Z159" s="48" t="s">
        <v>166</v>
      </c>
      <c r="AA159" s="48" t="s">
        <v>166</v>
      </c>
      <c r="AB159" s="48" t="s">
        <v>166</v>
      </c>
      <c r="AC159" s="48" t="s">
        <v>207</v>
      </c>
      <c r="AD159" s="48">
        <v>1.0</v>
      </c>
      <c r="AE159" s="54" t="s">
        <v>166</v>
      </c>
      <c r="AF159" s="55" t="s">
        <v>166</v>
      </c>
      <c r="AG159" s="51" t="s">
        <v>166</v>
      </c>
      <c r="AH159" s="48">
        <v>1.0</v>
      </c>
      <c r="AI159" s="48">
        <v>1.0</v>
      </c>
      <c r="AJ159" s="50" t="s">
        <v>166</v>
      </c>
      <c r="AK159" s="56" t="s">
        <v>166</v>
      </c>
      <c r="AL159" s="57" t="s">
        <v>170</v>
      </c>
      <c r="AM159" s="68"/>
      <c r="AN159" s="59"/>
      <c r="AO159" s="60"/>
      <c r="AP159" s="65">
        <v>45071.557007083335</v>
      </c>
      <c r="AQ159" s="66"/>
    </row>
    <row r="160">
      <c r="A160" s="91" t="s">
        <v>1028</v>
      </c>
      <c r="B160" s="67" t="s">
        <v>1029</v>
      </c>
      <c r="C160" s="63" t="s">
        <v>248</v>
      </c>
      <c r="D160" s="48">
        <v>372.0</v>
      </c>
      <c r="E160" s="48">
        <v>161.0</v>
      </c>
      <c r="F160" s="48">
        <v>209.0</v>
      </c>
      <c r="G160" s="49">
        <f t="shared" si="11"/>
        <v>12.517428</v>
      </c>
      <c r="H160" s="49">
        <f t="shared" si="12"/>
        <v>598.92</v>
      </c>
      <c r="I160" s="48" t="s">
        <v>170</v>
      </c>
      <c r="J160" s="48" t="s">
        <v>1030</v>
      </c>
      <c r="K160" s="50" t="s">
        <v>1031</v>
      </c>
      <c r="L160" s="51">
        <v>74.0</v>
      </c>
      <c r="M160" s="50" t="s">
        <v>825</v>
      </c>
      <c r="N160" s="51" t="s">
        <v>174</v>
      </c>
      <c r="O160" s="48">
        <v>300.0</v>
      </c>
      <c r="P160" s="48" t="s">
        <v>170</v>
      </c>
      <c r="Q160" s="48">
        <v>70.0</v>
      </c>
      <c r="R160" s="48">
        <v>3.0</v>
      </c>
      <c r="S160" s="50" t="s">
        <v>166</v>
      </c>
      <c r="T160" s="52" t="s">
        <v>167</v>
      </c>
      <c r="U160" s="52" t="s">
        <v>346</v>
      </c>
      <c r="V160" s="51">
        <v>2.0</v>
      </c>
      <c r="W160" s="48" t="s">
        <v>278</v>
      </c>
      <c r="X160" s="50" t="s">
        <v>166</v>
      </c>
      <c r="Y160" s="51" t="s">
        <v>166</v>
      </c>
      <c r="Z160" s="48" t="s">
        <v>166</v>
      </c>
      <c r="AA160" s="48" t="s">
        <v>166</v>
      </c>
      <c r="AB160" s="48" t="s">
        <v>166</v>
      </c>
      <c r="AC160" s="48" t="s">
        <v>278</v>
      </c>
      <c r="AD160" s="48" t="s">
        <v>278</v>
      </c>
      <c r="AE160" s="54" t="s">
        <v>166</v>
      </c>
      <c r="AF160" s="55" t="s">
        <v>166</v>
      </c>
      <c r="AG160" s="51" t="s">
        <v>166</v>
      </c>
      <c r="AH160" s="48" t="s">
        <v>166</v>
      </c>
      <c r="AI160" s="48" t="s">
        <v>166</v>
      </c>
      <c r="AJ160" s="50" t="s">
        <v>166</v>
      </c>
      <c r="AK160" s="56" t="s">
        <v>166</v>
      </c>
      <c r="AL160" s="57" t="s">
        <v>170</v>
      </c>
      <c r="AM160" s="64" t="str">
        <f>HYPERLINK("https://smallformfactor.net/forum/threads/preorder-dice-cases-flow-expandable-sff-case-for-watercooling-enthusiast-built-in-distroplate.10743/","Link")</f>
        <v>Link</v>
      </c>
      <c r="AN160" s="70"/>
      <c r="AO160" s="71" t="s">
        <v>181</v>
      </c>
      <c r="AP160" s="65">
        <v>44717.939228206014</v>
      </c>
      <c r="AQ160" s="66"/>
    </row>
    <row r="161">
      <c r="A161" s="69" t="str">
        <f>HYPERLINK("https://shop34001191.world.taobao.com/","Mechanic Master")</f>
        <v>Mechanic Master</v>
      </c>
      <c r="B161" s="73" t="s">
        <v>1032</v>
      </c>
      <c r="C161" s="63" t="s">
        <v>248</v>
      </c>
      <c r="D161" s="48">
        <v>247.0</v>
      </c>
      <c r="E161" s="48">
        <v>137.0</v>
      </c>
      <c r="F161" s="48">
        <v>370.0</v>
      </c>
      <c r="G161" s="49">
        <f t="shared" si="11"/>
        <v>12.52043</v>
      </c>
      <c r="H161" s="49">
        <f t="shared" si="12"/>
        <v>338.39</v>
      </c>
      <c r="I161" s="48" t="s">
        <v>170</v>
      </c>
      <c r="J161" s="48" t="s">
        <v>597</v>
      </c>
      <c r="K161" s="50" t="s">
        <v>185</v>
      </c>
      <c r="L161" s="51">
        <v>65.0</v>
      </c>
      <c r="M161" s="50" t="s">
        <v>547</v>
      </c>
      <c r="N161" s="51" t="s">
        <v>174</v>
      </c>
      <c r="O161" s="48">
        <v>320.0</v>
      </c>
      <c r="P161" s="48" t="s">
        <v>170</v>
      </c>
      <c r="Q161" s="48">
        <v>56.0</v>
      </c>
      <c r="R161" s="48">
        <v>2.0</v>
      </c>
      <c r="S161" s="50" t="s">
        <v>166</v>
      </c>
      <c r="T161" s="52" t="s">
        <v>167</v>
      </c>
      <c r="U161" s="52" t="s">
        <v>324</v>
      </c>
      <c r="V161" s="51">
        <v>4.0</v>
      </c>
      <c r="W161" s="48" t="s">
        <v>166</v>
      </c>
      <c r="X161" s="50" t="s">
        <v>166</v>
      </c>
      <c r="Y161" s="51" t="s">
        <v>166</v>
      </c>
      <c r="Z161" s="48" t="s">
        <v>166</v>
      </c>
      <c r="AA161" s="48" t="s">
        <v>166</v>
      </c>
      <c r="AB161" s="48" t="s">
        <v>166</v>
      </c>
      <c r="AC161" s="48">
        <v>2.0</v>
      </c>
      <c r="AD161" s="48" t="s">
        <v>166</v>
      </c>
      <c r="AE161" s="54" t="s">
        <v>166</v>
      </c>
      <c r="AF161" s="55" t="s">
        <v>166</v>
      </c>
      <c r="AG161" s="51" t="s">
        <v>166</v>
      </c>
      <c r="AH161" s="48">
        <v>2.0</v>
      </c>
      <c r="AI161" s="48" t="s">
        <v>166</v>
      </c>
      <c r="AJ161" s="50" t="s">
        <v>166</v>
      </c>
      <c r="AK161" s="56">
        <v>799.0</v>
      </c>
      <c r="AL161" s="57">
        <f>AK161*Sheets!$E$3</f>
        <v>110.1385545</v>
      </c>
      <c r="AM161" s="68"/>
      <c r="AN161" s="70"/>
      <c r="AO161" s="71" t="s">
        <v>181</v>
      </c>
      <c r="AP161" s="71"/>
      <c r="AQ161" s="66"/>
    </row>
    <row r="162">
      <c r="A162" s="69" t="s">
        <v>509</v>
      </c>
      <c r="B162" s="46" t="s">
        <v>1033</v>
      </c>
      <c r="C162" s="63" t="s">
        <v>262</v>
      </c>
      <c r="D162" s="48">
        <v>295.0</v>
      </c>
      <c r="E162" s="48">
        <v>166.0</v>
      </c>
      <c r="F162" s="48">
        <v>256.0</v>
      </c>
      <c r="G162" s="49">
        <f t="shared" si="11"/>
        <v>12.53632</v>
      </c>
      <c r="H162" s="49">
        <f t="shared" si="12"/>
        <v>489.7</v>
      </c>
      <c r="I162" s="48">
        <v>4.9</v>
      </c>
      <c r="J162" s="48" t="s">
        <v>597</v>
      </c>
      <c r="K162" s="50" t="s">
        <v>1034</v>
      </c>
      <c r="L162" s="51">
        <v>135.0</v>
      </c>
      <c r="M162" s="50" t="s">
        <v>166</v>
      </c>
      <c r="N162" s="51" t="s">
        <v>166</v>
      </c>
      <c r="O162" s="48">
        <v>280.0</v>
      </c>
      <c r="P162" s="48">
        <v>140.0</v>
      </c>
      <c r="Q162" s="48">
        <v>55.0</v>
      </c>
      <c r="R162" s="48">
        <v>2.0</v>
      </c>
      <c r="S162" s="50" t="s">
        <v>166</v>
      </c>
      <c r="T162" s="52" t="s">
        <v>167</v>
      </c>
      <c r="U162" s="52" t="s">
        <v>324</v>
      </c>
      <c r="V162" s="51">
        <v>3.0</v>
      </c>
      <c r="W162" s="48" t="s">
        <v>166</v>
      </c>
      <c r="X162" s="50" t="s">
        <v>166</v>
      </c>
      <c r="Y162" s="51" t="s">
        <v>166</v>
      </c>
      <c r="Z162" s="48" t="s">
        <v>166</v>
      </c>
      <c r="AA162" s="48" t="s">
        <v>166</v>
      </c>
      <c r="AB162" s="48">
        <v>2.0</v>
      </c>
      <c r="AC162" s="48" t="s">
        <v>207</v>
      </c>
      <c r="AD162" s="48" t="s">
        <v>166</v>
      </c>
      <c r="AE162" s="54" t="s">
        <v>166</v>
      </c>
      <c r="AF162" s="55" t="s">
        <v>166</v>
      </c>
      <c r="AG162" s="51" t="s">
        <v>166</v>
      </c>
      <c r="AH162" s="48" t="s">
        <v>166</v>
      </c>
      <c r="AI162" s="48">
        <v>1.0</v>
      </c>
      <c r="AJ162" s="50" t="s">
        <v>166</v>
      </c>
      <c r="AK162" s="56">
        <v>1299.0</v>
      </c>
      <c r="AL162" s="57">
        <f>AK162*Sheets!$E$3</f>
        <v>179.0613045</v>
      </c>
      <c r="AM162" s="58"/>
      <c r="AN162" s="59"/>
      <c r="AO162" s="60"/>
      <c r="AP162" s="65">
        <v>45071.55703350695</v>
      </c>
      <c r="AQ162" s="66"/>
    </row>
    <row r="163">
      <c r="A163" s="82" t="str">
        <f>HYPERLINK("https://www.geeekstore.com/","GEEEK")</f>
        <v>GEEEK</v>
      </c>
      <c r="B163" s="62" t="str">
        <f>HYPERLINK("https://www.geeekstore.com/shop/a60-plus-mini-itx-case/","A60 Plus")</f>
        <v>A60 Plus</v>
      </c>
      <c r="C163" s="63" t="s">
        <v>248</v>
      </c>
      <c r="D163" s="48">
        <v>330.0</v>
      </c>
      <c r="E163" s="48">
        <v>150.0</v>
      </c>
      <c r="F163" s="48">
        <v>254.0</v>
      </c>
      <c r="G163" s="49">
        <f t="shared" si="11"/>
        <v>12.573</v>
      </c>
      <c r="H163" s="49">
        <f t="shared" si="12"/>
        <v>495</v>
      </c>
      <c r="I163" s="48" t="s">
        <v>170</v>
      </c>
      <c r="J163" s="48" t="s">
        <v>245</v>
      </c>
      <c r="K163" s="50" t="s">
        <v>255</v>
      </c>
      <c r="L163" s="51">
        <v>66.0</v>
      </c>
      <c r="M163" s="50" t="s">
        <v>547</v>
      </c>
      <c r="N163" s="51" t="s">
        <v>174</v>
      </c>
      <c r="O163" s="48">
        <v>305.0</v>
      </c>
      <c r="P163" s="48">
        <v>143.0</v>
      </c>
      <c r="Q163" s="48">
        <v>55.0</v>
      </c>
      <c r="R163" s="48">
        <v>2.0</v>
      </c>
      <c r="S163" s="50" t="s">
        <v>166</v>
      </c>
      <c r="T163" s="52" t="s">
        <v>167</v>
      </c>
      <c r="U163" s="52" t="s">
        <v>346</v>
      </c>
      <c r="V163" s="51">
        <v>2.0</v>
      </c>
      <c r="W163" s="48" t="s">
        <v>166</v>
      </c>
      <c r="X163" s="50" t="s">
        <v>166</v>
      </c>
      <c r="Y163" s="51" t="s">
        <v>166</v>
      </c>
      <c r="Z163" s="48" t="s">
        <v>166</v>
      </c>
      <c r="AA163" s="48" t="s">
        <v>166</v>
      </c>
      <c r="AB163" s="48" t="s">
        <v>166</v>
      </c>
      <c r="AC163" s="48" t="s">
        <v>435</v>
      </c>
      <c r="AD163" s="48" t="s">
        <v>166</v>
      </c>
      <c r="AE163" s="54" t="s">
        <v>166</v>
      </c>
      <c r="AF163" s="55" t="s">
        <v>166</v>
      </c>
      <c r="AG163" s="51" t="s">
        <v>166</v>
      </c>
      <c r="AH163" s="48">
        <v>2.0</v>
      </c>
      <c r="AI163" s="48" t="s">
        <v>166</v>
      </c>
      <c r="AJ163" s="50" t="s">
        <v>166</v>
      </c>
      <c r="AK163" s="56" t="s">
        <v>166</v>
      </c>
      <c r="AL163" s="57">
        <v>79.0</v>
      </c>
      <c r="AM163" s="58"/>
      <c r="AN163" s="64" t="s">
        <v>214</v>
      </c>
      <c r="AO163" s="60"/>
      <c r="AP163" s="60"/>
      <c r="AQ163" s="66"/>
    </row>
    <row r="164">
      <c r="A164" s="82" t="str">
        <f>HYPERLINK("https://www.fractal-design.com/","Fractal Design")</f>
        <v>Fractal Design</v>
      </c>
      <c r="B164" s="62" t="s">
        <v>1035</v>
      </c>
      <c r="C164" s="63" t="s">
        <v>225</v>
      </c>
      <c r="D164" s="48">
        <v>355.0</v>
      </c>
      <c r="E164" s="48">
        <v>94.6</v>
      </c>
      <c r="F164" s="48">
        <v>375.0</v>
      </c>
      <c r="G164" s="49">
        <f t="shared" si="11"/>
        <v>12.593625</v>
      </c>
      <c r="H164" s="49">
        <f t="shared" si="12"/>
        <v>335.83</v>
      </c>
      <c r="I164" s="48">
        <v>4.3</v>
      </c>
      <c r="J164" s="48" t="s">
        <v>171</v>
      </c>
      <c r="K164" s="50" t="s">
        <v>164</v>
      </c>
      <c r="L164" s="51">
        <v>70.0</v>
      </c>
      <c r="M164" s="50" t="s">
        <v>825</v>
      </c>
      <c r="N164" s="51" t="s">
        <v>174</v>
      </c>
      <c r="O164" s="48">
        <v>335.0</v>
      </c>
      <c r="P164" s="48">
        <v>151.0</v>
      </c>
      <c r="Q164" s="48">
        <v>82.0</v>
      </c>
      <c r="R164" s="48">
        <v>3.0</v>
      </c>
      <c r="S164" s="50" t="s">
        <v>166</v>
      </c>
      <c r="T164" s="52" t="s">
        <v>167</v>
      </c>
      <c r="U164" s="52" t="s">
        <v>346</v>
      </c>
      <c r="V164" s="51">
        <v>4.0</v>
      </c>
      <c r="W164" s="48" t="s">
        <v>166</v>
      </c>
      <c r="X164" s="50" t="s">
        <v>166</v>
      </c>
      <c r="Y164" s="51" t="s">
        <v>166</v>
      </c>
      <c r="Z164" s="48" t="s">
        <v>166</v>
      </c>
      <c r="AA164" s="48">
        <v>3.0</v>
      </c>
      <c r="AB164" s="48" t="s">
        <v>166</v>
      </c>
      <c r="AC164" s="48" t="s">
        <v>193</v>
      </c>
      <c r="AD164" s="48" t="s">
        <v>193</v>
      </c>
      <c r="AE164" s="54" t="s">
        <v>166</v>
      </c>
      <c r="AF164" s="55" t="s">
        <v>166</v>
      </c>
      <c r="AG164" s="51" t="s">
        <v>166</v>
      </c>
      <c r="AH164" s="48">
        <v>2.0</v>
      </c>
      <c r="AI164" s="48">
        <v>1.0</v>
      </c>
      <c r="AJ164" s="50" t="s">
        <v>174</v>
      </c>
      <c r="AK164" s="56" t="s">
        <v>166</v>
      </c>
      <c r="AL164" s="57">
        <v>130.0</v>
      </c>
      <c r="AM164" s="58"/>
      <c r="AN164" s="64"/>
      <c r="AO164" s="60"/>
      <c r="AP164" s="65">
        <v>44888.942933136575</v>
      </c>
      <c r="AQ164" s="66"/>
    </row>
    <row r="165">
      <c r="A165" s="69" t="s">
        <v>1036</v>
      </c>
      <c r="B165" s="73" t="s">
        <v>1037</v>
      </c>
      <c r="C165" s="63" t="s">
        <v>262</v>
      </c>
      <c r="D165" s="48">
        <v>290.0</v>
      </c>
      <c r="E165" s="48">
        <v>170.0</v>
      </c>
      <c r="F165" s="48">
        <v>256.0</v>
      </c>
      <c r="G165" s="49">
        <f t="shared" si="11"/>
        <v>12.6208</v>
      </c>
      <c r="H165" s="49">
        <f t="shared" si="12"/>
        <v>493</v>
      </c>
      <c r="I165" s="48" t="s">
        <v>170</v>
      </c>
      <c r="J165" s="48" t="s">
        <v>245</v>
      </c>
      <c r="K165" s="50" t="s">
        <v>632</v>
      </c>
      <c r="L165" s="51">
        <v>138.0</v>
      </c>
      <c r="M165" s="50" t="s">
        <v>166</v>
      </c>
      <c r="N165" s="51" t="s">
        <v>166</v>
      </c>
      <c r="O165" s="48">
        <v>281.0</v>
      </c>
      <c r="P165" s="48">
        <v>143.0</v>
      </c>
      <c r="Q165" s="48">
        <v>48.0</v>
      </c>
      <c r="R165" s="48">
        <v>2.0</v>
      </c>
      <c r="S165" s="50" t="s">
        <v>166</v>
      </c>
      <c r="T165" s="52" t="s">
        <v>167</v>
      </c>
      <c r="U165" s="52" t="s">
        <v>324</v>
      </c>
      <c r="V165" s="51">
        <v>2.0</v>
      </c>
      <c r="W165" s="48" t="s">
        <v>166</v>
      </c>
      <c r="X165" s="50" t="s">
        <v>166</v>
      </c>
      <c r="Y165" s="51" t="s">
        <v>166</v>
      </c>
      <c r="Z165" s="48">
        <v>2.0</v>
      </c>
      <c r="AA165" s="48" t="s">
        <v>166</v>
      </c>
      <c r="AB165" s="48">
        <v>2.0</v>
      </c>
      <c r="AC165" s="48" t="s">
        <v>194</v>
      </c>
      <c r="AD165" s="48" t="s">
        <v>166</v>
      </c>
      <c r="AE165" s="54" t="s">
        <v>166</v>
      </c>
      <c r="AF165" s="55" t="s">
        <v>166</v>
      </c>
      <c r="AG165" s="51" t="s">
        <v>166</v>
      </c>
      <c r="AH165" s="48">
        <v>2.0</v>
      </c>
      <c r="AI165" s="48" t="s">
        <v>166</v>
      </c>
      <c r="AJ165" s="50" t="s">
        <v>166</v>
      </c>
      <c r="AK165" s="56">
        <v>1105.0</v>
      </c>
      <c r="AL165" s="57">
        <f>AK165*Sheets!$E$3</f>
        <v>152.3192775</v>
      </c>
      <c r="AM165" s="58"/>
      <c r="AN165" s="59"/>
      <c r="AO165" s="71" t="s">
        <v>181</v>
      </c>
      <c r="AP165" s="65">
        <v>45071.55707946759</v>
      </c>
      <c r="AQ165" s="66"/>
    </row>
    <row r="166">
      <c r="A166" s="69" t="str">
        <f>HYPERLINK("https://cemo.world.taobao.com/","Cemo / 佑泽企业店")</f>
        <v>Cemo / 佑泽企业店</v>
      </c>
      <c r="B166" s="73" t="s">
        <v>1038</v>
      </c>
      <c r="C166" s="63" t="s">
        <v>262</v>
      </c>
      <c r="D166" s="48">
        <v>259.0</v>
      </c>
      <c r="E166" s="48">
        <v>150.0</v>
      </c>
      <c r="F166" s="48">
        <v>325.0</v>
      </c>
      <c r="G166" s="49">
        <f t="shared" si="11"/>
        <v>12.62625</v>
      </c>
      <c r="H166" s="49">
        <f t="shared" si="12"/>
        <v>388.5</v>
      </c>
      <c r="I166" s="48">
        <v>1.5</v>
      </c>
      <c r="J166" s="48" t="s">
        <v>164</v>
      </c>
      <c r="K166" s="50" t="s">
        <v>185</v>
      </c>
      <c r="L166" s="51">
        <v>125.0</v>
      </c>
      <c r="M166" s="50" t="s">
        <v>166</v>
      </c>
      <c r="N166" s="51" t="s">
        <v>166</v>
      </c>
      <c r="O166" s="48">
        <v>250.0</v>
      </c>
      <c r="P166" s="48">
        <v>130.0</v>
      </c>
      <c r="Q166" s="48">
        <v>80.0</v>
      </c>
      <c r="R166" s="48">
        <v>4.0</v>
      </c>
      <c r="S166" s="50" t="s">
        <v>166</v>
      </c>
      <c r="T166" s="52" t="s">
        <v>423</v>
      </c>
      <c r="U166" s="52" t="s">
        <v>186</v>
      </c>
      <c r="V166" s="51">
        <v>1.0</v>
      </c>
      <c r="W166" s="48" t="s">
        <v>194</v>
      </c>
      <c r="X166" s="50" t="s">
        <v>166</v>
      </c>
      <c r="Y166" s="51" t="s">
        <v>166</v>
      </c>
      <c r="Z166" s="48" t="s">
        <v>166</v>
      </c>
      <c r="AA166" s="48">
        <v>2.0</v>
      </c>
      <c r="AB166" s="48" t="s">
        <v>166</v>
      </c>
      <c r="AC166" s="48">
        <v>1.0</v>
      </c>
      <c r="AD166" s="48" t="s">
        <v>166</v>
      </c>
      <c r="AE166" s="54" t="s">
        <v>166</v>
      </c>
      <c r="AF166" s="55" t="s">
        <v>166</v>
      </c>
      <c r="AG166" s="51" t="s">
        <v>166</v>
      </c>
      <c r="AH166" s="48">
        <v>2.0</v>
      </c>
      <c r="AI166" s="48" t="s">
        <v>166</v>
      </c>
      <c r="AJ166" s="50" t="s">
        <v>166</v>
      </c>
      <c r="AK166" s="56">
        <v>248.0</v>
      </c>
      <c r="AL166" s="57">
        <f>AK166*Sheets!$E$3</f>
        <v>34.185684</v>
      </c>
      <c r="AM166" s="68"/>
      <c r="AN166" s="70"/>
      <c r="AO166" s="71" t="s">
        <v>181</v>
      </c>
      <c r="AP166" s="72">
        <v>45446.49291086805</v>
      </c>
      <c r="AQ166" s="66"/>
    </row>
    <row r="167">
      <c r="A167" s="61" t="s">
        <v>178</v>
      </c>
      <c r="B167" s="67" t="s">
        <v>1039</v>
      </c>
      <c r="C167" s="63" t="s">
        <v>262</v>
      </c>
      <c r="D167" s="48">
        <v>227.0</v>
      </c>
      <c r="E167" s="48">
        <v>185.0</v>
      </c>
      <c r="F167" s="48">
        <v>302.0</v>
      </c>
      <c r="G167" s="49">
        <f t="shared" si="11"/>
        <v>12.68249</v>
      </c>
      <c r="H167" s="49">
        <f t="shared" si="12"/>
        <v>419.95</v>
      </c>
      <c r="I167" s="48" t="s">
        <v>170</v>
      </c>
      <c r="J167" s="48" t="s">
        <v>245</v>
      </c>
      <c r="K167" s="50" t="s">
        <v>456</v>
      </c>
      <c r="L167" s="51">
        <v>170.0</v>
      </c>
      <c r="M167" s="50">
        <v>120.0</v>
      </c>
      <c r="N167" s="51" t="s">
        <v>232</v>
      </c>
      <c r="O167" s="48">
        <v>275.0</v>
      </c>
      <c r="P167" s="48">
        <v>135.0</v>
      </c>
      <c r="Q167" s="48">
        <v>55.0</v>
      </c>
      <c r="R167" s="48">
        <v>2.0</v>
      </c>
      <c r="S167" s="50" t="s">
        <v>166</v>
      </c>
      <c r="T167" s="52" t="s">
        <v>227</v>
      </c>
      <c r="U167" s="52" t="s">
        <v>346</v>
      </c>
      <c r="V167" s="51">
        <v>2.0</v>
      </c>
      <c r="W167" s="48">
        <v>1.0</v>
      </c>
      <c r="X167" s="50" t="s">
        <v>166</v>
      </c>
      <c r="Y167" s="51" t="s">
        <v>166</v>
      </c>
      <c r="Z167" s="48" t="s">
        <v>166</v>
      </c>
      <c r="AA167" s="48" t="s">
        <v>166</v>
      </c>
      <c r="AB167" s="48" t="s">
        <v>194</v>
      </c>
      <c r="AC167" s="48" t="s">
        <v>194</v>
      </c>
      <c r="AD167" s="48" t="s">
        <v>166</v>
      </c>
      <c r="AE167" s="54" t="s">
        <v>166</v>
      </c>
      <c r="AF167" s="55" t="s">
        <v>166</v>
      </c>
      <c r="AG167" s="51" t="s">
        <v>166</v>
      </c>
      <c r="AH167" s="48">
        <v>2.0</v>
      </c>
      <c r="AI167" s="48" t="s">
        <v>166</v>
      </c>
      <c r="AJ167" s="50" t="s">
        <v>174</v>
      </c>
      <c r="AK167" s="56" t="s">
        <v>166</v>
      </c>
      <c r="AL167" s="57">
        <v>169.0</v>
      </c>
      <c r="AM167" s="58"/>
      <c r="AN167" s="59"/>
      <c r="AO167" s="60" t="s">
        <v>181</v>
      </c>
      <c r="AP167" s="65">
        <v>45184.71206847222</v>
      </c>
      <c r="AQ167" s="66"/>
    </row>
    <row r="168">
      <c r="A168" s="46" t="s">
        <v>1040</v>
      </c>
      <c r="B168" s="73" t="s">
        <v>1041</v>
      </c>
      <c r="C168" s="63" t="s">
        <v>248</v>
      </c>
      <c r="D168" s="48">
        <v>340.0</v>
      </c>
      <c r="E168" s="48">
        <v>170.0</v>
      </c>
      <c r="F168" s="48">
        <v>220.0</v>
      </c>
      <c r="G168" s="98">
        <f t="shared" si="11"/>
        <v>12.716</v>
      </c>
      <c r="H168" s="49">
        <f t="shared" si="12"/>
        <v>578</v>
      </c>
      <c r="I168" s="48">
        <v>3.2</v>
      </c>
      <c r="J168" s="48" t="s">
        <v>164</v>
      </c>
      <c r="K168" s="50" t="s">
        <v>213</v>
      </c>
      <c r="L168" s="51">
        <v>85.0</v>
      </c>
      <c r="M168" s="50" t="s">
        <v>166</v>
      </c>
      <c r="N168" s="51" t="s">
        <v>174</v>
      </c>
      <c r="O168" s="48">
        <v>330.0</v>
      </c>
      <c r="P168" s="48" t="s">
        <v>170</v>
      </c>
      <c r="Q168" s="48">
        <v>56.0</v>
      </c>
      <c r="R168" s="48">
        <v>2.0</v>
      </c>
      <c r="S168" s="50" t="s">
        <v>166</v>
      </c>
      <c r="T168" s="52" t="s">
        <v>167</v>
      </c>
      <c r="U168" s="52" t="s">
        <v>686</v>
      </c>
      <c r="V168" s="51" t="s">
        <v>194</v>
      </c>
      <c r="W168" s="48" t="s">
        <v>194</v>
      </c>
      <c r="X168" s="50" t="s">
        <v>166</v>
      </c>
      <c r="Y168" s="51" t="s">
        <v>166</v>
      </c>
      <c r="Z168" s="48" t="s">
        <v>166</v>
      </c>
      <c r="AA168" s="48" t="s">
        <v>166</v>
      </c>
      <c r="AB168" s="48" t="s">
        <v>166</v>
      </c>
      <c r="AC168" s="48" t="s">
        <v>166</v>
      </c>
      <c r="AD168" s="48" t="s">
        <v>166</v>
      </c>
      <c r="AE168" s="54" t="s">
        <v>166</v>
      </c>
      <c r="AF168" s="55" t="s">
        <v>166</v>
      </c>
      <c r="AG168" s="51" t="s">
        <v>166</v>
      </c>
      <c r="AH168" s="48" t="s">
        <v>166</v>
      </c>
      <c r="AI168" s="48" t="s">
        <v>166</v>
      </c>
      <c r="AJ168" s="50" t="s">
        <v>166</v>
      </c>
      <c r="AK168" s="56">
        <v>798.0</v>
      </c>
      <c r="AL168" s="57">
        <f>AK168*Sheets!$E$3</f>
        <v>110.000709</v>
      </c>
      <c r="AM168" s="68"/>
      <c r="AN168" s="70"/>
      <c r="AO168" s="60" t="s">
        <v>181</v>
      </c>
      <c r="AP168" s="72">
        <v>44887.94151741898</v>
      </c>
      <c r="AQ168" s="66"/>
    </row>
    <row r="169">
      <c r="A169" s="91" t="s">
        <v>1042</v>
      </c>
      <c r="B169" s="67" t="s">
        <v>1043</v>
      </c>
      <c r="C169" s="63" t="s">
        <v>262</v>
      </c>
      <c r="D169" s="48">
        <v>328.0</v>
      </c>
      <c r="E169" s="48">
        <v>160.6</v>
      </c>
      <c r="F169" s="48">
        <v>241.7</v>
      </c>
      <c r="G169" s="49">
        <f t="shared" si="11"/>
        <v>12.73198256</v>
      </c>
      <c r="H169" s="49">
        <f t="shared" si="12"/>
        <v>526.768</v>
      </c>
      <c r="I169" s="48">
        <v>2.0</v>
      </c>
      <c r="J169" s="48" t="s">
        <v>235</v>
      </c>
      <c r="K169" s="50" t="s">
        <v>185</v>
      </c>
      <c r="L169" s="51">
        <v>135.0</v>
      </c>
      <c r="M169" s="50" t="s">
        <v>1003</v>
      </c>
      <c r="N169" s="51" t="s">
        <v>166</v>
      </c>
      <c r="O169" s="48">
        <v>322.0</v>
      </c>
      <c r="P169" s="48">
        <v>140.0</v>
      </c>
      <c r="Q169" s="48">
        <v>60.0</v>
      </c>
      <c r="R169" s="48">
        <v>3.0</v>
      </c>
      <c r="S169" s="50" t="s">
        <v>166</v>
      </c>
      <c r="T169" s="52" t="s">
        <v>1044</v>
      </c>
      <c r="U169" s="52" t="s">
        <v>346</v>
      </c>
      <c r="V169" s="51" t="s">
        <v>1045</v>
      </c>
      <c r="W169" s="48" t="s">
        <v>193</v>
      </c>
      <c r="X169" s="50" t="s">
        <v>1046</v>
      </c>
      <c r="Y169" s="51" t="s">
        <v>166</v>
      </c>
      <c r="Z169" s="48" t="s">
        <v>166</v>
      </c>
      <c r="AA169" s="48" t="s">
        <v>166</v>
      </c>
      <c r="AB169" s="48">
        <v>1.0</v>
      </c>
      <c r="AC169" s="48" t="s">
        <v>416</v>
      </c>
      <c r="AD169" s="48" t="s">
        <v>166</v>
      </c>
      <c r="AE169" s="54" t="s">
        <v>166</v>
      </c>
      <c r="AF169" s="55" t="s">
        <v>166</v>
      </c>
      <c r="AG169" s="51" t="s">
        <v>166</v>
      </c>
      <c r="AH169" s="48">
        <v>2.0</v>
      </c>
      <c r="AI169" s="48">
        <v>1.0</v>
      </c>
      <c r="AJ169" s="50" t="s">
        <v>174</v>
      </c>
      <c r="AK169" s="56" t="s">
        <v>166</v>
      </c>
      <c r="AL169" s="57">
        <v>210.0</v>
      </c>
      <c r="AM169" s="64" t="str">
        <f>HYPERLINK("https://smallformfactor.net/forum/threads/ncase-m1-v6-info.10687/","Link")</f>
        <v>Link</v>
      </c>
      <c r="AN169" s="64" t="s">
        <v>214</v>
      </c>
      <c r="AO169" s="60" t="s">
        <v>181</v>
      </c>
      <c r="AP169" s="65">
        <v>45379.024260474536</v>
      </c>
      <c r="AQ169" s="66"/>
    </row>
    <row r="170">
      <c r="A170" s="46" t="s">
        <v>594</v>
      </c>
      <c r="B170" s="46" t="s">
        <v>1047</v>
      </c>
      <c r="C170" s="101" t="s">
        <v>262</v>
      </c>
      <c r="D170" s="48">
        <v>280.0</v>
      </c>
      <c r="E170" s="48">
        <v>188.0</v>
      </c>
      <c r="F170" s="48">
        <v>243.0</v>
      </c>
      <c r="G170" s="49">
        <f t="shared" si="11"/>
        <v>12.79152</v>
      </c>
      <c r="H170" s="49">
        <f t="shared" si="12"/>
        <v>526.4</v>
      </c>
      <c r="I170" s="48">
        <v>2.7</v>
      </c>
      <c r="J170" s="48" t="s">
        <v>1048</v>
      </c>
      <c r="K170" s="50" t="s">
        <v>375</v>
      </c>
      <c r="L170" s="51">
        <v>160.0</v>
      </c>
      <c r="M170" s="50" t="s">
        <v>166</v>
      </c>
      <c r="N170" s="51" t="s">
        <v>166</v>
      </c>
      <c r="O170" s="48">
        <v>275.0</v>
      </c>
      <c r="P170" s="48">
        <v>165.0</v>
      </c>
      <c r="Q170" s="48">
        <v>50.0</v>
      </c>
      <c r="R170" s="48">
        <v>2.0</v>
      </c>
      <c r="S170" s="50" t="s">
        <v>166</v>
      </c>
      <c r="T170" s="52" t="s">
        <v>227</v>
      </c>
      <c r="U170" s="52" t="s">
        <v>816</v>
      </c>
      <c r="V170" s="51" t="s">
        <v>194</v>
      </c>
      <c r="W170" s="48" t="s">
        <v>194</v>
      </c>
      <c r="X170" s="50" t="s">
        <v>166</v>
      </c>
      <c r="Y170" s="51" t="s">
        <v>166</v>
      </c>
      <c r="Z170" s="48" t="s">
        <v>166</v>
      </c>
      <c r="AA170" s="48" t="s">
        <v>166</v>
      </c>
      <c r="AB170" s="48" t="s">
        <v>166</v>
      </c>
      <c r="AC170" s="48">
        <v>2.0</v>
      </c>
      <c r="AD170" s="48" t="s">
        <v>166</v>
      </c>
      <c r="AE170" s="54" t="s">
        <v>166</v>
      </c>
      <c r="AF170" s="55" t="s">
        <v>166</v>
      </c>
      <c r="AG170" s="51" t="s">
        <v>166</v>
      </c>
      <c r="AH170" s="48">
        <v>1.0</v>
      </c>
      <c r="AI170" s="48">
        <v>1.0</v>
      </c>
      <c r="AJ170" s="50" t="s">
        <v>166</v>
      </c>
      <c r="AK170" s="56">
        <v>299.0</v>
      </c>
      <c r="AL170" s="57">
        <f>AK170*Sheets!$E$3</f>
        <v>41.2158045</v>
      </c>
      <c r="AM170" s="58"/>
      <c r="AN170" s="59"/>
      <c r="AO170" s="60"/>
      <c r="AP170" s="65"/>
      <c r="AQ170" s="66"/>
    </row>
    <row r="171">
      <c r="A171" s="69" t="str">
        <f>HYPERLINK("https://shop34001191.world.taobao.com/","Mechanic Master")</f>
        <v>Mechanic Master</v>
      </c>
      <c r="B171" s="46" t="s">
        <v>1049</v>
      </c>
      <c r="C171" s="63" t="s">
        <v>248</v>
      </c>
      <c r="D171" s="48">
        <v>345.0</v>
      </c>
      <c r="E171" s="48">
        <v>149.0</v>
      </c>
      <c r="F171" s="48">
        <v>249.0</v>
      </c>
      <c r="G171" s="49">
        <f t="shared" si="11"/>
        <v>12.799845</v>
      </c>
      <c r="H171" s="49">
        <f t="shared" si="12"/>
        <v>514.05</v>
      </c>
      <c r="I171" s="48">
        <v>2.6</v>
      </c>
      <c r="J171" s="48" t="s">
        <v>164</v>
      </c>
      <c r="K171" s="50" t="s">
        <v>1050</v>
      </c>
      <c r="L171" s="51">
        <v>75.0</v>
      </c>
      <c r="M171" s="50" t="s">
        <v>547</v>
      </c>
      <c r="N171" s="51" t="s">
        <v>174</v>
      </c>
      <c r="O171" s="48">
        <v>330.0</v>
      </c>
      <c r="P171" s="48" t="s">
        <v>170</v>
      </c>
      <c r="Q171" s="48">
        <v>72.0</v>
      </c>
      <c r="R171" s="48">
        <v>3.0</v>
      </c>
      <c r="S171" s="50" t="s">
        <v>166</v>
      </c>
      <c r="T171" s="52" t="s">
        <v>167</v>
      </c>
      <c r="U171" s="52" t="s">
        <v>816</v>
      </c>
      <c r="V171" s="51">
        <v>2.0</v>
      </c>
      <c r="W171" s="48" t="s">
        <v>166</v>
      </c>
      <c r="X171" s="50" t="s">
        <v>166</v>
      </c>
      <c r="Y171" s="51" t="s">
        <v>166</v>
      </c>
      <c r="Z171" s="48" t="s">
        <v>166</v>
      </c>
      <c r="AA171" s="48" t="s">
        <v>166</v>
      </c>
      <c r="AB171" s="48" t="s">
        <v>166</v>
      </c>
      <c r="AC171" s="48">
        <v>2.0</v>
      </c>
      <c r="AD171" s="48" t="s">
        <v>166</v>
      </c>
      <c r="AE171" s="54" t="s">
        <v>166</v>
      </c>
      <c r="AF171" s="55" t="s">
        <v>166</v>
      </c>
      <c r="AG171" s="51" t="s">
        <v>166</v>
      </c>
      <c r="AH171" s="48">
        <v>1.0</v>
      </c>
      <c r="AI171" s="48">
        <v>1.0</v>
      </c>
      <c r="AJ171" s="50" t="s">
        <v>166</v>
      </c>
      <c r="AK171" s="56">
        <v>499.0</v>
      </c>
      <c r="AL171" s="57">
        <f>AK171*Sheets!$E$3</f>
        <v>68.7849045</v>
      </c>
      <c r="AM171" s="58"/>
      <c r="AN171" s="59"/>
      <c r="AO171" s="71"/>
      <c r="AP171" s="65">
        <v>45295.667390682866</v>
      </c>
      <c r="AQ171" s="66"/>
    </row>
    <row r="172">
      <c r="A172" s="69" t="s">
        <v>836</v>
      </c>
      <c r="B172" s="73" t="s">
        <v>1051</v>
      </c>
      <c r="C172" s="63" t="s">
        <v>248</v>
      </c>
      <c r="D172" s="48">
        <v>338.0</v>
      </c>
      <c r="E172" s="48">
        <v>148.0</v>
      </c>
      <c r="F172" s="48">
        <v>256.0</v>
      </c>
      <c r="G172" s="49">
        <f t="shared" si="11"/>
        <v>12.806144</v>
      </c>
      <c r="H172" s="49">
        <f t="shared" si="12"/>
        <v>500.24</v>
      </c>
      <c r="I172" s="48" t="s">
        <v>170</v>
      </c>
      <c r="J172" s="48" t="s">
        <v>164</v>
      </c>
      <c r="K172" s="50" t="s">
        <v>164</v>
      </c>
      <c r="L172" s="51">
        <v>55.0</v>
      </c>
      <c r="M172" s="50" t="s">
        <v>547</v>
      </c>
      <c r="N172" s="51" t="s">
        <v>174</v>
      </c>
      <c r="O172" s="48">
        <v>310.0</v>
      </c>
      <c r="P172" s="48" t="s">
        <v>170</v>
      </c>
      <c r="Q172" s="48">
        <v>40.0</v>
      </c>
      <c r="R172" s="48">
        <v>2.0</v>
      </c>
      <c r="S172" s="50" t="s">
        <v>166</v>
      </c>
      <c r="T172" s="52" t="s">
        <v>167</v>
      </c>
      <c r="U172" s="52" t="s">
        <v>324</v>
      </c>
      <c r="V172" s="51">
        <v>5.0</v>
      </c>
      <c r="W172" s="48" t="s">
        <v>194</v>
      </c>
      <c r="X172" s="50" t="s">
        <v>166</v>
      </c>
      <c r="Y172" s="51" t="s">
        <v>166</v>
      </c>
      <c r="Z172" s="48" t="s">
        <v>166</v>
      </c>
      <c r="AA172" s="48" t="s">
        <v>166</v>
      </c>
      <c r="AB172" s="48" t="s">
        <v>166</v>
      </c>
      <c r="AC172" s="48">
        <v>2.0</v>
      </c>
      <c r="AD172" s="48" t="s">
        <v>166</v>
      </c>
      <c r="AE172" s="54" t="s">
        <v>166</v>
      </c>
      <c r="AF172" s="55" t="s">
        <v>166</v>
      </c>
      <c r="AG172" s="51" t="s">
        <v>166</v>
      </c>
      <c r="AH172" s="48">
        <v>2.0</v>
      </c>
      <c r="AI172" s="48" t="s">
        <v>166</v>
      </c>
      <c r="AJ172" s="50" t="s">
        <v>166</v>
      </c>
      <c r="AK172" s="56">
        <v>599.0</v>
      </c>
      <c r="AL172" s="57">
        <f>AK172*Sheets!$E$3</f>
        <v>82.5694545</v>
      </c>
      <c r="AM172" s="58"/>
      <c r="AN172" s="59"/>
      <c r="AO172" s="60" t="s">
        <v>181</v>
      </c>
      <c r="AP172" s="60"/>
      <c r="AQ172" s="66"/>
    </row>
    <row r="173">
      <c r="A173" s="99" t="s">
        <v>754</v>
      </c>
      <c r="B173" s="73" t="s">
        <v>1052</v>
      </c>
      <c r="C173" s="63" t="s">
        <v>262</v>
      </c>
      <c r="D173" s="48">
        <v>317.0</v>
      </c>
      <c r="E173" s="48">
        <v>165.0</v>
      </c>
      <c r="F173" s="48">
        <v>245.0</v>
      </c>
      <c r="G173" s="49">
        <f t="shared" si="11"/>
        <v>12.814725</v>
      </c>
      <c r="H173" s="49">
        <f t="shared" si="12"/>
        <v>523.05</v>
      </c>
      <c r="I173" s="48" t="s">
        <v>170</v>
      </c>
      <c r="J173" s="48" t="s">
        <v>164</v>
      </c>
      <c r="K173" s="50" t="s">
        <v>164</v>
      </c>
      <c r="L173" s="51">
        <v>135.0</v>
      </c>
      <c r="M173" s="50" t="s">
        <v>166</v>
      </c>
      <c r="N173" s="51" t="s">
        <v>166</v>
      </c>
      <c r="O173" s="48">
        <v>308.0</v>
      </c>
      <c r="P173" s="48">
        <v>140.0</v>
      </c>
      <c r="Q173" s="48">
        <v>68.0</v>
      </c>
      <c r="R173" s="48">
        <v>2.0</v>
      </c>
      <c r="S173" s="50" t="s">
        <v>166</v>
      </c>
      <c r="T173" s="52" t="s">
        <v>167</v>
      </c>
      <c r="U173" s="52" t="s">
        <v>346</v>
      </c>
      <c r="V173" s="51" t="s">
        <v>914</v>
      </c>
      <c r="W173" s="48" t="s">
        <v>193</v>
      </c>
      <c r="X173" s="50" t="s">
        <v>166</v>
      </c>
      <c r="Y173" s="51" t="s">
        <v>166</v>
      </c>
      <c r="Z173" s="48" t="s">
        <v>166</v>
      </c>
      <c r="AA173" s="48" t="s">
        <v>166</v>
      </c>
      <c r="AB173" s="48">
        <v>3.0</v>
      </c>
      <c r="AC173" s="48" t="s">
        <v>193</v>
      </c>
      <c r="AD173" s="48" t="s">
        <v>166</v>
      </c>
      <c r="AE173" s="54" t="s">
        <v>166</v>
      </c>
      <c r="AF173" s="55" t="s">
        <v>166</v>
      </c>
      <c r="AG173" s="51" t="s">
        <v>166</v>
      </c>
      <c r="AH173" s="48">
        <v>1.0</v>
      </c>
      <c r="AI173" s="48" t="s">
        <v>166</v>
      </c>
      <c r="AJ173" s="50" t="s">
        <v>166</v>
      </c>
      <c r="AK173" s="56">
        <v>658.0</v>
      </c>
      <c r="AL173" s="57">
        <f>AK173*Sheets!$E$3</f>
        <v>90.702339</v>
      </c>
      <c r="AM173" s="68"/>
      <c r="AN173" s="59"/>
      <c r="AO173" s="60" t="s">
        <v>181</v>
      </c>
      <c r="AP173" s="72">
        <v>45071.55721575231</v>
      </c>
      <c r="AQ173" s="66"/>
    </row>
    <row r="174">
      <c r="A174" s="69" t="s">
        <v>286</v>
      </c>
      <c r="B174" s="46" t="str">
        <f>HYPERLINK("https://item.taobao.com/item.htm?id=595796755381","V1.2")</f>
        <v>V1.2</v>
      </c>
      <c r="C174" s="63" t="s">
        <v>262</v>
      </c>
      <c r="D174" s="48">
        <v>296.0</v>
      </c>
      <c r="E174" s="48">
        <v>166.0</v>
      </c>
      <c r="F174" s="48">
        <v>261.0</v>
      </c>
      <c r="G174" s="49">
        <f t="shared" si="11"/>
        <v>12.824496</v>
      </c>
      <c r="H174" s="49">
        <f t="shared" si="12"/>
        <v>491.36</v>
      </c>
      <c r="I174" s="48" t="s">
        <v>170</v>
      </c>
      <c r="J174" s="48" t="s">
        <v>235</v>
      </c>
      <c r="K174" s="50" t="s">
        <v>1053</v>
      </c>
      <c r="L174" s="51">
        <v>145.0</v>
      </c>
      <c r="M174" s="50" t="s">
        <v>166</v>
      </c>
      <c r="N174" s="51" t="s">
        <v>166</v>
      </c>
      <c r="O174" s="48">
        <v>290.0</v>
      </c>
      <c r="P174" s="48">
        <v>150.0</v>
      </c>
      <c r="Q174" s="48">
        <v>60.0</v>
      </c>
      <c r="R174" s="48">
        <v>2.0</v>
      </c>
      <c r="S174" s="50" t="s">
        <v>166</v>
      </c>
      <c r="T174" s="52" t="s">
        <v>167</v>
      </c>
      <c r="U174" s="52" t="s">
        <v>599</v>
      </c>
      <c r="V174" s="51" t="s">
        <v>682</v>
      </c>
      <c r="W174" s="48" t="s">
        <v>426</v>
      </c>
      <c r="X174" s="50" t="s">
        <v>166</v>
      </c>
      <c r="Y174" s="51" t="s">
        <v>166</v>
      </c>
      <c r="Z174" s="48" t="s">
        <v>166</v>
      </c>
      <c r="AA174" s="48" t="s">
        <v>166</v>
      </c>
      <c r="AB174" s="48">
        <v>2.0</v>
      </c>
      <c r="AC174" s="48" t="s">
        <v>435</v>
      </c>
      <c r="AD174" s="48" t="s">
        <v>194</v>
      </c>
      <c r="AE174" s="54" t="s">
        <v>166</v>
      </c>
      <c r="AF174" s="55" t="s">
        <v>166</v>
      </c>
      <c r="AG174" s="51" t="s">
        <v>166</v>
      </c>
      <c r="AH174" s="48" t="s">
        <v>166</v>
      </c>
      <c r="AI174" s="48" t="s">
        <v>166</v>
      </c>
      <c r="AJ174" s="50" t="s">
        <v>166</v>
      </c>
      <c r="AK174" s="56">
        <v>899.0</v>
      </c>
      <c r="AL174" s="57">
        <f>AK174*Sheets!$E$3</f>
        <v>123.9231045</v>
      </c>
      <c r="AM174" s="68"/>
      <c r="AN174" s="59"/>
      <c r="AO174" s="60"/>
      <c r="AP174" s="65">
        <v>45071.55729496528</v>
      </c>
      <c r="AQ174" s="66"/>
    </row>
    <row r="175">
      <c r="A175" s="69" t="str">
        <f>HYPERLINK("https://shop200669052.world.taobao.com/","Acat机箱")</f>
        <v>Acat机箱</v>
      </c>
      <c r="B175" s="46" t="s">
        <v>1054</v>
      </c>
      <c r="C175" s="63" t="s">
        <v>248</v>
      </c>
      <c r="D175" s="48">
        <v>345.0</v>
      </c>
      <c r="E175" s="48">
        <v>155.0</v>
      </c>
      <c r="F175" s="48">
        <v>240.0</v>
      </c>
      <c r="G175" s="49">
        <f t="shared" si="11"/>
        <v>12.834</v>
      </c>
      <c r="H175" s="49">
        <f t="shared" si="12"/>
        <v>534.75</v>
      </c>
      <c r="I175" s="48">
        <v>3.5</v>
      </c>
      <c r="J175" s="48" t="s">
        <v>164</v>
      </c>
      <c r="K175" s="50" t="s">
        <v>164</v>
      </c>
      <c r="L175" s="51">
        <v>75.0</v>
      </c>
      <c r="M175" s="50" t="s">
        <v>825</v>
      </c>
      <c r="N175" s="51" t="s">
        <v>174</v>
      </c>
      <c r="O175" s="48">
        <v>338.0</v>
      </c>
      <c r="P175" s="48">
        <v>160.0</v>
      </c>
      <c r="Q175" s="48">
        <v>82.0</v>
      </c>
      <c r="R175" s="48">
        <v>2.0</v>
      </c>
      <c r="S175" s="50" t="s">
        <v>166</v>
      </c>
      <c r="T175" s="52" t="s">
        <v>167</v>
      </c>
      <c r="U175" s="52" t="s">
        <v>816</v>
      </c>
      <c r="V175" s="51">
        <v>3.0</v>
      </c>
      <c r="W175" s="48" t="s">
        <v>194</v>
      </c>
      <c r="X175" s="50" t="s">
        <v>166</v>
      </c>
      <c r="Y175" s="51" t="s">
        <v>166</v>
      </c>
      <c r="Z175" s="48" t="s">
        <v>166</v>
      </c>
      <c r="AA175" s="48" t="s">
        <v>166</v>
      </c>
      <c r="AB175" s="48" t="s">
        <v>166</v>
      </c>
      <c r="AC175" s="48" t="s">
        <v>278</v>
      </c>
      <c r="AD175" s="48" t="s">
        <v>278</v>
      </c>
      <c r="AE175" s="54" t="s">
        <v>166</v>
      </c>
      <c r="AF175" s="55" t="s">
        <v>166</v>
      </c>
      <c r="AG175" s="51" t="s">
        <v>166</v>
      </c>
      <c r="AH175" s="48" t="s">
        <v>166</v>
      </c>
      <c r="AI175" s="48">
        <v>1.0</v>
      </c>
      <c r="AJ175" s="50" t="s">
        <v>166</v>
      </c>
      <c r="AK175" s="56">
        <v>1199.0</v>
      </c>
      <c r="AL175" s="57">
        <f>AK175*Sheets!$E$3</f>
        <v>165.2767545</v>
      </c>
      <c r="AM175" s="68"/>
      <c r="AN175" s="59"/>
      <c r="AO175" s="60"/>
      <c r="AP175" s="65"/>
      <c r="AQ175" s="66"/>
    </row>
    <row r="176">
      <c r="A176" s="69" t="s">
        <v>286</v>
      </c>
      <c r="B176" s="73" t="s">
        <v>1055</v>
      </c>
      <c r="C176" s="63" t="s">
        <v>262</v>
      </c>
      <c r="D176" s="48">
        <v>342.0</v>
      </c>
      <c r="E176" s="48">
        <v>149.0</v>
      </c>
      <c r="F176" s="48">
        <v>252.0</v>
      </c>
      <c r="G176" s="49">
        <f t="shared" si="11"/>
        <v>12.841416</v>
      </c>
      <c r="H176" s="49">
        <f t="shared" si="12"/>
        <v>509.58</v>
      </c>
      <c r="I176" s="48" t="s">
        <v>170</v>
      </c>
      <c r="J176" s="48" t="s">
        <v>235</v>
      </c>
      <c r="K176" s="50" t="s">
        <v>1053</v>
      </c>
      <c r="L176" s="51">
        <v>126.0</v>
      </c>
      <c r="M176" s="50" t="s">
        <v>166</v>
      </c>
      <c r="N176" s="51" t="s">
        <v>166</v>
      </c>
      <c r="O176" s="48">
        <v>330.0</v>
      </c>
      <c r="P176" s="48">
        <v>131.0</v>
      </c>
      <c r="Q176" s="48">
        <v>50.0</v>
      </c>
      <c r="R176" s="48">
        <v>2.0</v>
      </c>
      <c r="S176" s="50" t="s">
        <v>166</v>
      </c>
      <c r="T176" s="52" t="s">
        <v>167</v>
      </c>
      <c r="U176" s="52" t="s">
        <v>599</v>
      </c>
      <c r="V176" s="51" t="s">
        <v>584</v>
      </c>
      <c r="W176" s="48" t="s">
        <v>194</v>
      </c>
      <c r="X176" s="50" t="s">
        <v>166</v>
      </c>
      <c r="Y176" s="51" t="s">
        <v>166</v>
      </c>
      <c r="Z176" s="48" t="s">
        <v>166</v>
      </c>
      <c r="AA176" s="48">
        <v>2.0</v>
      </c>
      <c r="AB176" s="48" t="s">
        <v>166</v>
      </c>
      <c r="AC176" s="48">
        <v>2.0</v>
      </c>
      <c r="AD176" s="48" t="s">
        <v>166</v>
      </c>
      <c r="AE176" s="54" t="s">
        <v>166</v>
      </c>
      <c r="AF176" s="55" t="s">
        <v>166</v>
      </c>
      <c r="AG176" s="51" t="s">
        <v>166</v>
      </c>
      <c r="AH176" s="48" t="s">
        <v>166</v>
      </c>
      <c r="AI176" s="48" t="s">
        <v>166</v>
      </c>
      <c r="AJ176" s="50" t="s">
        <v>166</v>
      </c>
      <c r="AK176" s="56">
        <v>799.0</v>
      </c>
      <c r="AL176" s="57">
        <f>AK176*Sheets!$E$3</f>
        <v>110.1385545</v>
      </c>
      <c r="AM176" s="68"/>
      <c r="AN176" s="59"/>
      <c r="AO176" s="60" t="s">
        <v>181</v>
      </c>
      <c r="AP176" s="65">
        <v>45071.557321678236</v>
      </c>
      <c r="AQ176" s="66"/>
    </row>
    <row r="177">
      <c r="A177" s="61" t="s">
        <v>178</v>
      </c>
      <c r="B177" s="62" t="s">
        <v>1056</v>
      </c>
      <c r="C177" s="63" t="s">
        <v>248</v>
      </c>
      <c r="D177" s="48">
        <v>310.0</v>
      </c>
      <c r="E177" s="48">
        <v>137.0</v>
      </c>
      <c r="F177" s="48">
        <v>303.0</v>
      </c>
      <c r="G177" s="49">
        <f t="shared" si="11"/>
        <v>12.86841</v>
      </c>
      <c r="H177" s="49">
        <f t="shared" si="12"/>
        <v>424.7</v>
      </c>
      <c r="I177" s="48">
        <v>2.9</v>
      </c>
      <c r="J177" s="48" t="s">
        <v>171</v>
      </c>
      <c r="K177" s="50" t="s">
        <v>180</v>
      </c>
      <c r="L177" s="51">
        <v>68.0</v>
      </c>
      <c r="M177" s="50" t="s">
        <v>547</v>
      </c>
      <c r="N177" s="51" t="s">
        <v>174</v>
      </c>
      <c r="O177" s="48">
        <v>300.0</v>
      </c>
      <c r="P177" s="48" t="s">
        <v>170</v>
      </c>
      <c r="Q177" s="48">
        <v>44.0</v>
      </c>
      <c r="R177" s="48">
        <v>2.0</v>
      </c>
      <c r="S177" s="50" t="s">
        <v>166</v>
      </c>
      <c r="T177" s="52" t="s">
        <v>167</v>
      </c>
      <c r="U177" s="52" t="s">
        <v>346</v>
      </c>
      <c r="V177" s="51" t="s">
        <v>193</v>
      </c>
      <c r="W177" s="48" t="s">
        <v>194</v>
      </c>
      <c r="X177" s="50" t="s">
        <v>166</v>
      </c>
      <c r="Y177" s="51" t="s">
        <v>166</v>
      </c>
      <c r="Z177" s="48" t="s">
        <v>166</v>
      </c>
      <c r="AA177" s="48" t="s">
        <v>166</v>
      </c>
      <c r="AB177" s="48" t="s">
        <v>166</v>
      </c>
      <c r="AC177" s="48">
        <v>2.0</v>
      </c>
      <c r="AD177" s="48" t="s">
        <v>166</v>
      </c>
      <c r="AE177" s="54" t="s">
        <v>166</v>
      </c>
      <c r="AF177" s="55" t="s">
        <v>166</v>
      </c>
      <c r="AG177" s="51" t="s">
        <v>166</v>
      </c>
      <c r="AH177" s="48" t="s">
        <v>166</v>
      </c>
      <c r="AI177" s="48" t="s">
        <v>166</v>
      </c>
      <c r="AJ177" s="50" t="s">
        <v>166</v>
      </c>
      <c r="AK177" s="56" t="s">
        <v>166</v>
      </c>
      <c r="AL177" s="57">
        <v>77.57</v>
      </c>
      <c r="AM177" s="58"/>
      <c r="AN177" s="59"/>
      <c r="AO177" s="71"/>
      <c r="AP177" s="65">
        <v>45184.7135359838</v>
      </c>
      <c r="AQ177" s="66"/>
    </row>
    <row r="178">
      <c r="A178" s="69" t="str">
        <f>HYPERLINK("https://shop34001191.world.taobao.com/","Mechanic Master")</f>
        <v>Mechanic Master</v>
      </c>
      <c r="B178" s="73" t="s">
        <v>1057</v>
      </c>
      <c r="C178" s="63" t="s">
        <v>262</v>
      </c>
      <c r="D178" s="48">
        <v>315.0</v>
      </c>
      <c r="E178" s="48">
        <v>155.0</v>
      </c>
      <c r="F178" s="48">
        <v>265.0</v>
      </c>
      <c r="G178" s="49">
        <f t="shared" si="11"/>
        <v>12.938625</v>
      </c>
      <c r="H178" s="49">
        <f t="shared" si="12"/>
        <v>488.25</v>
      </c>
      <c r="I178" s="48">
        <v>2.8</v>
      </c>
      <c r="J178" s="48" t="s">
        <v>235</v>
      </c>
      <c r="K178" s="50" t="s">
        <v>605</v>
      </c>
      <c r="L178" s="51">
        <v>130.0</v>
      </c>
      <c r="M178" s="50" t="s">
        <v>547</v>
      </c>
      <c r="N178" s="51" t="s">
        <v>166</v>
      </c>
      <c r="O178" s="48">
        <v>310.0</v>
      </c>
      <c r="P178" s="48">
        <v>135.0</v>
      </c>
      <c r="Q178" s="48">
        <v>80.0</v>
      </c>
      <c r="R178" s="48">
        <v>4.0</v>
      </c>
      <c r="S178" s="50" t="s">
        <v>166</v>
      </c>
      <c r="T178" s="52" t="s">
        <v>423</v>
      </c>
      <c r="U178" s="52" t="s">
        <v>346</v>
      </c>
      <c r="V178" s="51" t="s">
        <v>914</v>
      </c>
      <c r="W178" s="48" t="s">
        <v>426</v>
      </c>
      <c r="X178" s="50" t="s">
        <v>166</v>
      </c>
      <c r="Y178" s="51" t="s">
        <v>166</v>
      </c>
      <c r="Z178" s="48" t="s">
        <v>166</v>
      </c>
      <c r="AA178" s="48" t="s">
        <v>166</v>
      </c>
      <c r="AB178" s="48" t="s">
        <v>412</v>
      </c>
      <c r="AC178" s="48" t="s">
        <v>278</v>
      </c>
      <c r="AD178" s="48" t="s">
        <v>166</v>
      </c>
      <c r="AE178" s="54" t="s">
        <v>166</v>
      </c>
      <c r="AF178" s="55" t="s">
        <v>166</v>
      </c>
      <c r="AG178" s="51" t="s">
        <v>166</v>
      </c>
      <c r="AH178" s="48">
        <v>2.0</v>
      </c>
      <c r="AI178" s="48" t="s">
        <v>166</v>
      </c>
      <c r="AJ178" s="50" t="s">
        <v>166</v>
      </c>
      <c r="AK178" s="56">
        <v>599.0</v>
      </c>
      <c r="AL178" s="57">
        <f>AK178*Sheets!$E$3</f>
        <v>82.5694545</v>
      </c>
      <c r="AM178" s="58"/>
      <c r="AN178" s="59"/>
      <c r="AO178" s="60" t="s">
        <v>181</v>
      </c>
      <c r="AP178" s="65">
        <v>45071.55737569444</v>
      </c>
      <c r="AQ178" s="66"/>
    </row>
    <row r="179">
      <c r="A179" s="69" t="str">
        <f>HYPERLINK("https://sktcase.world.taobao.com/","SKTC")</f>
        <v>SKTC</v>
      </c>
      <c r="B179" s="46" t="str">
        <f>HYPERLINK("https://item.taobao.com/item.htm?id=588365662660","S02")</f>
        <v>S02</v>
      </c>
      <c r="C179" s="63" t="s">
        <v>248</v>
      </c>
      <c r="D179" s="48">
        <v>320.0</v>
      </c>
      <c r="E179" s="48">
        <v>142.0</v>
      </c>
      <c r="F179" s="48">
        <v>285.0</v>
      </c>
      <c r="G179" s="49">
        <f t="shared" si="11"/>
        <v>12.9504</v>
      </c>
      <c r="H179" s="49">
        <f t="shared" si="12"/>
        <v>454.4</v>
      </c>
      <c r="I179" s="48" t="s">
        <v>170</v>
      </c>
      <c r="J179" s="48" t="s">
        <v>235</v>
      </c>
      <c r="K179" s="50" t="s">
        <v>632</v>
      </c>
      <c r="L179" s="51">
        <v>55.0</v>
      </c>
      <c r="M179" s="50" t="s">
        <v>547</v>
      </c>
      <c r="N179" s="51" t="s">
        <v>174</v>
      </c>
      <c r="O179" s="48">
        <v>305.0</v>
      </c>
      <c r="P179" s="48">
        <v>130.0</v>
      </c>
      <c r="Q179" s="48">
        <v>40.0</v>
      </c>
      <c r="R179" s="48">
        <v>2.0</v>
      </c>
      <c r="S179" s="50" t="s">
        <v>166</v>
      </c>
      <c r="T179" s="52" t="s">
        <v>167</v>
      </c>
      <c r="U179" s="52" t="s">
        <v>324</v>
      </c>
      <c r="V179" s="51" t="s">
        <v>207</v>
      </c>
      <c r="W179" s="48" t="s">
        <v>194</v>
      </c>
      <c r="X179" s="50" t="s">
        <v>166</v>
      </c>
      <c r="Y179" s="51" t="s">
        <v>166</v>
      </c>
      <c r="Z179" s="48" t="s">
        <v>166</v>
      </c>
      <c r="AA179" s="48" t="s">
        <v>166</v>
      </c>
      <c r="AB179" s="48" t="s">
        <v>166</v>
      </c>
      <c r="AC179" s="48">
        <v>2.0</v>
      </c>
      <c r="AD179" s="48" t="s">
        <v>166</v>
      </c>
      <c r="AE179" s="54" t="s">
        <v>166</v>
      </c>
      <c r="AF179" s="55" t="s">
        <v>166</v>
      </c>
      <c r="AG179" s="51" t="s">
        <v>166</v>
      </c>
      <c r="AH179" s="48">
        <v>2.0</v>
      </c>
      <c r="AI179" s="48" t="s">
        <v>166</v>
      </c>
      <c r="AJ179" s="50" t="s">
        <v>166</v>
      </c>
      <c r="AK179" s="56">
        <v>499.0</v>
      </c>
      <c r="AL179" s="57">
        <f>AK179*Sheets!$E$3</f>
        <v>68.7849045</v>
      </c>
      <c r="AM179" s="68"/>
      <c r="AN179" s="59"/>
      <c r="AO179" s="60"/>
      <c r="AP179" s="60"/>
      <c r="AQ179" s="66"/>
    </row>
    <row r="180">
      <c r="A180" s="82" t="str">
        <f>HYPERLINK("https://www.geeekstore.com/","GEEEK")</f>
        <v>GEEEK</v>
      </c>
      <c r="B180" s="62" t="s">
        <v>1058</v>
      </c>
      <c r="C180" s="63" t="s">
        <v>248</v>
      </c>
      <c r="D180" s="48">
        <v>253.0</v>
      </c>
      <c r="E180" s="48">
        <v>155.0</v>
      </c>
      <c r="F180" s="48">
        <v>331.0</v>
      </c>
      <c r="G180" s="49">
        <f t="shared" si="11"/>
        <v>12.980165</v>
      </c>
      <c r="H180" s="49">
        <f t="shared" si="12"/>
        <v>392.15</v>
      </c>
      <c r="I180" s="48" t="s">
        <v>170</v>
      </c>
      <c r="J180" s="48" t="s">
        <v>245</v>
      </c>
      <c r="K180" s="50" t="s">
        <v>255</v>
      </c>
      <c r="L180" s="51">
        <v>69.0</v>
      </c>
      <c r="M180" s="50" t="s">
        <v>547</v>
      </c>
      <c r="N180" s="51" t="s">
        <v>174</v>
      </c>
      <c r="O180" s="48">
        <v>305.0</v>
      </c>
      <c r="P180" s="48">
        <v>152.0</v>
      </c>
      <c r="Q180" s="48">
        <v>60.0</v>
      </c>
      <c r="R180" s="48">
        <v>2.0</v>
      </c>
      <c r="S180" s="50" t="s">
        <v>166</v>
      </c>
      <c r="T180" s="52" t="s">
        <v>167</v>
      </c>
      <c r="U180" s="52" t="s">
        <v>346</v>
      </c>
      <c r="V180" s="51">
        <v>2.0</v>
      </c>
      <c r="W180" s="48" t="s">
        <v>166</v>
      </c>
      <c r="X180" s="50" t="s">
        <v>166</v>
      </c>
      <c r="Y180" s="51" t="s">
        <v>166</v>
      </c>
      <c r="Z180" s="48" t="s">
        <v>166</v>
      </c>
      <c r="AA180" s="48" t="s">
        <v>166</v>
      </c>
      <c r="AB180" s="48" t="s">
        <v>166</v>
      </c>
      <c r="AC180" s="48">
        <v>2.0</v>
      </c>
      <c r="AD180" s="48" t="s">
        <v>166</v>
      </c>
      <c r="AE180" s="54" t="s">
        <v>166</v>
      </c>
      <c r="AF180" s="55" t="s">
        <v>166</v>
      </c>
      <c r="AG180" s="51" t="s">
        <v>166</v>
      </c>
      <c r="AH180" s="48">
        <v>2.0</v>
      </c>
      <c r="AI180" s="48" t="s">
        <v>166</v>
      </c>
      <c r="AJ180" s="50" t="s">
        <v>166</v>
      </c>
      <c r="AK180" s="56" t="s">
        <v>166</v>
      </c>
      <c r="AL180" s="57">
        <v>89.0</v>
      </c>
      <c r="AM180" s="68"/>
      <c r="AN180" s="64" t="s">
        <v>214</v>
      </c>
      <c r="AO180" s="60"/>
      <c r="AP180" s="60"/>
      <c r="AQ180" s="66"/>
    </row>
    <row r="181">
      <c r="A181" s="46" t="s">
        <v>451</v>
      </c>
      <c r="B181" s="46" t="s">
        <v>1059</v>
      </c>
      <c r="C181" s="63" t="s">
        <v>248</v>
      </c>
      <c r="D181" s="48">
        <v>335.0</v>
      </c>
      <c r="E181" s="48">
        <v>155.0</v>
      </c>
      <c r="F181" s="48">
        <v>250.0</v>
      </c>
      <c r="G181" s="98">
        <f t="shared" si="11"/>
        <v>12.98125</v>
      </c>
      <c r="H181" s="49">
        <f t="shared" si="12"/>
        <v>519.25</v>
      </c>
      <c r="I181" s="48">
        <v>2.8</v>
      </c>
      <c r="J181" s="48" t="s">
        <v>164</v>
      </c>
      <c r="K181" s="52" t="s">
        <v>815</v>
      </c>
      <c r="L181" s="51">
        <v>75.0</v>
      </c>
      <c r="M181" s="50" t="s">
        <v>825</v>
      </c>
      <c r="N181" s="51" t="s">
        <v>174</v>
      </c>
      <c r="O181" s="48">
        <v>330.0</v>
      </c>
      <c r="P181" s="48">
        <v>140.0</v>
      </c>
      <c r="Q181" s="48">
        <v>58.0</v>
      </c>
      <c r="R181" s="48">
        <v>2.0</v>
      </c>
      <c r="S181" s="50" t="s">
        <v>166</v>
      </c>
      <c r="T181" s="52" t="s">
        <v>167</v>
      </c>
      <c r="U181" s="52" t="s">
        <v>816</v>
      </c>
      <c r="V181" s="51">
        <v>5.0</v>
      </c>
      <c r="W181" s="48" t="s">
        <v>166</v>
      </c>
      <c r="X181" s="50" t="s">
        <v>166</v>
      </c>
      <c r="Y181" s="51" t="s">
        <v>166</v>
      </c>
      <c r="Z181" s="48" t="s">
        <v>166</v>
      </c>
      <c r="AA181" s="48" t="s">
        <v>166</v>
      </c>
      <c r="AB181" s="48" t="s">
        <v>166</v>
      </c>
      <c r="AC181" s="48" t="s">
        <v>193</v>
      </c>
      <c r="AD181" s="48" t="s">
        <v>193</v>
      </c>
      <c r="AE181" s="54" t="s">
        <v>166</v>
      </c>
      <c r="AF181" s="55" t="s">
        <v>166</v>
      </c>
      <c r="AG181" s="51" t="s">
        <v>166</v>
      </c>
      <c r="AH181" s="48" t="s">
        <v>166</v>
      </c>
      <c r="AI181" s="48" t="s">
        <v>166</v>
      </c>
      <c r="AJ181" s="50" t="s">
        <v>166</v>
      </c>
      <c r="AK181" s="56">
        <v>599.0</v>
      </c>
      <c r="AL181" s="57">
        <f>AK181*Sheets!$E$3</f>
        <v>82.5694545</v>
      </c>
      <c r="AM181" s="68"/>
      <c r="AN181" s="70"/>
      <c r="AO181" s="71"/>
      <c r="AP181" s="71"/>
      <c r="AQ181" s="66"/>
    </row>
    <row r="182">
      <c r="A182" s="61" t="s">
        <v>209</v>
      </c>
      <c r="B182" s="62" t="s">
        <v>1060</v>
      </c>
      <c r="C182" s="63" t="s">
        <v>262</v>
      </c>
      <c r="D182" s="48">
        <v>280.0</v>
      </c>
      <c r="E182" s="48">
        <v>200.0</v>
      </c>
      <c r="F182" s="48">
        <v>232.0</v>
      </c>
      <c r="G182" s="49">
        <f t="shared" si="11"/>
        <v>12.992</v>
      </c>
      <c r="H182" s="49">
        <f t="shared" si="12"/>
        <v>560</v>
      </c>
      <c r="I182" s="48">
        <v>2.66</v>
      </c>
      <c r="J182" s="48" t="s">
        <v>171</v>
      </c>
      <c r="K182" s="52" t="s">
        <v>171</v>
      </c>
      <c r="L182" s="51">
        <v>172.0</v>
      </c>
      <c r="M182" s="50" t="s">
        <v>1061</v>
      </c>
      <c r="N182" s="51" t="s">
        <v>166</v>
      </c>
      <c r="O182" s="48">
        <v>275.0</v>
      </c>
      <c r="P182" s="48">
        <v>147.0</v>
      </c>
      <c r="Q182" s="48">
        <v>55.0</v>
      </c>
      <c r="R182" s="48">
        <v>2.0</v>
      </c>
      <c r="S182" s="50" t="s">
        <v>166</v>
      </c>
      <c r="T182" s="52" t="s">
        <v>227</v>
      </c>
      <c r="U182" s="52" t="s">
        <v>816</v>
      </c>
      <c r="V182" s="51" t="s">
        <v>207</v>
      </c>
      <c r="W182" s="48" t="s">
        <v>194</v>
      </c>
      <c r="X182" s="50" t="s">
        <v>166</v>
      </c>
      <c r="Y182" s="51" t="s">
        <v>166</v>
      </c>
      <c r="Z182" s="48" t="s">
        <v>166</v>
      </c>
      <c r="AA182" s="48" t="s">
        <v>194</v>
      </c>
      <c r="AB182" s="48" t="s">
        <v>194</v>
      </c>
      <c r="AC182" s="48" t="s">
        <v>207</v>
      </c>
      <c r="AD182" s="48" t="s">
        <v>166</v>
      </c>
      <c r="AE182" s="54" t="s">
        <v>166</v>
      </c>
      <c r="AF182" s="55" t="s">
        <v>166</v>
      </c>
      <c r="AG182" s="51" t="s">
        <v>166</v>
      </c>
      <c r="AH182" s="48">
        <v>2.0</v>
      </c>
      <c r="AI182" s="48" t="s">
        <v>166</v>
      </c>
      <c r="AJ182" s="50" t="s">
        <v>174</v>
      </c>
      <c r="AK182" s="56" t="s">
        <v>166</v>
      </c>
      <c r="AL182" s="57">
        <v>86.0</v>
      </c>
      <c r="AM182" s="58"/>
      <c r="AN182" s="59"/>
      <c r="AO182" s="60"/>
      <c r="AP182" s="65">
        <v>44481.784190879625</v>
      </c>
      <c r="AQ182" s="66"/>
    </row>
    <row r="183">
      <c r="A183" s="82" t="str">
        <f t="shared" ref="A183:A184" si="13">HYPERLINK("http://www.jonsbo.com/en/","Jonsbo")</f>
        <v>Jonsbo</v>
      </c>
      <c r="B183" s="62" t="s">
        <v>1062</v>
      </c>
      <c r="C183" s="63" t="s">
        <v>248</v>
      </c>
      <c r="D183" s="48">
        <v>353.0</v>
      </c>
      <c r="E183" s="48">
        <v>170.0</v>
      </c>
      <c r="F183" s="48">
        <v>217.0</v>
      </c>
      <c r="G183" s="49">
        <f t="shared" si="11"/>
        <v>13.02217</v>
      </c>
      <c r="H183" s="49">
        <f t="shared" si="12"/>
        <v>600.1</v>
      </c>
      <c r="I183" s="48">
        <v>3.6</v>
      </c>
      <c r="J183" s="48" t="s">
        <v>164</v>
      </c>
      <c r="K183" s="52" t="s">
        <v>1063</v>
      </c>
      <c r="L183" s="51">
        <v>70.0</v>
      </c>
      <c r="M183" s="50">
        <v>140.0</v>
      </c>
      <c r="N183" s="51" t="s">
        <v>174</v>
      </c>
      <c r="O183" s="48">
        <v>330.0</v>
      </c>
      <c r="P183" s="48" t="s">
        <v>170</v>
      </c>
      <c r="Q183" s="48">
        <v>60.0</v>
      </c>
      <c r="R183" s="48">
        <v>3.0</v>
      </c>
      <c r="S183" s="50" t="s">
        <v>166</v>
      </c>
      <c r="T183" s="52" t="s">
        <v>167</v>
      </c>
      <c r="U183" s="52" t="s">
        <v>324</v>
      </c>
      <c r="V183" s="51">
        <v>2.0</v>
      </c>
      <c r="W183" s="48" t="s">
        <v>166</v>
      </c>
      <c r="X183" s="50" t="s">
        <v>166</v>
      </c>
      <c r="Y183" s="51" t="s">
        <v>166</v>
      </c>
      <c r="Z183" s="48" t="s">
        <v>166</v>
      </c>
      <c r="AA183" s="48" t="s">
        <v>166</v>
      </c>
      <c r="AB183" s="48" t="s">
        <v>166</v>
      </c>
      <c r="AC183" s="48" t="s">
        <v>166</v>
      </c>
      <c r="AD183" s="48">
        <v>1.0</v>
      </c>
      <c r="AE183" s="54" t="s">
        <v>166</v>
      </c>
      <c r="AF183" s="55" t="s">
        <v>166</v>
      </c>
      <c r="AG183" s="51" t="s">
        <v>166</v>
      </c>
      <c r="AH183" s="48">
        <v>1.0</v>
      </c>
      <c r="AI183" s="48">
        <v>1.0</v>
      </c>
      <c r="AJ183" s="50" t="s">
        <v>174</v>
      </c>
      <c r="AK183" s="56" t="s">
        <v>166</v>
      </c>
      <c r="AL183" s="57" t="s">
        <v>170</v>
      </c>
      <c r="AM183" s="68"/>
      <c r="AN183" s="59"/>
      <c r="AO183" s="60"/>
      <c r="AP183" s="65">
        <v>44530.39393449074</v>
      </c>
      <c r="AQ183" s="66"/>
    </row>
    <row r="184">
      <c r="A184" s="82" t="str">
        <f t="shared" si="13"/>
        <v>Jonsbo</v>
      </c>
      <c r="B184" s="62" t="s">
        <v>1064</v>
      </c>
      <c r="C184" s="63" t="s">
        <v>262</v>
      </c>
      <c r="D184" s="48">
        <v>354.0</v>
      </c>
      <c r="E184" s="48">
        <v>170.0</v>
      </c>
      <c r="F184" s="48">
        <v>217.0</v>
      </c>
      <c r="G184" s="49">
        <f t="shared" si="11"/>
        <v>13.05906</v>
      </c>
      <c r="H184" s="49">
        <f t="shared" si="12"/>
        <v>601.8</v>
      </c>
      <c r="I184" s="48">
        <v>3.8</v>
      </c>
      <c r="J184" s="48" t="s">
        <v>164</v>
      </c>
      <c r="K184" s="52" t="s">
        <v>1065</v>
      </c>
      <c r="L184" s="51">
        <v>70.0</v>
      </c>
      <c r="M184" s="50" t="s">
        <v>166</v>
      </c>
      <c r="N184" s="51" t="s">
        <v>166</v>
      </c>
      <c r="O184" s="48">
        <v>185.0</v>
      </c>
      <c r="P184" s="48">
        <v>70.0</v>
      </c>
      <c r="Q184" s="48">
        <v>20.0</v>
      </c>
      <c r="R184" s="48" t="s">
        <v>166</v>
      </c>
      <c r="S184" s="50">
        <v>1.0</v>
      </c>
      <c r="T184" s="52" t="s">
        <v>167</v>
      </c>
      <c r="U184" s="52" t="s">
        <v>346</v>
      </c>
      <c r="V184" s="51">
        <v>1.0</v>
      </c>
      <c r="W184" s="48">
        <v>5.0</v>
      </c>
      <c r="X184" s="50" t="s">
        <v>166</v>
      </c>
      <c r="Y184" s="51" t="s">
        <v>166</v>
      </c>
      <c r="Z184" s="48" t="s">
        <v>166</v>
      </c>
      <c r="AA184" s="48" t="s">
        <v>166</v>
      </c>
      <c r="AB184" s="48" t="s">
        <v>166</v>
      </c>
      <c r="AC184" s="48" t="s">
        <v>166</v>
      </c>
      <c r="AD184" s="48">
        <v>1.0</v>
      </c>
      <c r="AE184" s="54" t="s">
        <v>166</v>
      </c>
      <c r="AF184" s="55" t="s">
        <v>166</v>
      </c>
      <c r="AG184" s="51" t="s">
        <v>166</v>
      </c>
      <c r="AH184" s="48">
        <v>1.0</v>
      </c>
      <c r="AI184" s="48">
        <v>1.0</v>
      </c>
      <c r="AJ184" s="50" t="s">
        <v>174</v>
      </c>
      <c r="AK184" s="56" t="s">
        <v>166</v>
      </c>
      <c r="AL184" s="57">
        <v>110.0</v>
      </c>
      <c r="AM184" s="68"/>
      <c r="AN184" s="59"/>
      <c r="AO184" s="60"/>
      <c r="AP184" s="65">
        <v>44441.95989748843</v>
      </c>
      <c r="AQ184" s="66"/>
    </row>
    <row r="185">
      <c r="A185" s="62" t="s">
        <v>292</v>
      </c>
      <c r="B185" s="67" t="s">
        <v>1066</v>
      </c>
      <c r="C185" s="63" t="s">
        <v>248</v>
      </c>
      <c r="D185" s="48">
        <v>188.0</v>
      </c>
      <c r="E185" s="48">
        <v>188.0</v>
      </c>
      <c r="F185" s="48">
        <v>370.0</v>
      </c>
      <c r="G185" s="49">
        <f t="shared" si="11"/>
        <v>13.07728</v>
      </c>
      <c r="H185" s="49">
        <f t="shared" si="12"/>
        <v>353.44</v>
      </c>
      <c r="I185" s="48" t="s">
        <v>170</v>
      </c>
      <c r="J185" s="48" t="s">
        <v>164</v>
      </c>
      <c r="K185" s="52" t="s">
        <v>164</v>
      </c>
      <c r="L185" s="51">
        <v>65.0</v>
      </c>
      <c r="M185" s="50" t="s">
        <v>166</v>
      </c>
      <c r="N185" s="51" t="s">
        <v>174</v>
      </c>
      <c r="O185" s="48">
        <v>300.0</v>
      </c>
      <c r="P185" s="48" t="s">
        <v>170</v>
      </c>
      <c r="Q185" s="48">
        <v>65.0</v>
      </c>
      <c r="R185" s="48">
        <v>2.0</v>
      </c>
      <c r="S185" s="50" t="s">
        <v>166</v>
      </c>
      <c r="T185" s="52" t="s">
        <v>167</v>
      </c>
      <c r="U185" s="52" t="s">
        <v>324</v>
      </c>
      <c r="V185" s="51" t="s">
        <v>416</v>
      </c>
      <c r="W185" s="48" t="s">
        <v>194</v>
      </c>
      <c r="X185" s="50" t="s">
        <v>166</v>
      </c>
      <c r="Y185" s="51" t="s">
        <v>166</v>
      </c>
      <c r="Z185" s="48" t="s">
        <v>166</v>
      </c>
      <c r="AA185" s="48" t="s">
        <v>166</v>
      </c>
      <c r="AB185" s="48" t="s">
        <v>166</v>
      </c>
      <c r="AC185" s="48" t="s">
        <v>194</v>
      </c>
      <c r="AD185" s="48" t="s">
        <v>194</v>
      </c>
      <c r="AE185" s="54" t="s">
        <v>166</v>
      </c>
      <c r="AF185" s="55" t="s">
        <v>166</v>
      </c>
      <c r="AG185" s="51" t="s">
        <v>166</v>
      </c>
      <c r="AH185" s="48" t="s">
        <v>166</v>
      </c>
      <c r="AI185" s="48" t="s">
        <v>166</v>
      </c>
      <c r="AJ185" s="50" t="s">
        <v>166</v>
      </c>
      <c r="AK185" s="56" t="s">
        <v>166</v>
      </c>
      <c r="AL185" s="57">
        <f>125*1.13</f>
        <v>141.25</v>
      </c>
      <c r="AM185" s="64" t="s">
        <v>214</v>
      </c>
      <c r="AN185" s="59"/>
      <c r="AO185" s="60" t="s">
        <v>181</v>
      </c>
      <c r="AP185" s="60"/>
      <c r="AQ185" s="66"/>
    </row>
    <row r="186">
      <c r="A186" s="69" t="str">
        <f>HYPERLINK("https://shop70176301.world.taobao.com/","Dream Case")</f>
        <v>Dream Case</v>
      </c>
      <c r="B186" s="73" t="s">
        <v>1067</v>
      </c>
      <c r="C186" s="63" t="s">
        <v>262</v>
      </c>
      <c r="D186" s="48">
        <v>325.0</v>
      </c>
      <c r="E186" s="48">
        <v>156.0</v>
      </c>
      <c r="F186" s="48">
        <v>258.0</v>
      </c>
      <c r="G186" s="49">
        <f t="shared" si="11"/>
        <v>13.0806</v>
      </c>
      <c r="H186" s="49">
        <f t="shared" si="12"/>
        <v>507</v>
      </c>
      <c r="I186" s="48">
        <v>1.65</v>
      </c>
      <c r="J186" s="48" t="s">
        <v>171</v>
      </c>
      <c r="K186" s="52" t="s">
        <v>171</v>
      </c>
      <c r="L186" s="51">
        <v>135.0</v>
      </c>
      <c r="M186" s="50" t="s">
        <v>166</v>
      </c>
      <c r="N186" s="51" t="s">
        <v>166</v>
      </c>
      <c r="O186" s="48">
        <v>325.0</v>
      </c>
      <c r="P186" s="48">
        <v>140.0</v>
      </c>
      <c r="Q186" s="48">
        <v>80.0</v>
      </c>
      <c r="R186" s="48">
        <v>4.0</v>
      </c>
      <c r="S186" s="50" t="s">
        <v>166</v>
      </c>
      <c r="T186" s="52" t="s">
        <v>423</v>
      </c>
      <c r="U186" s="52" t="s">
        <v>346</v>
      </c>
      <c r="V186" s="51">
        <v>2.0</v>
      </c>
      <c r="W186" s="48" t="s">
        <v>194</v>
      </c>
      <c r="X186" s="50" t="s">
        <v>166</v>
      </c>
      <c r="Y186" s="51" t="s">
        <v>166</v>
      </c>
      <c r="Z186" s="48" t="s">
        <v>166</v>
      </c>
      <c r="AA186" s="48" t="s">
        <v>166</v>
      </c>
      <c r="AB186" s="48" t="s">
        <v>220</v>
      </c>
      <c r="AC186" s="48" t="s">
        <v>193</v>
      </c>
      <c r="AD186" s="48" t="s">
        <v>166</v>
      </c>
      <c r="AE186" s="54" t="s">
        <v>166</v>
      </c>
      <c r="AF186" s="55" t="s">
        <v>166</v>
      </c>
      <c r="AG186" s="51" t="s">
        <v>193</v>
      </c>
      <c r="AH186" s="48" t="s">
        <v>193</v>
      </c>
      <c r="AI186" s="48" t="s">
        <v>166</v>
      </c>
      <c r="AJ186" s="50" t="s">
        <v>174</v>
      </c>
      <c r="AK186" s="56">
        <v>196.0</v>
      </c>
      <c r="AL186" s="57">
        <f>AK186*Sheets!$E$3</f>
        <v>27.017718</v>
      </c>
      <c r="AM186" s="58"/>
      <c r="AN186" s="59"/>
      <c r="AO186" s="60" t="s">
        <v>181</v>
      </c>
      <c r="AP186" s="65">
        <v>45071.557583981485</v>
      </c>
      <c r="AQ186" s="66"/>
    </row>
    <row r="187">
      <c r="A187" s="82" t="str">
        <f>HYPERLINK("https://www.geeekstore.com/","GEEEK")</f>
        <v>GEEEK</v>
      </c>
      <c r="B187" s="83" t="str">
        <f>HYPERLINK("https://www.geeekstore.com/shop/a60-mini-itx-case/","A60")</f>
        <v>A60</v>
      </c>
      <c r="C187" s="63" t="s">
        <v>248</v>
      </c>
      <c r="D187" s="48">
        <v>332.0</v>
      </c>
      <c r="E187" s="48">
        <v>158.0</v>
      </c>
      <c r="F187" s="48">
        <v>252.0</v>
      </c>
      <c r="G187" s="49">
        <f t="shared" si="11"/>
        <v>13.218912</v>
      </c>
      <c r="H187" s="49">
        <f t="shared" si="12"/>
        <v>524.56</v>
      </c>
      <c r="I187" s="48" t="s">
        <v>170</v>
      </c>
      <c r="J187" s="48" t="s">
        <v>245</v>
      </c>
      <c r="K187" s="50" t="s">
        <v>255</v>
      </c>
      <c r="L187" s="51">
        <v>75.0</v>
      </c>
      <c r="M187" s="50" t="s">
        <v>547</v>
      </c>
      <c r="N187" s="51" t="s">
        <v>174</v>
      </c>
      <c r="O187" s="48">
        <v>300.0</v>
      </c>
      <c r="P187" s="48">
        <v>134.0</v>
      </c>
      <c r="Q187" s="48">
        <v>55.0</v>
      </c>
      <c r="R187" s="48">
        <v>2.0</v>
      </c>
      <c r="S187" s="50" t="s">
        <v>166</v>
      </c>
      <c r="T187" s="52" t="s">
        <v>167</v>
      </c>
      <c r="U187" s="52" t="s">
        <v>324</v>
      </c>
      <c r="V187" s="51">
        <v>2.0</v>
      </c>
      <c r="W187" s="48" t="s">
        <v>166</v>
      </c>
      <c r="X187" s="50" t="s">
        <v>166</v>
      </c>
      <c r="Y187" s="51" t="s">
        <v>166</v>
      </c>
      <c r="Z187" s="48" t="s">
        <v>166</v>
      </c>
      <c r="AA187" s="48" t="s">
        <v>166</v>
      </c>
      <c r="AB187" s="48" t="s">
        <v>166</v>
      </c>
      <c r="AC187" s="48">
        <v>3.0</v>
      </c>
      <c r="AD187" s="48" t="s">
        <v>166</v>
      </c>
      <c r="AE187" s="54" t="s">
        <v>166</v>
      </c>
      <c r="AF187" s="55" t="s">
        <v>166</v>
      </c>
      <c r="AG187" s="51" t="s">
        <v>166</v>
      </c>
      <c r="AH187" s="48">
        <v>2.0</v>
      </c>
      <c r="AI187" s="48" t="s">
        <v>166</v>
      </c>
      <c r="AJ187" s="50" t="s">
        <v>166</v>
      </c>
      <c r="AK187" s="56" t="s">
        <v>166</v>
      </c>
      <c r="AL187" s="57">
        <v>79.0</v>
      </c>
      <c r="AM187" s="58"/>
      <c r="AN187" s="59"/>
      <c r="AO187" s="60" t="s">
        <v>181</v>
      </c>
      <c r="AP187" s="60"/>
      <c r="AQ187" s="66"/>
    </row>
    <row r="188">
      <c r="A188" s="82" t="s">
        <v>212</v>
      </c>
      <c r="B188" s="62" t="s">
        <v>1068</v>
      </c>
      <c r="C188" s="63" t="s">
        <v>282</v>
      </c>
      <c r="D188" s="48">
        <v>203.0</v>
      </c>
      <c r="E188" s="48">
        <v>175.0</v>
      </c>
      <c r="F188" s="48">
        <v>373.0</v>
      </c>
      <c r="G188" s="49">
        <f t="shared" si="11"/>
        <v>13.250825</v>
      </c>
      <c r="H188" s="49">
        <f t="shared" si="12"/>
        <v>355.25</v>
      </c>
      <c r="I188" s="48" t="s">
        <v>170</v>
      </c>
      <c r="J188" s="48" t="s">
        <v>164</v>
      </c>
      <c r="K188" s="50" t="s">
        <v>164</v>
      </c>
      <c r="L188" s="51" t="s">
        <v>282</v>
      </c>
      <c r="M188" s="50" t="s">
        <v>909</v>
      </c>
      <c r="N188" s="51" t="s">
        <v>174</v>
      </c>
      <c r="O188" s="48" t="s">
        <v>282</v>
      </c>
      <c r="P188" s="48" t="s">
        <v>282</v>
      </c>
      <c r="Q188" s="48" t="s">
        <v>282</v>
      </c>
      <c r="R188" s="48">
        <v>2.0</v>
      </c>
      <c r="S188" s="50" t="s">
        <v>166</v>
      </c>
      <c r="T188" s="52" t="s">
        <v>227</v>
      </c>
      <c r="U188" s="52" t="s">
        <v>816</v>
      </c>
      <c r="V188" s="51" t="s">
        <v>426</v>
      </c>
      <c r="W188" s="48" t="s">
        <v>166</v>
      </c>
      <c r="X188" s="50" t="s">
        <v>166</v>
      </c>
      <c r="Y188" s="51" t="s">
        <v>166</v>
      </c>
      <c r="Z188" s="48" t="s">
        <v>166</v>
      </c>
      <c r="AA188" s="48" t="s">
        <v>166</v>
      </c>
      <c r="AB188" s="48" t="s">
        <v>166</v>
      </c>
      <c r="AC188" s="48">
        <v>3.0</v>
      </c>
      <c r="AD188" s="48" t="s">
        <v>166</v>
      </c>
      <c r="AE188" s="54" t="s">
        <v>166</v>
      </c>
      <c r="AF188" s="55" t="s">
        <v>166</v>
      </c>
      <c r="AG188" s="51" t="s">
        <v>166</v>
      </c>
      <c r="AH188" s="48" t="s">
        <v>166</v>
      </c>
      <c r="AI188" s="48" t="s">
        <v>166</v>
      </c>
      <c r="AJ188" s="50" t="s">
        <v>166</v>
      </c>
      <c r="AK188" s="56">
        <v>599.0</v>
      </c>
      <c r="AL188" s="57">
        <f>125*0.77</f>
        <v>96.25</v>
      </c>
      <c r="AM188" s="68"/>
      <c r="AN188" s="64" t="s">
        <v>214</v>
      </c>
      <c r="AO188" s="71"/>
      <c r="AP188" s="71"/>
      <c r="AQ188" s="66"/>
    </row>
    <row r="189">
      <c r="A189" s="69" t="str">
        <f>HYPERLINK("https://jixieku.world.taobao.com/","机械库")</f>
        <v>机械库</v>
      </c>
      <c r="B189" s="73" t="s">
        <v>1069</v>
      </c>
      <c r="C189" s="63" t="s">
        <v>262</v>
      </c>
      <c r="D189" s="48">
        <v>340.0</v>
      </c>
      <c r="E189" s="48">
        <v>160.0</v>
      </c>
      <c r="F189" s="48">
        <v>244.0</v>
      </c>
      <c r="G189" s="49">
        <f t="shared" si="11"/>
        <v>13.2736</v>
      </c>
      <c r="H189" s="49">
        <f t="shared" si="12"/>
        <v>544</v>
      </c>
      <c r="I189" s="48" t="s">
        <v>170</v>
      </c>
      <c r="J189" s="48" t="s">
        <v>164</v>
      </c>
      <c r="K189" s="50" t="s">
        <v>323</v>
      </c>
      <c r="L189" s="51">
        <v>137.0</v>
      </c>
      <c r="M189" s="50" t="s">
        <v>547</v>
      </c>
      <c r="N189" s="51" t="s">
        <v>166</v>
      </c>
      <c r="O189" s="48">
        <v>330.0</v>
      </c>
      <c r="P189" s="48">
        <v>142.0</v>
      </c>
      <c r="Q189" s="48">
        <v>60.0</v>
      </c>
      <c r="R189" s="48">
        <v>3.0</v>
      </c>
      <c r="S189" s="50" t="s">
        <v>166</v>
      </c>
      <c r="T189" s="52" t="s">
        <v>227</v>
      </c>
      <c r="U189" s="52" t="s">
        <v>346</v>
      </c>
      <c r="V189" s="51" t="s">
        <v>220</v>
      </c>
      <c r="W189" s="48">
        <v>1.0</v>
      </c>
      <c r="X189" s="50" t="s">
        <v>166</v>
      </c>
      <c r="Y189" s="51" t="s">
        <v>166</v>
      </c>
      <c r="Z189" s="48" t="s">
        <v>166</v>
      </c>
      <c r="AA189" s="48" t="s">
        <v>166</v>
      </c>
      <c r="AB189" s="48">
        <v>1.0</v>
      </c>
      <c r="AC189" s="48">
        <v>2.0</v>
      </c>
      <c r="AD189" s="48" t="s">
        <v>166</v>
      </c>
      <c r="AE189" s="54" t="s">
        <v>166</v>
      </c>
      <c r="AF189" s="55" t="s">
        <v>166</v>
      </c>
      <c r="AG189" s="51" t="s">
        <v>166</v>
      </c>
      <c r="AH189" s="48" t="s">
        <v>166</v>
      </c>
      <c r="AI189" s="48">
        <v>1.0</v>
      </c>
      <c r="AJ189" s="50" t="s">
        <v>166</v>
      </c>
      <c r="AK189" s="56">
        <v>599.0</v>
      </c>
      <c r="AL189" s="57">
        <f>AK189*Sheets!$E$3</f>
        <v>82.5694545</v>
      </c>
      <c r="AM189" s="68"/>
      <c r="AN189" s="70"/>
      <c r="AO189" s="60" t="s">
        <v>181</v>
      </c>
      <c r="AP189" s="72">
        <v>45071.55761364583</v>
      </c>
      <c r="AQ189" s="66"/>
    </row>
    <row r="190">
      <c r="A190" s="46" t="str">
        <f>HYPERLINK("https://shop309038390.world.taobao.com/","ZZAW")</f>
        <v>ZZAW</v>
      </c>
      <c r="B190" s="46" t="str">
        <f>HYPERLINK("https://item.taobao.com/item.htm?id=613236419440","B2 Plus")</f>
        <v>B2 Plus</v>
      </c>
      <c r="C190" s="63" t="s">
        <v>248</v>
      </c>
      <c r="D190" s="48">
        <v>333.0</v>
      </c>
      <c r="E190" s="48">
        <v>145.0</v>
      </c>
      <c r="F190" s="48">
        <v>275.0</v>
      </c>
      <c r="G190" s="49">
        <f t="shared" si="11"/>
        <v>13.278375</v>
      </c>
      <c r="H190" s="49">
        <f t="shared" si="12"/>
        <v>482.85</v>
      </c>
      <c r="I190" s="48">
        <v>1.9</v>
      </c>
      <c r="J190" s="48" t="s">
        <v>245</v>
      </c>
      <c r="K190" s="50" t="s">
        <v>736</v>
      </c>
      <c r="L190" s="51">
        <v>59.0</v>
      </c>
      <c r="M190" s="50" t="s">
        <v>547</v>
      </c>
      <c r="N190" s="51" t="s">
        <v>174</v>
      </c>
      <c r="O190" s="48">
        <v>326.0</v>
      </c>
      <c r="P190" s="48">
        <v>153.0</v>
      </c>
      <c r="Q190" s="48">
        <v>57.0</v>
      </c>
      <c r="R190" s="48">
        <v>2.0</v>
      </c>
      <c r="S190" s="50" t="s">
        <v>166</v>
      </c>
      <c r="T190" s="52" t="s">
        <v>167</v>
      </c>
      <c r="U190" s="52" t="s">
        <v>346</v>
      </c>
      <c r="V190" s="51" t="s">
        <v>193</v>
      </c>
      <c r="W190" s="51" t="s">
        <v>194</v>
      </c>
      <c r="X190" s="50" t="s">
        <v>166</v>
      </c>
      <c r="Y190" s="51" t="s">
        <v>166</v>
      </c>
      <c r="Z190" s="48" t="s">
        <v>166</v>
      </c>
      <c r="AA190" s="48" t="s">
        <v>166</v>
      </c>
      <c r="AB190" s="48" t="s">
        <v>166</v>
      </c>
      <c r="AC190" s="48" t="s">
        <v>562</v>
      </c>
      <c r="AD190" s="48" t="s">
        <v>166</v>
      </c>
      <c r="AE190" s="54" t="s">
        <v>166</v>
      </c>
      <c r="AF190" s="55" t="s">
        <v>166</v>
      </c>
      <c r="AG190" s="51" t="s">
        <v>166</v>
      </c>
      <c r="AH190" s="48">
        <v>2.0</v>
      </c>
      <c r="AI190" s="48" t="s">
        <v>166</v>
      </c>
      <c r="AJ190" s="50" t="s">
        <v>166</v>
      </c>
      <c r="AK190" s="56">
        <v>498.0</v>
      </c>
      <c r="AL190" s="57">
        <f>AK190*Sheets!$E$3</f>
        <v>68.647059</v>
      </c>
      <c r="AM190" s="58"/>
      <c r="AN190" s="59"/>
      <c r="AO190" s="60"/>
      <c r="AP190" s="65">
        <v>44737.68062493055</v>
      </c>
      <c r="AQ190" s="66"/>
    </row>
    <row r="191">
      <c r="A191" s="69" t="str">
        <f>HYPERLINK("https://hzmod.world.taobao.com/","HZ MOD")</f>
        <v>HZ MOD</v>
      </c>
      <c r="B191" s="73" t="s">
        <v>1070</v>
      </c>
      <c r="C191" s="63" t="s">
        <v>248</v>
      </c>
      <c r="D191" s="48">
        <v>323.0</v>
      </c>
      <c r="E191" s="48">
        <v>157.0</v>
      </c>
      <c r="F191" s="48">
        <v>262.0</v>
      </c>
      <c r="G191" s="49">
        <f t="shared" si="11"/>
        <v>13.286282</v>
      </c>
      <c r="H191" s="49">
        <f t="shared" si="12"/>
        <v>507.11</v>
      </c>
      <c r="I191" s="48" t="s">
        <v>170</v>
      </c>
      <c r="J191" s="48" t="s">
        <v>898</v>
      </c>
      <c r="K191" s="50" t="s">
        <v>893</v>
      </c>
      <c r="L191" s="51">
        <v>56.0</v>
      </c>
      <c r="M191" s="50" t="s">
        <v>547</v>
      </c>
      <c r="N191" s="51" t="s">
        <v>174</v>
      </c>
      <c r="O191" s="48">
        <v>314.0</v>
      </c>
      <c r="P191" s="48">
        <v>150.0</v>
      </c>
      <c r="Q191" s="48">
        <v>60.0</v>
      </c>
      <c r="R191" s="48">
        <v>2.0</v>
      </c>
      <c r="S191" s="50" t="s">
        <v>166</v>
      </c>
      <c r="T191" s="52" t="s">
        <v>167</v>
      </c>
      <c r="U191" s="52" t="s">
        <v>324</v>
      </c>
      <c r="V191" s="51">
        <v>4.0</v>
      </c>
      <c r="W191" s="48" t="s">
        <v>166</v>
      </c>
      <c r="X191" s="50" t="s">
        <v>166</v>
      </c>
      <c r="Y191" s="51" t="s">
        <v>166</v>
      </c>
      <c r="Z191" s="48" t="s">
        <v>166</v>
      </c>
      <c r="AA191" s="48" t="s">
        <v>166</v>
      </c>
      <c r="AB191" s="48">
        <v>3.0</v>
      </c>
      <c r="AC191" s="48">
        <v>2.0</v>
      </c>
      <c r="AD191" s="48" t="s">
        <v>166</v>
      </c>
      <c r="AE191" s="54" t="s">
        <v>166</v>
      </c>
      <c r="AF191" s="55" t="s">
        <v>166</v>
      </c>
      <c r="AG191" s="51" t="s">
        <v>166</v>
      </c>
      <c r="AH191" s="48" t="s">
        <v>166</v>
      </c>
      <c r="AI191" s="48" t="s">
        <v>166</v>
      </c>
      <c r="AJ191" s="50" t="s">
        <v>166</v>
      </c>
      <c r="AK191" s="56">
        <v>1199.0</v>
      </c>
      <c r="AL191" s="57">
        <f>AK191*Sheets!$E$3</f>
        <v>165.2767545</v>
      </c>
      <c r="AM191" s="68"/>
      <c r="AN191" s="70"/>
      <c r="AO191" s="60" t="s">
        <v>181</v>
      </c>
      <c r="AP191" s="72">
        <v>45446.49340403936</v>
      </c>
      <c r="AQ191" s="66"/>
    </row>
    <row r="192">
      <c r="A192" s="82" t="str">
        <f>HYPERLINK("http://sliger.com/","Sliger")</f>
        <v>Sliger</v>
      </c>
      <c r="B192" s="88" t="s">
        <v>1071</v>
      </c>
      <c r="C192" s="63" t="s">
        <v>262</v>
      </c>
      <c r="D192" s="48">
        <v>344.0</v>
      </c>
      <c r="E192" s="48">
        <v>151.0</v>
      </c>
      <c r="F192" s="48">
        <v>256.0</v>
      </c>
      <c r="G192" s="49">
        <f t="shared" si="11"/>
        <v>13.297664</v>
      </c>
      <c r="H192" s="49">
        <f t="shared" si="12"/>
        <v>519.44</v>
      </c>
      <c r="I192" s="48">
        <v>3.13</v>
      </c>
      <c r="J192" s="48" t="s">
        <v>274</v>
      </c>
      <c r="K192" s="50" t="s">
        <v>1072</v>
      </c>
      <c r="L192" s="51">
        <v>128.0</v>
      </c>
      <c r="M192" s="50" t="s">
        <v>1073</v>
      </c>
      <c r="N192" s="51" t="s">
        <v>166</v>
      </c>
      <c r="O192" s="48">
        <v>323.0</v>
      </c>
      <c r="P192" s="48">
        <v>133.0</v>
      </c>
      <c r="Q192" s="48">
        <v>70.0</v>
      </c>
      <c r="R192" s="48">
        <v>3.0</v>
      </c>
      <c r="S192" s="50" t="s">
        <v>166</v>
      </c>
      <c r="T192" s="52" t="s">
        <v>227</v>
      </c>
      <c r="U192" s="52" t="s">
        <v>346</v>
      </c>
      <c r="V192" s="51" t="s">
        <v>416</v>
      </c>
      <c r="W192" s="48" t="s">
        <v>426</v>
      </c>
      <c r="X192" s="50" t="s">
        <v>166</v>
      </c>
      <c r="Y192" s="51" t="s">
        <v>166</v>
      </c>
      <c r="Z192" s="48" t="s">
        <v>166</v>
      </c>
      <c r="AA192" s="48" t="s">
        <v>166</v>
      </c>
      <c r="AB192" s="48">
        <v>1.0</v>
      </c>
      <c r="AC192" s="48" t="s">
        <v>873</v>
      </c>
      <c r="AD192" s="48" t="s">
        <v>193</v>
      </c>
      <c r="AE192" s="54" t="s">
        <v>166</v>
      </c>
      <c r="AF192" s="55" t="s">
        <v>166</v>
      </c>
      <c r="AG192" s="51" t="s">
        <v>166</v>
      </c>
      <c r="AH192" s="48">
        <v>2.0</v>
      </c>
      <c r="AI192" s="48" t="s">
        <v>166</v>
      </c>
      <c r="AJ192" s="50" t="s">
        <v>166</v>
      </c>
      <c r="AK192" s="56" t="s">
        <v>166</v>
      </c>
      <c r="AL192" s="57">
        <v>229.0</v>
      </c>
      <c r="AM192" s="58"/>
      <c r="AN192" s="59"/>
      <c r="AO192" s="60" t="s">
        <v>181</v>
      </c>
      <c r="AP192" s="65">
        <v>45071.55763873842</v>
      </c>
      <c r="AQ192" s="66"/>
    </row>
    <row r="193">
      <c r="A193" s="69" t="str">
        <f>HYPERLINK("https://shop115184075.world.taobao.com/","Galaxy Studios")</f>
        <v>Galaxy Studios</v>
      </c>
      <c r="B193" s="46" t="s">
        <v>1074</v>
      </c>
      <c r="C193" s="63" t="s">
        <v>248</v>
      </c>
      <c r="D193" s="48">
        <v>347.0</v>
      </c>
      <c r="E193" s="48">
        <v>146.0</v>
      </c>
      <c r="F193" s="48">
        <v>263.0</v>
      </c>
      <c r="G193" s="49">
        <f t="shared" si="11"/>
        <v>13.324106</v>
      </c>
      <c r="H193" s="49">
        <f t="shared" si="12"/>
        <v>506.62</v>
      </c>
      <c r="I193" s="48">
        <v>5.0</v>
      </c>
      <c r="J193" s="48" t="s">
        <v>164</v>
      </c>
      <c r="K193" s="50" t="s">
        <v>164</v>
      </c>
      <c r="L193" s="51">
        <v>50.0</v>
      </c>
      <c r="M193" s="50" t="s">
        <v>547</v>
      </c>
      <c r="N193" s="51" t="s">
        <v>174</v>
      </c>
      <c r="O193" s="48">
        <v>310.0</v>
      </c>
      <c r="P193" s="48" t="s">
        <v>170</v>
      </c>
      <c r="Q193" s="48">
        <v>60.0</v>
      </c>
      <c r="R193" s="48">
        <v>3.0</v>
      </c>
      <c r="S193" s="50" t="s">
        <v>166</v>
      </c>
      <c r="T193" s="52" t="s">
        <v>167</v>
      </c>
      <c r="U193" s="52" t="s">
        <v>324</v>
      </c>
      <c r="V193" s="51">
        <v>2.0</v>
      </c>
      <c r="W193" s="48" t="s">
        <v>166</v>
      </c>
      <c r="X193" s="50" t="s">
        <v>166</v>
      </c>
      <c r="Y193" s="51" t="s">
        <v>166</v>
      </c>
      <c r="Z193" s="48" t="s">
        <v>166</v>
      </c>
      <c r="AA193" s="48" t="s">
        <v>166</v>
      </c>
      <c r="AB193" s="48" t="s">
        <v>166</v>
      </c>
      <c r="AC193" s="48">
        <v>2.0</v>
      </c>
      <c r="AD193" s="48" t="s">
        <v>166</v>
      </c>
      <c r="AE193" s="54" t="s">
        <v>166</v>
      </c>
      <c r="AF193" s="55" t="s">
        <v>166</v>
      </c>
      <c r="AG193" s="51" t="s">
        <v>166</v>
      </c>
      <c r="AH193" s="48">
        <v>1.0</v>
      </c>
      <c r="AI193" s="48" t="s">
        <v>166</v>
      </c>
      <c r="AJ193" s="50" t="s">
        <v>166</v>
      </c>
      <c r="AK193" s="56">
        <v>2398.0</v>
      </c>
      <c r="AL193" s="57">
        <f>AK193*Sheets!$E$3</f>
        <v>330.553509</v>
      </c>
      <c r="AM193" s="68"/>
      <c r="AN193" s="70"/>
      <c r="AO193" s="71"/>
      <c r="AP193" s="72">
        <v>44723.6766097338</v>
      </c>
      <c r="AQ193" s="66"/>
    </row>
    <row r="194">
      <c r="A194" s="69" t="str">
        <f>HYPERLINK("https://shop34001191.world.taobao.com/","Mechanic Master")</f>
        <v>Mechanic Master</v>
      </c>
      <c r="B194" s="46" t="s">
        <v>1075</v>
      </c>
      <c r="C194" s="63" t="s">
        <v>262</v>
      </c>
      <c r="D194" s="48">
        <v>315.0</v>
      </c>
      <c r="E194" s="48">
        <v>160.0</v>
      </c>
      <c r="F194" s="48">
        <v>265.0</v>
      </c>
      <c r="G194" s="49">
        <f t="shared" si="11"/>
        <v>13.356</v>
      </c>
      <c r="H194" s="49">
        <f t="shared" si="12"/>
        <v>504</v>
      </c>
      <c r="I194" s="48">
        <v>2.8</v>
      </c>
      <c r="J194" s="48" t="s">
        <v>235</v>
      </c>
      <c r="K194" s="50" t="s">
        <v>605</v>
      </c>
      <c r="L194" s="51">
        <v>135.0</v>
      </c>
      <c r="M194" s="50" t="s">
        <v>547</v>
      </c>
      <c r="N194" s="51" t="s">
        <v>166</v>
      </c>
      <c r="O194" s="48">
        <v>310.0</v>
      </c>
      <c r="P194" s="48">
        <v>140.0</v>
      </c>
      <c r="Q194" s="48">
        <v>80.0</v>
      </c>
      <c r="R194" s="48">
        <v>4.0</v>
      </c>
      <c r="S194" s="50" t="s">
        <v>166</v>
      </c>
      <c r="T194" s="52" t="s">
        <v>423</v>
      </c>
      <c r="U194" s="52" t="s">
        <v>346</v>
      </c>
      <c r="V194" s="51">
        <v>2.0</v>
      </c>
      <c r="W194" s="48" t="s">
        <v>194</v>
      </c>
      <c r="X194" s="50" t="s">
        <v>166</v>
      </c>
      <c r="Y194" s="51" t="s">
        <v>166</v>
      </c>
      <c r="Z194" s="48" t="s">
        <v>166</v>
      </c>
      <c r="AA194" s="48" t="s">
        <v>193</v>
      </c>
      <c r="AB194" s="48" t="s">
        <v>300</v>
      </c>
      <c r="AC194" s="48" t="s">
        <v>278</v>
      </c>
      <c r="AD194" s="48" t="s">
        <v>166</v>
      </c>
      <c r="AE194" s="54" t="s">
        <v>166</v>
      </c>
      <c r="AF194" s="55" t="s">
        <v>166</v>
      </c>
      <c r="AG194" s="51" t="s">
        <v>166</v>
      </c>
      <c r="AH194" s="48">
        <v>2.0</v>
      </c>
      <c r="AI194" s="48" t="s">
        <v>166</v>
      </c>
      <c r="AJ194" s="50" t="s">
        <v>166</v>
      </c>
      <c r="AK194" s="56">
        <v>599.0</v>
      </c>
      <c r="AL194" s="57">
        <f>AK194*Sheets!$E$3</f>
        <v>82.5694545</v>
      </c>
      <c r="AM194" s="58"/>
      <c r="AN194" s="59"/>
      <c r="AO194" s="60"/>
      <c r="AP194" s="65">
        <v>45071.55765150463</v>
      </c>
      <c r="AQ194" s="66"/>
    </row>
    <row r="195">
      <c r="A195" s="82" t="str">
        <f>HYPERLINK("http://raijintek.com/en/index.php","Raijintek")</f>
        <v>Raijintek</v>
      </c>
      <c r="B195" s="83" t="str">
        <f>HYPERLINK("http://raijintek.com/en/products_detail.php?ProductID=54","Metis Plus")</f>
        <v>Metis Plus</v>
      </c>
      <c r="C195" s="63" t="s">
        <v>262</v>
      </c>
      <c r="D195" s="48">
        <v>277.0</v>
      </c>
      <c r="E195" s="48">
        <v>190.0</v>
      </c>
      <c r="F195" s="48">
        <v>254.0</v>
      </c>
      <c r="G195" s="49">
        <f t="shared" si="11"/>
        <v>13.36802</v>
      </c>
      <c r="H195" s="49">
        <f t="shared" si="12"/>
        <v>526.3</v>
      </c>
      <c r="I195" s="48">
        <v>2.12</v>
      </c>
      <c r="J195" s="48" t="s">
        <v>245</v>
      </c>
      <c r="K195" s="50" t="s">
        <v>1076</v>
      </c>
      <c r="L195" s="51">
        <v>160.0</v>
      </c>
      <c r="M195" s="50">
        <v>120.0</v>
      </c>
      <c r="N195" s="51" t="s">
        <v>166</v>
      </c>
      <c r="O195" s="48">
        <v>267.0</v>
      </c>
      <c r="P195" s="48">
        <v>148.0</v>
      </c>
      <c r="Q195" s="48">
        <v>40.0</v>
      </c>
      <c r="R195" s="48">
        <v>2.0</v>
      </c>
      <c r="S195" s="50" t="s">
        <v>166</v>
      </c>
      <c r="T195" s="52" t="s">
        <v>167</v>
      </c>
      <c r="U195" s="52" t="s">
        <v>599</v>
      </c>
      <c r="V195" s="51" t="s">
        <v>278</v>
      </c>
      <c r="W195" s="48" t="s">
        <v>193</v>
      </c>
      <c r="X195" s="50" t="s">
        <v>166</v>
      </c>
      <c r="Y195" s="51" t="s">
        <v>166</v>
      </c>
      <c r="Z195" s="48" t="s">
        <v>166</v>
      </c>
      <c r="AA195" s="48" t="s">
        <v>166</v>
      </c>
      <c r="AB195" s="48" t="s">
        <v>166</v>
      </c>
      <c r="AC195" s="48">
        <v>2.0</v>
      </c>
      <c r="AD195" s="48" t="s">
        <v>166</v>
      </c>
      <c r="AE195" s="54" t="s">
        <v>166</v>
      </c>
      <c r="AF195" s="55" t="s">
        <v>166</v>
      </c>
      <c r="AG195" s="51" t="s">
        <v>166</v>
      </c>
      <c r="AH195" s="48">
        <v>2.0</v>
      </c>
      <c r="AI195" s="48" t="s">
        <v>166</v>
      </c>
      <c r="AJ195" s="50" t="s">
        <v>174</v>
      </c>
      <c r="AK195" s="56" t="s">
        <v>166</v>
      </c>
      <c r="AL195" s="57">
        <v>64.99</v>
      </c>
      <c r="AM195" s="58"/>
      <c r="AN195" s="59"/>
      <c r="AO195" s="60"/>
      <c r="AP195" s="65">
        <v>44563.99639986111</v>
      </c>
      <c r="AQ195" s="66"/>
    </row>
    <row r="196">
      <c r="A196" s="69" t="str">
        <f>HYPERLINK("https://sktcase.world.taobao.com/","SKTC")</f>
        <v>SKTC</v>
      </c>
      <c r="B196" s="46" t="str">
        <f>HYPERLINK("https://item.taobao.com/item.htm?id=522605381425","Q1")</f>
        <v>Q1</v>
      </c>
      <c r="C196" s="63" t="s">
        <v>262</v>
      </c>
      <c r="D196" s="48">
        <v>277.0</v>
      </c>
      <c r="E196" s="48">
        <v>190.0</v>
      </c>
      <c r="F196" s="48">
        <v>254.0</v>
      </c>
      <c r="G196" s="49">
        <f t="shared" si="11"/>
        <v>13.36802</v>
      </c>
      <c r="H196" s="49">
        <f t="shared" si="12"/>
        <v>526.3</v>
      </c>
      <c r="I196" s="48">
        <v>2.8</v>
      </c>
      <c r="J196" s="48" t="s">
        <v>411</v>
      </c>
      <c r="K196" s="50" t="s">
        <v>1076</v>
      </c>
      <c r="L196" s="51">
        <v>160.0</v>
      </c>
      <c r="M196" s="50">
        <v>120.0</v>
      </c>
      <c r="N196" s="51" t="s">
        <v>166</v>
      </c>
      <c r="O196" s="48">
        <v>267.0</v>
      </c>
      <c r="P196" s="48">
        <v>148.0</v>
      </c>
      <c r="Q196" s="48">
        <v>40.0</v>
      </c>
      <c r="R196" s="48">
        <v>2.0</v>
      </c>
      <c r="S196" s="50" t="s">
        <v>166</v>
      </c>
      <c r="T196" s="52" t="s">
        <v>1077</v>
      </c>
      <c r="U196" s="52" t="s">
        <v>686</v>
      </c>
      <c r="V196" s="51" t="s">
        <v>426</v>
      </c>
      <c r="W196" s="48" t="s">
        <v>193</v>
      </c>
      <c r="X196" s="50" t="s">
        <v>166</v>
      </c>
      <c r="Y196" s="51" t="s">
        <v>166</v>
      </c>
      <c r="Z196" s="48" t="s">
        <v>166</v>
      </c>
      <c r="AA196" s="48" t="s">
        <v>166</v>
      </c>
      <c r="AB196" s="48" t="s">
        <v>166</v>
      </c>
      <c r="AC196" s="48" t="s">
        <v>412</v>
      </c>
      <c r="AD196" s="48" t="s">
        <v>166</v>
      </c>
      <c r="AE196" s="54" t="s">
        <v>166</v>
      </c>
      <c r="AF196" s="55" t="s">
        <v>166</v>
      </c>
      <c r="AG196" s="51" t="s">
        <v>166</v>
      </c>
      <c r="AH196" s="48">
        <v>2.0</v>
      </c>
      <c r="AI196" s="48" t="s">
        <v>166</v>
      </c>
      <c r="AJ196" s="50" t="s">
        <v>174</v>
      </c>
      <c r="AK196" s="56">
        <v>199.0</v>
      </c>
      <c r="AL196" s="57">
        <f>AK196*Sheets!$E$3</f>
        <v>27.4312545</v>
      </c>
      <c r="AM196" s="68"/>
      <c r="AN196" s="59"/>
      <c r="AO196" s="60"/>
      <c r="AP196" s="65">
        <v>44644.505563831015</v>
      </c>
      <c r="AQ196" s="66"/>
    </row>
    <row r="197">
      <c r="A197" s="69" t="str">
        <f>HYPERLINK("https://jixieku.world.taobao.com/","机械库")</f>
        <v>机械库</v>
      </c>
      <c r="B197" s="73" t="s">
        <v>1078</v>
      </c>
      <c r="C197" s="63" t="s">
        <v>262</v>
      </c>
      <c r="D197" s="48">
        <v>255.0</v>
      </c>
      <c r="E197" s="48">
        <v>150.0</v>
      </c>
      <c r="F197" s="48">
        <v>350.0</v>
      </c>
      <c r="G197" s="49">
        <f t="shared" si="11"/>
        <v>13.3875</v>
      </c>
      <c r="H197" s="49">
        <f t="shared" si="12"/>
        <v>382.5</v>
      </c>
      <c r="I197" s="48" t="s">
        <v>170</v>
      </c>
      <c r="J197" s="48" t="s">
        <v>164</v>
      </c>
      <c r="K197" s="50" t="s">
        <v>323</v>
      </c>
      <c r="L197" s="51">
        <v>131.0</v>
      </c>
      <c r="M197" s="50" t="s">
        <v>166</v>
      </c>
      <c r="N197" s="51" t="s">
        <v>166</v>
      </c>
      <c r="O197" s="48">
        <v>250.0</v>
      </c>
      <c r="P197" s="48">
        <v>136.0</v>
      </c>
      <c r="Q197" s="48">
        <v>80.0</v>
      </c>
      <c r="R197" s="48">
        <v>4.0</v>
      </c>
      <c r="S197" s="50" t="s">
        <v>166</v>
      </c>
      <c r="T197" s="52" t="s">
        <v>423</v>
      </c>
      <c r="U197" s="52" t="s">
        <v>346</v>
      </c>
      <c r="V197" s="51">
        <v>4.0</v>
      </c>
      <c r="W197" s="48">
        <v>1.0</v>
      </c>
      <c r="X197" s="50" t="s">
        <v>166</v>
      </c>
      <c r="Y197" s="51" t="s">
        <v>166</v>
      </c>
      <c r="Z197" s="48" t="s">
        <v>166</v>
      </c>
      <c r="AA197" s="48" t="s">
        <v>166</v>
      </c>
      <c r="AB197" s="48">
        <v>4.0</v>
      </c>
      <c r="AC197" s="48" t="s">
        <v>166</v>
      </c>
      <c r="AD197" s="48" t="s">
        <v>166</v>
      </c>
      <c r="AE197" s="54" t="s">
        <v>166</v>
      </c>
      <c r="AF197" s="55" t="s">
        <v>166</v>
      </c>
      <c r="AG197" s="51" t="s">
        <v>166</v>
      </c>
      <c r="AH197" s="48">
        <v>2.0</v>
      </c>
      <c r="AI197" s="48" t="s">
        <v>166</v>
      </c>
      <c r="AJ197" s="50" t="s">
        <v>166</v>
      </c>
      <c r="AK197" s="56">
        <v>299.0</v>
      </c>
      <c r="AL197" s="57">
        <f>AK197*Sheets!$E$3</f>
        <v>41.2158045</v>
      </c>
      <c r="AM197" s="58"/>
      <c r="AN197" s="59"/>
      <c r="AO197" s="71" t="s">
        <v>181</v>
      </c>
      <c r="AP197" s="65">
        <v>45071.557793252316</v>
      </c>
      <c r="AQ197" s="66"/>
    </row>
    <row r="198">
      <c r="A198" s="99" t="s">
        <v>763</v>
      </c>
      <c r="B198" s="73" t="s">
        <v>1079</v>
      </c>
      <c r="C198" s="63" t="s">
        <v>262</v>
      </c>
      <c r="D198" s="48">
        <v>335.0</v>
      </c>
      <c r="E198" s="48">
        <v>168.0</v>
      </c>
      <c r="F198" s="48">
        <v>238.0</v>
      </c>
      <c r="G198" s="49">
        <f t="shared" si="11"/>
        <v>13.39464</v>
      </c>
      <c r="H198" s="49">
        <f t="shared" si="12"/>
        <v>562.8</v>
      </c>
      <c r="I198" s="48" t="s">
        <v>170</v>
      </c>
      <c r="J198" s="48" t="s">
        <v>245</v>
      </c>
      <c r="K198" s="50" t="s">
        <v>164</v>
      </c>
      <c r="L198" s="51">
        <v>140.0</v>
      </c>
      <c r="M198" s="50" t="s">
        <v>547</v>
      </c>
      <c r="N198" s="51" t="s">
        <v>166</v>
      </c>
      <c r="O198" s="48">
        <v>320.0</v>
      </c>
      <c r="P198" s="48">
        <v>145.0</v>
      </c>
      <c r="Q198" s="48">
        <v>60.0</v>
      </c>
      <c r="R198" s="48">
        <v>2.0</v>
      </c>
      <c r="S198" s="50" t="s">
        <v>166</v>
      </c>
      <c r="T198" s="52" t="s">
        <v>793</v>
      </c>
      <c r="U198" s="52" t="s">
        <v>346</v>
      </c>
      <c r="V198" s="51" t="s">
        <v>426</v>
      </c>
      <c r="W198" s="48" t="s">
        <v>194</v>
      </c>
      <c r="X198" s="50" t="s">
        <v>166</v>
      </c>
      <c r="Y198" s="51" t="s">
        <v>166</v>
      </c>
      <c r="Z198" s="48" t="s">
        <v>166</v>
      </c>
      <c r="AA198" s="48">
        <v>2.0</v>
      </c>
      <c r="AB198" s="48" t="s">
        <v>166</v>
      </c>
      <c r="AC198" s="48" t="s">
        <v>194</v>
      </c>
      <c r="AD198" s="48" t="s">
        <v>166</v>
      </c>
      <c r="AE198" s="54" t="s">
        <v>166</v>
      </c>
      <c r="AF198" s="55" t="s">
        <v>166</v>
      </c>
      <c r="AG198" s="51" t="s">
        <v>166</v>
      </c>
      <c r="AH198" s="48" t="s">
        <v>166</v>
      </c>
      <c r="AI198" s="48" t="s">
        <v>166</v>
      </c>
      <c r="AJ198" s="50" t="s">
        <v>166</v>
      </c>
      <c r="AK198" s="56">
        <v>799.0</v>
      </c>
      <c r="AL198" s="57">
        <f>AK198*Sheets!$E$3</f>
        <v>110.1385545</v>
      </c>
      <c r="AM198" s="68"/>
      <c r="AN198" s="70"/>
      <c r="AO198" s="71" t="s">
        <v>181</v>
      </c>
      <c r="AP198" s="72">
        <v>44597.475019247686</v>
      </c>
      <c r="AQ198" s="66"/>
    </row>
    <row r="199">
      <c r="A199" s="69" t="s">
        <v>196</v>
      </c>
      <c r="B199" s="73" t="s">
        <v>1080</v>
      </c>
      <c r="C199" s="63" t="s">
        <v>262</v>
      </c>
      <c r="D199" s="48">
        <v>365.0</v>
      </c>
      <c r="E199" s="48">
        <v>160.0</v>
      </c>
      <c r="F199" s="48">
        <v>230.0</v>
      </c>
      <c r="G199" s="49">
        <f t="shared" si="11"/>
        <v>13.432</v>
      </c>
      <c r="H199" s="49">
        <f t="shared" si="12"/>
        <v>584</v>
      </c>
      <c r="I199" s="48" t="s">
        <v>170</v>
      </c>
      <c r="J199" s="48" t="s">
        <v>164</v>
      </c>
      <c r="K199" s="50" t="s">
        <v>164</v>
      </c>
      <c r="L199" s="51">
        <v>110.0</v>
      </c>
      <c r="M199" s="50" t="s">
        <v>547</v>
      </c>
      <c r="N199" s="51" t="s">
        <v>166</v>
      </c>
      <c r="O199" s="48">
        <v>350.0</v>
      </c>
      <c r="P199" s="48">
        <v>150.0</v>
      </c>
      <c r="Q199" s="48">
        <v>55.0</v>
      </c>
      <c r="R199" s="48">
        <v>2.0</v>
      </c>
      <c r="S199" s="50" t="s">
        <v>166</v>
      </c>
      <c r="T199" s="52" t="s">
        <v>167</v>
      </c>
      <c r="U199" s="52" t="s">
        <v>346</v>
      </c>
      <c r="V199" s="51">
        <v>2.0</v>
      </c>
      <c r="W199" s="48">
        <v>1.0</v>
      </c>
      <c r="X199" s="50" t="s">
        <v>166</v>
      </c>
      <c r="Y199" s="51" t="s">
        <v>166</v>
      </c>
      <c r="Z199" s="48" t="s">
        <v>166</v>
      </c>
      <c r="AA199" s="48" t="s">
        <v>166</v>
      </c>
      <c r="AB199" s="48" t="s">
        <v>166</v>
      </c>
      <c r="AC199" s="48">
        <v>2.0</v>
      </c>
      <c r="AD199" s="48" t="s">
        <v>166</v>
      </c>
      <c r="AE199" s="54" t="s">
        <v>166</v>
      </c>
      <c r="AF199" s="55" t="s">
        <v>166</v>
      </c>
      <c r="AG199" s="51" t="s">
        <v>166</v>
      </c>
      <c r="AH199" s="48" t="s">
        <v>166</v>
      </c>
      <c r="AI199" s="48" t="s">
        <v>166</v>
      </c>
      <c r="AJ199" s="50" t="s">
        <v>166</v>
      </c>
      <c r="AK199" s="56">
        <v>259.0</v>
      </c>
      <c r="AL199" s="57">
        <f>AK199*Sheets!$E$3</f>
        <v>35.7019845</v>
      </c>
      <c r="AM199" s="68"/>
      <c r="AN199" s="59"/>
      <c r="AO199" s="71" t="s">
        <v>181</v>
      </c>
      <c r="AP199" s="65">
        <v>44442.91176554398</v>
      </c>
      <c r="AQ199" s="66"/>
    </row>
    <row r="200">
      <c r="A200" s="46" t="s">
        <v>451</v>
      </c>
      <c r="B200" s="46" t="s">
        <v>1081</v>
      </c>
      <c r="C200" s="63" t="s">
        <v>248</v>
      </c>
      <c r="D200" s="48">
        <v>340.0</v>
      </c>
      <c r="E200" s="48">
        <v>155.0</v>
      </c>
      <c r="F200" s="48">
        <v>255.0</v>
      </c>
      <c r="G200" s="98">
        <f t="shared" si="11"/>
        <v>13.4385</v>
      </c>
      <c r="H200" s="49">
        <f t="shared" si="12"/>
        <v>527</v>
      </c>
      <c r="I200" s="48">
        <v>4.7</v>
      </c>
      <c r="J200" s="48" t="s">
        <v>235</v>
      </c>
      <c r="K200" s="50" t="s">
        <v>1082</v>
      </c>
      <c r="L200" s="51">
        <v>73.0</v>
      </c>
      <c r="M200" s="50" t="s">
        <v>825</v>
      </c>
      <c r="N200" s="51" t="s">
        <v>174</v>
      </c>
      <c r="O200" s="48">
        <v>332.0</v>
      </c>
      <c r="P200" s="48">
        <v>143.0</v>
      </c>
      <c r="Q200" s="48">
        <v>59.0</v>
      </c>
      <c r="R200" s="48">
        <v>2.0</v>
      </c>
      <c r="S200" s="50" t="s">
        <v>166</v>
      </c>
      <c r="T200" s="52" t="s">
        <v>167</v>
      </c>
      <c r="U200" s="52" t="s">
        <v>816</v>
      </c>
      <c r="V200" s="51">
        <v>3.0</v>
      </c>
      <c r="W200" s="48">
        <v>1.0</v>
      </c>
      <c r="X200" s="50" t="s">
        <v>166</v>
      </c>
      <c r="Y200" s="51" t="s">
        <v>166</v>
      </c>
      <c r="Z200" s="48" t="s">
        <v>166</v>
      </c>
      <c r="AA200" s="48" t="s">
        <v>166</v>
      </c>
      <c r="AB200" s="48" t="s">
        <v>166</v>
      </c>
      <c r="AC200" s="48" t="s">
        <v>193</v>
      </c>
      <c r="AD200" s="48" t="s">
        <v>193</v>
      </c>
      <c r="AE200" s="54" t="s">
        <v>166</v>
      </c>
      <c r="AF200" s="55" t="s">
        <v>166</v>
      </c>
      <c r="AG200" s="51" t="s">
        <v>166</v>
      </c>
      <c r="AH200" s="48">
        <v>1.0</v>
      </c>
      <c r="AI200" s="48" t="s">
        <v>166</v>
      </c>
      <c r="AJ200" s="50" t="s">
        <v>166</v>
      </c>
      <c r="AK200" s="56">
        <v>899.0</v>
      </c>
      <c r="AL200" s="57">
        <f>AK200*Sheets!$E$3</f>
        <v>123.9231045</v>
      </c>
      <c r="AM200" s="68"/>
      <c r="AN200" s="70"/>
      <c r="AO200" s="71"/>
      <c r="AP200" s="72">
        <v>44591.66698243056</v>
      </c>
      <c r="AQ200" s="66"/>
    </row>
    <row r="201">
      <c r="A201" s="69" t="str">
        <f>HYPERLINK("https://metalfish.world.taobao.com/","Metalfish")</f>
        <v>Metalfish</v>
      </c>
      <c r="B201" s="46" t="str">
        <f>HYPERLINK("https://item.taobao.com/item.htm?id=614226153636","G5 Plus (water cool)")</f>
        <v>G5 Plus (water cool)</v>
      </c>
      <c r="C201" s="63" t="s">
        <v>248</v>
      </c>
      <c r="D201" s="48">
        <v>320.0</v>
      </c>
      <c r="E201" s="48">
        <v>140.0</v>
      </c>
      <c r="F201" s="48">
        <v>300.0</v>
      </c>
      <c r="G201" s="49">
        <f t="shared" si="11"/>
        <v>13.44</v>
      </c>
      <c r="H201" s="49">
        <f t="shared" si="12"/>
        <v>448</v>
      </c>
      <c r="I201" s="48">
        <v>1.9</v>
      </c>
      <c r="J201" s="48" t="s">
        <v>274</v>
      </c>
      <c r="K201" s="50" t="s">
        <v>213</v>
      </c>
      <c r="L201" s="51">
        <v>60.0</v>
      </c>
      <c r="M201" s="50" t="s">
        <v>547</v>
      </c>
      <c r="N201" s="51" t="s">
        <v>174</v>
      </c>
      <c r="O201" s="48">
        <v>300.0</v>
      </c>
      <c r="P201" s="48" t="s">
        <v>170</v>
      </c>
      <c r="Q201" s="48">
        <v>50.0</v>
      </c>
      <c r="R201" s="48">
        <v>2.0</v>
      </c>
      <c r="S201" s="50" t="s">
        <v>166</v>
      </c>
      <c r="T201" s="52" t="s">
        <v>167</v>
      </c>
      <c r="U201" s="52" t="s">
        <v>346</v>
      </c>
      <c r="V201" s="51" t="s">
        <v>207</v>
      </c>
      <c r="W201" s="48" t="s">
        <v>194</v>
      </c>
      <c r="X201" s="50" t="s">
        <v>166</v>
      </c>
      <c r="Y201" s="51" t="s">
        <v>166</v>
      </c>
      <c r="Z201" s="48" t="s">
        <v>166</v>
      </c>
      <c r="AA201" s="48" t="s">
        <v>166</v>
      </c>
      <c r="AB201" s="48" t="s">
        <v>166</v>
      </c>
      <c r="AC201" s="48" t="s">
        <v>416</v>
      </c>
      <c r="AD201" s="48" t="s">
        <v>166</v>
      </c>
      <c r="AE201" s="54" t="s">
        <v>166</v>
      </c>
      <c r="AF201" s="55" t="s">
        <v>166</v>
      </c>
      <c r="AG201" s="51" t="s">
        <v>166</v>
      </c>
      <c r="AH201" s="48">
        <v>2.0</v>
      </c>
      <c r="AI201" s="48" t="s">
        <v>166</v>
      </c>
      <c r="AJ201" s="50" t="s">
        <v>166</v>
      </c>
      <c r="AK201" s="56">
        <v>499.0</v>
      </c>
      <c r="AL201" s="57">
        <f>AK201*Sheets!$E$3</f>
        <v>68.7849045</v>
      </c>
      <c r="AM201" s="68"/>
      <c r="AN201" s="70"/>
      <c r="AO201" s="71" t="s">
        <v>181</v>
      </c>
      <c r="AP201" s="71"/>
      <c r="AQ201" s="66"/>
    </row>
    <row r="202">
      <c r="A202" s="61" t="s">
        <v>178</v>
      </c>
      <c r="B202" s="62" t="s">
        <v>1083</v>
      </c>
      <c r="C202" s="63" t="s">
        <v>248</v>
      </c>
      <c r="D202" s="48">
        <v>345.0</v>
      </c>
      <c r="E202" s="48">
        <v>153.0</v>
      </c>
      <c r="F202" s="48">
        <v>256.0</v>
      </c>
      <c r="G202" s="49">
        <f t="shared" si="11"/>
        <v>13.51296</v>
      </c>
      <c r="H202" s="49">
        <f t="shared" si="12"/>
        <v>527.85</v>
      </c>
      <c r="I202" s="48">
        <v>2.4</v>
      </c>
      <c r="J202" s="48" t="s">
        <v>164</v>
      </c>
      <c r="K202" s="50" t="s">
        <v>512</v>
      </c>
      <c r="L202" s="51">
        <v>57.0</v>
      </c>
      <c r="M202" s="50" t="s">
        <v>825</v>
      </c>
      <c r="N202" s="51" t="s">
        <v>174</v>
      </c>
      <c r="O202" s="48">
        <v>332.0</v>
      </c>
      <c r="P202" s="48" t="s">
        <v>170</v>
      </c>
      <c r="Q202" s="48">
        <v>66.0</v>
      </c>
      <c r="R202" s="48">
        <v>3.0</v>
      </c>
      <c r="S202" s="50" t="s">
        <v>166</v>
      </c>
      <c r="T202" s="52" t="s">
        <v>167</v>
      </c>
      <c r="U202" s="52" t="s">
        <v>346</v>
      </c>
      <c r="V202" s="51">
        <v>2.0</v>
      </c>
      <c r="W202" s="48" t="s">
        <v>166</v>
      </c>
      <c r="X202" s="50" t="s">
        <v>166</v>
      </c>
      <c r="Y202" s="51" t="s">
        <v>166</v>
      </c>
      <c r="Z202" s="48" t="s">
        <v>166</v>
      </c>
      <c r="AA202" s="48" t="s">
        <v>166</v>
      </c>
      <c r="AB202" s="48" t="s">
        <v>194</v>
      </c>
      <c r="AC202" s="48" t="s">
        <v>426</v>
      </c>
      <c r="AD202" s="48" t="s">
        <v>193</v>
      </c>
      <c r="AE202" s="54" t="s">
        <v>166</v>
      </c>
      <c r="AF202" s="55" t="s">
        <v>166</v>
      </c>
      <c r="AG202" s="51" t="s">
        <v>166</v>
      </c>
      <c r="AH202" s="48" t="s">
        <v>166</v>
      </c>
      <c r="AI202" s="48" t="s">
        <v>166</v>
      </c>
      <c r="AJ202" s="50" t="s">
        <v>166</v>
      </c>
      <c r="AK202" s="56" t="s">
        <v>166</v>
      </c>
      <c r="AL202" s="57">
        <v>172.82</v>
      </c>
      <c r="AM202" s="58"/>
      <c r="AN202" s="59"/>
      <c r="AO202" s="71"/>
      <c r="AP202" s="65">
        <v>45227.75110621528</v>
      </c>
      <c r="AQ202" s="66"/>
    </row>
    <row r="203">
      <c r="A203" s="69" t="str">
        <f>HYPERLINK("https://metalfish.world.taobao.com/","Metalfish")</f>
        <v>Metalfish</v>
      </c>
      <c r="B203" s="46" t="s">
        <v>1084</v>
      </c>
      <c r="C203" s="63" t="s">
        <v>262</v>
      </c>
      <c r="D203" s="48">
        <v>325.0</v>
      </c>
      <c r="E203" s="48">
        <v>160.0</v>
      </c>
      <c r="F203" s="48">
        <v>260.0</v>
      </c>
      <c r="G203" s="49">
        <f t="shared" si="11"/>
        <v>13.52</v>
      </c>
      <c r="H203" s="49">
        <f t="shared" si="12"/>
        <v>520</v>
      </c>
      <c r="I203" s="48">
        <v>1.6</v>
      </c>
      <c r="J203" s="48" t="s">
        <v>597</v>
      </c>
      <c r="K203" s="50" t="s">
        <v>305</v>
      </c>
      <c r="L203" s="51">
        <v>135.0</v>
      </c>
      <c r="M203" s="50" t="s">
        <v>166</v>
      </c>
      <c r="N203" s="51" t="s">
        <v>166</v>
      </c>
      <c r="O203" s="48">
        <v>310.0</v>
      </c>
      <c r="P203" s="48">
        <v>140.0</v>
      </c>
      <c r="Q203" s="48">
        <v>80.0</v>
      </c>
      <c r="R203" s="48">
        <v>4.0</v>
      </c>
      <c r="S203" s="50" t="s">
        <v>166</v>
      </c>
      <c r="T203" s="52" t="s">
        <v>423</v>
      </c>
      <c r="U203" s="52" t="s">
        <v>346</v>
      </c>
      <c r="V203" s="51">
        <v>1.0</v>
      </c>
      <c r="W203" s="48" t="s">
        <v>193</v>
      </c>
      <c r="X203" s="50" t="s">
        <v>166</v>
      </c>
      <c r="Y203" s="51" t="s">
        <v>166</v>
      </c>
      <c r="Z203" s="48" t="s">
        <v>166</v>
      </c>
      <c r="AA203" s="48" t="s">
        <v>166</v>
      </c>
      <c r="AB203" s="48" t="s">
        <v>412</v>
      </c>
      <c r="AC203" s="48" t="s">
        <v>207</v>
      </c>
      <c r="AD203" s="48" t="s">
        <v>166</v>
      </c>
      <c r="AE203" s="54" t="s">
        <v>166</v>
      </c>
      <c r="AF203" s="55" t="s">
        <v>166</v>
      </c>
      <c r="AG203" s="51" t="s">
        <v>166</v>
      </c>
      <c r="AH203" s="48">
        <v>2.0</v>
      </c>
      <c r="AI203" s="48" t="s">
        <v>166</v>
      </c>
      <c r="AJ203" s="50" t="s">
        <v>166</v>
      </c>
      <c r="AK203" s="56">
        <v>379.0</v>
      </c>
      <c r="AL203" s="57">
        <f>AK203*Sheets!$E$3</f>
        <v>52.2434445</v>
      </c>
      <c r="AM203" s="68"/>
      <c r="AN203" s="70"/>
      <c r="AO203" s="71"/>
      <c r="AP203" s="72">
        <v>44939.443212812504</v>
      </c>
      <c r="AQ203" s="66"/>
    </row>
    <row r="204">
      <c r="A204" s="61" t="s">
        <v>1085</v>
      </c>
      <c r="B204" s="62" t="s">
        <v>1086</v>
      </c>
      <c r="C204" s="63" t="s">
        <v>248</v>
      </c>
      <c r="D204" s="48">
        <v>371.0</v>
      </c>
      <c r="E204" s="48">
        <v>173.0</v>
      </c>
      <c r="F204" s="48">
        <v>211.0</v>
      </c>
      <c r="G204" s="49">
        <f t="shared" si="11"/>
        <v>13.542613</v>
      </c>
      <c r="H204" s="49">
        <f t="shared" si="12"/>
        <v>641.83</v>
      </c>
      <c r="I204" s="48">
        <v>4.2</v>
      </c>
      <c r="J204" s="48" t="s">
        <v>1087</v>
      </c>
      <c r="K204" s="50" t="s">
        <v>512</v>
      </c>
      <c r="L204" s="51">
        <v>72.0</v>
      </c>
      <c r="M204" s="50" t="s">
        <v>166</v>
      </c>
      <c r="N204" s="51" t="s">
        <v>174</v>
      </c>
      <c r="O204" s="48">
        <v>324.0</v>
      </c>
      <c r="P204" s="48">
        <v>147.0</v>
      </c>
      <c r="Q204" s="48">
        <v>62.0</v>
      </c>
      <c r="R204" s="48">
        <v>3.0</v>
      </c>
      <c r="S204" s="50" t="s">
        <v>166</v>
      </c>
      <c r="T204" s="52" t="s">
        <v>167</v>
      </c>
      <c r="U204" s="52" t="s">
        <v>346</v>
      </c>
      <c r="V204" s="51">
        <v>1.0</v>
      </c>
      <c r="W204" s="48" t="s">
        <v>166</v>
      </c>
      <c r="X204" s="50" t="s">
        <v>166</v>
      </c>
      <c r="Y204" s="51" t="s">
        <v>166</v>
      </c>
      <c r="Z204" s="48" t="s">
        <v>166</v>
      </c>
      <c r="AA204" s="48" t="s">
        <v>166</v>
      </c>
      <c r="AB204" s="48" t="s">
        <v>166</v>
      </c>
      <c r="AC204" s="48" t="s">
        <v>166</v>
      </c>
      <c r="AD204" s="48" t="s">
        <v>166</v>
      </c>
      <c r="AE204" s="54" t="s">
        <v>166</v>
      </c>
      <c r="AF204" s="55" t="s">
        <v>166</v>
      </c>
      <c r="AG204" s="51" t="s">
        <v>166</v>
      </c>
      <c r="AH204" s="48">
        <v>1.0</v>
      </c>
      <c r="AI204" s="48">
        <v>1.0</v>
      </c>
      <c r="AJ204" s="50" t="s">
        <v>166</v>
      </c>
      <c r="AK204" s="56" t="s">
        <v>166</v>
      </c>
      <c r="AL204" s="57">
        <v>169.99</v>
      </c>
      <c r="AM204" s="58"/>
      <c r="AN204" s="59"/>
      <c r="AO204" s="60"/>
      <c r="AP204" s="60"/>
      <c r="AQ204" s="66"/>
    </row>
    <row r="205">
      <c r="A205" s="69" t="str">
        <f>HYPERLINK("https://shop34001191.world.taobao.com/","Mechanic Master")</f>
        <v>Mechanic Master</v>
      </c>
      <c r="B205" s="46" t="s">
        <v>1088</v>
      </c>
      <c r="C205" s="63" t="s">
        <v>248</v>
      </c>
      <c r="D205" s="48">
        <v>355.0</v>
      </c>
      <c r="E205" s="48">
        <v>159.0</v>
      </c>
      <c r="F205" s="48">
        <v>240.0</v>
      </c>
      <c r="G205" s="49">
        <f t="shared" si="11"/>
        <v>13.5468</v>
      </c>
      <c r="H205" s="49">
        <f t="shared" si="12"/>
        <v>564.45</v>
      </c>
      <c r="I205" s="48">
        <v>3.45</v>
      </c>
      <c r="J205" s="48" t="s">
        <v>171</v>
      </c>
      <c r="K205" s="50" t="s">
        <v>447</v>
      </c>
      <c r="L205" s="51">
        <v>67.0</v>
      </c>
      <c r="M205" s="50" t="s">
        <v>547</v>
      </c>
      <c r="N205" s="51" t="s">
        <v>174</v>
      </c>
      <c r="O205" s="48">
        <v>345.0</v>
      </c>
      <c r="P205" s="48" t="s">
        <v>170</v>
      </c>
      <c r="Q205" s="48">
        <v>65.0</v>
      </c>
      <c r="R205" s="48">
        <v>3.0</v>
      </c>
      <c r="S205" s="50" t="s">
        <v>166</v>
      </c>
      <c r="T205" s="52" t="s">
        <v>167</v>
      </c>
      <c r="U205" s="52" t="s">
        <v>816</v>
      </c>
      <c r="V205" s="51">
        <v>3.0</v>
      </c>
      <c r="W205" s="48" t="s">
        <v>193</v>
      </c>
      <c r="X205" s="50" t="s">
        <v>166</v>
      </c>
      <c r="Y205" s="51" t="s">
        <v>166</v>
      </c>
      <c r="Z205" s="48" t="s">
        <v>166</v>
      </c>
      <c r="AA205" s="48" t="s">
        <v>166</v>
      </c>
      <c r="AB205" s="48" t="s">
        <v>166</v>
      </c>
      <c r="AC205" s="48">
        <v>2.0</v>
      </c>
      <c r="AD205" s="48" t="s">
        <v>166</v>
      </c>
      <c r="AE205" s="54" t="s">
        <v>166</v>
      </c>
      <c r="AF205" s="55" t="s">
        <v>166</v>
      </c>
      <c r="AG205" s="51" t="s">
        <v>166</v>
      </c>
      <c r="AH205" s="48">
        <v>1.0</v>
      </c>
      <c r="AI205" s="48">
        <v>1.0</v>
      </c>
      <c r="AJ205" s="50" t="s">
        <v>174</v>
      </c>
      <c r="AK205" s="56">
        <v>369.0</v>
      </c>
      <c r="AL205" s="57">
        <f>AK205*Sheets!$E$3</f>
        <v>50.8649895</v>
      </c>
      <c r="AM205" s="58"/>
      <c r="AN205" s="59"/>
      <c r="AO205" s="71"/>
      <c r="AP205" s="65">
        <v>45295.63060512731</v>
      </c>
      <c r="AQ205" s="66"/>
    </row>
    <row r="206">
      <c r="A206" s="69" t="s">
        <v>1089</v>
      </c>
      <c r="B206" s="73" t="s">
        <v>1090</v>
      </c>
      <c r="C206" s="63" t="s">
        <v>262</v>
      </c>
      <c r="D206" s="48">
        <v>280.0</v>
      </c>
      <c r="E206" s="48">
        <v>170.0</v>
      </c>
      <c r="F206" s="48">
        <v>285.0</v>
      </c>
      <c r="G206" s="49">
        <f t="shared" si="11"/>
        <v>13.566</v>
      </c>
      <c r="H206" s="49">
        <f t="shared" si="12"/>
        <v>476</v>
      </c>
      <c r="I206" s="48">
        <v>3.5</v>
      </c>
      <c r="J206" s="48" t="s">
        <v>411</v>
      </c>
      <c r="K206" s="50" t="s">
        <v>213</v>
      </c>
      <c r="L206" s="51">
        <v>142.0</v>
      </c>
      <c r="M206" s="50" t="s">
        <v>166</v>
      </c>
      <c r="N206" s="51" t="s">
        <v>166</v>
      </c>
      <c r="O206" s="48">
        <v>273.0</v>
      </c>
      <c r="P206" s="48">
        <v>147.0</v>
      </c>
      <c r="Q206" s="48">
        <v>40.0</v>
      </c>
      <c r="R206" s="48">
        <v>2.0</v>
      </c>
      <c r="S206" s="50" t="s">
        <v>166</v>
      </c>
      <c r="T206" s="52" t="s">
        <v>167</v>
      </c>
      <c r="U206" s="52" t="s">
        <v>346</v>
      </c>
      <c r="V206" s="51" t="s">
        <v>910</v>
      </c>
      <c r="W206" s="48" t="s">
        <v>194</v>
      </c>
      <c r="X206" s="50" t="s">
        <v>166</v>
      </c>
      <c r="Y206" s="51" t="s">
        <v>166</v>
      </c>
      <c r="Z206" s="48" t="s">
        <v>166</v>
      </c>
      <c r="AA206" s="48" t="s">
        <v>193</v>
      </c>
      <c r="AB206" s="48" t="s">
        <v>194</v>
      </c>
      <c r="AC206" s="48" t="s">
        <v>194</v>
      </c>
      <c r="AD206" s="48" t="s">
        <v>194</v>
      </c>
      <c r="AE206" s="54" t="s">
        <v>166</v>
      </c>
      <c r="AF206" s="55" t="s">
        <v>166</v>
      </c>
      <c r="AG206" s="51" t="s">
        <v>166</v>
      </c>
      <c r="AH206" s="48">
        <v>2.0</v>
      </c>
      <c r="AI206" s="48" t="s">
        <v>166</v>
      </c>
      <c r="AJ206" s="50" t="s">
        <v>166</v>
      </c>
      <c r="AK206" s="56">
        <v>1288.0</v>
      </c>
      <c r="AL206" s="57">
        <f>AK206*Sheets!$E$3</f>
        <v>177.545004</v>
      </c>
      <c r="AM206" s="58"/>
      <c r="AN206" s="59"/>
      <c r="AO206" s="60" t="s">
        <v>181</v>
      </c>
      <c r="AP206" s="65">
        <v>44442.90016310185</v>
      </c>
      <c r="AQ206" s="66"/>
    </row>
    <row r="207">
      <c r="A207" s="61" t="s">
        <v>1091</v>
      </c>
      <c r="B207" s="67" t="s">
        <v>1092</v>
      </c>
      <c r="C207" s="63" t="s">
        <v>248</v>
      </c>
      <c r="D207" s="48">
        <v>357.0</v>
      </c>
      <c r="E207" s="48">
        <v>153.0</v>
      </c>
      <c r="F207" s="48">
        <v>249.0</v>
      </c>
      <c r="G207" s="49">
        <f t="shared" si="11"/>
        <v>13.600629</v>
      </c>
      <c r="H207" s="49">
        <f t="shared" si="12"/>
        <v>546.21</v>
      </c>
      <c r="I207" s="48">
        <v>8.5</v>
      </c>
      <c r="J207" s="48" t="s">
        <v>164</v>
      </c>
      <c r="K207" s="50" t="s">
        <v>638</v>
      </c>
      <c r="L207" s="51">
        <v>61.0</v>
      </c>
      <c r="M207" s="50" t="s">
        <v>547</v>
      </c>
      <c r="N207" s="51" t="s">
        <v>174</v>
      </c>
      <c r="O207" s="48">
        <v>315.0</v>
      </c>
      <c r="P207" s="48" t="s">
        <v>170</v>
      </c>
      <c r="Q207" s="48">
        <v>40.0</v>
      </c>
      <c r="R207" s="48">
        <v>2.0</v>
      </c>
      <c r="S207" s="50" t="s">
        <v>166</v>
      </c>
      <c r="T207" s="52" t="s">
        <v>167</v>
      </c>
      <c r="U207" s="52" t="s">
        <v>324</v>
      </c>
      <c r="V207" s="51" t="s">
        <v>194</v>
      </c>
      <c r="W207" s="48" t="s">
        <v>166</v>
      </c>
      <c r="X207" s="50" t="s">
        <v>166</v>
      </c>
      <c r="Y207" s="51" t="s">
        <v>166</v>
      </c>
      <c r="Z207" s="48" t="s">
        <v>166</v>
      </c>
      <c r="AA207" s="48" t="s">
        <v>166</v>
      </c>
      <c r="AB207" s="48" t="s">
        <v>166</v>
      </c>
      <c r="AC207" s="48" t="s">
        <v>435</v>
      </c>
      <c r="AD207" s="48" t="s">
        <v>166</v>
      </c>
      <c r="AE207" s="54" t="s">
        <v>166</v>
      </c>
      <c r="AF207" s="55" t="s">
        <v>166</v>
      </c>
      <c r="AG207" s="51" t="s">
        <v>166</v>
      </c>
      <c r="AH207" s="48" t="s">
        <v>166</v>
      </c>
      <c r="AI207" s="48">
        <v>2.0</v>
      </c>
      <c r="AJ207" s="50" t="s">
        <v>166</v>
      </c>
      <c r="AK207" s="56">
        <v>2099.0</v>
      </c>
      <c r="AL207" s="57">
        <v>460.0</v>
      </c>
      <c r="AM207" s="68"/>
      <c r="AN207" s="70"/>
      <c r="AO207" s="60" t="s">
        <v>181</v>
      </c>
      <c r="AP207" s="72">
        <v>44793.63322012732</v>
      </c>
      <c r="AQ207" s="66"/>
    </row>
    <row r="208">
      <c r="A208" s="83" t="str">
        <f>HYPERLINK("https://www.nzxt.com/","NZXT")</f>
        <v>NZXT</v>
      </c>
      <c r="B208" s="67" t="s">
        <v>1093</v>
      </c>
      <c r="C208" s="63" t="s">
        <v>248</v>
      </c>
      <c r="D208" s="48">
        <v>187.6</v>
      </c>
      <c r="E208" s="48">
        <v>187.0</v>
      </c>
      <c r="F208" s="48">
        <v>387.7</v>
      </c>
      <c r="G208" s="49">
        <f t="shared" si="11"/>
        <v>13.60098124</v>
      </c>
      <c r="H208" s="49">
        <f t="shared" si="12"/>
        <v>350.812</v>
      </c>
      <c r="I208" s="48">
        <v>6.53</v>
      </c>
      <c r="J208" s="48" t="s">
        <v>653</v>
      </c>
      <c r="K208" s="50" t="s">
        <v>1094</v>
      </c>
      <c r="L208" s="51" t="s">
        <v>170</v>
      </c>
      <c r="M208" s="50">
        <v>140.0</v>
      </c>
      <c r="N208" s="51" t="s">
        <v>174</v>
      </c>
      <c r="O208" s="48">
        <v>305.0</v>
      </c>
      <c r="P208" s="48">
        <v>145.0</v>
      </c>
      <c r="Q208" s="48">
        <v>50.0</v>
      </c>
      <c r="R208" s="48">
        <v>2.0</v>
      </c>
      <c r="S208" s="50" t="s">
        <v>166</v>
      </c>
      <c r="T208" s="52" t="s">
        <v>167</v>
      </c>
      <c r="U208" s="52" t="s">
        <v>346</v>
      </c>
      <c r="V208" s="51">
        <v>2.0</v>
      </c>
      <c r="W208" s="48" t="s">
        <v>166</v>
      </c>
      <c r="X208" s="50" t="s">
        <v>166</v>
      </c>
      <c r="Y208" s="51" t="s">
        <v>166</v>
      </c>
      <c r="Z208" s="48" t="s">
        <v>166</v>
      </c>
      <c r="AA208" s="48" t="s">
        <v>166</v>
      </c>
      <c r="AB208" s="48" t="s">
        <v>166</v>
      </c>
      <c r="AC208" s="48" t="s">
        <v>166</v>
      </c>
      <c r="AD208" s="48">
        <v>1.0</v>
      </c>
      <c r="AE208" s="54" t="s">
        <v>166</v>
      </c>
      <c r="AF208" s="55" t="s">
        <v>166</v>
      </c>
      <c r="AG208" s="51" t="s">
        <v>166</v>
      </c>
      <c r="AH208" s="48">
        <v>1.0</v>
      </c>
      <c r="AI208" s="48">
        <v>1.0</v>
      </c>
      <c r="AJ208" s="50" t="s">
        <v>174</v>
      </c>
      <c r="AK208" s="56" t="s">
        <v>166</v>
      </c>
      <c r="AL208" s="57">
        <v>349.99</v>
      </c>
      <c r="AM208" s="58"/>
      <c r="AN208" s="64" t="s">
        <v>214</v>
      </c>
      <c r="AO208" s="60" t="s">
        <v>181</v>
      </c>
      <c r="AP208" s="65">
        <v>44793.63258424768</v>
      </c>
      <c r="AQ208" s="66"/>
    </row>
    <row r="209">
      <c r="A209" s="46" t="str">
        <f>HYPERLINK("https://shop34132006.world.taobao.com/","YTC")</f>
        <v>YTC</v>
      </c>
      <c r="B209" s="46" t="str">
        <f>HYPERLINK("https://item.taobao.com/item.htm?id=609217046773","M99S")</f>
        <v>M99S</v>
      </c>
      <c r="C209" s="63" t="s">
        <v>248</v>
      </c>
      <c r="D209" s="48">
        <v>320.0</v>
      </c>
      <c r="E209" s="48">
        <v>135.0</v>
      </c>
      <c r="F209" s="48">
        <v>315.0</v>
      </c>
      <c r="G209" s="49">
        <f t="shared" si="11"/>
        <v>13.608</v>
      </c>
      <c r="H209" s="49">
        <f t="shared" si="12"/>
        <v>432</v>
      </c>
      <c r="I209" s="48">
        <v>4.5</v>
      </c>
      <c r="J209" s="48" t="s">
        <v>245</v>
      </c>
      <c r="K209" s="50" t="s">
        <v>164</v>
      </c>
      <c r="L209" s="51">
        <v>65.0</v>
      </c>
      <c r="M209" s="50" t="s">
        <v>547</v>
      </c>
      <c r="N209" s="51" t="s">
        <v>174</v>
      </c>
      <c r="O209" s="48">
        <v>318.0</v>
      </c>
      <c r="P209" s="48">
        <v>145.0</v>
      </c>
      <c r="Q209" s="48">
        <v>55.0</v>
      </c>
      <c r="R209" s="48">
        <v>2.0</v>
      </c>
      <c r="S209" s="50">
        <v>1.0</v>
      </c>
      <c r="T209" s="52" t="s">
        <v>423</v>
      </c>
      <c r="U209" s="52" t="s">
        <v>186</v>
      </c>
      <c r="V209" s="51">
        <v>3.0</v>
      </c>
      <c r="W209" s="48" t="s">
        <v>194</v>
      </c>
      <c r="X209" s="50" t="s">
        <v>166</v>
      </c>
      <c r="Y209" s="51" t="s">
        <v>166</v>
      </c>
      <c r="Z209" s="48" t="s">
        <v>166</v>
      </c>
      <c r="AA209" s="48" t="s">
        <v>166</v>
      </c>
      <c r="AB209" s="48" t="s">
        <v>166</v>
      </c>
      <c r="AC209" s="48">
        <v>2.0</v>
      </c>
      <c r="AD209" s="48" t="s">
        <v>166</v>
      </c>
      <c r="AE209" s="54" t="s">
        <v>166</v>
      </c>
      <c r="AF209" s="55" t="s">
        <v>166</v>
      </c>
      <c r="AG209" s="51" t="s">
        <v>166</v>
      </c>
      <c r="AH209" s="48">
        <v>2.0</v>
      </c>
      <c r="AI209" s="48" t="s">
        <v>166</v>
      </c>
      <c r="AJ209" s="50" t="s">
        <v>174</v>
      </c>
      <c r="AK209" s="56">
        <v>228.0</v>
      </c>
      <c r="AL209" s="57">
        <f>AK209*Sheets!$E$3</f>
        <v>31.428774</v>
      </c>
      <c r="AM209" s="68"/>
      <c r="AN209" s="70"/>
      <c r="AO209" s="71"/>
      <c r="AP209" s="72">
        <v>44681.600833564815</v>
      </c>
      <c r="AQ209" s="66"/>
    </row>
    <row r="210">
      <c r="A210" s="69" t="s">
        <v>467</v>
      </c>
      <c r="B210" s="73" t="s">
        <v>1095</v>
      </c>
      <c r="C210" s="63" t="s">
        <v>248</v>
      </c>
      <c r="D210" s="48">
        <v>242.0</v>
      </c>
      <c r="E210" s="48">
        <v>157.0</v>
      </c>
      <c r="F210" s="48">
        <v>359.0</v>
      </c>
      <c r="G210" s="49">
        <f t="shared" si="11"/>
        <v>13.639846</v>
      </c>
      <c r="H210" s="49">
        <f t="shared" si="12"/>
        <v>379.94</v>
      </c>
      <c r="I210" s="48">
        <v>1.5</v>
      </c>
      <c r="J210" s="48" t="s">
        <v>245</v>
      </c>
      <c r="K210" s="50" t="s">
        <v>204</v>
      </c>
      <c r="L210" s="51">
        <v>71.0</v>
      </c>
      <c r="M210" s="50" t="s">
        <v>825</v>
      </c>
      <c r="N210" s="51" t="s">
        <v>174</v>
      </c>
      <c r="O210" s="48">
        <v>330.0</v>
      </c>
      <c r="P210" s="48">
        <v>140.0</v>
      </c>
      <c r="Q210" s="48">
        <v>55.0</v>
      </c>
      <c r="R210" s="48">
        <v>2.0</v>
      </c>
      <c r="S210" s="50" t="s">
        <v>166</v>
      </c>
      <c r="T210" s="52" t="s">
        <v>167</v>
      </c>
      <c r="U210" s="52" t="s">
        <v>686</v>
      </c>
      <c r="V210" s="51">
        <v>2.0</v>
      </c>
      <c r="W210" s="48" t="s">
        <v>166</v>
      </c>
      <c r="X210" s="50" t="s">
        <v>166</v>
      </c>
      <c r="Y210" s="51" t="s">
        <v>166</v>
      </c>
      <c r="Z210" s="48" t="s">
        <v>166</v>
      </c>
      <c r="AA210" s="48" t="s">
        <v>166</v>
      </c>
      <c r="AB210" s="48" t="s">
        <v>166</v>
      </c>
      <c r="AC210" s="48" t="s">
        <v>193</v>
      </c>
      <c r="AD210" s="48" t="s">
        <v>193</v>
      </c>
      <c r="AE210" s="54" t="s">
        <v>166</v>
      </c>
      <c r="AF210" s="55" t="s">
        <v>166</v>
      </c>
      <c r="AG210" s="51" t="s">
        <v>166</v>
      </c>
      <c r="AH210" s="48">
        <v>1.0</v>
      </c>
      <c r="AI210" s="48">
        <v>1.0</v>
      </c>
      <c r="AJ210" s="50" t="s">
        <v>166</v>
      </c>
      <c r="AK210" s="56">
        <v>269.0</v>
      </c>
      <c r="AL210" s="57">
        <f>AK210*Sheets!$E$3</f>
        <v>37.0804395</v>
      </c>
      <c r="AM210" s="64"/>
      <c r="AN210" s="70"/>
      <c r="AO210" s="71" t="s">
        <v>181</v>
      </c>
      <c r="AP210" s="65">
        <v>44681.60089269676</v>
      </c>
      <c r="AQ210" s="66"/>
    </row>
    <row r="211">
      <c r="A211" s="46" t="str">
        <f>HYPERLINK("https://shop224033016.world.taobao.com/","魔神科技电脑机箱城")</f>
        <v>魔神科技电脑机箱城</v>
      </c>
      <c r="B211" s="73" t="s">
        <v>1096</v>
      </c>
      <c r="C211" s="63" t="s">
        <v>248</v>
      </c>
      <c r="D211" s="48">
        <v>260.0</v>
      </c>
      <c r="E211" s="48">
        <v>160.0</v>
      </c>
      <c r="F211" s="48">
        <v>330.0</v>
      </c>
      <c r="G211" s="49">
        <f t="shared" si="11"/>
        <v>13.728</v>
      </c>
      <c r="H211" s="49">
        <f t="shared" si="12"/>
        <v>416</v>
      </c>
      <c r="I211" s="48">
        <v>2.5</v>
      </c>
      <c r="J211" s="48" t="s">
        <v>164</v>
      </c>
      <c r="K211" s="50" t="s">
        <v>164</v>
      </c>
      <c r="L211" s="51">
        <v>115.0</v>
      </c>
      <c r="M211" s="50" t="s">
        <v>166</v>
      </c>
      <c r="N211" s="51" t="s">
        <v>174</v>
      </c>
      <c r="O211" s="48">
        <v>250.0</v>
      </c>
      <c r="P211" s="48">
        <v>140.0</v>
      </c>
      <c r="Q211" s="48">
        <v>50.0</v>
      </c>
      <c r="R211" s="48">
        <v>2.0</v>
      </c>
      <c r="S211" s="50" t="s">
        <v>166</v>
      </c>
      <c r="T211" s="52" t="s">
        <v>423</v>
      </c>
      <c r="U211" s="52" t="s">
        <v>324</v>
      </c>
      <c r="V211" s="51">
        <v>3.0</v>
      </c>
      <c r="W211" s="48" t="s">
        <v>166</v>
      </c>
      <c r="X211" s="50" t="s">
        <v>166</v>
      </c>
      <c r="Y211" s="51" t="s">
        <v>166</v>
      </c>
      <c r="Z211" s="48" t="s">
        <v>166</v>
      </c>
      <c r="AA211" s="48">
        <v>2.0</v>
      </c>
      <c r="AB211" s="48" t="s">
        <v>166</v>
      </c>
      <c r="AC211" s="48">
        <v>1.0</v>
      </c>
      <c r="AD211" s="48" t="s">
        <v>166</v>
      </c>
      <c r="AE211" s="54" t="s">
        <v>166</v>
      </c>
      <c r="AF211" s="55" t="s">
        <v>166</v>
      </c>
      <c r="AG211" s="51" t="s">
        <v>166</v>
      </c>
      <c r="AH211" s="48" t="s">
        <v>166</v>
      </c>
      <c r="AI211" s="48" t="s">
        <v>166</v>
      </c>
      <c r="AJ211" s="50" t="s">
        <v>166</v>
      </c>
      <c r="AK211" s="56">
        <v>380.0</v>
      </c>
      <c r="AL211" s="57">
        <f>AK211*Sheets!$E$3</f>
        <v>52.38129</v>
      </c>
      <c r="AM211" s="68"/>
      <c r="AN211" s="70"/>
      <c r="AO211" s="71" t="s">
        <v>181</v>
      </c>
      <c r="AP211" s="72">
        <v>44696.755751805555</v>
      </c>
      <c r="AQ211" s="66"/>
    </row>
    <row r="212">
      <c r="A212" s="46" t="s">
        <v>1097</v>
      </c>
      <c r="B212" s="73" t="s">
        <v>1098</v>
      </c>
      <c r="C212" s="63" t="s">
        <v>248</v>
      </c>
      <c r="D212" s="48">
        <v>344.0</v>
      </c>
      <c r="E212" s="48">
        <v>153.0</v>
      </c>
      <c r="F212" s="48">
        <v>261.0</v>
      </c>
      <c r="G212" s="49">
        <f t="shared" si="11"/>
        <v>13.736952</v>
      </c>
      <c r="H212" s="49">
        <f t="shared" si="12"/>
        <v>526.32</v>
      </c>
      <c r="I212" s="48">
        <v>2.2</v>
      </c>
      <c r="J212" s="48" t="s">
        <v>245</v>
      </c>
      <c r="K212" s="50" t="s">
        <v>1099</v>
      </c>
      <c r="L212" s="51">
        <v>68.0</v>
      </c>
      <c r="M212" s="50" t="s">
        <v>825</v>
      </c>
      <c r="N212" s="51" t="s">
        <v>174</v>
      </c>
      <c r="O212" s="48">
        <v>335.0</v>
      </c>
      <c r="P212" s="48">
        <v>140.0</v>
      </c>
      <c r="Q212" s="48">
        <v>65.0</v>
      </c>
      <c r="R212" s="48">
        <v>3.0</v>
      </c>
      <c r="S212" s="50" t="s">
        <v>166</v>
      </c>
      <c r="T212" s="52" t="s">
        <v>167</v>
      </c>
      <c r="U212" s="52" t="s">
        <v>346</v>
      </c>
      <c r="V212" s="51">
        <v>2.0</v>
      </c>
      <c r="W212" s="48" t="s">
        <v>1100</v>
      </c>
      <c r="X212" s="50" t="s">
        <v>166</v>
      </c>
      <c r="Y212" s="51" t="s">
        <v>166</v>
      </c>
      <c r="Z212" s="48" t="s">
        <v>166</v>
      </c>
      <c r="AA212" s="48" t="s">
        <v>166</v>
      </c>
      <c r="AB212" s="48" t="s">
        <v>166</v>
      </c>
      <c r="AC212" s="48" t="s">
        <v>220</v>
      </c>
      <c r="AD212" s="48" t="s">
        <v>426</v>
      </c>
      <c r="AE212" s="54" t="s">
        <v>166</v>
      </c>
      <c r="AF212" s="55" t="s">
        <v>166</v>
      </c>
      <c r="AG212" s="51" t="s">
        <v>166</v>
      </c>
      <c r="AH212" s="48">
        <v>1.0</v>
      </c>
      <c r="AI212" s="48" t="s">
        <v>166</v>
      </c>
      <c r="AJ212" s="50" t="s">
        <v>166</v>
      </c>
      <c r="AK212" s="56">
        <v>399.0</v>
      </c>
      <c r="AL212" s="57">
        <f>AK212*Sheets!$E$3</f>
        <v>55.0003545</v>
      </c>
      <c r="AM212" s="58"/>
      <c r="AN212" s="59"/>
      <c r="AO212" s="71" t="s">
        <v>181</v>
      </c>
      <c r="AP212" s="65">
        <v>45446.49397244213</v>
      </c>
      <c r="AQ212" s="66"/>
    </row>
    <row r="213">
      <c r="A213" s="69" t="str">
        <f>HYPERLINK("https://sktcase.world.taobao.com/","SKTC")</f>
        <v>SKTC</v>
      </c>
      <c r="B213" s="141" t="s">
        <v>1101</v>
      </c>
      <c r="C213" s="63" t="s">
        <v>262</v>
      </c>
      <c r="D213" s="48">
        <v>328.0</v>
      </c>
      <c r="E213" s="48">
        <v>159.0</v>
      </c>
      <c r="F213" s="48">
        <v>264.0</v>
      </c>
      <c r="G213" s="49">
        <f t="shared" si="11"/>
        <v>13.768128</v>
      </c>
      <c r="H213" s="49">
        <f t="shared" si="12"/>
        <v>521.52</v>
      </c>
      <c r="I213" s="48" t="s">
        <v>170</v>
      </c>
      <c r="J213" s="48" t="s">
        <v>235</v>
      </c>
      <c r="K213" s="50" t="s">
        <v>305</v>
      </c>
      <c r="L213" s="51">
        <v>140.0</v>
      </c>
      <c r="M213" s="50" t="s">
        <v>166</v>
      </c>
      <c r="N213" s="51" t="s">
        <v>166</v>
      </c>
      <c r="O213" s="48">
        <v>310.0</v>
      </c>
      <c r="P213" s="48">
        <v>145.0</v>
      </c>
      <c r="Q213" s="48">
        <v>80.0</v>
      </c>
      <c r="R213" s="48">
        <v>4.0</v>
      </c>
      <c r="S213" s="50" t="s">
        <v>166</v>
      </c>
      <c r="T213" s="52" t="s">
        <v>423</v>
      </c>
      <c r="U213" s="52" t="s">
        <v>686</v>
      </c>
      <c r="V213" s="51">
        <v>1.0</v>
      </c>
      <c r="W213" s="48" t="s">
        <v>194</v>
      </c>
      <c r="X213" s="50" t="s">
        <v>166</v>
      </c>
      <c r="Y213" s="51" t="s">
        <v>166</v>
      </c>
      <c r="Z213" s="48" t="s">
        <v>166</v>
      </c>
      <c r="AA213" s="48">
        <v>1.0</v>
      </c>
      <c r="AB213" s="48" t="s">
        <v>166</v>
      </c>
      <c r="AC213" s="48" t="s">
        <v>435</v>
      </c>
      <c r="AD213" s="48" t="s">
        <v>166</v>
      </c>
      <c r="AE213" s="54" t="s">
        <v>166</v>
      </c>
      <c r="AF213" s="55" t="s">
        <v>166</v>
      </c>
      <c r="AG213" s="51" t="s">
        <v>166</v>
      </c>
      <c r="AH213" s="48" t="s">
        <v>166</v>
      </c>
      <c r="AI213" s="48" t="s">
        <v>166</v>
      </c>
      <c r="AJ213" s="50" t="s">
        <v>166</v>
      </c>
      <c r="AK213" s="56">
        <v>279.0</v>
      </c>
      <c r="AL213" s="57">
        <f>AK213*Sheets!$E$3</f>
        <v>38.4588945</v>
      </c>
      <c r="AM213" s="68"/>
      <c r="AN213" s="70"/>
      <c r="AO213" s="71" t="s">
        <v>181</v>
      </c>
      <c r="AP213" s="71"/>
      <c r="AQ213" s="66"/>
    </row>
    <row r="214">
      <c r="A214" s="46" t="str">
        <f>HYPERLINK("https://shop309038390.world.taobao.com/","ZZAW")</f>
        <v>ZZAW</v>
      </c>
      <c r="B214" s="46" t="s">
        <v>587</v>
      </c>
      <c r="C214" s="63" t="s">
        <v>262</v>
      </c>
      <c r="D214" s="48">
        <v>326.0</v>
      </c>
      <c r="E214" s="48">
        <v>161.0</v>
      </c>
      <c r="F214" s="48">
        <v>262.5</v>
      </c>
      <c r="G214" s="49">
        <f t="shared" si="11"/>
        <v>13.777575</v>
      </c>
      <c r="H214" s="49">
        <f t="shared" si="12"/>
        <v>524.86</v>
      </c>
      <c r="I214" s="48">
        <v>1.7</v>
      </c>
      <c r="J214" s="48" t="s">
        <v>597</v>
      </c>
      <c r="K214" s="50" t="s">
        <v>204</v>
      </c>
      <c r="L214" s="51">
        <v>136.0</v>
      </c>
      <c r="M214" s="50" t="s">
        <v>166</v>
      </c>
      <c r="N214" s="51" t="s">
        <v>166</v>
      </c>
      <c r="O214" s="48">
        <v>323.0</v>
      </c>
      <c r="P214" s="48">
        <v>141.0</v>
      </c>
      <c r="Q214" s="48">
        <v>80.0</v>
      </c>
      <c r="R214" s="48">
        <v>4.0</v>
      </c>
      <c r="S214" s="50" t="s">
        <v>166</v>
      </c>
      <c r="T214" s="52" t="s">
        <v>1102</v>
      </c>
      <c r="U214" s="52" t="s">
        <v>816</v>
      </c>
      <c r="V214" s="51">
        <v>3.0</v>
      </c>
      <c r="W214" s="48">
        <v>1.0</v>
      </c>
      <c r="X214" s="50" t="s">
        <v>166</v>
      </c>
      <c r="Y214" s="51" t="s">
        <v>166</v>
      </c>
      <c r="Z214" s="48" t="s">
        <v>166</v>
      </c>
      <c r="AA214" s="48" t="s">
        <v>166</v>
      </c>
      <c r="AB214" s="48" t="s">
        <v>355</v>
      </c>
      <c r="AC214" s="48" t="s">
        <v>426</v>
      </c>
      <c r="AD214" s="48" t="s">
        <v>166</v>
      </c>
      <c r="AE214" s="54" t="s">
        <v>166</v>
      </c>
      <c r="AF214" s="55" t="s">
        <v>166</v>
      </c>
      <c r="AG214" s="51" t="s">
        <v>166</v>
      </c>
      <c r="AH214" s="48" t="s">
        <v>166</v>
      </c>
      <c r="AI214" s="48" t="s">
        <v>166</v>
      </c>
      <c r="AJ214" s="50" t="s">
        <v>166</v>
      </c>
      <c r="AK214" s="56">
        <v>168.0</v>
      </c>
      <c r="AL214" s="57">
        <f>AK214*Sheets!$E$3</f>
        <v>23.158044</v>
      </c>
      <c r="AM214" s="64"/>
      <c r="AN214" s="59"/>
      <c r="AO214" s="60"/>
      <c r="AP214" s="65">
        <v>44666.439923356476</v>
      </c>
      <c r="AQ214" s="66"/>
    </row>
    <row r="215">
      <c r="A215" s="46" t="str">
        <f>HYPERLINK("https://shop224033016.world.taobao.com/","魔神科技电脑机箱城")</f>
        <v>魔神科技电脑机箱城</v>
      </c>
      <c r="B215" s="73" t="s">
        <v>1103</v>
      </c>
      <c r="C215" s="63" t="s">
        <v>262</v>
      </c>
      <c r="D215" s="48">
        <v>262.0</v>
      </c>
      <c r="E215" s="48">
        <v>160.0</v>
      </c>
      <c r="F215" s="48">
        <v>329.0</v>
      </c>
      <c r="G215" s="49">
        <f t="shared" si="11"/>
        <v>13.79168</v>
      </c>
      <c r="H215" s="49">
        <f t="shared" si="12"/>
        <v>419.2</v>
      </c>
      <c r="I215" s="48">
        <v>3.5</v>
      </c>
      <c r="J215" s="48" t="s">
        <v>164</v>
      </c>
      <c r="K215" s="50" t="s">
        <v>164</v>
      </c>
      <c r="L215" s="51">
        <v>124.0</v>
      </c>
      <c r="M215" s="50" t="s">
        <v>166</v>
      </c>
      <c r="N215" s="51" t="s">
        <v>166</v>
      </c>
      <c r="O215" s="48">
        <v>250.0</v>
      </c>
      <c r="P215" s="48">
        <v>129.0</v>
      </c>
      <c r="Q215" s="48">
        <v>80.0</v>
      </c>
      <c r="R215" s="48">
        <v>4.0</v>
      </c>
      <c r="S215" s="50" t="s">
        <v>166</v>
      </c>
      <c r="T215" s="52" t="s">
        <v>423</v>
      </c>
      <c r="U215" s="52" t="s">
        <v>324</v>
      </c>
      <c r="V215" s="51">
        <v>4.0</v>
      </c>
      <c r="W215" s="48" t="s">
        <v>166</v>
      </c>
      <c r="X215" s="50" t="s">
        <v>166</v>
      </c>
      <c r="Y215" s="51" t="s">
        <v>166</v>
      </c>
      <c r="Z215" s="48" t="s">
        <v>166</v>
      </c>
      <c r="AA215" s="48">
        <v>3.0</v>
      </c>
      <c r="AB215" s="48" t="s">
        <v>166</v>
      </c>
      <c r="AC215" s="48">
        <v>1.0</v>
      </c>
      <c r="AD215" s="48" t="s">
        <v>166</v>
      </c>
      <c r="AE215" s="54" t="s">
        <v>166</v>
      </c>
      <c r="AF215" s="55" t="s">
        <v>166</v>
      </c>
      <c r="AG215" s="51" t="s">
        <v>166</v>
      </c>
      <c r="AH215" s="48">
        <v>2.0</v>
      </c>
      <c r="AI215" s="48" t="s">
        <v>166</v>
      </c>
      <c r="AJ215" s="50" t="s">
        <v>166</v>
      </c>
      <c r="AK215" s="56">
        <v>799.0</v>
      </c>
      <c r="AL215" s="57">
        <f>AK215*Sheets!$E$3</f>
        <v>110.1385545</v>
      </c>
      <c r="AM215" s="68"/>
      <c r="AN215" s="70"/>
      <c r="AO215" s="71" t="s">
        <v>181</v>
      </c>
      <c r="AP215" s="71"/>
      <c r="AQ215" s="66"/>
    </row>
    <row r="216">
      <c r="A216" s="61" t="s">
        <v>1104</v>
      </c>
      <c r="B216" s="62" t="s">
        <v>1105</v>
      </c>
      <c r="C216" s="63" t="s">
        <v>262</v>
      </c>
      <c r="D216" s="48">
        <v>235.0</v>
      </c>
      <c r="E216" s="48">
        <v>210.0</v>
      </c>
      <c r="F216" s="48">
        <v>280.0</v>
      </c>
      <c r="G216" s="49">
        <f t="shared" si="11"/>
        <v>13.818</v>
      </c>
      <c r="H216" s="49">
        <f t="shared" si="12"/>
        <v>493.5</v>
      </c>
      <c r="I216" s="48">
        <v>1.2</v>
      </c>
      <c r="J216" s="48" t="s">
        <v>164</v>
      </c>
      <c r="K216" s="50" t="s">
        <v>1106</v>
      </c>
      <c r="L216" s="51">
        <v>85.0</v>
      </c>
      <c r="M216" s="50" t="s">
        <v>166</v>
      </c>
      <c r="N216" s="51" t="s">
        <v>166</v>
      </c>
      <c r="O216" s="48">
        <v>230.0</v>
      </c>
      <c r="P216" s="48" t="s">
        <v>170</v>
      </c>
      <c r="Q216" s="48">
        <v>60.0</v>
      </c>
      <c r="R216" s="48">
        <v>3.0</v>
      </c>
      <c r="S216" s="50" t="s">
        <v>166</v>
      </c>
      <c r="T216" s="52" t="s">
        <v>1107</v>
      </c>
      <c r="U216" s="52" t="s">
        <v>599</v>
      </c>
      <c r="V216" s="51" t="s">
        <v>278</v>
      </c>
      <c r="W216" s="48" t="s">
        <v>193</v>
      </c>
      <c r="X216" s="50" t="s">
        <v>166</v>
      </c>
      <c r="Y216" s="51" t="s">
        <v>166</v>
      </c>
      <c r="Z216" s="48" t="s">
        <v>166</v>
      </c>
      <c r="AA216" s="48" t="s">
        <v>166</v>
      </c>
      <c r="AB216" s="48" t="s">
        <v>166</v>
      </c>
      <c r="AC216" s="48" t="s">
        <v>193</v>
      </c>
      <c r="AD216" s="48" t="s">
        <v>193</v>
      </c>
      <c r="AE216" s="54" t="s">
        <v>166</v>
      </c>
      <c r="AF216" s="55" t="s">
        <v>194</v>
      </c>
      <c r="AG216" s="51">
        <v>1.0</v>
      </c>
      <c r="AH216" s="48">
        <v>1.0</v>
      </c>
      <c r="AI216" s="48" t="s">
        <v>166</v>
      </c>
      <c r="AJ216" s="50" t="s">
        <v>174</v>
      </c>
      <c r="AK216" s="56" t="s">
        <v>166</v>
      </c>
      <c r="AL216" s="57" t="s">
        <v>170</v>
      </c>
      <c r="AM216" s="58"/>
      <c r="AN216" s="64"/>
      <c r="AO216" s="60"/>
      <c r="AP216" s="65"/>
      <c r="AQ216" s="66"/>
    </row>
    <row r="217">
      <c r="A217" s="82" t="str">
        <f>HYPERLINK("http://sliger.com/","Sliger")</f>
        <v>Sliger</v>
      </c>
      <c r="B217" s="83" t="str">
        <f>HYPERLINK("https://www.sliger.com/products/cases/sm570/","SM570")</f>
        <v>SM570</v>
      </c>
      <c r="C217" s="63" t="s">
        <v>248</v>
      </c>
      <c r="D217" s="48">
        <v>357.0</v>
      </c>
      <c r="E217" s="48">
        <v>135.0</v>
      </c>
      <c r="F217" s="48">
        <v>287.0</v>
      </c>
      <c r="G217" s="49">
        <f t="shared" si="11"/>
        <v>13.831965</v>
      </c>
      <c r="H217" s="49">
        <f t="shared" si="12"/>
        <v>481.95</v>
      </c>
      <c r="I217" s="48">
        <v>3.02</v>
      </c>
      <c r="J217" s="48" t="s">
        <v>274</v>
      </c>
      <c r="K217" s="50" t="s">
        <v>1072</v>
      </c>
      <c r="L217" s="51">
        <v>55.0</v>
      </c>
      <c r="M217" s="50" t="s">
        <v>547</v>
      </c>
      <c r="N217" s="51" t="s">
        <v>174</v>
      </c>
      <c r="O217" s="48">
        <v>328.0</v>
      </c>
      <c r="P217" s="48">
        <v>157.0</v>
      </c>
      <c r="Q217" s="48">
        <v>50.0</v>
      </c>
      <c r="R217" s="48">
        <v>2.0</v>
      </c>
      <c r="S217" s="50" t="s">
        <v>166</v>
      </c>
      <c r="T217" s="52" t="s">
        <v>167</v>
      </c>
      <c r="U217" s="52" t="s">
        <v>346</v>
      </c>
      <c r="V217" s="51" t="s">
        <v>799</v>
      </c>
      <c r="W217" s="48" t="s">
        <v>682</v>
      </c>
      <c r="X217" s="50" t="s">
        <v>166</v>
      </c>
      <c r="Y217" s="51" t="s">
        <v>166</v>
      </c>
      <c r="Z217" s="48" t="s">
        <v>166</v>
      </c>
      <c r="AA217" s="48" t="s">
        <v>166</v>
      </c>
      <c r="AB217" s="48" t="s">
        <v>166</v>
      </c>
      <c r="AC217" s="48" t="s">
        <v>278</v>
      </c>
      <c r="AD217" s="48" t="s">
        <v>166</v>
      </c>
      <c r="AE217" s="54" t="s">
        <v>166</v>
      </c>
      <c r="AF217" s="55" t="s">
        <v>166</v>
      </c>
      <c r="AG217" s="51" t="s">
        <v>166</v>
      </c>
      <c r="AH217" s="48">
        <v>1.0</v>
      </c>
      <c r="AI217" s="48">
        <v>1.0</v>
      </c>
      <c r="AJ217" s="50" t="s">
        <v>174</v>
      </c>
      <c r="AK217" s="56" t="s">
        <v>166</v>
      </c>
      <c r="AL217" s="57">
        <v>259.0</v>
      </c>
      <c r="AM217" s="64" t="str">
        <f>HYPERLINK("https://smallformfactor.net/forum/threads/sliger-sm550-560-570-580-2-and-3-slot-riser-layouts-with-air-and-liquid-cooling-variants.6789/","Link")</f>
        <v>Link</v>
      </c>
      <c r="AN217" s="64" t="s">
        <v>214</v>
      </c>
      <c r="AO217" s="71" t="s">
        <v>181</v>
      </c>
      <c r="AP217" s="65">
        <v>44563.99654283565</v>
      </c>
      <c r="AQ217" s="66"/>
    </row>
    <row r="218">
      <c r="A218" s="69" t="s">
        <v>509</v>
      </c>
      <c r="B218" s="73" t="s">
        <v>1108</v>
      </c>
      <c r="C218" s="63" t="s">
        <v>262</v>
      </c>
      <c r="D218" s="48">
        <v>332.0</v>
      </c>
      <c r="E218" s="48">
        <v>167.0</v>
      </c>
      <c r="F218" s="48">
        <v>250.0</v>
      </c>
      <c r="G218" s="49">
        <f t="shared" si="11"/>
        <v>13.861</v>
      </c>
      <c r="H218" s="49">
        <f t="shared" si="12"/>
        <v>554.44</v>
      </c>
      <c r="I218" s="48">
        <v>4.9</v>
      </c>
      <c r="J218" s="48" t="s">
        <v>411</v>
      </c>
      <c r="K218" s="50" t="s">
        <v>1109</v>
      </c>
      <c r="L218" s="51">
        <v>135.0</v>
      </c>
      <c r="M218" s="50" t="s">
        <v>825</v>
      </c>
      <c r="N218" s="51" t="s">
        <v>166</v>
      </c>
      <c r="O218" s="48">
        <v>320.0</v>
      </c>
      <c r="P218" s="48">
        <v>140.0</v>
      </c>
      <c r="Q218" s="48">
        <v>55.0</v>
      </c>
      <c r="R218" s="48">
        <v>2.0</v>
      </c>
      <c r="S218" s="50" t="s">
        <v>166</v>
      </c>
      <c r="T218" s="52" t="s">
        <v>167</v>
      </c>
      <c r="U218" s="52" t="s">
        <v>324</v>
      </c>
      <c r="V218" s="51" t="s">
        <v>416</v>
      </c>
      <c r="W218" s="48" t="s">
        <v>194</v>
      </c>
      <c r="X218" s="50" t="s">
        <v>166</v>
      </c>
      <c r="Y218" s="51" t="s">
        <v>166</v>
      </c>
      <c r="Z218" s="48" t="s">
        <v>166</v>
      </c>
      <c r="AA218" s="48">
        <v>1.0</v>
      </c>
      <c r="AB218" s="48" t="s">
        <v>166</v>
      </c>
      <c r="AC218" s="48" t="s">
        <v>300</v>
      </c>
      <c r="AD218" s="48" t="s">
        <v>166</v>
      </c>
      <c r="AE218" s="54" t="s">
        <v>166</v>
      </c>
      <c r="AF218" s="55" t="s">
        <v>166</v>
      </c>
      <c r="AG218" s="51" t="s">
        <v>166</v>
      </c>
      <c r="AH218" s="48" t="s">
        <v>166</v>
      </c>
      <c r="AI218" s="48" t="s">
        <v>166</v>
      </c>
      <c r="AJ218" s="50" t="s">
        <v>166</v>
      </c>
      <c r="AK218" s="56">
        <v>1359.0</v>
      </c>
      <c r="AL218" s="57">
        <f>AK218*Sheets!$E$3</f>
        <v>187.3320345</v>
      </c>
      <c r="AM218" s="58"/>
      <c r="AN218" s="59"/>
      <c r="AO218" s="71" t="s">
        <v>181</v>
      </c>
      <c r="AP218" s="65">
        <v>45446.49436252315</v>
      </c>
      <c r="AQ218" s="66"/>
    </row>
    <row r="219">
      <c r="A219" s="46" t="s">
        <v>1097</v>
      </c>
      <c r="B219" s="46" t="s">
        <v>1110</v>
      </c>
      <c r="C219" s="63" t="s">
        <v>248</v>
      </c>
      <c r="D219" s="48">
        <v>343.0</v>
      </c>
      <c r="E219" s="48">
        <v>155.0</v>
      </c>
      <c r="F219" s="48">
        <v>261.0</v>
      </c>
      <c r="G219" s="49">
        <f t="shared" si="11"/>
        <v>13.876065</v>
      </c>
      <c r="H219" s="49">
        <f t="shared" si="12"/>
        <v>531.65</v>
      </c>
      <c r="I219" s="48">
        <v>2.0</v>
      </c>
      <c r="J219" s="48" t="s">
        <v>245</v>
      </c>
      <c r="K219" s="50" t="s">
        <v>185</v>
      </c>
      <c r="L219" s="51">
        <v>65.0</v>
      </c>
      <c r="M219" s="50" t="s">
        <v>825</v>
      </c>
      <c r="N219" s="51" t="s">
        <v>174</v>
      </c>
      <c r="O219" s="48">
        <v>330.0</v>
      </c>
      <c r="P219" s="48">
        <v>140.0</v>
      </c>
      <c r="Q219" s="48">
        <v>63.0</v>
      </c>
      <c r="R219" s="48">
        <v>3.0</v>
      </c>
      <c r="S219" s="50" t="s">
        <v>166</v>
      </c>
      <c r="T219" s="52" t="s">
        <v>167</v>
      </c>
      <c r="U219" s="52" t="s">
        <v>346</v>
      </c>
      <c r="V219" s="51">
        <v>2.0</v>
      </c>
      <c r="W219" s="48" t="s">
        <v>1100</v>
      </c>
      <c r="X219" s="50" t="s">
        <v>166</v>
      </c>
      <c r="Y219" s="51" t="s">
        <v>166</v>
      </c>
      <c r="Z219" s="48" t="s">
        <v>166</v>
      </c>
      <c r="AA219" s="48" t="s">
        <v>166</v>
      </c>
      <c r="AB219" s="48" t="s">
        <v>166</v>
      </c>
      <c r="AC219" s="48" t="s">
        <v>220</v>
      </c>
      <c r="AD219" s="48" t="s">
        <v>426</v>
      </c>
      <c r="AE219" s="54" t="s">
        <v>166</v>
      </c>
      <c r="AF219" s="55" t="s">
        <v>166</v>
      </c>
      <c r="AG219" s="51" t="s">
        <v>166</v>
      </c>
      <c r="AH219" s="48">
        <v>2.0</v>
      </c>
      <c r="AI219" s="48" t="s">
        <v>166</v>
      </c>
      <c r="AJ219" s="50" t="s">
        <v>166</v>
      </c>
      <c r="AK219" s="56">
        <v>539.0</v>
      </c>
      <c r="AL219" s="57">
        <f>AK219*Sheets!$E$3</f>
        <v>74.2987245</v>
      </c>
      <c r="AM219" s="58"/>
      <c r="AN219" s="59"/>
      <c r="AO219" s="71" t="s">
        <v>181</v>
      </c>
      <c r="AP219" s="60"/>
      <c r="AQ219" s="66"/>
    </row>
    <row r="220">
      <c r="A220" s="82" t="str">
        <f>HYPERLINK("https://streacom.com/","Streacom")</f>
        <v>Streacom</v>
      </c>
      <c r="B220" s="62" t="s">
        <v>1111</v>
      </c>
      <c r="C220" s="63" t="s">
        <v>225</v>
      </c>
      <c r="D220" s="48">
        <v>319.0</v>
      </c>
      <c r="E220" s="48">
        <v>435.0</v>
      </c>
      <c r="F220" s="48">
        <v>100.0</v>
      </c>
      <c r="G220" s="49">
        <f t="shared" si="11"/>
        <v>13.8765</v>
      </c>
      <c r="H220" s="49">
        <f t="shared" si="12"/>
        <v>1387.65</v>
      </c>
      <c r="I220" s="48">
        <v>5.4</v>
      </c>
      <c r="J220" s="48" t="s">
        <v>164</v>
      </c>
      <c r="K220" s="50" t="s">
        <v>387</v>
      </c>
      <c r="L220" s="51" t="s">
        <v>170</v>
      </c>
      <c r="M220" s="50" t="s">
        <v>166</v>
      </c>
      <c r="N220" s="51" t="s">
        <v>174</v>
      </c>
      <c r="O220" s="48">
        <v>190.0</v>
      </c>
      <c r="P220" s="48" t="s">
        <v>170</v>
      </c>
      <c r="Q220" s="48">
        <v>40.0</v>
      </c>
      <c r="R220" s="48">
        <v>2.0</v>
      </c>
      <c r="S220" s="50" t="s">
        <v>166</v>
      </c>
      <c r="T220" s="52" t="s">
        <v>696</v>
      </c>
      <c r="U220" s="52" t="s">
        <v>299</v>
      </c>
      <c r="V220" s="51" t="s">
        <v>562</v>
      </c>
      <c r="W220" s="48" t="s">
        <v>584</v>
      </c>
      <c r="X220" s="50" t="s">
        <v>218</v>
      </c>
      <c r="Y220" s="51" t="s">
        <v>166</v>
      </c>
      <c r="Z220" s="48" t="s">
        <v>166</v>
      </c>
      <c r="AA220" s="48" t="s">
        <v>166</v>
      </c>
      <c r="AB220" s="48" t="s">
        <v>166</v>
      </c>
      <c r="AC220" s="48" t="s">
        <v>166</v>
      </c>
      <c r="AD220" s="48" t="s">
        <v>166</v>
      </c>
      <c r="AE220" s="54" t="s">
        <v>166</v>
      </c>
      <c r="AF220" s="55" t="s">
        <v>166</v>
      </c>
      <c r="AG220" s="51" t="s">
        <v>166</v>
      </c>
      <c r="AH220" s="48">
        <v>2.0</v>
      </c>
      <c r="AI220" s="48" t="s">
        <v>166</v>
      </c>
      <c r="AJ220" s="50" t="s">
        <v>166</v>
      </c>
      <c r="AK220" s="56" t="s">
        <v>166</v>
      </c>
      <c r="AL220" s="57" t="s">
        <v>170</v>
      </c>
      <c r="AM220" s="58"/>
      <c r="AN220" s="59"/>
      <c r="AO220" s="60"/>
      <c r="AP220" s="65">
        <v>44717.93929472222</v>
      </c>
      <c r="AQ220" s="66"/>
    </row>
    <row r="221">
      <c r="A221" s="69" t="str">
        <f>HYPERLINK("https://sgpc.world.taobao.com/","SGPC")</f>
        <v>SGPC</v>
      </c>
      <c r="B221" s="46" t="s">
        <v>1112</v>
      </c>
      <c r="C221" s="63" t="s">
        <v>262</v>
      </c>
      <c r="D221" s="48">
        <v>337.0</v>
      </c>
      <c r="E221" s="48">
        <v>156.0</v>
      </c>
      <c r="F221" s="48">
        <v>265.0</v>
      </c>
      <c r="G221" s="49">
        <f t="shared" si="11"/>
        <v>13.93158</v>
      </c>
      <c r="H221" s="49">
        <f t="shared" si="12"/>
        <v>525.72</v>
      </c>
      <c r="I221" s="48">
        <v>3.0</v>
      </c>
      <c r="J221" s="48" t="s">
        <v>653</v>
      </c>
      <c r="K221" s="50" t="s">
        <v>316</v>
      </c>
      <c r="L221" s="51">
        <v>135.0</v>
      </c>
      <c r="M221" s="50" t="s">
        <v>166</v>
      </c>
      <c r="N221" s="51" t="s">
        <v>166</v>
      </c>
      <c r="O221" s="48">
        <v>330.0</v>
      </c>
      <c r="P221" s="48">
        <v>140.0</v>
      </c>
      <c r="Q221" s="48">
        <v>80.0</v>
      </c>
      <c r="R221" s="48">
        <v>4.0</v>
      </c>
      <c r="S221" s="50" t="s">
        <v>166</v>
      </c>
      <c r="T221" s="52" t="s">
        <v>423</v>
      </c>
      <c r="U221" s="52" t="s">
        <v>686</v>
      </c>
      <c r="V221" s="51" t="s">
        <v>300</v>
      </c>
      <c r="W221" s="48" t="s">
        <v>166</v>
      </c>
      <c r="X221" s="50" t="s">
        <v>166</v>
      </c>
      <c r="Y221" s="51" t="s">
        <v>166</v>
      </c>
      <c r="Z221" s="48" t="s">
        <v>166</v>
      </c>
      <c r="AA221" s="48" t="s">
        <v>166</v>
      </c>
      <c r="AB221" s="48" t="s">
        <v>1113</v>
      </c>
      <c r="AC221" s="48" t="s">
        <v>193</v>
      </c>
      <c r="AD221" s="48" t="s">
        <v>166</v>
      </c>
      <c r="AE221" s="54" t="s">
        <v>166</v>
      </c>
      <c r="AF221" s="55" t="s">
        <v>166</v>
      </c>
      <c r="AG221" s="51" t="s">
        <v>166</v>
      </c>
      <c r="AH221" s="48">
        <v>1.0</v>
      </c>
      <c r="AI221" s="48">
        <v>1.0</v>
      </c>
      <c r="AJ221" s="50" t="s">
        <v>166</v>
      </c>
      <c r="AK221" s="56">
        <v>239.0</v>
      </c>
      <c r="AL221" s="57">
        <f>AK221*Sheets!$E$3</f>
        <v>32.9450745</v>
      </c>
      <c r="AM221" s="68"/>
      <c r="AN221" s="59"/>
      <c r="AO221" s="60"/>
      <c r="AP221" s="65">
        <v>44681.60098582176</v>
      </c>
      <c r="AQ221" s="66"/>
    </row>
    <row r="222">
      <c r="A222" s="46" t="str">
        <f>HYPERLINK("https://shop309038390.world.taobao.com/","ZZAW")</f>
        <v>ZZAW</v>
      </c>
      <c r="B222" s="46" t="s">
        <v>1114</v>
      </c>
      <c r="C222" s="63" t="s">
        <v>262</v>
      </c>
      <c r="D222" s="48">
        <v>350.0</v>
      </c>
      <c r="E222" s="48">
        <v>163.0</v>
      </c>
      <c r="F222" s="48">
        <v>245.0</v>
      </c>
      <c r="G222" s="49">
        <f t="shared" si="11"/>
        <v>13.97725</v>
      </c>
      <c r="H222" s="49">
        <f t="shared" si="12"/>
        <v>570.5</v>
      </c>
      <c r="I222" s="48">
        <v>2.906</v>
      </c>
      <c r="J222" s="48" t="s">
        <v>235</v>
      </c>
      <c r="K222" s="50" t="s">
        <v>1115</v>
      </c>
      <c r="L222" s="51">
        <v>134.0</v>
      </c>
      <c r="M222" s="50" t="s">
        <v>547</v>
      </c>
      <c r="N222" s="51" t="s">
        <v>166</v>
      </c>
      <c r="O222" s="48">
        <v>337.0</v>
      </c>
      <c r="P222" s="48">
        <v>139.0</v>
      </c>
      <c r="Q222" s="48">
        <v>63.0</v>
      </c>
      <c r="R222" s="48">
        <v>2.0</v>
      </c>
      <c r="S222" s="50" t="s">
        <v>166</v>
      </c>
      <c r="T222" s="52" t="s">
        <v>227</v>
      </c>
      <c r="U222" s="52" t="s">
        <v>324</v>
      </c>
      <c r="V222" s="51">
        <v>2.0</v>
      </c>
      <c r="W222" s="48" t="s">
        <v>194</v>
      </c>
      <c r="X222" s="50" t="s">
        <v>166</v>
      </c>
      <c r="Y222" s="51" t="s">
        <v>166</v>
      </c>
      <c r="Z222" s="48" t="s">
        <v>166</v>
      </c>
      <c r="AA222" s="48" t="s">
        <v>194</v>
      </c>
      <c r="AB222" s="48" t="s">
        <v>194</v>
      </c>
      <c r="AC222" s="48" t="s">
        <v>562</v>
      </c>
      <c r="AD222" s="48" t="s">
        <v>166</v>
      </c>
      <c r="AE222" s="54" t="s">
        <v>166</v>
      </c>
      <c r="AF222" s="55" t="s">
        <v>166</v>
      </c>
      <c r="AG222" s="51" t="s">
        <v>166</v>
      </c>
      <c r="AH222" s="48">
        <v>1.0</v>
      </c>
      <c r="AI222" s="48">
        <v>1.0</v>
      </c>
      <c r="AJ222" s="50" t="s">
        <v>166</v>
      </c>
      <c r="AK222" s="56">
        <v>798.0</v>
      </c>
      <c r="AL222" s="57">
        <f>AK222*Sheets!$E$3</f>
        <v>110.000709</v>
      </c>
      <c r="AM222" s="64"/>
      <c r="AN222" s="59"/>
      <c r="AO222" s="60"/>
      <c r="AP222" s="65">
        <v>44727.053478333335</v>
      </c>
      <c r="AQ222" s="66"/>
    </row>
    <row r="223">
      <c r="A223" s="69" t="str">
        <f>HYPERLINK("https://shop70176301.world.taobao.com/","Dream Case")</f>
        <v>Dream Case</v>
      </c>
      <c r="B223" s="46" t="s">
        <v>1116</v>
      </c>
      <c r="C223" s="63" t="s">
        <v>262</v>
      </c>
      <c r="D223" s="48">
        <v>325.0</v>
      </c>
      <c r="E223" s="48">
        <v>155.0</v>
      </c>
      <c r="F223" s="48">
        <v>278.0</v>
      </c>
      <c r="G223" s="49">
        <f t="shared" si="11"/>
        <v>14.00425</v>
      </c>
      <c r="H223" s="49">
        <f t="shared" si="12"/>
        <v>503.75</v>
      </c>
      <c r="I223" s="48">
        <v>1.65</v>
      </c>
      <c r="J223" s="48" t="s">
        <v>171</v>
      </c>
      <c r="K223" s="50" t="s">
        <v>171</v>
      </c>
      <c r="L223" s="51">
        <v>140.0</v>
      </c>
      <c r="M223" s="50" t="s">
        <v>166</v>
      </c>
      <c r="N223" s="51" t="s">
        <v>166</v>
      </c>
      <c r="O223" s="48">
        <v>325.0</v>
      </c>
      <c r="P223" s="48">
        <v>145.0</v>
      </c>
      <c r="Q223" s="48">
        <v>80.0</v>
      </c>
      <c r="R223" s="48">
        <v>4.0</v>
      </c>
      <c r="S223" s="50" t="s">
        <v>166</v>
      </c>
      <c r="T223" s="52" t="s">
        <v>423</v>
      </c>
      <c r="U223" s="52" t="s">
        <v>686</v>
      </c>
      <c r="V223" s="51">
        <v>2.0</v>
      </c>
      <c r="W223" s="48" t="s">
        <v>194</v>
      </c>
      <c r="X223" s="50" t="s">
        <v>166</v>
      </c>
      <c r="Y223" s="51" t="s">
        <v>166</v>
      </c>
      <c r="Z223" s="48" t="s">
        <v>166</v>
      </c>
      <c r="AA223" s="48" t="s">
        <v>166</v>
      </c>
      <c r="AB223" s="48" t="s">
        <v>220</v>
      </c>
      <c r="AC223" s="48" t="s">
        <v>416</v>
      </c>
      <c r="AD223" s="48" t="s">
        <v>166</v>
      </c>
      <c r="AE223" s="54" t="s">
        <v>166</v>
      </c>
      <c r="AF223" s="55" t="s">
        <v>166</v>
      </c>
      <c r="AG223" s="51" t="s">
        <v>166</v>
      </c>
      <c r="AH223" s="48">
        <v>1.0</v>
      </c>
      <c r="AI223" s="48" t="s">
        <v>166</v>
      </c>
      <c r="AJ223" s="50" t="s">
        <v>174</v>
      </c>
      <c r="AK223" s="56">
        <v>146.0</v>
      </c>
      <c r="AL223" s="57">
        <f>AK223*Sheets!$E$3</f>
        <v>20.125443</v>
      </c>
      <c r="AM223" s="58"/>
      <c r="AN223" s="59"/>
      <c r="AO223" s="60"/>
      <c r="AP223" s="65">
        <v>44737.68211222222</v>
      </c>
      <c r="AQ223" s="66"/>
    </row>
    <row r="224">
      <c r="A224" s="82" t="str">
        <f>HYPERLINK("https://www.nouvolo.com/","Nouvolo")</f>
        <v>Nouvolo</v>
      </c>
      <c r="B224" s="62" t="s">
        <v>1117</v>
      </c>
      <c r="C224" s="63" t="s">
        <v>248</v>
      </c>
      <c r="D224" s="48">
        <v>343.0</v>
      </c>
      <c r="E224" s="48">
        <v>156.0</v>
      </c>
      <c r="F224" s="48">
        <v>262.0</v>
      </c>
      <c r="G224" s="49">
        <f t="shared" si="11"/>
        <v>14.019096</v>
      </c>
      <c r="H224" s="49">
        <f t="shared" si="12"/>
        <v>535.08</v>
      </c>
      <c r="I224" s="48">
        <v>4.0</v>
      </c>
      <c r="J224" s="48" t="s">
        <v>235</v>
      </c>
      <c r="K224" s="50" t="s">
        <v>605</v>
      </c>
      <c r="L224" s="51">
        <v>72.0</v>
      </c>
      <c r="M224" s="50" t="s">
        <v>547</v>
      </c>
      <c r="N224" s="51" t="s">
        <v>174</v>
      </c>
      <c r="O224" s="48">
        <v>320.0</v>
      </c>
      <c r="P224" s="48" t="s">
        <v>170</v>
      </c>
      <c r="Q224" s="48">
        <v>63.0</v>
      </c>
      <c r="R224" s="48">
        <v>2.0</v>
      </c>
      <c r="S224" s="50" t="s">
        <v>166</v>
      </c>
      <c r="T224" s="52" t="s">
        <v>167</v>
      </c>
      <c r="U224" s="52" t="s">
        <v>346</v>
      </c>
      <c r="V224" s="51">
        <v>1.0</v>
      </c>
      <c r="W224" s="48" t="s">
        <v>166</v>
      </c>
      <c r="X224" s="50" t="s">
        <v>166</v>
      </c>
      <c r="Y224" s="51" t="s">
        <v>166</v>
      </c>
      <c r="Z224" s="48" t="s">
        <v>166</v>
      </c>
      <c r="AA224" s="48" t="s">
        <v>166</v>
      </c>
      <c r="AB224" s="48" t="s">
        <v>166</v>
      </c>
      <c r="AC224" s="48">
        <v>4.0</v>
      </c>
      <c r="AD224" s="48" t="s">
        <v>166</v>
      </c>
      <c r="AE224" s="54" t="s">
        <v>166</v>
      </c>
      <c r="AF224" s="55" t="s">
        <v>166</v>
      </c>
      <c r="AG224" s="51" t="s">
        <v>166</v>
      </c>
      <c r="AH224" s="48" t="s">
        <v>166</v>
      </c>
      <c r="AI224" s="48" t="s">
        <v>166</v>
      </c>
      <c r="AJ224" s="50" t="s">
        <v>166</v>
      </c>
      <c r="AK224" s="56" t="s">
        <v>166</v>
      </c>
      <c r="AL224" s="57">
        <v>229.0</v>
      </c>
      <c r="AM224" s="64" t="s">
        <v>214</v>
      </c>
      <c r="AN224" s="59"/>
      <c r="AO224" s="60"/>
      <c r="AP224" s="65"/>
      <c r="AQ224" s="66"/>
    </row>
    <row r="225">
      <c r="A225" s="69" t="str">
        <f>HYPERLINK("https://shop70176301.world.taobao.com/","Dream Case")</f>
        <v>Dream Case</v>
      </c>
      <c r="B225" s="73" t="s">
        <v>1118</v>
      </c>
      <c r="C225" s="63" t="s">
        <v>248</v>
      </c>
      <c r="D225" s="48">
        <v>335.0</v>
      </c>
      <c r="E225" s="48">
        <v>155.0</v>
      </c>
      <c r="F225" s="48">
        <v>270.0</v>
      </c>
      <c r="G225" s="49">
        <f t="shared" si="11"/>
        <v>14.01975</v>
      </c>
      <c r="H225" s="49">
        <f t="shared" si="12"/>
        <v>519.25</v>
      </c>
      <c r="I225" s="48" t="s">
        <v>170</v>
      </c>
      <c r="J225" s="48" t="s">
        <v>171</v>
      </c>
      <c r="K225" s="50" t="s">
        <v>171</v>
      </c>
      <c r="L225" s="51">
        <v>85.0</v>
      </c>
      <c r="M225" s="50" t="s">
        <v>547</v>
      </c>
      <c r="N225" s="51" t="s">
        <v>174</v>
      </c>
      <c r="O225" s="48">
        <v>335.0</v>
      </c>
      <c r="P225" s="48">
        <v>160.0</v>
      </c>
      <c r="Q225" s="48">
        <v>55.0</v>
      </c>
      <c r="R225" s="48">
        <v>2.0</v>
      </c>
      <c r="S225" s="50" t="s">
        <v>166</v>
      </c>
      <c r="T225" s="52" t="s">
        <v>1119</v>
      </c>
      <c r="U225" s="52" t="s">
        <v>599</v>
      </c>
      <c r="V225" s="51">
        <v>2.0</v>
      </c>
      <c r="W225" s="48" t="s">
        <v>166</v>
      </c>
      <c r="X225" s="50" t="s">
        <v>166</v>
      </c>
      <c r="Y225" s="51" t="s">
        <v>166</v>
      </c>
      <c r="Z225" s="48" t="s">
        <v>166</v>
      </c>
      <c r="AA225" s="48" t="s">
        <v>166</v>
      </c>
      <c r="AB225" s="48" t="s">
        <v>166</v>
      </c>
      <c r="AC225" s="48">
        <v>2.0</v>
      </c>
      <c r="AD225" s="48" t="s">
        <v>166</v>
      </c>
      <c r="AE225" s="54" t="s">
        <v>166</v>
      </c>
      <c r="AF225" s="55" t="s">
        <v>166</v>
      </c>
      <c r="AG225" s="51" t="s">
        <v>166</v>
      </c>
      <c r="AH225" s="48" t="s">
        <v>166</v>
      </c>
      <c r="AI225" s="48" t="s">
        <v>166</v>
      </c>
      <c r="AJ225" s="50" t="s">
        <v>166</v>
      </c>
      <c r="AK225" s="56">
        <v>328.0</v>
      </c>
      <c r="AL225" s="57">
        <f>AK225*Sheets!$E$3</f>
        <v>45.213324</v>
      </c>
      <c r="AM225" s="58"/>
      <c r="AN225" s="59"/>
      <c r="AO225" s="60" t="s">
        <v>181</v>
      </c>
      <c r="AP225" s="65">
        <v>44442.899330671295</v>
      </c>
      <c r="AQ225" s="66"/>
    </row>
    <row r="226">
      <c r="A226" s="61" t="s">
        <v>209</v>
      </c>
      <c r="B226" s="83" t="str">
        <f>HYPERLINK("https://www.silverstonetek.com/product.php?pid=503&amp;area=en","ML07")</f>
        <v>ML07</v>
      </c>
      <c r="C226" s="63" t="s">
        <v>225</v>
      </c>
      <c r="D226" s="48">
        <v>350.0</v>
      </c>
      <c r="E226" s="48">
        <v>105.0</v>
      </c>
      <c r="F226" s="48">
        <v>382.0</v>
      </c>
      <c r="G226" s="49">
        <f t="shared" si="11"/>
        <v>14.0385</v>
      </c>
      <c r="H226" s="49">
        <f t="shared" si="12"/>
        <v>367.5</v>
      </c>
      <c r="I226" s="48">
        <v>3.71</v>
      </c>
      <c r="J226" s="48" t="s">
        <v>854</v>
      </c>
      <c r="K226" s="50" t="s">
        <v>211</v>
      </c>
      <c r="L226" s="51">
        <v>83.0</v>
      </c>
      <c r="M226" s="50" t="s">
        <v>547</v>
      </c>
      <c r="N226" s="51" t="s">
        <v>174</v>
      </c>
      <c r="O226" s="48">
        <v>330.0</v>
      </c>
      <c r="P226" s="48">
        <v>149.0</v>
      </c>
      <c r="Q226" s="48">
        <v>68.0</v>
      </c>
      <c r="R226" s="48">
        <v>2.0</v>
      </c>
      <c r="S226" s="50" t="s">
        <v>166</v>
      </c>
      <c r="T226" s="52" t="s">
        <v>227</v>
      </c>
      <c r="U226" s="52" t="s">
        <v>346</v>
      </c>
      <c r="V226" s="51">
        <v>3.0</v>
      </c>
      <c r="W226" s="48">
        <v>1.0</v>
      </c>
      <c r="X226" s="50" t="s">
        <v>218</v>
      </c>
      <c r="Y226" s="51" t="s">
        <v>166</v>
      </c>
      <c r="Z226" s="48" t="s">
        <v>166</v>
      </c>
      <c r="AA226" s="48" t="s">
        <v>166</v>
      </c>
      <c r="AB226" s="48" t="s">
        <v>166</v>
      </c>
      <c r="AC226" s="48">
        <v>3.0</v>
      </c>
      <c r="AD226" s="48" t="s">
        <v>166</v>
      </c>
      <c r="AE226" s="54" t="s">
        <v>166</v>
      </c>
      <c r="AF226" s="55" t="s">
        <v>166</v>
      </c>
      <c r="AG226" s="51" t="s">
        <v>166</v>
      </c>
      <c r="AH226" s="48">
        <v>2.0</v>
      </c>
      <c r="AI226" s="48" t="s">
        <v>166</v>
      </c>
      <c r="AJ226" s="50" t="s">
        <v>174</v>
      </c>
      <c r="AK226" s="56" t="s">
        <v>166</v>
      </c>
      <c r="AL226" s="57">
        <v>87.17</v>
      </c>
      <c r="AM226" s="58"/>
      <c r="AN226" s="64" t="s">
        <v>214</v>
      </c>
      <c r="AO226" s="60"/>
      <c r="AP226" s="65">
        <v>44644.505672569445</v>
      </c>
      <c r="AQ226" s="66"/>
    </row>
    <row r="227">
      <c r="A227" s="61" t="s">
        <v>209</v>
      </c>
      <c r="B227" s="83" t="str">
        <f>HYPERLINK("https://www.silverstonetek.com/raven/products/index.php?model=RVZ01&amp;area=en&amp;top=S","RVZ01")</f>
        <v>RVZ01</v>
      </c>
      <c r="C227" s="63" t="s">
        <v>225</v>
      </c>
      <c r="D227" s="48">
        <v>350.0</v>
      </c>
      <c r="E227" s="48">
        <v>105.0</v>
      </c>
      <c r="F227" s="48">
        <v>382.0</v>
      </c>
      <c r="G227" s="49">
        <f t="shared" si="11"/>
        <v>14.0385</v>
      </c>
      <c r="H227" s="49">
        <f t="shared" si="12"/>
        <v>367.5</v>
      </c>
      <c r="I227" s="48">
        <v>3.71</v>
      </c>
      <c r="J227" s="48" t="s">
        <v>854</v>
      </c>
      <c r="K227" s="50" t="s">
        <v>211</v>
      </c>
      <c r="L227" s="51">
        <v>83.0</v>
      </c>
      <c r="M227" s="50" t="s">
        <v>547</v>
      </c>
      <c r="N227" s="51" t="s">
        <v>174</v>
      </c>
      <c r="O227" s="48">
        <v>330.0</v>
      </c>
      <c r="P227" s="48">
        <v>149.0</v>
      </c>
      <c r="Q227" s="48">
        <v>68.0</v>
      </c>
      <c r="R227" s="48">
        <v>2.0</v>
      </c>
      <c r="S227" s="50" t="s">
        <v>166</v>
      </c>
      <c r="T227" s="52" t="s">
        <v>227</v>
      </c>
      <c r="U227" s="52" t="s">
        <v>346</v>
      </c>
      <c r="V227" s="51">
        <v>3.0</v>
      </c>
      <c r="W227" s="48">
        <v>1.0</v>
      </c>
      <c r="X227" s="50" t="s">
        <v>218</v>
      </c>
      <c r="Y227" s="51" t="s">
        <v>166</v>
      </c>
      <c r="Z227" s="48" t="s">
        <v>166</v>
      </c>
      <c r="AA227" s="48" t="s">
        <v>166</v>
      </c>
      <c r="AB227" s="48" t="s">
        <v>166</v>
      </c>
      <c r="AC227" s="48">
        <v>3.0</v>
      </c>
      <c r="AD227" s="48" t="s">
        <v>166</v>
      </c>
      <c r="AE227" s="54" t="s">
        <v>166</v>
      </c>
      <c r="AF227" s="55" t="s">
        <v>166</v>
      </c>
      <c r="AG227" s="51" t="s">
        <v>166</v>
      </c>
      <c r="AH227" s="48">
        <v>2.0</v>
      </c>
      <c r="AI227" s="48" t="s">
        <v>166</v>
      </c>
      <c r="AJ227" s="50" t="s">
        <v>174</v>
      </c>
      <c r="AK227" s="56" t="s">
        <v>166</v>
      </c>
      <c r="AL227" s="57">
        <v>112.92</v>
      </c>
      <c r="AM227" s="58"/>
      <c r="AN227" s="64" t="s">
        <v>214</v>
      </c>
      <c r="AO227" s="60"/>
      <c r="AP227" s="65">
        <v>44644.50567241898</v>
      </c>
      <c r="AQ227" s="66"/>
    </row>
    <row r="228">
      <c r="A228" s="61" t="s">
        <v>209</v>
      </c>
      <c r="B228" s="83" t="str">
        <f>HYPERLINK("https://www.silverstonetek.com/raven/products/index.php?model=RVZ01-E&amp;area=en&amp;top=S","RVZ01-E")</f>
        <v>RVZ01-E</v>
      </c>
      <c r="C228" s="63" t="s">
        <v>225</v>
      </c>
      <c r="D228" s="48">
        <v>350.0</v>
      </c>
      <c r="E228" s="48">
        <v>105.0</v>
      </c>
      <c r="F228" s="48">
        <v>382.0</v>
      </c>
      <c r="G228" s="49">
        <f t="shared" si="11"/>
        <v>14.0385</v>
      </c>
      <c r="H228" s="49">
        <f t="shared" si="12"/>
        <v>367.5</v>
      </c>
      <c r="I228" s="48">
        <v>3.7</v>
      </c>
      <c r="J228" s="48" t="s">
        <v>854</v>
      </c>
      <c r="K228" s="50" t="s">
        <v>211</v>
      </c>
      <c r="L228" s="51">
        <v>83.0</v>
      </c>
      <c r="M228" s="50" t="s">
        <v>166</v>
      </c>
      <c r="N228" s="51" t="s">
        <v>174</v>
      </c>
      <c r="O228" s="48">
        <v>330.0</v>
      </c>
      <c r="P228" s="48">
        <v>149.0</v>
      </c>
      <c r="Q228" s="48">
        <v>68.0</v>
      </c>
      <c r="R228" s="48">
        <v>2.0</v>
      </c>
      <c r="S228" s="50" t="s">
        <v>166</v>
      </c>
      <c r="T228" s="52" t="s">
        <v>227</v>
      </c>
      <c r="U228" s="52" t="s">
        <v>599</v>
      </c>
      <c r="V228" s="51">
        <v>4.0</v>
      </c>
      <c r="W228" s="48" t="s">
        <v>166</v>
      </c>
      <c r="X228" s="50" t="s">
        <v>166</v>
      </c>
      <c r="Y228" s="51" t="s">
        <v>166</v>
      </c>
      <c r="Z228" s="48" t="s">
        <v>166</v>
      </c>
      <c r="AA228" s="48" t="s">
        <v>166</v>
      </c>
      <c r="AB228" s="48" t="s">
        <v>166</v>
      </c>
      <c r="AC228" s="48">
        <v>3.0</v>
      </c>
      <c r="AD228" s="48" t="s">
        <v>166</v>
      </c>
      <c r="AE228" s="54" t="s">
        <v>166</v>
      </c>
      <c r="AF228" s="55" t="s">
        <v>166</v>
      </c>
      <c r="AG228" s="51" t="s">
        <v>166</v>
      </c>
      <c r="AH228" s="48">
        <v>2.0</v>
      </c>
      <c r="AI228" s="48" t="s">
        <v>166</v>
      </c>
      <c r="AJ228" s="50" t="s">
        <v>174</v>
      </c>
      <c r="AK228" s="56" t="s">
        <v>166</v>
      </c>
      <c r="AL228" s="57">
        <v>116.75</v>
      </c>
      <c r="AM228" s="58"/>
      <c r="AN228" s="64" t="s">
        <v>214</v>
      </c>
      <c r="AO228" s="60"/>
      <c r="AP228" s="65">
        <v>44644.50567770834</v>
      </c>
      <c r="AQ228" s="66"/>
    </row>
    <row r="229">
      <c r="A229" s="83" t="str">
        <f>HYPERLINK("https://www.sfftime.com/","SFFtime")</f>
        <v>SFFtime</v>
      </c>
      <c r="B229" s="62" t="s">
        <v>1120</v>
      </c>
      <c r="C229" s="63" t="s">
        <v>225</v>
      </c>
      <c r="D229" s="48">
        <v>406.0</v>
      </c>
      <c r="E229" s="48">
        <v>98.0</v>
      </c>
      <c r="F229" s="48">
        <v>354.0</v>
      </c>
      <c r="G229" s="49">
        <f t="shared" si="11"/>
        <v>14.084952</v>
      </c>
      <c r="H229" s="49">
        <f t="shared" si="12"/>
        <v>397.88</v>
      </c>
      <c r="I229" s="48">
        <v>3.6</v>
      </c>
      <c r="J229" s="48" t="s">
        <v>171</v>
      </c>
      <c r="K229" s="50" t="s">
        <v>1121</v>
      </c>
      <c r="L229" s="51">
        <v>79.0</v>
      </c>
      <c r="M229" s="50" t="s">
        <v>1122</v>
      </c>
      <c r="N229" s="51" t="s">
        <v>174</v>
      </c>
      <c r="O229" s="48">
        <v>388.0</v>
      </c>
      <c r="P229" s="48">
        <v>140.0</v>
      </c>
      <c r="Q229" s="48">
        <v>82.0</v>
      </c>
      <c r="R229" s="48">
        <v>6.0</v>
      </c>
      <c r="S229" s="50" t="s">
        <v>166</v>
      </c>
      <c r="T229" s="52" t="s">
        <v>1123</v>
      </c>
      <c r="U229" s="52" t="s">
        <v>816</v>
      </c>
      <c r="V229" s="51">
        <v>9.0</v>
      </c>
      <c r="W229" s="48">
        <v>3.0</v>
      </c>
      <c r="X229" s="50" t="s">
        <v>166</v>
      </c>
      <c r="Y229" s="51" t="s">
        <v>166</v>
      </c>
      <c r="Z229" s="48" t="s">
        <v>166</v>
      </c>
      <c r="AA229" s="48">
        <v>1.0</v>
      </c>
      <c r="AB229" s="48" t="s">
        <v>166</v>
      </c>
      <c r="AC229" s="48">
        <v>3.0</v>
      </c>
      <c r="AD229" s="48">
        <v>2.0</v>
      </c>
      <c r="AE229" s="54" t="s">
        <v>166</v>
      </c>
      <c r="AF229" s="55" t="s">
        <v>166</v>
      </c>
      <c r="AG229" s="51" t="s">
        <v>166</v>
      </c>
      <c r="AH229" s="48">
        <v>2.0</v>
      </c>
      <c r="AI229" s="48" t="s">
        <v>166</v>
      </c>
      <c r="AJ229" s="50" t="s">
        <v>166</v>
      </c>
      <c r="AK229" s="56" t="s">
        <v>166</v>
      </c>
      <c r="AL229" s="57">
        <v>229.0</v>
      </c>
      <c r="AM229" s="64" t="s">
        <v>214</v>
      </c>
      <c r="AN229" s="59"/>
      <c r="AO229" s="60"/>
      <c r="AP229" s="65">
        <v>44792.877258368055</v>
      </c>
      <c r="AQ229" s="66"/>
    </row>
    <row r="230">
      <c r="A230" s="61" t="s">
        <v>1124</v>
      </c>
      <c r="B230" s="62" t="s">
        <v>1125</v>
      </c>
      <c r="C230" s="63" t="s">
        <v>262</v>
      </c>
      <c r="D230" s="48">
        <v>420.0</v>
      </c>
      <c r="E230" s="48">
        <v>112.0</v>
      </c>
      <c r="F230" s="48">
        <v>300.0</v>
      </c>
      <c r="G230" s="49">
        <f t="shared" si="11"/>
        <v>14.112</v>
      </c>
      <c r="H230" s="49">
        <f t="shared" si="12"/>
        <v>470.4</v>
      </c>
      <c r="I230" s="48">
        <v>2.6</v>
      </c>
      <c r="J230" s="48" t="s">
        <v>171</v>
      </c>
      <c r="K230" s="50" t="s">
        <v>1126</v>
      </c>
      <c r="L230" s="51">
        <v>80.0</v>
      </c>
      <c r="M230" s="50" t="s">
        <v>166</v>
      </c>
      <c r="N230" s="51" t="s">
        <v>166</v>
      </c>
      <c r="O230" s="48">
        <v>240.0</v>
      </c>
      <c r="P230" s="48">
        <v>70.0</v>
      </c>
      <c r="Q230" s="48">
        <v>80.0</v>
      </c>
      <c r="R230" s="48" t="s">
        <v>166</v>
      </c>
      <c r="S230" s="50">
        <v>4.0</v>
      </c>
      <c r="T230" s="52" t="s">
        <v>423</v>
      </c>
      <c r="U230" s="52" t="s">
        <v>324</v>
      </c>
      <c r="V230" s="51" t="s">
        <v>207</v>
      </c>
      <c r="W230" s="48" t="s">
        <v>207</v>
      </c>
      <c r="X230" s="50" t="s">
        <v>194</v>
      </c>
      <c r="Y230" s="51" t="s">
        <v>166</v>
      </c>
      <c r="Z230" s="48" t="s">
        <v>166</v>
      </c>
      <c r="AA230" s="48">
        <v>2.0</v>
      </c>
      <c r="AB230" s="48" t="s">
        <v>166</v>
      </c>
      <c r="AC230" s="48" t="s">
        <v>166</v>
      </c>
      <c r="AD230" s="48" t="s">
        <v>166</v>
      </c>
      <c r="AE230" s="54" t="s">
        <v>166</v>
      </c>
      <c r="AF230" s="55" t="s">
        <v>166</v>
      </c>
      <c r="AG230" s="51" t="s">
        <v>166</v>
      </c>
      <c r="AH230" s="48">
        <v>2.0</v>
      </c>
      <c r="AI230" s="48" t="s">
        <v>166</v>
      </c>
      <c r="AJ230" s="50" t="s">
        <v>174</v>
      </c>
      <c r="AK230" s="56" t="s">
        <v>166</v>
      </c>
      <c r="AL230" s="57" t="s">
        <v>170</v>
      </c>
      <c r="AM230" s="58"/>
      <c r="AN230" s="59"/>
      <c r="AO230" s="60"/>
      <c r="AP230" s="65">
        <v>44717.93932763889</v>
      </c>
      <c r="AQ230" s="66"/>
    </row>
    <row r="231">
      <c r="A231" s="61" t="s">
        <v>209</v>
      </c>
      <c r="B231" s="83" t="str">
        <f>HYPERLINK("https://www.silverstonetek.com/product.php?pid=533&amp;area=en","FTZ01")</f>
        <v>FTZ01</v>
      </c>
      <c r="C231" s="63" t="s">
        <v>225</v>
      </c>
      <c r="D231" s="48">
        <v>351.0</v>
      </c>
      <c r="E231" s="48">
        <v>107.0</v>
      </c>
      <c r="F231" s="48">
        <v>376.0</v>
      </c>
      <c r="G231" s="49">
        <f t="shared" si="11"/>
        <v>14.121432</v>
      </c>
      <c r="H231" s="49">
        <f t="shared" si="12"/>
        <v>375.57</v>
      </c>
      <c r="I231" s="48">
        <v>4.6</v>
      </c>
      <c r="J231" s="48" t="s">
        <v>164</v>
      </c>
      <c r="K231" s="50" t="s">
        <v>512</v>
      </c>
      <c r="L231" s="51">
        <v>83.0</v>
      </c>
      <c r="M231" s="50" t="s">
        <v>547</v>
      </c>
      <c r="N231" s="51" t="s">
        <v>174</v>
      </c>
      <c r="O231" s="48">
        <v>330.0</v>
      </c>
      <c r="P231" s="48">
        <v>149.0</v>
      </c>
      <c r="Q231" s="48">
        <v>68.0</v>
      </c>
      <c r="R231" s="48">
        <v>2.0</v>
      </c>
      <c r="S231" s="50" t="s">
        <v>166</v>
      </c>
      <c r="T231" s="52" t="s">
        <v>227</v>
      </c>
      <c r="U231" s="52" t="s">
        <v>346</v>
      </c>
      <c r="V231" s="51">
        <v>3.0</v>
      </c>
      <c r="W231" s="48">
        <v>1.0</v>
      </c>
      <c r="X231" s="50" t="s">
        <v>218</v>
      </c>
      <c r="Y231" s="51" t="s">
        <v>166</v>
      </c>
      <c r="Z231" s="48" t="s">
        <v>166</v>
      </c>
      <c r="AA231" s="48" t="s">
        <v>166</v>
      </c>
      <c r="AB231" s="48" t="s">
        <v>166</v>
      </c>
      <c r="AC231" s="48">
        <v>3.0</v>
      </c>
      <c r="AD231" s="48" t="s">
        <v>166</v>
      </c>
      <c r="AE231" s="54" t="s">
        <v>166</v>
      </c>
      <c r="AF231" s="55" t="s">
        <v>166</v>
      </c>
      <c r="AG231" s="51" t="s">
        <v>166</v>
      </c>
      <c r="AH231" s="48">
        <v>2.0</v>
      </c>
      <c r="AI231" s="48" t="s">
        <v>166</v>
      </c>
      <c r="AJ231" s="50" t="s">
        <v>174</v>
      </c>
      <c r="AK231" s="56" t="s">
        <v>166</v>
      </c>
      <c r="AL231" s="57">
        <v>159.99</v>
      </c>
      <c r="AM231" s="58"/>
      <c r="AN231" s="64" t="s">
        <v>214</v>
      </c>
      <c r="AO231" s="60"/>
      <c r="AP231" s="65">
        <v>44644.50575913195</v>
      </c>
      <c r="AQ231" s="66"/>
    </row>
    <row r="232">
      <c r="A232" s="61" t="s">
        <v>209</v>
      </c>
      <c r="B232" s="83" t="str">
        <f>HYPERLINK("https://www.silverstonetek.com/product.php?pid=771&amp;area=en","FTZ01-E")</f>
        <v>FTZ01-E</v>
      </c>
      <c r="C232" s="63" t="s">
        <v>225</v>
      </c>
      <c r="D232" s="48">
        <v>351.0</v>
      </c>
      <c r="E232" s="48">
        <v>107.0</v>
      </c>
      <c r="F232" s="48">
        <v>376.0</v>
      </c>
      <c r="G232" s="49">
        <f t="shared" si="11"/>
        <v>14.121432</v>
      </c>
      <c r="H232" s="49">
        <f t="shared" si="12"/>
        <v>375.57</v>
      </c>
      <c r="I232" s="48">
        <v>4.49</v>
      </c>
      <c r="J232" s="48" t="s">
        <v>164</v>
      </c>
      <c r="K232" s="50" t="s">
        <v>512</v>
      </c>
      <c r="L232" s="51">
        <v>83.0</v>
      </c>
      <c r="M232" s="50" t="s">
        <v>166</v>
      </c>
      <c r="N232" s="51" t="s">
        <v>174</v>
      </c>
      <c r="O232" s="48">
        <v>330.0</v>
      </c>
      <c r="P232" s="48">
        <v>149.0</v>
      </c>
      <c r="Q232" s="48">
        <v>68.0</v>
      </c>
      <c r="R232" s="48">
        <v>2.0</v>
      </c>
      <c r="S232" s="50" t="s">
        <v>166</v>
      </c>
      <c r="T232" s="52" t="s">
        <v>227</v>
      </c>
      <c r="U232" s="52" t="s">
        <v>599</v>
      </c>
      <c r="V232" s="51">
        <v>4.0</v>
      </c>
      <c r="W232" s="48" t="s">
        <v>166</v>
      </c>
      <c r="X232" s="50" t="s">
        <v>166</v>
      </c>
      <c r="Y232" s="51" t="s">
        <v>166</v>
      </c>
      <c r="Z232" s="48" t="s">
        <v>166</v>
      </c>
      <c r="AA232" s="48" t="s">
        <v>166</v>
      </c>
      <c r="AB232" s="48" t="s">
        <v>166</v>
      </c>
      <c r="AC232" s="48">
        <v>3.0</v>
      </c>
      <c r="AD232" s="48" t="s">
        <v>166</v>
      </c>
      <c r="AE232" s="54" t="s">
        <v>166</v>
      </c>
      <c r="AF232" s="55" t="s">
        <v>166</v>
      </c>
      <c r="AG232" s="51" t="s">
        <v>166</v>
      </c>
      <c r="AH232" s="48">
        <v>2.0</v>
      </c>
      <c r="AI232" s="48" t="s">
        <v>166</v>
      </c>
      <c r="AJ232" s="50" t="s">
        <v>174</v>
      </c>
      <c r="AK232" s="56" t="s">
        <v>166</v>
      </c>
      <c r="AL232" s="57">
        <v>169.99</v>
      </c>
      <c r="AM232" s="58"/>
      <c r="AN232" s="64" t="s">
        <v>214</v>
      </c>
      <c r="AO232" s="60"/>
      <c r="AP232" s="65">
        <v>44644.505771145836</v>
      </c>
      <c r="AQ232" s="66"/>
    </row>
    <row r="233">
      <c r="A233" s="62" t="s">
        <v>1127</v>
      </c>
      <c r="B233" s="62" t="s">
        <v>1128</v>
      </c>
      <c r="C233" s="63" t="s">
        <v>262</v>
      </c>
      <c r="D233" s="48">
        <v>338.0</v>
      </c>
      <c r="E233" s="48">
        <v>170.0</v>
      </c>
      <c r="F233" s="48">
        <v>246.0</v>
      </c>
      <c r="G233" s="49">
        <f t="shared" si="11"/>
        <v>14.13516</v>
      </c>
      <c r="H233" s="49">
        <f t="shared" si="12"/>
        <v>574.6</v>
      </c>
      <c r="I233" s="48">
        <v>4.0</v>
      </c>
      <c r="J233" s="48" t="s">
        <v>245</v>
      </c>
      <c r="K233" s="50" t="s">
        <v>213</v>
      </c>
      <c r="L233" s="51">
        <v>130.0</v>
      </c>
      <c r="M233" s="50" t="s">
        <v>1129</v>
      </c>
      <c r="N233" s="51" t="s">
        <v>166</v>
      </c>
      <c r="O233" s="48">
        <v>318.0</v>
      </c>
      <c r="P233" s="48">
        <v>135.0</v>
      </c>
      <c r="Q233" s="48">
        <v>60.0</v>
      </c>
      <c r="R233" s="48">
        <v>2.0</v>
      </c>
      <c r="S233" s="50" t="s">
        <v>166</v>
      </c>
      <c r="T233" s="52" t="s">
        <v>227</v>
      </c>
      <c r="U233" s="52" t="s">
        <v>324</v>
      </c>
      <c r="V233" s="51">
        <v>1.0</v>
      </c>
      <c r="W233" s="48" t="s">
        <v>166</v>
      </c>
      <c r="X233" s="50" t="s">
        <v>166</v>
      </c>
      <c r="Y233" s="51" t="s">
        <v>166</v>
      </c>
      <c r="Z233" s="48" t="s">
        <v>166</v>
      </c>
      <c r="AA233" s="48" t="s">
        <v>166</v>
      </c>
      <c r="AB233" s="48" t="s">
        <v>166</v>
      </c>
      <c r="AC233" s="48" t="s">
        <v>416</v>
      </c>
      <c r="AD233" s="48" t="s">
        <v>193</v>
      </c>
      <c r="AE233" s="54" t="s">
        <v>166</v>
      </c>
      <c r="AF233" s="55" t="s">
        <v>166</v>
      </c>
      <c r="AG233" s="51" t="s">
        <v>166</v>
      </c>
      <c r="AH233" s="48" t="s">
        <v>166</v>
      </c>
      <c r="AI233" s="48">
        <v>1.0</v>
      </c>
      <c r="AJ233" s="50" t="s">
        <v>166</v>
      </c>
      <c r="AK233" s="56" t="s">
        <v>166</v>
      </c>
      <c r="AL233" s="57">
        <v>209.0</v>
      </c>
      <c r="AM233" s="64" t="s">
        <v>214</v>
      </c>
      <c r="AN233" s="59"/>
      <c r="AO233" s="60"/>
      <c r="AP233" s="65">
        <v>44489.86737553241</v>
      </c>
      <c r="AQ233" s="66"/>
    </row>
    <row r="234">
      <c r="A234" s="82" t="str">
        <f>HYPERLINK("http://kolink.eu/index.html","Kolink")</f>
        <v>Kolink</v>
      </c>
      <c r="B234" s="62" t="s">
        <v>1130</v>
      </c>
      <c r="C234" s="63" t="s">
        <v>248</v>
      </c>
      <c r="D234" s="48">
        <v>350.0</v>
      </c>
      <c r="E234" s="48">
        <v>150.0</v>
      </c>
      <c r="F234" s="48">
        <v>270.0</v>
      </c>
      <c r="G234" s="49">
        <f t="shared" si="11"/>
        <v>14.175</v>
      </c>
      <c r="H234" s="49">
        <f t="shared" si="12"/>
        <v>525</v>
      </c>
      <c r="I234" s="48">
        <v>2.6</v>
      </c>
      <c r="J234" s="48" t="s">
        <v>164</v>
      </c>
      <c r="K234" s="50" t="s">
        <v>198</v>
      </c>
      <c r="L234" s="51">
        <v>63.0</v>
      </c>
      <c r="M234" s="50">
        <v>92.0</v>
      </c>
      <c r="N234" s="51" t="s">
        <v>174</v>
      </c>
      <c r="O234" s="48">
        <v>330.0</v>
      </c>
      <c r="P234" s="48" t="s">
        <v>170</v>
      </c>
      <c r="Q234" s="48">
        <v>58.0</v>
      </c>
      <c r="R234" s="48">
        <v>2.0</v>
      </c>
      <c r="S234" s="50" t="s">
        <v>166</v>
      </c>
      <c r="T234" s="52" t="s">
        <v>167</v>
      </c>
      <c r="U234" s="52" t="s">
        <v>346</v>
      </c>
      <c r="V234" s="51">
        <v>2.0</v>
      </c>
      <c r="W234" s="48" t="s">
        <v>166</v>
      </c>
      <c r="X234" s="50" t="s">
        <v>166</v>
      </c>
      <c r="Y234" s="51" t="s">
        <v>166</v>
      </c>
      <c r="Z234" s="48" t="s">
        <v>166</v>
      </c>
      <c r="AA234" s="48" t="s">
        <v>166</v>
      </c>
      <c r="AB234" s="48">
        <v>1.0</v>
      </c>
      <c r="AC234" s="48" t="s">
        <v>166</v>
      </c>
      <c r="AD234" s="48" t="s">
        <v>166</v>
      </c>
      <c r="AE234" s="54" t="s">
        <v>166</v>
      </c>
      <c r="AF234" s="55" t="s">
        <v>166</v>
      </c>
      <c r="AG234" s="51" t="s">
        <v>166</v>
      </c>
      <c r="AH234" s="48">
        <v>1.0</v>
      </c>
      <c r="AI234" s="48">
        <v>1.0</v>
      </c>
      <c r="AJ234" s="50" t="s">
        <v>166</v>
      </c>
      <c r="AK234" s="56" t="s">
        <v>166</v>
      </c>
      <c r="AL234" s="57">
        <f>139.99*1.34</f>
        <v>187.5866</v>
      </c>
      <c r="AM234" s="58"/>
      <c r="AN234" s="59"/>
      <c r="AO234" s="60"/>
      <c r="AP234" s="60"/>
      <c r="AQ234" s="66"/>
    </row>
    <row r="235">
      <c r="A235" s="46" t="str">
        <f>HYPERLINK("https://shop159524301.world.taobao.com/","Warhead Design")</f>
        <v>Warhead Design</v>
      </c>
      <c r="B235" s="73" t="s">
        <v>1131</v>
      </c>
      <c r="C235" s="63" t="s">
        <v>262</v>
      </c>
      <c r="D235" s="48">
        <v>282.0</v>
      </c>
      <c r="E235" s="48">
        <v>185.0</v>
      </c>
      <c r="F235" s="48">
        <v>272.0</v>
      </c>
      <c r="G235" s="49">
        <f t="shared" si="11"/>
        <v>14.19024</v>
      </c>
      <c r="H235" s="49">
        <f t="shared" si="12"/>
        <v>521.7</v>
      </c>
      <c r="I235" s="48" t="s">
        <v>170</v>
      </c>
      <c r="J235" s="48" t="s">
        <v>171</v>
      </c>
      <c r="K235" s="50" t="s">
        <v>1132</v>
      </c>
      <c r="L235" s="51">
        <v>130.0</v>
      </c>
      <c r="M235" s="50" t="s">
        <v>166</v>
      </c>
      <c r="N235" s="51" t="s">
        <v>166</v>
      </c>
      <c r="O235" s="48">
        <v>275.0</v>
      </c>
      <c r="P235" s="48">
        <v>135.0</v>
      </c>
      <c r="Q235" s="48">
        <v>40.0</v>
      </c>
      <c r="R235" s="48">
        <v>2.0</v>
      </c>
      <c r="S235" s="50" t="s">
        <v>166</v>
      </c>
      <c r="T235" s="52" t="s">
        <v>423</v>
      </c>
      <c r="U235" s="52" t="s">
        <v>599</v>
      </c>
      <c r="V235" s="51">
        <v>2.0</v>
      </c>
      <c r="W235" s="48">
        <v>1.0</v>
      </c>
      <c r="X235" s="50" t="s">
        <v>166</v>
      </c>
      <c r="Y235" s="51" t="s">
        <v>166</v>
      </c>
      <c r="Z235" s="48" t="s">
        <v>166</v>
      </c>
      <c r="AA235" s="48">
        <v>1.0</v>
      </c>
      <c r="AB235" s="48" t="s">
        <v>166</v>
      </c>
      <c r="AC235" s="48">
        <v>4.0</v>
      </c>
      <c r="AD235" s="48" t="s">
        <v>166</v>
      </c>
      <c r="AE235" s="54" t="s">
        <v>166</v>
      </c>
      <c r="AF235" s="55" t="s">
        <v>166</v>
      </c>
      <c r="AG235" s="51" t="s">
        <v>166</v>
      </c>
      <c r="AH235" s="48" t="s">
        <v>166</v>
      </c>
      <c r="AI235" s="48" t="s">
        <v>166</v>
      </c>
      <c r="AJ235" s="50" t="s">
        <v>166</v>
      </c>
      <c r="AK235" s="56">
        <v>499.0</v>
      </c>
      <c r="AL235" s="57">
        <f>AK235*Sheets!$E$3</f>
        <v>68.7849045</v>
      </c>
      <c r="AM235" s="68"/>
      <c r="AN235" s="70"/>
      <c r="AO235" s="71" t="s">
        <v>181</v>
      </c>
      <c r="AP235" s="71"/>
      <c r="AQ235" s="66"/>
    </row>
    <row r="236">
      <c r="A236" s="69" t="str">
        <f>HYPERLINK("https://jixieku.world.taobao.com/","机械库")</f>
        <v>机械库</v>
      </c>
      <c r="B236" s="46" t="s">
        <v>1133</v>
      </c>
      <c r="C236" s="63" t="s">
        <v>262</v>
      </c>
      <c r="D236" s="48">
        <v>342.0</v>
      </c>
      <c r="E236" s="48">
        <v>166.0</v>
      </c>
      <c r="F236" s="48">
        <v>250.0</v>
      </c>
      <c r="G236" s="49">
        <f t="shared" si="11"/>
        <v>14.193</v>
      </c>
      <c r="H236" s="49">
        <f t="shared" si="12"/>
        <v>567.72</v>
      </c>
      <c r="I236" s="48">
        <v>3.0</v>
      </c>
      <c r="J236" s="48" t="s">
        <v>235</v>
      </c>
      <c r="K236" s="50" t="s">
        <v>1134</v>
      </c>
      <c r="L236" s="51">
        <v>136.0</v>
      </c>
      <c r="M236" s="50" t="s">
        <v>547</v>
      </c>
      <c r="N236" s="51" t="s">
        <v>166</v>
      </c>
      <c r="O236" s="48">
        <v>330.0</v>
      </c>
      <c r="P236" s="48">
        <v>141.0</v>
      </c>
      <c r="Q236" s="48">
        <v>60.0</v>
      </c>
      <c r="R236" s="48">
        <v>3.0</v>
      </c>
      <c r="S236" s="50" t="s">
        <v>166</v>
      </c>
      <c r="T236" s="52" t="s">
        <v>227</v>
      </c>
      <c r="U236" s="52" t="s">
        <v>346</v>
      </c>
      <c r="V236" s="51" t="s">
        <v>220</v>
      </c>
      <c r="W236" s="48">
        <v>1.0</v>
      </c>
      <c r="X236" s="50" t="s">
        <v>166</v>
      </c>
      <c r="Y236" s="51" t="s">
        <v>166</v>
      </c>
      <c r="Z236" s="48" t="s">
        <v>166</v>
      </c>
      <c r="AA236" s="48" t="s">
        <v>166</v>
      </c>
      <c r="AB236" s="48">
        <v>1.0</v>
      </c>
      <c r="AC236" s="48">
        <v>2.0</v>
      </c>
      <c r="AD236" s="48" t="s">
        <v>166</v>
      </c>
      <c r="AE236" s="54" t="s">
        <v>166</v>
      </c>
      <c r="AF236" s="55" t="s">
        <v>166</v>
      </c>
      <c r="AG236" s="51" t="s">
        <v>166</v>
      </c>
      <c r="AH236" s="48">
        <v>2.0</v>
      </c>
      <c r="AI236" s="48" t="s">
        <v>166</v>
      </c>
      <c r="AJ236" s="50" t="s">
        <v>166</v>
      </c>
      <c r="AK236" s="56">
        <v>868.0</v>
      </c>
      <c r="AL236" s="57">
        <f>AK236*Sheets!$E$3</f>
        <v>119.649894</v>
      </c>
      <c r="AM236" s="68"/>
      <c r="AN236" s="70"/>
      <c r="AO236" s="71" t="s">
        <v>181</v>
      </c>
      <c r="AP236" s="72">
        <v>44681.60112818287</v>
      </c>
      <c r="AQ236" s="66"/>
    </row>
    <row r="237">
      <c r="A237" s="99" t="s">
        <v>1135</v>
      </c>
      <c r="B237" s="73" t="s">
        <v>1136</v>
      </c>
      <c r="C237" s="63" t="s">
        <v>262</v>
      </c>
      <c r="D237" s="48">
        <v>342.0</v>
      </c>
      <c r="E237" s="48">
        <v>166.0</v>
      </c>
      <c r="F237" s="48">
        <v>250.0</v>
      </c>
      <c r="G237" s="49">
        <f t="shared" si="11"/>
        <v>14.193</v>
      </c>
      <c r="H237" s="49">
        <f t="shared" si="12"/>
        <v>567.72</v>
      </c>
      <c r="I237" s="48">
        <v>1.7</v>
      </c>
      <c r="J237" s="48" t="s">
        <v>597</v>
      </c>
      <c r="K237" s="50" t="s">
        <v>164</v>
      </c>
      <c r="L237" s="51">
        <v>120.0</v>
      </c>
      <c r="M237" s="50" t="s">
        <v>166</v>
      </c>
      <c r="N237" s="51" t="s">
        <v>166</v>
      </c>
      <c r="O237" s="48">
        <v>280.0</v>
      </c>
      <c r="P237" s="48">
        <v>125.0</v>
      </c>
      <c r="Q237" s="48">
        <v>80.0</v>
      </c>
      <c r="R237" s="48">
        <v>4.0</v>
      </c>
      <c r="S237" s="50" t="s">
        <v>166</v>
      </c>
      <c r="T237" s="52" t="s">
        <v>1009</v>
      </c>
      <c r="U237" s="52" t="s">
        <v>324</v>
      </c>
      <c r="V237" s="51">
        <v>1.0</v>
      </c>
      <c r="W237" s="48" t="s">
        <v>166</v>
      </c>
      <c r="X237" s="50" t="s">
        <v>166</v>
      </c>
      <c r="Y237" s="51" t="s">
        <v>166</v>
      </c>
      <c r="Z237" s="48" t="s">
        <v>166</v>
      </c>
      <c r="AA237" s="48">
        <v>1.0</v>
      </c>
      <c r="AB237" s="48" t="s">
        <v>166</v>
      </c>
      <c r="AC237" s="48">
        <v>2.0</v>
      </c>
      <c r="AD237" s="48" t="s">
        <v>166</v>
      </c>
      <c r="AE237" s="54" t="s">
        <v>166</v>
      </c>
      <c r="AF237" s="55" t="s">
        <v>166</v>
      </c>
      <c r="AG237" s="51" t="s">
        <v>166</v>
      </c>
      <c r="AH237" s="48">
        <v>1.0</v>
      </c>
      <c r="AI237" s="48" t="s">
        <v>166</v>
      </c>
      <c r="AJ237" s="50" t="s">
        <v>166</v>
      </c>
      <c r="AK237" s="56">
        <v>179.0</v>
      </c>
      <c r="AL237" s="57">
        <f>AK237*Sheets!$E$3</f>
        <v>24.6743445</v>
      </c>
      <c r="AM237" s="68"/>
      <c r="AN237" s="70"/>
      <c r="AO237" s="60" t="s">
        <v>181</v>
      </c>
      <c r="AP237" s="72">
        <v>45128.004987939814</v>
      </c>
      <c r="AQ237" s="66"/>
    </row>
    <row r="238">
      <c r="A238" s="62" t="s">
        <v>379</v>
      </c>
      <c r="B238" s="67" t="s">
        <v>1137</v>
      </c>
      <c r="C238" s="63" t="s">
        <v>262</v>
      </c>
      <c r="D238" s="48">
        <v>335.0</v>
      </c>
      <c r="E238" s="48">
        <v>167.0</v>
      </c>
      <c r="F238" s="48">
        <v>254.0</v>
      </c>
      <c r="G238" s="49">
        <f t="shared" si="11"/>
        <v>14.21003</v>
      </c>
      <c r="H238" s="49">
        <f t="shared" si="12"/>
        <v>559.45</v>
      </c>
      <c r="I238" s="48">
        <v>5.0</v>
      </c>
      <c r="J238" s="48" t="s">
        <v>164</v>
      </c>
      <c r="K238" s="50" t="s">
        <v>164</v>
      </c>
      <c r="L238" s="51">
        <v>135.0</v>
      </c>
      <c r="M238" s="50" t="s">
        <v>547</v>
      </c>
      <c r="N238" s="51" t="s">
        <v>166</v>
      </c>
      <c r="O238" s="48">
        <v>320.0</v>
      </c>
      <c r="P238" s="48">
        <v>140.0</v>
      </c>
      <c r="Q238" s="48">
        <v>61.0</v>
      </c>
      <c r="R238" s="48">
        <v>3.0</v>
      </c>
      <c r="S238" s="50" t="s">
        <v>166</v>
      </c>
      <c r="T238" s="52" t="s">
        <v>167</v>
      </c>
      <c r="U238" s="52" t="s">
        <v>324</v>
      </c>
      <c r="V238" s="51" t="s">
        <v>193</v>
      </c>
      <c r="W238" s="48" t="s">
        <v>166</v>
      </c>
      <c r="X238" s="50" t="s">
        <v>166</v>
      </c>
      <c r="Y238" s="51" t="s">
        <v>166</v>
      </c>
      <c r="Z238" s="48" t="s">
        <v>166</v>
      </c>
      <c r="AA238" s="48" t="s">
        <v>207</v>
      </c>
      <c r="AB238" s="48" t="s">
        <v>166</v>
      </c>
      <c r="AC238" s="48" t="s">
        <v>910</v>
      </c>
      <c r="AD238" s="48" t="s">
        <v>166</v>
      </c>
      <c r="AE238" s="54" t="s">
        <v>166</v>
      </c>
      <c r="AF238" s="55" t="s">
        <v>166</v>
      </c>
      <c r="AG238" s="51" t="s">
        <v>166</v>
      </c>
      <c r="AH238" s="48">
        <v>1.0</v>
      </c>
      <c r="AI238" s="48">
        <v>1.0</v>
      </c>
      <c r="AJ238" s="50" t="s">
        <v>166</v>
      </c>
      <c r="AK238" s="56">
        <v>1599.0</v>
      </c>
      <c r="AL238" s="57">
        <v>249.0</v>
      </c>
      <c r="AM238" s="64" t="s">
        <v>214</v>
      </c>
      <c r="AN238" s="59"/>
      <c r="AO238" s="60" t="s">
        <v>181</v>
      </c>
      <c r="AP238" s="65">
        <v>45155.482618622686</v>
      </c>
      <c r="AQ238" s="66"/>
    </row>
    <row r="239">
      <c r="A239" s="62" t="s">
        <v>1138</v>
      </c>
      <c r="B239" s="62" t="s">
        <v>1139</v>
      </c>
      <c r="C239" s="63" t="s">
        <v>248</v>
      </c>
      <c r="D239" s="48">
        <v>216.01</v>
      </c>
      <c r="E239" s="48">
        <v>170.02</v>
      </c>
      <c r="F239" s="48">
        <v>387.04</v>
      </c>
      <c r="G239" s="49">
        <f t="shared" si="11"/>
        <v>14.21443886</v>
      </c>
      <c r="H239" s="49">
        <f t="shared" si="12"/>
        <v>367.260202</v>
      </c>
      <c r="I239" s="48" t="s">
        <v>170</v>
      </c>
      <c r="J239" s="48" t="s">
        <v>164</v>
      </c>
      <c r="K239" s="50" t="s">
        <v>164</v>
      </c>
      <c r="L239" s="51">
        <v>99.0</v>
      </c>
      <c r="M239" s="50" t="s">
        <v>547</v>
      </c>
      <c r="N239" s="51" t="s">
        <v>174</v>
      </c>
      <c r="O239" s="48">
        <v>305.0</v>
      </c>
      <c r="P239" s="48" t="s">
        <v>170</v>
      </c>
      <c r="Q239" s="48">
        <v>60.0</v>
      </c>
      <c r="R239" s="48">
        <v>2.0</v>
      </c>
      <c r="S239" s="50" t="s">
        <v>166</v>
      </c>
      <c r="T239" s="52" t="s">
        <v>167</v>
      </c>
      <c r="U239" s="52" t="s">
        <v>324</v>
      </c>
      <c r="V239" s="51" t="s">
        <v>435</v>
      </c>
      <c r="W239" s="48" t="s">
        <v>194</v>
      </c>
      <c r="X239" s="50" t="s">
        <v>166</v>
      </c>
      <c r="Y239" s="51" t="s">
        <v>166</v>
      </c>
      <c r="Z239" s="48" t="s">
        <v>166</v>
      </c>
      <c r="AA239" s="48" t="s">
        <v>166</v>
      </c>
      <c r="AB239" s="48" t="s">
        <v>166</v>
      </c>
      <c r="AC239" s="48" t="s">
        <v>193</v>
      </c>
      <c r="AD239" s="48" t="s">
        <v>193</v>
      </c>
      <c r="AE239" s="54" t="s">
        <v>166</v>
      </c>
      <c r="AF239" s="55" t="s">
        <v>166</v>
      </c>
      <c r="AG239" s="51" t="s">
        <v>166</v>
      </c>
      <c r="AH239" s="48">
        <v>2.0</v>
      </c>
      <c r="AI239" s="48" t="s">
        <v>166</v>
      </c>
      <c r="AJ239" s="50" t="s">
        <v>174</v>
      </c>
      <c r="AK239" s="56" t="s">
        <v>166</v>
      </c>
      <c r="AL239" s="57" t="s">
        <v>170</v>
      </c>
      <c r="AM239" s="58"/>
      <c r="AN239" s="59"/>
      <c r="AO239" s="60"/>
      <c r="AP239" s="65">
        <v>44717.93936350694</v>
      </c>
      <c r="AQ239" s="66"/>
    </row>
    <row r="240">
      <c r="A240" s="61" t="s">
        <v>209</v>
      </c>
      <c r="B240" s="62" t="s">
        <v>1140</v>
      </c>
      <c r="C240" s="63" t="s">
        <v>262</v>
      </c>
      <c r="D240" s="48">
        <v>210.0</v>
      </c>
      <c r="E240" s="48">
        <v>210.5</v>
      </c>
      <c r="F240" s="48">
        <v>322.0</v>
      </c>
      <c r="G240" s="49">
        <f t="shared" si="11"/>
        <v>14.23401</v>
      </c>
      <c r="H240" s="49">
        <f t="shared" si="12"/>
        <v>442.05</v>
      </c>
      <c r="I240" s="48">
        <v>4.084</v>
      </c>
      <c r="J240" s="48" t="s">
        <v>164</v>
      </c>
      <c r="K240" s="117" t="s">
        <v>171</v>
      </c>
      <c r="L240" s="51">
        <v>68.0</v>
      </c>
      <c r="M240" s="50" t="s">
        <v>166</v>
      </c>
      <c r="N240" s="51" t="s">
        <v>166</v>
      </c>
      <c r="O240" s="48">
        <v>190.0</v>
      </c>
      <c r="P240" s="48">
        <v>74.0</v>
      </c>
      <c r="Q240" s="48">
        <v>20.0</v>
      </c>
      <c r="R240" s="48" t="s">
        <v>166</v>
      </c>
      <c r="S240" s="50">
        <v>1.0</v>
      </c>
      <c r="T240" s="52" t="s">
        <v>167</v>
      </c>
      <c r="U240" s="52" t="s">
        <v>346</v>
      </c>
      <c r="V240" s="51">
        <v>2.0</v>
      </c>
      <c r="W240" s="48">
        <v>2.0</v>
      </c>
      <c r="X240" s="50" t="s">
        <v>166</v>
      </c>
      <c r="Y240" s="51" t="s">
        <v>166</v>
      </c>
      <c r="Z240" s="48" t="s">
        <v>166</v>
      </c>
      <c r="AA240" s="48" t="s">
        <v>166</v>
      </c>
      <c r="AB240" s="48" t="s">
        <v>166</v>
      </c>
      <c r="AC240" s="48">
        <v>1.0</v>
      </c>
      <c r="AD240" s="48" t="s">
        <v>166</v>
      </c>
      <c r="AE240" s="54" t="s">
        <v>166</v>
      </c>
      <c r="AF240" s="55" t="s">
        <v>166</v>
      </c>
      <c r="AG240" s="51" t="s">
        <v>166</v>
      </c>
      <c r="AH240" s="48">
        <v>2.0</v>
      </c>
      <c r="AI240" s="48" t="s">
        <v>166</v>
      </c>
      <c r="AJ240" s="50" t="s">
        <v>166</v>
      </c>
      <c r="AK240" s="56" t="s">
        <v>166</v>
      </c>
      <c r="AL240" s="57">
        <v>125.0</v>
      </c>
      <c r="AM240" s="58"/>
      <c r="AN240" s="59"/>
      <c r="AO240" s="60"/>
      <c r="AP240" s="60"/>
      <c r="AQ240" s="66"/>
    </row>
    <row r="241">
      <c r="A241" s="61" t="s">
        <v>209</v>
      </c>
      <c r="B241" s="62" t="s">
        <v>1141</v>
      </c>
      <c r="C241" s="63" t="s">
        <v>490</v>
      </c>
      <c r="D241" s="48">
        <v>210.0</v>
      </c>
      <c r="E241" s="48">
        <v>210.5</v>
      </c>
      <c r="F241" s="48">
        <v>322.0</v>
      </c>
      <c r="G241" s="49">
        <f t="shared" si="11"/>
        <v>14.23401</v>
      </c>
      <c r="H241" s="49">
        <f t="shared" si="12"/>
        <v>442.05</v>
      </c>
      <c r="I241" s="48">
        <v>4.289</v>
      </c>
      <c r="J241" s="48" t="s">
        <v>164</v>
      </c>
      <c r="K241" s="117" t="s">
        <v>171</v>
      </c>
      <c r="L241" s="51">
        <v>68.0</v>
      </c>
      <c r="M241" s="50" t="s">
        <v>166</v>
      </c>
      <c r="N241" s="51" t="s">
        <v>166</v>
      </c>
      <c r="O241" s="48">
        <v>190.0</v>
      </c>
      <c r="P241" s="48">
        <v>74.0</v>
      </c>
      <c r="Q241" s="48">
        <v>20.0</v>
      </c>
      <c r="R241" s="48" t="s">
        <v>166</v>
      </c>
      <c r="S241" s="50">
        <v>1.0</v>
      </c>
      <c r="T241" s="52" t="s">
        <v>167</v>
      </c>
      <c r="U241" s="52" t="s">
        <v>346</v>
      </c>
      <c r="V241" s="51">
        <v>8.0</v>
      </c>
      <c r="W241" s="48" t="s">
        <v>166</v>
      </c>
      <c r="X241" s="50" t="s">
        <v>166</v>
      </c>
      <c r="Y241" s="51" t="s">
        <v>166</v>
      </c>
      <c r="Z241" s="48" t="s">
        <v>166</v>
      </c>
      <c r="AA241" s="48" t="s">
        <v>166</v>
      </c>
      <c r="AB241" s="48" t="s">
        <v>166</v>
      </c>
      <c r="AC241" s="48">
        <v>1.0</v>
      </c>
      <c r="AD241" s="48" t="s">
        <v>166</v>
      </c>
      <c r="AE241" s="54" t="s">
        <v>166</v>
      </c>
      <c r="AF241" s="55" t="s">
        <v>166</v>
      </c>
      <c r="AG241" s="51" t="s">
        <v>166</v>
      </c>
      <c r="AH241" s="48">
        <v>2.0</v>
      </c>
      <c r="AI241" s="48" t="s">
        <v>166</v>
      </c>
      <c r="AJ241" s="50" t="s">
        <v>166</v>
      </c>
      <c r="AK241" s="56" t="s">
        <v>166</v>
      </c>
      <c r="AL241" s="57">
        <v>160.0</v>
      </c>
      <c r="AM241" s="58"/>
      <c r="AN241" s="59"/>
      <c r="AO241" s="60"/>
      <c r="AP241" s="60"/>
      <c r="AQ241" s="66"/>
    </row>
    <row r="242">
      <c r="A242" s="61" t="str">
        <f>HYPERLINK("https://hdplex.com/","HDPLEX")</f>
        <v>HDPLEX</v>
      </c>
      <c r="B242" s="62" t="str">
        <f>HYPERLINK("https://hdplex.com/hdplex-h5-fanless-computer-case.html","H5 2nd Gen")</f>
        <v>H5 2nd Gen</v>
      </c>
      <c r="C242" s="63" t="s">
        <v>225</v>
      </c>
      <c r="D242" s="48">
        <v>356.0</v>
      </c>
      <c r="E242" s="48">
        <v>430.0</v>
      </c>
      <c r="F242" s="48">
        <v>93.0</v>
      </c>
      <c r="G242" s="49">
        <f t="shared" si="11"/>
        <v>14.23644</v>
      </c>
      <c r="H242" s="49">
        <f t="shared" si="12"/>
        <v>1530.8</v>
      </c>
      <c r="I242" s="48">
        <v>8.0</v>
      </c>
      <c r="J242" s="48" t="s">
        <v>164</v>
      </c>
      <c r="K242" s="50" t="s">
        <v>347</v>
      </c>
      <c r="L242" s="51" t="s">
        <v>348</v>
      </c>
      <c r="M242" s="50" t="s">
        <v>166</v>
      </c>
      <c r="N242" s="51" t="s">
        <v>166</v>
      </c>
      <c r="O242" s="48" t="s">
        <v>170</v>
      </c>
      <c r="P242" s="48" t="s">
        <v>170</v>
      </c>
      <c r="Q242" s="48">
        <v>40.0</v>
      </c>
      <c r="R242" s="48" t="s">
        <v>1142</v>
      </c>
      <c r="S242" s="50" t="s">
        <v>1143</v>
      </c>
      <c r="T242" s="52" t="s">
        <v>696</v>
      </c>
      <c r="U242" s="52" t="s">
        <v>1144</v>
      </c>
      <c r="V242" s="51">
        <v>4.0</v>
      </c>
      <c r="W242" s="48">
        <v>2.0</v>
      </c>
      <c r="X242" s="50" t="s">
        <v>166</v>
      </c>
      <c r="Y242" s="51" t="s">
        <v>166</v>
      </c>
      <c r="Z242" s="48" t="s">
        <v>166</v>
      </c>
      <c r="AA242" s="48" t="s">
        <v>166</v>
      </c>
      <c r="AB242" s="48" t="s">
        <v>166</v>
      </c>
      <c r="AC242" s="48" t="s">
        <v>166</v>
      </c>
      <c r="AD242" s="48" t="s">
        <v>166</v>
      </c>
      <c r="AE242" s="54" t="s">
        <v>166</v>
      </c>
      <c r="AF242" s="55" t="s">
        <v>166</v>
      </c>
      <c r="AG242" s="51" t="s">
        <v>166</v>
      </c>
      <c r="AH242" s="48" t="s">
        <v>166</v>
      </c>
      <c r="AI242" s="48">
        <v>1.0</v>
      </c>
      <c r="AJ242" s="50" t="s">
        <v>166</v>
      </c>
      <c r="AK242" s="56" t="s">
        <v>166</v>
      </c>
      <c r="AL242" s="57">
        <v>298.0</v>
      </c>
      <c r="AM242" s="58"/>
      <c r="AN242" s="59"/>
      <c r="AO242" s="60"/>
      <c r="AP242" s="60"/>
      <c r="AQ242" s="66"/>
    </row>
    <row r="243">
      <c r="A243" s="69" t="str">
        <f>HYPERLINK("https://shop200669052.world.taobao.com/","Acat机箱")</f>
        <v>Acat机箱</v>
      </c>
      <c r="B243" s="46" t="s">
        <v>1145</v>
      </c>
      <c r="C243" s="63" t="s">
        <v>262</v>
      </c>
      <c r="D243" s="48">
        <v>330.0</v>
      </c>
      <c r="E243" s="48">
        <v>164.0</v>
      </c>
      <c r="F243" s="48">
        <v>264.0</v>
      </c>
      <c r="G243" s="49">
        <f t="shared" si="11"/>
        <v>14.28768</v>
      </c>
      <c r="H243" s="49">
        <f t="shared" si="12"/>
        <v>541.2</v>
      </c>
      <c r="I243" s="48">
        <v>3.5</v>
      </c>
      <c r="J243" s="48" t="s">
        <v>164</v>
      </c>
      <c r="K243" s="50" t="s">
        <v>275</v>
      </c>
      <c r="L243" s="51">
        <v>138.0</v>
      </c>
      <c r="M243" s="50" t="s">
        <v>1146</v>
      </c>
      <c r="N243" s="51" t="s">
        <v>166</v>
      </c>
      <c r="O243" s="48">
        <v>314.0</v>
      </c>
      <c r="P243" s="48">
        <v>148.0</v>
      </c>
      <c r="Q243" s="48">
        <v>65.0</v>
      </c>
      <c r="R243" s="48">
        <v>3.0</v>
      </c>
      <c r="S243" s="50" t="s">
        <v>166</v>
      </c>
      <c r="T243" s="52" t="s">
        <v>423</v>
      </c>
      <c r="U243" s="52" t="s">
        <v>686</v>
      </c>
      <c r="V243" s="51">
        <v>6.0</v>
      </c>
      <c r="W243" s="48" t="s">
        <v>193</v>
      </c>
      <c r="X243" s="50" t="s">
        <v>166</v>
      </c>
      <c r="Y243" s="51" t="s">
        <v>166</v>
      </c>
      <c r="Z243" s="48" t="s">
        <v>166</v>
      </c>
      <c r="AA243" s="48">
        <v>2.0</v>
      </c>
      <c r="AB243" s="48" t="s">
        <v>166</v>
      </c>
      <c r="AC243" s="48" t="s">
        <v>416</v>
      </c>
      <c r="AD243" s="48" t="s">
        <v>193</v>
      </c>
      <c r="AE243" s="54" t="s">
        <v>166</v>
      </c>
      <c r="AF243" s="55" t="s">
        <v>166</v>
      </c>
      <c r="AG243" s="51" t="s">
        <v>166</v>
      </c>
      <c r="AH243" s="48" t="s">
        <v>166</v>
      </c>
      <c r="AI243" s="48" t="s">
        <v>166</v>
      </c>
      <c r="AJ243" s="50" t="s">
        <v>166</v>
      </c>
      <c r="AK243" s="56">
        <v>1199.0</v>
      </c>
      <c r="AL243" s="57">
        <f>AK243*Sheets!$E$3</f>
        <v>165.2767545</v>
      </c>
      <c r="AM243" s="68"/>
      <c r="AN243" s="59"/>
      <c r="AO243" s="60"/>
      <c r="AP243" s="65">
        <v>45155.482825266205</v>
      </c>
      <c r="AQ243" s="66"/>
    </row>
    <row r="244">
      <c r="A244" s="69" t="str">
        <f>HYPERLINK("https://shop34001191.world.taobao.com/","Mechanic Master")</f>
        <v>Mechanic Master</v>
      </c>
      <c r="B244" s="73" t="s">
        <v>1147</v>
      </c>
      <c r="C244" s="63" t="s">
        <v>262</v>
      </c>
      <c r="D244" s="48">
        <v>335.0</v>
      </c>
      <c r="E244" s="48">
        <v>160.0</v>
      </c>
      <c r="F244" s="48">
        <v>267.0</v>
      </c>
      <c r="G244" s="49">
        <f t="shared" si="11"/>
        <v>14.3112</v>
      </c>
      <c r="H244" s="49">
        <f t="shared" si="12"/>
        <v>536</v>
      </c>
      <c r="I244" s="48" t="s">
        <v>170</v>
      </c>
      <c r="J244" s="48" t="s">
        <v>597</v>
      </c>
      <c r="K244" s="50" t="s">
        <v>185</v>
      </c>
      <c r="L244" s="51">
        <v>135.0</v>
      </c>
      <c r="M244" s="50" t="s">
        <v>547</v>
      </c>
      <c r="N244" s="51" t="s">
        <v>166</v>
      </c>
      <c r="O244" s="48">
        <v>330.0</v>
      </c>
      <c r="P244" s="48">
        <v>140.0</v>
      </c>
      <c r="Q244" s="48">
        <v>80.0</v>
      </c>
      <c r="R244" s="48">
        <v>4.0</v>
      </c>
      <c r="S244" s="50" t="s">
        <v>166</v>
      </c>
      <c r="T244" s="52" t="s">
        <v>423</v>
      </c>
      <c r="U244" s="52" t="s">
        <v>346</v>
      </c>
      <c r="V244" s="51" t="s">
        <v>412</v>
      </c>
      <c r="W244" s="48" t="s">
        <v>194</v>
      </c>
      <c r="X244" s="50" t="s">
        <v>166</v>
      </c>
      <c r="Y244" s="51" t="s">
        <v>166</v>
      </c>
      <c r="Z244" s="48" t="s">
        <v>166</v>
      </c>
      <c r="AA244" s="48" t="s">
        <v>166</v>
      </c>
      <c r="AB244" s="48" t="s">
        <v>412</v>
      </c>
      <c r="AC244" s="48" t="s">
        <v>207</v>
      </c>
      <c r="AD244" s="48" t="s">
        <v>166</v>
      </c>
      <c r="AE244" s="54" t="s">
        <v>166</v>
      </c>
      <c r="AF244" s="55" t="s">
        <v>166</v>
      </c>
      <c r="AG244" s="51" t="s">
        <v>166</v>
      </c>
      <c r="AH244" s="48">
        <v>2.0</v>
      </c>
      <c r="AI244" s="48" t="s">
        <v>166</v>
      </c>
      <c r="AJ244" s="50" t="s">
        <v>166</v>
      </c>
      <c r="AK244" s="56" t="s">
        <v>166</v>
      </c>
      <c r="AL244" s="57" t="s">
        <v>170</v>
      </c>
      <c r="AM244" s="58"/>
      <c r="AN244" s="70"/>
      <c r="AO244" s="71" t="s">
        <v>181</v>
      </c>
      <c r="AP244" s="65">
        <v>44727.96940069445</v>
      </c>
      <c r="AQ244" s="66"/>
    </row>
    <row r="245">
      <c r="A245" s="46" t="s">
        <v>947</v>
      </c>
      <c r="B245" s="46" t="s">
        <v>1148</v>
      </c>
      <c r="C245" s="63" t="s">
        <v>262</v>
      </c>
      <c r="D245" s="48">
        <v>231.0</v>
      </c>
      <c r="E245" s="48">
        <v>171.0</v>
      </c>
      <c r="F245" s="48">
        <v>363.0</v>
      </c>
      <c r="G245" s="49">
        <f t="shared" si="11"/>
        <v>14.338863</v>
      </c>
      <c r="H245" s="49">
        <f t="shared" si="12"/>
        <v>395.01</v>
      </c>
      <c r="I245" s="48">
        <v>3.0</v>
      </c>
      <c r="J245" s="48" t="s">
        <v>164</v>
      </c>
      <c r="K245" s="50" t="s">
        <v>252</v>
      </c>
      <c r="L245" s="51">
        <v>135.0</v>
      </c>
      <c r="M245" s="50" t="s">
        <v>166</v>
      </c>
      <c r="N245" s="51" t="s">
        <v>166</v>
      </c>
      <c r="O245" s="48">
        <v>335.0</v>
      </c>
      <c r="P245" s="48">
        <v>140.0</v>
      </c>
      <c r="Q245" s="48">
        <v>40.0</v>
      </c>
      <c r="R245" s="48">
        <v>2.0</v>
      </c>
      <c r="S245" s="50" t="s">
        <v>166</v>
      </c>
      <c r="T245" s="52" t="s">
        <v>227</v>
      </c>
      <c r="U245" s="52" t="s">
        <v>346</v>
      </c>
      <c r="V245" s="51" t="s">
        <v>682</v>
      </c>
      <c r="W245" s="48" t="s">
        <v>426</v>
      </c>
      <c r="X245" s="50" t="s">
        <v>166</v>
      </c>
      <c r="Y245" s="51" t="s">
        <v>166</v>
      </c>
      <c r="Z245" s="48" t="s">
        <v>166</v>
      </c>
      <c r="AA245" s="48" t="s">
        <v>166</v>
      </c>
      <c r="AB245" s="48">
        <v>2.0</v>
      </c>
      <c r="AC245" s="48">
        <v>1.0</v>
      </c>
      <c r="AD245" s="48" t="s">
        <v>166</v>
      </c>
      <c r="AE245" s="54" t="s">
        <v>166</v>
      </c>
      <c r="AF245" s="55" t="s">
        <v>166</v>
      </c>
      <c r="AG245" s="51" t="s">
        <v>166</v>
      </c>
      <c r="AH245" s="48" t="s">
        <v>166</v>
      </c>
      <c r="AI245" s="48" t="s">
        <v>166</v>
      </c>
      <c r="AJ245" s="50" t="s">
        <v>166</v>
      </c>
      <c r="AK245" s="56">
        <v>1799.0</v>
      </c>
      <c r="AL245" s="57">
        <f>AK245*Sheets!$E$3</f>
        <v>247.9840545</v>
      </c>
      <c r="AM245" s="64" t="s">
        <v>214</v>
      </c>
      <c r="AN245" s="59"/>
      <c r="AO245" s="60"/>
      <c r="AP245" s="60"/>
      <c r="AQ245" s="66"/>
    </row>
    <row r="246">
      <c r="A246" s="61" t="s">
        <v>1124</v>
      </c>
      <c r="B246" s="62" t="s">
        <v>1149</v>
      </c>
      <c r="C246" s="63" t="s">
        <v>262</v>
      </c>
      <c r="D246" s="48">
        <v>427.0</v>
      </c>
      <c r="E246" s="48">
        <v>112.0</v>
      </c>
      <c r="F246" s="48">
        <v>300.0</v>
      </c>
      <c r="G246" s="49">
        <f t="shared" si="11"/>
        <v>14.3472</v>
      </c>
      <c r="H246" s="49">
        <f t="shared" si="12"/>
        <v>478.24</v>
      </c>
      <c r="I246" s="48">
        <v>2.3</v>
      </c>
      <c r="J246" s="48" t="s">
        <v>171</v>
      </c>
      <c r="K246" s="50" t="s">
        <v>1126</v>
      </c>
      <c r="L246" s="51">
        <v>80.0</v>
      </c>
      <c r="M246" s="50" t="s">
        <v>166</v>
      </c>
      <c r="N246" s="51" t="s">
        <v>166</v>
      </c>
      <c r="O246" s="48">
        <v>240.0</v>
      </c>
      <c r="P246" s="48">
        <v>70.0</v>
      </c>
      <c r="Q246" s="48">
        <v>80.0</v>
      </c>
      <c r="R246" s="48" t="s">
        <v>166</v>
      </c>
      <c r="S246" s="50">
        <v>4.0</v>
      </c>
      <c r="T246" s="52" t="s">
        <v>423</v>
      </c>
      <c r="U246" s="52" t="s">
        <v>324</v>
      </c>
      <c r="V246" s="51" t="s">
        <v>207</v>
      </c>
      <c r="W246" s="48" t="s">
        <v>207</v>
      </c>
      <c r="X246" s="50" t="s">
        <v>194</v>
      </c>
      <c r="Y246" s="51" t="s">
        <v>166</v>
      </c>
      <c r="Z246" s="48" t="s">
        <v>166</v>
      </c>
      <c r="AA246" s="48">
        <v>2.0</v>
      </c>
      <c r="AB246" s="48" t="s">
        <v>166</v>
      </c>
      <c r="AC246" s="48" t="s">
        <v>166</v>
      </c>
      <c r="AD246" s="48" t="s">
        <v>166</v>
      </c>
      <c r="AE246" s="54" t="s">
        <v>166</v>
      </c>
      <c r="AF246" s="55" t="s">
        <v>166</v>
      </c>
      <c r="AG246" s="51" t="s">
        <v>166</v>
      </c>
      <c r="AH246" s="48">
        <v>2.0</v>
      </c>
      <c r="AI246" s="48" t="s">
        <v>166</v>
      </c>
      <c r="AJ246" s="50" t="s">
        <v>174</v>
      </c>
      <c r="AK246" s="56" t="s">
        <v>166</v>
      </c>
      <c r="AL246" s="57" t="s">
        <v>170</v>
      </c>
      <c r="AM246" s="58"/>
      <c r="AN246" s="59"/>
      <c r="AO246" s="60"/>
      <c r="AP246" s="65">
        <v>44717.93942599537</v>
      </c>
      <c r="AQ246" s="66"/>
    </row>
    <row r="247">
      <c r="A247" s="46" t="str">
        <f>HYPERLINK("https://shop309038390.world.taobao.com/","ZZAW")</f>
        <v>ZZAW</v>
      </c>
      <c r="B247" s="46" t="s">
        <v>1150</v>
      </c>
      <c r="C247" s="63" t="s">
        <v>262</v>
      </c>
      <c r="D247" s="48">
        <v>326.0</v>
      </c>
      <c r="E247" s="48">
        <v>161.0</v>
      </c>
      <c r="F247" s="48">
        <v>274.5</v>
      </c>
      <c r="G247" s="49">
        <f t="shared" si="11"/>
        <v>14.407407</v>
      </c>
      <c r="H247" s="49">
        <f t="shared" si="12"/>
        <v>524.86</v>
      </c>
      <c r="I247" s="48">
        <v>1.8</v>
      </c>
      <c r="J247" s="48" t="s">
        <v>597</v>
      </c>
      <c r="K247" s="50" t="s">
        <v>185</v>
      </c>
      <c r="L247" s="51">
        <v>135.0</v>
      </c>
      <c r="M247" s="50" t="s">
        <v>166</v>
      </c>
      <c r="N247" s="51" t="s">
        <v>166</v>
      </c>
      <c r="O247" s="48">
        <v>333.0</v>
      </c>
      <c r="P247" s="48">
        <v>140.0</v>
      </c>
      <c r="Q247" s="48">
        <v>89.0</v>
      </c>
      <c r="R247" s="48">
        <v>4.0</v>
      </c>
      <c r="S247" s="50" t="s">
        <v>166</v>
      </c>
      <c r="T247" s="52" t="s">
        <v>423</v>
      </c>
      <c r="U247" s="52" t="s">
        <v>346</v>
      </c>
      <c r="V247" s="51" t="s">
        <v>195</v>
      </c>
      <c r="W247" s="48" t="s">
        <v>193</v>
      </c>
      <c r="X247" s="50" t="s">
        <v>166</v>
      </c>
      <c r="Y247" s="51" t="s">
        <v>166</v>
      </c>
      <c r="Z247" s="48" t="s">
        <v>166</v>
      </c>
      <c r="AA247" s="48" t="s">
        <v>166</v>
      </c>
      <c r="AB247" s="48" t="s">
        <v>1151</v>
      </c>
      <c r="AC247" s="48" t="s">
        <v>426</v>
      </c>
      <c r="AD247" s="48" t="s">
        <v>166</v>
      </c>
      <c r="AE247" s="54" t="s">
        <v>166</v>
      </c>
      <c r="AF247" s="55" t="s">
        <v>166</v>
      </c>
      <c r="AG247" s="51" t="s">
        <v>166</v>
      </c>
      <c r="AH247" s="48">
        <v>1.0</v>
      </c>
      <c r="AI247" s="48" t="s">
        <v>166</v>
      </c>
      <c r="AJ247" s="50" t="s">
        <v>166</v>
      </c>
      <c r="AK247" s="56">
        <v>368.0</v>
      </c>
      <c r="AL247" s="57">
        <f>AK247*Sheets!$E$3</f>
        <v>50.727144</v>
      </c>
      <c r="AM247" s="64"/>
      <c r="AN247" s="59"/>
      <c r="AO247" s="60"/>
      <c r="AP247" s="65">
        <v>44672.94722840277</v>
      </c>
      <c r="AQ247" s="66"/>
    </row>
    <row r="248">
      <c r="A248" s="111" t="str">
        <f>HYPERLINK("https://www.u-nas.com/","U-NAS")</f>
        <v>U-NAS</v>
      </c>
      <c r="B248" s="112" t="s">
        <v>1152</v>
      </c>
      <c r="C248" s="101" t="s">
        <v>490</v>
      </c>
      <c r="D248" s="74">
        <v>254.0</v>
      </c>
      <c r="E248" s="74">
        <v>316.0</v>
      </c>
      <c r="F248" s="113">
        <v>180.0</v>
      </c>
      <c r="G248" s="114">
        <f t="shared" si="11"/>
        <v>14.44752</v>
      </c>
      <c r="H248" s="115">
        <f t="shared" si="12"/>
        <v>802.64</v>
      </c>
      <c r="I248" s="116">
        <v>4.5</v>
      </c>
      <c r="J248" s="48" t="s">
        <v>164</v>
      </c>
      <c r="K248" s="117" t="s">
        <v>171</v>
      </c>
      <c r="L248" s="118">
        <v>40.0</v>
      </c>
      <c r="M248" s="117" t="s">
        <v>166</v>
      </c>
      <c r="N248" s="119" t="s">
        <v>166</v>
      </c>
      <c r="O248" s="113" t="s">
        <v>166</v>
      </c>
      <c r="P248" s="113" t="s">
        <v>166</v>
      </c>
      <c r="Q248" s="113" t="s">
        <v>166</v>
      </c>
      <c r="R248" s="74">
        <v>1.0</v>
      </c>
      <c r="S248" s="117" t="s">
        <v>166</v>
      </c>
      <c r="T248" s="120" t="s">
        <v>167</v>
      </c>
      <c r="U248" s="120" t="s">
        <v>186</v>
      </c>
      <c r="V248" s="77">
        <v>3.0</v>
      </c>
      <c r="W248" s="74">
        <v>8.0</v>
      </c>
      <c r="X248" s="117" t="s">
        <v>166</v>
      </c>
      <c r="Y248" s="119" t="s">
        <v>166</v>
      </c>
      <c r="Z248" s="113" t="s">
        <v>166</v>
      </c>
      <c r="AA248" s="74" t="s">
        <v>166</v>
      </c>
      <c r="AB248" s="113" t="s">
        <v>166</v>
      </c>
      <c r="AC248" s="74">
        <v>2.0</v>
      </c>
      <c r="AD248" s="113" t="s">
        <v>166</v>
      </c>
      <c r="AE248" s="54" t="s">
        <v>166</v>
      </c>
      <c r="AF248" s="55" t="s">
        <v>166</v>
      </c>
      <c r="AG248" s="77">
        <v>1.0</v>
      </c>
      <c r="AH248" s="74" t="s">
        <v>166</v>
      </c>
      <c r="AI248" s="74" t="s">
        <v>166</v>
      </c>
      <c r="AJ248" s="75" t="s">
        <v>166</v>
      </c>
      <c r="AK248" s="121" t="s">
        <v>166</v>
      </c>
      <c r="AL248" s="122">
        <v>199.0</v>
      </c>
      <c r="AM248" s="123"/>
      <c r="AN248" s="123"/>
      <c r="AO248" s="124"/>
      <c r="AP248" s="124"/>
      <c r="AQ248" s="66"/>
    </row>
    <row r="249">
      <c r="A249" s="61" t="s">
        <v>942</v>
      </c>
      <c r="B249" s="62" t="s">
        <v>1153</v>
      </c>
      <c r="C249" s="63" t="s">
        <v>248</v>
      </c>
      <c r="D249" s="48">
        <v>342.0</v>
      </c>
      <c r="E249" s="48">
        <v>170.0</v>
      </c>
      <c r="F249" s="48">
        <v>250.0</v>
      </c>
      <c r="G249" s="49">
        <f t="shared" si="11"/>
        <v>14.535</v>
      </c>
      <c r="H249" s="49">
        <f t="shared" si="12"/>
        <v>581.4</v>
      </c>
      <c r="I249" s="48" t="s">
        <v>170</v>
      </c>
      <c r="J249" s="48" t="s">
        <v>1154</v>
      </c>
      <c r="K249" s="50" t="s">
        <v>375</v>
      </c>
      <c r="L249" s="51">
        <v>67.0</v>
      </c>
      <c r="M249" s="50" t="s">
        <v>825</v>
      </c>
      <c r="N249" s="51" t="s">
        <v>174</v>
      </c>
      <c r="O249" s="48">
        <v>320.0</v>
      </c>
      <c r="P249" s="48">
        <v>150.0</v>
      </c>
      <c r="Q249" s="48">
        <v>68.5</v>
      </c>
      <c r="R249" s="48">
        <v>3.0</v>
      </c>
      <c r="S249" s="50" t="s">
        <v>166</v>
      </c>
      <c r="T249" s="52" t="s">
        <v>167</v>
      </c>
      <c r="U249" s="52" t="s">
        <v>816</v>
      </c>
      <c r="V249" s="51" t="s">
        <v>416</v>
      </c>
      <c r="W249" s="48" t="s">
        <v>194</v>
      </c>
      <c r="X249" s="50" t="s">
        <v>166</v>
      </c>
      <c r="Y249" s="51" t="s">
        <v>166</v>
      </c>
      <c r="Z249" s="48" t="s">
        <v>166</v>
      </c>
      <c r="AA249" s="48" t="s">
        <v>166</v>
      </c>
      <c r="AB249" s="48" t="s">
        <v>166</v>
      </c>
      <c r="AC249" s="48" t="s">
        <v>412</v>
      </c>
      <c r="AD249" s="48" t="s">
        <v>193</v>
      </c>
      <c r="AE249" s="54" t="s">
        <v>166</v>
      </c>
      <c r="AF249" s="55" t="s">
        <v>166</v>
      </c>
      <c r="AG249" s="51" t="s">
        <v>166</v>
      </c>
      <c r="AH249" s="48">
        <v>1.0</v>
      </c>
      <c r="AI249" s="48">
        <v>1.0</v>
      </c>
      <c r="AJ249" s="50" t="s">
        <v>174</v>
      </c>
      <c r="AK249" s="56" t="s">
        <v>166</v>
      </c>
      <c r="AL249" s="57">
        <v>129.99</v>
      </c>
      <c r="AM249" s="58"/>
      <c r="AN249" s="59"/>
      <c r="AO249" s="60"/>
      <c r="AP249" s="65">
        <v>44593.521766412036</v>
      </c>
      <c r="AQ249" s="66"/>
    </row>
    <row r="250">
      <c r="A250" s="82" t="str">
        <f>HYPERLINK("https://www.in-win.com/","InWin")</f>
        <v>InWin</v>
      </c>
      <c r="B250" s="62" t="str">
        <f>HYPERLINK("https://www.in-win.com/en/computer-chassis/bk-series/APAC","BK623")</f>
        <v>BK623</v>
      </c>
      <c r="C250" s="63" t="s">
        <v>262</v>
      </c>
      <c r="D250" s="48">
        <v>322.0</v>
      </c>
      <c r="E250" s="48">
        <v>140.0</v>
      </c>
      <c r="F250" s="48">
        <v>323.0</v>
      </c>
      <c r="G250" s="49">
        <f t="shared" si="11"/>
        <v>14.56084</v>
      </c>
      <c r="H250" s="49">
        <f t="shared" si="12"/>
        <v>450.8</v>
      </c>
      <c r="I250" s="48" t="s">
        <v>170</v>
      </c>
      <c r="J250" s="48" t="s">
        <v>171</v>
      </c>
      <c r="K250" s="50" t="s">
        <v>211</v>
      </c>
      <c r="L250" s="51">
        <v>114.0</v>
      </c>
      <c r="M250" s="50" t="s">
        <v>166</v>
      </c>
      <c r="N250" s="51" t="s">
        <v>166</v>
      </c>
      <c r="O250" s="48">
        <v>258.0</v>
      </c>
      <c r="P250" s="48">
        <v>119.0</v>
      </c>
      <c r="Q250" s="48">
        <v>80.0</v>
      </c>
      <c r="R250" s="48">
        <v>4.0</v>
      </c>
      <c r="S250" s="50" t="s">
        <v>166</v>
      </c>
      <c r="T250" s="52" t="s">
        <v>423</v>
      </c>
      <c r="U250" s="52" t="s">
        <v>324</v>
      </c>
      <c r="V250" s="51">
        <v>1.0</v>
      </c>
      <c r="W250" s="48">
        <v>2.0</v>
      </c>
      <c r="X250" s="50">
        <v>1.0</v>
      </c>
      <c r="Y250" s="51" t="s">
        <v>166</v>
      </c>
      <c r="Z250" s="48" t="s">
        <v>166</v>
      </c>
      <c r="AA250" s="48" t="s">
        <v>166</v>
      </c>
      <c r="AB250" s="48" t="s">
        <v>166</v>
      </c>
      <c r="AC250" s="48" t="s">
        <v>166</v>
      </c>
      <c r="AD250" s="48" t="s">
        <v>166</v>
      </c>
      <c r="AE250" s="54" t="s">
        <v>166</v>
      </c>
      <c r="AF250" s="55" t="s">
        <v>166</v>
      </c>
      <c r="AG250" s="51">
        <v>2.0</v>
      </c>
      <c r="AH250" s="48">
        <v>2.0</v>
      </c>
      <c r="AI250" s="48" t="s">
        <v>166</v>
      </c>
      <c r="AJ250" s="50" t="s">
        <v>174</v>
      </c>
      <c r="AK250" s="56" t="s">
        <v>166</v>
      </c>
      <c r="AL250" s="57">
        <v>75.0</v>
      </c>
      <c r="AM250" s="58"/>
      <c r="AN250" s="59"/>
      <c r="AO250" s="60"/>
      <c r="AP250" s="65">
        <v>44899.720686388886</v>
      </c>
      <c r="AQ250" s="66"/>
    </row>
    <row r="251">
      <c r="A251" s="69" t="str">
        <f>HYPERLINK("https://shop70176301.world.taobao.com/","Dream Case")</f>
        <v>Dream Case</v>
      </c>
      <c r="B251" s="73" t="s">
        <v>1155</v>
      </c>
      <c r="C251" s="63" t="s">
        <v>262</v>
      </c>
      <c r="D251" s="48">
        <v>330.0</v>
      </c>
      <c r="E251" s="48">
        <v>155.0</v>
      </c>
      <c r="F251" s="48">
        <v>285.0</v>
      </c>
      <c r="G251" s="49">
        <f t="shared" si="11"/>
        <v>14.57775</v>
      </c>
      <c r="H251" s="49">
        <f t="shared" si="12"/>
        <v>511.5</v>
      </c>
      <c r="I251" s="48" t="s">
        <v>170</v>
      </c>
      <c r="J251" s="48" t="s">
        <v>171</v>
      </c>
      <c r="K251" s="50" t="s">
        <v>171</v>
      </c>
      <c r="L251" s="51">
        <v>135.0</v>
      </c>
      <c r="M251" s="50" t="s">
        <v>166</v>
      </c>
      <c r="N251" s="51" t="s">
        <v>166</v>
      </c>
      <c r="O251" s="48">
        <v>330.0</v>
      </c>
      <c r="P251" s="48">
        <v>140.0</v>
      </c>
      <c r="Q251" s="48">
        <v>80.0</v>
      </c>
      <c r="R251" s="48">
        <v>4.0</v>
      </c>
      <c r="S251" s="50" t="s">
        <v>166</v>
      </c>
      <c r="T251" s="52" t="s">
        <v>423</v>
      </c>
      <c r="U251" s="52" t="s">
        <v>346</v>
      </c>
      <c r="V251" s="51">
        <v>2.0</v>
      </c>
      <c r="W251" s="48" t="s">
        <v>193</v>
      </c>
      <c r="X251" s="50" t="s">
        <v>166</v>
      </c>
      <c r="Y251" s="51" t="s">
        <v>166</v>
      </c>
      <c r="Z251" s="48" t="s">
        <v>166</v>
      </c>
      <c r="AA251" s="48" t="s">
        <v>194</v>
      </c>
      <c r="AB251" s="48" t="s">
        <v>194</v>
      </c>
      <c r="AC251" s="48" t="s">
        <v>416</v>
      </c>
      <c r="AD251" s="48" t="s">
        <v>166</v>
      </c>
      <c r="AE251" s="54" t="s">
        <v>166</v>
      </c>
      <c r="AF251" s="55" t="s">
        <v>166</v>
      </c>
      <c r="AG251" s="51" t="s">
        <v>166</v>
      </c>
      <c r="AH251" s="48" t="s">
        <v>166</v>
      </c>
      <c r="AI251" s="48" t="s">
        <v>166</v>
      </c>
      <c r="AJ251" s="50" t="s">
        <v>166</v>
      </c>
      <c r="AK251" s="56">
        <v>280.0</v>
      </c>
      <c r="AL251" s="57">
        <f>AK251*Sheets!$E$3</f>
        <v>38.59674</v>
      </c>
      <c r="AM251" s="58"/>
      <c r="AN251" s="59"/>
      <c r="AO251" s="60" t="s">
        <v>181</v>
      </c>
      <c r="AP251" s="65">
        <v>44442.89841061343</v>
      </c>
      <c r="AQ251" s="66"/>
    </row>
    <row r="252">
      <c r="A252" s="61" t="s">
        <v>209</v>
      </c>
      <c r="B252" s="83" t="str">
        <f>HYPERLINK("https://www.silverstonetek.com/raven/products/index.php?model=RVZ03&amp;area=en&amp;top=S","RVZ03")</f>
        <v>RVZ03</v>
      </c>
      <c r="C252" s="63" t="s">
        <v>225</v>
      </c>
      <c r="D252" s="48">
        <v>364.0</v>
      </c>
      <c r="E252" s="48">
        <v>105.0</v>
      </c>
      <c r="F252" s="48">
        <v>382.0</v>
      </c>
      <c r="G252" s="49">
        <f t="shared" si="11"/>
        <v>14.60004</v>
      </c>
      <c r="H252" s="49">
        <f t="shared" si="12"/>
        <v>382.2</v>
      </c>
      <c r="I252" s="48">
        <v>4.05</v>
      </c>
      <c r="J252" s="48" t="s">
        <v>171</v>
      </c>
      <c r="K252" s="50" t="s">
        <v>211</v>
      </c>
      <c r="L252" s="51">
        <v>83.0</v>
      </c>
      <c r="M252" s="50" t="s">
        <v>166</v>
      </c>
      <c r="N252" s="51" t="s">
        <v>174</v>
      </c>
      <c r="O252" s="48">
        <v>330.0</v>
      </c>
      <c r="P252" s="48">
        <v>149.0</v>
      </c>
      <c r="Q252" s="48">
        <v>68.0</v>
      </c>
      <c r="R252" s="48">
        <v>2.0</v>
      </c>
      <c r="S252" s="50" t="s">
        <v>166</v>
      </c>
      <c r="T252" s="52" t="s">
        <v>227</v>
      </c>
      <c r="U252" s="52" t="s">
        <v>599</v>
      </c>
      <c r="V252" s="51">
        <v>4.0</v>
      </c>
      <c r="W252" s="48" t="s">
        <v>166</v>
      </c>
      <c r="X252" s="50" t="s">
        <v>166</v>
      </c>
      <c r="Y252" s="51" t="s">
        <v>166</v>
      </c>
      <c r="Z252" s="48" t="s">
        <v>166</v>
      </c>
      <c r="AA252" s="48" t="s">
        <v>166</v>
      </c>
      <c r="AB252" s="48" t="s">
        <v>166</v>
      </c>
      <c r="AC252" s="48">
        <v>3.0</v>
      </c>
      <c r="AD252" s="48" t="s">
        <v>166</v>
      </c>
      <c r="AE252" s="54" t="s">
        <v>166</v>
      </c>
      <c r="AF252" s="55" t="s">
        <v>166</v>
      </c>
      <c r="AG252" s="51" t="s">
        <v>166</v>
      </c>
      <c r="AH252" s="48">
        <v>2.0</v>
      </c>
      <c r="AI252" s="48" t="s">
        <v>166</v>
      </c>
      <c r="AJ252" s="50" t="s">
        <v>174</v>
      </c>
      <c r="AK252" s="56" t="s">
        <v>166</v>
      </c>
      <c r="AL252" s="57">
        <v>119.21</v>
      </c>
      <c r="AM252" s="58"/>
      <c r="AN252" s="64" t="s">
        <v>214</v>
      </c>
      <c r="AO252" s="60"/>
      <c r="AP252" s="65">
        <v>44644.50589510417</v>
      </c>
      <c r="AQ252" s="66"/>
    </row>
    <row r="253">
      <c r="A253" s="69" t="str">
        <f>HYPERLINK("https://zhizundidai.world.tmall.com/","至尊地带旗舰店")</f>
        <v>至尊地带旗舰店</v>
      </c>
      <c r="B253" s="73" t="s">
        <v>1156</v>
      </c>
      <c r="C253" s="63" t="s">
        <v>248</v>
      </c>
      <c r="D253" s="48">
        <v>324.0</v>
      </c>
      <c r="E253" s="48">
        <v>172.0</v>
      </c>
      <c r="F253" s="48">
        <v>262.0</v>
      </c>
      <c r="G253" s="49">
        <f t="shared" si="11"/>
        <v>14.600736</v>
      </c>
      <c r="H253" s="49">
        <f t="shared" si="12"/>
        <v>557.28</v>
      </c>
      <c r="I253" s="48" t="s">
        <v>170</v>
      </c>
      <c r="J253" s="48" t="s">
        <v>597</v>
      </c>
      <c r="K253" s="50" t="s">
        <v>170</v>
      </c>
      <c r="L253" s="51">
        <v>70.0</v>
      </c>
      <c r="M253" s="50" t="s">
        <v>547</v>
      </c>
      <c r="N253" s="51" t="s">
        <v>174</v>
      </c>
      <c r="O253" s="48">
        <v>305.0</v>
      </c>
      <c r="P253" s="48">
        <v>135.0</v>
      </c>
      <c r="Q253" s="48">
        <v>60.0</v>
      </c>
      <c r="R253" s="48">
        <v>2.0</v>
      </c>
      <c r="S253" s="50" t="s">
        <v>166</v>
      </c>
      <c r="T253" s="52" t="s">
        <v>167</v>
      </c>
      <c r="U253" s="52" t="s">
        <v>324</v>
      </c>
      <c r="V253" s="51" t="s">
        <v>170</v>
      </c>
      <c r="W253" s="48" t="s">
        <v>166</v>
      </c>
      <c r="X253" s="50" t="s">
        <v>166</v>
      </c>
      <c r="Y253" s="51" t="s">
        <v>166</v>
      </c>
      <c r="Z253" s="48" t="s">
        <v>166</v>
      </c>
      <c r="AA253" s="48" t="s">
        <v>166</v>
      </c>
      <c r="AB253" s="48" t="s">
        <v>166</v>
      </c>
      <c r="AC253" s="48">
        <v>2.0</v>
      </c>
      <c r="AD253" s="48" t="s">
        <v>166</v>
      </c>
      <c r="AE253" s="54" t="s">
        <v>166</v>
      </c>
      <c r="AF253" s="55" t="s">
        <v>166</v>
      </c>
      <c r="AG253" s="51" t="s">
        <v>166</v>
      </c>
      <c r="AH253" s="48" t="s">
        <v>166</v>
      </c>
      <c r="AI253" s="48" t="s">
        <v>166</v>
      </c>
      <c r="AJ253" s="50" t="s">
        <v>166</v>
      </c>
      <c r="AK253" s="56">
        <v>1499.0</v>
      </c>
      <c r="AL253" s="57">
        <f>AK253*Sheets!$E$3</f>
        <v>206.6304045</v>
      </c>
      <c r="AM253" s="68"/>
      <c r="AN253" s="70"/>
      <c r="AO253" s="71" t="s">
        <v>181</v>
      </c>
      <c r="AP253" s="72">
        <v>44604.56335650463</v>
      </c>
      <c r="AQ253" s="66"/>
    </row>
    <row r="254">
      <c r="A254" s="69" t="str">
        <f>HYPERLINK("https://sgpc.world.taobao.com/","SGPC")</f>
        <v>SGPC</v>
      </c>
      <c r="B254" s="73" t="s">
        <v>1157</v>
      </c>
      <c r="C254" s="63" t="s">
        <v>262</v>
      </c>
      <c r="D254" s="48">
        <v>345.0</v>
      </c>
      <c r="E254" s="48">
        <v>158.0</v>
      </c>
      <c r="F254" s="48">
        <v>268.0</v>
      </c>
      <c r="G254" s="49">
        <f t="shared" si="11"/>
        <v>14.60868</v>
      </c>
      <c r="H254" s="49">
        <f t="shared" si="12"/>
        <v>545.1</v>
      </c>
      <c r="I254" s="48">
        <v>1.77</v>
      </c>
      <c r="J254" s="48" t="s">
        <v>597</v>
      </c>
      <c r="K254" s="50" t="s">
        <v>185</v>
      </c>
      <c r="L254" s="51">
        <v>135.0</v>
      </c>
      <c r="M254" s="50" t="s">
        <v>166</v>
      </c>
      <c r="N254" s="51" t="s">
        <v>166</v>
      </c>
      <c r="O254" s="48">
        <v>330.0</v>
      </c>
      <c r="P254" s="48">
        <v>140.0</v>
      </c>
      <c r="Q254" s="48">
        <v>80.0</v>
      </c>
      <c r="R254" s="48">
        <v>4.0</v>
      </c>
      <c r="S254" s="50" t="s">
        <v>166</v>
      </c>
      <c r="T254" s="52" t="s">
        <v>423</v>
      </c>
      <c r="U254" s="52" t="s">
        <v>686</v>
      </c>
      <c r="V254" s="51" t="s">
        <v>300</v>
      </c>
      <c r="W254" s="48" t="s">
        <v>166</v>
      </c>
      <c r="X254" s="50" t="s">
        <v>166</v>
      </c>
      <c r="Y254" s="51" t="s">
        <v>166</v>
      </c>
      <c r="Z254" s="48" t="s">
        <v>166</v>
      </c>
      <c r="AA254" s="48" t="s">
        <v>166</v>
      </c>
      <c r="AB254" s="48" t="s">
        <v>1113</v>
      </c>
      <c r="AC254" s="48" t="s">
        <v>193</v>
      </c>
      <c r="AD254" s="48" t="s">
        <v>166</v>
      </c>
      <c r="AE254" s="54" t="s">
        <v>166</v>
      </c>
      <c r="AF254" s="55" t="s">
        <v>166</v>
      </c>
      <c r="AG254" s="51" t="s">
        <v>166</v>
      </c>
      <c r="AH254" s="48" t="s">
        <v>166</v>
      </c>
      <c r="AI254" s="48" t="s">
        <v>166</v>
      </c>
      <c r="AJ254" s="50" t="s">
        <v>166</v>
      </c>
      <c r="AK254" s="56">
        <v>199.0</v>
      </c>
      <c r="AL254" s="57">
        <f>AK254*Sheets!$E$3</f>
        <v>27.4312545</v>
      </c>
      <c r="AM254" s="68"/>
      <c r="AN254" s="59"/>
      <c r="AO254" s="60" t="s">
        <v>181</v>
      </c>
      <c r="AP254" s="65">
        <v>44556.563662430555</v>
      </c>
      <c r="AQ254" s="66"/>
    </row>
    <row r="255">
      <c r="A255" s="61" t="s">
        <v>1158</v>
      </c>
      <c r="B255" s="62" t="s">
        <v>1159</v>
      </c>
      <c r="C255" s="63" t="s">
        <v>248</v>
      </c>
      <c r="D255" s="48">
        <v>245.0</v>
      </c>
      <c r="E255" s="48">
        <v>166.4</v>
      </c>
      <c r="F255" s="48">
        <v>360.0</v>
      </c>
      <c r="G255" s="49">
        <f t="shared" si="11"/>
        <v>14.67648</v>
      </c>
      <c r="H255" s="49">
        <f t="shared" si="12"/>
        <v>407.68</v>
      </c>
      <c r="I255" s="48">
        <v>3.6</v>
      </c>
      <c r="J255" s="48" t="s">
        <v>1048</v>
      </c>
      <c r="K255" s="50" t="s">
        <v>171</v>
      </c>
      <c r="L255" s="51">
        <v>73.0</v>
      </c>
      <c r="M255" s="50" t="s">
        <v>1160</v>
      </c>
      <c r="N255" s="51" t="s">
        <v>174</v>
      </c>
      <c r="O255" s="48">
        <v>336.0</v>
      </c>
      <c r="P255" s="48">
        <v>155.0</v>
      </c>
      <c r="Q255" s="48">
        <v>83.0</v>
      </c>
      <c r="R255" s="48">
        <v>7.0</v>
      </c>
      <c r="S255" s="50" t="s">
        <v>166</v>
      </c>
      <c r="T255" s="52" t="s">
        <v>167</v>
      </c>
      <c r="U255" s="52" t="s">
        <v>816</v>
      </c>
      <c r="V255" s="51" t="s">
        <v>1161</v>
      </c>
      <c r="W255" s="48" t="s">
        <v>193</v>
      </c>
      <c r="X255" s="50" t="s">
        <v>166</v>
      </c>
      <c r="Y255" s="51" t="s">
        <v>166</v>
      </c>
      <c r="Z255" s="48" t="s">
        <v>166</v>
      </c>
      <c r="AA255" s="48" t="s">
        <v>166</v>
      </c>
      <c r="AB255" s="48" t="s">
        <v>166</v>
      </c>
      <c r="AC255" s="48" t="s">
        <v>193</v>
      </c>
      <c r="AD255" s="48" t="s">
        <v>193</v>
      </c>
      <c r="AE255" s="54" t="s">
        <v>166</v>
      </c>
      <c r="AF255" s="55" t="s">
        <v>166</v>
      </c>
      <c r="AG255" s="51" t="s">
        <v>166</v>
      </c>
      <c r="AH255" s="48">
        <v>1.0</v>
      </c>
      <c r="AI255" s="48">
        <v>1.0</v>
      </c>
      <c r="AJ255" s="50" t="s">
        <v>166</v>
      </c>
      <c r="AK255" s="56" t="s">
        <v>166</v>
      </c>
      <c r="AL255" s="57">
        <v>119.0</v>
      </c>
      <c r="AM255" s="64" t="s">
        <v>214</v>
      </c>
      <c r="AN255" s="59"/>
      <c r="AO255" s="60"/>
      <c r="AP255" s="65">
        <v>45091.6947297338</v>
      </c>
      <c r="AQ255" s="66"/>
    </row>
    <row r="256">
      <c r="A256" s="82" t="str">
        <f>HYPERLINK("https://www.dan-cases.com/index.html","Dan Cases")</f>
        <v>Dan Cases</v>
      </c>
      <c r="B256" s="62" t="s">
        <v>1162</v>
      </c>
      <c r="C256" s="63" t="s">
        <v>262</v>
      </c>
      <c r="D256" s="48">
        <v>350.2</v>
      </c>
      <c r="E256" s="48">
        <v>166.0</v>
      </c>
      <c r="F256" s="48">
        <v>253.0</v>
      </c>
      <c r="G256" s="49">
        <f t="shared" si="11"/>
        <v>14.7076996</v>
      </c>
      <c r="H256" s="49">
        <f t="shared" si="12"/>
        <v>581.332</v>
      </c>
      <c r="I256" s="48">
        <v>3.7</v>
      </c>
      <c r="J256" s="48" t="s">
        <v>164</v>
      </c>
      <c r="K256" s="50" t="s">
        <v>1163</v>
      </c>
      <c r="L256" s="51">
        <v>145.0</v>
      </c>
      <c r="M256" s="50" t="s">
        <v>1164</v>
      </c>
      <c r="N256" s="51" t="s">
        <v>166</v>
      </c>
      <c r="O256" s="48">
        <v>336.0</v>
      </c>
      <c r="P256" s="48">
        <v>145.0</v>
      </c>
      <c r="Q256" s="48">
        <v>79.0</v>
      </c>
      <c r="R256" s="48">
        <v>3.0</v>
      </c>
      <c r="S256" s="50" t="s">
        <v>166</v>
      </c>
      <c r="T256" s="52" t="s">
        <v>227</v>
      </c>
      <c r="U256" s="52" t="s">
        <v>346</v>
      </c>
      <c r="V256" s="51">
        <v>2.0</v>
      </c>
      <c r="W256" s="48" t="s">
        <v>166</v>
      </c>
      <c r="X256" s="50" t="s">
        <v>166</v>
      </c>
      <c r="Y256" s="51" t="s">
        <v>166</v>
      </c>
      <c r="Z256" s="48" t="s">
        <v>166</v>
      </c>
      <c r="AA256" s="48" t="s">
        <v>194</v>
      </c>
      <c r="AB256" s="48" t="s">
        <v>194</v>
      </c>
      <c r="AC256" s="48" t="s">
        <v>278</v>
      </c>
      <c r="AD256" s="48" t="s">
        <v>278</v>
      </c>
      <c r="AE256" s="54" t="s">
        <v>166</v>
      </c>
      <c r="AF256" s="55" t="s">
        <v>166</v>
      </c>
      <c r="AG256" s="51" t="s">
        <v>166</v>
      </c>
      <c r="AH256" s="48" t="s">
        <v>166</v>
      </c>
      <c r="AI256" s="48">
        <v>1.0</v>
      </c>
      <c r="AJ256" s="50" t="s">
        <v>166</v>
      </c>
      <c r="AK256" s="56" t="s">
        <v>166</v>
      </c>
      <c r="AL256" s="57">
        <f>205*1.09</f>
        <v>223.45</v>
      </c>
      <c r="AM256" s="64" t="s">
        <v>214</v>
      </c>
      <c r="AN256" s="59"/>
      <c r="AO256" s="60" t="s">
        <v>181</v>
      </c>
      <c r="AP256" s="65">
        <v>45090.9159905787</v>
      </c>
      <c r="AQ256" s="66"/>
    </row>
    <row r="257">
      <c r="A257" s="69" t="s">
        <v>445</v>
      </c>
      <c r="B257" s="46" t="s">
        <v>1165</v>
      </c>
      <c r="C257" s="63" t="s">
        <v>262</v>
      </c>
      <c r="D257" s="48">
        <v>345.0</v>
      </c>
      <c r="E257" s="48">
        <v>158.0</v>
      </c>
      <c r="F257" s="48">
        <v>270.0</v>
      </c>
      <c r="G257" s="49">
        <f t="shared" si="11"/>
        <v>14.7177</v>
      </c>
      <c r="H257" s="49">
        <f t="shared" si="12"/>
        <v>545.1</v>
      </c>
      <c r="I257" s="48" t="s">
        <v>170</v>
      </c>
      <c r="J257" s="48" t="s">
        <v>336</v>
      </c>
      <c r="K257" s="50" t="s">
        <v>971</v>
      </c>
      <c r="L257" s="51">
        <v>135.0</v>
      </c>
      <c r="M257" s="50" t="s">
        <v>547</v>
      </c>
      <c r="N257" s="51" t="s">
        <v>166</v>
      </c>
      <c r="O257" s="48">
        <v>335.0</v>
      </c>
      <c r="P257" s="48">
        <v>140.0</v>
      </c>
      <c r="Q257" s="48">
        <v>80.0</v>
      </c>
      <c r="R257" s="48">
        <v>4.0</v>
      </c>
      <c r="S257" s="50" t="s">
        <v>166</v>
      </c>
      <c r="T257" s="52" t="s">
        <v>423</v>
      </c>
      <c r="U257" s="52" t="s">
        <v>816</v>
      </c>
      <c r="V257" s="51">
        <v>4.0</v>
      </c>
      <c r="W257" s="48">
        <v>1.0</v>
      </c>
      <c r="X257" s="50" t="s">
        <v>166</v>
      </c>
      <c r="Y257" s="51" t="s">
        <v>166</v>
      </c>
      <c r="Z257" s="48" t="s">
        <v>166</v>
      </c>
      <c r="AA257" s="48" t="s">
        <v>166</v>
      </c>
      <c r="AB257" s="48">
        <v>6.0</v>
      </c>
      <c r="AC257" s="48">
        <v>2.0</v>
      </c>
      <c r="AD257" s="48" t="s">
        <v>166</v>
      </c>
      <c r="AE257" s="54" t="s">
        <v>166</v>
      </c>
      <c r="AF257" s="55" t="s">
        <v>166</v>
      </c>
      <c r="AG257" s="51" t="s">
        <v>166</v>
      </c>
      <c r="AH257" s="48">
        <v>1.0</v>
      </c>
      <c r="AI257" s="48">
        <v>1.0</v>
      </c>
      <c r="AJ257" s="50" t="s">
        <v>166</v>
      </c>
      <c r="AK257" s="56">
        <v>169.0</v>
      </c>
      <c r="AL257" s="57">
        <f>AK257*Sheets!$E$3</f>
        <v>23.2958895</v>
      </c>
      <c r="AM257" s="68"/>
      <c r="AN257" s="59"/>
      <c r="AO257" s="60"/>
      <c r="AP257" s="65"/>
      <c r="AQ257" s="66"/>
    </row>
    <row r="258">
      <c r="A258" s="62" t="s">
        <v>379</v>
      </c>
      <c r="B258" s="62" t="s">
        <v>1166</v>
      </c>
      <c r="C258" s="63" t="s">
        <v>262</v>
      </c>
      <c r="D258" s="48">
        <v>340.0</v>
      </c>
      <c r="E258" s="48">
        <v>170.0</v>
      </c>
      <c r="F258" s="48">
        <v>255.0</v>
      </c>
      <c r="G258" s="49">
        <f t="shared" si="11"/>
        <v>14.739</v>
      </c>
      <c r="H258" s="49">
        <f t="shared" si="12"/>
        <v>578</v>
      </c>
      <c r="I258" s="48">
        <v>5.0</v>
      </c>
      <c r="J258" s="48" t="s">
        <v>164</v>
      </c>
      <c r="K258" s="50" t="s">
        <v>164</v>
      </c>
      <c r="L258" s="51">
        <v>138.0</v>
      </c>
      <c r="M258" s="50" t="s">
        <v>547</v>
      </c>
      <c r="N258" s="51" t="s">
        <v>166</v>
      </c>
      <c r="O258" s="48">
        <v>315.0</v>
      </c>
      <c r="P258" s="48">
        <v>143.0</v>
      </c>
      <c r="Q258" s="48">
        <v>65.0</v>
      </c>
      <c r="R258" s="48">
        <v>3.0</v>
      </c>
      <c r="S258" s="50" t="s">
        <v>166</v>
      </c>
      <c r="T258" s="52" t="s">
        <v>167</v>
      </c>
      <c r="U258" s="52" t="s">
        <v>324</v>
      </c>
      <c r="V258" s="51" t="s">
        <v>278</v>
      </c>
      <c r="W258" s="48" t="s">
        <v>193</v>
      </c>
      <c r="X258" s="50" t="s">
        <v>166</v>
      </c>
      <c r="Y258" s="51" t="s">
        <v>166</v>
      </c>
      <c r="Z258" s="48" t="s">
        <v>166</v>
      </c>
      <c r="AA258" s="48" t="s">
        <v>166</v>
      </c>
      <c r="AB258" s="48" t="s">
        <v>207</v>
      </c>
      <c r="AC258" s="48" t="s">
        <v>910</v>
      </c>
      <c r="AD258" s="48" t="s">
        <v>166</v>
      </c>
      <c r="AE258" s="54" t="s">
        <v>166</v>
      </c>
      <c r="AF258" s="55" t="s">
        <v>166</v>
      </c>
      <c r="AG258" s="51" t="s">
        <v>166</v>
      </c>
      <c r="AH258" s="48">
        <v>1.0</v>
      </c>
      <c r="AI258" s="48">
        <v>1.0</v>
      </c>
      <c r="AJ258" s="50" t="s">
        <v>166</v>
      </c>
      <c r="AK258" s="56">
        <v>1599.0</v>
      </c>
      <c r="AL258" s="57">
        <v>269.0</v>
      </c>
      <c r="AM258" s="64" t="s">
        <v>214</v>
      </c>
      <c r="AN258" s="59"/>
      <c r="AO258" s="60"/>
      <c r="AP258" s="65">
        <v>44975.50934884259</v>
      </c>
      <c r="AQ258" s="66"/>
    </row>
    <row r="259">
      <c r="A259" s="61" t="s">
        <v>209</v>
      </c>
      <c r="B259" s="62" t="str">
        <f>HYPERLINK("https://www.silverstonetek.com/product.php?pid=261&amp;area=en","SG07")</f>
        <v>SG07</v>
      </c>
      <c r="C259" s="63" t="s">
        <v>262</v>
      </c>
      <c r="D259" s="48">
        <v>350.0</v>
      </c>
      <c r="E259" s="48">
        <v>222.0</v>
      </c>
      <c r="F259" s="48">
        <v>190.0</v>
      </c>
      <c r="G259" s="49">
        <f t="shared" si="11"/>
        <v>14.763</v>
      </c>
      <c r="H259" s="49">
        <f t="shared" si="12"/>
        <v>777</v>
      </c>
      <c r="I259" s="48">
        <v>4.9</v>
      </c>
      <c r="J259" s="48" t="s">
        <v>171</v>
      </c>
      <c r="K259" s="50" t="s">
        <v>1167</v>
      </c>
      <c r="L259" s="51">
        <v>117.0</v>
      </c>
      <c r="M259" s="50" t="s">
        <v>166</v>
      </c>
      <c r="N259" s="51" t="s">
        <v>166</v>
      </c>
      <c r="O259" s="48">
        <v>309.0</v>
      </c>
      <c r="P259" s="48">
        <v>122.0</v>
      </c>
      <c r="Q259" s="48">
        <v>40.0</v>
      </c>
      <c r="R259" s="48">
        <v>2.0</v>
      </c>
      <c r="S259" s="50" t="s">
        <v>166</v>
      </c>
      <c r="T259" s="52" t="s">
        <v>227</v>
      </c>
      <c r="U259" s="52" t="s">
        <v>599</v>
      </c>
      <c r="V259" s="51">
        <v>2.0</v>
      </c>
      <c r="W259" s="48">
        <v>1.0</v>
      </c>
      <c r="X259" s="50" t="s">
        <v>208</v>
      </c>
      <c r="Y259" s="51" t="s">
        <v>166</v>
      </c>
      <c r="Z259" s="48" t="s">
        <v>166</v>
      </c>
      <c r="AA259" s="48" t="s">
        <v>166</v>
      </c>
      <c r="AB259" s="48" t="s">
        <v>166</v>
      </c>
      <c r="AC259" s="48" t="s">
        <v>166</v>
      </c>
      <c r="AD259" s="48" t="s">
        <v>166</v>
      </c>
      <c r="AE259" s="54" t="s">
        <v>166</v>
      </c>
      <c r="AF259" s="55" t="s">
        <v>166</v>
      </c>
      <c r="AG259" s="51" t="s">
        <v>166</v>
      </c>
      <c r="AH259" s="48">
        <v>2.0</v>
      </c>
      <c r="AI259" s="48" t="s">
        <v>166</v>
      </c>
      <c r="AJ259" s="50" t="s">
        <v>1168</v>
      </c>
      <c r="AK259" s="56" t="s">
        <v>166</v>
      </c>
      <c r="AL259" s="57" t="s">
        <v>170</v>
      </c>
      <c r="AM259" s="58"/>
      <c r="AN259" s="59"/>
      <c r="AO259" s="60"/>
      <c r="AP259" s="65">
        <v>44717.93950408565</v>
      </c>
      <c r="AQ259" s="66"/>
    </row>
    <row r="260">
      <c r="A260" s="69" t="str">
        <f>HYPERLINK("https://sktcase.world.taobao.com/","SKTC")</f>
        <v>SKTC</v>
      </c>
      <c r="B260" s="73" t="s">
        <v>1169</v>
      </c>
      <c r="C260" s="63" t="s">
        <v>248</v>
      </c>
      <c r="D260" s="48">
        <v>334.0</v>
      </c>
      <c r="E260" s="48">
        <v>161.0</v>
      </c>
      <c r="F260" s="48">
        <v>275.0</v>
      </c>
      <c r="G260" s="49">
        <f t="shared" si="11"/>
        <v>14.78785</v>
      </c>
      <c r="H260" s="49">
        <f t="shared" si="12"/>
        <v>537.74</v>
      </c>
      <c r="I260" s="48" t="s">
        <v>170</v>
      </c>
      <c r="J260" s="48" t="s">
        <v>597</v>
      </c>
      <c r="K260" s="50" t="s">
        <v>1170</v>
      </c>
      <c r="L260" s="51">
        <v>60.0</v>
      </c>
      <c r="M260" s="50" t="s">
        <v>547</v>
      </c>
      <c r="N260" s="51" t="s">
        <v>174</v>
      </c>
      <c r="O260" s="48">
        <v>310.0</v>
      </c>
      <c r="P260" s="48" t="s">
        <v>170</v>
      </c>
      <c r="Q260" s="48">
        <v>40.0</v>
      </c>
      <c r="R260" s="48">
        <v>2.0</v>
      </c>
      <c r="S260" s="50" t="s">
        <v>166</v>
      </c>
      <c r="T260" s="52" t="s">
        <v>167</v>
      </c>
      <c r="U260" s="52" t="s">
        <v>324</v>
      </c>
      <c r="V260" s="51">
        <v>2.0</v>
      </c>
      <c r="W260" s="48">
        <v>1.0</v>
      </c>
      <c r="X260" s="50" t="s">
        <v>166</v>
      </c>
      <c r="Y260" s="51" t="s">
        <v>166</v>
      </c>
      <c r="Z260" s="48" t="s">
        <v>166</v>
      </c>
      <c r="AA260" s="48" t="s">
        <v>166</v>
      </c>
      <c r="AB260" s="48" t="s">
        <v>166</v>
      </c>
      <c r="AC260" s="48">
        <v>2.0</v>
      </c>
      <c r="AD260" s="48" t="s">
        <v>166</v>
      </c>
      <c r="AE260" s="54" t="s">
        <v>166</v>
      </c>
      <c r="AF260" s="55" t="s">
        <v>166</v>
      </c>
      <c r="AG260" s="51" t="s">
        <v>166</v>
      </c>
      <c r="AH260" s="48" t="s">
        <v>166</v>
      </c>
      <c r="AI260" s="48" t="s">
        <v>166</v>
      </c>
      <c r="AJ260" s="50" t="s">
        <v>166</v>
      </c>
      <c r="AK260" s="56">
        <v>666.0</v>
      </c>
      <c r="AL260" s="57">
        <f>AK260*Sheets!$E$3</f>
        <v>91.805103</v>
      </c>
      <c r="AM260" s="68"/>
      <c r="AN260" s="59"/>
      <c r="AO260" s="60"/>
      <c r="AP260" s="65">
        <v>44644.506136701384</v>
      </c>
      <c r="AQ260" s="66"/>
    </row>
    <row r="261">
      <c r="A261" s="62" t="s">
        <v>1171</v>
      </c>
      <c r="B261" s="62" t="s">
        <v>1172</v>
      </c>
      <c r="C261" s="63" t="s">
        <v>262</v>
      </c>
      <c r="D261" s="48">
        <v>326.0</v>
      </c>
      <c r="E261" s="48">
        <v>176.0</v>
      </c>
      <c r="F261" s="48">
        <v>258.0</v>
      </c>
      <c r="G261" s="49">
        <f t="shared" si="11"/>
        <v>14.803008</v>
      </c>
      <c r="H261" s="49">
        <f t="shared" si="12"/>
        <v>573.76</v>
      </c>
      <c r="I261" s="48">
        <v>2.8</v>
      </c>
      <c r="J261" s="48" t="s">
        <v>164</v>
      </c>
      <c r="K261" s="50" t="s">
        <v>1173</v>
      </c>
      <c r="L261" s="51">
        <v>142.0</v>
      </c>
      <c r="M261" s="50" t="s">
        <v>825</v>
      </c>
      <c r="N261" s="51" t="s">
        <v>166</v>
      </c>
      <c r="O261" s="48">
        <v>320.0</v>
      </c>
      <c r="P261" s="48">
        <v>147.0</v>
      </c>
      <c r="Q261" s="48">
        <v>58.0</v>
      </c>
      <c r="R261" s="48">
        <v>2.0</v>
      </c>
      <c r="S261" s="50" t="s">
        <v>166</v>
      </c>
      <c r="T261" s="52" t="s">
        <v>167</v>
      </c>
      <c r="U261" s="52" t="s">
        <v>324</v>
      </c>
      <c r="V261" s="51">
        <v>1.0</v>
      </c>
      <c r="W261" s="48" t="s">
        <v>166</v>
      </c>
      <c r="X261" s="50" t="s">
        <v>166</v>
      </c>
      <c r="Y261" s="51" t="s">
        <v>166</v>
      </c>
      <c r="Z261" s="48" t="s">
        <v>166</v>
      </c>
      <c r="AA261" s="48" t="s">
        <v>166</v>
      </c>
      <c r="AB261" s="48" t="s">
        <v>166</v>
      </c>
      <c r="AC261" s="48" t="s">
        <v>697</v>
      </c>
      <c r="AD261" s="48" t="s">
        <v>278</v>
      </c>
      <c r="AE261" s="54" t="s">
        <v>166</v>
      </c>
      <c r="AF261" s="55" t="s">
        <v>166</v>
      </c>
      <c r="AG261" s="51" t="s">
        <v>166</v>
      </c>
      <c r="AH261" s="48" t="s">
        <v>166</v>
      </c>
      <c r="AI261" s="48">
        <v>1.0</v>
      </c>
      <c r="AJ261" s="50" t="s">
        <v>166</v>
      </c>
      <c r="AK261" s="56" t="s">
        <v>166</v>
      </c>
      <c r="AL261" s="57">
        <v>179.0</v>
      </c>
      <c r="AM261" s="64"/>
      <c r="AN261" s="59"/>
      <c r="AO261" s="60"/>
      <c r="AP261" s="65">
        <v>44550.02962190972</v>
      </c>
      <c r="AQ261" s="66"/>
    </row>
    <row r="262">
      <c r="A262" s="61" t="s">
        <v>209</v>
      </c>
      <c r="B262" s="83" t="str">
        <f>HYPERLINK("https://www.silverstonetek.com/product.php?pid=484&amp;area=en","SG08")</f>
        <v>SG08</v>
      </c>
      <c r="C262" s="63" t="s">
        <v>262</v>
      </c>
      <c r="D262" s="48">
        <v>351.0</v>
      </c>
      <c r="E262" s="48">
        <v>222.0</v>
      </c>
      <c r="F262" s="48">
        <v>190.0</v>
      </c>
      <c r="G262" s="49">
        <f t="shared" si="11"/>
        <v>14.80518</v>
      </c>
      <c r="H262" s="49">
        <f t="shared" si="12"/>
        <v>779.22</v>
      </c>
      <c r="I262" s="48" t="s">
        <v>170</v>
      </c>
      <c r="J262" s="48" t="s">
        <v>171</v>
      </c>
      <c r="K262" s="50" t="s">
        <v>512</v>
      </c>
      <c r="L262" s="51">
        <v>147.0</v>
      </c>
      <c r="M262" s="50" t="s">
        <v>166</v>
      </c>
      <c r="N262" s="51" t="s">
        <v>166</v>
      </c>
      <c r="O262" s="48">
        <v>309.0</v>
      </c>
      <c r="P262" s="48">
        <v>122.0</v>
      </c>
      <c r="Q262" s="48">
        <v>40.0</v>
      </c>
      <c r="R262" s="48">
        <v>2.0</v>
      </c>
      <c r="S262" s="50" t="s">
        <v>166</v>
      </c>
      <c r="T262" s="52" t="s">
        <v>227</v>
      </c>
      <c r="U262" s="52" t="s">
        <v>599</v>
      </c>
      <c r="V262" s="51">
        <v>2.0</v>
      </c>
      <c r="W262" s="48">
        <v>1.0</v>
      </c>
      <c r="X262" s="50" t="s">
        <v>208</v>
      </c>
      <c r="Y262" s="51" t="s">
        <v>166</v>
      </c>
      <c r="Z262" s="48" t="s">
        <v>166</v>
      </c>
      <c r="AA262" s="48" t="s">
        <v>166</v>
      </c>
      <c r="AB262" s="48" t="s">
        <v>166</v>
      </c>
      <c r="AC262" s="48" t="s">
        <v>194</v>
      </c>
      <c r="AD262" s="48" t="s">
        <v>194</v>
      </c>
      <c r="AE262" s="54" t="s">
        <v>166</v>
      </c>
      <c r="AF262" s="55" t="s">
        <v>166</v>
      </c>
      <c r="AG262" s="51" t="s">
        <v>166</v>
      </c>
      <c r="AH262" s="48">
        <v>2.0</v>
      </c>
      <c r="AI262" s="48" t="s">
        <v>166</v>
      </c>
      <c r="AJ262" s="50" t="s">
        <v>1168</v>
      </c>
      <c r="AK262" s="56" t="s">
        <v>166</v>
      </c>
      <c r="AL262" s="57" t="s">
        <v>170</v>
      </c>
      <c r="AM262" s="58"/>
      <c r="AN262" s="59"/>
      <c r="AO262" s="60"/>
      <c r="AP262" s="65">
        <v>44717.939513819445</v>
      </c>
      <c r="AQ262" s="66"/>
    </row>
    <row r="263">
      <c r="A263" s="61" t="s">
        <v>738</v>
      </c>
      <c r="B263" s="62" t="s">
        <v>1174</v>
      </c>
      <c r="C263" s="63" t="s">
        <v>262</v>
      </c>
      <c r="D263" s="48">
        <v>342.0</v>
      </c>
      <c r="E263" s="48">
        <v>164.0</v>
      </c>
      <c r="F263" s="48">
        <v>264.0</v>
      </c>
      <c r="G263" s="49">
        <f t="shared" si="11"/>
        <v>14.807232</v>
      </c>
      <c r="H263" s="49">
        <f t="shared" si="12"/>
        <v>560.88</v>
      </c>
      <c r="I263" s="48" t="s">
        <v>170</v>
      </c>
      <c r="J263" s="48" t="s">
        <v>240</v>
      </c>
      <c r="K263" s="50" t="s">
        <v>688</v>
      </c>
      <c r="L263" s="51">
        <v>146.0</v>
      </c>
      <c r="M263" s="50" t="s">
        <v>825</v>
      </c>
      <c r="N263" s="51" t="s">
        <v>166</v>
      </c>
      <c r="O263" s="48">
        <v>328.0</v>
      </c>
      <c r="P263" s="48">
        <v>151.0</v>
      </c>
      <c r="Q263" s="48">
        <v>80.0</v>
      </c>
      <c r="R263" s="48">
        <v>4.0</v>
      </c>
      <c r="S263" s="50" t="s">
        <v>166</v>
      </c>
      <c r="T263" s="52" t="s">
        <v>1102</v>
      </c>
      <c r="U263" s="52" t="s">
        <v>816</v>
      </c>
      <c r="V263" s="51" t="s">
        <v>740</v>
      </c>
      <c r="W263" s="48" t="s">
        <v>194</v>
      </c>
      <c r="X263" s="50" t="s">
        <v>166</v>
      </c>
      <c r="Y263" s="51" t="s">
        <v>166</v>
      </c>
      <c r="Z263" s="48" t="s">
        <v>166</v>
      </c>
      <c r="AA263" s="48" t="s">
        <v>166</v>
      </c>
      <c r="AB263" s="48">
        <v>1.0</v>
      </c>
      <c r="AC263" s="48" t="s">
        <v>568</v>
      </c>
      <c r="AD263" s="48" t="s">
        <v>193</v>
      </c>
      <c r="AE263" s="54" t="s">
        <v>166</v>
      </c>
      <c r="AF263" s="55" t="s">
        <v>166</v>
      </c>
      <c r="AG263" s="51" t="s">
        <v>166</v>
      </c>
      <c r="AH263" s="48" t="s">
        <v>166</v>
      </c>
      <c r="AI263" s="48">
        <v>1.0</v>
      </c>
      <c r="AJ263" s="50" t="s">
        <v>166</v>
      </c>
      <c r="AK263" s="56" t="s">
        <v>166</v>
      </c>
      <c r="AL263" s="57">
        <v>445.0</v>
      </c>
      <c r="AM263" s="64"/>
      <c r="AN263" s="70"/>
      <c r="AO263" s="71"/>
      <c r="AP263" s="65"/>
      <c r="AQ263" s="66"/>
    </row>
    <row r="264">
      <c r="A264" s="61" t="s">
        <v>738</v>
      </c>
      <c r="B264" s="62" t="s">
        <v>1175</v>
      </c>
      <c r="C264" s="63" t="s">
        <v>248</v>
      </c>
      <c r="D264" s="48">
        <v>342.0</v>
      </c>
      <c r="E264" s="48">
        <v>164.0</v>
      </c>
      <c r="F264" s="48">
        <v>264.0</v>
      </c>
      <c r="G264" s="49">
        <f t="shared" si="11"/>
        <v>14.807232</v>
      </c>
      <c r="H264" s="49">
        <f t="shared" si="12"/>
        <v>560.88</v>
      </c>
      <c r="I264" s="48" t="s">
        <v>170</v>
      </c>
      <c r="J264" s="48" t="s">
        <v>240</v>
      </c>
      <c r="K264" s="50" t="s">
        <v>688</v>
      </c>
      <c r="L264" s="51">
        <v>91.0</v>
      </c>
      <c r="M264" s="50" t="s">
        <v>825</v>
      </c>
      <c r="N264" s="51" t="s">
        <v>174</v>
      </c>
      <c r="O264" s="48">
        <v>336.0</v>
      </c>
      <c r="P264" s="48">
        <v>161.0</v>
      </c>
      <c r="Q264" s="48">
        <v>91.0</v>
      </c>
      <c r="R264" s="48">
        <v>4.0</v>
      </c>
      <c r="S264" s="50" t="s">
        <v>166</v>
      </c>
      <c r="T264" s="52" t="s">
        <v>227</v>
      </c>
      <c r="U264" s="52" t="s">
        <v>816</v>
      </c>
      <c r="V264" s="51" t="s">
        <v>740</v>
      </c>
      <c r="W264" s="48" t="s">
        <v>193</v>
      </c>
      <c r="X264" s="50" t="s">
        <v>166</v>
      </c>
      <c r="Y264" s="51" t="s">
        <v>166</v>
      </c>
      <c r="Z264" s="48" t="s">
        <v>166</v>
      </c>
      <c r="AA264" s="48" t="s">
        <v>166</v>
      </c>
      <c r="AB264" s="48" t="s">
        <v>166</v>
      </c>
      <c r="AC264" s="48" t="s">
        <v>416</v>
      </c>
      <c r="AD264" s="48" t="s">
        <v>193</v>
      </c>
      <c r="AE264" s="54" t="s">
        <v>166</v>
      </c>
      <c r="AF264" s="55" t="s">
        <v>166</v>
      </c>
      <c r="AG264" s="51" t="s">
        <v>166</v>
      </c>
      <c r="AH264" s="48" t="s">
        <v>166</v>
      </c>
      <c r="AI264" s="48">
        <v>1.0</v>
      </c>
      <c r="AJ264" s="50" t="s">
        <v>166</v>
      </c>
      <c r="AK264" s="56" t="s">
        <v>166</v>
      </c>
      <c r="AL264" s="57">
        <v>415.0</v>
      </c>
      <c r="AM264" s="64"/>
      <c r="AN264" s="59"/>
      <c r="AO264" s="60"/>
      <c r="AP264" s="65"/>
      <c r="AQ264" s="66"/>
    </row>
    <row r="265">
      <c r="A265" s="69" t="str">
        <f>HYPERLINK("https://cemo.world.taobao.com/","Cemo / 佑泽企业店")</f>
        <v>Cemo / 佑泽企业店</v>
      </c>
      <c r="B265" s="73" t="s">
        <v>485</v>
      </c>
      <c r="C265" s="63" t="s">
        <v>248</v>
      </c>
      <c r="D265" s="48">
        <v>350.0</v>
      </c>
      <c r="E265" s="48">
        <v>158.0</v>
      </c>
      <c r="F265" s="48">
        <v>268.0</v>
      </c>
      <c r="G265" s="49">
        <f t="shared" si="11"/>
        <v>14.8204</v>
      </c>
      <c r="H265" s="49">
        <f t="shared" si="12"/>
        <v>553</v>
      </c>
      <c r="I265" s="48" t="s">
        <v>170</v>
      </c>
      <c r="J265" s="48" t="s">
        <v>898</v>
      </c>
      <c r="K265" s="50" t="s">
        <v>473</v>
      </c>
      <c r="L265" s="51">
        <v>70.0</v>
      </c>
      <c r="M265" s="50" t="s">
        <v>547</v>
      </c>
      <c r="N265" s="51" t="s">
        <v>174</v>
      </c>
      <c r="O265" s="48">
        <v>340.0</v>
      </c>
      <c r="P265" s="48" t="s">
        <v>170</v>
      </c>
      <c r="Q265" s="48">
        <v>48.0</v>
      </c>
      <c r="R265" s="48">
        <v>2.0</v>
      </c>
      <c r="S265" s="50" t="s">
        <v>166</v>
      </c>
      <c r="T265" s="52" t="s">
        <v>167</v>
      </c>
      <c r="U265" s="52" t="s">
        <v>686</v>
      </c>
      <c r="V265" s="51" t="s">
        <v>412</v>
      </c>
      <c r="W265" s="48">
        <v>1.0</v>
      </c>
      <c r="X265" s="50" t="s">
        <v>166</v>
      </c>
      <c r="Y265" s="51" t="s">
        <v>166</v>
      </c>
      <c r="Z265" s="48" t="s">
        <v>166</v>
      </c>
      <c r="AA265" s="48" t="s">
        <v>166</v>
      </c>
      <c r="AB265" s="48" t="s">
        <v>166</v>
      </c>
      <c r="AC265" s="48">
        <v>2.0</v>
      </c>
      <c r="AD265" s="48" t="s">
        <v>166</v>
      </c>
      <c r="AE265" s="54" t="s">
        <v>166</v>
      </c>
      <c r="AF265" s="55" t="s">
        <v>166</v>
      </c>
      <c r="AG265" s="51" t="s">
        <v>166</v>
      </c>
      <c r="AH265" s="48">
        <v>1.0</v>
      </c>
      <c r="AI265" s="48" t="s">
        <v>166</v>
      </c>
      <c r="AJ265" s="50" t="s">
        <v>166</v>
      </c>
      <c r="AK265" s="56">
        <v>398.0</v>
      </c>
      <c r="AL265" s="57">
        <f>AK265*Sheets!$E$3</f>
        <v>54.862509</v>
      </c>
      <c r="AM265" s="68"/>
      <c r="AN265" s="70"/>
      <c r="AO265" s="71" t="s">
        <v>181</v>
      </c>
      <c r="AP265" s="72">
        <v>44887.936074513884</v>
      </c>
      <c r="AQ265" s="66"/>
    </row>
    <row r="266">
      <c r="A266" s="69" t="s">
        <v>286</v>
      </c>
      <c r="B266" s="46" t="str">
        <f>HYPERLINK("https://item.taobao.com/item.htm?id=605407725988","V3")</f>
        <v>V3</v>
      </c>
      <c r="C266" s="63" t="s">
        <v>262</v>
      </c>
      <c r="D266" s="48">
        <v>327.0</v>
      </c>
      <c r="E266" s="48">
        <v>165.0</v>
      </c>
      <c r="F266" s="48">
        <v>275.0</v>
      </c>
      <c r="G266" s="49">
        <f t="shared" si="11"/>
        <v>14.837625</v>
      </c>
      <c r="H266" s="49">
        <f t="shared" si="12"/>
        <v>539.55</v>
      </c>
      <c r="I266" s="48" t="s">
        <v>170</v>
      </c>
      <c r="J266" s="48" t="s">
        <v>235</v>
      </c>
      <c r="K266" s="50" t="s">
        <v>288</v>
      </c>
      <c r="L266" s="51">
        <v>142.0</v>
      </c>
      <c r="M266" s="50" t="s">
        <v>166</v>
      </c>
      <c r="N266" s="51" t="s">
        <v>166</v>
      </c>
      <c r="O266" s="48">
        <v>318.0</v>
      </c>
      <c r="P266" s="48">
        <v>147.0</v>
      </c>
      <c r="Q266" s="48">
        <v>80.0</v>
      </c>
      <c r="R266" s="48">
        <v>4.0</v>
      </c>
      <c r="S266" s="50" t="s">
        <v>166</v>
      </c>
      <c r="T266" s="52" t="s">
        <v>423</v>
      </c>
      <c r="U266" s="52" t="s">
        <v>324</v>
      </c>
      <c r="V266" s="51">
        <v>3.0</v>
      </c>
      <c r="W266" s="48">
        <v>1.0</v>
      </c>
      <c r="X266" s="50" t="s">
        <v>166</v>
      </c>
      <c r="Y266" s="51" t="s">
        <v>166</v>
      </c>
      <c r="Z266" s="48" t="s">
        <v>166</v>
      </c>
      <c r="AA266" s="48" t="s">
        <v>166</v>
      </c>
      <c r="AB266" s="48">
        <v>1.0</v>
      </c>
      <c r="AC266" s="48" t="s">
        <v>435</v>
      </c>
      <c r="AD266" s="48" t="s">
        <v>194</v>
      </c>
      <c r="AE266" s="54" t="s">
        <v>166</v>
      </c>
      <c r="AF266" s="55" t="s">
        <v>166</v>
      </c>
      <c r="AG266" s="51" t="s">
        <v>166</v>
      </c>
      <c r="AH266" s="48">
        <v>1.0</v>
      </c>
      <c r="AI266" s="48" t="s">
        <v>166</v>
      </c>
      <c r="AJ266" s="50" t="s">
        <v>166</v>
      </c>
      <c r="AK266" s="56">
        <v>999.0</v>
      </c>
      <c r="AL266" s="57">
        <f>AK266*Sheets!$E$3</f>
        <v>137.7076545</v>
      </c>
      <c r="AM266" s="68"/>
      <c r="AN266" s="70"/>
      <c r="AO266" s="71"/>
      <c r="AP266" s="72">
        <v>44558.747779108795</v>
      </c>
      <c r="AQ266" s="66"/>
    </row>
    <row r="267">
      <c r="A267" s="46" t="s">
        <v>404</v>
      </c>
      <c r="B267" s="46" t="s">
        <v>1176</v>
      </c>
      <c r="C267" s="63" t="s">
        <v>248</v>
      </c>
      <c r="D267" s="48">
        <v>245.0</v>
      </c>
      <c r="E267" s="48">
        <v>166.0</v>
      </c>
      <c r="F267" s="48">
        <v>365.0</v>
      </c>
      <c r="G267" s="49">
        <f t="shared" si="11"/>
        <v>14.84455</v>
      </c>
      <c r="H267" s="49">
        <f t="shared" si="12"/>
        <v>406.7</v>
      </c>
      <c r="I267" s="48">
        <v>5.0</v>
      </c>
      <c r="J267" s="48" t="s">
        <v>164</v>
      </c>
      <c r="K267" s="50" t="s">
        <v>1177</v>
      </c>
      <c r="L267" s="51">
        <v>74.0</v>
      </c>
      <c r="M267" s="50" t="s">
        <v>825</v>
      </c>
      <c r="N267" s="51" t="s">
        <v>174</v>
      </c>
      <c r="O267" s="48">
        <v>347.0</v>
      </c>
      <c r="P267" s="48">
        <v>155.0</v>
      </c>
      <c r="Q267" s="48">
        <v>68.0</v>
      </c>
      <c r="R267" s="48">
        <v>3.0</v>
      </c>
      <c r="S267" s="50" t="s">
        <v>166</v>
      </c>
      <c r="T267" s="52" t="s">
        <v>227</v>
      </c>
      <c r="U267" s="52" t="s">
        <v>816</v>
      </c>
      <c r="V267" s="51">
        <v>4.0</v>
      </c>
      <c r="W267" s="48">
        <v>2.0</v>
      </c>
      <c r="X267" s="50" t="s">
        <v>166</v>
      </c>
      <c r="Y267" s="51" t="s">
        <v>166</v>
      </c>
      <c r="Z267" s="48">
        <v>5.0</v>
      </c>
      <c r="AA267" s="48" t="s">
        <v>166</v>
      </c>
      <c r="AB267" s="48" t="s">
        <v>166</v>
      </c>
      <c r="AC267" s="48" t="s">
        <v>193</v>
      </c>
      <c r="AD267" s="48" t="s">
        <v>412</v>
      </c>
      <c r="AE267" s="54" t="s">
        <v>166</v>
      </c>
      <c r="AF267" s="55" t="s">
        <v>166</v>
      </c>
      <c r="AG267" s="51" t="s">
        <v>166</v>
      </c>
      <c r="AH267" s="48">
        <v>2.0</v>
      </c>
      <c r="AI267" s="48">
        <v>1.0</v>
      </c>
      <c r="AJ267" s="50" t="s">
        <v>166</v>
      </c>
      <c r="AK267" s="56">
        <v>1198.0</v>
      </c>
      <c r="AL267" s="57">
        <f>AK267*Sheets!$E$3</f>
        <v>165.138909</v>
      </c>
      <c r="AM267" s="68"/>
      <c r="AN267" s="59"/>
      <c r="AO267" s="60"/>
      <c r="AP267" s="65">
        <v>44723.780104398145</v>
      </c>
      <c r="AQ267" s="66"/>
    </row>
    <row r="268">
      <c r="A268" s="61" t="s">
        <v>1178</v>
      </c>
      <c r="B268" s="62" t="s">
        <v>1179</v>
      </c>
      <c r="C268" s="63" t="s">
        <v>262</v>
      </c>
      <c r="D268" s="48">
        <v>325.0</v>
      </c>
      <c r="E268" s="48">
        <v>185.0</v>
      </c>
      <c r="F268" s="48">
        <v>247.0</v>
      </c>
      <c r="G268" s="49">
        <f t="shared" si="11"/>
        <v>14.850875</v>
      </c>
      <c r="H268" s="49">
        <f t="shared" si="12"/>
        <v>601.25</v>
      </c>
      <c r="I268" s="48">
        <v>1.4</v>
      </c>
      <c r="J268" s="48" t="s">
        <v>274</v>
      </c>
      <c r="K268" s="50" t="s">
        <v>1180</v>
      </c>
      <c r="L268" s="51">
        <v>162.0</v>
      </c>
      <c r="M268" s="50" t="s">
        <v>825</v>
      </c>
      <c r="N268" s="51" t="s">
        <v>166</v>
      </c>
      <c r="O268" s="48">
        <v>320.0</v>
      </c>
      <c r="P268" s="48">
        <v>167.0</v>
      </c>
      <c r="Q268" s="48">
        <v>63.0</v>
      </c>
      <c r="R268" s="48">
        <v>3.0</v>
      </c>
      <c r="S268" s="50" t="s">
        <v>166</v>
      </c>
      <c r="T268" s="52" t="s">
        <v>167</v>
      </c>
      <c r="U268" s="52" t="s">
        <v>346</v>
      </c>
      <c r="V268" s="51">
        <v>4.0</v>
      </c>
      <c r="W268" s="48">
        <v>1.0</v>
      </c>
      <c r="X268" s="50" t="s">
        <v>166</v>
      </c>
      <c r="Y268" s="51" t="s">
        <v>166</v>
      </c>
      <c r="Z268" s="48" t="s">
        <v>166</v>
      </c>
      <c r="AA268" s="48" t="s">
        <v>166</v>
      </c>
      <c r="AB268" s="48" t="s">
        <v>166</v>
      </c>
      <c r="AC268" s="48" t="s">
        <v>435</v>
      </c>
      <c r="AD268" s="48">
        <v>4.0</v>
      </c>
      <c r="AE268" s="54" t="s">
        <v>166</v>
      </c>
      <c r="AF268" s="55" t="s">
        <v>166</v>
      </c>
      <c r="AG268" s="51" t="s">
        <v>166</v>
      </c>
      <c r="AH268" s="48" t="s">
        <v>166</v>
      </c>
      <c r="AI268" s="48">
        <v>1.0</v>
      </c>
      <c r="AJ268" s="50" t="s">
        <v>166</v>
      </c>
      <c r="AK268" s="56" t="s">
        <v>166</v>
      </c>
      <c r="AL268" s="57">
        <f>169.9*0.75</f>
        <v>127.425</v>
      </c>
      <c r="AM268" s="68"/>
      <c r="AN268" s="59"/>
      <c r="AO268" s="60" t="s">
        <v>181</v>
      </c>
      <c r="AP268" s="60"/>
      <c r="AQ268" s="66"/>
    </row>
    <row r="269">
      <c r="A269" s="82" t="str">
        <f>HYPERLINK("http://sharkoon.com/","Sharkoon")</f>
        <v>Sharkoon</v>
      </c>
      <c r="B269" s="83" t="str">
        <f>HYPERLINK("http://sharkoon.com/product/16433","QB One")</f>
        <v>QB One</v>
      </c>
      <c r="C269" s="63" t="s">
        <v>262</v>
      </c>
      <c r="D269" s="48">
        <v>368.0</v>
      </c>
      <c r="E269" s="48">
        <v>225.0</v>
      </c>
      <c r="F269" s="48">
        <v>180.0</v>
      </c>
      <c r="G269" s="49">
        <f t="shared" si="11"/>
        <v>14.904</v>
      </c>
      <c r="H269" s="49">
        <f t="shared" si="12"/>
        <v>828</v>
      </c>
      <c r="I269" s="48">
        <v>3.0</v>
      </c>
      <c r="J269" s="48" t="s">
        <v>164</v>
      </c>
      <c r="K269" s="50" t="s">
        <v>171</v>
      </c>
      <c r="L269" s="51">
        <v>150.0</v>
      </c>
      <c r="M269" s="50" t="s">
        <v>547</v>
      </c>
      <c r="N269" s="51" t="s">
        <v>166</v>
      </c>
      <c r="O269" s="48">
        <v>315.0</v>
      </c>
      <c r="P269" s="48">
        <v>155.0</v>
      </c>
      <c r="Q269" s="48">
        <v>40.0</v>
      </c>
      <c r="R269" s="48">
        <v>2.0</v>
      </c>
      <c r="S269" s="50" t="s">
        <v>166</v>
      </c>
      <c r="T269" s="52" t="s">
        <v>167</v>
      </c>
      <c r="U269" s="52" t="s">
        <v>686</v>
      </c>
      <c r="V269" s="51" t="s">
        <v>426</v>
      </c>
      <c r="W269" s="48" t="s">
        <v>193</v>
      </c>
      <c r="X269" s="50" t="s">
        <v>166</v>
      </c>
      <c r="Y269" s="51" t="s">
        <v>166</v>
      </c>
      <c r="Z269" s="48" t="s">
        <v>166</v>
      </c>
      <c r="AA269" s="48" t="s">
        <v>194</v>
      </c>
      <c r="AB269" s="48" t="s">
        <v>166</v>
      </c>
      <c r="AC269" s="48">
        <v>2.0</v>
      </c>
      <c r="AD269" s="48" t="s">
        <v>166</v>
      </c>
      <c r="AE269" s="54" t="s">
        <v>166</v>
      </c>
      <c r="AF269" s="55" t="s">
        <v>166</v>
      </c>
      <c r="AG269" s="51">
        <v>2.0</v>
      </c>
      <c r="AH269" s="48">
        <v>2.0</v>
      </c>
      <c r="AI269" s="48" t="s">
        <v>166</v>
      </c>
      <c r="AJ269" s="50" t="s">
        <v>174</v>
      </c>
      <c r="AK269" s="56" t="s">
        <v>166</v>
      </c>
      <c r="AL269" s="57">
        <v>45.0</v>
      </c>
      <c r="AM269" s="68"/>
      <c r="AN269" s="59"/>
      <c r="AO269" s="60"/>
      <c r="AP269" s="60"/>
      <c r="AQ269" s="66"/>
    </row>
    <row r="270">
      <c r="A270" s="61" t="s">
        <v>1158</v>
      </c>
      <c r="B270" s="62" t="s">
        <v>1181</v>
      </c>
      <c r="C270" s="63" t="s">
        <v>248</v>
      </c>
      <c r="D270" s="48">
        <v>247.0</v>
      </c>
      <c r="E270" s="48">
        <v>167.0</v>
      </c>
      <c r="F270" s="48">
        <v>362.0</v>
      </c>
      <c r="G270" s="49">
        <f t="shared" si="11"/>
        <v>14.932138</v>
      </c>
      <c r="H270" s="49">
        <f t="shared" si="12"/>
        <v>412.49</v>
      </c>
      <c r="I270" s="48">
        <v>3.2</v>
      </c>
      <c r="J270" s="48" t="s">
        <v>240</v>
      </c>
      <c r="K270" s="50" t="s">
        <v>171</v>
      </c>
      <c r="L270" s="51">
        <v>74.0</v>
      </c>
      <c r="M270" s="50" t="s">
        <v>887</v>
      </c>
      <c r="N270" s="51" t="s">
        <v>174</v>
      </c>
      <c r="O270" s="48">
        <v>332.0</v>
      </c>
      <c r="P270" s="48">
        <v>152.0</v>
      </c>
      <c r="Q270" s="48">
        <v>82.0</v>
      </c>
      <c r="R270" s="48">
        <v>7.0</v>
      </c>
      <c r="S270" s="50" t="s">
        <v>166</v>
      </c>
      <c r="T270" s="52" t="s">
        <v>852</v>
      </c>
      <c r="U270" s="52" t="s">
        <v>816</v>
      </c>
      <c r="V270" s="51" t="s">
        <v>1161</v>
      </c>
      <c r="W270" s="48" t="s">
        <v>193</v>
      </c>
      <c r="X270" s="50" t="s">
        <v>166</v>
      </c>
      <c r="Y270" s="51" t="s">
        <v>166</v>
      </c>
      <c r="Z270" s="48" t="s">
        <v>166</v>
      </c>
      <c r="AA270" s="48" t="s">
        <v>166</v>
      </c>
      <c r="AB270" s="48" t="s">
        <v>166</v>
      </c>
      <c r="AC270" s="48" t="s">
        <v>195</v>
      </c>
      <c r="AD270" s="48" t="s">
        <v>193</v>
      </c>
      <c r="AE270" s="54" t="s">
        <v>166</v>
      </c>
      <c r="AF270" s="55" t="s">
        <v>166</v>
      </c>
      <c r="AG270" s="51" t="s">
        <v>166</v>
      </c>
      <c r="AH270" s="48">
        <v>2.0</v>
      </c>
      <c r="AI270" s="48">
        <v>1.0</v>
      </c>
      <c r="AJ270" s="50" t="s">
        <v>166</v>
      </c>
      <c r="AK270" s="56" t="s">
        <v>166</v>
      </c>
      <c r="AL270" s="57">
        <v>159.99</v>
      </c>
      <c r="AM270" s="64"/>
      <c r="AN270" s="59"/>
      <c r="AO270" s="60"/>
      <c r="AP270" s="65">
        <v>45142.4043050926</v>
      </c>
      <c r="AQ270" s="66"/>
    </row>
    <row r="271">
      <c r="A271" s="61" t="s">
        <v>1158</v>
      </c>
      <c r="B271" s="62" t="s">
        <v>1182</v>
      </c>
      <c r="C271" s="63" t="s">
        <v>262</v>
      </c>
      <c r="D271" s="48">
        <v>363.0</v>
      </c>
      <c r="E271" s="48">
        <v>167.0</v>
      </c>
      <c r="F271" s="48">
        <v>247.0</v>
      </c>
      <c r="G271" s="49">
        <f t="shared" si="11"/>
        <v>14.973387</v>
      </c>
      <c r="H271" s="49">
        <f t="shared" si="12"/>
        <v>606.21</v>
      </c>
      <c r="I271" s="48">
        <v>3.2</v>
      </c>
      <c r="J271" s="48" t="s">
        <v>240</v>
      </c>
      <c r="K271" s="50" t="s">
        <v>171</v>
      </c>
      <c r="L271" s="51">
        <v>142.0</v>
      </c>
      <c r="M271" s="50" t="s">
        <v>825</v>
      </c>
      <c r="N271" s="51" t="s">
        <v>166</v>
      </c>
      <c r="O271" s="48">
        <v>337.0</v>
      </c>
      <c r="P271" s="48">
        <v>136.0</v>
      </c>
      <c r="Q271" s="48">
        <v>69.0</v>
      </c>
      <c r="R271" s="48">
        <v>3.0</v>
      </c>
      <c r="S271" s="50" t="s">
        <v>166</v>
      </c>
      <c r="T271" s="52" t="s">
        <v>227</v>
      </c>
      <c r="U271" s="52" t="s">
        <v>816</v>
      </c>
      <c r="V271" s="51">
        <v>6.0</v>
      </c>
      <c r="W271" s="48" t="s">
        <v>435</v>
      </c>
      <c r="X271" s="50" t="s">
        <v>166</v>
      </c>
      <c r="Y271" s="51" t="s">
        <v>166</v>
      </c>
      <c r="Z271" s="48" t="s">
        <v>166</v>
      </c>
      <c r="AA271" s="48" t="s">
        <v>194</v>
      </c>
      <c r="AB271" s="48" t="s">
        <v>194</v>
      </c>
      <c r="AC271" s="48" t="s">
        <v>193</v>
      </c>
      <c r="AD271" s="48" t="s">
        <v>416</v>
      </c>
      <c r="AE271" s="54" t="s">
        <v>166</v>
      </c>
      <c r="AF271" s="55" t="s">
        <v>166</v>
      </c>
      <c r="AG271" s="51" t="s">
        <v>166</v>
      </c>
      <c r="AH271" s="48">
        <v>2.0</v>
      </c>
      <c r="AI271" s="48">
        <v>1.0</v>
      </c>
      <c r="AJ271" s="50" t="s">
        <v>166</v>
      </c>
      <c r="AK271" s="56" t="s">
        <v>166</v>
      </c>
      <c r="AL271" s="57">
        <v>109.99</v>
      </c>
      <c r="AM271" s="64"/>
      <c r="AN271" s="59"/>
      <c r="AO271" s="60"/>
      <c r="AP271" s="65">
        <v>45139.45549840278</v>
      </c>
      <c r="AQ271" s="66"/>
    </row>
    <row r="272">
      <c r="A272" s="82" t="str">
        <f>HYPERLINK("http://sharkoon.com/","Sharkoon")</f>
        <v>Sharkoon</v>
      </c>
      <c r="B272" s="83" t="str">
        <f>HYPERLINK("http://sharkoon.com/product/16426","Shark Zone C10")</f>
        <v>Shark Zone C10</v>
      </c>
      <c r="C272" s="63" t="s">
        <v>262</v>
      </c>
      <c r="D272" s="48">
        <v>370.0</v>
      </c>
      <c r="E272" s="48">
        <v>225.0</v>
      </c>
      <c r="F272" s="48">
        <v>180.0</v>
      </c>
      <c r="G272" s="49">
        <f t="shared" si="11"/>
        <v>14.985</v>
      </c>
      <c r="H272" s="49">
        <f t="shared" si="12"/>
        <v>832.5</v>
      </c>
      <c r="I272" s="48">
        <v>3.0</v>
      </c>
      <c r="J272" s="48" t="s">
        <v>164</v>
      </c>
      <c r="K272" s="50" t="s">
        <v>171</v>
      </c>
      <c r="L272" s="51">
        <v>150.0</v>
      </c>
      <c r="M272" s="50" t="s">
        <v>547</v>
      </c>
      <c r="N272" s="51" t="s">
        <v>166</v>
      </c>
      <c r="O272" s="48">
        <v>315.0</v>
      </c>
      <c r="P272" s="48">
        <v>155.0</v>
      </c>
      <c r="Q272" s="48">
        <v>40.0</v>
      </c>
      <c r="R272" s="48">
        <v>2.0</v>
      </c>
      <c r="S272" s="50" t="s">
        <v>166</v>
      </c>
      <c r="T272" s="52" t="s">
        <v>167</v>
      </c>
      <c r="U272" s="52" t="s">
        <v>686</v>
      </c>
      <c r="V272" s="51" t="s">
        <v>426</v>
      </c>
      <c r="W272" s="48" t="s">
        <v>193</v>
      </c>
      <c r="X272" s="50" t="s">
        <v>194</v>
      </c>
      <c r="Y272" s="51" t="s">
        <v>166</v>
      </c>
      <c r="Z272" s="48" t="s">
        <v>166</v>
      </c>
      <c r="AA272" s="48" t="s">
        <v>194</v>
      </c>
      <c r="AB272" s="48" t="s">
        <v>166</v>
      </c>
      <c r="AC272" s="48">
        <v>2.0</v>
      </c>
      <c r="AD272" s="48" t="s">
        <v>166</v>
      </c>
      <c r="AE272" s="54" t="s">
        <v>166</v>
      </c>
      <c r="AF272" s="55" t="s">
        <v>166</v>
      </c>
      <c r="AG272" s="51" t="s">
        <v>166</v>
      </c>
      <c r="AH272" s="48">
        <v>2.0</v>
      </c>
      <c r="AI272" s="48" t="s">
        <v>166</v>
      </c>
      <c r="AJ272" s="50" t="s">
        <v>1168</v>
      </c>
      <c r="AK272" s="56" t="s">
        <v>166</v>
      </c>
      <c r="AL272" s="57">
        <f>49.99*1.31</f>
        <v>65.4869</v>
      </c>
      <c r="AM272" s="68"/>
      <c r="AN272" s="59"/>
      <c r="AO272" s="60"/>
      <c r="AP272" s="60"/>
      <c r="AQ272" s="66"/>
    </row>
    <row r="273">
      <c r="A273" s="83" t="str">
        <f>HYPERLINK("https://www.sfftime.com/","SFFtime")</f>
        <v>SFFtime</v>
      </c>
      <c r="B273" s="62" t="s">
        <v>1183</v>
      </c>
      <c r="C273" s="63" t="s">
        <v>225</v>
      </c>
      <c r="D273" s="48">
        <v>405.5</v>
      </c>
      <c r="E273" s="48">
        <v>101.0</v>
      </c>
      <c r="F273" s="48">
        <v>367.0</v>
      </c>
      <c r="G273" s="49">
        <f t="shared" si="11"/>
        <v>15.0306685</v>
      </c>
      <c r="H273" s="49">
        <f t="shared" si="12"/>
        <v>409.555</v>
      </c>
      <c r="I273" s="48">
        <v>1.95</v>
      </c>
      <c r="J273" s="48" t="s">
        <v>164</v>
      </c>
      <c r="K273" s="50" t="s">
        <v>204</v>
      </c>
      <c r="L273" s="51">
        <v>79.0</v>
      </c>
      <c r="M273" s="50" t="s">
        <v>1122</v>
      </c>
      <c r="N273" s="51" t="s">
        <v>174</v>
      </c>
      <c r="O273" s="48">
        <v>388.0</v>
      </c>
      <c r="P273" s="48">
        <v>163.0</v>
      </c>
      <c r="Q273" s="48">
        <v>82.0</v>
      </c>
      <c r="R273" s="48">
        <v>4.0</v>
      </c>
      <c r="S273" s="50" t="s">
        <v>166</v>
      </c>
      <c r="T273" s="52" t="s">
        <v>852</v>
      </c>
      <c r="U273" s="52" t="s">
        <v>816</v>
      </c>
      <c r="V273" s="51" t="s">
        <v>1184</v>
      </c>
      <c r="W273" s="48" t="s">
        <v>194</v>
      </c>
      <c r="X273" s="50" t="s">
        <v>166</v>
      </c>
      <c r="Y273" s="51" t="s">
        <v>166</v>
      </c>
      <c r="Z273" s="48" t="s">
        <v>166</v>
      </c>
      <c r="AA273" s="48" t="s">
        <v>166</v>
      </c>
      <c r="AB273" s="48" t="s">
        <v>166</v>
      </c>
      <c r="AC273" s="48" t="s">
        <v>426</v>
      </c>
      <c r="AD273" s="48" t="s">
        <v>193</v>
      </c>
      <c r="AE273" s="54" t="s">
        <v>166</v>
      </c>
      <c r="AF273" s="55" t="s">
        <v>166</v>
      </c>
      <c r="AG273" s="51" t="s">
        <v>166</v>
      </c>
      <c r="AH273" s="48" t="s">
        <v>166</v>
      </c>
      <c r="AI273" s="48">
        <v>1.0</v>
      </c>
      <c r="AJ273" s="50" t="s">
        <v>166</v>
      </c>
      <c r="AK273" s="56" t="s">
        <v>166</v>
      </c>
      <c r="AL273" s="57">
        <v>199.0</v>
      </c>
      <c r="AM273" s="64" t="s">
        <v>214</v>
      </c>
      <c r="AN273" s="59"/>
      <c r="AO273" s="60"/>
      <c r="AP273" s="65">
        <v>45379.02385763889</v>
      </c>
      <c r="AQ273" s="66"/>
    </row>
    <row r="274">
      <c r="A274" s="99" t="s">
        <v>716</v>
      </c>
      <c r="B274" s="73" t="s">
        <v>1185</v>
      </c>
      <c r="C274" s="63" t="s">
        <v>262</v>
      </c>
      <c r="D274" s="48">
        <v>311.0</v>
      </c>
      <c r="E274" s="48">
        <v>170.0</v>
      </c>
      <c r="F274" s="48">
        <v>285.0</v>
      </c>
      <c r="G274" s="49">
        <f t="shared" si="11"/>
        <v>15.06795</v>
      </c>
      <c r="H274" s="49">
        <f t="shared" si="12"/>
        <v>528.7</v>
      </c>
      <c r="I274" s="48" t="s">
        <v>170</v>
      </c>
      <c r="J274" s="48" t="s">
        <v>898</v>
      </c>
      <c r="K274" s="50" t="s">
        <v>213</v>
      </c>
      <c r="L274" s="51">
        <v>130.0</v>
      </c>
      <c r="M274" s="50">
        <v>120.0</v>
      </c>
      <c r="N274" s="51" t="s">
        <v>166</v>
      </c>
      <c r="O274" s="48">
        <v>305.0</v>
      </c>
      <c r="P274" s="48">
        <v>135.0</v>
      </c>
      <c r="Q274" s="48">
        <v>45.0</v>
      </c>
      <c r="R274" s="48">
        <v>2.0</v>
      </c>
      <c r="S274" s="50" t="s">
        <v>166</v>
      </c>
      <c r="T274" s="52" t="s">
        <v>167</v>
      </c>
      <c r="U274" s="52" t="s">
        <v>346</v>
      </c>
      <c r="V274" s="51">
        <v>4.0</v>
      </c>
      <c r="W274" s="48">
        <v>1.0</v>
      </c>
      <c r="X274" s="50" t="s">
        <v>166</v>
      </c>
      <c r="Y274" s="51" t="s">
        <v>166</v>
      </c>
      <c r="Z274" s="48" t="s">
        <v>166</v>
      </c>
      <c r="AA274" s="48" t="s">
        <v>193</v>
      </c>
      <c r="AB274" s="48" t="s">
        <v>194</v>
      </c>
      <c r="AC274" s="48" t="s">
        <v>194</v>
      </c>
      <c r="AD274" s="48" t="s">
        <v>194</v>
      </c>
      <c r="AE274" s="54" t="s">
        <v>166</v>
      </c>
      <c r="AF274" s="55" t="s">
        <v>166</v>
      </c>
      <c r="AG274" s="51" t="s">
        <v>166</v>
      </c>
      <c r="AH274" s="48" t="s">
        <v>166</v>
      </c>
      <c r="AI274" s="48" t="s">
        <v>166</v>
      </c>
      <c r="AJ274" s="50" t="s">
        <v>166</v>
      </c>
      <c r="AK274" s="56">
        <v>860.0</v>
      </c>
      <c r="AL274" s="57">
        <f>AK274*Sheets!$E$3</f>
        <v>118.54713</v>
      </c>
      <c r="AM274" s="68"/>
      <c r="AN274" s="70"/>
      <c r="AO274" s="71" t="s">
        <v>181</v>
      </c>
      <c r="AP274" s="71"/>
      <c r="AQ274" s="66"/>
    </row>
    <row r="275">
      <c r="A275" s="82" t="str">
        <f>HYPERLINK("https://www.coolermaster.com/","Cooler Master")</f>
        <v>Cooler Master</v>
      </c>
      <c r="B275" s="83" t="str">
        <f>HYPERLINK("https://www.coolermaster.com/catalog/cases/mini-itx/elite110/","Elite 110")</f>
        <v>Elite 110</v>
      </c>
      <c r="C275" s="63" t="s">
        <v>262</v>
      </c>
      <c r="D275" s="48">
        <v>280.0</v>
      </c>
      <c r="E275" s="48">
        <v>260.0</v>
      </c>
      <c r="F275" s="48">
        <v>208.0</v>
      </c>
      <c r="G275" s="49">
        <f t="shared" si="11"/>
        <v>15.1424</v>
      </c>
      <c r="H275" s="49">
        <f t="shared" si="12"/>
        <v>728</v>
      </c>
      <c r="I275" s="48">
        <v>2.65</v>
      </c>
      <c r="J275" s="48" t="s">
        <v>171</v>
      </c>
      <c r="K275" s="50" t="s">
        <v>211</v>
      </c>
      <c r="L275" s="51">
        <v>76.0</v>
      </c>
      <c r="M275" s="50">
        <v>120.0</v>
      </c>
      <c r="N275" s="51" t="s">
        <v>166</v>
      </c>
      <c r="O275" s="48">
        <v>210.0</v>
      </c>
      <c r="P275" s="48" t="s">
        <v>170</v>
      </c>
      <c r="Q275" s="48">
        <v>40.0</v>
      </c>
      <c r="R275" s="48">
        <v>2.0</v>
      </c>
      <c r="S275" s="50" t="s">
        <v>166</v>
      </c>
      <c r="T275" s="52" t="s">
        <v>167</v>
      </c>
      <c r="U275" s="52" t="s">
        <v>599</v>
      </c>
      <c r="V275" s="51" t="s">
        <v>278</v>
      </c>
      <c r="W275" s="48" t="s">
        <v>426</v>
      </c>
      <c r="X275" s="50" t="s">
        <v>166</v>
      </c>
      <c r="Y275" s="51" t="s">
        <v>166</v>
      </c>
      <c r="Z275" s="48" t="s">
        <v>166</v>
      </c>
      <c r="AA275" s="48">
        <v>2.0</v>
      </c>
      <c r="AB275" s="48" t="s">
        <v>166</v>
      </c>
      <c r="AC275" s="48" t="s">
        <v>194</v>
      </c>
      <c r="AD275" s="48" t="s">
        <v>194</v>
      </c>
      <c r="AE275" s="54" t="s">
        <v>166</v>
      </c>
      <c r="AF275" s="55" t="s">
        <v>166</v>
      </c>
      <c r="AG275" s="51" t="s">
        <v>166</v>
      </c>
      <c r="AH275" s="48">
        <v>2.0</v>
      </c>
      <c r="AI275" s="48" t="s">
        <v>166</v>
      </c>
      <c r="AJ275" s="50" t="s">
        <v>1168</v>
      </c>
      <c r="AK275" s="56" t="s">
        <v>166</v>
      </c>
      <c r="AL275" s="57">
        <v>50.0</v>
      </c>
      <c r="AM275" s="58"/>
      <c r="AN275" s="64" t="s">
        <v>214</v>
      </c>
      <c r="AO275" s="60"/>
      <c r="AP275" s="65">
        <v>44854.65229111111</v>
      </c>
      <c r="AQ275" s="66"/>
    </row>
    <row r="276">
      <c r="A276" s="61" t="s">
        <v>438</v>
      </c>
      <c r="B276" s="62" t="s">
        <v>1186</v>
      </c>
      <c r="C276" s="63" t="s">
        <v>248</v>
      </c>
      <c r="D276" s="48">
        <v>352.0</v>
      </c>
      <c r="E276" s="48">
        <v>163.0</v>
      </c>
      <c r="F276" s="48">
        <v>264.0</v>
      </c>
      <c r="G276" s="49">
        <f t="shared" si="11"/>
        <v>15.147264</v>
      </c>
      <c r="H276" s="49">
        <f t="shared" si="12"/>
        <v>573.76</v>
      </c>
      <c r="I276" s="48">
        <v>2.48</v>
      </c>
      <c r="J276" s="48" t="s">
        <v>164</v>
      </c>
      <c r="K276" s="50" t="s">
        <v>164</v>
      </c>
      <c r="L276" s="51">
        <v>57.0</v>
      </c>
      <c r="M276" s="50" t="s">
        <v>825</v>
      </c>
      <c r="N276" s="51" t="s">
        <v>174</v>
      </c>
      <c r="O276" s="48">
        <v>346.0</v>
      </c>
      <c r="P276" s="48">
        <v>140.0</v>
      </c>
      <c r="Q276" s="48">
        <v>70.0</v>
      </c>
      <c r="R276" s="48">
        <v>3.0</v>
      </c>
      <c r="S276" s="50" t="s">
        <v>166</v>
      </c>
      <c r="T276" s="52" t="s">
        <v>167</v>
      </c>
      <c r="U276" s="52" t="s">
        <v>324</v>
      </c>
      <c r="V276" s="51">
        <v>2.0</v>
      </c>
      <c r="W276" s="48" t="s">
        <v>166</v>
      </c>
      <c r="X276" s="50" t="s">
        <v>166</v>
      </c>
      <c r="Y276" s="51" t="s">
        <v>166</v>
      </c>
      <c r="Z276" s="48" t="s">
        <v>166</v>
      </c>
      <c r="AA276" s="48" t="s">
        <v>166</v>
      </c>
      <c r="AB276" s="48" t="s">
        <v>166</v>
      </c>
      <c r="AC276" s="48" t="s">
        <v>416</v>
      </c>
      <c r="AD276" s="48" t="s">
        <v>193</v>
      </c>
      <c r="AE276" s="54" t="s">
        <v>166</v>
      </c>
      <c r="AF276" s="55" t="s">
        <v>166</v>
      </c>
      <c r="AG276" s="51" t="s">
        <v>166</v>
      </c>
      <c r="AH276" s="48">
        <v>2.0</v>
      </c>
      <c r="AI276" s="48" t="s">
        <v>166</v>
      </c>
      <c r="AJ276" s="50" t="s">
        <v>166</v>
      </c>
      <c r="AK276" s="56" t="s">
        <v>166</v>
      </c>
      <c r="AL276" s="57">
        <f>4190*0.033</f>
        <v>138.27</v>
      </c>
      <c r="AM276" s="64"/>
      <c r="AN276" s="59"/>
      <c r="AO276" s="60"/>
      <c r="AP276" s="65">
        <v>44696.763233854166</v>
      </c>
      <c r="AQ276" s="66"/>
    </row>
    <row r="277">
      <c r="A277" s="82" t="str">
        <f>HYPERLINK("http://sliger.com/","Sliger")</f>
        <v>Sliger</v>
      </c>
      <c r="B277" s="62" t="s">
        <v>1187</v>
      </c>
      <c r="C277" s="63" t="s">
        <v>248</v>
      </c>
      <c r="D277" s="48">
        <v>247.0</v>
      </c>
      <c r="E277" s="48">
        <v>154.0</v>
      </c>
      <c r="F277" s="48">
        <v>401.0</v>
      </c>
      <c r="G277" s="49">
        <f t="shared" si="11"/>
        <v>15.253238</v>
      </c>
      <c r="H277" s="49">
        <f t="shared" si="12"/>
        <v>380.38</v>
      </c>
      <c r="I277" s="48">
        <v>4.3</v>
      </c>
      <c r="J277" s="48" t="s">
        <v>171</v>
      </c>
      <c r="K277" s="50" t="s">
        <v>1188</v>
      </c>
      <c r="L277" s="51">
        <v>55.0</v>
      </c>
      <c r="M277" s="50" t="s">
        <v>825</v>
      </c>
      <c r="N277" s="51" t="s">
        <v>174</v>
      </c>
      <c r="O277" s="48">
        <v>310.0</v>
      </c>
      <c r="P277" s="48">
        <v>160.0</v>
      </c>
      <c r="Q277" s="48">
        <v>68.0</v>
      </c>
      <c r="R277" s="48">
        <v>3.0</v>
      </c>
      <c r="S277" s="50" t="s">
        <v>166</v>
      </c>
      <c r="T277" s="52" t="s">
        <v>167</v>
      </c>
      <c r="U277" s="52" t="s">
        <v>346</v>
      </c>
      <c r="V277" s="51" t="s">
        <v>1189</v>
      </c>
      <c r="W277" s="48" t="s">
        <v>193</v>
      </c>
      <c r="X277" s="50" t="s">
        <v>166</v>
      </c>
      <c r="Y277" s="51" t="s">
        <v>166</v>
      </c>
      <c r="Z277" s="48" t="s">
        <v>166</v>
      </c>
      <c r="AA277" s="48" t="s">
        <v>166</v>
      </c>
      <c r="AB277" s="48" t="s">
        <v>166</v>
      </c>
      <c r="AC277" s="48" t="s">
        <v>193</v>
      </c>
      <c r="AD277" s="48" t="s">
        <v>193</v>
      </c>
      <c r="AE277" s="54" t="s">
        <v>166</v>
      </c>
      <c r="AF277" s="55" t="s">
        <v>166</v>
      </c>
      <c r="AG277" s="51" t="s">
        <v>166</v>
      </c>
      <c r="AH277" s="48" t="s">
        <v>166</v>
      </c>
      <c r="AI277" s="48" t="s">
        <v>166</v>
      </c>
      <c r="AJ277" s="50" t="s">
        <v>166</v>
      </c>
      <c r="AK277" s="56" t="s">
        <v>166</v>
      </c>
      <c r="AL277" s="57">
        <v>249.0</v>
      </c>
      <c r="AM277" s="58"/>
      <c r="AN277" s="64" t="s">
        <v>214</v>
      </c>
      <c r="AO277" s="60" t="s">
        <v>181</v>
      </c>
      <c r="AP277" s="60"/>
      <c r="AQ277" s="66"/>
    </row>
    <row r="278">
      <c r="A278" s="69" t="s">
        <v>445</v>
      </c>
      <c r="B278" s="46" t="s">
        <v>1190</v>
      </c>
      <c r="C278" s="63" t="s">
        <v>262</v>
      </c>
      <c r="D278" s="48">
        <v>345.0</v>
      </c>
      <c r="E278" s="48">
        <v>158.0</v>
      </c>
      <c r="F278" s="48">
        <v>280.0</v>
      </c>
      <c r="G278" s="49">
        <f t="shared" si="11"/>
        <v>15.2628</v>
      </c>
      <c r="H278" s="49">
        <f t="shared" si="12"/>
        <v>545.1</v>
      </c>
      <c r="I278" s="48" t="s">
        <v>170</v>
      </c>
      <c r="J278" s="48" t="s">
        <v>336</v>
      </c>
      <c r="K278" s="50" t="s">
        <v>971</v>
      </c>
      <c r="L278" s="51">
        <v>135.0</v>
      </c>
      <c r="M278" s="50" t="s">
        <v>547</v>
      </c>
      <c r="N278" s="51" t="s">
        <v>166</v>
      </c>
      <c r="O278" s="48">
        <v>335.0</v>
      </c>
      <c r="P278" s="48">
        <v>140.0</v>
      </c>
      <c r="Q278" s="48">
        <v>80.0</v>
      </c>
      <c r="R278" s="48">
        <v>4.0</v>
      </c>
      <c r="S278" s="50" t="s">
        <v>166</v>
      </c>
      <c r="T278" s="52" t="s">
        <v>423</v>
      </c>
      <c r="U278" s="52" t="s">
        <v>816</v>
      </c>
      <c r="V278" s="51">
        <v>2.0</v>
      </c>
      <c r="W278" s="48">
        <v>1.0</v>
      </c>
      <c r="X278" s="50" t="s">
        <v>166</v>
      </c>
      <c r="Y278" s="51" t="s">
        <v>166</v>
      </c>
      <c r="Z278" s="48" t="s">
        <v>166</v>
      </c>
      <c r="AA278" s="48" t="s">
        <v>166</v>
      </c>
      <c r="AB278" s="48">
        <v>6.0</v>
      </c>
      <c r="AC278" s="48">
        <v>2.0</v>
      </c>
      <c r="AD278" s="48" t="s">
        <v>166</v>
      </c>
      <c r="AE278" s="54" t="s">
        <v>166</v>
      </c>
      <c r="AF278" s="55" t="s">
        <v>166</v>
      </c>
      <c r="AG278" s="51" t="s">
        <v>166</v>
      </c>
      <c r="AH278" s="48">
        <v>1.0</v>
      </c>
      <c r="AI278" s="48">
        <v>1.0</v>
      </c>
      <c r="AJ278" s="50" t="s">
        <v>166</v>
      </c>
      <c r="AK278" s="56">
        <v>169.0</v>
      </c>
      <c r="AL278" s="57">
        <f>AK278*Sheets!$E$3</f>
        <v>23.2958895</v>
      </c>
      <c r="AM278" s="68"/>
      <c r="AN278" s="59"/>
      <c r="AO278" s="60"/>
      <c r="AP278" s="65">
        <v>45100.41871278935</v>
      </c>
      <c r="AQ278" s="66"/>
    </row>
    <row r="279">
      <c r="A279" s="69" t="str">
        <f>HYPERLINK("https://sktcase.world.taobao.com/","SKTC")</f>
        <v>SKTC</v>
      </c>
      <c r="B279" s="46" t="s">
        <v>1191</v>
      </c>
      <c r="C279" s="63" t="s">
        <v>248</v>
      </c>
      <c r="D279" s="48">
        <v>330.0</v>
      </c>
      <c r="E279" s="48">
        <v>160.0</v>
      </c>
      <c r="F279" s="48">
        <v>290.0</v>
      </c>
      <c r="G279" s="49">
        <f t="shared" si="11"/>
        <v>15.312</v>
      </c>
      <c r="H279" s="49">
        <f t="shared" si="12"/>
        <v>528</v>
      </c>
      <c r="I279" s="48" t="s">
        <v>170</v>
      </c>
      <c r="J279" s="48" t="s">
        <v>1048</v>
      </c>
      <c r="K279" s="50" t="s">
        <v>252</v>
      </c>
      <c r="L279" s="51">
        <v>65.0</v>
      </c>
      <c r="M279" s="50" t="s">
        <v>547</v>
      </c>
      <c r="N279" s="51" t="s">
        <v>174</v>
      </c>
      <c r="O279" s="48">
        <v>320.0</v>
      </c>
      <c r="P279" s="48" t="s">
        <v>170</v>
      </c>
      <c r="Q279" s="48">
        <v>60.0</v>
      </c>
      <c r="R279" s="48">
        <v>2.0</v>
      </c>
      <c r="S279" s="50" t="s">
        <v>166</v>
      </c>
      <c r="T279" s="52" t="s">
        <v>167</v>
      </c>
      <c r="U279" s="52" t="s">
        <v>324</v>
      </c>
      <c r="V279" s="51">
        <v>2.0</v>
      </c>
      <c r="W279" s="48">
        <v>1.0</v>
      </c>
      <c r="X279" s="50" t="s">
        <v>166</v>
      </c>
      <c r="Y279" s="51" t="s">
        <v>166</v>
      </c>
      <c r="Z279" s="48" t="s">
        <v>166</v>
      </c>
      <c r="AA279" s="48" t="s">
        <v>166</v>
      </c>
      <c r="AB279" s="48" t="s">
        <v>166</v>
      </c>
      <c r="AC279" s="48">
        <v>4.0</v>
      </c>
      <c r="AD279" s="48" t="s">
        <v>166</v>
      </c>
      <c r="AE279" s="54" t="s">
        <v>166</v>
      </c>
      <c r="AF279" s="55" t="s">
        <v>166</v>
      </c>
      <c r="AG279" s="51" t="s">
        <v>166</v>
      </c>
      <c r="AH279" s="48">
        <v>1.0</v>
      </c>
      <c r="AI279" s="48">
        <v>1.0</v>
      </c>
      <c r="AJ279" s="50" t="s">
        <v>174</v>
      </c>
      <c r="AK279" s="56">
        <v>599.0</v>
      </c>
      <c r="AL279" s="57">
        <f>AK279*Sheets!$E$3</f>
        <v>82.5694545</v>
      </c>
      <c r="AM279" s="68"/>
      <c r="AN279" s="59"/>
      <c r="AO279" s="60"/>
      <c r="AP279" s="65">
        <v>44564.58463494213</v>
      </c>
      <c r="AQ279" s="66"/>
    </row>
    <row r="280">
      <c r="A280" s="46" t="str">
        <f>HYPERLINK("https://shop309038390.world.taobao.com/","ZZAW")</f>
        <v>ZZAW</v>
      </c>
      <c r="B280" s="46" t="s">
        <v>1192</v>
      </c>
      <c r="C280" s="63" t="s">
        <v>262</v>
      </c>
      <c r="D280" s="48">
        <v>342.0</v>
      </c>
      <c r="E280" s="48">
        <v>161.0</v>
      </c>
      <c r="F280" s="48">
        <v>278.5</v>
      </c>
      <c r="G280" s="49">
        <f t="shared" si="11"/>
        <v>15.334767</v>
      </c>
      <c r="H280" s="49">
        <f t="shared" si="12"/>
        <v>550.62</v>
      </c>
      <c r="I280" s="48">
        <v>1.8</v>
      </c>
      <c r="J280" s="48" t="s">
        <v>597</v>
      </c>
      <c r="K280" s="50" t="s">
        <v>204</v>
      </c>
      <c r="L280" s="51">
        <v>136.0</v>
      </c>
      <c r="M280" s="50" t="s">
        <v>166</v>
      </c>
      <c r="N280" s="51" t="s">
        <v>166</v>
      </c>
      <c r="O280" s="48">
        <v>328.0</v>
      </c>
      <c r="P280" s="48">
        <v>141.0</v>
      </c>
      <c r="Q280" s="48">
        <v>80.0</v>
      </c>
      <c r="R280" s="48">
        <v>4.0</v>
      </c>
      <c r="S280" s="50" t="s">
        <v>166</v>
      </c>
      <c r="T280" s="52" t="s">
        <v>1102</v>
      </c>
      <c r="U280" s="52" t="s">
        <v>816</v>
      </c>
      <c r="V280" s="51">
        <v>3.0</v>
      </c>
      <c r="W280" s="48">
        <v>1.0</v>
      </c>
      <c r="X280" s="50" t="s">
        <v>166</v>
      </c>
      <c r="Y280" s="51" t="s">
        <v>166</v>
      </c>
      <c r="Z280" s="48" t="s">
        <v>166</v>
      </c>
      <c r="AA280" s="48" t="s">
        <v>166</v>
      </c>
      <c r="AB280" s="48" t="s">
        <v>355</v>
      </c>
      <c r="AC280" s="48" t="s">
        <v>278</v>
      </c>
      <c r="AD280" s="48" t="s">
        <v>166</v>
      </c>
      <c r="AE280" s="54" t="s">
        <v>166</v>
      </c>
      <c r="AF280" s="55" t="s">
        <v>166</v>
      </c>
      <c r="AG280" s="51" t="s">
        <v>166</v>
      </c>
      <c r="AH280" s="48">
        <v>1.0</v>
      </c>
      <c r="AI280" s="48" t="s">
        <v>166</v>
      </c>
      <c r="AJ280" s="50" t="s">
        <v>166</v>
      </c>
      <c r="AK280" s="56">
        <v>199.0</v>
      </c>
      <c r="AL280" s="57">
        <f>AK280*Sheets!$E$3</f>
        <v>27.4312545</v>
      </c>
      <c r="AM280" s="64"/>
      <c r="AN280" s="59"/>
      <c r="AO280" s="60"/>
      <c r="AP280" s="65">
        <v>44673.86448711806</v>
      </c>
      <c r="AQ280" s="66"/>
    </row>
    <row r="281">
      <c r="A281" s="69" t="str">
        <f>HYPERLINK("https://shop200669052.world.taobao.com/","Acat机箱")</f>
        <v>Acat机箱</v>
      </c>
      <c r="B281" s="46" t="s">
        <v>1193</v>
      </c>
      <c r="C281" s="63" t="s">
        <v>248</v>
      </c>
      <c r="D281" s="48">
        <v>245.0</v>
      </c>
      <c r="E281" s="48">
        <v>173.0</v>
      </c>
      <c r="F281" s="48">
        <v>362.0</v>
      </c>
      <c r="G281" s="49">
        <f t="shared" si="11"/>
        <v>15.34337</v>
      </c>
      <c r="H281" s="49">
        <f t="shared" si="12"/>
        <v>423.85</v>
      </c>
      <c r="I281" s="48">
        <v>6.0</v>
      </c>
      <c r="J281" s="48" t="s">
        <v>235</v>
      </c>
      <c r="K281" s="50" t="s">
        <v>1194</v>
      </c>
      <c r="L281" s="51">
        <v>77.0</v>
      </c>
      <c r="M281" s="50" t="s">
        <v>825</v>
      </c>
      <c r="N281" s="51" t="s">
        <v>174</v>
      </c>
      <c r="O281" s="48">
        <v>336.0</v>
      </c>
      <c r="P281" s="48">
        <v>165.0</v>
      </c>
      <c r="Q281" s="48">
        <v>66.0</v>
      </c>
      <c r="R281" s="48">
        <v>3.0</v>
      </c>
      <c r="S281" s="50" t="s">
        <v>166</v>
      </c>
      <c r="T281" s="52" t="s">
        <v>167</v>
      </c>
      <c r="U281" s="52" t="s">
        <v>816</v>
      </c>
      <c r="V281" s="51">
        <v>4.0</v>
      </c>
      <c r="W281" s="48" t="s">
        <v>194</v>
      </c>
      <c r="X281" s="50" t="s">
        <v>166</v>
      </c>
      <c r="Y281" s="51" t="s">
        <v>166</v>
      </c>
      <c r="Z281" s="48">
        <v>5.0</v>
      </c>
      <c r="AA281" s="48" t="s">
        <v>166</v>
      </c>
      <c r="AB281" s="48" t="s">
        <v>166</v>
      </c>
      <c r="AC281" s="48" t="s">
        <v>193</v>
      </c>
      <c r="AD281" s="48" t="s">
        <v>412</v>
      </c>
      <c r="AE281" s="54" t="s">
        <v>166</v>
      </c>
      <c r="AF281" s="55" t="s">
        <v>166</v>
      </c>
      <c r="AG281" s="51" t="s">
        <v>166</v>
      </c>
      <c r="AH281" s="48">
        <v>2.0</v>
      </c>
      <c r="AI281" s="48">
        <v>1.0</v>
      </c>
      <c r="AJ281" s="50" t="s">
        <v>166</v>
      </c>
      <c r="AK281" s="56">
        <v>1198.0</v>
      </c>
      <c r="AL281" s="57">
        <f>AK281*Sheets!$E$3</f>
        <v>165.138909</v>
      </c>
      <c r="AM281" s="68"/>
      <c r="AN281" s="59"/>
      <c r="AO281" s="60"/>
      <c r="AP281" s="65">
        <v>44696.75865225695</v>
      </c>
      <c r="AQ281" s="66"/>
    </row>
    <row r="282">
      <c r="A282" s="82" t="str">
        <f>HYPERLINK("http://lazer3d.com/","Lazer3D")</f>
        <v>Lazer3D</v>
      </c>
      <c r="B282" s="62" t="s">
        <v>1195</v>
      </c>
      <c r="C282" s="63" t="s">
        <v>262</v>
      </c>
      <c r="D282" s="48">
        <v>363.0</v>
      </c>
      <c r="E282" s="48">
        <v>160.0</v>
      </c>
      <c r="F282" s="48">
        <v>265.0</v>
      </c>
      <c r="G282" s="98">
        <f t="shared" si="11"/>
        <v>15.3912</v>
      </c>
      <c r="H282" s="49">
        <f t="shared" si="12"/>
        <v>580.8</v>
      </c>
      <c r="I282" s="48" t="s">
        <v>170</v>
      </c>
      <c r="J282" s="48" t="s">
        <v>245</v>
      </c>
      <c r="K282" s="50" t="s">
        <v>558</v>
      </c>
      <c r="L282" s="51">
        <v>135.0</v>
      </c>
      <c r="M282" s="50" t="s">
        <v>1196</v>
      </c>
      <c r="N282" s="51" t="s">
        <v>166</v>
      </c>
      <c r="O282" s="48">
        <v>348.0</v>
      </c>
      <c r="P282" s="48">
        <v>140.0</v>
      </c>
      <c r="Q282" s="48">
        <v>88.0</v>
      </c>
      <c r="R282" s="48">
        <v>4.0</v>
      </c>
      <c r="S282" s="50" t="s">
        <v>166</v>
      </c>
      <c r="T282" s="52" t="s">
        <v>1102</v>
      </c>
      <c r="U282" s="52" t="s">
        <v>346</v>
      </c>
      <c r="V282" s="51" t="s">
        <v>1197</v>
      </c>
      <c r="W282" s="48" t="s">
        <v>682</v>
      </c>
      <c r="X282" s="50" t="s">
        <v>166</v>
      </c>
      <c r="Y282" s="51" t="s">
        <v>166</v>
      </c>
      <c r="Z282" s="48" t="s">
        <v>166</v>
      </c>
      <c r="AA282" s="48" t="s">
        <v>193</v>
      </c>
      <c r="AB282" s="48" t="s">
        <v>166</v>
      </c>
      <c r="AC282" s="48" t="s">
        <v>568</v>
      </c>
      <c r="AD282" s="48" t="s">
        <v>193</v>
      </c>
      <c r="AE282" s="54" t="s">
        <v>166</v>
      </c>
      <c r="AF282" s="55" t="s">
        <v>166</v>
      </c>
      <c r="AG282" s="51" t="s">
        <v>166</v>
      </c>
      <c r="AH282" s="48">
        <v>2.0</v>
      </c>
      <c r="AI282" s="48">
        <v>1.0</v>
      </c>
      <c r="AJ282" s="50" t="s">
        <v>174</v>
      </c>
      <c r="AK282" s="56" t="s">
        <v>166</v>
      </c>
      <c r="AL282" s="57">
        <f>179.95*1.31</f>
        <v>235.7345</v>
      </c>
      <c r="AM282" s="64" t="s">
        <v>214</v>
      </c>
      <c r="AN282" s="59"/>
      <c r="AO282" s="60"/>
      <c r="AP282" s="65">
        <v>45055.569145601854</v>
      </c>
      <c r="AQ282" s="66"/>
    </row>
    <row r="283">
      <c r="A283" s="82" t="str">
        <f>HYPERLINK("https://www.dan-cases.com/index.html","Dan Cases")</f>
        <v>Dan Cases</v>
      </c>
      <c r="B283" s="62" t="s">
        <v>1198</v>
      </c>
      <c r="C283" s="63" t="s">
        <v>262</v>
      </c>
      <c r="D283" s="48">
        <v>346.5</v>
      </c>
      <c r="E283" s="48">
        <v>167.0</v>
      </c>
      <c r="F283" s="48">
        <v>266.0</v>
      </c>
      <c r="G283" s="49">
        <f t="shared" si="11"/>
        <v>15.392223</v>
      </c>
      <c r="H283" s="49">
        <f t="shared" si="12"/>
        <v>578.655</v>
      </c>
      <c r="I283" s="48" t="s">
        <v>170</v>
      </c>
      <c r="J283" s="48" t="s">
        <v>240</v>
      </c>
      <c r="K283" s="50" t="s">
        <v>512</v>
      </c>
      <c r="L283" s="51">
        <v>145.0</v>
      </c>
      <c r="M283" s="50" t="s">
        <v>1164</v>
      </c>
      <c r="N283" s="51" t="s">
        <v>166</v>
      </c>
      <c r="O283" s="48">
        <v>338.0</v>
      </c>
      <c r="P283" s="48">
        <v>150.0</v>
      </c>
      <c r="Q283" s="48">
        <v>88.0</v>
      </c>
      <c r="R283" s="48">
        <v>4.0</v>
      </c>
      <c r="S283" s="50" t="s">
        <v>166</v>
      </c>
      <c r="T283" s="52" t="s">
        <v>1102</v>
      </c>
      <c r="U283" s="52" t="s">
        <v>346</v>
      </c>
      <c r="V283" s="51" t="s">
        <v>170</v>
      </c>
      <c r="W283" s="48" t="s">
        <v>166</v>
      </c>
      <c r="X283" s="50" t="s">
        <v>166</v>
      </c>
      <c r="Y283" s="51" t="s">
        <v>166</v>
      </c>
      <c r="Z283" s="48" t="s">
        <v>166</v>
      </c>
      <c r="AA283" s="48" t="s">
        <v>166</v>
      </c>
      <c r="AB283" s="48">
        <v>1.0</v>
      </c>
      <c r="AC283" s="48" t="s">
        <v>278</v>
      </c>
      <c r="AD283" s="48" t="s">
        <v>278</v>
      </c>
      <c r="AE283" s="54" t="s">
        <v>166</v>
      </c>
      <c r="AF283" s="55" t="s">
        <v>166</v>
      </c>
      <c r="AG283" s="51" t="s">
        <v>166</v>
      </c>
      <c r="AH283" s="48">
        <v>1.0</v>
      </c>
      <c r="AI283" s="48">
        <v>1.0</v>
      </c>
      <c r="AJ283" s="50" t="s">
        <v>174</v>
      </c>
      <c r="AK283" s="56" t="s">
        <v>166</v>
      </c>
      <c r="AL283" s="57">
        <f>205*1.09</f>
        <v>223.45</v>
      </c>
      <c r="AM283" s="64" t="s">
        <v>214</v>
      </c>
      <c r="AN283" s="59"/>
      <c r="AO283" s="60" t="s">
        <v>1199</v>
      </c>
      <c r="AP283" s="65">
        <v>45318.95838053241</v>
      </c>
      <c r="AQ283" s="66"/>
    </row>
    <row r="284">
      <c r="A284" s="61" t="s">
        <v>1200</v>
      </c>
      <c r="B284" s="62" t="s">
        <v>1201</v>
      </c>
      <c r="C284" s="63" t="s">
        <v>262</v>
      </c>
      <c r="D284" s="48">
        <v>350.0</v>
      </c>
      <c r="E284" s="48">
        <v>140.0</v>
      </c>
      <c r="F284" s="48">
        <v>315.0</v>
      </c>
      <c r="G284" s="49">
        <f t="shared" si="11"/>
        <v>15.435</v>
      </c>
      <c r="H284" s="49">
        <f t="shared" si="12"/>
        <v>490</v>
      </c>
      <c r="I284" s="48" t="s">
        <v>170</v>
      </c>
      <c r="J284" s="48" t="s">
        <v>171</v>
      </c>
      <c r="K284" s="50" t="s">
        <v>447</v>
      </c>
      <c r="L284" s="51">
        <v>115.0</v>
      </c>
      <c r="M284" s="50" t="s">
        <v>166</v>
      </c>
      <c r="N284" s="51" t="s">
        <v>166</v>
      </c>
      <c r="O284" s="48">
        <v>270.0</v>
      </c>
      <c r="P284" s="48">
        <v>120.0</v>
      </c>
      <c r="Q284" s="48">
        <v>80.0</v>
      </c>
      <c r="R284" s="48">
        <v>4.0</v>
      </c>
      <c r="S284" s="50" t="s">
        <v>166</v>
      </c>
      <c r="T284" s="52" t="s">
        <v>423</v>
      </c>
      <c r="U284" s="52" t="s">
        <v>346</v>
      </c>
      <c r="V284" s="51" t="s">
        <v>426</v>
      </c>
      <c r="W284" s="48" t="s">
        <v>426</v>
      </c>
      <c r="X284" s="50" t="s">
        <v>166</v>
      </c>
      <c r="Y284" s="51" t="s">
        <v>166</v>
      </c>
      <c r="Z284" s="48">
        <v>2.0</v>
      </c>
      <c r="AA284" s="48" t="s">
        <v>166</v>
      </c>
      <c r="AB284" s="48" t="s">
        <v>166</v>
      </c>
      <c r="AC284" s="48">
        <v>1.0</v>
      </c>
      <c r="AD284" s="48" t="s">
        <v>166</v>
      </c>
      <c r="AE284" s="54" t="s">
        <v>166</v>
      </c>
      <c r="AF284" s="55" t="s">
        <v>166</v>
      </c>
      <c r="AG284" s="51" t="s">
        <v>166</v>
      </c>
      <c r="AH284" s="48">
        <v>2.0</v>
      </c>
      <c r="AI284" s="48" t="s">
        <v>166</v>
      </c>
      <c r="AJ284" s="50" t="s">
        <v>174</v>
      </c>
      <c r="AK284" s="56" t="s">
        <v>166</v>
      </c>
      <c r="AL284" s="57">
        <v>49.99</v>
      </c>
      <c r="AM284" s="58"/>
      <c r="AN284" s="59"/>
      <c r="AO284" s="60"/>
      <c r="AP284" s="65">
        <v>44905.41158097222</v>
      </c>
      <c r="AQ284" s="66"/>
    </row>
    <row r="285">
      <c r="A285" s="61" t="s">
        <v>178</v>
      </c>
      <c r="B285" s="67" t="s">
        <v>1202</v>
      </c>
      <c r="C285" s="63" t="s">
        <v>262</v>
      </c>
      <c r="D285" s="48">
        <v>350.0</v>
      </c>
      <c r="E285" s="48">
        <v>170.0</v>
      </c>
      <c r="F285" s="48">
        <v>260.0</v>
      </c>
      <c r="G285" s="49">
        <f t="shared" si="11"/>
        <v>15.47</v>
      </c>
      <c r="H285" s="49">
        <f t="shared" si="12"/>
        <v>595</v>
      </c>
      <c r="I285" s="48" t="s">
        <v>170</v>
      </c>
      <c r="J285" s="48" t="s">
        <v>171</v>
      </c>
      <c r="K285" s="50" t="s">
        <v>180</v>
      </c>
      <c r="L285" s="51">
        <v>140.0</v>
      </c>
      <c r="M285" s="50" t="s">
        <v>166</v>
      </c>
      <c r="N285" s="51" t="s">
        <v>166</v>
      </c>
      <c r="O285" s="48">
        <v>340.0</v>
      </c>
      <c r="P285" s="48">
        <v>145.0</v>
      </c>
      <c r="Q285" s="48">
        <v>80.0</v>
      </c>
      <c r="R285" s="48">
        <v>4.0</v>
      </c>
      <c r="S285" s="50" t="s">
        <v>166</v>
      </c>
      <c r="T285" s="52" t="s">
        <v>423</v>
      </c>
      <c r="U285" s="52" t="s">
        <v>816</v>
      </c>
      <c r="V285" s="51">
        <v>1.0</v>
      </c>
      <c r="W285" s="48" t="s">
        <v>166</v>
      </c>
      <c r="X285" s="50" t="s">
        <v>166</v>
      </c>
      <c r="Y285" s="51" t="s">
        <v>166</v>
      </c>
      <c r="Z285" s="48" t="s">
        <v>166</v>
      </c>
      <c r="AA285" s="48" t="s">
        <v>166</v>
      </c>
      <c r="AB285" s="48">
        <v>1.0</v>
      </c>
      <c r="AC285" s="48">
        <v>2.0</v>
      </c>
      <c r="AD285" s="48" t="s">
        <v>166</v>
      </c>
      <c r="AE285" s="54" t="s">
        <v>166</v>
      </c>
      <c r="AF285" s="55" t="s">
        <v>166</v>
      </c>
      <c r="AG285" s="51">
        <v>2.0</v>
      </c>
      <c r="AH285" s="48" t="s">
        <v>166</v>
      </c>
      <c r="AI285" s="48" t="s">
        <v>166</v>
      </c>
      <c r="AJ285" s="50" t="s">
        <v>174</v>
      </c>
      <c r="AK285" s="56" t="s">
        <v>166</v>
      </c>
      <c r="AL285" s="57">
        <f>3150*0.036</f>
        <v>113.4</v>
      </c>
      <c r="AM285" s="58"/>
      <c r="AN285" s="59"/>
      <c r="AO285" s="71" t="s">
        <v>181</v>
      </c>
      <c r="AP285" s="65">
        <v>45184.712259629625</v>
      </c>
      <c r="AQ285" s="66"/>
    </row>
    <row r="286">
      <c r="A286" s="69" t="str">
        <f>HYPERLINK("https://sktcase.world.taobao.com/","SKTC")</f>
        <v>SKTC</v>
      </c>
      <c r="B286" s="92" t="s">
        <v>1203</v>
      </c>
      <c r="C286" s="63" t="s">
        <v>262</v>
      </c>
      <c r="D286" s="48">
        <v>369.0</v>
      </c>
      <c r="E286" s="48">
        <v>159.0</v>
      </c>
      <c r="F286" s="48">
        <v>264.0</v>
      </c>
      <c r="G286" s="49">
        <f t="shared" si="11"/>
        <v>15.489144</v>
      </c>
      <c r="H286" s="49">
        <f t="shared" si="12"/>
        <v>586.71</v>
      </c>
      <c r="I286" s="48">
        <v>3.2</v>
      </c>
      <c r="J286" s="48" t="s">
        <v>235</v>
      </c>
      <c r="K286" s="50" t="s">
        <v>305</v>
      </c>
      <c r="L286" s="51">
        <v>140.0</v>
      </c>
      <c r="M286" s="50" t="s">
        <v>166</v>
      </c>
      <c r="N286" s="51" t="s">
        <v>166</v>
      </c>
      <c r="O286" s="48">
        <v>340.0</v>
      </c>
      <c r="P286" s="48">
        <v>145.0</v>
      </c>
      <c r="Q286" s="48">
        <v>80.0</v>
      </c>
      <c r="R286" s="48">
        <v>4.0</v>
      </c>
      <c r="S286" s="50" t="s">
        <v>166</v>
      </c>
      <c r="T286" s="52" t="s">
        <v>423</v>
      </c>
      <c r="U286" s="52" t="s">
        <v>686</v>
      </c>
      <c r="V286" s="51">
        <v>1.0</v>
      </c>
      <c r="W286" s="48" t="s">
        <v>194</v>
      </c>
      <c r="X286" s="50" t="s">
        <v>166</v>
      </c>
      <c r="Y286" s="51" t="s">
        <v>166</v>
      </c>
      <c r="Z286" s="48" t="s">
        <v>166</v>
      </c>
      <c r="AA286" s="48" t="s">
        <v>426</v>
      </c>
      <c r="AB286" s="48" t="s">
        <v>426</v>
      </c>
      <c r="AC286" s="48" t="s">
        <v>207</v>
      </c>
      <c r="AD286" s="48" t="s">
        <v>166</v>
      </c>
      <c r="AE286" s="54" t="s">
        <v>166</v>
      </c>
      <c r="AF286" s="55" t="s">
        <v>166</v>
      </c>
      <c r="AG286" s="51" t="s">
        <v>166</v>
      </c>
      <c r="AH286" s="48">
        <v>2.0</v>
      </c>
      <c r="AI286" s="48" t="s">
        <v>166</v>
      </c>
      <c r="AJ286" s="50" t="s">
        <v>1168</v>
      </c>
      <c r="AK286" s="56">
        <v>299.0</v>
      </c>
      <c r="AL286" s="57">
        <f>AK286*Sheets!$E$3</f>
        <v>41.2158045</v>
      </c>
      <c r="AM286" s="68"/>
      <c r="AN286" s="59"/>
      <c r="AO286" s="60"/>
      <c r="AP286" s="65">
        <v>44681.60142118056</v>
      </c>
      <c r="AQ286" s="66"/>
    </row>
    <row r="287">
      <c r="A287" s="69" t="str">
        <f>HYPERLINK("https://shop59429417.world.taobao.com/","龙猫定制")</f>
        <v>龙猫定制</v>
      </c>
      <c r="B287" s="73" t="s">
        <v>1204</v>
      </c>
      <c r="C287" s="63" t="s">
        <v>248</v>
      </c>
      <c r="D287" s="48">
        <v>200.0</v>
      </c>
      <c r="E287" s="48">
        <v>200.0</v>
      </c>
      <c r="F287" s="48">
        <v>388.0</v>
      </c>
      <c r="G287" s="49">
        <f t="shared" si="11"/>
        <v>15.52</v>
      </c>
      <c r="H287" s="49">
        <f t="shared" si="12"/>
        <v>400</v>
      </c>
      <c r="I287" s="48">
        <v>5.2</v>
      </c>
      <c r="J287" s="48" t="s">
        <v>164</v>
      </c>
      <c r="K287" s="50" t="s">
        <v>164</v>
      </c>
      <c r="L287" s="51">
        <v>47.0</v>
      </c>
      <c r="M287" s="50" t="s">
        <v>1205</v>
      </c>
      <c r="N287" s="51" t="s">
        <v>174</v>
      </c>
      <c r="O287" s="48">
        <v>300.0</v>
      </c>
      <c r="P287" s="48" t="s">
        <v>170</v>
      </c>
      <c r="Q287" s="48">
        <v>40.0</v>
      </c>
      <c r="R287" s="48">
        <v>2.0</v>
      </c>
      <c r="S287" s="50" t="s">
        <v>166</v>
      </c>
      <c r="T287" s="52" t="s">
        <v>167</v>
      </c>
      <c r="U287" s="52" t="s">
        <v>324</v>
      </c>
      <c r="V287" s="51">
        <v>1.0</v>
      </c>
      <c r="W287" s="48" t="s">
        <v>166</v>
      </c>
      <c r="X287" s="50" t="s">
        <v>166</v>
      </c>
      <c r="Y287" s="51" t="s">
        <v>166</v>
      </c>
      <c r="Z287" s="48" t="s">
        <v>166</v>
      </c>
      <c r="AA287" s="48" t="s">
        <v>166</v>
      </c>
      <c r="AB287" s="48" t="s">
        <v>166</v>
      </c>
      <c r="AC287" s="48" t="s">
        <v>435</v>
      </c>
      <c r="AD287" s="48" t="s">
        <v>166</v>
      </c>
      <c r="AE287" s="54" t="s">
        <v>166</v>
      </c>
      <c r="AF287" s="55" t="s">
        <v>166</v>
      </c>
      <c r="AG287" s="51" t="s">
        <v>166</v>
      </c>
      <c r="AH287" s="48" t="s">
        <v>166</v>
      </c>
      <c r="AI287" s="48" t="s">
        <v>166</v>
      </c>
      <c r="AJ287" s="50" t="s">
        <v>166</v>
      </c>
      <c r="AK287" s="56">
        <v>1999.0</v>
      </c>
      <c r="AL287" s="57">
        <f>AK287*Sheets!$E$3</f>
        <v>275.5531545</v>
      </c>
      <c r="AM287" s="68"/>
      <c r="AN287" s="70"/>
      <c r="AO287" s="71" t="s">
        <v>181</v>
      </c>
      <c r="AP287" s="72">
        <v>44564.58635267361</v>
      </c>
      <c r="AQ287" s="66"/>
    </row>
    <row r="288">
      <c r="A288" s="69" t="s">
        <v>467</v>
      </c>
      <c r="B288" s="46" t="s">
        <v>1206</v>
      </c>
      <c r="C288" s="63" t="s">
        <v>262</v>
      </c>
      <c r="D288" s="48">
        <v>347.0</v>
      </c>
      <c r="E288" s="48">
        <v>160.0</v>
      </c>
      <c r="F288" s="48">
        <v>280.0</v>
      </c>
      <c r="G288" s="49">
        <f t="shared" si="11"/>
        <v>15.5456</v>
      </c>
      <c r="H288" s="49">
        <f t="shared" si="12"/>
        <v>555.2</v>
      </c>
      <c r="I288" s="48" t="s">
        <v>170</v>
      </c>
      <c r="J288" s="48" t="s">
        <v>597</v>
      </c>
      <c r="K288" s="50" t="s">
        <v>1207</v>
      </c>
      <c r="L288" s="51">
        <v>135.0</v>
      </c>
      <c r="M288" s="50" t="s">
        <v>166</v>
      </c>
      <c r="N288" s="51" t="s">
        <v>166</v>
      </c>
      <c r="O288" s="48">
        <v>335.0</v>
      </c>
      <c r="P288" s="48">
        <v>140.0</v>
      </c>
      <c r="Q288" s="48">
        <v>80.0</v>
      </c>
      <c r="R288" s="48">
        <v>4.0</v>
      </c>
      <c r="S288" s="50" t="s">
        <v>166</v>
      </c>
      <c r="T288" s="52" t="s">
        <v>423</v>
      </c>
      <c r="U288" s="52" t="s">
        <v>686</v>
      </c>
      <c r="V288" s="51">
        <v>1.0</v>
      </c>
      <c r="W288" s="48">
        <v>1.0</v>
      </c>
      <c r="X288" s="50" t="s">
        <v>166</v>
      </c>
      <c r="Y288" s="51" t="s">
        <v>166</v>
      </c>
      <c r="Z288" s="48" t="s">
        <v>166</v>
      </c>
      <c r="AA288" s="48" t="s">
        <v>166</v>
      </c>
      <c r="AB288" s="48">
        <v>6.0</v>
      </c>
      <c r="AC288" s="48" t="s">
        <v>166</v>
      </c>
      <c r="AD288" s="48" t="s">
        <v>166</v>
      </c>
      <c r="AE288" s="54" t="s">
        <v>166</v>
      </c>
      <c r="AF288" s="55" t="s">
        <v>166</v>
      </c>
      <c r="AG288" s="51" t="s">
        <v>166</v>
      </c>
      <c r="AH288" s="48">
        <v>1.0</v>
      </c>
      <c r="AI288" s="48">
        <v>1.0</v>
      </c>
      <c r="AJ288" s="50" t="s">
        <v>166</v>
      </c>
      <c r="AK288" s="56">
        <v>99.0</v>
      </c>
      <c r="AL288" s="57">
        <f>AK288*Sheets!$E$3</f>
        <v>13.6467045</v>
      </c>
      <c r="AM288" s="64"/>
      <c r="AN288" s="59"/>
      <c r="AO288" s="60"/>
      <c r="AP288" s="65">
        <v>45075.57875107639</v>
      </c>
      <c r="AQ288" s="66"/>
    </row>
    <row r="289">
      <c r="A289" s="69" t="str">
        <f>HYPERLINK("https://shop34001191.world.taobao.com/","Mechanic Master")</f>
        <v>Mechanic Master</v>
      </c>
      <c r="B289" s="46" t="s">
        <v>1208</v>
      </c>
      <c r="C289" s="63" t="s">
        <v>262</v>
      </c>
      <c r="D289" s="48">
        <v>342.0</v>
      </c>
      <c r="E289" s="48">
        <v>169.0</v>
      </c>
      <c r="F289" s="48">
        <v>269.0</v>
      </c>
      <c r="G289" s="49">
        <f t="shared" si="11"/>
        <v>15.547662</v>
      </c>
      <c r="H289" s="49">
        <f t="shared" si="12"/>
        <v>577.98</v>
      </c>
      <c r="I289" s="48">
        <v>3.8</v>
      </c>
      <c r="J289" s="48" t="s">
        <v>411</v>
      </c>
      <c r="K289" s="50" t="s">
        <v>1209</v>
      </c>
      <c r="L289" s="51">
        <v>145.0</v>
      </c>
      <c r="M289" s="50" t="s">
        <v>825</v>
      </c>
      <c r="N289" s="51" t="s">
        <v>166</v>
      </c>
      <c r="O289" s="48">
        <v>335.0</v>
      </c>
      <c r="P289" s="48">
        <v>150.0</v>
      </c>
      <c r="Q289" s="48">
        <v>80.0</v>
      </c>
      <c r="R289" s="48">
        <v>4.0</v>
      </c>
      <c r="S289" s="50" t="s">
        <v>166</v>
      </c>
      <c r="T289" s="52" t="s">
        <v>423</v>
      </c>
      <c r="U289" s="52" t="s">
        <v>816</v>
      </c>
      <c r="V289" s="51" t="s">
        <v>412</v>
      </c>
      <c r="W289" s="48" t="s">
        <v>193</v>
      </c>
      <c r="X289" s="50" t="s">
        <v>166</v>
      </c>
      <c r="Y289" s="51" t="s">
        <v>166</v>
      </c>
      <c r="Z289" s="48" t="s">
        <v>166</v>
      </c>
      <c r="AA289" s="48" t="s">
        <v>166</v>
      </c>
      <c r="AB289" s="48">
        <v>3.0</v>
      </c>
      <c r="AC289" s="48" t="s">
        <v>220</v>
      </c>
      <c r="AD289" s="48" t="s">
        <v>193</v>
      </c>
      <c r="AE289" s="54" t="s">
        <v>166</v>
      </c>
      <c r="AF289" s="55" t="s">
        <v>166</v>
      </c>
      <c r="AG289" s="51" t="s">
        <v>166</v>
      </c>
      <c r="AH289" s="48">
        <v>1.0</v>
      </c>
      <c r="AI289" s="48">
        <v>1.0</v>
      </c>
      <c r="AJ289" s="50" t="s">
        <v>166</v>
      </c>
      <c r="AK289" s="56">
        <v>699.0</v>
      </c>
      <c r="AL289" s="57">
        <f>AK289*Sheets!$E$3</f>
        <v>96.3540045</v>
      </c>
      <c r="AM289" s="58"/>
      <c r="AN289" s="59"/>
      <c r="AO289" s="71" t="s">
        <v>181</v>
      </c>
      <c r="AP289" s="65">
        <v>45020.64744768519</v>
      </c>
      <c r="AQ289" s="66"/>
    </row>
    <row r="290">
      <c r="A290" s="83" t="str">
        <f>HYPERLINK("https://www.nzxt.com/","NZXT")</f>
        <v>NZXT</v>
      </c>
      <c r="B290" s="62" t="s">
        <v>1210</v>
      </c>
      <c r="C290" s="63" t="s">
        <v>248</v>
      </c>
      <c r="D290" s="48">
        <v>196.0</v>
      </c>
      <c r="E290" s="48">
        <v>196.0</v>
      </c>
      <c r="F290" s="48">
        <v>405.0</v>
      </c>
      <c r="G290" s="49">
        <f t="shared" si="11"/>
        <v>15.55848</v>
      </c>
      <c r="H290" s="49">
        <f t="shared" si="12"/>
        <v>384.16</v>
      </c>
      <c r="I290" s="48">
        <v>7.6</v>
      </c>
      <c r="J290" s="48" t="s">
        <v>653</v>
      </c>
      <c r="K290" s="50" t="s">
        <v>1094</v>
      </c>
      <c r="L290" s="51" t="s">
        <v>170</v>
      </c>
      <c r="M290" s="50">
        <v>140.0</v>
      </c>
      <c r="N290" s="51" t="s">
        <v>174</v>
      </c>
      <c r="O290" s="48">
        <v>324.0</v>
      </c>
      <c r="P290" s="48" t="s">
        <v>170</v>
      </c>
      <c r="Q290" s="48">
        <v>58.0</v>
      </c>
      <c r="R290" s="48">
        <v>2.0</v>
      </c>
      <c r="S290" s="50" t="s">
        <v>166</v>
      </c>
      <c r="T290" s="52" t="s">
        <v>167</v>
      </c>
      <c r="U290" s="52" t="s">
        <v>346</v>
      </c>
      <c r="V290" s="51">
        <v>2.0</v>
      </c>
      <c r="W290" s="48" t="s">
        <v>166</v>
      </c>
      <c r="X290" s="50" t="s">
        <v>166</v>
      </c>
      <c r="Y290" s="51" t="s">
        <v>166</v>
      </c>
      <c r="Z290" s="48" t="s">
        <v>166</v>
      </c>
      <c r="AA290" s="48" t="s">
        <v>166</v>
      </c>
      <c r="AB290" s="48">
        <v>1.0</v>
      </c>
      <c r="AC290" s="48" t="s">
        <v>166</v>
      </c>
      <c r="AD290" s="48">
        <v>1.0</v>
      </c>
      <c r="AE290" s="54" t="s">
        <v>166</v>
      </c>
      <c r="AF290" s="55" t="s">
        <v>166</v>
      </c>
      <c r="AG290" s="51" t="s">
        <v>166</v>
      </c>
      <c r="AH290" s="48">
        <v>2.0</v>
      </c>
      <c r="AI290" s="48">
        <v>1.0</v>
      </c>
      <c r="AJ290" s="50" t="s">
        <v>174</v>
      </c>
      <c r="AK290" s="56" t="s">
        <v>166</v>
      </c>
      <c r="AL290" s="57">
        <v>399.99</v>
      </c>
      <c r="AM290" s="58"/>
      <c r="AN290" s="64" t="s">
        <v>214</v>
      </c>
      <c r="AO290" s="60"/>
      <c r="AP290" s="65">
        <v>44601.01347133102</v>
      </c>
      <c r="AQ290" s="66"/>
    </row>
    <row r="291">
      <c r="A291" s="91" t="s">
        <v>1211</v>
      </c>
      <c r="B291" s="62" t="s">
        <v>1212</v>
      </c>
      <c r="C291" s="63" t="s">
        <v>248</v>
      </c>
      <c r="D291" s="48">
        <v>322.0</v>
      </c>
      <c r="E291" s="48">
        <v>160.0</v>
      </c>
      <c r="F291" s="48">
        <v>302.0</v>
      </c>
      <c r="G291" s="49">
        <f t="shared" si="11"/>
        <v>15.55904</v>
      </c>
      <c r="H291" s="49">
        <f t="shared" si="12"/>
        <v>515.2</v>
      </c>
      <c r="I291" s="48">
        <v>1.9</v>
      </c>
      <c r="J291" s="48" t="s">
        <v>164</v>
      </c>
      <c r="K291" s="50" t="s">
        <v>1213</v>
      </c>
      <c r="L291" s="51">
        <v>70.0</v>
      </c>
      <c r="M291" s="50" t="s">
        <v>1164</v>
      </c>
      <c r="N291" s="51" t="s">
        <v>174</v>
      </c>
      <c r="O291" s="48">
        <v>315.0</v>
      </c>
      <c r="P291" s="48">
        <v>141.0</v>
      </c>
      <c r="Q291" s="48">
        <v>60.0</v>
      </c>
      <c r="R291" s="48">
        <v>3.0</v>
      </c>
      <c r="S291" s="50" t="s">
        <v>166</v>
      </c>
      <c r="T291" s="52" t="s">
        <v>167</v>
      </c>
      <c r="U291" s="52" t="s">
        <v>346</v>
      </c>
      <c r="V291" s="51" t="s">
        <v>278</v>
      </c>
      <c r="W291" s="48" t="s">
        <v>166</v>
      </c>
      <c r="X291" s="50" t="s">
        <v>166</v>
      </c>
      <c r="Y291" s="51" t="s">
        <v>166</v>
      </c>
      <c r="Z291" s="48" t="s">
        <v>166</v>
      </c>
      <c r="AA291" s="48" t="s">
        <v>166</v>
      </c>
      <c r="AB291" s="48" t="s">
        <v>166</v>
      </c>
      <c r="AC291" s="48" t="s">
        <v>278</v>
      </c>
      <c r="AD291" s="48" t="s">
        <v>278</v>
      </c>
      <c r="AE291" s="54" t="s">
        <v>166</v>
      </c>
      <c r="AF291" s="55" t="s">
        <v>166</v>
      </c>
      <c r="AG291" s="51" t="s">
        <v>166</v>
      </c>
      <c r="AH291" s="48" t="s">
        <v>166</v>
      </c>
      <c r="AI291" s="48" t="s">
        <v>166</v>
      </c>
      <c r="AJ291" s="50" t="s">
        <v>166</v>
      </c>
      <c r="AK291" s="56" t="s">
        <v>166</v>
      </c>
      <c r="AL291" s="57">
        <v>379.0</v>
      </c>
      <c r="AM291" s="64" t="s">
        <v>214</v>
      </c>
      <c r="AN291" s="64" t="s">
        <v>214</v>
      </c>
      <c r="AO291" s="71" t="s">
        <v>181</v>
      </c>
      <c r="AP291" s="65">
        <v>45056.40728888889</v>
      </c>
      <c r="AQ291" s="66"/>
    </row>
    <row r="292">
      <c r="A292" s="69" t="str">
        <f>HYPERLINK("https://shop70176301.world.taobao.com/","Dream Case")</f>
        <v>Dream Case</v>
      </c>
      <c r="B292" s="46" t="s">
        <v>1214</v>
      </c>
      <c r="C292" s="63" t="s">
        <v>262</v>
      </c>
      <c r="D292" s="48">
        <v>350.0</v>
      </c>
      <c r="E292" s="48">
        <v>160.0</v>
      </c>
      <c r="F292" s="48">
        <v>278.0</v>
      </c>
      <c r="G292" s="49">
        <f t="shared" si="11"/>
        <v>15.568</v>
      </c>
      <c r="H292" s="49">
        <f t="shared" si="12"/>
        <v>560</v>
      </c>
      <c r="I292" s="48">
        <v>2.02</v>
      </c>
      <c r="J292" s="48" t="s">
        <v>171</v>
      </c>
      <c r="K292" s="50" t="s">
        <v>171</v>
      </c>
      <c r="L292" s="51">
        <v>140.0</v>
      </c>
      <c r="M292" s="50" t="s">
        <v>166</v>
      </c>
      <c r="N292" s="51" t="s">
        <v>166</v>
      </c>
      <c r="O292" s="48">
        <v>350.0</v>
      </c>
      <c r="P292" s="48">
        <v>145.0</v>
      </c>
      <c r="Q292" s="48">
        <v>80.0</v>
      </c>
      <c r="R292" s="48">
        <v>4.0</v>
      </c>
      <c r="S292" s="50" t="s">
        <v>166</v>
      </c>
      <c r="T292" s="52" t="s">
        <v>423</v>
      </c>
      <c r="U292" s="52" t="s">
        <v>599</v>
      </c>
      <c r="V292" s="51">
        <v>2.0</v>
      </c>
      <c r="W292" s="48" t="s">
        <v>193</v>
      </c>
      <c r="X292" s="50" t="s">
        <v>166</v>
      </c>
      <c r="Y292" s="51" t="s">
        <v>166</v>
      </c>
      <c r="Z292" s="48" t="s">
        <v>166</v>
      </c>
      <c r="AA292" s="48" t="s">
        <v>166</v>
      </c>
      <c r="AB292" s="48" t="s">
        <v>220</v>
      </c>
      <c r="AC292" s="48" t="s">
        <v>416</v>
      </c>
      <c r="AD292" s="48" t="s">
        <v>166</v>
      </c>
      <c r="AE292" s="54" t="s">
        <v>166</v>
      </c>
      <c r="AF292" s="55" t="s">
        <v>166</v>
      </c>
      <c r="AG292" s="51" t="s">
        <v>166</v>
      </c>
      <c r="AH292" s="48">
        <v>1.0</v>
      </c>
      <c r="AI292" s="48" t="s">
        <v>166</v>
      </c>
      <c r="AJ292" s="50" t="s">
        <v>174</v>
      </c>
      <c r="AK292" s="56">
        <v>165.0</v>
      </c>
      <c r="AL292" s="57">
        <f>AK292*Sheets!$E$3</f>
        <v>22.7445075</v>
      </c>
      <c r="AM292" s="58"/>
      <c r="AN292" s="59"/>
      <c r="AO292" s="60"/>
      <c r="AP292" s="65">
        <v>44737.68580774305</v>
      </c>
      <c r="AQ292" s="66"/>
    </row>
    <row r="293">
      <c r="A293" s="69" t="str">
        <f>HYPERLINK("https://metalfish.world.taobao.com/","Metalfish")</f>
        <v>Metalfish</v>
      </c>
      <c r="B293" s="46" t="s">
        <v>1215</v>
      </c>
      <c r="C293" s="63" t="s">
        <v>262</v>
      </c>
      <c r="D293" s="48">
        <v>348.0</v>
      </c>
      <c r="E293" s="48">
        <v>160.0</v>
      </c>
      <c r="F293" s="48">
        <v>280.0</v>
      </c>
      <c r="G293" s="49">
        <f t="shared" si="11"/>
        <v>15.5904</v>
      </c>
      <c r="H293" s="49">
        <f t="shared" si="12"/>
        <v>556.8</v>
      </c>
      <c r="I293" s="48" t="s">
        <v>170</v>
      </c>
      <c r="J293" s="48" t="s">
        <v>597</v>
      </c>
      <c r="K293" s="50" t="s">
        <v>1216</v>
      </c>
      <c r="L293" s="51">
        <v>135.0</v>
      </c>
      <c r="M293" s="50" t="s">
        <v>166</v>
      </c>
      <c r="N293" s="51" t="s">
        <v>166</v>
      </c>
      <c r="O293" s="48">
        <v>335.0</v>
      </c>
      <c r="P293" s="48">
        <v>140.0</v>
      </c>
      <c r="Q293" s="48">
        <v>80.0</v>
      </c>
      <c r="R293" s="48">
        <v>4.0</v>
      </c>
      <c r="S293" s="50" t="s">
        <v>166</v>
      </c>
      <c r="T293" s="52" t="s">
        <v>423</v>
      </c>
      <c r="U293" s="52" t="s">
        <v>816</v>
      </c>
      <c r="V293" s="51">
        <v>2.0</v>
      </c>
      <c r="W293" s="48">
        <v>1.0</v>
      </c>
      <c r="X293" s="50" t="s">
        <v>166</v>
      </c>
      <c r="Y293" s="51" t="s">
        <v>166</v>
      </c>
      <c r="Z293" s="48" t="s">
        <v>166</v>
      </c>
      <c r="AA293" s="48" t="s">
        <v>166</v>
      </c>
      <c r="AB293" s="48">
        <v>6.0</v>
      </c>
      <c r="AC293" s="48" t="s">
        <v>166</v>
      </c>
      <c r="AD293" s="48" t="s">
        <v>166</v>
      </c>
      <c r="AE293" s="54" t="s">
        <v>166</v>
      </c>
      <c r="AF293" s="55" t="s">
        <v>166</v>
      </c>
      <c r="AG293" s="51" t="s">
        <v>166</v>
      </c>
      <c r="AH293" s="48">
        <v>1.0</v>
      </c>
      <c r="AI293" s="48">
        <v>1.0</v>
      </c>
      <c r="AJ293" s="50" t="s">
        <v>166</v>
      </c>
      <c r="AK293" s="56">
        <v>109.0</v>
      </c>
      <c r="AL293" s="57">
        <f>AK293*Sheets!$E$3</f>
        <v>15.0251595</v>
      </c>
      <c r="AM293" s="68"/>
      <c r="AN293" s="70"/>
      <c r="AO293" s="71"/>
      <c r="AP293" s="72">
        <v>45227.74919256945</v>
      </c>
      <c r="AQ293" s="66"/>
    </row>
    <row r="294">
      <c r="A294" s="61" t="s">
        <v>209</v>
      </c>
      <c r="B294" s="62" t="s">
        <v>1217</v>
      </c>
      <c r="C294" s="63" t="s">
        <v>225</v>
      </c>
      <c r="D294" s="48">
        <v>378.0</v>
      </c>
      <c r="E294" s="48">
        <v>105.0</v>
      </c>
      <c r="F294" s="48">
        <v>393.0</v>
      </c>
      <c r="G294" s="49">
        <f t="shared" si="11"/>
        <v>15.59817</v>
      </c>
      <c r="H294" s="49">
        <f t="shared" si="12"/>
        <v>396.9</v>
      </c>
      <c r="I294" s="48">
        <v>4.89</v>
      </c>
      <c r="J294" s="48" t="s">
        <v>171</v>
      </c>
      <c r="K294" s="50" t="s">
        <v>211</v>
      </c>
      <c r="L294" s="51">
        <v>77.0</v>
      </c>
      <c r="M294" s="50" t="s">
        <v>166</v>
      </c>
      <c r="N294" s="51" t="s">
        <v>174</v>
      </c>
      <c r="O294" s="48">
        <v>345.0</v>
      </c>
      <c r="P294" s="48">
        <v>160.0</v>
      </c>
      <c r="Q294" s="48">
        <v>62.0</v>
      </c>
      <c r="R294" s="48">
        <v>3.0</v>
      </c>
      <c r="S294" s="50" t="s">
        <v>166</v>
      </c>
      <c r="T294" s="52" t="s">
        <v>167</v>
      </c>
      <c r="U294" s="52" t="s">
        <v>816</v>
      </c>
      <c r="V294" s="51">
        <v>4.0</v>
      </c>
      <c r="W294" s="48" t="s">
        <v>166</v>
      </c>
      <c r="X294" s="50" t="s">
        <v>257</v>
      </c>
      <c r="Y294" s="51" t="s">
        <v>166</v>
      </c>
      <c r="Z294" s="48" t="s">
        <v>166</v>
      </c>
      <c r="AA294" s="48">
        <v>1.0</v>
      </c>
      <c r="AB294" s="48" t="s">
        <v>166</v>
      </c>
      <c r="AC294" s="48" t="s">
        <v>166</v>
      </c>
      <c r="AD294" s="48">
        <v>1.0</v>
      </c>
      <c r="AE294" s="54" t="s">
        <v>166</v>
      </c>
      <c r="AF294" s="55" t="s">
        <v>166</v>
      </c>
      <c r="AG294" s="51" t="s">
        <v>166</v>
      </c>
      <c r="AH294" s="48">
        <v>2.0</v>
      </c>
      <c r="AI294" s="48">
        <v>1.0</v>
      </c>
      <c r="AJ294" s="50" t="s">
        <v>174</v>
      </c>
      <c r="AK294" s="56" t="s">
        <v>166</v>
      </c>
      <c r="AL294" s="57">
        <v>189.99</v>
      </c>
      <c r="AM294" s="58"/>
      <c r="AN294" s="64"/>
      <c r="AO294" s="60"/>
      <c r="AP294" s="65">
        <v>44880.64685315972</v>
      </c>
      <c r="AQ294" s="66"/>
    </row>
    <row r="295">
      <c r="A295" s="69" t="str">
        <f t="shared" ref="A295:A297" si="14">HYPERLINK("https://sunmilo.world.taobao.com/","Sunmilo Studio")</f>
        <v>Sunmilo Studio</v>
      </c>
      <c r="B295" s="46" t="s">
        <v>1218</v>
      </c>
      <c r="C295" s="63" t="s">
        <v>262</v>
      </c>
      <c r="D295" s="48">
        <v>330.0</v>
      </c>
      <c r="E295" s="48">
        <v>166.0</v>
      </c>
      <c r="F295" s="48">
        <v>285.0</v>
      </c>
      <c r="G295" s="49">
        <f t="shared" si="11"/>
        <v>15.6123</v>
      </c>
      <c r="H295" s="49">
        <f t="shared" si="12"/>
        <v>547.8</v>
      </c>
      <c r="I295" s="48" t="s">
        <v>170</v>
      </c>
      <c r="J295" s="48" t="s">
        <v>235</v>
      </c>
      <c r="K295" s="50" t="s">
        <v>164</v>
      </c>
      <c r="L295" s="51">
        <v>135.0</v>
      </c>
      <c r="M295" s="50" t="s">
        <v>547</v>
      </c>
      <c r="N295" s="51" t="s">
        <v>166</v>
      </c>
      <c r="O295" s="48">
        <v>325.0</v>
      </c>
      <c r="P295" s="48">
        <v>140.0</v>
      </c>
      <c r="Q295" s="48">
        <v>80.0</v>
      </c>
      <c r="R295" s="48">
        <v>4.0</v>
      </c>
      <c r="S295" s="50" t="s">
        <v>166</v>
      </c>
      <c r="T295" s="52" t="s">
        <v>423</v>
      </c>
      <c r="U295" s="52" t="s">
        <v>346</v>
      </c>
      <c r="V295" s="51">
        <v>2.0</v>
      </c>
      <c r="W295" s="48" t="s">
        <v>166</v>
      </c>
      <c r="X295" s="50" t="s">
        <v>166</v>
      </c>
      <c r="Y295" s="51" t="s">
        <v>166</v>
      </c>
      <c r="Z295" s="48" t="s">
        <v>166</v>
      </c>
      <c r="AA295" s="48">
        <v>2.0</v>
      </c>
      <c r="AB295" s="48" t="s">
        <v>166</v>
      </c>
      <c r="AC295" s="48">
        <v>4.0</v>
      </c>
      <c r="AD295" s="48" t="s">
        <v>166</v>
      </c>
      <c r="AE295" s="54" t="s">
        <v>166</v>
      </c>
      <c r="AF295" s="55" t="s">
        <v>166</v>
      </c>
      <c r="AG295" s="51" t="s">
        <v>166</v>
      </c>
      <c r="AH295" s="48">
        <v>1.0</v>
      </c>
      <c r="AI295" s="48" t="s">
        <v>166</v>
      </c>
      <c r="AJ295" s="50" t="s">
        <v>166</v>
      </c>
      <c r="AK295" s="56">
        <v>899.0</v>
      </c>
      <c r="AL295" s="57">
        <f>AK295*Sheets!$E$3</f>
        <v>123.9231045</v>
      </c>
      <c r="AM295" s="58"/>
      <c r="AN295" s="59"/>
      <c r="AO295" s="60"/>
      <c r="AP295" s="60"/>
      <c r="AQ295" s="66"/>
    </row>
    <row r="296">
      <c r="A296" s="69" t="str">
        <f t="shared" si="14"/>
        <v>Sunmilo Studio</v>
      </c>
      <c r="B296" s="46" t="s">
        <v>1219</v>
      </c>
      <c r="C296" s="63" t="s">
        <v>262</v>
      </c>
      <c r="D296" s="48">
        <v>330.0</v>
      </c>
      <c r="E296" s="48">
        <v>166.0</v>
      </c>
      <c r="F296" s="48">
        <v>285.0</v>
      </c>
      <c r="G296" s="49">
        <f t="shared" si="11"/>
        <v>15.6123</v>
      </c>
      <c r="H296" s="49">
        <f t="shared" si="12"/>
        <v>547.8</v>
      </c>
      <c r="I296" s="48" t="s">
        <v>170</v>
      </c>
      <c r="J296" s="48" t="s">
        <v>235</v>
      </c>
      <c r="K296" s="50" t="s">
        <v>164</v>
      </c>
      <c r="L296" s="51">
        <v>135.0</v>
      </c>
      <c r="M296" s="50" t="s">
        <v>547</v>
      </c>
      <c r="N296" s="51" t="s">
        <v>166</v>
      </c>
      <c r="O296" s="48">
        <v>325.0</v>
      </c>
      <c r="P296" s="48">
        <v>140.0</v>
      </c>
      <c r="Q296" s="48">
        <v>60.0</v>
      </c>
      <c r="R296" s="48">
        <v>2.0</v>
      </c>
      <c r="S296" s="50" t="s">
        <v>166</v>
      </c>
      <c r="T296" s="52" t="s">
        <v>167</v>
      </c>
      <c r="U296" s="52" t="s">
        <v>346</v>
      </c>
      <c r="V296" s="51">
        <v>2.0</v>
      </c>
      <c r="W296" s="48" t="s">
        <v>166</v>
      </c>
      <c r="X296" s="50" t="s">
        <v>166</v>
      </c>
      <c r="Y296" s="51" t="s">
        <v>166</v>
      </c>
      <c r="Z296" s="48" t="s">
        <v>166</v>
      </c>
      <c r="AA296" s="48">
        <v>2.0</v>
      </c>
      <c r="AB296" s="48" t="s">
        <v>166</v>
      </c>
      <c r="AC296" s="48">
        <v>4.0</v>
      </c>
      <c r="AD296" s="48" t="s">
        <v>166</v>
      </c>
      <c r="AE296" s="54" t="s">
        <v>166</v>
      </c>
      <c r="AF296" s="55" t="s">
        <v>166</v>
      </c>
      <c r="AG296" s="51" t="s">
        <v>166</v>
      </c>
      <c r="AH296" s="48">
        <v>1.0</v>
      </c>
      <c r="AI296" s="48" t="s">
        <v>166</v>
      </c>
      <c r="AJ296" s="50" t="s">
        <v>166</v>
      </c>
      <c r="AK296" s="56">
        <v>899.0</v>
      </c>
      <c r="AL296" s="57">
        <f>AK296*Sheets!$E$3</f>
        <v>123.9231045</v>
      </c>
      <c r="AM296" s="68"/>
      <c r="AN296" s="59"/>
      <c r="AO296" s="60"/>
      <c r="AP296" s="60"/>
      <c r="AQ296" s="66"/>
    </row>
    <row r="297">
      <c r="A297" s="69" t="str">
        <f t="shared" si="14"/>
        <v>Sunmilo Studio</v>
      </c>
      <c r="B297" s="46" t="s">
        <v>1220</v>
      </c>
      <c r="C297" s="63" t="s">
        <v>248</v>
      </c>
      <c r="D297" s="48">
        <v>330.0</v>
      </c>
      <c r="E297" s="48">
        <v>166.0</v>
      </c>
      <c r="F297" s="48">
        <v>285.0</v>
      </c>
      <c r="G297" s="49">
        <f t="shared" si="11"/>
        <v>15.6123</v>
      </c>
      <c r="H297" s="49">
        <f t="shared" si="12"/>
        <v>547.8</v>
      </c>
      <c r="I297" s="48" t="s">
        <v>170</v>
      </c>
      <c r="J297" s="48" t="s">
        <v>235</v>
      </c>
      <c r="K297" s="50" t="s">
        <v>164</v>
      </c>
      <c r="L297" s="51" t="s">
        <v>170</v>
      </c>
      <c r="M297" s="50" t="s">
        <v>1003</v>
      </c>
      <c r="N297" s="51" t="s">
        <v>166</v>
      </c>
      <c r="O297" s="48">
        <v>325.0</v>
      </c>
      <c r="P297" s="48" t="s">
        <v>170</v>
      </c>
      <c r="Q297" s="48">
        <v>60.0</v>
      </c>
      <c r="R297" s="48">
        <v>2.0</v>
      </c>
      <c r="S297" s="50" t="s">
        <v>166</v>
      </c>
      <c r="T297" s="52" t="s">
        <v>167</v>
      </c>
      <c r="U297" s="52" t="s">
        <v>346</v>
      </c>
      <c r="V297" s="51">
        <v>2.0</v>
      </c>
      <c r="W297" s="48" t="s">
        <v>166</v>
      </c>
      <c r="X297" s="50" t="s">
        <v>166</v>
      </c>
      <c r="Y297" s="51" t="s">
        <v>166</v>
      </c>
      <c r="Z297" s="48" t="s">
        <v>166</v>
      </c>
      <c r="AA297" s="48" t="s">
        <v>166</v>
      </c>
      <c r="AB297" s="48" t="s">
        <v>166</v>
      </c>
      <c r="AC297" s="48">
        <v>4.0</v>
      </c>
      <c r="AD297" s="48" t="s">
        <v>166</v>
      </c>
      <c r="AE297" s="54" t="s">
        <v>166</v>
      </c>
      <c r="AF297" s="55" t="s">
        <v>166</v>
      </c>
      <c r="AG297" s="51" t="s">
        <v>166</v>
      </c>
      <c r="AH297" s="48">
        <v>1.0</v>
      </c>
      <c r="AI297" s="48" t="s">
        <v>166</v>
      </c>
      <c r="AJ297" s="50" t="s">
        <v>166</v>
      </c>
      <c r="AK297" s="56">
        <v>899.0</v>
      </c>
      <c r="AL297" s="57">
        <f>AK297*Sheets!$E$3</f>
        <v>123.9231045</v>
      </c>
      <c r="AM297" s="68"/>
      <c r="AN297" s="59"/>
      <c r="AO297" s="60"/>
      <c r="AP297" s="60"/>
      <c r="AQ297" s="66"/>
    </row>
    <row r="298">
      <c r="A298" s="69" t="str">
        <f>HYPERLINK("https://shop117227817.world.taobao.com/","深圳好玩数码")</f>
        <v>深圳好玩数码</v>
      </c>
      <c r="B298" s="73" t="s">
        <v>1221</v>
      </c>
      <c r="C298" s="63" t="s">
        <v>262</v>
      </c>
      <c r="D298" s="48">
        <v>355.0</v>
      </c>
      <c r="E298" s="48">
        <v>160.0</v>
      </c>
      <c r="F298" s="48">
        <v>275.0</v>
      </c>
      <c r="G298" s="49">
        <f t="shared" si="11"/>
        <v>15.62</v>
      </c>
      <c r="H298" s="49">
        <f t="shared" si="12"/>
        <v>568</v>
      </c>
      <c r="I298" s="48" t="s">
        <v>170</v>
      </c>
      <c r="J298" s="48" t="s">
        <v>597</v>
      </c>
      <c r="K298" s="50" t="s">
        <v>305</v>
      </c>
      <c r="L298" s="51">
        <v>135.0</v>
      </c>
      <c r="M298" s="50" t="s">
        <v>166</v>
      </c>
      <c r="N298" s="51" t="s">
        <v>166</v>
      </c>
      <c r="O298" s="48">
        <v>330.0</v>
      </c>
      <c r="P298" s="48">
        <v>140.0</v>
      </c>
      <c r="Q298" s="48">
        <v>80.0</v>
      </c>
      <c r="R298" s="48">
        <v>4.0</v>
      </c>
      <c r="S298" s="50" t="s">
        <v>166</v>
      </c>
      <c r="T298" s="52" t="s">
        <v>423</v>
      </c>
      <c r="U298" s="53" t="s">
        <v>599</v>
      </c>
      <c r="V298" s="51">
        <v>1.0</v>
      </c>
      <c r="W298" s="48" t="s">
        <v>166</v>
      </c>
      <c r="X298" s="50" t="s">
        <v>166</v>
      </c>
      <c r="Y298" s="51" t="s">
        <v>166</v>
      </c>
      <c r="Z298" s="48" t="s">
        <v>166</v>
      </c>
      <c r="AA298" s="48" t="s">
        <v>166</v>
      </c>
      <c r="AB298" s="48">
        <v>3.0</v>
      </c>
      <c r="AC298" s="48" t="s">
        <v>166</v>
      </c>
      <c r="AD298" s="48" t="s">
        <v>166</v>
      </c>
      <c r="AE298" s="54" t="s">
        <v>166</v>
      </c>
      <c r="AF298" s="55" t="s">
        <v>166</v>
      </c>
      <c r="AG298" s="51" t="s">
        <v>166</v>
      </c>
      <c r="AH298" s="48">
        <v>1.0</v>
      </c>
      <c r="AI298" s="48" t="s">
        <v>166</v>
      </c>
      <c r="AJ298" s="50" t="s">
        <v>166</v>
      </c>
      <c r="AK298" s="56">
        <v>399.0</v>
      </c>
      <c r="AL298" s="57">
        <f>AK298*Sheets!$E$3</f>
        <v>55.0003545</v>
      </c>
      <c r="AM298" s="68"/>
      <c r="AN298" s="70"/>
      <c r="AO298" s="71" t="s">
        <v>181</v>
      </c>
      <c r="AP298" s="65">
        <v>44442.91126146991</v>
      </c>
      <c r="AQ298" s="66"/>
    </row>
    <row r="299">
      <c r="A299" s="61" t="s">
        <v>1085</v>
      </c>
      <c r="B299" s="62" t="s">
        <v>1222</v>
      </c>
      <c r="C299" s="63" t="s">
        <v>248</v>
      </c>
      <c r="D299" s="48">
        <v>371.0</v>
      </c>
      <c r="E299" s="48">
        <v>173.0</v>
      </c>
      <c r="F299" s="48">
        <v>244.0</v>
      </c>
      <c r="G299" s="49">
        <f t="shared" si="11"/>
        <v>15.660652</v>
      </c>
      <c r="H299" s="49">
        <f t="shared" si="12"/>
        <v>641.83</v>
      </c>
      <c r="I299" s="48">
        <v>4.2</v>
      </c>
      <c r="J299" s="48" t="s">
        <v>1087</v>
      </c>
      <c r="K299" s="50" t="s">
        <v>512</v>
      </c>
      <c r="L299" s="51">
        <v>72.0</v>
      </c>
      <c r="M299" s="50" t="s">
        <v>166</v>
      </c>
      <c r="N299" s="51" t="s">
        <v>174</v>
      </c>
      <c r="O299" s="48">
        <v>324.0</v>
      </c>
      <c r="P299" s="48">
        <v>147.0</v>
      </c>
      <c r="Q299" s="48">
        <v>62.0</v>
      </c>
      <c r="R299" s="48">
        <v>3.0</v>
      </c>
      <c r="S299" s="50" t="s">
        <v>166</v>
      </c>
      <c r="T299" s="52" t="s">
        <v>167</v>
      </c>
      <c r="U299" s="52" t="s">
        <v>346</v>
      </c>
      <c r="V299" s="51">
        <v>1.0</v>
      </c>
      <c r="W299" s="48" t="s">
        <v>166</v>
      </c>
      <c r="X299" s="50" t="s">
        <v>166</v>
      </c>
      <c r="Y299" s="51" t="s">
        <v>166</v>
      </c>
      <c r="Z299" s="48" t="s">
        <v>166</v>
      </c>
      <c r="AA299" s="48" t="s">
        <v>166</v>
      </c>
      <c r="AB299" s="48" t="s">
        <v>166</v>
      </c>
      <c r="AC299" s="48">
        <v>2.0</v>
      </c>
      <c r="AD299" s="48" t="s">
        <v>166</v>
      </c>
      <c r="AE299" s="54" t="s">
        <v>166</v>
      </c>
      <c r="AF299" s="55" t="s">
        <v>166</v>
      </c>
      <c r="AG299" s="51" t="s">
        <v>166</v>
      </c>
      <c r="AH299" s="48">
        <v>1.0</v>
      </c>
      <c r="AI299" s="48">
        <v>1.0</v>
      </c>
      <c r="AJ299" s="50" t="s">
        <v>166</v>
      </c>
      <c r="AK299" s="56" t="s">
        <v>166</v>
      </c>
      <c r="AL299" s="57">
        <v>169.99</v>
      </c>
      <c r="AM299" s="58"/>
      <c r="AN299" s="59"/>
      <c r="AO299" s="60"/>
      <c r="AP299" s="60"/>
      <c r="AQ299" s="66"/>
    </row>
    <row r="300">
      <c r="A300" s="82" t="str">
        <f>HYPERLINK("http://www.jonsbo.com/en/","Jonsbo")</f>
        <v>Jonsbo</v>
      </c>
      <c r="B300" s="62" t="str">
        <f>HYPERLINK("http://www.jonsbo.com/en/products/a4silver.html","A4")</f>
        <v>A4</v>
      </c>
      <c r="C300" s="63" t="s">
        <v>248</v>
      </c>
      <c r="D300" s="48">
        <v>340.0</v>
      </c>
      <c r="E300" s="48">
        <v>169.0</v>
      </c>
      <c r="F300" s="48">
        <v>273.0</v>
      </c>
      <c r="G300" s="49">
        <f t="shared" si="11"/>
        <v>15.68658</v>
      </c>
      <c r="H300" s="49">
        <f t="shared" si="12"/>
        <v>574.6</v>
      </c>
      <c r="I300" s="48">
        <v>5.6</v>
      </c>
      <c r="J300" s="48" t="s">
        <v>597</v>
      </c>
      <c r="K300" s="50" t="s">
        <v>1223</v>
      </c>
      <c r="L300" s="51">
        <v>71.0</v>
      </c>
      <c r="M300" s="50" t="s">
        <v>547</v>
      </c>
      <c r="N300" s="51" t="s">
        <v>174</v>
      </c>
      <c r="O300" s="48">
        <v>325.0</v>
      </c>
      <c r="P300" s="48">
        <v>142.0</v>
      </c>
      <c r="Q300" s="48">
        <v>59.0</v>
      </c>
      <c r="R300" s="48">
        <v>2.0</v>
      </c>
      <c r="S300" s="50" t="s">
        <v>166</v>
      </c>
      <c r="T300" s="52" t="s">
        <v>167</v>
      </c>
      <c r="U300" s="52" t="s">
        <v>346</v>
      </c>
      <c r="V300" s="51">
        <v>2.0</v>
      </c>
      <c r="W300" s="48">
        <v>1.0</v>
      </c>
      <c r="X300" s="50" t="s">
        <v>166</v>
      </c>
      <c r="Y300" s="51" t="s">
        <v>166</v>
      </c>
      <c r="Z300" s="48" t="s">
        <v>166</v>
      </c>
      <c r="AA300" s="48" t="s">
        <v>166</v>
      </c>
      <c r="AB300" s="48" t="s">
        <v>166</v>
      </c>
      <c r="AC300" s="48">
        <v>4.0</v>
      </c>
      <c r="AD300" s="48" t="s">
        <v>166</v>
      </c>
      <c r="AE300" s="54" t="s">
        <v>166</v>
      </c>
      <c r="AF300" s="55" t="s">
        <v>166</v>
      </c>
      <c r="AG300" s="51" t="s">
        <v>166</v>
      </c>
      <c r="AH300" s="48">
        <v>1.0</v>
      </c>
      <c r="AI300" s="48">
        <v>1.0</v>
      </c>
      <c r="AJ300" s="50" t="s">
        <v>166</v>
      </c>
      <c r="AK300" s="56">
        <v>799.0</v>
      </c>
      <c r="AL300" s="57">
        <v>149.0</v>
      </c>
      <c r="AM300" s="58"/>
      <c r="AN300" s="59"/>
      <c r="AO300" s="60"/>
      <c r="AP300" s="65">
        <v>45136.83834416667</v>
      </c>
      <c r="AQ300" s="66"/>
    </row>
    <row r="301">
      <c r="A301" s="61" t="s">
        <v>1224</v>
      </c>
      <c r="B301" s="62" t="s">
        <v>1225</v>
      </c>
      <c r="C301" s="63" t="s">
        <v>262</v>
      </c>
      <c r="D301" s="48">
        <v>233.0</v>
      </c>
      <c r="E301" s="48">
        <v>239.0</v>
      </c>
      <c r="F301" s="48">
        <v>282.0</v>
      </c>
      <c r="G301" s="49">
        <f t="shared" si="11"/>
        <v>15.703734</v>
      </c>
      <c r="H301" s="49">
        <f t="shared" si="12"/>
        <v>556.87</v>
      </c>
      <c r="I301" s="48">
        <v>4.5</v>
      </c>
      <c r="J301" s="48" t="s">
        <v>597</v>
      </c>
      <c r="K301" s="50" t="s">
        <v>1226</v>
      </c>
      <c r="L301" s="51">
        <v>158.5</v>
      </c>
      <c r="M301" s="50">
        <v>120.0</v>
      </c>
      <c r="N301" s="51" t="s">
        <v>166</v>
      </c>
      <c r="O301" s="48">
        <v>207.0</v>
      </c>
      <c r="P301" s="48">
        <v>163.5</v>
      </c>
      <c r="Q301" s="48">
        <v>48.0</v>
      </c>
      <c r="R301" s="48">
        <v>2.0</v>
      </c>
      <c r="S301" s="50" t="s">
        <v>166</v>
      </c>
      <c r="T301" s="52" t="s">
        <v>227</v>
      </c>
      <c r="U301" s="52" t="s">
        <v>346</v>
      </c>
      <c r="V301" s="51">
        <v>2.0</v>
      </c>
      <c r="W301" s="48">
        <v>1.0</v>
      </c>
      <c r="X301" s="50" t="s">
        <v>166</v>
      </c>
      <c r="Y301" s="51" t="s">
        <v>166</v>
      </c>
      <c r="Z301" s="48" t="s">
        <v>166</v>
      </c>
      <c r="AA301" s="48" t="s">
        <v>166</v>
      </c>
      <c r="AB301" s="48" t="s">
        <v>166</v>
      </c>
      <c r="AC301" s="48">
        <v>1.0</v>
      </c>
      <c r="AD301" s="48" t="s">
        <v>166</v>
      </c>
      <c r="AE301" s="54" t="s">
        <v>166</v>
      </c>
      <c r="AF301" s="55" t="s">
        <v>166</v>
      </c>
      <c r="AG301" s="51" t="s">
        <v>166</v>
      </c>
      <c r="AH301" s="48">
        <v>2.0</v>
      </c>
      <c r="AI301" s="48">
        <v>1.0</v>
      </c>
      <c r="AJ301" s="50" t="s">
        <v>174</v>
      </c>
      <c r="AK301" s="56" t="s">
        <v>166</v>
      </c>
      <c r="AL301" s="57">
        <v>160.0</v>
      </c>
      <c r="AM301" s="58"/>
      <c r="AN301" s="59"/>
      <c r="AO301" s="60"/>
      <c r="AP301" s="65">
        <v>45382.380700567126</v>
      </c>
      <c r="AQ301" s="66"/>
    </row>
    <row r="302">
      <c r="A302" s="61" t="s">
        <v>209</v>
      </c>
      <c r="B302" s="62" t="s">
        <v>1227</v>
      </c>
      <c r="C302" s="63" t="s">
        <v>225</v>
      </c>
      <c r="D302" s="48">
        <v>340.0</v>
      </c>
      <c r="E302" s="48">
        <v>440.0</v>
      </c>
      <c r="F302" s="48">
        <v>105.0</v>
      </c>
      <c r="G302" s="49">
        <f t="shared" si="11"/>
        <v>15.708</v>
      </c>
      <c r="H302" s="49">
        <f t="shared" si="12"/>
        <v>1496</v>
      </c>
      <c r="I302" s="48">
        <v>3.3</v>
      </c>
      <c r="J302" s="48" t="s">
        <v>171</v>
      </c>
      <c r="K302" s="50" t="s">
        <v>1228</v>
      </c>
      <c r="L302" s="51">
        <v>70.0</v>
      </c>
      <c r="M302" s="50" t="s">
        <v>166</v>
      </c>
      <c r="N302" s="51" t="s">
        <v>166</v>
      </c>
      <c r="O302" s="48">
        <v>223.0</v>
      </c>
      <c r="P302" s="48">
        <v>74.0</v>
      </c>
      <c r="Q302" s="48">
        <v>80.0</v>
      </c>
      <c r="R302" s="48">
        <v>1.0</v>
      </c>
      <c r="S302" s="50">
        <v>4.0</v>
      </c>
      <c r="T302" s="52" t="s">
        <v>1102</v>
      </c>
      <c r="U302" s="52" t="s">
        <v>599</v>
      </c>
      <c r="V302" s="51" t="s">
        <v>300</v>
      </c>
      <c r="W302" s="48" t="s">
        <v>426</v>
      </c>
      <c r="X302" s="50">
        <v>1.0</v>
      </c>
      <c r="Y302" s="51" t="s">
        <v>166</v>
      </c>
      <c r="Z302" s="48" t="s">
        <v>166</v>
      </c>
      <c r="AA302" s="48">
        <v>4.0</v>
      </c>
      <c r="AB302" s="48" t="s">
        <v>166</v>
      </c>
      <c r="AC302" s="48" t="s">
        <v>166</v>
      </c>
      <c r="AD302" s="48" t="s">
        <v>166</v>
      </c>
      <c r="AE302" s="54" t="s">
        <v>166</v>
      </c>
      <c r="AF302" s="55" t="s">
        <v>166</v>
      </c>
      <c r="AG302" s="51" t="s">
        <v>166</v>
      </c>
      <c r="AH302" s="48">
        <v>2.0</v>
      </c>
      <c r="AI302" s="48" t="s">
        <v>166</v>
      </c>
      <c r="AJ302" s="50" t="s">
        <v>174</v>
      </c>
      <c r="AK302" s="56" t="s">
        <v>166</v>
      </c>
      <c r="AL302" s="57">
        <v>79.99</v>
      </c>
      <c r="AM302" s="58"/>
      <c r="AN302" s="59"/>
      <c r="AO302" s="60"/>
      <c r="AP302" s="65">
        <v>44644.50644295139</v>
      </c>
      <c r="AQ302" s="66"/>
    </row>
    <row r="303">
      <c r="A303" s="82" t="str">
        <f>HYPERLINK("https://www.nouvolo.com/","Nouvolo")</f>
        <v>Nouvolo</v>
      </c>
      <c r="B303" s="62" t="str">
        <f>HYPERLINK("https://www.nouvolo.com/pages/borg","Borg")</f>
        <v>Borg</v>
      </c>
      <c r="C303" s="63" t="s">
        <v>262</v>
      </c>
      <c r="D303" s="48">
        <v>235.0</v>
      </c>
      <c r="E303" s="48">
        <v>235.0</v>
      </c>
      <c r="F303" s="48">
        <v>285.0</v>
      </c>
      <c r="G303" s="49">
        <f t="shared" si="11"/>
        <v>15.739125</v>
      </c>
      <c r="H303" s="49">
        <f t="shared" si="12"/>
        <v>552.25</v>
      </c>
      <c r="I303" s="48" t="s">
        <v>170</v>
      </c>
      <c r="J303" s="48" t="s">
        <v>164</v>
      </c>
      <c r="K303" s="50" t="s">
        <v>164</v>
      </c>
      <c r="L303" s="51">
        <v>145.0</v>
      </c>
      <c r="M303" s="50" t="s">
        <v>1229</v>
      </c>
      <c r="N303" s="51" t="s">
        <v>166</v>
      </c>
      <c r="O303" s="48">
        <v>210.0</v>
      </c>
      <c r="P303" s="48">
        <v>150.0</v>
      </c>
      <c r="Q303" s="48">
        <v>40.0</v>
      </c>
      <c r="R303" s="48">
        <v>2.0</v>
      </c>
      <c r="S303" s="50" t="s">
        <v>166</v>
      </c>
      <c r="T303" s="52" t="s">
        <v>167</v>
      </c>
      <c r="U303" s="52" t="s">
        <v>346</v>
      </c>
      <c r="V303" s="51">
        <v>3.0</v>
      </c>
      <c r="W303" s="48" t="s">
        <v>166</v>
      </c>
      <c r="X303" s="50" t="s">
        <v>166</v>
      </c>
      <c r="Y303" s="51" t="s">
        <v>166</v>
      </c>
      <c r="Z303" s="48" t="s">
        <v>166</v>
      </c>
      <c r="AA303" s="48" t="s">
        <v>166</v>
      </c>
      <c r="AB303" s="48">
        <v>1.0</v>
      </c>
      <c r="AC303" s="48">
        <v>2.0</v>
      </c>
      <c r="AD303" s="48" t="s">
        <v>166</v>
      </c>
      <c r="AE303" s="54" t="s">
        <v>166</v>
      </c>
      <c r="AF303" s="55" t="s">
        <v>166</v>
      </c>
      <c r="AG303" s="51" t="s">
        <v>166</v>
      </c>
      <c r="AH303" s="48" t="s">
        <v>166</v>
      </c>
      <c r="AI303" s="48" t="s">
        <v>166</v>
      </c>
      <c r="AJ303" s="50" t="s">
        <v>166</v>
      </c>
      <c r="AK303" s="56" t="s">
        <v>166</v>
      </c>
      <c r="AL303" s="57">
        <v>175.0</v>
      </c>
      <c r="AM303" s="64" t="str">
        <f>HYPERLINK("https://smallformfactor.net/forum/threads/nouvolo-borg-a-k-a-qube-cube-pc-case-12l.10960/","Link")</f>
        <v>Link</v>
      </c>
      <c r="AN303" s="59"/>
      <c r="AO303" s="60"/>
      <c r="AP303" s="60"/>
      <c r="AQ303" s="66"/>
    </row>
    <row r="304">
      <c r="A304" s="69" t="s">
        <v>1230</v>
      </c>
      <c r="B304" s="73" t="s">
        <v>1231</v>
      </c>
      <c r="C304" s="63" t="s">
        <v>262</v>
      </c>
      <c r="D304" s="48">
        <v>345.0</v>
      </c>
      <c r="E304" s="48">
        <v>185.0</v>
      </c>
      <c r="F304" s="48">
        <v>247.0</v>
      </c>
      <c r="G304" s="49">
        <f t="shared" si="11"/>
        <v>15.764775</v>
      </c>
      <c r="H304" s="49">
        <f t="shared" si="12"/>
        <v>638.25</v>
      </c>
      <c r="I304" s="48" t="s">
        <v>170</v>
      </c>
      <c r="J304" s="48" t="s">
        <v>597</v>
      </c>
      <c r="K304" s="50" t="s">
        <v>1232</v>
      </c>
      <c r="L304" s="51">
        <v>160.0</v>
      </c>
      <c r="M304" s="50" t="s">
        <v>825</v>
      </c>
      <c r="N304" s="51" t="s">
        <v>166</v>
      </c>
      <c r="O304" s="48">
        <v>330.0</v>
      </c>
      <c r="P304" s="48">
        <v>165.0</v>
      </c>
      <c r="Q304" s="48">
        <v>64.0</v>
      </c>
      <c r="R304" s="48">
        <v>3.0</v>
      </c>
      <c r="S304" s="50" t="s">
        <v>166</v>
      </c>
      <c r="T304" s="52" t="s">
        <v>227</v>
      </c>
      <c r="U304" s="53" t="s">
        <v>686</v>
      </c>
      <c r="V304" s="51">
        <v>4.0</v>
      </c>
      <c r="W304" s="48" t="s">
        <v>193</v>
      </c>
      <c r="X304" s="50" t="s">
        <v>166</v>
      </c>
      <c r="Y304" s="51" t="s">
        <v>166</v>
      </c>
      <c r="Z304" s="48" t="s">
        <v>166</v>
      </c>
      <c r="AA304" s="48" t="s">
        <v>166</v>
      </c>
      <c r="AB304" s="48" t="s">
        <v>166</v>
      </c>
      <c r="AC304" s="48" t="s">
        <v>435</v>
      </c>
      <c r="AD304" s="48" t="s">
        <v>194</v>
      </c>
      <c r="AE304" s="54" t="s">
        <v>166</v>
      </c>
      <c r="AF304" s="55" t="s">
        <v>166</v>
      </c>
      <c r="AG304" s="51" t="s">
        <v>166</v>
      </c>
      <c r="AH304" s="48">
        <v>2.0</v>
      </c>
      <c r="AI304" s="48" t="s">
        <v>166</v>
      </c>
      <c r="AJ304" s="50" t="s">
        <v>174</v>
      </c>
      <c r="AK304" s="56">
        <v>448.0</v>
      </c>
      <c r="AL304" s="57">
        <f>AK304*Sheets!$E$3</f>
        <v>61.754784</v>
      </c>
      <c r="AM304" s="68"/>
      <c r="AN304" s="59"/>
      <c r="AO304" s="60" t="s">
        <v>181</v>
      </c>
      <c r="AP304" s="65">
        <v>45446.534329490736</v>
      </c>
      <c r="AQ304" s="66"/>
    </row>
    <row r="305">
      <c r="A305" s="69" t="str">
        <f>HYPERLINK("https://shop70176301.world.taobao.com/","Dream Case")</f>
        <v>Dream Case</v>
      </c>
      <c r="B305" s="73" t="s">
        <v>1233</v>
      </c>
      <c r="C305" s="63" t="s">
        <v>262</v>
      </c>
      <c r="D305" s="48">
        <v>350.0</v>
      </c>
      <c r="E305" s="48">
        <v>160.0</v>
      </c>
      <c r="F305" s="48">
        <v>282.0</v>
      </c>
      <c r="G305" s="49">
        <f t="shared" si="11"/>
        <v>15.792</v>
      </c>
      <c r="H305" s="49">
        <f t="shared" si="12"/>
        <v>560</v>
      </c>
      <c r="I305" s="48">
        <v>2.02</v>
      </c>
      <c r="J305" s="48" t="s">
        <v>171</v>
      </c>
      <c r="K305" s="50" t="s">
        <v>171</v>
      </c>
      <c r="L305" s="51">
        <v>140.0</v>
      </c>
      <c r="M305" s="50" t="s">
        <v>166</v>
      </c>
      <c r="N305" s="51" t="s">
        <v>166</v>
      </c>
      <c r="O305" s="48">
        <v>350.0</v>
      </c>
      <c r="P305" s="48">
        <v>145.0</v>
      </c>
      <c r="Q305" s="48">
        <v>80.0</v>
      </c>
      <c r="R305" s="48">
        <v>4.0</v>
      </c>
      <c r="S305" s="50" t="s">
        <v>166</v>
      </c>
      <c r="T305" s="52" t="s">
        <v>423</v>
      </c>
      <c r="U305" s="52" t="s">
        <v>599</v>
      </c>
      <c r="V305" s="51">
        <v>2.0</v>
      </c>
      <c r="W305" s="48" t="s">
        <v>194</v>
      </c>
      <c r="X305" s="50" t="s">
        <v>166</v>
      </c>
      <c r="Y305" s="51" t="s">
        <v>166</v>
      </c>
      <c r="Z305" s="48" t="s">
        <v>166</v>
      </c>
      <c r="AA305" s="48" t="s">
        <v>166</v>
      </c>
      <c r="AB305" s="48" t="s">
        <v>220</v>
      </c>
      <c r="AC305" s="48" t="s">
        <v>193</v>
      </c>
      <c r="AD305" s="48" t="s">
        <v>166</v>
      </c>
      <c r="AE305" s="54" t="s">
        <v>166</v>
      </c>
      <c r="AF305" s="55" t="s">
        <v>166</v>
      </c>
      <c r="AG305" s="51" t="s">
        <v>193</v>
      </c>
      <c r="AH305" s="48" t="s">
        <v>193</v>
      </c>
      <c r="AI305" s="48" t="s">
        <v>166</v>
      </c>
      <c r="AJ305" s="50" t="s">
        <v>174</v>
      </c>
      <c r="AK305" s="56">
        <v>246.0</v>
      </c>
      <c r="AL305" s="57">
        <f>AK305*Sheets!$E$3</f>
        <v>33.909993</v>
      </c>
      <c r="AM305" s="58"/>
      <c r="AN305" s="59"/>
      <c r="AO305" s="60"/>
      <c r="AP305" s="65">
        <v>44737.68446574074</v>
      </c>
      <c r="AQ305" s="66"/>
    </row>
    <row r="306">
      <c r="A306" s="82" t="str">
        <f>HYPERLINK("https://www.coolermaster.com/","Cooler Master")</f>
        <v>Cooler Master</v>
      </c>
      <c r="B306" s="88" t="s">
        <v>1234</v>
      </c>
      <c r="C306" s="63" t="s">
        <v>248</v>
      </c>
      <c r="D306" s="48">
        <v>212.0</v>
      </c>
      <c r="E306" s="48">
        <v>155.0</v>
      </c>
      <c r="F306" s="48">
        <v>481.0</v>
      </c>
      <c r="G306" s="49">
        <f t="shared" si="11"/>
        <v>15.80566</v>
      </c>
      <c r="H306" s="49">
        <f t="shared" si="12"/>
        <v>328.6</v>
      </c>
      <c r="I306" s="48">
        <v>6.3</v>
      </c>
      <c r="J306" s="48" t="s">
        <v>164</v>
      </c>
      <c r="K306" s="50" t="s">
        <v>1235</v>
      </c>
      <c r="L306" s="51">
        <v>48.0</v>
      </c>
      <c r="M306" s="50">
        <v>120.0</v>
      </c>
      <c r="N306" s="51" t="s">
        <v>174</v>
      </c>
      <c r="O306" s="48">
        <v>337.0</v>
      </c>
      <c r="P306" s="48">
        <v>180.0</v>
      </c>
      <c r="Q306" s="48">
        <v>62.0</v>
      </c>
      <c r="R306" s="48">
        <v>3.0</v>
      </c>
      <c r="S306" s="50" t="s">
        <v>166</v>
      </c>
      <c r="T306" s="52" t="s">
        <v>167</v>
      </c>
      <c r="U306" s="52" t="s">
        <v>324</v>
      </c>
      <c r="V306" s="51">
        <v>1.0</v>
      </c>
      <c r="W306" s="48" t="s">
        <v>166</v>
      </c>
      <c r="X306" s="50" t="s">
        <v>166</v>
      </c>
      <c r="Y306" s="51" t="s">
        <v>166</v>
      </c>
      <c r="Z306" s="48" t="s">
        <v>166</v>
      </c>
      <c r="AA306" s="48" t="s">
        <v>166</v>
      </c>
      <c r="AB306" s="48" t="s">
        <v>166</v>
      </c>
      <c r="AC306" s="48">
        <v>2.0</v>
      </c>
      <c r="AD306" s="48" t="s">
        <v>166</v>
      </c>
      <c r="AE306" s="48" t="s">
        <v>166</v>
      </c>
      <c r="AF306" s="50" t="s">
        <v>166</v>
      </c>
      <c r="AG306" s="51" t="s">
        <v>166</v>
      </c>
      <c r="AH306" s="48">
        <v>2.0</v>
      </c>
      <c r="AI306" s="48">
        <v>1.0</v>
      </c>
      <c r="AJ306" s="50" t="s">
        <v>174</v>
      </c>
      <c r="AK306" s="56" t="s">
        <v>166</v>
      </c>
      <c r="AL306" s="57">
        <v>379.0</v>
      </c>
      <c r="AM306" s="58"/>
      <c r="AN306" s="59"/>
      <c r="AO306" s="60"/>
      <c r="AP306" s="65">
        <v>45300.98224524305</v>
      </c>
      <c r="AQ306" s="66"/>
    </row>
    <row r="307">
      <c r="A307" s="82" t="str">
        <f>HYPERLINK("https://www.nouvolo.com/","Nouvolo")</f>
        <v>Nouvolo</v>
      </c>
      <c r="B307" s="62" t="s">
        <v>1236</v>
      </c>
      <c r="C307" s="63" t="s">
        <v>248</v>
      </c>
      <c r="D307" s="48">
        <v>343.0</v>
      </c>
      <c r="E307" s="48">
        <v>156.0</v>
      </c>
      <c r="F307" s="48">
        <v>296.0</v>
      </c>
      <c r="G307" s="49">
        <f t="shared" si="11"/>
        <v>15.838368</v>
      </c>
      <c r="H307" s="49">
        <f t="shared" si="12"/>
        <v>535.08</v>
      </c>
      <c r="I307" s="48">
        <v>4.5</v>
      </c>
      <c r="J307" s="48" t="s">
        <v>235</v>
      </c>
      <c r="K307" s="50" t="s">
        <v>605</v>
      </c>
      <c r="L307" s="51">
        <v>72.0</v>
      </c>
      <c r="M307" s="50" t="s">
        <v>1003</v>
      </c>
      <c r="N307" s="51" t="s">
        <v>174</v>
      </c>
      <c r="O307" s="48">
        <v>320.0</v>
      </c>
      <c r="P307" s="48" t="s">
        <v>170</v>
      </c>
      <c r="Q307" s="48">
        <v>63.0</v>
      </c>
      <c r="R307" s="48">
        <v>2.0</v>
      </c>
      <c r="S307" s="50" t="s">
        <v>166</v>
      </c>
      <c r="T307" s="52" t="s">
        <v>167</v>
      </c>
      <c r="U307" s="52" t="s">
        <v>346</v>
      </c>
      <c r="V307" s="51">
        <v>1.0</v>
      </c>
      <c r="W307" s="48" t="s">
        <v>166</v>
      </c>
      <c r="X307" s="50" t="s">
        <v>166</v>
      </c>
      <c r="Y307" s="51" t="s">
        <v>166</v>
      </c>
      <c r="Z307" s="48" t="s">
        <v>166</v>
      </c>
      <c r="AA307" s="48" t="s">
        <v>166</v>
      </c>
      <c r="AB307" s="48" t="s">
        <v>166</v>
      </c>
      <c r="AC307" s="48">
        <v>4.0</v>
      </c>
      <c r="AD307" s="48" t="s">
        <v>166</v>
      </c>
      <c r="AE307" s="54" t="s">
        <v>166</v>
      </c>
      <c r="AF307" s="55" t="s">
        <v>166</v>
      </c>
      <c r="AG307" s="51" t="s">
        <v>166</v>
      </c>
      <c r="AH307" s="48" t="s">
        <v>166</v>
      </c>
      <c r="AI307" s="48" t="s">
        <v>166</v>
      </c>
      <c r="AJ307" s="50" t="s">
        <v>166</v>
      </c>
      <c r="AK307" s="56" t="s">
        <v>166</v>
      </c>
      <c r="AL307" s="57">
        <v>269.0</v>
      </c>
      <c r="AM307" s="64" t="s">
        <v>214</v>
      </c>
      <c r="AN307" s="59"/>
      <c r="AO307" s="60"/>
      <c r="AP307" s="65">
        <v>44846.93648820602</v>
      </c>
      <c r="AQ307" s="66"/>
    </row>
    <row r="308">
      <c r="A308" s="82" t="str">
        <f t="shared" ref="A308:A309" si="15">HYPERLINK("http://www.jonsbo.com/en/","Jonsbo")</f>
        <v>Jonsbo</v>
      </c>
      <c r="B308" s="62" t="s">
        <v>1237</v>
      </c>
      <c r="C308" s="63" t="s">
        <v>262</v>
      </c>
      <c r="D308" s="48">
        <v>266.0</v>
      </c>
      <c r="E308" s="48">
        <v>202.0</v>
      </c>
      <c r="F308" s="48">
        <v>295.2</v>
      </c>
      <c r="G308" s="49">
        <f t="shared" si="11"/>
        <v>15.8616864</v>
      </c>
      <c r="H308" s="49">
        <f t="shared" si="12"/>
        <v>537.32</v>
      </c>
      <c r="I308" s="48">
        <v>2.5</v>
      </c>
      <c r="J308" s="48" t="s">
        <v>171</v>
      </c>
      <c r="K308" s="52" t="s">
        <v>1238</v>
      </c>
      <c r="L308" s="51">
        <v>170.0</v>
      </c>
      <c r="M308" s="50" t="s">
        <v>166</v>
      </c>
      <c r="N308" s="51" t="s">
        <v>166</v>
      </c>
      <c r="O308" s="48">
        <v>255.0</v>
      </c>
      <c r="P308" s="48">
        <v>175.0</v>
      </c>
      <c r="Q308" s="48">
        <v>80.0</v>
      </c>
      <c r="R308" s="48">
        <v>4.0</v>
      </c>
      <c r="S308" s="50" t="s">
        <v>166</v>
      </c>
      <c r="T308" s="52" t="s">
        <v>227</v>
      </c>
      <c r="U308" s="52" t="s">
        <v>599</v>
      </c>
      <c r="V308" s="51" t="s">
        <v>194</v>
      </c>
      <c r="W308" s="48" t="s">
        <v>194</v>
      </c>
      <c r="X308" s="50" t="s">
        <v>166</v>
      </c>
      <c r="Y308" s="51" t="s">
        <v>166</v>
      </c>
      <c r="Z308" s="48" t="s">
        <v>166</v>
      </c>
      <c r="AA308" s="48" t="s">
        <v>166</v>
      </c>
      <c r="AB308" s="48" t="s">
        <v>166</v>
      </c>
      <c r="AC308" s="48" t="s">
        <v>435</v>
      </c>
      <c r="AD308" s="48" t="s">
        <v>166</v>
      </c>
      <c r="AE308" s="54" t="s">
        <v>166</v>
      </c>
      <c r="AF308" s="55" t="s">
        <v>166</v>
      </c>
      <c r="AG308" s="51" t="s">
        <v>166</v>
      </c>
      <c r="AH308" s="48">
        <v>1.0</v>
      </c>
      <c r="AI308" s="48">
        <v>1.0</v>
      </c>
      <c r="AJ308" s="50" t="s">
        <v>174</v>
      </c>
      <c r="AK308" s="56" t="s">
        <v>166</v>
      </c>
      <c r="AL308" s="57" t="s">
        <v>170</v>
      </c>
      <c r="AM308" s="68"/>
      <c r="AN308" s="59"/>
      <c r="AO308" s="60"/>
      <c r="AP308" s="65">
        <v>45451.49884541667</v>
      </c>
      <c r="AQ308" s="66"/>
    </row>
    <row r="309">
      <c r="A309" s="82" t="str">
        <f t="shared" si="15"/>
        <v>Jonsbo</v>
      </c>
      <c r="B309" s="62" t="s">
        <v>1239</v>
      </c>
      <c r="C309" s="63" t="s">
        <v>262</v>
      </c>
      <c r="D309" s="48">
        <v>266.0</v>
      </c>
      <c r="E309" s="48">
        <v>202.0</v>
      </c>
      <c r="F309" s="48">
        <v>295.2</v>
      </c>
      <c r="G309" s="49">
        <f t="shared" si="11"/>
        <v>15.8616864</v>
      </c>
      <c r="H309" s="49">
        <f t="shared" si="12"/>
        <v>537.32</v>
      </c>
      <c r="I309" s="48">
        <v>2.3</v>
      </c>
      <c r="J309" s="48" t="s">
        <v>171</v>
      </c>
      <c r="K309" s="52" t="s">
        <v>1238</v>
      </c>
      <c r="L309" s="51">
        <v>75.0</v>
      </c>
      <c r="M309" s="50" t="s">
        <v>166</v>
      </c>
      <c r="N309" s="51" t="s">
        <v>166</v>
      </c>
      <c r="O309" s="48">
        <v>255.0</v>
      </c>
      <c r="P309" s="48" t="s">
        <v>170</v>
      </c>
      <c r="Q309" s="48">
        <v>80.0</v>
      </c>
      <c r="R309" s="48">
        <v>4.0</v>
      </c>
      <c r="S309" s="50" t="s">
        <v>166</v>
      </c>
      <c r="T309" s="52" t="s">
        <v>423</v>
      </c>
      <c r="U309" s="52" t="s">
        <v>599</v>
      </c>
      <c r="V309" s="51" t="s">
        <v>193</v>
      </c>
      <c r="W309" s="48" t="s">
        <v>194</v>
      </c>
      <c r="X309" s="50" t="s">
        <v>166</v>
      </c>
      <c r="Y309" s="51" t="s">
        <v>166</v>
      </c>
      <c r="Z309" s="48" t="s">
        <v>166</v>
      </c>
      <c r="AA309" s="48" t="s">
        <v>166</v>
      </c>
      <c r="AB309" s="48" t="s">
        <v>166</v>
      </c>
      <c r="AC309" s="48" t="s">
        <v>426</v>
      </c>
      <c r="AD309" s="48" t="s">
        <v>193</v>
      </c>
      <c r="AE309" s="54" t="s">
        <v>166</v>
      </c>
      <c r="AF309" s="55" t="s">
        <v>166</v>
      </c>
      <c r="AG309" s="51" t="s">
        <v>166</v>
      </c>
      <c r="AH309" s="48">
        <v>1.0</v>
      </c>
      <c r="AI309" s="48">
        <v>1.0</v>
      </c>
      <c r="AJ309" s="50" t="s">
        <v>174</v>
      </c>
      <c r="AK309" s="56" t="s">
        <v>166</v>
      </c>
      <c r="AL309" s="57">
        <v>105.0</v>
      </c>
      <c r="AM309" s="58"/>
      <c r="AN309" s="59"/>
      <c r="AO309" s="60"/>
      <c r="AP309" s="65">
        <v>45061.01306351852</v>
      </c>
      <c r="AQ309" s="66"/>
    </row>
    <row r="310">
      <c r="A310" s="61" t="str">
        <f>HYPERLINK("https://www.evga.com/","EVGA")</f>
        <v>EVGA</v>
      </c>
      <c r="B310" s="83" t="s">
        <v>1240</v>
      </c>
      <c r="C310" s="63" t="s">
        <v>262</v>
      </c>
      <c r="D310" s="48">
        <v>308.0</v>
      </c>
      <c r="E310" s="48">
        <v>169.0</v>
      </c>
      <c r="F310" s="48">
        <v>305.0</v>
      </c>
      <c r="G310" s="49">
        <f t="shared" si="11"/>
        <v>15.87586</v>
      </c>
      <c r="H310" s="49">
        <f t="shared" si="12"/>
        <v>520.52</v>
      </c>
      <c r="I310" s="48" t="s">
        <v>170</v>
      </c>
      <c r="J310" s="48" t="s">
        <v>245</v>
      </c>
      <c r="K310" s="52" t="s">
        <v>171</v>
      </c>
      <c r="L310" s="51">
        <v>140.0</v>
      </c>
      <c r="M310" s="50" t="s">
        <v>166</v>
      </c>
      <c r="N310" s="51" t="s">
        <v>166</v>
      </c>
      <c r="O310" s="48">
        <v>267.0</v>
      </c>
      <c r="P310" s="48">
        <v>114.3</v>
      </c>
      <c r="Q310" s="48">
        <v>40.0</v>
      </c>
      <c r="R310" s="48">
        <v>2.0</v>
      </c>
      <c r="S310" s="50" t="s">
        <v>166</v>
      </c>
      <c r="T310" s="52" t="s">
        <v>167</v>
      </c>
      <c r="U310" s="52" t="s">
        <v>671</v>
      </c>
      <c r="V310" s="51" t="s">
        <v>193</v>
      </c>
      <c r="W310" s="48" t="s">
        <v>193</v>
      </c>
      <c r="X310" s="50" t="s">
        <v>166</v>
      </c>
      <c r="Y310" s="51" t="s">
        <v>166</v>
      </c>
      <c r="Z310" s="48" t="s">
        <v>166</v>
      </c>
      <c r="AA310" s="48" t="s">
        <v>166</v>
      </c>
      <c r="AB310" s="48" t="s">
        <v>166</v>
      </c>
      <c r="AC310" s="48">
        <v>2.0</v>
      </c>
      <c r="AD310" s="48" t="s">
        <v>166</v>
      </c>
      <c r="AE310" s="54" t="s">
        <v>166</v>
      </c>
      <c r="AF310" s="55" t="s">
        <v>166</v>
      </c>
      <c r="AG310" s="51" t="s">
        <v>166</v>
      </c>
      <c r="AH310" s="48">
        <v>2.0</v>
      </c>
      <c r="AI310" s="48" t="s">
        <v>166</v>
      </c>
      <c r="AJ310" s="50" t="s">
        <v>174</v>
      </c>
      <c r="AK310" s="56" t="s">
        <v>166</v>
      </c>
      <c r="AL310" s="57">
        <v>169.99</v>
      </c>
      <c r="AM310" s="58"/>
      <c r="AN310" s="59"/>
      <c r="AO310" s="60"/>
      <c r="AP310" s="65">
        <v>44576.72585894676</v>
      </c>
      <c r="AQ310" s="66"/>
    </row>
    <row r="311">
      <c r="A311" s="82" t="str">
        <f>HYPERLINK("http://sliger.com/","Sliger")</f>
        <v>Sliger</v>
      </c>
      <c r="B311" s="83" t="str">
        <f>HYPERLINK("https://www.sliger.com/products/cases/sm580/","SM580")</f>
        <v>SM580</v>
      </c>
      <c r="C311" s="63" t="s">
        <v>248</v>
      </c>
      <c r="D311" s="48">
        <v>357.0</v>
      </c>
      <c r="E311" s="48">
        <v>155.0</v>
      </c>
      <c r="F311" s="48">
        <v>287.0</v>
      </c>
      <c r="G311" s="49">
        <f t="shared" si="11"/>
        <v>15.881145</v>
      </c>
      <c r="H311" s="49">
        <f t="shared" si="12"/>
        <v>553.35</v>
      </c>
      <c r="I311" s="48">
        <v>3.13</v>
      </c>
      <c r="J311" s="48" t="s">
        <v>274</v>
      </c>
      <c r="K311" s="50" t="s">
        <v>936</v>
      </c>
      <c r="L311" s="51">
        <v>55.0</v>
      </c>
      <c r="M311" s="50" t="s">
        <v>825</v>
      </c>
      <c r="N311" s="51" t="s">
        <v>174</v>
      </c>
      <c r="O311" s="48">
        <v>328.0</v>
      </c>
      <c r="P311" s="48">
        <v>157.0</v>
      </c>
      <c r="Q311" s="48">
        <v>67.0</v>
      </c>
      <c r="R311" s="48">
        <v>3.0</v>
      </c>
      <c r="S311" s="50" t="s">
        <v>166</v>
      </c>
      <c r="T311" s="52" t="s">
        <v>167</v>
      </c>
      <c r="U311" s="52" t="s">
        <v>346</v>
      </c>
      <c r="V311" s="51" t="s">
        <v>799</v>
      </c>
      <c r="W311" s="48" t="s">
        <v>682</v>
      </c>
      <c r="X311" s="50" t="s">
        <v>166</v>
      </c>
      <c r="Y311" s="51" t="s">
        <v>166</v>
      </c>
      <c r="Z311" s="48" t="s">
        <v>166</v>
      </c>
      <c r="AA311" s="48" t="s">
        <v>166</v>
      </c>
      <c r="AB311" s="48" t="s">
        <v>166</v>
      </c>
      <c r="AC311" s="48" t="s">
        <v>278</v>
      </c>
      <c r="AD311" s="48" t="s">
        <v>278</v>
      </c>
      <c r="AE311" s="54" t="s">
        <v>166</v>
      </c>
      <c r="AF311" s="55" t="s">
        <v>166</v>
      </c>
      <c r="AG311" s="51" t="s">
        <v>166</v>
      </c>
      <c r="AH311" s="48">
        <v>1.0</v>
      </c>
      <c r="AI311" s="48">
        <v>1.0</v>
      </c>
      <c r="AJ311" s="50" t="s">
        <v>174</v>
      </c>
      <c r="AK311" s="56" t="s">
        <v>166</v>
      </c>
      <c r="AL311" s="57">
        <v>269.0</v>
      </c>
      <c r="AM311" s="64" t="str">
        <f>HYPERLINK("https://smallformfactor.net/forum/threads/sliger-sm550-560-570-580-2-and-3-slot-riser-layouts-with-air-and-liquid-cooling-variants.6789/","Link")</f>
        <v>Link</v>
      </c>
      <c r="AN311" s="64" t="s">
        <v>214</v>
      </c>
      <c r="AO311" s="60" t="s">
        <v>181</v>
      </c>
      <c r="AP311" s="65">
        <v>44529.43761638889</v>
      </c>
      <c r="AQ311" s="66"/>
    </row>
    <row r="312">
      <c r="A312" s="46" t="s">
        <v>594</v>
      </c>
      <c r="B312" s="46" t="s">
        <v>1241</v>
      </c>
      <c r="C312" s="63" t="s">
        <v>248</v>
      </c>
      <c r="D312" s="51">
        <v>340.0</v>
      </c>
      <c r="E312" s="51">
        <v>170.0</v>
      </c>
      <c r="F312" s="51">
        <v>276.0</v>
      </c>
      <c r="G312" s="49">
        <f t="shared" si="11"/>
        <v>15.9528</v>
      </c>
      <c r="H312" s="49">
        <f t="shared" si="12"/>
        <v>578</v>
      </c>
      <c r="I312" s="51">
        <v>4.0</v>
      </c>
      <c r="J312" s="48" t="s">
        <v>1048</v>
      </c>
      <c r="K312" s="50" t="s">
        <v>375</v>
      </c>
      <c r="L312" s="51">
        <v>77.0</v>
      </c>
      <c r="M312" s="52" t="s">
        <v>547</v>
      </c>
      <c r="N312" s="51" t="s">
        <v>174</v>
      </c>
      <c r="O312" s="51">
        <v>336.0</v>
      </c>
      <c r="P312" s="51">
        <v>152.0</v>
      </c>
      <c r="Q312" s="51">
        <v>65.0</v>
      </c>
      <c r="R312" s="51">
        <v>3.0</v>
      </c>
      <c r="S312" s="52" t="s">
        <v>166</v>
      </c>
      <c r="T312" s="52" t="s">
        <v>167</v>
      </c>
      <c r="U312" s="52" t="s">
        <v>599</v>
      </c>
      <c r="V312" s="51" t="s">
        <v>194</v>
      </c>
      <c r="W312" s="48" t="s">
        <v>194</v>
      </c>
      <c r="X312" s="52" t="s">
        <v>166</v>
      </c>
      <c r="Y312" s="51" t="s">
        <v>166</v>
      </c>
      <c r="Z312" s="51" t="s">
        <v>166</v>
      </c>
      <c r="AA312" s="48" t="s">
        <v>166</v>
      </c>
      <c r="AB312" s="48" t="s">
        <v>166</v>
      </c>
      <c r="AC312" s="48" t="s">
        <v>435</v>
      </c>
      <c r="AD312" s="51" t="s">
        <v>166</v>
      </c>
      <c r="AE312" s="54" t="s">
        <v>166</v>
      </c>
      <c r="AF312" s="55" t="s">
        <v>166</v>
      </c>
      <c r="AG312" s="51" t="s">
        <v>166</v>
      </c>
      <c r="AH312" s="48">
        <v>1.0</v>
      </c>
      <c r="AI312" s="48">
        <v>1.0</v>
      </c>
      <c r="AJ312" s="50" t="s">
        <v>166</v>
      </c>
      <c r="AK312" s="56">
        <v>499.0</v>
      </c>
      <c r="AL312" s="57">
        <f>AK312*Sheets!$E$3</f>
        <v>68.7849045</v>
      </c>
      <c r="AM312" s="58"/>
      <c r="AN312" s="59"/>
      <c r="AO312" s="132"/>
      <c r="AP312" s="133"/>
      <c r="AQ312" s="66"/>
    </row>
    <row r="313">
      <c r="A313" s="69" t="str">
        <f>HYPERLINK("https://shop70176301.world.taobao.com/","Dream Case")</f>
        <v>Dream Case</v>
      </c>
      <c r="B313" s="125" t="s">
        <v>1242</v>
      </c>
      <c r="C313" s="63" t="s">
        <v>262</v>
      </c>
      <c r="D313" s="51">
        <v>350.0</v>
      </c>
      <c r="E313" s="51">
        <v>160.0</v>
      </c>
      <c r="F313" s="51">
        <v>285.0</v>
      </c>
      <c r="G313" s="49">
        <f t="shared" si="11"/>
        <v>15.96</v>
      </c>
      <c r="H313" s="81">
        <f t="shared" si="12"/>
        <v>560</v>
      </c>
      <c r="I313" s="51" t="s">
        <v>170</v>
      </c>
      <c r="J313" s="51" t="s">
        <v>171</v>
      </c>
      <c r="K313" s="52" t="s">
        <v>171</v>
      </c>
      <c r="L313" s="51">
        <v>140.0</v>
      </c>
      <c r="M313" s="52" t="s">
        <v>166</v>
      </c>
      <c r="N313" s="51" t="s">
        <v>166</v>
      </c>
      <c r="O313" s="51">
        <v>350.0</v>
      </c>
      <c r="P313" s="51">
        <v>145.0</v>
      </c>
      <c r="Q313" s="51">
        <v>80.0</v>
      </c>
      <c r="R313" s="51">
        <v>4.0</v>
      </c>
      <c r="S313" s="52" t="s">
        <v>166</v>
      </c>
      <c r="T313" s="52" t="s">
        <v>423</v>
      </c>
      <c r="U313" s="52" t="s">
        <v>599</v>
      </c>
      <c r="V313" s="51">
        <v>2.0</v>
      </c>
      <c r="W313" s="51" t="s">
        <v>193</v>
      </c>
      <c r="X313" s="52" t="s">
        <v>166</v>
      </c>
      <c r="Y313" s="51" t="s">
        <v>166</v>
      </c>
      <c r="Z313" s="51" t="s">
        <v>166</v>
      </c>
      <c r="AA313" s="51" t="s">
        <v>194</v>
      </c>
      <c r="AB313" s="51" t="s">
        <v>194</v>
      </c>
      <c r="AC313" s="51" t="s">
        <v>416</v>
      </c>
      <c r="AD313" s="51" t="s">
        <v>166</v>
      </c>
      <c r="AE313" s="54" t="s">
        <v>166</v>
      </c>
      <c r="AF313" s="55" t="s">
        <v>166</v>
      </c>
      <c r="AG313" s="51" t="s">
        <v>166</v>
      </c>
      <c r="AH313" s="48" t="s">
        <v>166</v>
      </c>
      <c r="AI313" s="48" t="s">
        <v>166</v>
      </c>
      <c r="AJ313" s="50" t="s">
        <v>166</v>
      </c>
      <c r="AK313" s="56">
        <v>320.0</v>
      </c>
      <c r="AL313" s="142">
        <f>AK313*Sheets!$E$3</f>
        <v>44.11056</v>
      </c>
      <c r="AM313" s="58"/>
      <c r="AN313" s="59"/>
      <c r="AO313" s="132" t="s">
        <v>181</v>
      </c>
      <c r="AP313" s="133">
        <v>44442.89846150463</v>
      </c>
      <c r="AQ313" s="66"/>
    </row>
    <row r="314">
      <c r="A314" s="82" t="str">
        <f>HYPERLINK("http://raijintek.com/en/index.php","Raijintek")</f>
        <v>Raijintek</v>
      </c>
      <c r="B314" s="138" t="str">
        <f>HYPERLINK("http://raijintek.com/en/products_detail.php?ProductID=90","Ophion")</f>
        <v>Ophion</v>
      </c>
      <c r="C314" s="63" t="s">
        <v>248</v>
      </c>
      <c r="D314" s="51">
        <v>375.0</v>
      </c>
      <c r="E314" s="51">
        <v>174.0</v>
      </c>
      <c r="F314" s="51">
        <v>245.0</v>
      </c>
      <c r="G314" s="81">
        <f t="shared" si="11"/>
        <v>15.98625</v>
      </c>
      <c r="H314" s="81">
        <f t="shared" si="12"/>
        <v>652.5</v>
      </c>
      <c r="I314" s="51">
        <v>3.14</v>
      </c>
      <c r="J314" s="51" t="s">
        <v>235</v>
      </c>
      <c r="K314" s="52" t="s">
        <v>1243</v>
      </c>
      <c r="L314" s="51">
        <v>90.0</v>
      </c>
      <c r="M314" s="50" t="s">
        <v>166</v>
      </c>
      <c r="N314" s="51" t="s">
        <v>174</v>
      </c>
      <c r="O314" s="51">
        <v>338.0</v>
      </c>
      <c r="P314" s="51">
        <v>175.0</v>
      </c>
      <c r="Q314" s="51">
        <v>58.0</v>
      </c>
      <c r="R314" s="51">
        <v>2.0</v>
      </c>
      <c r="S314" s="52" t="s">
        <v>166</v>
      </c>
      <c r="T314" s="52" t="s">
        <v>167</v>
      </c>
      <c r="U314" s="52" t="s">
        <v>599</v>
      </c>
      <c r="V314" s="51" t="s">
        <v>412</v>
      </c>
      <c r="W314" s="51" t="s">
        <v>194</v>
      </c>
      <c r="X314" s="52" t="s">
        <v>166</v>
      </c>
      <c r="Y314" s="51" t="s">
        <v>166</v>
      </c>
      <c r="Z314" s="51" t="s">
        <v>166</v>
      </c>
      <c r="AA314" s="51" t="s">
        <v>166</v>
      </c>
      <c r="AB314" s="51" t="s">
        <v>166</v>
      </c>
      <c r="AC314" s="51">
        <v>3.0</v>
      </c>
      <c r="AD314" s="51" t="s">
        <v>166</v>
      </c>
      <c r="AE314" s="54" t="s">
        <v>166</v>
      </c>
      <c r="AF314" s="55" t="s">
        <v>166</v>
      </c>
      <c r="AG314" s="51" t="s">
        <v>166</v>
      </c>
      <c r="AH314" s="48">
        <v>1.0</v>
      </c>
      <c r="AI314" s="48">
        <v>1.0</v>
      </c>
      <c r="AJ314" s="50" t="s">
        <v>166</v>
      </c>
      <c r="AK314" s="56" t="s">
        <v>166</v>
      </c>
      <c r="AL314" s="142">
        <v>124.9</v>
      </c>
      <c r="AM314" s="58"/>
      <c r="AN314" s="59"/>
      <c r="AO314" s="132"/>
      <c r="AP314" s="133">
        <v>44563.99731556713</v>
      </c>
      <c r="AQ314" s="130"/>
    </row>
    <row r="315">
      <c r="A315" s="69" t="str">
        <f>HYPERLINK("https://sktcase.world.taobao.com/","SKTC")</f>
        <v>SKTC</v>
      </c>
      <c r="B315" s="73" t="s">
        <v>1244</v>
      </c>
      <c r="C315" s="63" t="s">
        <v>248</v>
      </c>
      <c r="D315" s="48">
        <v>375.0</v>
      </c>
      <c r="E315" s="51">
        <v>174.0</v>
      </c>
      <c r="F315" s="48">
        <v>245.0</v>
      </c>
      <c r="G315" s="49">
        <f t="shared" si="11"/>
        <v>15.98625</v>
      </c>
      <c r="H315" s="49">
        <f t="shared" si="12"/>
        <v>652.5</v>
      </c>
      <c r="I315" s="48">
        <v>3.5</v>
      </c>
      <c r="J315" s="48" t="s">
        <v>597</v>
      </c>
      <c r="K315" s="50" t="s">
        <v>164</v>
      </c>
      <c r="L315" s="51">
        <v>80.0</v>
      </c>
      <c r="M315" s="50" t="s">
        <v>166</v>
      </c>
      <c r="N315" s="51" t="s">
        <v>174</v>
      </c>
      <c r="O315" s="48">
        <v>310.0</v>
      </c>
      <c r="P315" s="48" t="s">
        <v>170</v>
      </c>
      <c r="Q315" s="48">
        <v>54.0</v>
      </c>
      <c r="R315" s="48">
        <v>2.0</v>
      </c>
      <c r="S315" s="50" t="s">
        <v>166</v>
      </c>
      <c r="T315" s="52" t="s">
        <v>167</v>
      </c>
      <c r="U315" s="52" t="s">
        <v>599</v>
      </c>
      <c r="V315" s="51">
        <v>1.0</v>
      </c>
      <c r="W315" s="48">
        <v>1.0</v>
      </c>
      <c r="X315" s="50" t="s">
        <v>166</v>
      </c>
      <c r="Y315" s="51" t="s">
        <v>166</v>
      </c>
      <c r="Z315" s="48" t="s">
        <v>166</v>
      </c>
      <c r="AA315" s="48" t="s">
        <v>166</v>
      </c>
      <c r="AB315" s="48" t="s">
        <v>166</v>
      </c>
      <c r="AC315" s="48">
        <v>3.0</v>
      </c>
      <c r="AD315" s="48" t="s">
        <v>166</v>
      </c>
      <c r="AE315" s="54" t="s">
        <v>166</v>
      </c>
      <c r="AF315" s="55" t="s">
        <v>166</v>
      </c>
      <c r="AG315" s="51" t="s">
        <v>166</v>
      </c>
      <c r="AH315" s="48" t="s">
        <v>166</v>
      </c>
      <c r="AI315" s="48" t="s">
        <v>166</v>
      </c>
      <c r="AJ315" s="50" t="s">
        <v>166</v>
      </c>
      <c r="AK315" s="56">
        <v>399.0</v>
      </c>
      <c r="AL315" s="57">
        <f>AK315*Sheets!$E$3</f>
        <v>55.0003545</v>
      </c>
      <c r="AM315" s="68"/>
      <c r="AN315" s="70"/>
      <c r="AO315" s="71" t="s">
        <v>181</v>
      </c>
      <c r="AP315" s="71"/>
      <c r="AQ315" s="66"/>
    </row>
    <row r="316">
      <c r="A316" s="69" t="str">
        <f>HYPERLINK("https://hzmod.world.taobao.com/","HZ MOD")</f>
        <v>HZ MOD</v>
      </c>
      <c r="B316" s="73" t="s">
        <v>1245</v>
      </c>
      <c r="C316" s="63" t="s">
        <v>262</v>
      </c>
      <c r="D316" s="48">
        <v>334.3</v>
      </c>
      <c r="E316" s="51">
        <v>187.0</v>
      </c>
      <c r="F316" s="48">
        <v>256.8</v>
      </c>
      <c r="G316" s="49">
        <f t="shared" si="11"/>
        <v>16.05362088</v>
      </c>
      <c r="H316" s="49">
        <f t="shared" si="12"/>
        <v>625.141</v>
      </c>
      <c r="I316" s="48" t="s">
        <v>170</v>
      </c>
      <c r="J316" s="48" t="s">
        <v>365</v>
      </c>
      <c r="K316" s="50" t="s">
        <v>171</v>
      </c>
      <c r="L316" s="51">
        <v>140.0</v>
      </c>
      <c r="M316" s="50" t="s">
        <v>547</v>
      </c>
      <c r="N316" s="51" t="s">
        <v>166</v>
      </c>
      <c r="O316" s="48">
        <v>310.0</v>
      </c>
      <c r="P316" s="48">
        <v>145.0</v>
      </c>
      <c r="Q316" s="48" t="s">
        <v>170</v>
      </c>
      <c r="R316" s="48">
        <v>2.0</v>
      </c>
      <c r="S316" s="50" t="s">
        <v>166</v>
      </c>
      <c r="T316" s="52" t="s">
        <v>167</v>
      </c>
      <c r="U316" s="52" t="s">
        <v>324</v>
      </c>
      <c r="V316" s="51" t="s">
        <v>170</v>
      </c>
      <c r="W316" s="48" t="s">
        <v>166</v>
      </c>
      <c r="X316" s="50" t="s">
        <v>166</v>
      </c>
      <c r="Y316" s="51" t="s">
        <v>166</v>
      </c>
      <c r="Z316" s="48" t="s">
        <v>166</v>
      </c>
      <c r="AA316" s="48" t="s">
        <v>1246</v>
      </c>
      <c r="AB316" s="48" t="s">
        <v>166</v>
      </c>
      <c r="AC316" s="48">
        <v>2.0</v>
      </c>
      <c r="AD316" s="48" t="s">
        <v>166</v>
      </c>
      <c r="AE316" s="54" t="s">
        <v>166</v>
      </c>
      <c r="AF316" s="55" t="s">
        <v>166</v>
      </c>
      <c r="AG316" s="51" t="s">
        <v>166</v>
      </c>
      <c r="AH316" s="48" t="s">
        <v>166</v>
      </c>
      <c r="AI316" s="48" t="s">
        <v>166</v>
      </c>
      <c r="AJ316" s="50" t="s">
        <v>166</v>
      </c>
      <c r="AK316" s="56">
        <v>1299.0</v>
      </c>
      <c r="AL316" s="57">
        <f>AK316*Sheets!$E$3</f>
        <v>179.0613045</v>
      </c>
      <c r="AM316" s="68"/>
      <c r="AN316" s="59"/>
      <c r="AO316" s="71" t="s">
        <v>181</v>
      </c>
      <c r="AP316" s="65">
        <v>44887.93808673611</v>
      </c>
      <c r="AQ316" s="66"/>
    </row>
    <row r="317">
      <c r="A317" s="61" t="s">
        <v>438</v>
      </c>
      <c r="B317" s="67" t="s">
        <v>1247</v>
      </c>
      <c r="C317" s="63" t="s">
        <v>262</v>
      </c>
      <c r="D317" s="48">
        <v>333.0</v>
      </c>
      <c r="E317" s="51">
        <v>170.0</v>
      </c>
      <c r="F317" s="48">
        <v>284.0</v>
      </c>
      <c r="G317" s="49">
        <f t="shared" si="11"/>
        <v>16.07724</v>
      </c>
      <c r="H317" s="49">
        <f t="shared" si="12"/>
        <v>566.1</v>
      </c>
      <c r="I317" s="48">
        <v>2.1</v>
      </c>
      <c r="J317" s="48" t="s">
        <v>235</v>
      </c>
      <c r="K317" s="50" t="s">
        <v>252</v>
      </c>
      <c r="L317" s="51">
        <v>142.0</v>
      </c>
      <c r="M317" s="50" t="s">
        <v>1248</v>
      </c>
      <c r="N317" s="51" t="s">
        <v>166</v>
      </c>
      <c r="O317" s="48">
        <v>325.0</v>
      </c>
      <c r="P317" s="48">
        <v>147.0</v>
      </c>
      <c r="Q317" s="48">
        <v>80.0</v>
      </c>
      <c r="R317" s="48">
        <v>4.0</v>
      </c>
      <c r="S317" s="50" t="s">
        <v>166</v>
      </c>
      <c r="T317" s="52" t="s">
        <v>423</v>
      </c>
      <c r="U317" s="52" t="s">
        <v>816</v>
      </c>
      <c r="V317" s="51">
        <v>2.0</v>
      </c>
      <c r="W317" s="48" t="s">
        <v>193</v>
      </c>
      <c r="X317" s="50" t="s">
        <v>166</v>
      </c>
      <c r="Y317" s="51" t="s">
        <v>166</v>
      </c>
      <c r="Z317" s="48" t="s">
        <v>166</v>
      </c>
      <c r="AA317" s="48" t="s">
        <v>166</v>
      </c>
      <c r="AB317" s="48">
        <v>1.0</v>
      </c>
      <c r="AC317" s="48" t="s">
        <v>910</v>
      </c>
      <c r="AD317" s="48" t="s">
        <v>166</v>
      </c>
      <c r="AE317" s="54" t="s">
        <v>166</v>
      </c>
      <c r="AF317" s="55" t="s">
        <v>166</v>
      </c>
      <c r="AG317" s="51" t="s">
        <v>166</v>
      </c>
      <c r="AH317" s="48">
        <v>2.0</v>
      </c>
      <c r="AI317" s="48" t="s">
        <v>166</v>
      </c>
      <c r="AJ317" s="50" t="s">
        <v>166</v>
      </c>
      <c r="AK317" s="56" t="s">
        <v>166</v>
      </c>
      <c r="AL317" s="57">
        <f>5500*0.03</f>
        <v>165</v>
      </c>
      <c r="AM317" s="64"/>
      <c r="AN317" s="59"/>
      <c r="AO317" s="60" t="s">
        <v>181</v>
      </c>
      <c r="AP317" s="60"/>
      <c r="AQ317" s="66"/>
    </row>
    <row r="318">
      <c r="A318" s="61" t="s">
        <v>209</v>
      </c>
      <c r="B318" s="62" t="s">
        <v>1249</v>
      </c>
      <c r="C318" s="63" t="s">
        <v>225</v>
      </c>
      <c r="D318" s="48">
        <v>350.0</v>
      </c>
      <c r="E318" s="48">
        <v>440.0</v>
      </c>
      <c r="F318" s="48">
        <v>105.0</v>
      </c>
      <c r="G318" s="49">
        <f t="shared" si="11"/>
        <v>16.17</v>
      </c>
      <c r="H318" s="49">
        <f t="shared" si="12"/>
        <v>1540</v>
      </c>
      <c r="I318" s="48">
        <v>4.0</v>
      </c>
      <c r="J318" s="48" t="s">
        <v>171</v>
      </c>
      <c r="K318" s="50" t="s">
        <v>211</v>
      </c>
      <c r="L318" s="51">
        <v>70.0</v>
      </c>
      <c r="M318" s="50" t="s">
        <v>166</v>
      </c>
      <c r="N318" s="51" t="s">
        <v>166</v>
      </c>
      <c r="O318" s="48">
        <v>223.0</v>
      </c>
      <c r="P318" s="48">
        <v>74.0</v>
      </c>
      <c r="Q318" s="48">
        <v>80.0</v>
      </c>
      <c r="R318" s="48">
        <v>1.0</v>
      </c>
      <c r="S318" s="50">
        <v>4.0</v>
      </c>
      <c r="T318" s="52" t="s">
        <v>1102</v>
      </c>
      <c r="U318" s="52" t="s">
        <v>599</v>
      </c>
      <c r="V318" s="51" t="s">
        <v>300</v>
      </c>
      <c r="W318" s="48" t="s">
        <v>426</v>
      </c>
      <c r="X318" s="50">
        <v>1.0</v>
      </c>
      <c r="Y318" s="51" t="s">
        <v>166</v>
      </c>
      <c r="Z318" s="48" t="s">
        <v>166</v>
      </c>
      <c r="AA318" s="48">
        <v>4.0</v>
      </c>
      <c r="AB318" s="48" t="s">
        <v>166</v>
      </c>
      <c r="AC318" s="48" t="s">
        <v>166</v>
      </c>
      <c r="AD318" s="48" t="s">
        <v>166</v>
      </c>
      <c r="AE318" s="54" t="s">
        <v>166</v>
      </c>
      <c r="AF318" s="55" t="s">
        <v>166</v>
      </c>
      <c r="AG318" s="51" t="s">
        <v>166</v>
      </c>
      <c r="AH318" s="48" t="s">
        <v>207</v>
      </c>
      <c r="AI318" s="48" t="s">
        <v>194</v>
      </c>
      <c r="AJ318" s="50" t="s">
        <v>174</v>
      </c>
      <c r="AK318" s="56" t="s">
        <v>166</v>
      </c>
      <c r="AL318" s="57">
        <v>109.57</v>
      </c>
      <c r="AM318" s="58"/>
      <c r="AN318" s="59"/>
      <c r="AO318" s="60"/>
      <c r="AP318" s="65">
        <v>44644.50657305555</v>
      </c>
      <c r="AQ318" s="66"/>
    </row>
    <row r="319">
      <c r="A319" s="61" t="str">
        <f>HYPERLINK("https://comino.com/en/","Comino")</f>
        <v>Comino</v>
      </c>
      <c r="B319" s="62" t="str">
        <f>HYPERLINK("https://comino.com/en/otto","OTTO")</f>
        <v>OTTO</v>
      </c>
      <c r="C319" s="63" t="s">
        <v>248</v>
      </c>
      <c r="D319" s="48">
        <v>405.0</v>
      </c>
      <c r="E319" s="48">
        <v>190.0</v>
      </c>
      <c r="F319" s="48">
        <v>211.0</v>
      </c>
      <c r="G319" s="49">
        <f t="shared" si="11"/>
        <v>16.23645</v>
      </c>
      <c r="H319" s="49">
        <f t="shared" si="12"/>
        <v>769.5</v>
      </c>
      <c r="I319" s="48">
        <v>3.5</v>
      </c>
      <c r="J319" s="48" t="s">
        <v>164</v>
      </c>
      <c r="K319" s="50" t="s">
        <v>305</v>
      </c>
      <c r="L319" s="51" t="s">
        <v>170</v>
      </c>
      <c r="M319" s="50" t="s">
        <v>981</v>
      </c>
      <c r="N319" s="51" t="s">
        <v>174</v>
      </c>
      <c r="O319" s="48" t="s">
        <v>170</v>
      </c>
      <c r="P319" s="48" t="s">
        <v>170</v>
      </c>
      <c r="Q319" s="48" t="s">
        <v>170</v>
      </c>
      <c r="R319" s="48">
        <v>2.0</v>
      </c>
      <c r="S319" s="50" t="s">
        <v>166</v>
      </c>
      <c r="T319" s="52" t="s">
        <v>167</v>
      </c>
      <c r="U319" s="52" t="s">
        <v>324</v>
      </c>
      <c r="V319" s="51">
        <v>1.0</v>
      </c>
      <c r="W319" s="48" t="s">
        <v>166</v>
      </c>
      <c r="X319" s="50" t="s">
        <v>166</v>
      </c>
      <c r="Y319" s="51" t="s">
        <v>166</v>
      </c>
      <c r="Z319" s="48" t="s">
        <v>166</v>
      </c>
      <c r="AA319" s="48" t="s">
        <v>166</v>
      </c>
      <c r="AB319" s="48" t="s">
        <v>166</v>
      </c>
      <c r="AC319" s="48" t="s">
        <v>426</v>
      </c>
      <c r="AD319" s="48" t="s">
        <v>426</v>
      </c>
      <c r="AE319" s="54" t="s">
        <v>166</v>
      </c>
      <c r="AF319" s="55" t="s">
        <v>166</v>
      </c>
      <c r="AG319" s="51" t="s">
        <v>166</v>
      </c>
      <c r="AH319" s="48">
        <v>1.0</v>
      </c>
      <c r="AI319" s="48">
        <v>1.0</v>
      </c>
      <c r="AJ319" s="50" t="s">
        <v>166</v>
      </c>
      <c r="AK319" s="56" t="s">
        <v>166</v>
      </c>
      <c r="AL319" s="57">
        <f>249*1.11</f>
        <v>276.39</v>
      </c>
      <c r="AM319" s="58"/>
      <c r="AN319" s="59"/>
      <c r="AO319" s="60"/>
      <c r="AP319" s="60"/>
      <c r="AQ319" s="66"/>
    </row>
    <row r="320">
      <c r="A320" s="61" t="s">
        <v>438</v>
      </c>
      <c r="B320" s="62" t="s">
        <v>1250</v>
      </c>
      <c r="C320" s="63" t="s">
        <v>262</v>
      </c>
      <c r="D320" s="48">
        <v>333.0</v>
      </c>
      <c r="E320" s="48">
        <v>170.0</v>
      </c>
      <c r="F320" s="48">
        <v>288.0</v>
      </c>
      <c r="G320" s="49">
        <f t="shared" si="11"/>
        <v>16.30368</v>
      </c>
      <c r="H320" s="49">
        <f t="shared" si="12"/>
        <v>566.1</v>
      </c>
      <c r="I320" s="48">
        <v>2.1</v>
      </c>
      <c r="J320" s="48" t="s">
        <v>235</v>
      </c>
      <c r="K320" s="50" t="s">
        <v>252</v>
      </c>
      <c r="L320" s="51">
        <v>142.0</v>
      </c>
      <c r="M320" s="50" t="s">
        <v>1248</v>
      </c>
      <c r="N320" s="51" t="s">
        <v>166</v>
      </c>
      <c r="O320" s="48">
        <v>325.0</v>
      </c>
      <c r="P320" s="48">
        <v>147.0</v>
      </c>
      <c r="Q320" s="48">
        <v>80.0</v>
      </c>
      <c r="R320" s="48">
        <v>4.0</v>
      </c>
      <c r="S320" s="50" t="s">
        <v>166</v>
      </c>
      <c r="T320" s="52" t="s">
        <v>423</v>
      </c>
      <c r="U320" s="52" t="s">
        <v>816</v>
      </c>
      <c r="V320" s="51">
        <v>2.0</v>
      </c>
      <c r="W320" s="48" t="s">
        <v>193</v>
      </c>
      <c r="X320" s="50" t="s">
        <v>166</v>
      </c>
      <c r="Y320" s="51" t="s">
        <v>166</v>
      </c>
      <c r="Z320" s="48" t="s">
        <v>166</v>
      </c>
      <c r="AA320" s="48" t="s">
        <v>166</v>
      </c>
      <c r="AB320" s="48">
        <v>1.0</v>
      </c>
      <c r="AC320" s="48" t="s">
        <v>910</v>
      </c>
      <c r="AD320" s="48" t="s">
        <v>166</v>
      </c>
      <c r="AE320" s="54" t="s">
        <v>166</v>
      </c>
      <c r="AF320" s="55" t="s">
        <v>166</v>
      </c>
      <c r="AG320" s="51" t="s">
        <v>166</v>
      </c>
      <c r="AH320" s="48">
        <v>2.0</v>
      </c>
      <c r="AI320" s="48" t="s">
        <v>166</v>
      </c>
      <c r="AJ320" s="50" t="s">
        <v>166</v>
      </c>
      <c r="AK320" s="56" t="s">
        <v>166</v>
      </c>
      <c r="AL320" s="57">
        <f>5550*0.03</f>
        <v>166.5</v>
      </c>
      <c r="AM320" s="58"/>
      <c r="AN320" s="59"/>
      <c r="AO320" s="60"/>
      <c r="AP320" s="65"/>
      <c r="AQ320" s="66"/>
    </row>
    <row r="321">
      <c r="A321" s="99" t="s">
        <v>1135</v>
      </c>
      <c r="B321" s="73" t="s">
        <v>1251</v>
      </c>
      <c r="C321" s="63" t="s">
        <v>262</v>
      </c>
      <c r="D321" s="48">
        <v>340.0</v>
      </c>
      <c r="E321" s="48">
        <v>160.0</v>
      </c>
      <c r="F321" s="48">
        <v>300.0</v>
      </c>
      <c r="G321" s="49">
        <f t="shared" si="11"/>
        <v>16.32</v>
      </c>
      <c r="H321" s="49">
        <f t="shared" si="12"/>
        <v>544</v>
      </c>
      <c r="I321" s="48">
        <v>2.0</v>
      </c>
      <c r="J321" s="48" t="s">
        <v>597</v>
      </c>
      <c r="K321" s="50" t="s">
        <v>164</v>
      </c>
      <c r="L321" s="51">
        <v>130.0</v>
      </c>
      <c r="M321" s="50" t="s">
        <v>166</v>
      </c>
      <c r="N321" s="51" t="s">
        <v>166</v>
      </c>
      <c r="O321" s="48">
        <v>305.0</v>
      </c>
      <c r="P321" s="48">
        <v>135.0</v>
      </c>
      <c r="Q321" s="48">
        <v>80.0</v>
      </c>
      <c r="R321" s="48">
        <v>4.0</v>
      </c>
      <c r="S321" s="50" t="s">
        <v>166</v>
      </c>
      <c r="T321" s="52" t="s">
        <v>423</v>
      </c>
      <c r="U321" s="52" t="s">
        <v>324</v>
      </c>
      <c r="V321" s="51">
        <v>1.0</v>
      </c>
      <c r="W321" s="48">
        <v>1.0</v>
      </c>
      <c r="X321" s="50" t="s">
        <v>166</v>
      </c>
      <c r="Y321" s="51" t="s">
        <v>166</v>
      </c>
      <c r="Z321" s="48" t="s">
        <v>166</v>
      </c>
      <c r="AA321" s="48">
        <v>1.0</v>
      </c>
      <c r="AB321" s="48" t="s">
        <v>166</v>
      </c>
      <c r="AC321" s="48">
        <v>4.0</v>
      </c>
      <c r="AD321" s="48" t="s">
        <v>166</v>
      </c>
      <c r="AE321" s="54" t="s">
        <v>166</v>
      </c>
      <c r="AF321" s="55" t="s">
        <v>166</v>
      </c>
      <c r="AG321" s="51" t="s">
        <v>166</v>
      </c>
      <c r="AH321" s="48">
        <v>1.0</v>
      </c>
      <c r="AI321" s="48" t="s">
        <v>166</v>
      </c>
      <c r="AJ321" s="50" t="s">
        <v>166</v>
      </c>
      <c r="AK321" s="56">
        <v>259.0</v>
      </c>
      <c r="AL321" s="57">
        <f>AK321*Sheets!$E$3</f>
        <v>35.7019845</v>
      </c>
      <c r="AM321" s="68"/>
      <c r="AN321" s="70"/>
      <c r="AO321" s="60" t="s">
        <v>181</v>
      </c>
      <c r="AP321" s="72">
        <v>44442.909879687504</v>
      </c>
      <c r="AQ321" s="66"/>
    </row>
    <row r="322">
      <c r="A322" s="46" t="str">
        <f t="shared" ref="A322:A323" si="16">HYPERLINK("https://geeek.world.taobao.com/","GEEEK机箱")</f>
        <v>GEEEK机箱</v>
      </c>
      <c r="B322" s="73" t="s">
        <v>1252</v>
      </c>
      <c r="C322" s="63" t="s">
        <v>262</v>
      </c>
      <c r="D322" s="48">
        <v>330.0</v>
      </c>
      <c r="E322" s="48">
        <v>165.0</v>
      </c>
      <c r="F322" s="48">
        <v>300.0</v>
      </c>
      <c r="G322" s="49">
        <f t="shared" si="11"/>
        <v>16.335</v>
      </c>
      <c r="H322" s="49">
        <f t="shared" si="12"/>
        <v>544.5</v>
      </c>
      <c r="I322" s="48">
        <v>3.5</v>
      </c>
      <c r="J322" s="48" t="s">
        <v>245</v>
      </c>
      <c r="K322" s="50" t="s">
        <v>1253</v>
      </c>
      <c r="L322" s="51">
        <v>137.0</v>
      </c>
      <c r="M322" s="50" t="s">
        <v>166</v>
      </c>
      <c r="N322" s="51" t="s">
        <v>166</v>
      </c>
      <c r="O322" s="48">
        <v>320.0</v>
      </c>
      <c r="P322" s="48">
        <v>131.0</v>
      </c>
      <c r="Q322" s="48">
        <v>80.0</v>
      </c>
      <c r="R322" s="48">
        <v>4.0</v>
      </c>
      <c r="S322" s="50" t="s">
        <v>166</v>
      </c>
      <c r="T322" s="52" t="s">
        <v>423</v>
      </c>
      <c r="U322" s="52" t="s">
        <v>346</v>
      </c>
      <c r="V322" s="51">
        <v>2.0</v>
      </c>
      <c r="W322" s="48" t="s">
        <v>166</v>
      </c>
      <c r="X322" s="50" t="s">
        <v>166</v>
      </c>
      <c r="Y322" s="51" t="s">
        <v>166</v>
      </c>
      <c r="Z322" s="48" t="s">
        <v>166</v>
      </c>
      <c r="AA322" s="48" t="s">
        <v>166</v>
      </c>
      <c r="AB322" s="48">
        <v>1.0</v>
      </c>
      <c r="AC322" s="48" t="s">
        <v>435</v>
      </c>
      <c r="AD322" s="48" t="s">
        <v>194</v>
      </c>
      <c r="AE322" s="54" t="s">
        <v>166</v>
      </c>
      <c r="AF322" s="55" t="s">
        <v>166</v>
      </c>
      <c r="AG322" s="51" t="s">
        <v>166</v>
      </c>
      <c r="AH322" s="48">
        <v>2.0</v>
      </c>
      <c r="AI322" s="48" t="s">
        <v>166</v>
      </c>
      <c r="AJ322" s="50" t="s">
        <v>166</v>
      </c>
      <c r="AK322" s="56">
        <v>278.0</v>
      </c>
      <c r="AL322" s="57">
        <f>AK322*Sheets!$E$3</f>
        <v>38.321049</v>
      </c>
      <c r="AM322" s="68"/>
      <c r="AN322" s="70"/>
      <c r="AO322" s="60" t="s">
        <v>181</v>
      </c>
      <c r="AP322" s="72">
        <v>45446.534048125</v>
      </c>
      <c r="AQ322" s="66"/>
    </row>
    <row r="323">
      <c r="A323" s="46" t="str">
        <f t="shared" si="16"/>
        <v>GEEEK机箱</v>
      </c>
      <c r="B323" s="73" t="s">
        <v>1254</v>
      </c>
      <c r="C323" s="63" t="s">
        <v>262</v>
      </c>
      <c r="D323" s="48">
        <v>330.0</v>
      </c>
      <c r="E323" s="48">
        <v>165.0</v>
      </c>
      <c r="F323" s="48">
        <v>300.0</v>
      </c>
      <c r="G323" s="49">
        <f t="shared" si="11"/>
        <v>16.335</v>
      </c>
      <c r="H323" s="49">
        <f t="shared" si="12"/>
        <v>544.5</v>
      </c>
      <c r="I323" s="48">
        <v>3.5</v>
      </c>
      <c r="J323" s="48" t="s">
        <v>245</v>
      </c>
      <c r="K323" s="50" t="s">
        <v>1253</v>
      </c>
      <c r="L323" s="51">
        <v>137.0</v>
      </c>
      <c r="M323" s="50" t="s">
        <v>547</v>
      </c>
      <c r="N323" s="51" t="s">
        <v>166</v>
      </c>
      <c r="O323" s="48">
        <v>320.0</v>
      </c>
      <c r="P323" s="48">
        <v>131.0</v>
      </c>
      <c r="Q323" s="48">
        <v>60.0</v>
      </c>
      <c r="R323" s="48">
        <v>3.0</v>
      </c>
      <c r="S323" s="50" t="s">
        <v>166</v>
      </c>
      <c r="T323" s="52" t="s">
        <v>881</v>
      </c>
      <c r="U323" s="52" t="s">
        <v>816</v>
      </c>
      <c r="V323" s="51">
        <v>2.0</v>
      </c>
      <c r="W323" s="48" t="s">
        <v>166</v>
      </c>
      <c r="X323" s="50" t="s">
        <v>166</v>
      </c>
      <c r="Y323" s="51" t="s">
        <v>166</v>
      </c>
      <c r="Z323" s="48" t="s">
        <v>166</v>
      </c>
      <c r="AA323" s="48" t="s">
        <v>166</v>
      </c>
      <c r="AB323" s="48" t="s">
        <v>166</v>
      </c>
      <c r="AC323" s="48">
        <v>2.0</v>
      </c>
      <c r="AD323" s="48" t="s">
        <v>166</v>
      </c>
      <c r="AE323" s="54" t="s">
        <v>166</v>
      </c>
      <c r="AF323" s="55" t="s">
        <v>166</v>
      </c>
      <c r="AG323" s="51" t="s">
        <v>166</v>
      </c>
      <c r="AH323" s="48">
        <v>2.0</v>
      </c>
      <c r="AI323" s="48" t="s">
        <v>166</v>
      </c>
      <c r="AJ323" s="50" t="s">
        <v>166</v>
      </c>
      <c r="AK323" s="56">
        <v>278.0</v>
      </c>
      <c r="AL323" s="57">
        <f>AK323*Sheets!$E$3</f>
        <v>38.321049</v>
      </c>
      <c r="AM323" s="68"/>
      <c r="AN323" s="70"/>
      <c r="AO323" s="60" t="s">
        <v>181</v>
      </c>
      <c r="AP323" s="72">
        <v>45446.53409884259</v>
      </c>
      <c r="AQ323" s="66"/>
    </row>
    <row r="324">
      <c r="A324" s="82" t="str">
        <f>HYPERLINK("https://thor-zone.com/","Thor Zone")</f>
        <v>Thor Zone</v>
      </c>
      <c r="B324" s="62" t="s">
        <v>1255</v>
      </c>
      <c r="C324" s="63" t="s">
        <v>248</v>
      </c>
      <c r="D324" s="48">
        <v>407.0</v>
      </c>
      <c r="E324" s="48">
        <v>164.0</v>
      </c>
      <c r="F324" s="48">
        <v>245.0</v>
      </c>
      <c r="G324" s="49">
        <f t="shared" si="11"/>
        <v>16.35326</v>
      </c>
      <c r="H324" s="49">
        <f t="shared" si="12"/>
        <v>667.48</v>
      </c>
      <c r="I324" s="48">
        <v>4.3</v>
      </c>
      <c r="J324" s="48" t="s">
        <v>164</v>
      </c>
      <c r="K324" s="50" t="s">
        <v>171</v>
      </c>
      <c r="L324" s="51">
        <v>51.0</v>
      </c>
      <c r="M324" s="50" t="s">
        <v>825</v>
      </c>
      <c r="N324" s="51" t="s">
        <v>174</v>
      </c>
      <c r="O324" s="48">
        <v>378.0</v>
      </c>
      <c r="P324" s="48">
        <v>165.0</v>
      </c>
      <c r="Q324" s="48">
        <v>83.0</v>
      </c>
      <c r="R324" s="48">
        <v>4.0</v>
      </c>
      <c r="S324" s="50" t="s">
        <v>166</v>
      </c>
      <c r="T324" s="52" t="s">
        <v>167</v>
      </c>
      <c r="U324" s="52" t="s">
        <v>346</v>
      </c>
      <c r="V324" s="51" t="s">
        <v>166</v>
      </c>
      <c r="W324" s="48" t="s">
        <v>166</v>
      </c>
      <c r="X324" s="50" t="s">
        <v>166</v>
      </c>
      <c r="Y324" s="51" t="s">
        <v>166</v>
      </c>
      <c r="Z324" s="48" t="s">
        <v>166</v>
      </c>
      <c r="AA324" s="48" t="s">
        <v>166</v>
      </c>
      <c r="AB324" s="48" t="s">
        <v>166</v>
      </c>
      <c r="AC324" s="48" t="s">
        <v>193</v>
      </c>
      <c r="AD324" s="48" t="s">
        <v>193</v>
      </c>
      <c r="AE324" s="54" t="s">
        <v>166</v>
      </c>
      <c r="AF324" s="55" t="s">
        <v>166</v>
      </c>
      <c r="AG324" s="51" t="s">
        <v>166</v>
      </c>
      <c r="AH324" s="48" t="s">
        <v>166</v>
      </c>
      <c r="AI324" s="48" t="s">
        <v>166</v>
      </c>
      <c r="AJ324" s="50" t="s">
        <v>166</v>
      </c>
      <c r="AK324" s="56" t="s">
        <v>166</v>
      </c>
      <c r="AL324" s="57">
        <f>364*1.08</f>
        <v>393.12</v>
      </c>
      <c r="AM324" s="64"/>
      <c r="AN324" s="59"/>
      <c r="AO324" s="60"/>
      <c r="AP324" s="65"/>
      <c r="AQ324" s="66"/>
    </row>
    <row r="325">
      <c r="A325" s="61" t="str">
        <f>HYPERLINK("https://www.hydra-shop.com/","Hydra Shop")</f>
        <v>Hydra Shop</v>
      </c>
      <c r="B325" s="62" t="s">
        <v>1256</v>
      </c>
      <c r="C325" s="63" t="s">
        <v>282</v>
      </c>
      <c r="D325" s="48">
        <v>293.5</v>
      </c>
      <c r="E325" s="48">
        <v>155.0</v>
      </c>
      <c r="F325" s="48">
        <v>359.5</v>
      </c>
      <c r="G325" s="49">
        <f t="shared" si="11"/>
        <v>16.35455375</v>
      </c>
      <c r="H325" s="49">
        <f t="shared" si="12"/>
        <v>454.925</v>
      </c>
      <c r="I325" s="48">
        <v>2.0</v>
      </c>
      <c r="J325" s="48" t="s">
        <v>282</v>
      </c>
      <c r="K325" s="50" t="s">
        <v>1257</v>
      </c>
      <c r="L325" s="51" t="s">
        <v>282</v>
      </c>
      <c r="M325" s="50" t="s">
        <v>547</v>
      </c>
      <c r="N325" s="51" t="s">
        <v>166</v>
      </c>
      <c r="O325" s="48" t="s">
        <v>282</v>
      </c>
      <c r="P325" s="48" t="s">
        <v>282</v>
      </c>
      <c r="Q325" s="48" t="s">
        <v>282</v>
      </c>
      <c r="R325" s="48" t="s">
        <v>282</v>
      </c>
      <c r="S325" s="50" t="s">
        <v>166</v>
      </c>
      <c r="T325" s="52" t="s">
        <v>1102</v>
      </c>
      <c r="U325" s="52" t="s">
        <v>599</v>
      </c>
      <c r="V325" s="51" t="s">
        <v>220</v>
      </c>
      <c r="W325" s="48" t="s">
        <v>166</v>
      </c>
      <c r="X325" s="50" t="s">
        <v>166</v>
      </c>
      <c r="Y325" s="51" t="s">
        <v>166</v>
      </c>
      <c r="Z325" s="48" t="s">
        <v>166</v>
      </c>
      <c r="AA325" s="48" t="s">
        <v>166</v>
      </c>
      <c r="AB325" s="48" t="s">
        <v>166</v>
      </c>
      <c r="AC325" s="48">
        <v>2.0</v>
      </c>
      <c r="AD325" s="48" t="s">
        <v>166</v>
      </c>
      <c r="AE325" s="54" t="s">
        <v>166</v>
      </c>
      <c r="AF325" s="55" t="s">
        <v>166</v>
      </c>
      <c r="AG325" s="51" t="s">
        <v>166</v>
      </c>
      <c r="AH325" s="48" t="s">
        <v>166</v>
      </c>
      <c r="AI325" s="48" t="s">
        <v>166</v>
      </c>
      <c r="AJ325" s="50" t="s">
        <v>166</v>
      </c>
      <c r="AK325" s="56" t="s">
        <v>166</v>
      </c>
      <c r="AL325" s="57">
        <f>69.99*1.18</f>
        <v>82.5882</v>
      </c>
      <c r="AM325" s="58"/>
      <c r="AN325" s="59"/>
      <c r="AO325" s="60"/>
      <c r="AP325" s="65">
        <v>44529.437419016205</v>
      </c>
      <c r="AQ325" s="66"/>
    </row>
    <row r="326">
      <c r="A326" s="69" t="str">
        <f>HYPERLINK("https://shop114698654.world.taobao.com/","酷酷的小机箱")</f>
        <v>酷酷的小机箱</v>
      </c>
      <c r="B326" s="73" t="s">
        <v>1258</v>
      </c>
      <c r="C326" s="63" t="s">
        <v>262</v>
      </c>
      <c r="D326" s="48">
        <v>271.0</v>
      </c>
      <c r="E326" s="48">
        <v>164.0</v>
      </c>
      <c r="F326" s="48">
        <v>368.0</v>
      </c>
      <c r="G326" s="49">
        <f t="shared" si="11"/>
        <v>16.355392</v>
      </c>
      <c r="H326" s="49">
        <f t="shared" si="12"/>
        <v>444.44</v>
      </c>
      <c r="I326" s="48" t="s">
        <v>170</v>
      </c>
      <c r="J326" s="48" t="s">
        <v>164</v>
      </c>
      <c r="K326" s="50" t="s">
        <v>323</v>
      </c>
      <c r="L326" s="51">
        <v>135.0</v>
      </c>
      <c r="M326" s="50">
        <v>120.0</v>
      </c>
      <c r="N326" s="51" t="s">
        <v>166</v>
      </c>
      <c r="O326" s="48">
        <v>262.0</v>
      </c>
      <c r="P326" s="48">
        <v>140.0</v>
      </c>
      <c r="Q326" s="48">
        <v>80.0</v>
      </c>
      <c r="R326" s="48">
        <v>4.0</v>
      </c>
      <c r="S326" s="50" t="s">
        <v>166</v>
      </c>
      <c r="T326" s="52" t="s">
        <v>423</v>
      </c>
      <c r="U326" s="52" t="s">
        <v>599</v>
      </c>
      <c r="V326" s="51" t="s">
        <v>207</v>
      </c>
      <c r="W326" s="48" t="s">
        <v>435</v>
      </c>
      <c r="X326" s="50" t="s">
        <v>166</v>
      </c>
      <c r="Y326" s="51" t="s">
        <v>166</v>
      </c>
      <c r="Z326" s="48">
        <v>2.0</v>
      </c>
      <c r="AA326" s="48" t="s">
        <v>166</v>
      </c>
      <c r="AB326" s="48" t="s">
        <v>166</v>
      </c>
      <c r="AC326" s="48">
        <v>3.0</v>
      </c>
      <c r="AD326" s="48" t="s">
        <v>166</v>
      </c>
      <c r="AE326" s="54" t="s">
        <v>166</v>
      </c>
      <c r="AF326" s="55" t="s">
        <v>166</v>
      </c>
      <c r="AG326" s="51" t="s">
        <v>166</v>
      </c>
      <c r="AH326" s="48">
        <v>2.0</v>
      </c>
      <c r="AI326" s="48" t="s">
        <v>166</v>
      </c>
      <c r="AJ326" s="50" t="s">
        <v>174</v>
      </c>
      <c r="AK326" s="56">
        <v>380.0</v>
      </c>
      <c r="AL326" s="57">
        <f>AK326*Sheets!$E$3</f>
        <v>52.38129</v>
      </c>
      <c r="AM326" s="68"/>
      <c r="AN326" s="70"/>
      <c r="AO326" s="71" t="s">
        <v>181</v>
      </c>
      <c r="AP326" s="72">
        <v>44604.562856226854</v>
      </c>
      <c r="AQ326" s="66"/>
    </row>
    <row r="327">
      <c r="A327" s="61" t="str">
        <f>HYPERLINK("https://www.zalman.com/","Zalman")</f>
        <v>Zalman</v>
      </c>
      <c r="B327" s="62" t="str">
        <f>HYPERLINK("https://www.overclockers.co.uk/zalman-z-machine-300-aluminium-mini-itx-case-silver-window-ca-09y-za.html","Z-Machine 300")</f>
        <v>Z-Machine 300</v>
      </c>
      <c r="C327" s="63" t="s">
        <v>248</v>
      </c>
      <c r="D327" s="48">
        <v>330.0</v>
      </c>
      <c r="E327" s="48">
        <v>160.0</v>
      </c>
      <c r="F327" s="48">
        <v>310.0</v>
      </c>
      <c r="G327" s="49">
        <f t="shared" si="11"/>
        <v>16.368</v>
      </c>
      <c r="H327" s="49">
        <f t="shared" si="12"/>
        <v>528</v>
      </c>
      <c r="I327" s="48">
        <v>3.8</v>
      </c>
      <c r="J327" s="48" t="s">
        <v>245</v>
      </c>
      <c r="K327" s="50" t="s">
        <v>164</v>
      </c>
      <c r="L327" s="51">
        <v>72.0</v>
      </c>
      <c r="M327" s="50" t="s">
        <v>1003</v>
      </c>
      <c r="N327" s="51" t="s">
        <v>174</v>
      </c>
      <c r="O327" s="48">
        <v>310.0</v>
      </c>
      <c r="P327" s="48" t="s">
        <v>170</v>
      </c>
      <c r="Q327" s="48">
        <v>40.0</v>
      </c>
      <c r="R327" s="48">
        <v>2.0</v>
      </c>
      <c r="S327" s="50" t="s">
        <v>166</v>
      </c>
      <c r="T327" s="52" t="s">
        <v>167</v>
      </c>
      <c r="U327" s="52" t="s">
        <v>346</v>
      </c>
      <c r="V327" s="51">
        <v>3.0</v>
      </c>
      <c r="W327" s="48" t="s">
        <v>166</v>
      </c>
      <c r="X327" s="50" t="s">
        <v>166</v>
      </c>
      <c r="Y327" s="51" t="s">
        <v>166</v>
      </c>
      <c r="Z327" s="48" t="s">
        <v>166</v>
      </c>
      <c r="AA327" s="48" t="s">
        <v>166</v>
      </c>
      <c r="AB327" s="48" t="s">
        <v>166</v>
      </c>
      <c r="AC327" s="48">
        <v>4.0</v>
      </c>
      <c r="AD327" s="48" t="s">
        <v>166</v>
      </c>
      <c r="AE327" s="54" t="s">
        <v>166</v>
      </c>
      <c r="AF327" s="55" t="s">
        <v>166</v>
      </c>
      <c r="AG327" s="51" t="s">
        <v>166</v>
      </c>
      <c r="AH327" s="48" t="s">
        <v>166</v>
      </c>
      <c r="AI327" s="48" t="s">
        <v>166</v>
      </c>
      <c r="AJ327" s="50" t="s">
        <v>166</v>
      </c>
      <c r="AK327" s="56" t="s">
        <v>166</v>
      </c>
      <c r="AL327" s="57">
        <f>269.99*1.25</f>
        <v>337.4875</v>
      </c>
      <c r="AM327" s="58"/>
      <c r="AN327" s="59"/>
      <c r="AO327" s="60"/>
      <c r="AP327" s="60"/>
      <c r="AQ327" s="66"/>
    </row>
    <row r="328">
      <c r="A328" s="82" t="str">
        <f>HYPERLINK("http://sliger.com/","Sliger")</f>
        <v>Sliger</v>
      </c>
      <c r="B328" s="88" t="s">
        <v>1259</v>
      </c>
      <c r="C328" s="63" t="s">
        <v>262</v>
      </c>
      <c r="D328" s="48">
        <v>344.0</v>
      </c>
      <c r="E328" s="48">
        <v>186.0</v>
      </c>
      <c r="F328" s="48">
        <v>256.0</v>
      </c>
      <c r="G328" s="49">
        <f t="shared" si="11"/>
        <v>16.379904</v>
      </c>
      <c r="H328" s="49">
        <f t="shared" si="12"/>
        <v>639.84</v>
      </c>
      <c r="I328" s="48">
        <v>3.58</v>
      </c>
      <c r="J328" s="48" t="s">
        <v>274</v>
      </c>
      <c r="K328" s="50" t="s">
        <v>1072</v>
      </c>
      <c r="L328" s="51">
        <v>165.0</v>
      </c>
      <c r="M328" s="50" t="s">
        <v>1073</v>
      </c>
      <c r="N328" s="51" t="s">
        <v>166</v>
      </c>
      <c r="O328" s="48">
        <v>323.0</v>
      </c>
      <c r="P328" s="48">
        <v>170.0</v>
      </c>
      <c r="Q328" s="48">
        <v>70.0</v>
      </c>
      <c r="R328" s="48">
        <v>3.0</v>
      </c>
      <c r="S328" s="50" t="s">
        <v>166</v>
      </c>
      <c r="T328" s="52" t="s">
        <v>227</v>
      </c>
      <c r="U328" s="52" t="s">
        <v>346</v>
      </c>
      <c r="V328" s="51" t="s">
        <v>416</v>
      </c>
      <c r="W328" s="48" t="s">
        <v>426</v>
      </c>
      <c r="X328" s="50" t="s">
        <v>166</v>
      </c>
      <c r="Y328" s="51" t="s">
        <v>166</v>
      </c>
      <c r="Z328" s="48" t="s">
        <v>166</v>
      </c>
      <c r="AA328" s="48" t="s">
        <v>166</v>
      </c>
      <c r="AB328" s="48" t="s">
        <v>166</v>
      </c>
      <c r="AC328" s="48" t="s">
        <v>1260</v>
      </c>
      <c r="AD328" s="48" t="s">
        <v>195</v>
      </c>
      <c r="AE328" s="54" t="s">
        <v>166</v>
      </c>
      <c r="AF328" s="55" t="s">
        <v>166</v>
      </c>
      <c r="AG328" s="51" t="s">
        <v>166</v>
      </c>
      <c r="AH328" s="48">
        <v>2.0</v>
      </c>
      <c r="AI328" s="48" t="s">
        <v>166</v>
      </c>
      <c r="AJ328" s="50" t="s">
        <v>166</v>
      </c>
      <c r="AK328" s="56" t="s">
        <v>166</v>
      </c>
      <c r="AL328" s="57">
        <v>249.0</v>
      </c>
      <c r="AM328" s="58"/>
      <c r="AN328" s="59"/>
      <c r="AO328" s="60"/>
      <c r="AP328" s="65">
        <v>44604.530128865736</v>
      </c>
      <c r="AQ328" s="66"/>
    </row>
    <row r="329">
      <c r="A329" s="61" t="s">
        <v>250</v>
      </c>
      <c r="B329" s="88" t="s">
        <v>1261</v>
      </c>
      <c r="C329" s="63" t="s">
        <v>282</v>
      </c>
      <c r="D329" s="48">
        <v>284.0</v>
      </c>
      <c r="E329" s="48">
        <v>170.0</v>
      </c>
      <c r="F329" s="48">
        <v>340.0</v>
      </c>
      <c r="G329" s="49">
        <f t="shared" si="11"/>
        <v>16.4152</v>
      </c>
      <c r="H329" s="49">
        <f t="shared" si="12"/>
        <v>482.8</v>
      </c>
      <c r="I329" s="48" t="s">
        <v>170</v>
      </c>
      <c r="J329" s="48" t="s">
        <v>282</v>
      </c>
      <c r="K329" s="50" t="s">
        <v>164</v>
      </c>
      <c r="L329" s="51" t="s">
        <v>282</v>
      </c>
      <c r="M329" s="50" t="s">
        <v>825</v>
      </c>
      <c r="N329" s="51" t="s">
        <v>232</v>
      </c>
      <c r="O329" s="48" t="s">
        <v>282</v>
      </c>
      <c r="P329" s="48" t="s">
        <v>282</v>
      </c>
      <c r="Q329" s="48" t="s">
        <v>282</v>
      </c>
      <c r="R329" s="48">
        <v>8.0</v>
      </c>
      <c r="S329" s="50" t="s">
        <v>166</v>
      </c>
      <c r="T329" s="52" t="s">
        <v>696</v>
      </c>
      <c r="U329" s="52" t="s">
        <v>599</v>
      </c>
      <c r="V329" s="51">
        <v>3.0</v>
      </c>
      <c r="W329" s="48" t="s">
        <v>166</v>
      </c>
      <c r="X329" s="50" t="s">
        <v>166</v>
      </c>
      <c r="Y329" s="51" t="s">
        <v>166</v>
      </c>
      <c r="Z329" s="48" t="s">
        <v>166</v>
      </c>
      <c r="AA329" s="48" t="s">
        <v>166</v>
      </c>
      <c r="AB329" s="48" t="s">
        <v>166</v>
      </c>
      <c r="AC329" s="48" t="s">
        <v>278</v>
      </c>
      <c r="AD329" s="48" t="s">
        <v>278</v>
      </c>
      <c r="AE329" s="54" t="s">
        <v>166</v>
      </c>
      <c r="AF329" s="55" t="s">
        <v>166</v>
      </c>
      <c r="AG329" s="51" t="s">
        <v>166</v>
      </c>
      <c r="AH329" s="48" t="s">
        <v>166</v>
      </c>
      <c r="AI329" s="48" t="s">
        <v>166</v>
      </c>
      <c r="AJ329" s="50" t="s">
        <v>166</v>
      </c>
      <c r="AK329" s="56">
        <v>980.0</v>
      </c>
      <c r="AL329" s="57">
        <v>185.0</v>
      </c>
      <c r="AM329" s="64" t="s">
        <v>214</v>
      </c>
      <c r="AN329" s="70"/>
      <c r="AO329" s="71"/>
      <c r="AP329" s="72">
        <v>44727.969312905094</v>
      </c>
      <c r="AQ329" s="66"/>
    </row>
    <row r="330">
      <c r="A330" s="69" t="str">
        <f>HYPERLINK("https://sktcase.world.taobao.com/","SKTC")</f>
        <v>SKTC</v>
      </c>
      <c r="B330" s="46" t="str">
        <f>HYPERLINK("https://item.taobao.com/item.htm?id=553475289354","Q2")</f>
        <v>Q2</v>
      </c>
      <c r="C330" s="63" t="s">
        <v>262</v>
      </c>
      <c r="D330" s="48">
        <v>300.0</v>
      </c>
      <c r="E330" s="48">
        <v>193.0</v>
      </c>
      <c r="F330" s="48">
        <v>285.0</v>
      </c>
      <c r="G330" s="49">
        <f t="shared" si="11"/>
        <v>16.5015</v>
      </c>
      <c r="H330" s="49">
        <f t="shared" si="12"/>
        <v>579</v>
      </c>
      <c r="I330" s="48">
        <v>2.8</v>
      </c>
      <c r="J330" s="48" t="s">
        <v>235</v>
      </c>
      <c r="K330" s="50" t="s">
        <v>1262</v>
      </c>
      <c r="L330" s="51">
        <v>160.0</v>
      </c>
      <c r="M330" s="50">
        <v>120.0</v>
      </c>
      <c r="N330" s="51" t="s">
        <v>166</v>
      </c>
      <c r="O330" s="48">
        <v>270.0</v>
      </c>
      <c r="P330" s="48">
        <v>165.0</v>
      </c>
      <c r="Q330" s="48">
        <v>60.0</v>
      </c>
      <c r="R330" s="48">
        <v>3.0</v>
      </c>
      <c r="S330" s="50" t="s">
        <v>166</v>
      </c>
      <c r="T330" s="52" t="s">
        <v>1263</v>
      </c>
      <c r="U330" s="52" t="s">
        <v>686</v>
      </c>
      <c r="V330" s="51" t="s">
        <v>412</v>
      </c>
      <c r="W330" s="48" t="s">
        <v>194</v>
      </c>
      <c r="X330" s="50" t="s">
        <v>166</v>
      </c>
      <c r="Y330" s="51" t="s">
        <v>166</v>
      </c>
      <c r="Z330" s="48" t="s">
        <v>166</v>
      </c>
      <c r="AA330" s="48" t="s">
        <v>166</v>
      </c>
      <c r="AB330" s="48" t="s">
        <v>166</v>
      </c>
      <c r="AC330" s="48">
        <v>3.0</v>
      </c>
      <c r="AD330" s="48" t="s">
        <v>166</v>
      </c>
      <c r="AE330" s="54" t="s">
        <v>166</v>
      </c>
      <c r="AF330" s="55" t="s">
        <v>166</v>
      </c>
      <c r="AG330" s="51" t="s">
        <v>166</v>
      </c>
      <c r="AH330" s="48">
        <v>2.0</v>
      </c>
      <c r="AI330" s="48" t="s">
        <v>166</v>
      </c>
      <c r="AJ330" s="50" t="s">
        <v>174</v>
      </c>
      <c r="AK330" s="56">
        <v>239.0</v>
      </c>
      <c r="AL330" s="57">
        <f>AK330*Sheets!$E$3</f>
        <v>32.9450745</v>
      </c>
      <c r="AM330" s="68"/>
      <c r="AN330" s="59"/>
      <c r="AO330" s="60"/>
      <c r="AP330" s="65">
        <v>44442.90547974537</v>
      </c>
      <c r="AQ330" s="66"/>
    </row>
    <row r="331">
      <c r="A331" s="69" t="s">
        <v>1264</v>
      </c>
      <c r="B331" s="73" t="s">
        <v>1265</v>
      </c>
      <c r="C331" s="63" t="s">
        <v>262</v>
      </c>
      <c r="D331" s="48">
        <v>270.0</v>
      </c>
      <c r="E331" s="48">
        <v>175.0</v>
      </c>
      <c r="F331" s="48">
        <v>350.0</v>
      </c>
      <c r="G331" s="49">
        <f t="shared" si="11"/>
        <v>16.5375</v>
      </c>
      <c r="H331" s="49">
        <f t="shared" si="12"/>
        <v>472.5</v>
      </c>
      <c r="I331" s="48" t="s">
        <v>170</v>
      </c>
      <c r="J331" s="48" t="s">
        <v>171</v>
      </c>
      <c r="K331" s="50" t="s">
        <v>1266</v>
      </c>
      <c r="L331" s="51">
        <v>150.0</v>
      </c>
      <c r="M331" s="50" t="s">
        <v>547</v>
      </c>
      <c r="N331" s="51" t="s">
        <v>166</v>
      </c>
      <c r="O331" s="48">
        <v>260.0</v>
      </c>
      <c r="P331" s="48">
        <v>155.0</v>
      </c>
      <c r="Q331" s="48">
        <v>80.0</v>
      </c>
      <c r="R331" s="48">
        <v>4.0</v>
      </c>
      <c r="S331" s="50" t="s">
        <v>166</v>
      </c>
      <c r="T331" s="52" t="s">
        <v>423</v>
      </c>
      <c r="U331" s="52" t="s">
        <v>599</v>
      </c>
      <c r="V331" s="51" t="s">
        <v>207</v>
      </c>
      <c r="W331" s="48" t="s">
        <v>194</v>
      </c>
      <c r="X331" s="50" t="s">
        <v>166</v>
      </c>
      <c r="Y331" s="51" t="s">
        <v>166</v>
      </c>
      <c r="Z331" s="48" t="s">
        <v>166</v>
      </c>
      <c r="AA331" s="48">
        <v>1.0</v>
      </c>
      <c r="AB331" s="48" t="s">
        <v>166</v>
      </c>
      <c r="AC331" s="48">
        <v>3.0</v>
      </c>
      <c r="AD331" s="48" t="s">
        <v>166</v>
      </c>
      <c r="AE331" s="54" t="s">
        <v>166</v>
      </c>
      <c r="AF331" s="55" t="s">
        <v>166</v>
      </c>
      <c r="AG331" s="51">
        <v>2.0</v>
      </c>
      <c r="AH331" s="48" t="s">
        <v>166</v>
      </c>
      <c r="AI331" s="48" t="s">
        <v>166</v>
      </c>
      <c r="AJ331" s="50" t="s">
        <v>174</v>
      </c>
      <c r="AK331" s="56">
        <v>48.99</v>
      </c>
      <c r="AL331" s="57">
        <f>AK331*Sheets!$E$3</f>
        <v>6.753051045</v>
      </c>
      <c r="AM331" s="68"/>
      <c r="AN331" s="59"/>
      <c r="AO331" s="60" t="s">
        <v>181</v>
      </c>
      <c r="AP331" s="65">
        <v>44681.60186913195</v>
      </c>
      <c r="AQ331" s="66"/>
    </row>
    <row r="332">
      <c r="A332" s="82" t="str">
        <f>HYPERLINK("http://www.jonsbo.com/en/","Jonsbo")</f>
        <v>Jonsbo</v>
      </c>
      <c r="B332" s="62" t="str">
        <f>HYPERLINK("http://www.jonsbo.com/en/products/umx1plussilver.html","UMX1 Plus")</f>
        <v>UMX1 Plus</v>
      </c>
      <c r="C332" s="63" t="s">
        <v>262</v>
      </c>
      <c r="D332" s="48">
        <v>300.0</v>
      </c>
      <c r="E332" s="48">
        <v>160.0</v>
      </c>
      <c r="F332" s="48">
        <v>345.0</v>
      </c>
      <c r="G332" s="49">
        <f t="shared" si="11"/>
        <v>16.56</v>
      </c>
      <c r="H332" s="49">
        <f t="shared" si="12"/>
        <v>480</v>
      </c>
      <c r="I332" s="48">
        <v>3.85</v>
      </c>
      <c r="J332" s="48" t="s">
        <v>274</v>
      </c>
      <c r="K332" s="50" t="s">
        <v>1267</v>
      </c>
      <c r="L332" s="51">
        <v>130.0</v>
      </c>
      <c r="M332" s="50" t="s">
        <v>166</v>
      </c>
      <c r="N332" s="51" t="s">
        <v>166</v>
      </c>
      <c r="O332" s="48">
        <v>270.0</v>
      </c>
      <c r="P332" s="48">
        <v>135.0</v>
      </c>
      <c r="Q332" s="48">
        <v>40.0</v>
      </c>
      <c r="R332" s="48">
        <v>2.0</v>
      </c>
      <c r="S332" s="50" t="s">
        <v>166</v>
      </c>
      <c r="T332" s="52" t="s">
        <v>167</v>
      </c>
      <c r="U332" s="52" t="s">
        <v>599</v>
      </c>
      <c r="V332" s="51" t="s">
        <v>207</v>
      </c>
      <c r="W332" s="48" t="s">
        <v>194</v>
      </c>
      <c r="X332" s="50" t="s">
        <v>166</v>
      </c>
      <c r="Y332" s="51" t="s">
        <v>166</v>
      </c>
      <c r="Z332" s="48" t="s">
        <v>166</v>
      </c>
      <c r="AA332" s="48">
        <v>1.0</v>
      </c>
      <c r="AB332" s="48" t="s">
        <v>166</v>
      </c>
      <c r="AC332" s="48">
        <v>1.0</v>
      </c>
      <c r="AD332" s="48" t="s">
        <v>166</v>
      </c>
      <c r="AE332" s="54" t="s">
        <v>166</v>
      </c>
      <c r="AF332" s="55" t="s">
        <v>166</v>
      </c>
      <c r="AG332" s="51">
        <v>2.0</v>
      </c>
      <c r="AH332" s="48">
        <v>2.0</v>
      </c>
      <c r="AI332" s="48" t="s">
        <v>166</v>
      </c>
      <c r="AJ332" s="50" t="s">
        <v>174</v>
      </c>
      <c r="AK332" s="56">
        <v>499.0</v>
      </c>
      <c r="AL332" s="57">
        <v>85.5</v>
      </c>
      <c r="AM332" s="68"/>
      <c r="AN332" s="59"/>
      <c r="AO332" s="60"/>
      <c r="AP332" s="65">
        <v>44529.43773910879</v>
      </c>
      <c r="AQ332" s="66"/>
    </row>
    <row r="333">
      <c r="A333" s="61" t="s">
        <v>438</v>
      </c>
      <c r="B333" s="62" t="s">
        <v>1268</v>
      </c>
      <c r="C333" s="63" t="s">
        <v>282</v>
      </c>
      <c r="D333" s="48">
        <v>333.0</v>
      </c>
      <c r="E333" s="48">
        <v>153.0</v>
      </c>
      <c r="F333" s="48">
        <v>326.0</v>
      </c>
      <c r="G333" s="49">
        <f t="shared" si="11"/>
        <v>16.609374</v>
      </c>
      <c r="H333" s="49">
        <f t="shared" si="12"/>
        <v>509.49</v>
      </c>
      <c r="I333" s="48">
        <v>1.4</v>
      </c>
      <c r="J333" s="48" t="s">
        <v>282</v>
      </c>
      <c r="K333" s="50" t="s">
        <v>252</v>
      </c>
      <c r="L333" s="51" t="s">
        <v>282</v>
      </c>
      <c r="M333" s="50" t="s">
        <v>909</v>
      </c>
      <c r="N333" s="51" t="s">
        <v>166</v>
      </c>
      <c r="O333" s="48" t="s">
        <v>282</v>
      </c>
      <c r="P333" s="48" t="s">
        <v>282</v>
      </c>
      <c r="Q333" s="48">
        <v>140.0</v>
      </c>
      <c r="R333" s="48">
        <v>7.0</v>
      </c>
      <c r="S333" s="50" t="s">
        <v>166</v>
      </c>
      <c r="T333" s="52" t="s">
        <v>696</v>
      </c>
      <c r="U333" s="52" t="s">
        <v>346</v>
      </c>
      <c r="V333" s="51">
        <v>1.0</v>
      </c>
      <c r="W333" s="48" t="s">
        <v>166</v>
      </c>
      <c r="X333" s="50" t="s">
        <v>166</v>
      </c>
      <c r="Y333" s="51" t="s">
        <v>166</v>
      </c>
      <c r="Z333" s="48" t="s">
        <v>166</v>
      </c>
      <c r="AA333" s="48" t="s">
        <v>166</v>
      </c>
      <c r="AB333" s="48" t="s">
        <v>166</v>
      </c>
      <c r="AC333" s="48" t="s">
        <v>426</v>
      </c>
      <c r="AD333" s="48" t="s">
        <v>194</v>
      </c>
      <c r="AE333" s="54" t="s">
        <v>166</v>
      </c>
      <c r="AF333" s="55" t="s">
        <v>166</v>
      </c>
      <c r="AG333" s="51" t="s">
        <v>166</v>
      </c>
      <c r="AH333" s="48">
        <v>2.0</v>
      </c>
      <c r="AI333" s="48" t="s">
        <v>166</v>
      </c>
      <c r="AJ333" s="50" t="s">
        <v>166</v>
      </c>
      <c r="AK333" s="56" t="s">
        <v>166</v>
      </c>
      <c r="AL333" s="57">
        <f>3500*0.03</f>
        <v>105</v>
      </c>
      <c r="AM333" s="64"/>
      <c r="AN333" s="59"/>
      <c r="AO333" s="60"/>
      <c r="AP333" s="60"/>
      <c r="AQ333" s="66"/>
    </row>
    <row r="334">
      <c r="A334" s="82" t="str">
        <f>HYPERLINK("http://kolink.eu/index.html","Kolink")</f>
        <v>Kolink</v>
      </c>
      <c r="B334" s="62" t="s">
        <v>1269</v>
      </c>
      <c r="C334" s="63" t="s">
        <v>248</v>
      </c>
      <c r="D334" s="48">
        <v>350.0</v>
      </c>
      <c r="E334" s="48">
        <v>180.0</v>
      </c>
      <c r="F334" s="48">
        <v>265.0</v>
      </c>
      <c r="G334" s="49">
        <f t="shared" si="11"/>
        <v>16.695</v>
      </c>
      <c r="H334" s="49">
        <f t="shared" si="12"/>
        <v>630</v>
      </c>
      <c r="I334" s="48">
        <v>4.75</v>
      </c>
      <c r="J334" s="48" t="s">
        <v>597</v>
      </c>
      <c r="K334" s="50" t="s">
        <v>512</v>
      </c>
      <c r="L334" s="51">
        <v>85.0</v>
      </c>
      <c r="M334" s="50" t="s">
        <v>547</v>
      </c>
      <c r="N334" s="51" t="s">
        <v>174</v>
      </c>
      <c r="O334" s="48">
        <v>340.0</v>
      </c>
      <c r="P334" s="48" t="s">
        <v>170</v>
      </c>
      <c r="Q334" s="48">
        <v>60.0</v>
      </c>
      <c r="R334" s="48">
        <v>3.0</v>
      </c>
      <c r="S334" s="50" t="s">
        <v>166</v>
      </c>
      <c r="T334" s="52" t="s">
        <v>167</v>
      </c>
      <c r="U334" s="52" t="s">
        <v>346</v>
      </c>
      <c r="V334" s="51">
        <v>2.0</v>
      </c>
      <c r="W334" s="48">
        <v>1.0</v>
      </c>
      <c r="X334" s="50" t="s">
        <v>166</v>
      </c>
      <c r="Y334" s="51" t="s">
        <v>166</v>
      </c>
      <c r="Z334" s="48" t="s">
        <v>166</v>
      </c>
      <c r="AA334" s="48" t="s">
        <v>166</v>
      </c>
      <c r="AB334" s="48" t="s">
        <v>166</v>
      </c>
      <c r="AC334" s="48">
        <v>3.0</v>
      </c>
      <c r="AD334" s="48" t="s">
        <v>166</v>
      </c>
      <c r="AE334" s="54" t="s">
        <v>166</v>
      </c>
      <c r="AF334" s="55" t="s">
        <v>166</v>
      </c>
      <c r="AG334" s="51">
        <v>2.0</v>
      </c>
      <c r="AH334" s="48">
        <v>2.0</v>
      </c>
      <c r="AI334" s="48">
        <v>1.0</v>
      </c>
      <c r="AJ334" s="50" t="s">
        <v>174</v>
      </c>
      <c r="AK334" s="56" t="s">
        <v>166</v>
      </c>
      <c r="AL334" s="57">
        <f>120*1.18</f>
        <v>141.6</v>
      </c>
      <c r="AM334" s="58"/>
      <c r="AN334" s="59"/>
      <c r="AO334" s="60"/>
      <c r="AP334" s="60"/>
      <c r="AQ334" s="66"/>
    </row>
    <row r="335">
      <c r="A335" s="82" t="str">
        <f>HYPERLINK("https://www.fractal-design.com/","Fractal Design")</f>
        <v>Fractal Design</v>
      </c>
      <c r="B335" s="62" t="str">
        <f>HYPERLINK("https://www.fractal-design.com/products/cases/era/era-itx/","Era ITX")</f>
        <v>Era ITX</v>
      </c>
      <c r="C335" s="63" t="s">
        <v>262</v>
      </c>
      <c r="D335" s="48">
        <v>325.0</v>
      </c>
      <c r="E335" s="48">
        <v>166.0</v>
      </c>
      <c r="F335" s="48">
        <v>310.0</v>
      </c>
      <c r="G335" s="49">
        <f t="shared" si="11"/>
        <v>16.7245</v>
      </c>
      <c r="H335" s="49">
        <f t="shared" si="12"/>
        <v>539.5</v>
      </c>
      <c r="I335" s="48">
        <v>3.97</v>
      </c>
      <c r="J335" s="48" t="s">
        <v>1270</v>
      </c>
      <c r="K335" s="50" t="s">
        <v>164</v>
      </c>
      <c r="L335" s="51">
        <v>120.0</v>
      </c>
      <c r="M335" s="50" t="s">
        <v>1271</v>
      </c>
      <c r="N335" s="51" t="s">
        <v>166</v>
      </c>
      <c r="O335" s="48">
        <v>295.0</v>
      </c>
      <c r="P335" s="48">
        <v>125.0</v>
      </c>
      <c r="Q335" s="48">
        <v>47.0</v>
      </c>
      <c r="R335" s="48">
        <v>2.0</v>
      </c>
      <c r="S335" s="50" t="s">
        <v>166</v>
      </c>
      <c r="T335" s="52" t="s">
        <v>167</v>
      </c>
      <c r="U335" s="52" t="s">
        <v>816</v>
      </c>
      <c r="V335" s="51" t="s">
        <v>278</v>
      </c>
      <c r="W335" s="48" t="s">
        <v>193</v>
      </c>
      <c r="X335" s="50" t="s">
        <v>166</v>
      </c>
      <c r="Y335" s="51" t="s">
        <v>166</v>
      </c>
      <c r="Z335" s="48" t="s">
        <v>166</v>
      </c>
      <c r="AA335" s="48">
        <v>1.0</v>
      </c>
      <c r="AB335" s="48" t="s">
        <v>166</v>
      </c>
      <c r="AC335" s="48">
        <v>2.0</v>
      </c>
      <c r="AD335" s="48" t="s">
        <v>193</v>
      </c>
      <c r="AE335" s="54" t="s">
        <v>166</v>
      </c>
      <c r="AF335" s="55" t="s">
        <v>166</v>
      </c>
      <c r="AG335" s="51" t="s">
        <v>166</v>
      </c>
      <c r="AH335" s="48">
        <v>2.0</v>
      </c>
      <c r="AI335" s="48">
        <v>1.0</v>
      </c>
      <c r="AJ335" s="50" t="s">
        <v>174</v>
      </c>
      <c r="AK335" s="56" t="s">
        <v>166</v>
      </c>
      <c r="AL335" s="57">
        <v>159.99</v>
      </c>
      <c r="AM335" s="58"/>
      <c r="AN335" s="64" t="s">
        <v>214</v>
      </c>
      <c r="AO335" s="60"/>
      <c r="AP335" s="60"/>
      <c r="AQ335" s="66"/>
    </row>
    <row r="336">
      <c r="A336" s="61" t="s">
        <v>438</v>
      </c>
      <c r="B336" s="62" t="s">
        <v>1272</v>
      </c>
      <c r="C336" s="63" t="s">
        <v>262</v>
      </c>
      <c r="D336" s="48">
        <v>333.0</v>
      </c>
      <c r="E336" s="48">
        <v>190.0</v>
      </c>
      <c r="F336" s="48">
        <v>267.0</v>
      </c>
      <c r="G336" s="49">
        <f t="shared" si="11"/>
        <v>16.89309</v>
      </c>
      <c r="H336" s="49">
        <f t="shared" si="12"/>
        <v>632.7</v>
      </c>
      <c r="I336" s="48">
        <v>3.0</v>
      </c>
      <c r="J336" s="48" t="s">
        <v>164</v>
      </c>
      <c r="K336" s="50" t="s">
        <v>252</v>
      </c>
      <c r="L336" s="51">
        <v>160.0</v>
      </c>
      <c r="M336" s="50" t="s">
        <v>166</v>
      </c>
      <c r="N336" s="51" t="s">
        <v>166</v>
      </c>
      <c r="O336" s="48">
        <v>320.0</v>
      </c>
      <c r="P336" s="48">
        <v>165.0</v>
      </c>
      <c r="Q336" s="48">
        <v>65.0</v>
      </c>
      <c r="R336" s="48">
        <v>2.0</v>
      </c>
      <c r="S336" s="50" t="s">
        <v>166</v>
      </c>
      <c r="T336" s="52" t="s">
        <v>167</v>
      </c>
      <c r="U336" s="52" t="s">
        <v>346</v>
      </c>
      <c r="V336" s="51">
        <v>2.0</v>
      </c>
      <c r="W336" s="48" t="s">
        <v>166</v>
      </c>
      <c r="X336" s="50" t="s">
        <v>166</v>
      </c>
      <c r="Y336" s="51" t="s">
        <v>166</v>
      </c>
      <c r="Z336" s="48" t="s">
        <v>166</v>
      </c>
      <c r="AA336" s="48" t="s">
        <v>166</v>
      </c>
      <c r="AB336" s="48" t="s">
        <v>166</v>
      </c>
      <c r="AC336" s="48">
        <v>6.0</v>
      </c>
      <c r="AD336" s="48" t="s">
        <v>166</v>
      </c>
      <c r="AE336" s="54" t="s">
        <v>166</v>
      </c>
      <c r="AF336" s="55" t="s">
        <v>166</v>
      </c>
      <c r="AG336" s="51" t="s">
        <v>166</v>
      </c>
      <c r="AH336" s="48">
        <v>2.0</v>
      </c>
      <c r="AI336" s="48" t="s">
        <v>166</v>
      </c>
      <c r="AJ336" s="50" t="s">
        <v>166</v>
      </c>
      <c r="AK336" s="56" t="s">
        <v>166</v>
      </c>
      <c r="AL336" s="57">
        <f>5700*0.029</f>
        <v>165.3</v>
      </c>
      <c r="AM336" s="58"/>
      <c r="AN336" s="59"/>
      <c r="AO336" s="60"/>
      <c r="AP336" s="65">
        <v>44696.771545868054</v>
      </c>
      <c r="AQ336" s="66"/>
    </row>
    <row r="337">
      <c r="A337" s="111" t="str">
        <f t="shared" ref="A337:A338" si="17">HYPERLINK("https://www.u-nas.com/","U-NAS")</f>
        <v>U-NAS</v>
      </c>
      <c r="B337" s="112" t="s">
        <v>1273</v>
      </c>
      <c r="C337" s="101" t="s">
        <v>490</v>
      </c>
      <c r="D337" s="74">
        <v>315.0</v>
      </c>
      <c r="E337" s="74">
        <v>275.0</v>
      </c>
      <c r="F337" s="74">
        <v>197.0</v>
      </c>
      <c r="G337" s="114">
        <f t="shared" si="11"/>
        <v>17.065125</v>
      </c>
      <c r="H337" s="115">
        <f t="shared" si="12"/>
        <v>866.25</v>
      </c>
      <c r="I337" s="116">
        <v>5.33</v>
      </c>
      <c r="J337" s="48" t="s">
        <v>164</v>
      </c>
      <c r="K337" s="117" t="s">
        <v>171</v>
      </c>
      <c r="L337" s="118">
        <v>40.0</v>
      </c>
      <c r="M337" s="117" t="s">
        <v>166</v>
      </c>
      <c r="N337" s="51" t="s">
        <v>166</v>
      </c>
      <c r="O337" s="113" t="s">
        <v>166</v>
      </c>
      <c r="P337" s="113" t="s">
        <v>166</v>
      </c>
      <c r="Q337" s="113" t="s">
        <v>166</v>
      </c>
      <c r="R337" s="74">
        <v>1.0</v>
      </c>
      <c r="S337" s="117" t="s">
        <v>166</v>
      </c>
      <c r="T337" s="120" t="s">
        <v>167</v>
      </c>
      <c r="U337" s="53" t="s">
        <v>818</v>
      </c>
      <c r="V337" s="77">
        <v>3.0</v>
      </c>
      <c r="W337" s="74">
        <v>8.0</v>
      </c>
      <c r="X337" s="117" t="s">
        <v>166</v>
      </c>
      <c r="Y337" s="119" t="s">
        <v>166</v>
      </c>
      <c r="Z337" s="113" t="s">
        <v>166</v>
      </c>
      <c r="AA337" s="74" t="s">
        <v>166</v>
      </c>
      <c r="AB337" s="113" t="s">
        <v>166</v>
      </c>
      <c r="AC337" s="74">
        <v>2.0</v>
      </c>
      <c r="AD337" s="113" t="s">
        <v>166</v>
      </c>
      <c r="AE337" s="54" t="s">
        <v>166</v>
      </c>
      <c r="AF337" s="55" t="s">
        <v>166</v>
      </c>
      <c r="AG337" s="77">
        <v>1.0</v>
      </c>
      <c r="AH337" s="74">
        <v>2.0</v>
      </c>
      <c r="AI337" s="74" t="s">
        <v>166</v>
      </c>
      <c r="AJ337" s="75" t="s">
        <v>174</v>
      </c>
      <c r="AK337" s="121" t="s">
        <v>166</v>
      </c>
      <c r="AL337" s="122">
        <v>209.0</v>
      </c>
      <c r="AM337" s="123"/>
      <c r="AN337" s="123"/>
      <c r="AO337" s="124"/>
      <c r="AP337" s="136">
        <v>45034.567421562504</v>
      </c>
      <c r="AQ337" s="66"/>
    </row>
    <row r="338">
      <c r="A338" s="111" t="str">
        <f t="shared" si="17"/>
        <v>U-NAS</v>
      </c>
      <c r="B338" s="112" t="s">
        <v>1274</v>
      </c>
      <c r="C338" s="101" t="s">
        <v>490</v>
      </c>
      <c r="D338" s="113">
        <v>315.0</v>
      </c>
      <c r="E338" s="113">
        <v>275.0</v>
      </c>
      <c r="F338" s="113">
        <v>197.0</v>
      </c>
      <c r="G338" s="143">
        <f t="shared" si="11"/>
        <v>17.065125</v>
      </c>
      <c r="H338" s="144">
        <f t="shared" si="12"/>
        <v>866.25</v>
      </c>
      <c r="I338" s="145">
        <v>5.6</v>
      </c>
      <c r="J338" s="48" t="s">
        <v>164</v>
      </c>
      <c r="K338" s="117" t="s">
        <v>171</v>
      </c>
      <c r="L338" s="146">
        <v>60.0</v>
      </c>
      <c r="M338" s="117" t="s">
        <v>166</v>
      </c>
      <c r="N338" s="119" t="s">
        <v>166</v>
      </c>
      <c r="O338" s="113" t="s">
        <v>166</v>
      </c>
      <c r="P338" s="113" t="s">
        <v>166</v>
      </c>
      <c r="Q338" s="113" t="s">
        <v>166</v>
      </c>
      <c r="R338" s="147">
        <v>2.0</v>
      </c>
      <c r="S338" s="117" t="s">
        <v>166</v>
      </c>
      <c r="T338" s="53" t="s">
        <v>1102</v>
      </c>
      <c r="U338" s="120" t="s">
        <v>818</v>
      </c>
      <c r="V338" s="77">
        <v>1.0</v>
      </c>
      <c r="W338" s="74">
        <v>8.0</v>
      </c>
      <c r="X338" s="117" t="s">
        <v>166</v>
      </c>
      <c r="Y338" s="119" t="s">
        <v>166</v>
      </c>
      <c r="Z338" s="74">
        <v>1.0</v>
      </c>
      <c r="AA338" s="74" t="s">
        <v>166</v>
      </c>
      <c r="AB338" s="113" t="s">
        <v>166</v>
      </c>
      <c r="AC338" s="113">
        <v>2.0</v>
      </c>
      <c r="AD338" s="113" t="s">
        <v>166</v>
      </c>
      <c r="AE338" s="54" t="s">
        <v>166</v>
      </c>
      <c r="AF338" s="55" t="s">
        <v>166</v>
      </c>
      <c r="AG338" s="77">
        <v>2.0</v>
      </c>
      <c r="AH338" s="74">
        <v>1.0</v>
      </c>
      <c r="AI338" s="74" t="s">
        <v>166</v>
      </c>
      <c r="AJ338" s="75" t="s">
        <v>174</v>
      </c>
      <c r="AK338" s="121" t="s">
        <v>166</v>
      </c>
      <c r="AL338" s="148">
        <v>219.0</v>
      </c>
      <c r="AM338" s="123"/>
      <c r="AN338" s="123"/>
      <c r="AO338" s="124"/>
      <c r="AP338" s="124"/>
      <c r="AQ338" s="66"/>
    </row>
    <row r="339">
      <c r="A339" s="69" t="s">
        <v>445</v>
      </c>
      <c r="B339" s="46" t="s">
        <v>1275</v>
      </c>
      <c r="C339" s="63" t="s">
        <v>262</v>
      </c>
      <c r="D339" s="48">
        <v>375.0</v>
      </c>
      <c r="E339" s="48">
        <v>158.0</v>
      </c>
      <c r="F339" s="48">
        <v>290.0</v>
      </c>
      <c r="G339" s="49">
        <f t="shared" si="11"/>
        <v>17.1825</v>
      </c>
      <c r="H339" s="49">
        <f t="shared" si="12"/>
        <v>592.5</v>
      </c>
      <c r="I339" s="48" t="s">
        <v>170</v>
      </c>
      <c r="J339" s="48" t="s">
        <v>336</v>
      </c>
      <c r="K339" s="50" t="s">
        <v>971</v>
      </c>
      <c r="L339" s="51">
        <v>140.0</v>
      </c>
      <c r="M339" s="50" t="s">
        <v>547</v>
      </c>
      <c r="N339" s="51" t="s">
        <v>166</v>
      </c>
      <c r="O339" s="48">
        <v>360.0</v>
      </c>
      <c r="P339" s="48">
        <v>145.0</v>
      </c>
      <c r="Q339" s="48">
        <v>80.0</v>
      </c>
      <c r="R339" s="48">
        <v>4.0</v>
      </c>
      <c r="S339" s="50" t="s">
        <v>166</v>
      </c>
      <c r="T339" s="52" t="s">
        <v>423</v>
      </c>
      <c r="U339" s="52" t="s">
        <v>816</v>
      </c>
      <c r="V339" s="51">
        <v>1.0</v>
      </c>
      <c r="W339" s="48" t="s">
        <v>166</v>
      </c>
      <c r="X339" s="50" t="s">
        <v>166</v>
      </c>
      <c r="Y339" s="51" t="s">
        <v>166</v>
      </c>
      <c r="Z339" s="48" t="s">
        <v>166</v>
      </c>
      <c r="AA339" s="48" t="s">
        <v>166</v>
      </c>
      <c r="AB339" s="48">
        <v>6.0</v>
      </c>
      <c r="AC339" s="48">
        <v>2.0</v>
      </c>
      <c r="AD339" s="48" t="s">
        <v>166</v>
      </c>
      <c r="AE339" s="54" t="s">
        <v>166</v>
      </c>
      <c r="AF339" s="55" t="s">
        <v>166</v>
      </c>
      <c r="AG339" s="51" t="s">
        <v>166</v>
      </c>
      <c r="AH339" s="48">
        <v>1.0</v>
      </c>
      <c r="AI339" s="48" t="s">
        <v>166</v>
      </c>
      <c r="AJ339" s="50" t="s">
        <v>166</v>
      </c>
      <c r="AK339" s="56">
        <v>209.0</v>
      </c>
      <c r="AL339" s="57">
        <f>AK339*Sheets!$E$3</f>
        <v>28.8097095</v>
      </c>
      <c r="AM339" s="68"/>
      <c r="AN339" s="59"/>
      <c r="AO339" s="60"/>
      <c r="AP339" s="65">
        <v>45379.023720937505</v>
      </c>
      <c r="AQ339" s="66"/>
    </row>
    <row r="340">
      <c r="A340" s="46" t="s">
        <v>1276</v>
      </c>
      <c r="B340" s="46" t="s">
        <v>1277</v>
      </c>
      <c r="C340" s="63" t="s">
        <v>262</v>
      </c>
      <c r="D340" s="48">
        <v>238.8</v>
      </c>
      <c r="E340" s="48">
        <v>175.0</v>
      </c>
      <c r="F340" s="48">
        <v>412.0</v>
      </c>
      <c r="G340" s="49">
        <f t="shared" si="11"/>
        <v>17.21748</v>
      </c>
      <c r="H340" s="49">
        <f t="shared" si="12"/>
        <v>417.9</v>
      </c>
      <c r="I340" s="48">
        <v>5.6</v>
      </c>
      <c r="J340" s="74" t="s">
        <v>171</v>
      </c>
      <c r="K340" s="75" t="s">
        <v>1278</v>
      </c>
      <c r="L340" s="51">
        <v>134.0</v>
      </c>
      <c r="M340" s="50" t="s">
        <v>547</v>
      </c>
      <c r="N340" s="51" t="s">
        <v>166</v>
      </c>
      <c r="O340" s="48">
        <v>320.0</v>
      </c>
      <c r="P340" s="48">
        <v>147.0</v>
      </c>
      <c r="Q340" s="48">
        <v>61.0</v>
      </c>
      <c r="R340" s="48">
        <v>2.0</v>
      </c>
      <c r="S340" s="50" t="s">
        <v>166</v>
      </c>
      <c r="T340" s="52" t="s">
        <v>167</v>
      </c>
      <c r="U340" s="52" t="s">
        <v>346</v>
      </c>
      <c r="V340" s="51">
        <v>2.0</v>
      </c>
      <c r="W340" s="48">
        <v>1.0</v>
      </c>
      <c r="X340" s="50" t="s">
        <v>166</v>
      </c>
      <c r="Y340" s="51" t="s">
        <v>166</v>
      </c>
      <c r="Z340" s="48" t="s">
        <v>166</v>
      </c>
      <c r="AA340" s="48" t="s">
        <v>166</v>
      </c>
      <c r="AB340" s="48">
        <v>1.0</v>
      </c>
      <c r="AC340" s="48">
        <v>2.0</v>
      </c>
      <c r="AD340" s="48" t="s">
        <v>166</v>
      </c>
      <c r="AE340" s="54" t="s">
        <v>166</v>
      </c>
      <c r="AF340" s="55" t="s">
        <v>166</v>
      </c>
      <c r="AG340" s="77" t="s">
        <v>166</v>
      </c>
      <c r="AH340" s="74">
        <v>2.0</v>
      </c>
      <c r="AI340" s="74">
        <v>1.0</v>
      </c>
      <c r="AJ340" s="75" t="s">
        <v>174</v>
      </c>
      <c r="AK340" s="56">
        <v>459.0</v>
      </c>
      <c r="AL340" s="57">
        <f>AK340*Sheets!$E$3</f>
        <v>63.2710845</v>
      </c>
      <c r="AM340" s="68"/>
      <c r="AN340" s="70"/>
      <c r="AO340" s="71"/>
      <c r="AP340" s="72">
        <v>44681.60178159722</v>
      </c>
      <c r="AQ340" s="66"/>
    </row>
    <row r="341">
      <c r="A341" s="62" t="s">
        <v>1279</v>
      </c>
      <c r="B341" s="62" t="s">
        <v>1280</v>
      </c>
      <c r="C341" s="63" t="s">
        <v>262</v>
      </c>
      <c r="D341" s="48">
        <v>238.8</v>
      </c>
      <c r="E341" s="48">
        <v>175.0</v>
      </c>
      <c r="F341" s="48">
        <v>412.0</v>
      </c>
      <c r="G341" s="49">
        <f t="shared" si="11"/>
        <v>17.21748</v>
      </c>
      <c r="H341" s="49">
        <f t="shared" si="12"/>
        <v>417.9</v>
      </c>
      <c r="I341" s="74">
        <v>5.6</v>
      </c>
      <c r="J341" s="74" t="s">
        <v>171</v>
      </c>
      <c r="K341" s="75" t="s">
        <v>1278</v>
      </c>
      <c r="L341" s="76">
        <v>134.0</v>
      </c>
      <c r="M341" s="75" t="s">
        <v>547</v>
      </c>
      <c r="N341" s="77" t="s">
        <v>166</v>
      </c>
      <c r="O341" s="104">
        <v>320.0</v>
      </c>
      <c r="P341" s="74">
        <v>147.0</v>
      </c>
      <c r="Q341" s="89">
        <v>61.0</v>
      </c>
      <c r="R341" s="105">
        <v>2.0</v>
      </c>
      <c r="S341" s="50" t="s">
        <v>166</v>
      </c>
      <c r="T341" s="52" t="s">
        <v>167</v>
      </c>
      <c r="U341" s="52" t="s">
        <v>346</v>
      </c>
      <c r="V341" s="77">
        <v>2.0</v>
      </c>
      <c r="W341" s="74">
        <v>1.0</v>
      </c>
      <c r="X341" s="75" t="s">
        <v>166</v>
      </c>
      <c r="Y341" s="77" t="s">
        <v>166</v>
      </c>
      <c r="Z341" s="74" t="s">
        <v>166</v>
      </c>
      <c r="AA341" s="74" t="s">
        <v>166</v>
      </c>
      <c r="AB341" s="74">
        <v>1.0</v>
      </c>
      <c r="AC341" s="74">
        <v>2.0</v>
      </c>
      <c r="AD341" s="74" t="s">
        <v>166</v>
      </c>
      <c r="AE341" s="54" t="s">
        <v>166</v>
      </c>
      <c r="AF341" s="55" t="s">
        <v>166</v>
      </c>
      <c r="AG341" s="77" t="s">
        <v>166</v>
      </c>
      <c r="AH341" s="74">
        <v>2.0</v>
      </c>
      <c r="AI341" s="74">
        <v>1.0</v>
      </c>
      <c r="AJ341" s="75" t="s">
        <v>174</v>
      </c>
      <c r="AK341" s="149" t="s">
        <v>166</v>
      </c>
      <c r="AL341" s="57">
        <v>146.0</v>
      </c>
      <c r="AM341" s="68"/>
      <c r="AN341" s="59"/>
      <c r="AO341" s="60"/>
      <c r="AP341" s="65">
        <v>45215.841671284725</v>
      </c>
      <c r="AQ341" s="66"/>
    </row>
    <row r="342">
      <c r="A342" s="62" t="s">
        <v>1281</v>
      </c>
      <c r="B342" s="62" t="str">
        <f>HYPERLINK("https://www.amazon.com/GOLDEN-FIELD-N-1-Computer-Desktop/dp/B076KC2SBQ/","N-1")</f>
        <v>N-1</v>
      </c>
      <c r="C342" s="101" t="s">
        <v>262</v>
      </c>
      <c r="D342" s="113">
        <v>328.0</v>
      </c>
      <c r="E342" s="113">
        <v>260.0</v>
      </c>
      <c r="F342" s="113">
        <v>202.0</v>
      </c>
      <c r="G342" s="150">
        <f t="shared" si="11"/>
        <v>17.22656</v>
      </c>
      <c r="H342" s="151">
        <f t="shared" si="12"/>
        <v>852.8</v>
      </c>
      <c r="I342" s="74">
        <v>2.0</v>
      </c>
      <c r="J342" s="74" t="s">
        <v>171</v>
      </c>
      <c r="K342" s="75" t="s">
        <v>1282</v>
      </c>
      <c r="L342" s="152">
        <v>165.0</v>
      </c>
      <c r="M342" s="75">
        <v>120.0</v>
      </c>
      <c r="N342" s="77" t="s">
        <v>166</v>
      </c>
      <c r="O342" s="153">
        <v>280.0</v>
      </c>
      <c r="P342" s="74">
        <v>170.0</v>
      </c>
      <c r="Q342" s="89">
        <v>60.0</v>
      </c>
      <c r="R342" s="154">
        <v>2.0</v>
      </c>
      <c r="S342" s="50" t="s">
        <v>166</v>
      </c>
      <c r="T342" s="120" t="s">
        <v>1283</v>
      </c>
      <c r="U342" s="120" t="s">
        <v>599</v>
      </c>
      <c r="V342" s="119" t="s">
        <v>278</v>
      </c>
      <c r="W342" s="113" t="s">
        <v>426</v>
      </c>
      <c r="X342" s="117" t="s">
        <v>166</v>
      </c>
      <c r="Y342" s="119" t="s">
        <v>166</v>
      </c>
      <c r="Z342" s="113" t="s">
        <v>166</v>
      </c>
      <c r="AA342" s="113" t="s">
        <v>166</v>
      </c>
      <c r="AB342" s="113" t="s">
        <v>166</v>
      </c>
      <c r="AC342" s="113">
        <v>1.0</v>
      </c>
      <c r="AD342" s="113" t="s">
        <v>166</v>
      </c>
      <c r="AE342" s="54" t="s">
        <v>166</v>
      </c>
      <c r="AF342" s="55" t="s">
        <v>166</v>
      </c>
      <c r="AG342" s="77" t="s">
        <v>166</v>
      </c>
      <c r="AH342" s="74">
        <v>2.0</v>
      </c>
      <c r="AI342" s="74" t="s">
        <v>166</v>
      </c>
      <c r="AJ342" s="75" t="s">
        <v>174</v>
      </c>
      <c r="AK342" s="121" t="s">
        <v>166</v>
      </c>
      <c r="AL342" s="57">
        <v>47.99</v>
      </c>
      <c r="AM342" s="68"/>
      <c r="AN342" s="59"/>
      <c r="AO342" s="60"/>
      <c r="AP342" s="65">
        <v>44644.506750625005</v>
      </c>
      <c r="AQ342" s="66"/>
    </row>
    <row r="343">
      <c r="A343" s="62" t="s">
        <v>1281</v>
      </c>
      <c r="B343" s="62" t="str">
        <f>HYPERLINK("https://www.amazon.com/GOLDEN-FIELD-N-2S-Computer-Aluminium/dp/B075J9T9BL/","N-2S")</f>
        <v>N-2S</v>
      </c>
      <c r="C343" s="63" t="s">
        <v>262</v>
      </c>
      <c r="D343" s="48">
        <v>328.0</v>
      </c>
      <c r="E343" s="48">
        <v>260.0</v>
      </c>
      <c r="F343" s="48">
        <v>202.0</v>
      </c>
      <c r="G343" s="49">
        <f t="shared" si="11"/>
        <v>17.22656</v>
      </c>
      <c r="H343" s="49">
        <f t="shared" si="12"/>
        <v>852.8</v>
      </c>
      <c r="I343" s="48" t="s">
        <v>170</v>
      </c>
      <c r="J343" s="48" t="s">
        <v>164</v>
      </c>
      <c r="K343" s="50" t="s">
        <v>512</v>
      </c>
      <c r="L343" s="51">
        <v>165.0</v>
      </c>
      <c r="M343" s="50">
        <v>120.0</v>
      </c>
      <c r="N343" s="51" t="s">
        <v>166</v>
      </c>
      <c r="O343" s="48">
        <v>280.0</v>
      </c>
      <c r="P343" s="48">
        <v>170.0</v>
      </c>
      <c r="Q343" s="48">
        <v>60.0</v>
      </c>
      <c r="R343" s="48">
        <v>2.0</v>
      </c>
      <c r="S343" s="50" t="s">
        <v>166</v>
      </c>
      <c r="T343" s="52" t="s">
        <v>1283</v>
      </c>
      <c r="U343" s="52" t="s">
        <v>599</v>
      </c>
      <c r="V343" s="51" t="s">
        <v>278</v>
      </c>
      <c r="W343" s="48" t="s">
        <v>426</v>
      </c>
      <c r="X343" s="50" t="s">
        <v>166</v>
      </c>
      <c r="Y343" s="51" t="s">
        <v>166</v>
      </c>
      <c r="Z343" s="48" t="s">
        <v>166</v>
      </c>
      <c r="AA343" s="48" t="s">
        <v>166</v>
      </c>
      <c r="AB343" s="48" t="s">
        <v>166</v>
      </c>
      <c r="AC343" s="48">
        <v>1.0</v>
      </c>
      <c r="AD343" s="48" t="s">
        <v>166</v>
      </c>
      <c r="AE343" s="54" t="s">
        <v>166</v>
      </c>
      <c r="AF343" s="55" t="s">
        <v>166</v>
      </c>
      <c r="AG343" s="77" t="s">
        <v>166</v>
      </c>
      <c r="AH343" s="74">
        <v>2.0</v>
      </c>
      <c r="AI343" s="74" t="s">
        <v>166</v>
      </c>
      <c r="AJ343" s="75" t="s">
        <v>174</v>
      </c>
      <c r="AK343" s="56" t="s">
        <v>166</v>
      </c>
      <c r="AL343" s="57">
        <v>65.9</v>
      </c>
      <c r="AM343" s="68"/>
      <c r="AN343" s="59"/>
      <c r="AO343" s="60"/>
      <c r="AP343" s="60"/>
      <c r="AQ343" s="66"/>
    </row>
    <row r="344">
      <c r="A344" s="82" t="str">
        <f t="shared" ref="A344:A345" si="18">HYPERLINK("http://kolink.eu/index.html","Kolink")</f>
        <v>Kolink</v>
      </c>
      <c r="B344" s="83" t="str">
        <f>HYPERLINK("https://www.overclockers.co.uk/kolink-satellite-micro-atx-cube-case-black-ca-005-kk.html","Satellite")</f>
        <v>Satellite</v>
      </c>
      <c r="C344" s="63" t="s">
        <v>262</v>
      </c>
      <c r="D344" s="48">
        <v>328.0</v>
      </c>
      <c r="E344" s="48">
        <v>260.0</v>
      </c>
      <c r="F344" s="48">
        <v>202.0</v>
      </c>
      <c r="G344" s="49">
        <f t="shared" si="11"/>
        <v>17.22656</v>
      </c>
      <c r="H344" s="49">
        <f t="shared" si="12"/>
        <v>852.8</v>
      </c>
      <c r="I344" s="48">
        <v>2.0</v>
      </c>
      <c r="J344" s="48" t="s">
        <v>171</v>
      </c>
      <c r="K344" s="75" t="s">
        <v>1282</v>
      </c>
      <c r="L344" s="51">
        <v>165.0</v>
      </c>
      <c r="M344" s="50">
        <v>120.0</v>
      </c>
      <c r="N344" s="51" t="s">
        <v>166</v>
      </c>
      <c r="O344" s="48">
        <v>280.0</v>
      </c>
      <c r="P344" s="48">
        <v>170.0</v>
      </c>
      <c r="Q344" s="48">
        <v>60.0</v>
      </c>
      <c r="R344" s="48">
        <v>2.0</v>
      </c>
      <c r="S344" s="50" t="s">
        <v>166</v>
      </c>
      <c r="T344" s="52" t="s">
        <v>1283</v>
      </c>
      <c r="U344" s="52" t="s">
        <v>599</v>
      </c>
      <c r="V344" s="51" t="s">
        <v>278</v>
      </c>
      <c r="W344" s="48" t="s">
        <v>426</v>
      </c>
      <c r="X344" s="50" t="s">
        <v>166</v>
      </c>
      <c r="Y344" s="51" t="s">
        <v>166</v>
      </c>
      <c r="Z344" s="48" t="s">
        <v>166</v>
      </c>
      <c r="AA344" s="48" t="s">
        <v>166</v>
      </c>
      <c r="AB344" s="48" t="s">
        <v>166</v>
      </c>
      <c r="AC344" s="48">
        <v>1.0</v>
      </c>
      <c r="AD344" s="48" t="s">
        <v>166</v>
      </c>
      <c r="AE344" s="54" t="s">
        <v>166</v>
      </c>
      <c r="AF344" s="55" t="s">
        <v>166</v>
      </c>
      <c r="AG344" s="77" t="s">
        <v>166</v>
      </c>
      <c r="AH344" s="74">
        <v>2.0</v>
      </c>
      <c r="AI344" s="74" t="s">
        <v>166</v>
      </c>
      <c r="AJ344" s="75" t="s">
        <v>174</v>
      </c>
      <c r="AK344" s="56" t="s">
        <v>166</v>
      </c>
      <c r="AL344" s="57">
        <f>36.95*1.31</f>
        <v>48.4045</v>
      </c>
      <c r="AM344" s="68"/>
      <c r="AN344" s="59"/>
      <c r="AO344" s="60"/>
      <c r="AP344" s="65">
        <v>44644.50678863426</v>
      </c>
      <c r="AQ344" s="66"/>
    </row>
    <row r="345">
      <c r="A345" s="82" t="str">
        <f t="shared" si="18"/>
        <v>Kolink</v>
      </c>
      <c r="B345" s="62" t="str">
        <f>HYPERLINK("https://www.overclockers.co.uk/kolink-satellite-plus-aluminium-micro-atx-case-black-ca-02f-kk.html","Satellite Plus")</f>
        <v>Satellite Plus</v>
      </c>
      <c r="C345" s="63" t="s">
        <v>262</v>
      </c>
      <c r="D345" s="48">
        <v>328.0</v>
      </c>
      <c r="E345" s="48">
        <v>260.0</v>
      </c>
      <c r="F345" s="48">
        <v>202.0</v>
      </c>
      <c r="G345" s="49">
        <f t="shared" si="11"/>
        <v>17.22656</v>
      </c>
      <c r="H345" s="49">
        <f t="shared" si="12"/>
        <v>852.8</v>
      </c>
      <c r="I345" s="48" t="s">
        <v>170</v>
      </c>
      <c r="J345" s="48" t="s">
        <v>164</v>
      </c>
      <c r="K345" s="50" t="s">
        <v>512</v>
      </c>
      <c r="L345" s="51">
        <v>165.0</v>
      </c>
      <c r="M345" s="50">
        <v>120.0</v>
      </c>
      <c r="N345" s="51" t="s">
        <v>166</v>
      </c>
      <c r="O345" s="48">
        <v>280.0</v>
      </c>
      <c r="P345" s="48">
        <v>170.0</v>
      </c>
      <c r="Q345" s="48">
        <v>60.0</v>
      </c>
      <c r="R345" s="48">
        <v>2.0</v>
      </c>
      <c r="S345" s="50" t="s">
        <v>166</v>
      </c>
      <c r="T345" s="52" t="s">
        <v>1283</v>
      </c>
      <c r="U345" s="52" t="s">
        <v>599</v>
      </c>
      <c r="V345" s="51" t="s">
        <v>278</v>
      </c>
      <c r="W345" s="48" t="s">
        <v>426</v>
      </c>
      <c r="X345" s="50" t="s">
        <v>166</v>
      </c>
      <c r="Y345" s="51" t="s">
        <v>166</v>
      </c>
      <c r="Z345" s="48" t="s">
        <v>166</v>
      </c>
      <c r="AA345" s="48" t="s">
        <v>166</v>
      </c>
      <c r="AB345" s="48" t="s">
        <v>166</v>
      </c>
      <c r="AC345" s="48">
        <v>1.0</v>
      </c>
      <c r="AD345" s="48" t="s">
        <v>166</v>
      </c>
      <c r="AE345" s="54" t="s">
        <v>166</v>
      </c>
      <c r="AF345" s="55" t="s">
        <v>166</v>
      </c>
      <c r="AG345" s="77" t="s">
        <v>166</v>
      </c>
      <c r="AH345" s="74">
        <v>2.0</v>
      </c>
      <c r="AI345" s="74" t="s">
        <v>166</v>
      </c>
      <c r="AJ345" s="75" t="s">
        <v>174</v>
      </c>
      <c r="AK345" s="56" t="s">
        <v>166</v>
      </c>
      <c r="AL345" s="57" t="s">
        <v>170</v>
      </c>
      <c r="AM345" s="58"/>
      <c r="AN345" s="59"/>
      <c r="AO345" s="60"/>
      <c r="AP345" s="65">
        <v>44717.93959091435</v>
      </c>
      <c r="AQ345" s="66"/>
    </row>
    <row r="346">
      <c r="A346" s="46" t="str">
        <f>HYPERLINK("https://geeek.world.taobao.com/","GEEEK机箱")</f>
        <v>GEEEK机箱</v>
      </c>
      <c r="B346" s="46" t="s">
        <v>1284</v>
      </c>
      <c r="C346" s="63" t="s">
        <v>262</v>
      </c>
      <c r="D346" s="48">
        <v>335.0</v>
      </c>
      <c r="E346" s="48">
        <v>167.0</v>
      </c>
      <c r="F346" s="48">
        <v>308.0</v>
      </c>
      <c r="G346" s="49">
        <f t="shared" si="11"/>
        <v>17.23106</v>
      </c>
      <c r="H346" s="49">
        <f t="shared" si="12"/>
        <v>559.45</v>
      </c>
      <c r="I346" s="48">
        <v>3.5</v>
      </c>
      <c r="J346" s="48" t="s">
        <v>245</v>
      </c>
      <c r="K346" s="50" t="s">
        <v>540</v>
      </c>
      <c r="L346" s="51">
        <v>137.0</v>
      </c>
      <c r="M346" s="50" t="s">
        <v>547</v>
      </c>
      <c r="N346" s="51" t="s">
        <v>166</v>
      </c>
      <c r="O346" s="48">
        <v>335.0</v>
      </c>
      <c r="P346" s="48">
        <v>142.0</v>
      </c>
      <c r="Q346" s="48">
        <v>80.0</v>
      </c>
      <c r="R346" s="48">
        <v>4.0</v>
      </c>
      <c r="S346" s="50" t="s">
        <v>166</v>
      </c>
      <c r="T346" s="52" t="s">
        <v>423</v>
      </c>
      <c r="U346" s="52" t="s">
        <v>816</v>
      </c>
      <c r="V346" s="51" t="s">
        <v>194</v>
      </c>
      <c r="W346" s="48" t="s">
        <v>194</v>
      </c>
      <c r="X346" s="50" t="s">
        <v>166</v>
      </c>
      <c r="Y346" s="51" t="s">
        <v>166</v>
      </c>
      <c r="Z346" s="48" t="s">
        <v>166</v>
      </c>
      <c r="AA346" s="48" t="s">
        <v>166</v>
      </c>
      <c r="AB346" s="48">
        <v>4.0</v>
      </c>
      <c r="AC346" s="48">
        <v>2.0</v>
      </c>
      <c r="AD346" s="48" t="s">
        <v>166</v>
      </c>
      <c r="AE346" s="54" t="s">
        <v>166</v>
      </c>
      <c r="AF346" s="55" t="s">
        <v>166</v>
      </c>
      <c r="AG346" s="51" t="s">
        <v>166</v>
      </c>
      <c r="AH346" s="48">
        <v>2.0</v>
      </c>
      <c r="AI346" s="48" t="s">
        <v>166</v>
      </c>
      <c r="AJ346" s="50" t="s">
        <v>166</v>
      </c>
      <c r="AK346" s="56">
        <v>298.0</v>
      </c>
      <c r="AL346" s="57">
        <f>AK346*Sheets!$E$3</f>
        <v>41.077959</v>
      </c>
      <c r="AM346" s="68"/>
      <c r="AN346" s="70"/>
      <c r="AO346" s="71"/>
      <c r="AP346" s="72">
        <v>44887.85049655093</v>
      </c>
      <c r="AQ346" s="66"/>
    </row>
    <row r="347">
      <c r="A347" s="46" t="str">
        <f>HYPERLINK("https://shop159524301.world.taobao.com/","Warhead Design")</f>
        <v>Warhead Design</v>
      </c>
      <c r="B347" s="73" t="s">
        <v>1285</v>
      </c>
      <c r="C347" s="63" t="s">
        <v>248</v>
      </c>
      <c r="D347" s="48">
        <v>320.0</v>
      </c>
      <c r="E347" s="48">
        <v>200.0</v>
      </c>
      <c r="F347" s="48">
        <v>270.0</v>
      </c>
      <c r="G347" s="49">
        <f t="shared" si="11"/>
        <v>17.28</v>
      </c>
      <c r="H347" s="49">
        <f t="shared" si="12"/>
        <v>640</v>
      </c>
      <c r="I347" s="48">
        <v>3.5</v>
      </c>
      <c r="J347" s="48" t="s">
        <v>274</v>
      </c>
      <c r="K347" s="50" t="s">
        <v>512</v>
      </c>
      <c r="L347" s="51">
        <v>130.0</v>
      </c>
      <c r="M347" s="50" t="s">
        <v>547</v>
      </c>
      <c r="N347" s="51" t="s">
        <v>174</v>
      </c>
      <c r="O347" s="48">
        <v>332.0</v>
      </c>
      <c r="P347" s="48">
        <v>150.0</v>
      </c>
      <c r="Q347" s="48">
        <v>56.0</v>
      </c>
      <c r="R347" s="48">
        <v>2.0</v>
      </c>
      <c r="S347" s="50" t="s">
        <v>166</v>
      </c>
      <c r="T347" s="52" t="s">
        <v>423</v>
      </c>
      <c r="U347" s="52" t="s">
        <v>599</v>
      </c>
      <c r="V347" s="51">
        <v>2.0</v>
      </c>
      <c r="W347" s="48">
        <v>2.0</v>
      </c>
      <c r="X347" s="50" t="s">
        <v>166</v>
      </c>
      <c r="Y347" s="51" t="s">
        <v>166</v>
      </c>
      <c r="Z347" s="48" t="s">
        <v>166</v>
      </c>
      <c r="AA347" s="48">
        <v>2.0</v>
      </c>
      <c r="AB347" s="48" t="s">
        <v>166</v>
      </c>
      <c r="AC347" s="48">
        <v>4.0</v>
      </c>
      <c r="AD347" s="48" t="s">
        <v>166</v>
      </c>
      <c r="AE347" s="54" t="s">
        <v>166</v>
      </c>
      <c r="AF347" s="55" t="s">
        <v>166</v>
      </c>
      <c r="AG347" s="51" t="s">
        <v>166</v>
      </c>
      <c r="AH347" s="48">
        <v>2.0</v>
      </c>
      <c r="AI347" s="48" t="s">
        <v>166</v>
      </c>
      <c r="AJ347" s="50" t="s">
        <v>166</v>
      </c>
      <c r="AK347" s="56">
        <v>299.0</v>
      </c>
      <c r="AL347" s="57">
        <f>AK347*Sheets!$E$3</f>
        <v>41.2158045</v>
      </c>
      <c r="AM347" s="68"/>
      <c r="AN347" s="70"/>
      <c r="AO347" s="60" t="s">
        <v>181</v>
      </c>
      <c r="AP347" s="72">
        <v>45056.38283567129</v>
      </c>
      <c r="AQ347" s="66"/>
    </row>
    <row r="348">
      <c r="A348" s="61" t="s">
        <v>1158</v>
      </c>
      <c r="B348" s="62" t="s">
        <v>1286</v>
      </c>
      <c r="C348" s="63" t="s">
        <v>248</v>
      </c>
      <c r="D348" s="48">
        <v>287.0</v>
      </c>
      <c r="E348" s="48">
        <v>167.0</v>
      </c>
      <c r="F348" s="48">
        <v>362.0</v>
      </c>
      <c r="G348" s="49">
        <f t="shared" si="11"/>
        <v>17.350298</v>
      </c>
      <c r="H348" s="49">
        <f t="shared" si="12"/>
        <v>479.29</v>
      </c>
      <c r="I348" s="48">
        <v>3.8</v>
      </c>
      <c r="J348" s="48" t="s">
        <v>240</v>
      </c>
      <c r="K348" s="50" t="s">
        <v>171</v>
      </c>
      <c r="L348" s="51">
        <v>73.0</v>
      </c>
      <c r="M348" s="50" t="s">
        <v>887</v>
      </c>
      <c r="N348" s="51" t="s">
        <v>174</v>
      </c>
      <c r="O348" s="48">
        <v>336.0</v>
      </c>
      <c r="P348" s="48">
        <v>155.0</v>
      </c>
      <c r="Q348" s="48">
        <v>80.0</v>
      </c>
      <c r="R348" s="48">
        <v>7.0</v>
      </c>
      <c r="S348" s="50" t="s">
        <v>166</v>
      </c>
      <c r="T348" s="52" t="s">
        <v>852</v>
      </c>
      <c r="U348" s="52" t="s">
        <v>816</v>
      </c>
      <c r="V348" s="51" t="s">
        <v>1161</v>
      </c>
      <c r="W348" s="48" t="s">
        <v>193</v>
      </c>
      <c r="X348" s="50" t="s">
        <v>166</v>
      </c>
      <c r="Y348" s="51" t="s">
        <v>166</v>
      </c>
      <c r="Z348" s="48" t="s">
        <v>166</v>
      </c>
      <c r="AA348" s="48" t="s">
        <v>166</v>
      </c>
      <c r="AB348" s="48" t="s">
        <v>166</v>
      </c>
      <c r="AC348" s="48" t="s">
        <v>195</v>
      </c>
      <c r="AD348" s="48" t="s">
        <v>193</v>
      </c>
      <c r="AE348" s="54" t="s">
        <v>166</v>
      </c>
      <c r="AF348" s="55" t="s">
        <v>166</v>
      </c>
      <c r="AG348" s="51">
        <v>2.0</v>
      </c>
      <c r="AH348" s="48">
        <v>2.0</v>
      </c>
      <c r="AI348" s="48">
        <v>1.0</v>
      </c>
      <c r="AJ348" s="50" t="s">
        <v>174</v>
      </c>
      <c r="AK348" s="56" t="s">
        <v>166</v>
      </c>
      <c r="AL348" s="57">
        <v>219.99</v>
      </c>
      <c r="AM348" s="64"/>
      <c r="AN348" s="59"/>
      <c r="AO348" s="60"/>
      <c r="AP348" s="65">
        <v>45139.42769133102</v>
      </c>
      <c r="AQ348" s="66"/>
    </row>
    <row r="349">
      <c r="A349" s="61" t="s">
        <v>1158</v>
      </c>
      <c r="B349" s="62" t="s">
        <v>1287</v>
      </c>
      <c r="C349" s="63" t="s">
        <v>262</v>
      </c>
      <c r="D349" s="48">
        <v>363.0</v>
      </c>
      <c r="E349" s="48">
        <v>167.0</v>
      </c>
      <c r="F349" s="48">
        <v>287.0</v>
      </c>
      <c r="G349" s="49">
        <f t="shared" si="11"/>
        <v>17.398227</v>
      </c>
      <c r="H349" s="49">
        <f t="shared" si="12"/>
        <v>606.21</v>
      </c>
      <c r="I349" s="48">
        <v>3.8</v>
      </c>
      <c r="J349" s="48" t="s">
        <v>240</v>
      </c>
      <c r="K349" s="50" t="s">
        <v>171</v>
      </c>
      <c r="L349" s="51">
        <v>142.0</v>
      </c>
      <c r="M349" s="50" t="s">
        <v>825</v>
      </c>
      <c r="N349" s="51" t="s">
        <v>166</v>
      </c>
      <c r="O349" s="48">
        <v>337.0</v>
      </c>
      <c r="P349" s="48">
        <v>136.0</v>
      </c>
      <c r="Q349" s="48">
        <v>94.0</v>
      </c>
      <c r="R349" s="48">
        <v>3.0</v>
      </c>
      <c r="S349" s="50" t="s">
        <v>166</v>
      </c>
      <c r="T349" s="52" t="s">
        <v>1102</v>
      </c>
      <c r="U349" s="52" t="s">
        <v>816</v>
      </c>
      <c r="V349" s="51">
        <v>6.0</v>
      </c>
      <c r="W349" s="48" t="s">
        <v>435</v>
      </c>
      <c r="X349" s="50" t="s">
        <v>166</v>
      </c>
      <c r="Y349" s="51" t="s">
        <v>166</v>
      </c>
      <c r="Z349" s="48" t="s">
        <v>166</v>
      </c>
      <c r="AA349" s="48" t="s">
        <v>194</v>
      </c>
      <c r="AB349" s="48" t="s">
        <v>194</v>
      </c>
      <c r="AC349" s="48" t="s">
        <v>278</v>
      </c>
      <c r="AD349" s="48" t="s">
        <v>278</v>
      </c>
      <c r="AE349" s="54" t="s">
        <v>166</v>
      </c>
      <c r="AF349" s="55" t="s">
        <v>166</v>
      </c>
      <c r="AG349" s="51">
        <v>2.0</v>
      </c>
      <c r="AH349" s="48">
        <v>2.0</v>
      </c>
      <c r="AI349" s="48">
        <v>1.0</v>
      </c>
      <c r="AJ349" s="50" t="s">
        <v>174</v>
      </c>
      <c r="AK349" s="56" t="s">
        <v>166</v>
      </c>
      <c r="AL349" s="57">
        <v>169.99</v>
      </c>
      <c r="AM349" s="64"/>
      <c r="AN349" s="59"/>
      <c r="AO349" s="60"/>
      <c r="AP349" s="65">
        <v>45139.42414585648</v>
      </c>
      <c r="AQ349" s="66"/>
    </row>
    <row r="350">
      <c r="A350" s="61" t="s">
        <v>1091</v>
      </c>
      <c r="B350" s="62" t="s">
        <v>1288</v>
      </c>
      <c r="C350" s="63" t="s">
        <v>262</v>
      </c>
      <c r="D350" s="48">
        <v>360.0</v>
      </c>
      <c r="E350" s="48">
        <v>186.6</v>
      </c>
      <c r="F350" s="48">
        <v>259.0</v>
      </c>
      <c r="G350" s="49">
        <f t="shared" si="11"/>
        <v>17.398584</v>
      </c>
      <c r="H350" s="49">
        <f t="shared" si="12"/>
        <v>671.76</v>
      </c>
      <c r="I350" s="48">
        <v>3.5</v>
      </c>
      <c r="J350" s="48" t="s">
        <v>274</v>
      </c>
      <c r="K350" s="50" t="s">
        <v>1289</v>
      </c>
      <c r="L350" s="51">
        <v>158.0</v>
      </c>
      <c r="M350" s="50" t="s">
        <v>981</v>
      </c>
      <c r="N350" s="51" t="s">
        <v>166</v>
      </c>
      <c r="O350" s="48">
        <v>342.0</v>
      </c>
      <c r="P350" s="48">
        <v>165.0</v>
      </c>
      <c r="Q350" s="48">
        <v>80.0</v>
      </c>
      <c r="R350" s="48">
        <v>4.0</v>
      </c>
      <c r="S350" s="50" t="s">
        <v>166</v>
      </c>
      <c r="T350" s="52" t="s">
        <v>1102</v>
      </c>
      <c r="U350" s="52" t="s">
        <v>346</v>
      </c>
      <c r="V350" s="51" t="s">
        <v>412</v>
      </c>
      <c r="W350" s="48">
        <v>1.0</v>
      </c>
      <c r="X350" s="50" t="s">
        <v>166</v>
      </c>
      <c r="Y350" s="51" t="s">
        <v>166</v>
      </c>
      <c r="Z350" s="48" t="s">
        <v>166</v>
      </c>
      <c r="AA350" s="48" t="s">
        <v>166</v>
      </c>
      <c r="AB350" s="48" t="s">
        <v>194</v>
      </c>
      <c r="AC350" s="48" t="s">
        <v>435</v>
      </c>
      <c r="AD350" s="48">
        <v>2.0</v>
      </c>
      <c r="AE350" s="54" t="s">
        <v>166</v>
      </c>
      <c r="AF350" s="55" t="s">
        <v>166</v>
      </c>
      <c r="AG350" s="51" t="s">
        <v>166</v>
      </c>
      <c r="AH350" s="48" t="s">
        <v>166</v>
      </c>
      <c r="AI350" s="48">
        <v>2.0</v>
      </c>
      <c r="AJ350" s="50" t="s">
        <v>166</v>
      </c>
      <c r="AK350" s="56" t="s">
        <v>166</v>
      </c>
      <c r="AL350" s="57">
        <v>309.0</v>
      </c>
      <c r="AM350" s="68"/>
      <c r="AN350" s="70"/>
      <c r="AO350" s="71"/>
      <c r="AP350" s="72">
        <v>45452.991034583334</v>
      </c>
      <c r="AQ350" s="66"/>
    </row>
    <row r="351">
      <c r="A351" s="61" t="s">
        <v>942</v>
      </c>
      <c r="B351" s="67" t="s">
        <v>1290</v>
      </c>
      <c r="C351" s="63" t="s">
        <v>262</v>
      </c>
      <c r="D351" s="48">
        <v>360.0</v>
      </c>
      <c r="E351" s="48">
        <v>170.0</v>
      </c>
      <c r="F351" s="48">
        <v>285.0</v>
      </c>
      <c r="G351" s="49">
        <f t="shared" si="11"/>
        <v>17.442</v>
      </c>
      <c r="H351" s="49">
        <f t="shared" si="12"/>
        <v>612</v>
      </c>
      <c r="I351" s="48" t="s">
        <v>170</v>
      </c>
      <c r="J351" s="48" t="s">
        <v>164</v>
      </c>
      <c r="K351" s="50" t="s">
        <v>164</v>
      </c>
      <c r="L351" s="51">
        <v>150.0</v>
      </c>
      <c r="M351" s="50" t="s">
        <v>166</v>
      </c>
      <c r="N351" s="51" t="s">
        <v>166</v>
      </c>
      <c r="O351" s="48">
        <v>320.0</v>
      </c>
      <c r="P351" s="48">
        <v>155.0</v>
      </c>
      <c r="Q351" s="48">
        <v>40.0</v>
      </c>
      <c r="R351" s="48">
        <v>2.0</v>
      </c>
      <c r="S351" s="50" t="s">
        <v>166</v>
      </c>
      <c r="T351" s="52" t="s">
        <v>167</v>
      </c>
      <c r="U351" s="52" t="s">
        <v>346</v>
      </c>
      <c r="V351" s="51">
        <v>2.0</v>
      </c>
      <c r="W351" s="48">
        <v>2.0</v>
      </c>
      <c r="X351" s="50" t="s">
        <v>166</v>
      </c>
      <c r="Y351" s="51" t="s">
        <v>166</v>
      </c>
      <c r="Z351" s="48" t="s">
        <v>166</v>
      </c>
      <c r="AA351" s="48" t="s">
        <v>166</v>
      </c>
      <c r="AB351" s="48" t="s">
        <v>166</v>
      </c>
      <c r="AC351" s="48">
        <v>1.0</v>
      </c>
      <c r="AD351" s="48" t="s">
        <v>166</v>
      </c>
      <c r="AE351" s="54" t="s">
        <v>166</v>
      </c>
      <c r="AF351" s="55" t="s">
        <v>166</v>
      </c>
      <c r="AG351" s="51" t="s">
        <v>166</v>
      </c>
      <c r="AH351" s="48">
        <v>2.0</v>
      </c>
      <c r="AI351" s="48">
        <v>1.0</v>
      </c>
      <c r="AJ351" s="50" t="s">
        <v>174</v>
      </c>
      <c r="AK351" s="56" t="s">
        <v>166</v>
      </c>
      <c r="AL351" s="57" t="s">
        <v>170</v>
      </c>
      <c r="AM351" s="58"/>
      <c r="AN351" s="59"/>
      <c r="AO351" s="60" t="s">
        <v>181</v>
      </c>
      <c r="AP351" s="65">
        <v>44717.93960914352</v>
      </c>
      <c r="AQ351" s="66"/>
    </row>
    <row r="352">
      <c r="A352" s="61" t="s">
        <v>1085</v>
      </c>
      <c r="B352" s="62" t="s">
        <v>1291</v>
      </c>
      <c r="C352" s="63" t="s">
        <v>248</v>
      </c>
      <c r="D352" s="51">
        <v>371.0</v>
      </c>
      <c r="E352" s="51">
        <v>173.0</v>
      </c>
      <c r="F352" s="51">
        <v>272.0</v>
      </c>
      <c r="G352" s="81">
        <f t="shared" si="11"/>
        <v>17.457776</v>
      </c>
      <c r="H352" s="81">
        <f t="shared" si="12"/>
        <v>641.83</v>
      </c>
      <c r="I352" s="51">
        <v>4.2</v>
      </c>
      <c r="J352" s="48" t="s">
        <v>1087</v>
      </c>
      <c r="K352" s="52" t="s">
        <v>512</v>
      </c>
      <c r="L352" s="51">
        <v>72.0</v>
      </c>
      <c r="M352" s="52" t="s">
        <v>547</v>
      </c>
      <c r="N352" s="51" t="s">
        <v>174</v>
      </c>
      <c r="O352" s="51">
        <v>324.0</v>
      </c>
      <c r="P352" s="51">
        <v>147.0</v>
      </c>
      <c r="Q352" s="51">
        <v>62.0</v>
      </c>
      <c r="R352" s="51">
        <v>3.0</v>
      </c>
      <c r="S352" s="50" t="s">
        <v>166</v>
      </c>
      <c r="T352" s="52" t="s">
        <v>167</v>
      </c>
      <c r="U352" s="52" t="s">
        <v>346</v>
      </c>
      <c r="V352" s="51">
        <v>1.0</v>
      </c>
      <c r="W352" s="51" t="s">
        <v>166</v>
      </c>
      <c r="X352" s="52" t="s">
        <v>166</v>
      </c>
      <c r="Y352" s="51" t="s">
        <v>166</v>
      </c>
      <c r="Z352" s="51" t="s">
        <v>166</v>
      </c>
      <c r="AA352" s="51" t="s">
        <v>166</v>
      </c>
      <c r="AB352" s="51" t="s">
        <v>166</v>
      </c>
      <c r="AC352" s="51">
        <v>2.0</v>
      </c>
      <c r="AD352" s="51" t="s">
        <v>166</v>
      </c>
      <c r="AE352" s="54" t="s">
        <v>166</v>
      </c>
      <c r="AF352" s="55" t="s">
        <v>166</v>
      </c>
      <c r="AG352" s="51" t="s">
        <v>166</v>
      </c>
      <c r="AH352" s="48">
        <v>1.0</v>
      </c>
      <c r="AI352" s="48">
        <v>1.0</v>
      </c>
      <c r="AJ352" s="50" t="s">
        <v>166</v>
      </c>
      <c r="AK352" s="56" t="s">
        <v>166</v>
      </c>
      <c r="AL352" s="57">
        <v>169.99</v>
      </c>
      <c r="AM352" s="58"/>
      <c r="AN352" s="59"/>
      <c r="AO352" s="60"/>
      <c r="AP352" s="60"/>
      <c r="AQ352" s="66"/>
    </row>
    <row r="353">
      <c r="A353" s="82" t="str">
        <f>HYPERLINK("https://streacom.com/","Streacom")</f>
        <v>Streacom</v>
      </c>
      <c r="B353" s="83" t="str">
        <f>HYPERLINK("https://streacom.com/products/da2-chassis/","DA2")</f>
        <v>DA2</v>
      </c>
      <c r="C353" s="63" t="s">
        <v>262</v>
      </c>
      <c r="D353" s="51">
        <v>340.0</v>
      </c>
      <c r="E353" s="51">
        <v>180.0</v>
      </c>
      <c r="F353" s="51">
        <v>286.0</v>
      </c>
      <c r="G353" s="81">
        <f t="shared" si="11"/>
        <v>17.5032</v>
      </c>
      <c r="H353" s="81">
        <f t="shared" si="12"/>
        <v>612</v>
      </c>
      <c r="I353" s="51">
        <v>3.9</v>
      </c>
      <c r="J353" s="48" t="s">
        <v>164</v>
      </c>
      <c r="K353" s="50" t="s">
        <v>1289</v>
      </c>
      <c r="L353" s="51">
        <v>145.0</v>
      </c>
      <c r="M353" s="52" t="s">
        <v>825</v>
      </c>
      <c r="N353" s="51" t="s">
        <v>166</v>
      </c>
      <c r="O353" s="51">
        <v>330.0</v>
      </c>
      <c r="P353" s="51">
        <v>150.0</v>
      </c>
      <c r="Q353" s="51">
        <v>50.0</v>
      </c>
      <c r="R353" s="51">
        <v>2.0</v>
      </c>
      <c r="S353" s="50" t="s">
        <v>166</v>
      </c>
      <c r="T353" s="52" t="s">
        <v>227</v>
      </c>
      <c r="U353" s="52" t="s">
        <v>816</v>
      </c>
      <c r="V353" s="51" t="s">
        <v>682</v>
      </c>
      <c r="W353" s="51" t="s">
        <v>426</v>
      </c>
      <c r="X353" s="52" t="s">
        <v>166</v>
      </c>
      <c r="Y353" s="51" t="s">
        <v>1292</v>
      </c>
      <c r="Z353" s="51" t="s">
        <v>1292</v>
      </c>
      <c r="AA353" s="51" t="s">
        <v>1292</v>
      </c>
      <c r="AB353" s="51" t="s">
        <v>1292</v>
      </c>
      <c r="AC353" s="51" t="s">
        <v>1292</v>
      </c>
      <c r="AD353" s="51" t="s">
        <v>1292</v>
      </c>
      <c r="AE353" s="54" t="s">
        <v>166</v>
      </c>
      <c r="AF353" s="55" t="s">
        <v>166</v>
      </c>
      <c r="AG353" s="51" t="s">
        <v>166</v>
      </c>
      <c r="AH353" s="48" t="s">
        <v>166</v>
      </c>
      <c r="AI353" s="48">
        <v>1.0</v>
      </c>
      <c r="AJ353" s="50" t="s">
        <v>166</v>
      </c>
      <c r="AK353" s="56" t="s">
        <v>166</v>
      </c>
      <c r="AL353" s="57">
        <v>259.0</v>
      </c>
      <c r="AM353" s="58"/>
      <c r="AN353" s="59"/>
      <c r="AO353" s="60"/>
      <c r="AP353" s="65">
        <v>44563.997404027774</v>
      </c>
      <c r="AQ353" s="66"/>
    </row>
    <row r="354">
      <c r="A354" s="69" t="str">
        <f>HYPERLINK("https://sgpc.world.taobao.com/","SGPC")</f>
        <v>SGPC</v>
      </c>
      <c r="B354" s="46" t="s">
        <v>1293</v>
      </c>
      <c r="C354" s="63" t="s">
        <v>262</v>
      </c>
      <c r="D354" s="51">
        <v>270.0</v>
      </c>
      <c r="E354" s="51">
        <v>159.0</v>
      </c>
      <c r="F354" s="51">
        <v>408.0</v>
      </c>
      <c r="G354" s="81">
        <f t="shared" si="11"/>
        <v>17.51544</v>
      </c>
      <c r="H354" s="81">
        <f t="shared" si="12"/>
        <v>429.3</v>
      </c>
      <c r="I354" s="51" t="s">
        <v>170</v>
      </c>
      <c r="J354" s="48" t="s">
        <v>597</v>
      </c>
      <c r="K354" s="50" t="s">
        <v>473</v>
      </c>
      <c r="L354" s="51">
        <v>135.0</v>
      </c>
      <c r="M354" s="52" t="s">
        <v>547</v>
      </c>
      <c r="N354" s="51" t="s">
        <v>166</v>
      </c>
      <c r="O354" s="51">
        <v>335.0</v>
      </c>
      <c r="P354" s="51">
        <v>140.0</v>
      </c>
      <c r="Q354" s="51">
        <v>80.0</v>
      </c>
      <c r="R354" s="51">
        <v>4.0</v>
      </c>
      <c r="S354" s="52" t="s">
        <v>166</v>
      </c>
      <c r="T354" s="52" t="s">
        <v>423</v>
      </c>
      <c r="U354" s="52" t="s">
        <v>686</v>
      </c>
      <c r="V354" s="51">
        <v>2.0</v>
      </c>
      <c r="W354" s="51">
        <v>1.0</v>
      </c>
      <c r="X354" s="52" t="s">
        <v>166</v>
      </c>
      <c r="Y354" s="51" t="s">
        <v>166</v>
      </c>
      <c r="Z354" s="51" t="s">
        <v>166</v>
      </c>
      <c r="AA354" s="51" t="s">
        <v>166</v>
      </c>
      <c r="AB354" s="51">
        <v>6.0</v>
      </c>
      <c r="AC354" s="51">
        <v>2.0</v>
      </c>
      <c r="AD354" s="51" t="s">
        <v>166</v>
      </c>
      <c r="AE354" s="54" t="s">
        <v>166</v>
      </c>
      <c r="AF354" s="55" t="s">
        <v>166</v>
      </c>
      <c r="AG354" s="51" t="s">
        <v>166</v>
      </c>
      <c r="AH354" s="48">
        <v>1.0</v>
      </c>
      <c r="AI354" s="48">
        <v>1.0</v>
      </c>
      <c r="AJ354" s="50" t="s">
        <v>166</v>
      </c>
      <c r="AK354" s="56">
        <v>259.0</v>
      </c>
      <c r="AL354" s="57">
        <f>AK354*Sheets!$E$3</f>
        <v>35.7019845</v>
      </c>
      <c r="AM354" s="68"/>
      <c r="AN354" s="59"/>
      <c r="AO354" s="60"/>
      <c r="AP354" s="65">
        <v>45061.01346447917</v>
      </c>
      <c r="AQ354" s="66"/>
    </row>
    <row r="355">
      <c r="A355" s="82" t="str">
        <f>HYPERLINK("https://www.coolermaster.com/","Cooler Master")</f>
        <v>Cooler Master</v>
      </c>
      <c r="B355" s="88" t="s">
        <v>1294</v>
      </c>
      <c r="C355" s="63" t="s">
        <v>248</v>
      </c>
      <c r="D355" s="51">
        <v>212.0</v>
      </c>
      <c r="E355" s="51">
        <v>172.0</v>
      </c>
      <c r="F355" s="51">
        <v>481.0</v>
      </c>
      <c r="G355" s="81">
        <f t="shared" si="11"/>
        <v>17.539184</v>
      </c>
      <c r="H355" s="81">
        <f t="shared" si="12"/>
        <v>364.64</v>
      </c>
      <c r="I355" s="51">
        <v>6.3</v>
      </c>
      <c r="J355" s="48" t="s">
        <v>164</v>
      </c>
      <c r="K355" s="52" t="s">
        <v>1235</v>
      </c>
      <c r="L355" s="51">
        <v>48.0</v>
      </c>
      <c r="M355" s="52">
        <v>120.0</v>
      </c>
      <c r="N355" s="51" t="s">
        <v>174</v>
      </c>
      <c r="O355" s="51">
        <v>357.0</v>
      </c>
      <c r="P355" s="51">
        <v>180.0</v>
      </c>
      <c r="Q355" s="51">
        <v>79.0</v>
      </c>
      <c r="R355" s="51">
        <v>3.0</v>
      </c>
      <c r="S355" s="52" t="s">
        <v>166</v>
      </c>
      <c r="T355" s="52" t="s">
        <v>167</v>
      </c>
      <c r="U355" s="52" t="s">
        <v>324</v>
      </c>
      <c r="V355" s="51">
        <v>1.0</v>
      </c>
      <c r="W355" s="51" t="s">
        <v>166</v>
      </c>
      <c r="X355" s="52" t="s">
        <v>166</v>
      </c>
      <c r="Y355" s="51" t="s">
        <v>166</v>
      </c>
      <c r="Z355" s="51" t="s">
        <v>166</v>
      </c>
      <c r="AA355" s="51" t="s">
        <v>166</v>
      </c>
      <c r="AB355" s="51" t="s">
        <v>166</v>
      </c>
      <c r="AC355" s="51">
        <v>2.0</v>
      </c>
      <c r="AD355" s="51" t="s">
        <v>166</v>
      </c>
      <c r="AE355" s="48" t="s">
        <v>166</v>
      </c>
      <c r="AF355" s="50" t="s">
        <v>166</v>
      </c>
      <c r="AG355" s="51" t="s">
        <v>166</v>
      </c>
      <c r="AH355" s="48">
        <v>2.0</v>
      </c>
      <c r="AI355" s="48">
        <v>1.0</v>
      </c>
      <c r="AJ355" s="50" t="s">
        <v>174</v>
      </c>
      <c r="AK355" s="56" t="s">
        <v>166</v>
      </c>
      <c r="AL355" s="142">
        <v>379.0</v>
      </c>
      <c r="AM355" s="58"/>
      <c r="AN355" s="59"/>
      <c r="AO355" s="60"/>
      <c r="AP355" s="65">
        <v>45300.980645937496</v>
      </c>
      <c r="AQ355" s="66"/>
    </row>
    <row r="356">
      <c r="A356" s="83" t="str">
        <f>HYPERLINK("http://www.louqe.com/","Louqe")</f>
        <v>Louqe</v>
      </c>
      <c r="B356" s="88" t="s">
        <v>1295</v>
      </c>
      <c r="C356" s="63" t="s">
        <v>262</v>
      </c>
      <c r="D356" s="51">
        <v>354.0</v>
      </c>
      <c r="E356" s="51">
        <v>187.0</v>
      </c>
      <c r="F356" s="51">
        <v>265.0</v>
      </c>
      <c r="G356" s="81">
        <f t="shared" si="11"/>
        <v>17.54247</v>
      </c>
      <c r="H356" s="81">
        <f t="shared" si="12"/>
        <v>661.98</v>
      </c>
      <c r="I356" s="51">
        <v>3.5</v>
      </c>
      <c r="J356" s="48" t="s">
        <v>164</v>
      </c>
      <c r="K356" s="50" t="s">
        <v>512</v>
      </c>
      <c r="L356" s="51">
        <v>165.0</v>
      </c>
      <c r="M356" s="52" t="s">
        <v>887</v>
      </c>
      <c r="N356" s="51" t="s">
        <v>166</v>
      </c>
      <c r="O356" s="51">
        <v>348.0</v>
      </c>
      <c r="P356" s="51">
        <v>160.0</v>
      </c>
      <c r="Q356" s="51">
        <v>80.0</v>
      </c>
      <c r="R356" s="51">
        <v>3.0</v>
      </c>
      <c r="S356" s="52" t="s">
        <v>166</v>
      </c>
      <c r="T356" s="52" t="s">
        <v>167</v>
      </c>
      <c r="U356" s="52" t="s">
        <v>346</v>
      </c>
      <c r="V356" s="51">
        <v>2.0</v>
      </c>
      <c r="W356" s="51" t="s">
        <v>166</v>
      </c>
      <c r="X356" s="52" t="s">
        <v>166</v>
      </c>
      <c r="Y356" s="51" t="s">
        <v>166</v>
      </c>
      <c r="Z356" s="51" t="s">
        <v>166</v>
      </c>
      <c r="AA356" s="51" t="s">
        <v>166</v>
      </c>
      <c r="AB356" s="51" t="s">
        <v>166</v>
      </c>
      <c r="AC356" s="51" t="s">
        <v>1151</v>
      </c>
      <c r="AD356" s="51" t="s">
        <v>682</v>
      </c>
      <c r="AE356" s="54" t="s">
        <v>166</v>
      </c>
      <c r="AF356" s="55" t="s">
        <v>166</v>
      </c>
      <c r="AG356" s="51" t="s">
        <v>166</v>
      </c>
      <c r="AH356" s="48" t="s">
        <v>166</v>
      </c>
      <c r="AI356" s="48" t="s">
        <v>166</v>
      </c>
      <c r="AJ356" s="50" t="s">
        <v>166</v>
      </c>
      <c r="AK356" s="56" t="s">
        <v>166</v>
      </c>
      <c r="AL356" s="57">
        <f>249*1.08</f>
        <v>268.92</v>
      </c>
      <c r="AM356" s="58"/>
      <c r="AN356" s="59"/>
      <c r="AO356" s="60"/>
      <c r="AP356" s="65">
        <v>45441.96455065972</v>
      </c>
      <c r="AQ356" s="66"/>
    </row>
    <row r="357">
      <c r="A357" s="62" t="s">
        <v>292</v>
      </c>
      <c r="B357" s="67" t="s">
        <v>1296</v>
      </c>
      <c r="C357" s="63" t="s">
        <v>262</v>
      </c>
      <c r="D357" s="48">
        <v>255.0</v>
      </c>
      <c r="E357" s="48">
        <v>186.0</v>
      </c>
      <c r="F357" s="48">
        <v>370.0</v>
      </c>
      <c r="G357" s="49">
        <f t="shared" si="11"/>
        <v>17.5491</v>
      </c>
      <c r="H357" s="49">
        <f t="shared" si="12"/>
        <v>474.3</v>
      </c>
      <c r="I357" s="48" t="s">
        <v>170</v>
      </c>
      <c r="J357" s="48" t="s">
        <v>164</v>
      </c>
      <c r="K357" s="52" t="s">
        <v>164</v>
      </c>
      <c r="L357" s="51">
        <v>158.0</v>
      </c>
      <c r="M357" s="50" t="s">
        <v>981</v>
      </c>
      <c r="N357" s="51" t="s">
        <v>166</v>
      </c>
      <c r="O357" s="48">
        <v>340.0</v>
      </c>
      <c r="P357" s="48">
        <v>163.0</v>
      </c>
      <c r="Q357" s="48">
        <v>67.0</v>
      </c>
      <c r="R357" s="48">
        <v>3.0</v>
      </c>
      <c r="S357" s="50" t="s">
        <v>166</v>
      </c>
      <c r="T357" s="52" t="s">
        <v>227</v>
      </c>
      <c r="U357" s="52" t="s">
        <v>346</v>
      </c>
      <c r="V357" s="51" t="s">
        <v>166</v>
      </c>
      <c r="W357" s="48" t="s">
        <v>166</v>
      </c>
      <c r="X357" s="50" t="s">
        <v>166</v>
      </c>
      <c r="Y357" s="51" t="s">
        <v>166</v>
      </c>
      <c r="Z357" s="48" t="s">
        <v>166</v>
      </c>
      <c r="AA357" s="48" t="s">
        <v>166</v>
      </c>
      <c r="AB357" s="48" t="s">
        <v>166</v>
      </c>
      <c r="AC357" s="48">
        <v>1.0</v>
      </c>
      <c r="AD357" s="48">
        <v>5.0</v>
      </c>
      <c r="AE357" s="54" t="s">
        <v>166</v>
      </c>
      <c r="AF357" s="55" t="s">
        <v>166</v>
      </c>
      <c r="AG357" s="51" t="s">
        <v>166</v>
      </c>
      <c r="AH357" s="48" t="s">
        <v>166</v>
      </c>
      <c r="AI357" s="48" t="s">
        <v>166</v>
      </c>
      <c r="AJ357" s="50" t="s">
        <v>166</v>
      </c>
      <c r="AK357" s="56" t="s">
        <v>166</v>
      </c>
      <c r="AL357" s="57">
        <f>120*1.19</f>
        <v>142.8</v>
      </c>
      <c r="AM357" s="64" t="s">
        <v>214</v>
      </c>
      <c r="AN357" s="59"/>
      <c r="AO357" s="60" t="s">
        <v>181</v>
      </c>
      <c r="AP357" s="60"/>
      <c r="AQ357" s="66"/>
    </row>
    <row r="358">
      <c r="A358" s="82" t="str">
        <f>HYPERLINK("http://www.jonsbo.com/en/","Jonsbo")</f>
        <v>Jonsbo</v>
      </c>
      <c r="B358" s="62" t="s">
        <v>428</v>
      </c>
      <c r="C358" s="63" t="s">
        <v>262</v>
      </c>
      <c r="D358" s="48">
        <v>337.0</v>
      </c>
      <c r="E358" s="48">
        <v>165.0</v>
      </c>
      <c r="F358" s="48">
        <v>317.0</v>
      </c>
      <c r="G358" s="49">
        <f t="shared" si="11"/>
        <v>17.626785</v>
      </c>
      <c r="H358" s="49">
        <f t="shared" si="12"/>
        <v>556.05</v>
      </c>
      <c r="I358" s="48">
        <v>2.7</v>
      </c>
      <c r="J358" s="48" t="s">
        <v>597</v>
      </c>
      <c r="K358" s="50" t="s">
        <v>512</v>
      </c>
      <c r="L358" s="51">
        <v>133.0</v>
      </c>
      <c r="M358" s="50" t="s">
        <v>166</v>
      </c>
      <c r="N358" s="51" t="s">
        <v>166</v>
      </c>
      <c r="O358" s="48">
        <v>290.0</v>
      </c>
      <c r="P358" s="48">
        <v>138.0</v>
      </c>
      <c r="Q358" s="48">
        <v>80.0</v>
      </c>
      <c r="R358" s="48">
        <v>4.0</v>
      </c>
      <c r="S358" s="50" t="s">
        <v>166</v>
      </c>
      <c r="T358" s="52" t="s">
        <v>423</v>
      </c>
      <c r="U358" s="52" t="s">
        <v>346</v>
      </c>
      <c r="V358" s="51" t="s">
        <v>194</v>
      </c>
      <c r="W358" s="48" t="s">
        <v>194</v>
      </c>
      <c r="X358" s="50" t="s">
        <v>166</v>
      </c>
      <c r="Y358" s="51" t="s">
        <v>166</v>
      </c>
      <c r="Z358" s="48" t="s">
        <v>166</v>
      </c>
      <c r="AA358" s="48" t="s">
        <v>166</v>
      </c>
      <c r="AB358" s="48">
        <v>1.0</v>
      </c>
      <c r="AC358" s="48">
        <v>4.0</v>
      </c>
      <c r="AD358" s="48" t="s">
        <v>166</v>
      </c>
      <c r="AE358" s="54" t="s">
        <v>166</v>
      </c>
      <c r="AF358" s="55" t="s">
        <v>166</v>
      </c>
      <c r="AG358" s="77" t="s">
        <v>166</v>
      </c>
      <c r="AH358" s="74">
        <v>2.0</v>
      </c>
      <c r="AI358" s="74" t="s">
        <v>166</v>
      </c>
      <c r="AJ358" s="75" t="s">
        <v>174</v>
      </c>
      <c r="AK358" s="56">
        <v>249.0</v>
      </c>
      <c r="AL358" s="142">
        <f>AK358*Sheets!$E$3</f>
        <v>34.3235295</v>
      </c>
      <c r="AM358" s="58"/>
      <c r="AN358" s="59"/>
      <c r="AO358" s="60"/>
      <c r="AP358" s="65">
        <v>45061.01347523148</v>
      </c>
      <c r="AQ358" s="66"/>
    </row>
    <row r="359">
      <c r="A359" s="61" t="s">
        <v>209</v>
      </c>
      <c r="B359" s="83" t="str">
        <f>HYPERLINK("https://www.silverstonetek.com/product.php?pid=333&amp;area=en","FT03-MINI")</f>
        <v>FT03-MINI</v>
      </c>
      <c r="C359" s="63" t="s">
        <v>262</v>
      </c>
      <c r="D359" s="48">
        <v>235.1</v>
      </c>
      <c r="E359" s="48">
        <v>188.9</v>
      </c>
      <c r="F359" s="48">
        <v>397.0</v>
      </c>
      <c r="G359" s="49">
        <f t="shared" si="11"/>
        <v>17.63092483</v>
      </c>
      <c r="H359" s="49">
        <f t="shared" si="12"/>
        <v>444.1039</v>
      </c>
      <c r="I359" s="48">
        <v>4.7</v>
      </c>
      <c r="J359" s="51" t="s">
        <v>164</v>
      </c>
      <c r="K359" s="50" t="s">
        <v>512</v>
      </c>
      <c r="L359" s="51">
        <v>82.0</v>
      </c>
      <c r="M359" s="52" t="s">
        <v>166</v>
      </c>
      <c r="N359" s="51" t="s">
        <v>166</v>
      </c>
      <c r="O359" s="48">
        <v>254.0</v>
      </c>
      <c r="P359" s="48">
        <v>129.0</v>
      </c>
      <c r="Q359" s="48">
        <v>40.0</v>
      </c>
      <c r="R359" s="48">
        <v>2.0</v>
      </c>
      <c r="S359" s="50" t="s">
        <v>166</v>
      </c>
      <c r="T359" s="52" t="s">
        <v>227</v>
      </c>
      <c r="U359" s="52" t="s">
        <v>324</v>
      </c>
      <c r="V359" s="51">
        <v>2.0</v>
      </c>
      <c r="W359" s="48">
        <v>1.0</v>
      </c>
      <c r="X359" s="50" t="s">
        <v>218</v>
      </c>
      <c r="Y359" s="51" t="s">
        <v>166</v>
      </c>
      <c r="Z359" s="48" t="s">
        <v>166</v>
      </c>
      <c r="AA359" s="48" t="s">
        <v>166</v>
      </c>
      <c r="AB359" s="48" t="s">
        <v>166</v>
      </c>
      <c r="AC359" s="48" t="s">
        <v>166</v>
      </c>
      <c r="AD359" s="48">
        <v>1.0</v>
      </c>
      <c r="AE359" s="54" t="s">
        <v>166</v>
      </c>
      <c r="AF359" s="55" t="s">
        <v>166</v>
      </c>
      <c r="AG359" s="77" t="s">
        <v>166</v>
      </c>
      <c r="AH359" s="74">
        <v>2.0</v>
      </c>
      <c r="AI359" s="74" t="s">
        <v>166</v>
      </c>
      <c r="AJ359" s="75" t="s">
        <v>174</v>
      </c>
      <c r="AK359" s="56" t="s">
        <v>166</v>
      </c>
      <c r="AL359" s="57">
        <v>115.0</v>
      </c>
      <c r="AM359" s="58"/>
      <c r="AN359" s="59"/>
      <c r="AO359" s="60" t="s">
        <v>181</v>
      </c>
      <c r="AP359" s="65">
        <v>44563.997430856485</v>
      </c>
      <c r="AQ359" s="66"/>
    </row>
    <row r="360">
      <c r="A360" s="91" t="s">
        <v>1297</v>
      </c>
      <c r="B360" s="131" t="s">
        <v>1298</v>
      </c>
      <c r="C360" s="63" t="s">
        <v>225</v>
      </c>
      <c r="D360" s="48">
        <v>360.0</v>
      </c>
      <c r="E360" s="48">
        <v>142.0</v>
      </c>
      <c r="F360" s="48">
        <v>345.0</v>
      </c>
      <c r="G360" s="49">
        <f t="shared" si="11"/>
        <v>17.6364</v>
      </c>
      <c r="H360" s="49">
        <f t="shared" si="12"/>
        <v>511.2</v>
      </c>
      <c r="I360" s="51" t="s">
        <v>170</v>
      </c>
      <c r="J360" s="51" t="s">
        <v>164</v>
      </c>
      <c r="K360" s="52" t="s">
        <v>164</v>
      </c>
      <c r="L360" s="51">
        <v>110.0</v>
      </c>
      <c r="M360" s="52" t="s">
        <v>825</v>
      </c>
      <c r="N360" s="51" t="s">
        <v>174</v>
      </c>
      <c r="O360" s="51">
        <v>315.0</v>
      </c>
      <c r="P360" s="51" t="s">
        <v>170</v>
      </c>
      <c r="Q360" s="51">
        <v>50.0</v>
      </c>
      <c r="R360" s="51">
        <v>2.0</v>
      </c>
      <c r="S360" s="52" t="s">
        <v>166</v>
      </c>
      <c r="T360" s="52" t="s">
        <v>167</v>
      </c>
      <c r="U360" s="52" t="s">
        <v>346</v>
      </c>
      <c r="V360" s="51">
        <v>10.0</v>
      </c>
      <c r="W360" s="51" t="s">
        <v>166</v>
      </c>
      <c r="X360" s="52" t="s">
        <v>166</v>
      </c>
      <c r="Y360" s="51" t="s">
        <v>166</v>
      </c>
      <c r="Z360" s="51">
        <v>2.0</v>
      </c>
      <c r="AA360" s="51" t="s">
        <v>166</v>
      </c>
      <c r="AB360" s="51" t="s">
        <v>166</v>
      </c>
      <c r="AC360" s="51" t="s">
        <v>412</v>
      </c>
      <c r="AD360" s="51" t="s">
        <v>193</v>
      </c>
      <c r="AE360" s="54" t="s">
        <v>166</v>
      </c>
      <c r="AF360" s="55" t="s">
        <v>166</v>
      </c>
      <c r="AG360" s="51" t="s">
        <v>166</v>
      </c>
      <c r="AH360" s="48" t="s">
        <v>166</v>
      </c>
      <c r="AI360" s="48" t="s">
        <v>166</v>
      </c>
      <c r="AJ360" s="50" t="s">
        <v>166</v>
      </c>
      <c r="AK360" s="56" t="s">
        <v>166</v>
      </c>
      <c r="AL360" s="142">
        <v>288.0</v>
      </c>
      <c r="AM360" s="64" t="s">
        <v>214</v>
      </c>
      <c r="AN360" s="59"/>
      <c r="AO360" s="132" t="s">
        <v>181</v>
      </c>
      <c r="AP360" s="133">
        <v>44769.76039711805</v>
      </c>
      <c r="AQ360" s="155"/>
    </row>
    <row r="361">
      <c r="A361" s="82" t="str">
        <f>HYPERLINK("https://www.coolermaster.com/","Cooler Master")</f>
        <v>Cooler Master</v>
      </c>
      <c r="B361" s="138" t="str">
        <f>HYPERLINK("https://www.coolermaster.com/catalog/cases/mini-itx/mastercase-h100/","MasterCase H100")</f>
        <v>MasterCase H100</v>
      </c>
      <c r="C361" s="63" t="s">
        <v>262</v>
      </c>
      <c r="D361" s="51">
        <v>278.0</v>
      </c>
      <c r="E361" s="51">
        <v>216.0</v>
      </c>
      <c r="F361" s="51">
        <v>294.0</v>
      </c>
      <c r="G361" s="81">
        <f t="shared" si="11"/>
        <v>17.654112</v>
      </c>
      <c r="H361" s="81">
        <f t="shared" si="12"/>
        <v>600.48</v>
      </c>
      <c r="I361" s="51">
        <v>2.66</v>
      </c>
      <c r="J361" s="51" t="s">
        <v>171</v>
      </c>
      <c r="K361" s="52" t="s">
        <v>211</v>
      </c>
      <c r="L361" s="51">
        <v>83.0</v>
      </c>
      <c r="M361" s="52" t="s">
        <v>1299</v>
      </c>
      <c r="N361" s="51" t="s">
        <v>166</v>
      </c>
      <c r="O361" s="51">
        <v>210.0</v>
      </c>
      <c r="P361" s="51" t="s">
        <v>170</v>
      </c>
      <c r="Q361" s="51">
        <v>40.0</v>
      </c>
      <c r="R361" s="51">
        <v>2.0</v>
      </c>
      <c r="S361" s="52" t="s">
        <v>166</v>
      </c>
      <c r="T361" s="52" t="s">
        <v>167</v>
      </c>
      <c r="U361" s="52" t="s">
        <v>599</v>
      </c>
      <c r="V361" s="51" t="s">
        <v>562</v>
      </c>
      <c r="W361" s="51" t="s">
        <v>194</v>
      </c>
      <c r="X361" s="52" t="s">
        <v>166</v>
      </c>
      <c r="Y361" s="51" t="s">
        <v>166</v>
      </c>
      <c r="Z361" s="51" t="s">
        <v>166</v>
      </c>
      <c r="AA361" s="51" t="s">
        <v>166</v>
      </c>
      <c r="AB361" s="51" t="s">
        <v>166</v>
      </c>
      <c r="AC361" s="51" t="s">
        <v>194</v>
      </c>
      <c r="AD361" s="51" t="s">
        <v>194</v>
      </c>
      <c r="AE361" s="48" t="s">
        <v>166</v>
      </c>
      <c r="AF361" s="50">
        <v>1.0</v>
      </c>
      <c r="AG361" s="77" t="s">
        <v>166</v>
      </c>
      <c r="AH361" s="74">
        <v>2.0</v>
      </c>
      <c r="AI361" s="74" t="s">
        <v>166</v>
      </c>
      <c r="AJ361" s="75" t="s">
        <v>174</v>
      </c>
      <c r="AK361" s="56" t="s">
        <v>166</v>
      </c>
      <c r="AL361" s="142">
        <v>70.0</v>
      </c>
      <c r="AM361" s="58"/>
      <c r="AN361" s="64" t="s">
        <v>214</v>
      </c>
      <c r="AO361" s="132"/>
      <c r="AP361" s="133">
        <v>44644.50688563657</v>
      </c>
      <c r="AQ361" s="130"/>
    </row>
    <row r="362">
      <c r="A362" s="91" t="s">
        <v>786</v>
      </c>
      <c r="B362" s="156" t="s">
        <v>1300</v>
      </c>
      <c r="C362" s="47" t="s">
        <v>490</v>
      </c>
      <c r="D362" s="77">
        <v>259.0</v>
      </c>
      <c r="E362" s="77">
        <v>203.0</v>
      </c>
      <c r="F362" s="77">
        <v>337.0</v>
      </c>
      <c r="G362" s="81">
        <f t="shared" si="11"/>
        <v>17.718449</v>
      </c>
      <c r="H362" s="81">
        <f t="shared" si="12"/>
        <v>525.77</v>
      </c>
      <c r="I362" s="77">
        <v>5.4</v>
      </c>
      <c r="J362" s="48" t="s">
        <v>164</v>
      </c>
      <c r="K362" s="53" t="s">
        <v>171</v>
      </c>
      <c r="L362" s="76">
        <v>50.0</v>
      </c>
      <c r="M362" s="53" t="s">
        <v>166</v>
      </c>
      <c r="N362" s="77" t="s">
        <v>166</v>
      </c>
      <c r="O362" s="51" t="s">
        <v>166</v>
      </c>
      <c r="P362" s="77" t="s">
        <v>166</v>
      </c>
      <c r="Q362" s="51" t="s">
        <v>166</v>
      </c>
      <c r="R362" s="157">
        <v>1.0</v>
      </c>
      <c r="S362" s="52" t="s">
        <v>166</v>
      </c>
      <c r="T362" s="52" t="s">
        <v>167</v>
      </c>
      <c r="U362" s="53" t="s">
        <v>818</v>
      </c>
      <c r="V362" s="77">
        <v>1.0</v>
      </c>
      <c r="W362" s="77">
        <v>8.0</v>
      </c>
      <c r="X362" s="53" t="s">
        <v>166</v>
      </c>
      <c r="Y362" s="51" t="s">
        <v>166</v>
      </c>
      <c r="Z362" s="77" t="s">
        <v>166</v>
      </c>
      <c r="AA362" s="77">
        <v>2.0</v>
      </c>
      <c r="AB362" s="51" t="s">
        <v>166</v>
      </c>
      <c r="AC362" s="51" t="s">
        <v>166</v>
      </c>
      <c r="AD362" s="51" t="s">
        <v>166</v>
      </c>
      <c r="AE362" s="54" t="s">
        <v>166</v>
      </c>
      <c r="AF362" s="55" t="s">
        <v>166</v>
      </c>
      <c r="AG362" s="51">
        <v>1.0</v>
      </c>
      <c r="AH362" s="48">
        <v>1.0</v>
      </c>
      <c r="AI362" s="48" t="s">
        <v>166</v>
      </c>
      <c r="AJ362" s="50" t="s">
        <v>166</v>
      </c>
      <c r="AK362" s="56" t="s">
        <v>166</v>
      </c>
      <c r="AL362" s="142">
        <v>230.0</v>
      </c>
      <c r="AM362" s="64"/>
      <c r="AN362" s="59"/>
      <c r="AO362" s="132" t="s">
        <v>181</v>
      </c>
      <c r="AP362" s="133">
        <v>44563.99748131944</v>
      </c>
      <c r="AQ362" s="158"/>
    </row>
    <row r="363">
      <c r="A363" s="46" t="str">
        <f>HYPERLINK("https://shop159524301.world.taobao.com/","Warhead Design")</f>
        <v>Warhead Design</v>
      </c>
      <c r="B363" s="125" t="s">
        <v>1301</v>
      </c>
      <c r="C363" s="63" t="s">
        <v>262</v>
      </c>
      <c r="D363" s="51">
        <v>338.0</v>
      </c>
      <c r="E363" s="51">
        <v>185.0</v>
      </c>
      <c r="F363" s="51">
        <v>285.0</v>
      </c>
      <c r="G363" s="81">
        <f t="shared" si="11"/>
        <v>17.82105</v>
      </c>
      <c r="H363" s="81">
        <f t="shared" si="12"/>
        <v>625.3</v>
      </c>
      <c r="I363" s="51">
        <v>2.2</v>
      </c>
      <c r="J363" s="48" t="s">
        <v>171</v>
      </c>
      <c r="K363" s="52" t="s">
        <v>171</v>
      </c>
      <c r="L363" s="51">
        <v>155.0</v>
      </c>
      <c r="M363" s="52" t="s">
        <v>1302</v>
      </c>
      <c r="N363" s="51" t="s">
        <v>166</v>
      </c>
      <c r="O363" s="51">
        <v>330.0</v>
      </c>
      <c r="P363" s="51">
        <v>160.0</v>
      </c>
      <c r="Q363" s="51">
        <v>80.0</v>
      </c>
      <c r="R363" s="51">
        <v>4.0</v>
      </c>
      <c r="S363" s="52" t="s">
        <v>166</v>
      </c>
      <c r="T363" s="52" t="s">
        <v>423</v>
      </c>
      <c r="U363" s="52" t="s">
        <v>816</v>
      </c>
      <c r="V363" s="51" t="s">
        <v>193</v>
      </c>
      <c r="W363" s="51" t="s">
        <v>194</v>
      </c>
      <c r="X363" s="52" t="s">
        <v>166</v>
      </c>
      <c r="Y363" s="51" t="s">
        <v>166</v>
      </c>
      <c r="Z363" s="51" t="s">
        <v>166</v>
      </c>
      <c r="AA363" s="51" t="s">
        <v>166</v>
      </c>
      <c r="AB363" s="51" t="s">
        <v>166</v>
      </c>
      <c r="AC363" s="51" t="s">
        <v>1161</v>
      </c>
      <c r="AD363" s="51" t="s">
        <v>193</v>
      </c>
      <c r="AE363" s="54" t="s">
        <v>166</v>
      </c>
      <c r="AF363" s="55" t="s">
        <v>166</v>
      </c>
      <c r="AG363" s="51" t="s">
        <v>166</v>
      </c>
      <c r="AH363" s="48">
        <v>1.0</v>
      </c>
      <c r="AI363" s="48" t="s">
        <v>166</v>
      </c>
      <c r="AJ363" s="50" t="s">
        <v>174</v>
      </c>
      <c r="AK363" s="56">
        <v>379.0</v>
      </c>
      <c r="AL363" s="142">
        <f>AK363*Sheets!$E$3</f>
        <v>52.2434445</v>
      </c>
      <c r="AM363" s="68"/>
      <c r="AN363" s="59"/>
      <c r="AO363" s="126" t="s">
        <v>181</v>
      </c>
      <c r="AP363" s="133">
        <v>44559.40240146991</v>
      </c>
      <c r="AQ363" s="158"/>
    </row>
    <row r="364">
      <c r="A364" s="82" t="str">
        <f t="shared" ref="A364:A365" si="19">HYPERLINK("http://sliger.com/","Sliger")</f>
        <v>Sliger</v>
      </c>
      <c r="B364" s="67" t="s">
        <v>1303</v>
      </c>
      <c r="C364" s="63" t="s">
        <v>248</v>
      </c>
      <c r="D364" s="48">
        <v>247.0</v>
      </c>
      <c r="E364" s="48">
        <v>154.0</v>
      </c>
      <c r="F364" s="48">
        <v>472.0</v>
      </c>
      <c r="G364" s="49">
        <f t="shared" si="11"/>
        <v>17.953936</v>
      </c>
      <c r="H364" s="49">
        <f t="shared" si="12"/>
        <v>380.38</v>
      </c>
      <c r="I364" s="48">
        <v>4.74</v>
      </c>
      <c r="J364" s="48" t="s">
        <v>171</v>
      </c>
      <c r="K364" s="50" t="s">
        <v>1188</v>
      </c>
      <c r="L364" s="51">
        <v>55.0</v>
      </c>
      <c r="M364" s="50" t="s">
        <v>909</v>
      </c>
      <c r="N364" s="51" t="s">
        <v>174</v>
      </c>
      <c r="O364" s="48">
        <v>390.0</v>
      </c>
      <c r="P364" s="48">
        <v>160.0</v>
      </c>
      <c r="Q364" s="48">
        <v>68.0</v>
      </c>
      <c r="R364" s="48">
        <v>3.0</v>
      </c>
      <c r="S364" s="50" t="s">
        <v>166</v>
      </c>
      <c r="T364" s="52" t="s">
        <v>167</v>
      </c>
      <c r="U364" s="52" t="s">
        <v>346</v>
      </c>
      <c r="V364" s="51" t="s">
        <v>1161</v>
      </c>
      <c r="W364" s="48" t="s">
        <v>193</v>
      </c>
      <c r="X364" s="50" t="s">
        <v>166</v>
      </c>
      <c r="Y364" s="51" t="s">
        <v>166</v>
      </c>
      <c r="Z364" s="48" t="s">
        <v>166</v>
      </c>
      <c r="AA364" s="48" t="s">
        <v>166</v>
      </c>
      <c r="AB364" s="48" t="s">
        <v>166</v>
      </c>
      <c r="AC364" s="48">
        <v>3.0</v>
      </c>
      <c r="AD364" s="48" t="s">
        <v>166</v>
      </c>
      <c r="AE364" s="54" t="s">
        <v>166</v>
      </c>
      <c r="AF364" s="55" t="s">
        <v>166</v>
      </c>
      <c r="AG364" s="51" t="s">
        <v>166</v>
      </c>
      <c r="AH364" s="48" t="s">
        <v>166</v>
      </c>
      <c r="AI364" s="48" t="s">
        <v>166</v>
      </c>
      <c r="AJ364" s="50" t="s">
        <v>166</v>
      </c>
      <c r="AK364" s="56" t="s">
        <v>166</v>
      </c>
      <c r="AL364" s="57">
        <v>269.0</v>
      </c>
      <c r="AM364" s="64" t="str">
        <f t="shared" ref="AM364:AM365" si="20">HYPERLINK("https://smallformfactor.net/forum/threads/sv590-and-sv540-vertical-sff-cases-sv590-live-monday-nov-25th.10423/","Link")</f>
        <v>Link</v>
      </c>
      <c r="AN364" s="64" t="s">
        <v>214</v>
      </c>
      <c r="AO364" s="60" t="s">
        <v>181</v>
      </c>
      <c r="AP364" s="65">
        <v>44529.437865706015</v>
      </c>
      <c r="AQ364" s="66"/>
    </row>
    <row r="365">
      <c r="A365" s="82" t="str">
        <f t="shared" si="19"/>
        <v>Sliger</v>
      </c>
      <c r="B365" s="62" t="s">
        <v>1304</v>
      </c>
      <c r="C365" s="63" t="s">
        <v>248</v>
      </c>
      <c r="D365" s="48">
        <v>247.0</v>
      </c>
      <c r="E365" s="48">
        <v>154.0</v>
      </c>
      <c r="F365" s="48">
        <v>472.0</v>
      </c>
      <c r="G365" s="49">
        <f t="shared" si="11"/>
        <v>17.953936</v>
      </c>
      <c r="H365" s="49">
        <f t="shared" si="12"/>
        <v>380.38</v>
      </c>
      <c r="I365" s="48">
        <v>4.74</v>
      </c>
      <c r="J365" s="48" t="s">
        <v>171</v>
      </c>
      <c r="K365" s="52" t="s">
        <v>1188</v>
      </c>
      <c r="L365" s="51">
        <v>55.0</v>
      </c>
      <c r="M365" s="50" t="s">
        <v>1122</v>
      </c>
      <c r="N365" s="51" t="s">
        <v>174</v>
      </c>
      <c r="O365" s="48">
        <v>390.0</v>
      </c>
      <c r="P365" s="48">
        <v>160.0</v>
      </c>
      <c r="Q365" s="48">
        <v>68.0</v>
      </c>
      <c r="R365" s="48">
        <v>3.0</v>
      </c>
      <c r="S365" s="50" t="s">
        <v>166</v>
      </c>
      <c r="T365" s="52" t="s">
        <v>167</v>
      </c>
      <c r="U365" s="52" t="s">
        <v>346</v>
      </c>
      <c r="V365" s="51" t="s">
        <v>1305</v>
      </c>
      <c r="W365" s="48" t="s">
        <v>193</v>
      </c>
      <c r="X365" s="50" t="s">
        <v>166</v>
      </c>
      <c r="Y365" s="51" t="s">
        <v>166</v>
      </c>
      <c r="Z365" s="48" t="s">
        <v>166</v>
      </c>
      <c r="AA365" s="48" t="s">
        <v>166</v>
      </c>
      <c r="AB365" s="48" t="s">
        <v>166</v>
      </c>
      <c r="AC365" s="48" t="s">
        <v>426</v>
      </c>
      <c r="AD365" s="48" t="s">
        <v>426</v>
      </c>
      <c r="AE365" s="54" t="s">
        <v>166</v>
      </c>
      <c r="AF365" s="55" t="s">
        <v>166</v>
      </c>
      <c r="AG365" s="51" t="s">
        <v>166</v>
      </c>
      <c r="AH365" s="48" t="s">
        <v>166</v>
      </c>
      <c r="AI365" s="48" t="s">
        <v>166</v>
      </c>
      <c r="AJ365" s="50" t="s">
        <v>166</v>
      </c>
      <c r="AK365" s="56" t="s">
        <v>166</v>
      </c>
      <c r="AL365" s="57">
        <v>259.0</v>
      </c>
      <c r="AM365" s="64" t="str">
        <f t="shared" si="20"/>
        <v>Link</v>
      </c>
      <c r="AN365" s="64" t="s">
        <v>214</v>
      </c>
      <c r="AO365" s="60" t="s">
        <v>181</v>
      </c>
      <c r="AP365" s="65">
        <v>44563.99760383102</v>
      </c>
      <c r="AQ365" s="66"/>
    </row>
    <row r="366">
      <c r="A366" s="69" t="str">
        <f>HYPERLINK("https://shop34001191.world.taobao.com/","Mechanic Master")</f>
        <v>Mechanic Master</v>
      </c>
      <c r="B366" s="46" t="s">
        <v>1306</v>
      </c>
      <c r="C366" s="63" t="s">
        <v>262</v>
      </c>
      <c r="D366" s="48">
        <v>342.0</v>
      </c>
      <c r="E366" s="48">
        <v>185.0</v>
      </c>
      <c r="F366" s="48">
        <v>284.0</v>
      </c>
      <c r="G366" s="49">
        <f t="shared" si="11"/>
        <v>17.96868</v>
      </c>
      <c r="H366" s="49">
        <f t="shared" si="12"/>
        <v>632.7</v>
      </c>
      <c r="I366" s="48">
        <v>5.5</v>
      </c>
      <c r="J366" s="48" t="s">
        <v>235</v>
      </c>
      <c r="K366" s="52" t="s">
        <v>605</v>
      </c>
      <c r="L366" s="51">
        <v>162.0</v>
      </c>
      <c r="M366" s="52" t="s">
        <v>825</v>
      </c>
      <c r="N366" s="51" t="s">
        <v>166</v>
      </c>
      <c r="O366" s="48">
        <v>335.0</v>
      </c>
      <c r="P366" s="48">
        <v>167.0</v>
      </c>
      <c r="Q366" s="48">
        <v>80.0</v>
      </c>
      <c r="R366" s="48">
        <v>4.0</v>
      </c>
      <c r="S366" s="50" t="s">
        <v>166</v>
      </c>
      <c r="T366" s="52" t="s">
        <v>423</v>
      </c>
      <c r="U366" s="52" t="s">
        <v>599</v>
      </c>
      <c r="V366" s="51" t="s">
        <v>412</v>
      </c>
      <c r="W366" s="48" t="s">
        <v>194</v>
      </c>
      <c r="X366" s="50" t="s">
        <v>166</v>
      </c>
      <c r="Y366" s="51" t="s">
        <v>166</v>
      </c>
      <c r="Z366" s="48" t="s">
        <v>166</v>
      </c>
      <c r="AA366" s="48"/>
      <c r="AB366" s="48" t="s">
        <v>300</v>
      </c>
      <c r="AC366" s="48" t="s">
        <v>278</v>
      </c>
      <c r="AD366" s="48" t="s">
        <v>166</v>
      </c>
      <c r="AE366" s="54" t="s">
        <v>166</v>
      </c>
      <c r="AF366" s="55" t="s">
        <v>166</v>
      </c>
      <c r="AG366" s="51" t="s">
        <v>166</v>
      </c>
      <c r="AH366" s="48">
        <v>1.0</v>
      </c>
      <c r="AI366" s="48">
        <v>1.0</v>
      </c>
      <c r="AJ366" s="50" t="s">
        <v>166</v>
      </c>
      <c r="AK366" s="56">
        <v>799.0</v>
      </c>
      <c r="AL366" s="57">
        <f>AK366*Sheets!$E$3</f>
        <v>110.1385545</v>
      </c>
      <c r="AM366" s="58"/>
      <c r="AN366" s="59"/>
      <c r="AO366" s="60"/>
      <c r="AP366" s="65">
        <v>44720.87110957176</v>
      </c>
      <c r="AQ366" s="66"/>
    </row>
    <row r="367">
      <c r="A367" s="61" t="str">
        <f>HYPERLINK("https://www.chieftec.eu/en/","Chieftec")</f>
        <v>Chieftec</v>
      </c>
      <c r="B367" s="62" t="s">
        <v>1307</v>
      </c>
      <c r="C367" s="101" t="s">
        <v>262</v>
      </c>
      <c r="D367" s="74">
        <v>356.0</v>
      </c>
      <c r="E367" s="74">
        <v>260.0</v>
      </c>
      <c r="F367" s="74">
        <v>195.0</v>
      </c>
      <c r="G367" s="49">
        <f t="shared" si="11"/>
        <v>18.0492</v>
      </c>
      <c r="H367" s="49">
        <f t="shared" si="12"/>
        <v>925.6</v>
      </c>
      <c r="I367" s="74">
        <v>3.79</v>
      </c>
      <c r="J367" s="48" t="s">
        <v>171</v>
      </c>
      <c r="K367" s="75" t="s">
        <v>217</v>
      </c>
      <c r="L367" s="76">
        <v>145.0</v>
      </c>
      <c r="M367" s="75">
        <v>120.0</v>
      </c>
      <c r="N367" s="77" t="s">
        <v>166</v>
      </c>
      <c r="O367" s="104">
        <v>320.0</v>
      </c>
      <c r="P367" s="74">
        <v>150.0</v>
      </c>
      <c r="Q367" s="89">
        <v>40.0</v>
      </c>
      <c r="R367" s="105">
        <v>2.0</v>
      </c>
      <c r="S367" s="50" t="s">
        <v>166</v>
      </c>
      <c r="T367" s="52" t="s">
        <v>167</v>
      </c>
      <c r="U367" s="53" t="s">
        <v>599</v>
      </c>
      <c r="V367" s="77">
        <v>2.0</v>
      </c>
      <c r="W367" s="74">
        <v>3.0</v>
      </c>
      <c r="X367" s="75" t="s">
        <v>208</v>
      </c>
      <c r="Y367" s="51" t="s">
        <v>166</v>
      </c>
      <c r="Z367" s="74" t="s">
        <v>166</v>
      </c>
      <c r="AA367" s="74" t="s">
        <v>166</v>
      </c>
      <c r="AB367" s="48" t="s">
        <v>166</v>
      </c>
      <c r="AC367" s="48">
        <v>1.0</v>
      </c>
      <c r="AD367" s="48" t="s">
        <v>166</v>
      </c>
      <c r="AE367" s="54" t="s">
        <v>166</v>
      </c>
      <c r="AF367" s="55" t="s">
        <v>166</v>
      </c>
      <c r="AG367" s="51" t="s">
        <v>166</v>
      </c>
      <c r="AH367" s="48">
        <v>2.0</v>
      </c>
      <c r="AI367" s="48" t="s">
        <v>166</v>
      </c>
      <c r="AJ367" s="50" t="s">
        <v>174</v>
      </c>
      <c r="AK367" s="56" t="s">
        <v>166</v>
      </c>
      <c r="AL367" s="57" t="s">
        <v>170</v>
      </c>
      <c r="AM367" s="68"/>
      <c r="AN367" s="59"/>
      <c r="AO367" s="60"/>
      <c r="AP367" s="65">
        <v>44728.435982905095</v>
      </c>
      <c r="AQ367" s="66"/>
    </row>
    <row r="368">
      <c r="A368" s="82" t="str">
        <f t="shared" ref="A368:A369" si="21">HYPERLINK("http://www.jonsbo.com/en/","Jonsbo")</f>
        <v>Jonsbo</v>
      </c>
      <c r="B368" s="62" t="s">
        <v>1308</v>
      </c>
      <c r="C368" s="63" t="s">
        <v>490</v>
      </c>
      <c r="D368" s="48">
        <v>262.0</v>
      </c>
      <c r="E368" s="48">
        <v>233.0</v>
      </c>
      <c r="F368" s="48">
        <v>298.0</v>
      </c>
      <c r="G368" s="49">
        <f t="shared" si="11"/>
        <v>18.191708</v>
      </c>
      <c r="H368" s="49">
        <f t="shared" si="12"/>
        <v>610.46</v>
      </c>
      <c r="I368" s="48">
        <v>3.9</v>
      </c>
      <c r="J368" s="48" t="s">
        <v>164</v>
      </c>
      <c r="K368" s="50" t="s">
        <v>605</v>
      </c>
      <c r="L368" s="51">
        <v>130.0</v>
      </c>
      <c r="M368" s="50" t="s">
        <v>166</v>
      </c>
      <c r="N368" s="51" t="s">
        <v>166</v>
      </c>
      <c r="O368" s="48">
        <v>250.0</v>
      </c>
      <c r="P368" s="48">
        <v>135.0</v>
      </c>
      <c r="Q368" s="48">
        <v>40.0</v>
      </c>
      <c r="R368" s="48">
        <v>2.0</v>
      </c>
      <c r="S368" s="50" t="s">
        <v>166</v>
      </c>
      <c r="T368" s="52" t="s">
        <v>167</v>
      </c>
      <c r="U368" s="52" t="s">
        <v>324</v>
      </c>
      <c r="V368" s="51">
        <v>1.0</v>
      </c>
      <c r="W368" s="48">
        <v>8.0</v>
      </c>
      <c r="X368" s="50" t="s">
        <v>166</v>
      </c>
      <c r="Y368" s="51" t="s">
        <v>166</v>
      </c>
      <c r="Z368" s="48" t="s">
        <v>166</v>
      </c>
      <c r="AA368" s="48">
        <v>2.0</v>
      </c>
      <c r="AB368" s="48">
        <v>2.0</v>
      </c>
      <c r="AC368" s="48" t="s">
        <v>166</v>
      </c>
      <c r="AD368" s="48" t="s">
        <v>166</v>
      </c>
      <c r="AE368" s="54" t="s">
        <v>166</v>
      </c>
      <c r="AF368" s="55" t="s">
        <v>166</v>
      </c>
      <c r="AG368" s="51" t="s">
        <v>166</v>
      </c>
      <c r="AH368" s="48">
        <v>1.0</v>
      </c>
      <c r="AI368" s="48">
        <v>1.0</v>
      </c>
      <c r="AJ368" s="50" t="s">
        <v>174</v>
      </c>
      <c r="AK368" s="56" t="s">
        <v>166</v>
      </c>
      <c r="AL368" s="57" t="s">
        <v>170</v>
      </c>
      <c r="AM368" s="68"/>
      <c r="AN368" s="59"/>
      <c r="AO368" s="60"/>
      <c r="AP368" s="65">
        <v>45137.640785428244</v>
      </c>
      <c r="AQ368" s="66"/>
    </row>
    <row r="369">
      <c r="A369" s="82" t="str">
        <f t="shared" si="21"/>
        <v>Jonsbo</v>
      </c>
      <c r="B369" s="62" t="s">
        <v>1309</v>
      </c>
      <c r="C369" s="63" t="s">
        <v>248</v>
      </c>
      <c r="D369" s="48">
        <v>344.0</v>
      </c>
      <c r="E369" s="48">
        <v>174.0</v>
      </c>
      <c r="F369" s="48">
        <v>304.0</v>
      </c>
      <c r="G369" s="49">
        <f t="shared" si="11"/>
        <v>18.196224</v>
      </c>
      <c r="H369" s="49">
        <f t="shared" si="12"/>
        <v>598.56</v>
      </c>
      <c r="I369" s="48">
        <v>3.0</v>
      </c>
      <c r="J369" s="48" t="s">
        <v>235</v>
      </c>
      <c r="K369" s="50" t="s">
        <v>164</v>
      </c>
      <c r="L369" s="51">
        <v>75.0</v>
      </c>
      <c r="M369" s="50" t="s">
        <v>547</v>
      </c>
      <c r="N369" s="51" t="s">
        <v>174</v>
      </c>
      <c r="O369" s="48">
        <v>330.0</v>
      </c>
      <c r="P369" s="48" t="s">
        <v>170</v>
      </c>
      <c r="Q369" s="48">
        <v>60.0</v>
      </c>
      <c r="R369" s="48">
        <v>2.0</v>
      </c>
      <c r="S369" s="50" t="s">
        <v>166</v>
      </c>
      <c r="T369" s="52" t="s">
        <v>167</v>
      </c>
      <c r="U369" s="52" t="s">
        <v>816</v>
      </c>
      <c r="V369" s="51">
        <v>2.0</v>
      </c>
      <c r="W369" s="48" t="s">
        <v>166</v>
      </c>
      <c r="X369" s="50" t="s">
        <v>166</v>
      </c>
      <c r="Y369" s="51" t="s">
        <v>166</v>
      </c>
      <c r="Z369" s="48" t="s">
        <v>166</v>
      </c>
      <c r="AA369" s="48" t="s">
        <v>166</v>
      </c>
      <c r="AB369" s="48" t="s">
        <v>166</v>
      </c>
      <c r="AC369" s="48">
        <v>4.0</v>
      </c>
      <c r="AD369" s="48" t="s">
        <v>166</v>
      </c>
      <c r="AE369" s="54" t="s">
        <v>166</v>
      </c>
      <c r="AF369" s="55" t="s">
        <v>166</v>
      </c>
      <c r="AG369" s="51" t="s">
        <v>166</v>
      </c>
      <c r="AH369" s="48">
        <v>1.0</v>
      </c>
      <c r="AI369" s="48">
        <v>1.0</v>
      </c>
      <c r="AJ369" s="50" t="s">
        <v>174</v>
      </c>
      <c r="AK369" s="56">
        <v>399.0</v>
      </c>
      <c r="AL369" s="57">
        <f>AK369*0.14</f>
        <v>55.86</v>
      </c>
      <c r="AM369" s="58"/>
      <c r="AN369" s="59"/>
      <c r="AO369" s="60"/>
      <c r="AP369" s="60"/>
      <c r="AQ369" s="66"/>
    </row>
    <row r="370">
      <c r="A370" s="69" t="s">
        <v>379</v>
      </c>
      <c r="B370" s="46" t="s">
        <v>1310</v>
      </c>
      <c r="C370" s="63" t="s">
        <v>262</v>
      </c>
      <c r="D370" s="48">
        <v>340.0</v>
      </c>
      <c r="E370" s="48">
        <v>170.0</v>
      </c>
      <c r="F370" s="48">
        <v>315.0</v>
      </c>
      <c r="G370" s="49">
        <f t="shared" si="11"/>
        <v>18.207</v>
      </c>
      <c r="H370" s="49">
        <f t="shared" si="12"/>
        <v>578</v>
      </c>
      <c r="I370" s="48">
        <v>6.0</v>
      </c>
      <c r="J370" s="48" t="s">
        <v>1311</v>
      </c>
      <c r="K370" s="50" t="s">
        <v>164</v>
      </c>
      <c r="L370" s="51">
        <v>138.0</v>
      </c>
      <c r="M370" s="50" t="s">
        <v>547</v>
      </c>
      <c r="N370" s="51" t="s">
        <v>166</v>
      </c>
      <c r="O370" s="48">
        <v>315.0</v>
      </c>
      <c r="P370" s="48">
        <v>143.0</v>
      </c>
      <c r="Q370" s="48">
        <v>80.0</v>
      </c>
      <c r="R370" s="48">
        <v>4.0</v>
      </c>
      <c r="S370" s="50" t="s">
        <v>166</v>
      </c>
      <c r="T370" s="52" t="s">
        <v>423</v>
      </c>
      <c r="U370" s="52" t="s">
        <v>346</v>
      </c>
      <c r="V370" s="51" t="s">
        <v>193</v>
      </c>
      <c r="W370" s="48" t="s">
        <v>435</v>
      </c>
      <c r="X370" s="50" t="s">
        <v>166</v>
      </c>
      <c r="Y370" s="51" t="s">
        <v>166</v>
      </c>
      <c r="Z370" s="48" t="s">
        <v>166</v>
      </c>
      <c r="AA370" s="48" t="s">
        <v>166</v>
      </c>
      <c r="AB370" s="48">
        <v>1.0</v>
      </c>
      <c r="AC370" s="48">
        <v>4.0</v>
      </c>
      <c r="AD370" s="48" t="s">
        <v>166</v>
      </c>
      <c r="AE370" s="54" t="s">
        <v>166</v>
      </c>
      <c r="AF370" s="55" t="s">
        <v>166</v>
      </c>
      <c r="AG370" s="51" t="s">
        <v>166</v>
      </c>
      <c r="AH370" s="48">
        <v>1.0</v>
      </c>
      <c r="AI370" s="48">
        <v>1.0</v>
      </c>
      <c r="AJ370" s="50" t="s">
        <v>166</v>
      </c>
      <c r="AK370" s="56">
        <v>1799.0</v>
      </c>
      <c r="AL370" s="57">
        <f>AK370*Sheets!$E$3</f>
        <v>247.9840545</v>
      </c>
      <c r="AM370" s="64"/>
      <c r="AN370" s="59"/>
      <c r="AO370" s="60"/>
      <c r="AP370" s="65">
        <v>44975.50321387731</v>
      </c>
      <c r="AQ370" s="66"/>
    </row>
    <row r="371">
      <c r="A371" s="69" t="s">
        <v>379</v>
      </c>
      <c r="B371" s="46" t="s">
        <v>1312</v>
      </c>
      <c r="C371" s="63" t="s">
        <v>262</v>
      </c>
      <c r="D371" s="48">
        <v>340.0</v>
      </c>
      <c r="E371" s="48">
        <v>170.0</v>
      </c>
      <c r="F371" s="48">
        <v>315.0</v>
      </c>
      <c r="G371" s="49">
        <f t="shared" si="11"/>
        <v>18.207</v>
      </c>
      <c r="H371" s="49">
        <f t="shared" si="12"/>
        <v>578</v>
      </c>
      <c r="I371" s="48">
        <v>6.0</v>
      </c>
      <c r="J371" s="48" t="s">
        <v>164</v>
      </c>
      <c r="K371" s="50" t="s">
        <v>164</v>
      </c>
      <c r="L371" s="51">
        <v>138.0</v>
      </c>
      <c r="M371" s="50" t="s">
        <v>547</v>
      </c>
      <c r="N371" s="51" t="s">
        <v>166</v>
      </c>
      <c r="O371" s="48">
        <v>315.0</v>
      </c>
      <c r="P371" s="48">
        <v>143.0</v>
      </c>
      <c r="Q371" s="48">
        <v>80.0</v>
      </c>
      <c r="R371" s="48">
        <v>4.0</v>
      </c>
      <c r="S371" s="50" t="s">
        <v>166</v>
      </c>
      <c r="T371" s="52" t="s">
        <v>423</v>
      </c>
      <c r="U371" s="52" t="s">
        <v>346</v>
      </c>
      <c r="V371" s="51" t="s">
        <v>193</v>
      </c>
      <c r="W371" s="48" t="s">
        <v>435</v>
      </c>
      <c r="X371" s="50" t="s">
        <v>166</v>
      </c>
      <c r="Y371" s="51" t="s">
        <v>166</v>
      </c>
      <c r="Z371" s="48" t="s">
        <v>166</v>
      </c>
      <c r="AA371" s="48" t="s">
        <v>166</v>
      </c>
      <c r="AB371" s="48">
        <v>1.0</v>
      </c>
      <c r="AC371" s="48">
        <v>4.0</v>
      </c>
      <c r="AD371" s="48" t="s">
        <v>166</v>
      </c>
      <c r="AE371" s="54" t="s">
        <v>166</v>
      </c>
      <c r="AF371" s="55" t="s">
        <v>166</v>
      </c>
      <c r="AG371" s="51" t="s">
        <v>166</v>
      </c>
      <c r="AH371" s="48">
        <v>1.0</v>
      </c>
      <c r="AI371" s="48">
        <v>1.0</v>
      </c>
      <c r="AJ371" s="50" t="s">
        <v>166</v>
      </c>
      <c r="AK371" s="56">
        <v>1799.0</v>
      </c>
      <c r="AL371" s="57">
        <f>AK371*Sheets!$E$3</f>
        <v>247.9840545</v>
      </c>
      <c r="AM371" s="64"/>
      <c r="AN371" s="59"/>
      <c r="AO371" s="60"/>
      <c r="AP371" s="65">
        <v>44975.50729716435</v>
      </c>
      <c r="AQ371" s="66"/>
    </row>
    <row r="372">
      <c r="A372" s="82" t="str">
        <f t="shared" ref="A372:A374" si="22">HYPERLINK("https://www.coolermaster.com/","Cooler Master")</f>
        <v>Cooler Master</v>
      </c>
      <c r="B372" s="88" t="s">
        <v>1313</v>
      </c>
      <c r="C372" s="63" t="s">
        <v>262</v>
      </c>
      <c r="D372" s="48">
        <v>360.0</v>
      </c>
      <c r="E372" s="48">
        <v>185.0</v>
      </c>
      <c r="F372" s="48">
        <v>274.0</v>
      </c>
      <c r="G372" s="49">
        <f t="shared" si="11"/>
        <v>18.2484</v>
      </c>
      <c r="H372" s="49">
        <f t="shared" si="12"/>
        <v>666</v>
      </c>
      <c r="I372" s="48">
        <v>4.6</v>
      </c>
      <c r="J372" s="48" t="s">
        <v>171</v>
      </c>
      <c r="K372" s="52" t="s">
        <v>1314</v>
      </c>
      <c r="L372" s="51">
        <v>155.0</v>
      </c>
      <c r="M372" s="50" t="s">
        <v>1315</v>
      </c>
      <c r="N372" s="51" t="s">
        <v>166</v>
      </c>
      <c r="O372" s="48">
        <v>330.0</v>
      </c>
      <c r="P372" s="48">
        <v>156.0</v>
      </c>
      <c r="Q372" s="48">
        <v>70.0</v>
      </c>
      <c r="R372" s="48">
        <v>5.0</v>
      </c>
      <c r="S372" s="50" t="s">
        <v>166</v>
      </c>
      <c r="T372" s="52" t="s">
        <v>1316</v>
      </c>
      <c r="U372" s="52" t="s">
        <v>816</v>
      </c>
      <c r="V372" s="51" t="s">
        <v>435</v>
      </c>
      <c r="W372" s="48" t="s">
        <v>193</v>
      </c>
      <c r="X372" s="50" t="s">
        <v>166</v>
      </c>
      <c r="Y372" s="51" t="s">
        <v>166</v>
      </c>
      <c r="Z372" s="48" t="s">
        <v>166</v>
      </c>
      <c r="AA372" s="48" t="s">
        <v>166</v>
      </c>
      <c r="AB372" s="48">
        <v>1.0</v>
      </c>
      <c r="AC372" s="48" t="s">
        <v>697</v>
      </c>
      <c r="AD372" s="48" t="s">
        <v>193</v>
      </c>
      <c r="AE372" s="48" t="s">
        <v>166</v>
      </c>
      <c r="AF372" s="50" t="s">
        <v>166</v>
      </c>
      <c r="AG372" s="51" t="s">
        <v>166</v>
      </c>
      <c r="AH372" s="48">
        <v>2.0</v>
      </c>
      <c r="AI372" s="48" t="s">
        <v>166</v>
      </c>
      <c r="AJ372" s="50" t="s">
        <v>174</v>
      </c>
      <c r="AK372" s="56" t="s">
        <v>166</v>
      </c>
      <c r="AL372" s="57">
        <v>80.0</v>
      </c>
      <c r="AM372" s="58"/>
      <c r="AN372" s="64" t="s">
        <v>214</v>
      </c>
      <c r="AO372" s="60"/>
      <c r="AP372" s="65">
        <v>44644.507046666666</v>
      </c>
      <c r="AQ372" s="66"/>
    </row>
    <row r="373">
      <c r="A373" s="82" t="str">
        <f t="shared" si="22"/>
        <v>Cooler Master</v>
      </c>
      <c r="B373" s="88" t="s">
        <v>1317</v>
      </c>
      <c r="C373" s="63" t="s">
        <v>262</v>
      </c>
      <c r="D373" s="48">
        <v>360.0</v>
      </c>
      <c r="E373" s="48">
        <v>185.0</v>
      </c>
      <c r="F373" s="48">
        <v>274.0</v>
      </c>
      <c r="G373" s="49">
        <f t="shared" si="11"/>
        <v>18.2484</v>
      </c>
      <c r="H373" s="49">
        <f t="shared" si="12"/>
        <v>666</v>
      </c>
      <c r="I373" s="48">
        <v>5.1</v>
      </c>
      <c r="J373" s="48" t="s">
        <v>653</v>
      </c>
      <c r="K373" s="52" t="s">
        <v>1314</v>
      </c>
      <c r="L373" s="51">
        <v>155.0</v>
      </c>
      <c r="M373" s="50" t="s">
        <v>1315</v>
      </c>
      <c r="N373" s="51" t="s">
        <v>232</v>
      </c>
      <c r="O373" s="48">
        <v>330.0</v>
      </c>
      <c r="P373" s="48">
        <v>156.0</v>
      </c>
      <c r="Q373" s="48">
        <v>70.0</v>
      </c>
      <c r="R373" s="48">
        <v>5.0</v>
      </c>
      <c r="S373" s="50" t="s">
        <v>166</v>
      </c>
      <c r="T373" s="52" t="s">
        <v>1316</v>
      </c>
      <c r="U373" s="52" t="s">
        <v>816</v>
      </c>
      <c r="V373" s="51" t="s">
        <v>435</v>
      </c>
      <c r="W373" s="48" t="s">
        <v>193</v>
      </c>
      <c r="X373" s="50" t="s">
        <v>166</v>
      </c>
      <c r="Y373" s="51" t="s">
        <v>166</v>
      </c>
      <c r="Z373" s="48" t="s">
        <v>166</v>
      </c>
      <c r="AA373" s="48" t="s">
        <v>166</v>
      </c>
      <c r="AB373" s="48">
        <v>1.0</v>
      </c>
      <c r="AC373" s="48" t="s">
        <v>697</v>
      </c>
      <c r="AD373" s="48" t="s">
        <v>193</v>
      </c>
      <c r="AE373" s="48" t="s">
        <v>166</v>
      </c>
      <c r="AF373" s="50" t="s">
        <v>166</v>
      </c>
      <c r="AG373" s="51" t="s">
        <v>166</v>
      </c>
      <c r="AH373" s="48">
        <v>2.0</v>
      </c>
      <c r="AI373" s="48" t="s">
        <v>166</v>
      </c>
      <c r="AJ373" s="50" t="s">
        <v>174</v>
      </c>
      <c r="AK373" s="56" t="s">
        <v>166</v>
      </c>
      <c r="AL373" s="57">
        <v>100.0</v>
      </c>
      <c r="AM373" s="58"/>
      <c r="AN373" s="64" t="s">
        <v>214</v>
      </c>
      <c r="AO373" s="60"/>
      <c r="AP373" s="65">
        <v>45302.66488591435</v>
      </c>
      <c r="AQ373" s="66"/>
    </row>
    <row r="374">
      <c r="A374" s="82" t="str">
        <f t="shared" si="22"/>
        <v>Cooler Master</v>
      </c>
      <c r="B374" s="88" t="s">
        <v>1318</v>
      </c>
      <c r="C374" s="63" t="s">
        <v>248</v>
      </c>
      <c r="D374" s="48">
        <v>360.0</v>
      </c>
      <c r="E374" s="48">
        <v>185.0</v>
      </c>
      <c r="F374" s="48">
        <v>274.0</v>
      </c>
      <c r="G374" s="49">
        <f t="shared" si="11"/>
        <v>18.2484</v>
      </c>
      <c r="H374" s="49">
        <f t="shared" si="12"/>
        <v>666</v>
      </c>
      <c r="I374" s="48">
        <v>4.35</v>
      </c>
      <c r="J374" s="48" t="s">
        <v>653</v>
      </c>
      <c r="K374" s="52" t="s">
        <v>1314</v>
      </c>
      <c r="L374" s="51">
        <v>67.0</v>
      </c>
      <c r="M374" s="50" t="s">
        <v>825</v>
      </c>
      <c r="N374" s="51" t="s">
        <v>174</v>
      </c>
      <c r="O374" s="48">
        <v>357.0</v>
      </c>
      <c r="P374" s="48">
        <v>160.0</v>
      </c>
      <c r="Q374" s="48">
        <v>73.0</v>
      </c>
      <c r="R374" s="48">
        <v>3.0</v>
      </c>
      <c r="S374" s="50" t="s">
        <v>166</v>
      </c>
      <c r="T374" s="52" t="s">
        <v>167</v>
      </c>
      <c r="U374" s="52" t="s">
        <v>346</v>
      </c>
      <c r="V374" s="51" t="s">
        <v>207</v>
      </c>
      <c r="W374" s="48" t="s">
        <v>193</v>
      </c>
      <c r="X374" s="50" t="s">
        <v>166</v>
      </c>
      <c r="Y374" s="51" t="s">
        <v>166</v>
      </c>
      <c r="Z374" s="48" t="s">
        <v>166</v>
      </c>
      <c r="AA374" s="48" t="s">
        <v>166</v>
      </c>
      <c r="AB374" s="48" t="s">
        <v>166</v>
      </c>
      <c r="AC374" s="48" t="s">
        <v>220</v>
      </c>
      <c r="AD374" s="48" t="s">
        <v>193</v>
      </c>
      <c r="AE374" s="48" t="s">
        <v>166</v>
      </c>
      <c r="AF374" s="50" t="s">
        <v>166</v>
      </c>
      <c r="AG374" s="51" t="s">
        <v>166</v>
      </c>
      <c r="AH374" s="48">
        <v>2.0</v>
      </c>
      <c r="AI374" s="48">
        <v>1.0</v>
      </c>
      <c r="AJ374" s="50" t="s">
        <v>174</v>
      </c>
      <c r="AK374" s="56" t="s">
        <v>166</v>
      </c>
      <c r="AL374" s="57">
        <v>149.0</v>
      </c>
      <c r="AM374" s="58"/>
      <c r="AN374" s="59"/>
      <c r="AO374" s="60"/>
      <c r="AP374" s="65">
        <v>45350.95271701389</v>
      </c>
      <c r="AQ374" s="66"/>
    </row>
    <row r="375">
      <c r="A375" s="82" t="str">
        <f>HYPERLINK("https://streacom.com/","Streacom")</f>
        <v>Streacom</v>
      </c>
      <c r="B375" s="62" t="s">
        <v>1319</v>
      </c>
      <c r="C375" s="63" t="s">
        <v>262</v>
      </c>
      <c r="D375" s="48">
        <v>260.0</v>
      </c>
      <c r="E375" s="48">
        <v>260.0</v>
      </c>
      <c r="F375" s="48">
        <v>270.0</v>
      </c>
      <c r="G375" s="49">
        <f t="shared" si="11"/>
        <v>18.252</v>
      </c>
      <c r="H375" s="49">
        <f t="shared" si="12"/>
        <v>676</v>
      </c>
      <c r="I375" s="48">
        <v>7.5</v>
      </c>
      <c r="J375" s="48" t="s">
        <v>164</v>
      </c>
      <c r="K375" s="52" t="s">
        <v>387</v>
      </c>
      <c r="L375" s="51" t="s">
        <v>348</v>
      </c>
      <c r="M375" s="50" t="s">
        <v>166</v>
      </c>
      <c r="N375" s="51" t="s">
        <v>166</v>
      </c>
      <c r="O375" s="48">
        <v>200.0</v>
      </c>
      <c r="P375" s="48">
        <v>116.0</v>
      </c>
      <c r="Q375" s="48">
        <v>40.0</v>
      </c>
      <c r="R375" s="48">
        <v>2.0</v>
      </c>
      <c r="S375" s="50" t="s">
        <v>166</v>
      </c>
      <c r="T375" s="52" t="s">
        <v>167</v>
      </c>
      <c r="U375" s="52" t="s">
        <v>299</v>
      </c>
      <c r="V375" s="51" t="s">
        <v>1320</v>
      </c>
      <c r="W375" s="48" t="s">
        <v>195</v>
      </c>
      <c r="X375" s="50" t="s">
        <v>218</v>
      </c>
      <c r="Y375" s="51" t="s">
        <v>166</v>
      </c>
      <c r="Z375" s="48" t="s">
        <v>166</v>
      </c>
      <c r="AA375" s="48" t="s">
        <v>166</v>
      </c>
      <c r="AB375" s="48" t="s">
        <v>166</v>
      </c>
      <c r="AC375" s="48" t="s">
        <v>166</v>
      </c>
      <c r="AD375" s="48" t="s">
        <v>166</v>
      </c>
      <c r="AE375" s="54" t="s">
        <v>166</v>
      </c>
      <c r="AF375" s="55" t="s">
        <v>166</v>
      </c>
      <c r="AG375" s="51" t="s">
        <v>166</v>
      </c>
      <c r="AH375" s="48">
        <v>2.0</v>
      </c>
      <c r="AI375" s="48" t="s">
        <v>166</v>
      </c>
      <c r="AJ375" s="50" t="s">
        <v>166</v>
      </c>
      <c r="AK375" s="56" t="s">
        <v>166</v>
      </c>
      <c r="AL375" s="57">
        <v>325.0</v>
      </c>
      <c r="AM375" s="58"/>
      <c r="AN375" s="59"/>
      <c r="AO375" s="60"/>
      <c r="AP375" s="60"/>
      <c r="AQ375" s="66"/>
    </row>
    <row r="376">
      <c r="A376" s="61" t="s">
        <v>1091</v>
      </c>
      <c r="B376" s="62" t="s">
        <v>1321</v>
      </c>
      <c r="C376" s="63" t="s">
        <v>262</v>
      </c>
      <c r="D376" s="48">
        <v>374.0</v>
      </c>
      <c r="E376" s="48">
        <v>185.0</v>
      </c>
      <c r="F376" s="48">
        <v>264.0</v>
      </c>
      <c r="G376" s="49">
        <f t="shared" si="11"/>
        <v>18.26616</v>
      </c>
      <c r="H376" s="49">
        <f t="shared" si="12"/>
        <v>691.9</v>
      </c>
      <c r="I376" s="48">
        <v>3.5</v>
      </c>
      <c r="J376" s="48" t="s">
        <v>164</v>
      </c>
      <c r="K376" s="52" t="s">
        <v>1289</v>
      </c>
      <c r="L376" s="51">
        <v>155.0</v>
      </c>
      <c r="M376" s="50" t="s">
        <v>981</v>
      </c>
      <c r="N376" s="51" t="s">
        <v>166</v>
      </c>
      <c r="O376" s="48">
        <v>345.0</v>
      </c>
      <c r="P376" s="48">
        <v>143.0</v>
      </c>
      <c r="Q376" s="48">
        <v>75.0</v>
      </c>
      <c r="R376" s="48">
        <v>3.0</v>
      </c>
      <c r="S376" s="50" t="s">
        <v>166</v>
      </c>
      <c r="T376" s="52" t="s">
        <v>227</v>
      </c>
      <c r="U376" s="52" t="s">
        <v>346</v>
      </c>
      <c r="V376" s="51">
        <v>2.0</v>
      </c>
      <c r="W376" s="48">
        <v>1.0</v>
      </c>
      <c r="X376" s="50" t="s">
        <v>166</v>
      </c>
      <c r="Y376" s="51" t="s">
        <v>166</v>
      </c>
      <c r="Z376" s="48" t="s">
        <v>166</v>
      </c>
      <c r="AA376" s="48" t="s">
        <v>166</v>
      </c>
      <c r="AB376" s="48">
        <v>1.0</v>
      </c>
      <c r="AC376" s="48" t="s">
        <v>194</v>
      </c>
      <c r="AD376" s="48" t="s">
        <v>910</v>
      </c>
      <c r="AE376" s="54" t="s">
        <v>166</v>
      </c>
      <c r="AF376" s="55" t="s">
        <v>166</v>
      </c>
      <c r="AG376" s="51" t="s">
        <v>166</v>
      </c>
      <c r="AH376" s="48" t="s">
        <v>166</v>
      </c>
      <c r="AI376" s="48">
        <v>2.0</v>
      </c>
      <c r="AJ376" s="50" t="s">
        <v>166</v>
      </c>
      <c r="AK376" s="56">
        <v>2499.0</v>
      </c>
      <c r="AL376" s="57">
        <v>439.0</v>
      </c>
      <c r="AM376" s="68"/>
      <c r="AN376" s="70"/>
      <c r="AO376" s="71"/>
      <c r="AP376" s="72">
        <v>45165.667471967594</v>
      </c>
      <c r="AQ376" s="66"/>
    </row>
    <row r="377">
      <c r="A377" s="82" t="str">
        <f>HYPERLINK("https://www.coolermaster.com/","Cooler Master")</f>
        <v>Cooler Master</v>
      </c>
      <c r="B377" s="88" t="s">
        <v>1322</v>
      </c>
      <c r="C377" s="63" t="s">
        <v>248</v>
      </c>
      <c r="D377" s="48">
        <v>361.0</v>
      </c>
      <c r="E377" s="48">
        <v>185.0</v>
      </c>
      <c r="F377" s="48">
        <v>274.0</v>
      </c>
      <c r="G377" s="49">
        <f t="shared" si="11"/>
        <v>18.29909</v>
      </c>
      <c r="H377" s="49">
        <f t="shared" si="12"/>
        <v>667.85</v>
      </c>
      <c r="I377" s="48">
        <v>7.7</v>
      </c>
      <c r="J377" s="48" t="s">
        <v>653</v>
      </c>
      <c r="K377" s="52" t="s">
        <v>1314</v>
      </c>
      <c r="L377" s="51">
        <v>67.0</v>
      </c>
      <c r="M377" s="50" t="s">
        <v>825</v>
      </c>
      <c r="N377" s="51" t="s">
        <v>174</v>
      </c>
      <c r="O377" s="48">
        <v>336.0</v>
      </c>
      <c r="P377" s="48">
        <v>160.0</v>
      </c>
      <c r="Q377" s="48">
        <v>75.0</v>
      </c>
      <c r="R377" s="48">
        <v>3.0</v>
      </c>
      <c r="S377" s="50" t="s">
        <v>166</v>
      </c>
      <c r="T377" s="52" t="s">
        <v>167</v>
      </c>
      <c r="U377" s="52" t="s">
        <v>346</v>
      </c>
      <c r="V377" s="51" t="s">
        <v>435</v>
      </c>
      <c r="W377" s="48" t="s">
        <v>193</v>
      </c>
      <c r="X377" s="50" t="s">
        <v>166</v>
      </c>
      <c r="Y377" s="51" t="s">
        <v>166</v>
      </c>
      <c r="Z377" s="48" t="s">
        <v>166</v>
      </c>
      <c r="AA377" s="48" t="s">
        <v>166</v>
      </c>
      <c r="AB377" s="48" t="s">
        <v>166</v>
      </c>
      <c r="AC377" s="48" t="s">
        <v>220</v>
      </c>
      <c r="AD377" s="48" t="s">
        <v>193</v>
      </c>
      <c r="AE377" s="48" t="s">
        <v>166</v>
      </c>
      <c r="AF377" s="50" t="s">
        <v>166</v>
      </c>
      <c r="AG377" s="51" t="s">
        <v>166</v>
      </c>
      <c r="AH377" s="48">
        <v>2.0</v>
      </c>
      <c r="AI377" s="48" t="s">
        <v>166</v>
      </c>
      <c r="AJ377" s="50" t="s">
        <v>174</v>
      </c>
      <c r="AK377" s="56" t="s">
        <v>166</v>
      </c>
      <c r="AL377" s="57">
        <v>349.0</v>
      </c>
      <c r="AM377" s="58"/>
      <c r="AN377" s="59"/>
      <c r="AO377" s="60"/>
      <c r="AP377" s="65">
        <v>45300.97974178241</v>
      </c>
      <c r="AQ377" s="66"/>
    </row>
    <row r="378">
      <c r="A378" s="61" t="s">
        <v>1323</v>
      </c>
      <c r="B378" s="88" t="s">
        <v>1324</v>
      </c>
      <c r="C378" s="63" t="s">
        <v>262</v>
      </c>
      <c r="D378" s="48">
        <v>253.0</v>
      </c>
      <c r="E378" s="48">
        <v>178.0</v>
      </c>
      <c r="F378" s="48">
        <v>409.0</v>
      </c>
      <c r="G378" s="49">
        <f t="shared" si="11"/>
        <v>18.418906</v>
      </c>
      <c r="H378" s="49">
        <f t="shared" si="12"/>
        <v>450.34</v>
      </c>
      <c r="I378" s="48">
        <v>6.3</v>
      </c>
      <c r="J378" s="48" t="s">
        <v>164</v>
      </c>
      <c r="K378" s="52" t="s">
        <v>512</v>
      </c>
      <c r="L378" s="51">
        <v>140.0</v>
      </c>
      <c r="M378" s="50" t="s">
        <v>825</v>
      </c>
      <c r="N378" s="51" t="s">
        <v>166</v>
      </c>
      <c r="O378" s="48">
        <v>335.0</v>
      </c>
      <c r="P378" s="48">
        <v>140.0</v>
      </c>
      <c r="Q378" s="48">
        <v>60.0</v>
      </c>
      <c r="R378" s="48">
        <v>3.0</v>
      </c>
      <c r="S378" s="50" t="s">
        <v>166</v>
      </c>
      <c r="T378" s="52" t="s">
        <v>167</v>
      </c>
      <c r="U378" s="52" t="s">
        <v>346</v>
      </c>
      <c r="V378" s="51">
        <v>2.0</v>
      </c>
      <c r="W378" s="48">
        <v>1.0</v>
      </c>
      <c r="X378" s="50" t="s">
        <v>166</v>
      </c>
      <c r="Y378" s="51" t="s">
        <v>166</v>
      </c>
      <c r="Z378" s="48" t="s">
        <v>166</v>
      </c>
      <c r="AA378" s="48">
        <v>1.0</v>
      </c>
      <c r="AB378" s="48" t="s">
        <v>166</v>
      </c>
      <c r="AC378" s="48" t="s">
        <v>193</v>
      </c>
      <c r="AD378" s="48" t="s">
        <v>193</v>
      </c>
      <c r="AE378" s="48" t="s">
        <v>166</v>
      </c>
      <c r="AF378" s="50" t="s">
        <v>166</v>
      </c>
      <c r="AG378" s="51" t="s">
        <v>166</v>
      </c>
      <c r="AH378" s="48">
        <v>2.0</v>
      </c>
      <c r="AI378" s="48">
        <v>1.0</v>
      </c>
      <c r="AJ378" s="50" t="s">
        <v>174</v>
      </c>
      <c r="AK378" s="56" t="s">
        <v>166</v>
      </c>
      <c r="AL378" s="57">
        <v>129.0</v>
      </c>
      <c r="AM378" s="58"/>
      <c r="AN378" s="64" t="s">
        <v>214</v>
      </c>
      <c r="AO378" s="60"/>
      <c r="AP378" s="65">
        <v>44458.61805712963</v>
      </c>
      <c r="AQ378" s="66"/>
    </row>
    <row r="379">
      <c r="A379" s="69" t="s">
        <v>509</v>
      </c>
      <c r="B379" s="46" t="s">
        <v>1325</v>
      </c>
      <c r="C379" s="63" t="s">
        <v>262</v>
      </c>
      <c r="D379" s="48">
        <v>347.0</v>
      </c>
      <c r="E379" s="48">
        <v>195.0</v>
      </c>
      <c r="F379" s="48">
        <v>273.0</v>
      </c>
      <c r="G379" s="49">
        <f t="shared" si="11"/>
        <v>18.472545</v>
      </c>
      <c r="H379" s="49">
        <f t="shared" si="12"/>
        <v>676.65</v>
      </c>
      <c r="I379" s="48">
        <v>8.0</v>
      </c>
      <c r="J379" s="48" t="s">
        <v>597</v>
      </c>
      <c r="K379" s="52" t="s">
        <v>1034</v>
      </c>
      <c r="L379" s="51">
        <v>165.0</v>
      </c>
      <c r="M379" s="50" t="s">
        <v>547</v>
      </c>
      <c r="N379" s="51" t="s">
        <v>166</v>
      </c>
      <c r="O379" s="48">
        <v>337.0</v>
      </c>
      <c r="P379" s="48">
        <v>170.0</v>
      </c>
      <c r="Q379" s="48">
        <v>65.0</v>
      </c>
      <c r="R379" s="48">
        <v>3.0</v>
      </c>
      <c r="S379" s="50" t="s">
        <v>166</v>
      </c>
      <c r="T379" s="52" t="s">
        <v>167</v>
      </c>
      <c r="U379" s="52" t="s">
        <v>346</v>
      </c>
      <c r="V379" s="51">
        <v>4.0</v>
      </c>
      <c r="W379" s="48" t="s">
        <v>170</v>
      </c>
      <c r="X379" s="50" t="s">
        <v>166</v>
      </c>
      <c r="Y379" s="51" t="s">
        <v>166</v>
      </c>
      <c r="Z379" s="48" t="s">
        <v>166</v>
      </c>
      <c r="AA379" s="48" t="s">
        <v>166</v>
      </c>
      <c r="AB379" s="48" t="s">
        <v>166</v>
      </c>
      <c r="AC379" s="48">
        <v>1.0</v>
      </c>
      <c r="AD379" s="48">
        <v>2.0</v>
      </c>
      <c r="AE379" s="54" t="s">
        <v>166</v>
      </c>
      <c r="AF379" s="55" t="s">
        <v>166</v>
      </c>
      <c r="AG379" s="51" t="s">
        <v>166</v>
      </c>
      <c r="AH379" s="48" t="s">
        <v>166</v>
      </c>
      <c r="AI379" s="48">
        <v>1.0</v>
      </c>
      <c r="AJ379" s="50" t="s">
        <v>166</v>
      </c>
      <c r="AK379" s="56">
        <v>1599.0</v>
      </c>
      <c r="AL379" s="57">
        <f>AK379*Sheets!$E$3</f>
        <v>220.4149545</v>
      </c>
      <c r="AM379" s="58"/>
      <c r="AN379" s="59"/>
      <c r="AO379" s="60"/>
      <c r="AP379" s="65">
        <v>44681.602153217595</v>
      </c>
      <c r="AQ379" s="66"/>
    </row>
    <row r="380">
      <c r="A380" s="61" t="str">
        <f>HYPERLINK("https://www.evga.com/","EVGA")</f>
        <v>EVGA</v>
      </c>
      <c r="B380" s="67" t="s">
        <v>1326</v>
      </c>
      <c r="C380" s="63" t="s">
        <v>262</v>
      </c>
      <c r="D380" s="48">
        <v>308.0</v>
      </c>
      <c r="E380" s="48">
        <v>169.0</v>
      </c>
      <c r="F380" s="48">
        <v>355.0</v>
      </c>
      <c r="G380" s="49">
        <f t="shared" si="11"/>
        <v>18.47846</v>
      </c>
      <c r="H380" s="49">
        <f t="shared" si="12"/>
        <v>520.52</v>
      </c>
      <c r="I380" s="48" t="s">
        <v>170</v>
      </c>
      <c r="J380" s="48" t="s">
        <v>245</v>
      </c>
      <c r="K380" s="50" t="s">
        <v>171</v>
      </c>
      <c r="L380" s="51">
        <v>140.0</v>
      </c>
      <c r="M380" s="50" t="s">
        <v>170</v>
      </c>
      <c r="N380" s="51" t="s">
        <v>166</v>
      </c>
      <c r="O380" s="48">
        <v>267.0</v>
      </c>
      <c r="P380" s="48">
        <v>114.3</v>
      </c>
      <c r="Q380" s="48">
        <v>40.0</v>
      </c>
      <c r="R380" s="48">
        <v>2.0</v>
      </c>
      <c r="S380" s="50" t="s">
        <v>166</v>
      </c>
      <c r="T380" s="52" t="s">
        <v>167</v>
      </c>
      <c r="U380" s="52" t="s">
        <v>671</v>
      </c>
      <c r="V380" s="51" t="s">
        <v>193</v>
      </c>
      <c r="W380" s="48" t="s">
        <v>193</v>
      </c>
      <c r="X380" s="50" t="s">
        <v>166</v>
      </c>
      <c r="Y380" s="51" t="s">
        <v>166</v>
      </c>
      <c r="Z380" s="48" t="s">
        <v>166</v>
      </c>
      <c r="AA380" s="48" t="s">
        <v>166</v>
      </c>
      <c r="AB380" s="48" t="s">
        <v>166</v>
      </c>
      <c r="AC380" s="48">
        <v>2.0</v>
      </c>
      <c r="AD380" s="48" t="s">
        <v>166</v>
      </c>
      <c r="AE380" s="54" t="s">
        <v>166</v>
      </c>
      <c r="AF380" s="55" t="s">
        <v>166</v>
      </c>
      <c r="AG380" s="51" t="s">
        <v>166</v>
      </c>
      <c r="AH380" s="48">
        <v>2.0</v>
      </c>
      <c r="AI380" s="48" t="s">
        <v>166</v>
      </c>
      <c r="AJ380" s="50" t="s">
        <v>174</v>
      </c>
      <c r="AK380" s="56" t="s">
        <v>166</v>
      </c>
      <c r="AL380" s="57">
        <v>189.99</v>
      </c>
      <c r="AM380" s="58"/>
      <c r="AN380" s="59"/>
      <c r="AO380" s="60"/>
      <c r="AP380" s="65">
        <v>44576.7268534375</v>
      </c>
      <c r="AQ380" s="66"/>
    </row>
    <row r="381">
      <c r="A381" s="69" t="str">
        <f>HYPERLINK("https://shop66027015.world.taobao.com/","POLARCASE")</f>
        <v>POLARCASE</v>
      </c>
      <c r="B381" s="73" t="s">
        <v>1327</v>
      </c>
      <c r="C381" s="63" t="s">
        <v>262</v>
      </c>
      <c r="D381" s="48">
        <v>316.0</v>
      </c>
      <c r="E381" s="48">
        <v>190.0</v>
      </c>
      <c r="F381" s="48">
        <v>310.0</v>
      </c>
      <c r="G381" s="49">
        <f t="shared" si="11"/>
        <v>18.6124</v>
      </c>
      <c r="H381" s="49">
        <f t="shared" si="12"/>
        <v>600.4</v>
      </c>
      <c r="I381" s="48">
        <v>2.6</v>
      </c>
      <c r="J381" s="48" t="s">
        <v>245</v>
      </c>
      <c r="K381" s="50" t="s">
        <v>164</v>
      </c>
      <c r="L381" s="51">
        <v>160.0</v>
      </c>
      <c r="M381" s="50" t="s">
        <v>737</v>
      </c>
      <c r="N381" s="51" t="s">
        <v>166</v>
      </c>
      <c r="O381" s="48">
        <v>308.0</v>
      </c>
      <c r="P381" s="48">
        <v>165.0</v>
      </c>
      <c r="Q381" s="48">
        <v>40.0</v>
      </c>
      <c r="R381" s="48">
        <v>2.0</v>
      </c>
      <c r="S381" s="50" t="s">
        <v>166</v>
      </c>
      <c r="T381" s="52" t="s">
        <v>167</v>
      </c>
      <c r="U381" s="52" t="s">
        <v>346</v>
      </c>
      <c r="V381" s="51">
        <v>4.0</v>
      </c>
      <c r="W381" s="48">
        <v>1.0</v>
      </c>
      <c r="X381" s="50" t="s">
        <v>166</v>
      </c>
      <c r="Y381" s="51" t="s">
        <v>166</v>
      </c>
      <c r="Z381" s="48" t="s">
        <v>166</v>
      </c>
      <c r="AA381" s="48">
        <v>2.0</v>
      </c>
      <c r="AB381" s="48" t="s">
        <v>166</v>
      </c>
      <c r="AC381" s="48">
        <v>2.0</v>
      </c>
      <c r="AD381" s="48">
        <v>1.0</v>
      </c>
      <c r="AE381" s="54" t="s">
        <v>166</v>
      </c>
      <c r="AF381" s="55" t="s">
        <v>166</v>
      </c>
      <c r="AG381" s="51" t="s">
        <v>166</v>
      </c>
      <c r="AH381" s="48">
        <v>2.0</v>
      </c>
      <c r="AI381" s="48" t="s">
        <v>166</v>
      </c>
      <c r="AJ381" s="50" t="s">
        <v>166</v>
      </c>
      <c r="AK381" s="56">
        <v>899.0</v>
      </c>
      <c r="AL381" s="57">
        <f>AK381*Sheets!$E$3</f>
        <v>123.9231045</v>
      </c>
      <c r="AM381" s="58"/>
      <c r="AN381" s="59"/>
      <c r="AO381" s="60" t="s">
        <v>181</v>
      </c>
      <c r="AP381" s="65">
        <v>45446.533255</v>
      </c>
      <c r="AQ381" s="66"/>
    </row>
    <row r="382">
      <c r="A382" s="82" t="s">
        <v>1328</v>
      </c>
      <c r="B382" s="83" t="s">
        <v>1329</v>
      </c>
      <c r="C382" s="63" t="s">
        <v>225</v>
      </c>
      <c r="D382" s="48">
        <v>309.0</v>
      </c>
      <c r="E382" s="48">
        <v>502.0</v>
      </c>
      <c r="F382" s="48">
        <v>120.0</v>
      </c>
      <c r="G382" s="49">
        <f t="shared" si="11"/>
        <v>18.61416</v>
      </c>
      <c r="H382" s="49">
        <f t="shared" si="12"/>
        <v>1551.18</v>
      </c>
      <c r="I382" s="48" t="s">
        <v>170</v>
      </c>
      <c r="J382" s="48" t="s">
        <v>597</v>
      </c>
      <c r="K382" s="50" t="s">
        <v>164</v>
      </c>
      <c r="L382" s="51">
        <v>65.0</v>
      </c>
      <c r="M382" s="50" t="s">
        <v>166</v>
      </c>
      <c r="N382" s="51" t="s">
        <v>174</v>
      </c>
      <c r="O382" s="48">
        <v>267.0</v>
      </c>
      <c r="P382" s="48" t="s">
        <v>170</v>
      </c>
      <c r="Q382" s="48">
        <v>40.0</v>
      </c>
      <c r="R382" s="48">
        <v>2.0</v>
      </c>
      <c r="S382" s="50" t="s">
        <v>166</v>
      </c>
      <c r="T382" s="52" t="s">
        <v>167</v>
      </c>
      <c r="U382" s="52" t="s">
        <v>346</v>
      </c>
      <c r="V382" s="51">
        <v>2.0</v>
      </c>
      <c r="W382" s="48">
        <v>1.0</v>
      </c>
      <c r="X382" s="50" t="s">
        <v>166</v>
      </c>
      <c r="Y382" s="51" t="s">
        <v>166</v>
      </c>
      <c r="Z382" s="48">
        <v>3.0</v>
      </c>
      <c r="AA382" s="48" t="s">
        <v>193</v>
      </c>
      <c r="AB382" s="48" t="s">
        <v>166</v>
      </c>
      <c r="AC382" s="48" t="s">
        <v>166</v>
      </c>
      <c r="AD382" s="48" t="s">
        <v>166</v>
      </c>
      <c r="AE382" s="54" t="s">
        <v>166</v>
      </c>
      <c r="AF382" s="55" t="s">
        <v>166</v>
      </c>
      <c r="AG382" s="51" t="s">
        <v>166</v>
      </c>
      <c r="AH382" s="48">
        <v>2.0</v>
      </c>
      <c r="AI382" s="48">
        <v>1.0</v>
      </c>
      <c r="AJ382" s="50" t="s">
        <v>174</v>
      </c>
      <c r="AK382" s="56" t="s">
        <v>166</v>
      </c>
      <c r="AL382" s="57">
        <v>129.99</v>
      </c>
      <c r="AM382" s="58"/>
      <c r="AN382" s="59"/>
      <c r="AO382" s="60"/>
      <c r="AP382" s="60"/>
      <c r="AQ382" s="66"/>
    </row>
    <row r="383">
      <c r="A383" s="69" t="str">
        <f>HYPERLINK("https://shop34001191.world.taobao.com/","Mechanic Master")</f>
        <v>Mechanic Master</v>
      </c>
      <c r="B383" s="46" t="s">
        <v>1330</v>
      </c>
      <c r="C383" s="101" t="s">
        <v>262</v>
      </c>
      <c r="D383" s="48">
        <v>346.0</v>
      </c>
      <c r="E383" s="48">
        <v>189.0</v>
      </c>
      <c r="F383" s="48">
        <v>285.0</v>
      </c>
      <c r="G383" s="49">
        <f t="shared" si="11"/>
        <v>18.63729</v>
      </c>
      <c r="H383" s="49">
        <f t="shared" si="12"/>
        <v>653.94</v>
      </c>
      <c r="I383" s="48">
        <v>3.75</v>
      </c>
      <c r="J383" s="48" t="s">
        <v>653</v>
      </c>
      <c r="K383" s="50" t="s">
        <v>1331</v>
      </c>
      <c r="L383" s="51">
        <v>142.0</v>
      </c>
      <c r="M383" s="52" t="s">
        <v>825</v>
      </c>
      <c r="N383" s="51" t="s">
        <v>166</v>
      </c>
      <c r="O383" s="48">
        <v>330.0</v>
      </c>
      <c r="P383" s="48">
        <v>142.0</v>
      </c>
      <c r="Q383" s="48">
        <v>80.0</v>
      </c>
      <c r="R383" s="48">
        <v>4.0</v>
      </c>
      <c r="S383" s="50" t="s">
        <v>166</v>
      </c>
      <c r="T383" s="52" t="s">
        <v>423</v>
      </c>
      <c r="U383" s="52" t="s">
        <v>816</v>
      </c>
      <c r="V383" s="51" t="s">
        <v>194</v>
      </c>
      <c r="W383" s="48" t="s">
        <v>194</v>
      </c>
      <c r="X383" s="50" t="s">
        <v>166</v>
      </c>
      <c r="Y383" s="51" t="s">
        <v>166</v>
      </c>
      <c r="Z383" s="48" t="s">
        <v>166</v>
      </c>
      <c r="AA383" s="48" t="s">
        <v>193</v>
      </c>
      <c r="AB383" s="48" t="s">
        <v>193</v>
      </c>
      <c r="AC383" s="48" t="s">
        <v>584</v>
      </c>
      <c r="AD383" s="48" t="s">
        <v>166</v>
      </c>
      <c r="AE383" s="54" t="s">
        <v>166</v>
      </c>
      <c r="AF383" s="55" t="s">
        <v>166</v>
      </c>
      <c r="AG383" s="51" t="s">
        <v>166</v>
      </c>
      <c r="AH383" s="48">
        <v>1.0</v>
      </c>
      <c r="AI383" s="48">
        <v>1.0</v>
      </c>
      <c r="AJ383" s="50" t="s">
        <v>174</v>
      </c>
      <c r="AK383" s="56">
        <v>419.0</v>
      </c>
      <c r="AL383" s="57">
        <f>AK383*Sheets!$E$3</f>
        <v>57.7572645</v>
      </c>
      <c r="AM383" s="58"/>
      <c r="AN383" s="59"/>
      <c r="AO383" s="71"/>
      <c r="AP383" s="65">
        <v>45446.53298341435</v>
      </c>
      <c r="AQ383" s="66"/>
    </row>
    <row r="384">
      <c r="A384" s="62" t="s">
        <v>1281</v>
      </c>
      <c r="B384" s="62" t="str">
        <f>HYPERLINK("https://www.amazon.com/GOLDEN-FIELD-Computer-Cases-Shell/dp/B07F6WSNV5/","M3S")</f>
        <v>M3S</v>
      </c>
      <c r="C384" s="63" t="s">
        <v>262</v>
      </c>
      <c r="D384" s="48">
        <v>330.0</v>
      </c>
      <c r="E384" s="48">
        <v>172.0</v>
      </c>
      <c r="F384" s="48">
        <v>330.0</v>
      </c>
      <c r="G384" s="49">
        <f t="shared" si="11"/>
        <v>18.7308</v>
      </c>
      <c r="H384" s="49">
        <f t="shared" si="12"/>
        <v>567.6</v>
      </c>
      <c r="I384" s="48">
        <v>2.7</v>
      </c>
      <c r="J384" s="48" t="s">
        <v>597</v>
      </c>
      <c r="K384" s="50" t="s">
        <v>164</v>
      </c>
      <c r="L384" s="51">
        <v>130.0</v>
      </c>
      <c r="M384" s="52" t="s">
        <v>547</v>
      </c>
      <c r="N384" s="51" t="s">
        <v>166</v>
      </c>
      <c r="O384" s="48">
        <v>275.0</v>
      </c>
      <c r="P384" s="48">
        <v>135.0</v>
      </c>
      <c r="Q384" s="48">
        <v>80.0</v>
      </c>
      <c r="R384" s="48">
        <v>4.0</v>
      </c>
      <c r="S384" s="50" t="s">
        <v>166</v>
      </c>
      <c r="T384" s="52" t="s">
        <v>1332</v>
      </c>
      <c r="U384" s="52" t="s">
        <v>686</v>
      </c>
      <c r="V384" s="51" t="s">
        <v>426</v>
      </c>
      <c r="W384" s="48" t="s">
        <v>193</v>
      </c>
      <c r="X384" s="50" t="s">
        <v>166</v>
      </c>
      <c r="Y384" s="51" t="s">
        <v>166</v>
      </c>
      <c r="Z384" s="48" t="s">
        <v>166</v>
      </c>
      <c r="AA384" s="48">
        <v>1.0</v>
      </c>
      <c r="AB384" s="48" t="s">
        <v>166</v>
      </c>
      <c r="AC384" s="48" t="s">
        <v>412</v>
      </c>
      <c r="AD384" s="48" t="s">
        <v>166</v>
      </c>
      <c r="AE384" s="54" t="s">
        <v>166</v>
      </c>
      <c r="AF384" s="55" t="s">
        <v>166</v>
      </c>
      <c r="AG384" s="51" t="s">
        <v>166</v>
      </c>
      <c r="AH384" s="48">
        <v>2.0</v>
      </c>
      <c r="AI384" s="48" t="s">
        <v>166</v>
      </c>
      <c r="AJ384" s="50" t="s">
        <v>174</v>
      </c>
      <c r="AK384" s="56" t="s">
        <v>166</v>
      </c>
      <c r="AL384" s="57">
        <v>69.99</v>
      </c>
      <c r="AM384" s="58"/>
      <c r="AN384" s="59"/>
      <c r="AO384" s="60"/>
      <c r="AP384" s="65">
        <v>44563.99767752315</v>
      </c>
      <c r="AQ384" s="66"/>
    </row>
    <row r="385">
      <c r="A385" s="91" t="s">
        <v>1297</v>
      </c>
      <c r="B385" s="67" t="s">
        <v>1333</v>
      </c>
      <c r="C385" s="63" t="s">
        <v>225</v>
      </c>
      <c r="D385" s="48">
        <v>335.0</v>
      </c>
      <c r="E385" s="48">
        <v>500.0</v>
      </c>
      <c r="F385" s="48">
        <v>112.0</v>
      </c>
      <c r="G385" s="49">
        <f t="shared" si="11"/>
        <v>18.76</v>
      </c>
      <c r="H385" s="49">
        <f t="shared" si="12"/>
        <v>1675</v>
      </c>
      <c r="I385" s="48">
        <v>4.54</v>
      </c>
      <c r="J385" s="48" t="s">
        <v>1334</v>
      </c>
      <c r="K385" s="50" t="s">
        <v>365</v>
      </c>
      <c r="L385" s="51">
        <v>60.0</v>
      </c>
      <c r="M385" s="50" t="s">
        <v>547</v>
      </c>
      <c r="N385" s="51" t="s">
        <v>174</v>
      </c>
      <c r="O385" s="48">
        <v>305.0</v>
      </c>
      <c r="P385" s="48">
        <v>150.0</v>
      </c>
      <c r="Q385" s="48">
        <v>60.0</v>
      </c>
      <c r="R385" s="48">
        <v>3.0</v>
      </c>
      <c r="S385" s="50" t="s">
        <v>166</v>
      </c>
      <c r="T385" s="52" t="s">
        <v>167</v>
      </c>
      <c r="U385" s="52" t="s">
        <v>346</v>
      </c>
      <c r="V385" s="51">
        <v>2.0</v>
      </c>
      <c r="W385" s="48" t="s">
        <v>166</v>
      </c>
      <c r="X385" s="50" t="s">
        <v>166</v>
      </c>
      <c r="Y385" s="51" t="s">
        <v>166</v>
      </c>
      <c r="Z385" s="48" t="s">
        <v>166</v>
      </c>
      <c r="AA385" s="48" t="s">
        <v>166</v>
      </c>
      <c r="AB385" s="48" t="s">
        <v>166</v>
      </c>
      <c r="AC385" s="48">
        <v>2.0</v>
      </c>
      <c r="AD385" s="48" t="s">
        <v>166</v>
      </c>
      <c r="AE385" s="54" t="s">
        <v>166</v>
      </c>
      <c r="AF385" s="55" t="s">
        <v>166</v>
      </c>
      <c r="AG385" s="51" t="s">
        <v>166</v>
      </c>
      <c r="AH385" s="48" t="s">
        <v>166</v>
      </c>
      <c r="AI385" s="48" t="s">
        <v>166</v>
      </c>
      <c r="AJ385" s="50" t="s">
        <v>166</v>
      </c>
      <c r="AK385" s="56" t="s">
        <v>166</v>
      </c>
      <c r="AL385" s="57">
        <v>288.0</v>
      </c>
      <c r="AM385" s="58"/>
      <c r="AN385" s="59"/>
      <c r="AO385" s="60" t="s">
        <v>181</v>
      </c>
      <c r="AP385" s="65">
        <v>44634.878423877315</v>
      </c>
      <c r="AQ385" s="66"/>
    </row>
    <row r="386">
      <c r="A386" s="62" t="s">
        <v>292</v>
      </c>
      <c r="B386" s="67" t="s">
        <v>1335</v>
      </c>
      <c r="C386" s="63" t="s">
        <v>262</v>
      </c>
      <c r="D386" s="48">
        <v>273.0</v>
      </c>
      <c r="E386" s="48">
        <v>186.0</v>
      </c>
      <c r="F386" s="48">
        <v>370.0</v>
      </c>
      <c r="G386" s="49">
        <f t="shared" si="11"/>
        <v>18.78786</v>
      </c>
      <c r="H386" s="49">
        <f t="shared" si="12"/>
        <v>507.78</v>
      </c>
      <c r="I386" s="48" t="s">
        <v>170</v>
      </c>
      <c r="J386" s="48" t="s">
        <v>164</v>
      </c>
      <c r="K386" s="50" t="s">
        <v>164</v>
      </c>
      <c r="L386" s="51">
        <v>158.0</v>
      </c>
      <c r="M386" s="50" t="s">
        <v>981</v>
      </c>
      <c r="N386" s="51" t="s">
        <v>166</v>
      </c>
      <c r="O386" s="48">
        <v>340.0</v>
      </c>
      <c r="P386" s="48">
        <v>168.0</v>
      </c>
      <c r="Q386" s="48">
        <v>83.0</v>
      </c>
      <c r="R386" s="48">
        <v>4.0</v>
      </c>
      <c r="S386" s="50" t="s">
        <v>166</v>
      </c>
      <c r="T386" s="52" t="s">
        <v>227</v>
      </c>
      <c r="U386" s="52" t="s">
        <v>346</v>
      </c>
      <c r="V386" s="51" t="s">
        <v>166</v>
      </c>
      <c r="W386" s="48" t="s">
        <v>166</v>
      </c>
      <c r="X386" s="50" t="s">
        <v>166</v>
      </c>
      <c r="Y386" s="51" t="s">
        <v>166</v>
      </c>
      <c r="Z386" s="48" t="s">
        <v>166</v>
      </c>
      <c r="AA386" s="48" t="s">
        <v>166</v>
      </c>
      <c r="AB386" s="48" t="s">
        <v>166</v>
      </c>
      <c r="AC386" s="48">
        <v>1.0</v>
      </c>
      <c r="AD386" s="48">
        <v>5.0</v>
      </c>
      <c r="AE386" s="54" t="s">
        <v>166</v>
      </c>
      <c r="AF386" s="55" t="s">
        <v>166</v>
      </c>
      <c r="AG386" s="51" t="s">
        <v>166</v>
      </c>
      <c r="AH386" s="48" t="s">
        <v>166</v>
      </c>
      <c r="AI386" s="48" t="s">
        <v>166</v>
      </c>
      <c r="AJ386" s="50" t="s">
        <v>166</v>
      </c>
      <c r="AK386" s="56" t="s">
        <v>166</v>
      </c>
      <c r="AL386" s="57">
        <f>120*1.19</f>
        <v>142.8</v>
      </c>
      <c r="AM386" s="64" t="s">
        <v>214</v>
      </c>
      <c r="AN386" s="59"/>
      <c r="AO386" s="60" t="s">
        <v>181</v>
      </c>
      <c r="AP386" s="60"/>
      <c r="AQ386" s="66"/>
    </row>
    <row r="387">
      <c r="A387" s="46" t="s">
        <v>594</v>
      </c>
      <c r="B387" s="46" t="s">
        <v>1336</v>
      </c>
      <c r="C387" s="101" t="s">
        <v>262</v>
      </c>
      <c r="D387" s="48">
        <v>352.0</v>
      </c>
      <c r="E387" s="48">
        <v>188.0</v>
      </c>
      <c r="F387" s="48">
        <v>285.0</v>
      </c>
      <c r="G387" s="49">
        <f t="shared" si="11"/>
        <v>18.86016</v>
      </c>
      <c r="H387" s="49">
        <f t="shared" si="12"/>
        <v>661.76</v>
      </c>
      <c r="I387" s="48">
        <v>5.5</v>
      </c>
      <c r="J387" s="48" t="s">
        <v>240</v>
      </c>
      <c r="K387" s="50" t="s">
        <v>375</v>
      </c>
      <c r="L387" s="51">
        <v>164.0</v>
      </c>
      <c r="M387" s="50" t="s">
        <v>547</v>
      </c>
      <c r="N387" s="51" t="s">
        <v>166</v>
      </c>
      <c r="O387" s="48">
        <v>345.0</v>
      </c>
      <c r="P387" s="48">
        <v>169.0</v>
      </c>
      <c r="Q387" s="48">
        <v>80.0</v>
      </c>
      <c r="R387" s="48">
        <v>4.0</v>
      </c>
      <c r="S387" s="50" t="s">
        <v>166</v>
      </c>
      <c r="T387" s="52" t="s">
        <v>423</v>
      </c>
      <c r="U387" s="52" t="s">
        <v>816</v>
      </c>
      <c r="V387" s="51" t="s">
        <v>193</v>
      </c>
      <c r="W387" s="48" t="s">
        <v>193</v>
      </c>
      <c r="X387" s="50" t="s">
        <v>166</v>
      </c>
      <c r="Y387" s="51" t="s">
        <v>166</v>
      </c>
      <c r="Z387" s="48" t="s">
        <v>166</v>
      </c>
      <c r="AA387" s="48" t="s">
        <v>166</v>
      </c>
      <c r="AB387" s="48" t="s">
        <v>166</v>
      </c>
      <c r="AC387" s="48">
        <v>5.0</v>
      </c>
      <c r="AD387" s="48" t="s">
        <v>166</v>
      </c>
      <c r="AE387" s="54" t="s">
        <v>166</v>
      </c>
      <c r="AF387" s="55" t="s">
        <v>166</v>
      </c>
      <c r="AG387" s="51" t="s">
        <v>166</v>
      </c>
      <c r="AH387" s="48">
        <v>1.0</v>
      </c>
      <c r="AI387" s="48">
        <v>1.0</v>
      </c>
      <c r="AJ387" s="50" t="s">
        <v>166</v>
      </c>
      <c r="AK387" s="56">
        <v>399.0</v>
      </c>
      <c r="AL387" s="57">
        <f>AK387*Sheets!$E$3</f>
        <v>55.0003545</v>
      </c>
      <c r="AM387" s="58"/>
      <c r="AN387" s="59"/>
      <c r="AO387" s="60"/>
      <c r="AP387" s="65"/>
      <c r="AQ387" s="66"/>
    </row>
    <row r="388">
      <c r="A388" s="82" t="str">
        <f>HYPERLINK("http://raijintek.com/en/index.php","Raijintek")</f>
        <v>Raijintek</v>
      </c>
      <c r="B388" s="83" t="str">
        <f>HYPERLINK("http://raijintek.com/en/products_detail.php?ProductID=89","Ophion Evo")</f>
        <v>Ophion Evo</v>
      </c>
      <c r="C388" s="63" t="s">
        <v>248</v>
      </c>
      <c r="D388" s="48">
        <v>375.0</v>
      </c>
      <c r="E388" s="48">
        <v>174.0</v>
      </c>
      <c r="F388" s="48">
        <v>290.0</v>
      </c>
      <c r="G388" s="49">
        <f t="shared" si="11"/>
        <v>18.9225</v>
      </c>
      <c r="H388" s="49">
        <f t="shared" si="12"/>
        <v>652.5</v>
      </c>
      <c r="I388" s="48">
        <v>3.56</v>
      </c>
      <c r="J388" s="48" t="s">
        <v>235</v>
      </c>
      <c r="K388" s="50" t="s">
        <v>1243</v>
      </c>
      <c r="L388" s="51">
        <v>90.0</v>
      </c>
      <c r="M388" s="50" t="s">
        <v>547</v>
      </c>
      <c r="N388" s="51" t="s">
        <v>174</v>
      </c>
      <c r="O388" s="48">
        <v>338.0</v>
      </c>
      <c r="P388" s="48">
        <v>161.0</v>
      </c>
      <c r="Q388" s="48">
        <v>58.0</v>
      </c>
      <c r="R388" s="48">
        <v>2.0</v>
      </c>
      <c r="S388" s="50" t="s">
        <v>166</v>
      </c>
      <c r="T388" s="52" t="s">
        <v>167</v>
      </c>
      <c r="U388" s="52" t="s">
        <v>599</v>
      </c>
      <c r="V388" s="51" t="s">
        <v>416</v>
      </c>
      <c r="W388" s="48" t="s">
        <v>194</v>
      </c>
      <c r="X388" s="50" t="s">
        <v>166</v>
      </c>
      <c r="Y388" s="51" t="s">
        <v>166</v>
      </c>
      <c r="Z388" s="48" t="s">
        <v>166</v>
      </c>
      <c r="AA388" s="48" t="s">
        <v>166</v>
      </c>
      <c r="AB388" s="48" t="s">
        <v>166</v>
      </c>
      <c r="AC388" s="48">
        <v>3.0</v>
      </c>
      <c r="AD388" s="48" t="s">
        <v>166</v>
      </c>
      <c r="AE388" s="54" t="s">
        <v>166</v>
      </c>
      <c r="AF388" s="55" t="s">
        <v>166</v>
      </c>
      <c r="AG388" s="51" t="s">
        <v>166</v>
      </c>
      <c r="AH388" s="48">
        <v>1.0</v>
      </c>
      <c r="AI388" s="48">
        <v>1.0</v>
      </c>
      <c r="AJ388" s="50" t="s">
        <v>166</v>
      </c>
      <c r="AK388" s="56" t="s">
        <v>166</v>
      </c>
      <c r="AL388" s="57">
        <v>144.9</v>
      </c>
      <c r="AM388" s="58"/>
      <c r="AN388" s="59"/>
      <c r="AO388" s="60"/>
      <c r="AP388" s="65">
        <v>44563.99771268519</v>
      </c>
      <c r="AQ388" s="66"/>
    </row>
    <row r="389">
      <c r="A389" s="46" t="str">
        <f>HYPERLINK("https://shop309038390.world.taobao.com/","ZZAW")</f>
        <v>ZZAW</v>
      </c>
      <c r="B389" s="46" t="s">
        <v>1337</v>
      </c>
      <c r="C389" s="63" t="s">
        <v>262</v>
      </c>
      <c r="D389" s="48">
        <v>283.0</v>
      </c>
      <c r="E389" s="48">
        <v>186.0</v>
      </c>
      <c r="F389" s="48">
        <v>360.0</v>
      </c>
      <c r="G389" s="49">
        <f t="shared" si="11"/>
        <v>18.94968</v>
      </c>
      <c r="H389" s="49">
        <f t="shared" si="12"/>
        <v>526.38</v>
      </c>
      <c r="I389" s="48">
        <v>2.19</v>
      </c>
      <c r="J389" s="48" t="s">
        <v>597</v>
      </c>
      <c r="K389" s="52" t="s">
        <v>164</v>
      </c>
      <c r="L389" s="51">
        <v>161.0</v>
      </c>
      <c r="M389" s="50" t="s">
        <v>547</v>
      </c>
      <c r="N389" s="51" t="s">
        <v>166</v>
      </c>
      <c r="O389" s="48">
        <v>259.0</v>
      </c>
      <c r="P389" s="48">
        <v>163.0</v>
      </c>
      <c r="Q389" s="48">
        <v>88.0</v>
      </c>
      <c r="R389" s="48">
        <v>4.0</v>
      </c>
      <c r="S389" s="50" t="s">
        <v>166</v>
      </c>
      <c r="T389" s="52" t="s">
        <v>423</v>
      </c>
      <c r="U389" s="52" t="s">
        <v>599</v>
      </c>
      <c r="V389" s="51">
        <v>2.0</v>
      </c>
      <c r="W389" s="48">
        <v>1.0</v>
      </c>
      <c r="X389" s="50" t="s">
        <v>166</v>
      </c>
      <c r="Y389" s="51" t="s">
        <v>166</v>
      </c>
      <c r="Z389" s="48" t="s">
        <v>166</v>
      </c>
      <c r="AA389" s="48" t="s">
        <v>166</v>
      </c>
      <c r="AB389" s="48" t="s">
        <v>166</v>
      </c>
      <c r="AC389" s="48">
        <v>5.0</v>
      </c>
      <c r="AD389" s="48" t="s">
        <v>166</v>
      </c>
      <c r="AE389" s="54" t="s">
        <v>166</v>
      </c>
      <c r="AF389" s="55" t="s">
        <v>166</v>
      </c>
      <c r="AG389" s="51" t="s">
        <v>166</v>
      </c>
      <c r="AH389" s="48">
        <v>1.0</v>
      </c>
      <c r="AI389" s="48">
        <v>1.0</v>
      </c>
      <c r="AJ389" s="50" t="s">
        <v>174</v>
      </c>
      <c r="AK389" s="56">
        <v>398.0</v>
      </c>
      <c r="AL389" s="57">
        <f>AK389*Sheets!$E$3</f>
        <v>54.862509</v>
      </c>
      <c r="AM389" s="58"/>
      <c r="AN389" s="59"/>
      <c r="AO389" s="60"/>
      <c r="AP389" s="65">
        <v>44963.82701592593</v>
      </c>
      <c r="AQ389" s="66"/>
    </row>
    <row r="390">
      <c r="A390" s="69" t="s">
        <v>1089</v>
      </c>
      <c r="B390" s="46" t="s">
        <v>1338</v>
      </c>
      <c r="C390" s="63" t="s">
        <v>262</v>
      </c>
      <c r="D390" s="48">
        <v>330.8</v>
      </c>
      <c r="E390" s="48">
        <v>169.0</v>
      </c>
      <c r="F390" s="48">
        <v>339.0</v>
      </c>
      <c r="G390" s="49">
        <f t="shared" si="11"/>
        <v>18.9518628</v>
      </c>
      <c r="H390" s="49">
        <f t="shared" si="12"/>
        <v>559.052</v>
      </c>
      <c r="I390" s="48" t="s">
        <v>170</v>
      </c>
      <c r="J390" s="48" t="s">
        <v>235</v>
      </c>
      <c r="K390" s="52" t="s">
        <v>164</v>
      </c>
      <c r="L390" s="51">
        <v>141.0</v>
      </c>
      <c r="M390" s="50">
        <v>120.0</v>
      </c>
      <c r="N390" s="51" t="s">
        <v>166</v>
      </c>
      <c r="O390" s="48">
        <v>320.0</v>
      </c>
      <c r="P390" s="48">
        <v>146.0</v>
      </c>
      <c r="Q390" s="48">
        <v>80.0</v>
      </c>
      <c r="R390" s="48">
        <v>4.0</v>
      </c>
      <c r="S390" s="50" t="s">
        <v>166</v>
      </c>
      <c r="T390" s="52" t="s">
        <v>1339</v>
      </c>
      <c r="U390" s="52" t="s">
        <v>346</v>
      </c>
      <c r="V390" s="51">
        <v>1.0</v>
      </c>
      <c r="W390" s="48">
        <v>1.0</v>
      </c>
      <c r="X390" s="50" t="s">
        <v>166</v>
      </c>
      <c r="Y390" s="51" t="s">
        <v>166</v>
      </c>
      <c r="Z390" s="48" t="s">
        <v>166</v>
      </c>
      <c r="AA390" s="48">
        <v>2.0</v>
      </c>
      <c r="AB390" s="48" t="s">
        <v>166</v>
      </c>
      <c r="AC390" s="48">
        <v>3.0</v>
      </c>
      <c r="AD390" s="48" t="s">
        <v>166</v>
      </c>
      <c r="AE390" s="54" t="s">
        <v>166</v>
      </c>
      <c r="AF390" s="55" t="s">
        <v>166</v>
      </c>
      <c r="AG390" s="51" t="s">
        <v>166</v>
      </c>
      <c r="AH390" s="48" t="s">
        <v>166</v>
      </c>
      <c r="AI390" s="48">
        <v>1.0</v>
      </c>
      <c r="AJ390" s="50" t="s">
        <v>166</v>
      </c>
      <c r="AK390" s="56">
        <v>2099.0</v>
      </c>
      <c r="AL390" s="57">
        <f>AK390*Sheets!$E$3</f>
        <v>289.3377045</v>
      </c>
      <c r="AM390" s="58"/>
      <c r="AN390" s="59"/>
      <c r="AO390" s="60"/>
      <c r="AP390" s="65">
        <v>44759.77228746528</v>
      </c>
      <c r="AQ390" s="66"/>
    </row>
    <row r="391">
      <c r="A391" s="69" t="s">
        <v>1089</v>
      </c>
      <c r="B391" s="46" t="s">
        <v>1340</v>
      </c>
      <c r="C391" s="63" t="s">
        <v>262</v>
      </c>
      <c r="D391" s="48">
        <v>330.8</v>
      </c>
      <c r="E391" s="48">
        <v>169.0</v>
      </c>
      <c r="F391" s="48">
        <v>339.0</v>
      </c>
      <c r="G391" s="49">
        <f t="shared" si="11"/>
        <v>18.9518628</v>
      </c>
      <c r="H391" s="49">
        <f t="shared" si="12"/>
        <v>559.052</v>
      </c>
      <c r="I391" s="48" t="s">
        <v>170</v>
      </c>
      <c r="J391" s="48" t="s">
        <v>235</v>
      </c>
      <c r="K391" s="52" t="s">
        <v>164</v>
      </c>
      <c r="L391" s="51">
        <v>141.0</v>
      </c>
      <c r="M391" s="50" t="s">
        <v>825</v>
      </c>
      <c r="N391" s="51" t="s">
        <v>166</v>
      </c>
      <c r="O391" s="48">
        <v>320.0</v>
      </c>
      <c r="P391" s="48">
        <v>146.0</v>
      </c>
      <c r="Q391" s="48">
        <v>80.0</v>
      </c>
      <c r="R391" s="48">
        <v>4.0</v>
      </c>
      <c r="S391" s="50" t="s">
        <v>166</v>
      </c>
      <c r="T391" s="52" t="s">
        <v>1102</v>
      </c>
      <c r="U391" s="52" t="s">
        <v>324</v>
      </c>
      <c r="V391" s="51">
        <v>1.0</v>
      </c>
      <c r="W391" s="48">
        <v>1.0</v>
      </c>
      <c r="X391" s="50" t="s">
        <v>166</v>
      </c>
      <c r="Y391" s="51" t="s">
        <v>166</v>
      </c>
      <c r="Z391" s="48" t="s">
        <v>166</v>
      </c>
      <c r="AA391" s="48" t="s">
        <v>166</v>
      </c>
      <c r="AB391" s="48">
        <v>1.0</v>
      </c>
      <c r="AC391" s="48" t="s">
        <v>416</v>
      </c>
      <c r="AD391" s="48" t="s">
        <v>193</v>
      </c>
      <c r="AE391" s="54" t="s">
        <v>166</v>
      </c>
      <c r="AF391" s="55" t="s">
        <v>166</v>
      </c>
      <c r="AG391" s="51" t="s">
        <v>166</v>
      </c>
      <c r="AH391" s="48" t="s">
        <v>166</v>
      </c>
      <c r="AI391" s="48">
        <v>1.0</v>
      </c>
      <c r="AJ391" s="50" t="s">
        <v>166</v>
      </c>
      <c r="AK391" s="56">
        <v>2199.0</v>
      </c>
      <c r="AL391" s="57">
        <f>AK391*Sheets!$E$3</f>
        <v>303.1222545</v>
      </c>
      <c r="AM391" s="58"/>
      <c r="AN391" s="59"/>
      <c r="AO391" s="60"/>
      <c r="AP391" s="65">
        <v>44759.77228740741</v>
      </c>
      <c r="AQ391" s="66"/>
    </row>
    <row r="392">
      <c r="A392" s="46" t="str">
        <f>HYPERLINK("https://shop159524301.world.taobao.com/","Warhead Design")</f>
        <v>Warhead Design</v>
      </c>
      <c r="B392" s="46" t="s">
        <v>1341</v>
      </c>
      <c r="C392" s="63" t="s">
        <v>490</v>
      </c>
      <c r="D392" s="48">
        <v>280.0</v>
      </c>
      <c r="E392" s="48">
        <v>295.0</v>
      </c>
      <c r="F392" s="48">
        <v>230.0</v>
      </c>
      <c r="G392" s="49">
        <f t="shared" si="11"/>
        <v>18.998</v>
      </c>
      <c r="H392" s="49">
        <f t="shared" si="12"/>
        <v>826</v>
      </c>
      <c r="I392" s="48">
        <v>2.5</v>
      </c>
      <c r="J392" s="48" t="s">
        <v>164</v>
      </c>
      <c r="K392" s="52" t="s">
        <v>164</v>
      </c>
      <c r="L392" s="51">
        <v>80.0</v>
      </c>
      <c r="M392" s="50" t="s">
        <v>547</v>
      </c>
      <c r="N392" s="51" t="s">
        <v>166</v>
      </c>
      <c r="O392" s="48">
        <v>280.0</v>
      </c>
      <c r="P392" s="48">
        <v>80.0</v>
      </c>
      <c r="Q392" s="48">
        <v>80.0</v>
      </c>
      <c r="R392" s="48" t="s">
        <v>166</v>
      </c>
      <c r="S392" s="50">
        <v>4.0</v>
      </c>
      <c r="T392" s="52" t="s">
        <v>423</v>
      </c>
      <c r="U392" s="52" t="s">
        <v>1342</v>
      </c>
      <c r="V392" s="51">
        <v>4.0</v>
      </c>
      <c r="W392" s="48">
        <v>8.0</v>
      </c>
      <c r="X392" s="50" t="s">
        <v>166</v>
      </c>
      <c r="Y392" s="51" t="s">
        <v>166</v>
      </c>
      <c r="Z392" s="48" t="s">
        <v>166</v>
      </c>
      <c r="AA392" s="48" t="s">
        <v>166</v>
      </c>
      <c r="AB392" s="48" t="s">
        <v>166</v>
      </c>
      <c r="AC392" s="48">
        <v>4.0</v>
      </c>
      <c r="AD392" s="48" t="s">
        <v>166</v>
      </c>
      <c r="AE392" s="54" t="s">
        <v>166</v>
      </c>
      <c r="AF392" s="55" t="s">
        <v>166</v>
      </c>
      <c r="AG392" s="51" t="s">
        <v>166</v>
      </c>
      <c r="AH392" s="48" t="s">
        <v>166</v>
      </c>
      <c r="AI392" s="48" t="s">
        <v>166</v>
      </c>
      <c r="AJ392" s="50" t="s">
        <v>166</v>
      </c>
      <c r="AK392" s="56">
        <v>699.0</v>
      </c>
      <c r="AL392" s="57">
        <f>AK392*Sheets!$E$3</f>
        <v>96.3540045</v>
      </c>
      <c r="AM392" s="68"/>
      <c r="AN392" s="59"/>
      <c r="AO392" s="60"/>
      <c r="AP392" s="65">
        <v>45055.98129069444</v>
      </c>
      <c r="AQ392" s="66"/>
    </row>
    <row r="393">
      <c r="A393" s="61" t="s">
        <v>1343</v>
      </c>
      <c r="B393" s="88" t="s">
        <v>1344</v>
      </c>
      <c r="C393" s="63" t="s">
        <v>262</v>
      </c>
      <c r="D393" s="48">
        <v>336.0</v>
      </c>
      <c r="E393" s="48">
        <v>200.0</v>
      </c>
      <c r="F393" s="48">
        <v>283.5</v>
      </c>
      <c r="G393" s="49">
        <f t="shared" si="11"/>
        <v>19.0512</v>
      </c>
      <c r="H393" s="49">
        <f t="shared" si="12"/>
        <v>672</v>
      </c>
      <c r="I393" s="48">
        <v>3.3</v>
      </c>
      <c r="J393" s="48" t="s">
        <v>597</v>
      </c>
      <c r="K393" s="50" t="s">
        <v>1345</v>
      </c>
      <c r="L393" s="51">
        <v>172.0</v>
      </c>
      <c r="M393" s="50" t="s">
        <v>547</v>
      </c>
      <c r="N393" s="51" t="s">
        <v>166</v>
      </c>
      <c r="O393" s="48">
        <v>305.0</v>
      </c>
      <c r="P393" s="48">
        <v>177.0</v>
      </c>
      <c r="Q393" s="48">
        <v>65.0</v>
      </c>
      <c r="R393" s="48">
        <v>3.0</v>
      </c>
      <c r="S393" s="50" t="s">
        <v>166</v>
      </c>
      <c r="T393" s="52" t="s">
        <v>167</v>
      </c>
      <c r="U393" s="52" t="s">
        <v>816</v>
      </c>
      <c r="V393" s="51" t="s">
        <v>194</v>
      </c>
      <c r="W393" s="48" t="s">
        <v>194</v>
      </c>
      <c r="X393" s="50" t="s">
        <v>166</v>
      </c>
      <c r="Y393" s="51" t="s">
        <v>166</v>
      </c>
      <c r="Z393" s="48" t="s">
        <v>166</v>
      </c>
      <c r="AA393" s="48" t="s">
        <v>166</v>
      </c>
      <c r="AB393" s="48" t="s">
        <v>166</v>
      </c>
      <c r="AC393" s="48" t="s">
        <v>562</v>
      </c>
      <c r="AD393" s="48" t="s">
        <v>166</v>
      </c>
      <c r="AE393" s="54" t="s">
        <v>166</v>
      </c>
      <c r="AF393" s="55" t="s">
        <v>166</v>
      </c>
      <c r="AG393" s="51" t="s">
        <v>166</v>
      </c>
      <c r="AH393" s="48">
        <v>2.0</v>
      </c>
      <c r="AI393" s="48">
        <v>1.0</v>
      </c>
      <c r="AJ393" s="50" t="s">
        <v>174</v>
      </c>
      <c r="AK393" s="56" t="s">
        <v>166</v>
      </c>
      <c r="AL393" s="57">
        <v>60.0</v>
      </c>
      <c r="AM393" s="58"/>
      <c r="AN393" s="64"/>
      <c r="AO393" s="60"/>
      <c r="AP393" s="65">
        <v>45404.98784252314</v>
      </c>
      <c r="AQ393" s="66"/>
    </row>
    <row r="394">
      <c r="A394" s="61" t="s">
        <v>209</v>
      </c>
      <c r="B394" s="62" t="s">
        <v>1346</v>
      </c>
      <c r="C394" s="63" t="s">
        <v>262</v>
      </c>
      <c r="D394" s="48">
        <v>366.0</v>
      </c>
      <c r="E394" s="48">
        <v>247.0</v>
      </c>
      <c r="F394" s="48">
        <v>211.0</v>
      </c>
      <c r="G394" s="49">
        <f t="shared" si="11"/>
        <v>19.074822</v>
      </c>
      <c r="H394" s="49">
        <f t="shared" si="12"/>
        <v>904.02</v>
      </c>
      <c r="I394" s="48">
        <v>4.25</v>
      </c>
      <c r="J394" s="48" t="s">
        <v>164</v>
      </c>
      <c r="K394" s="50" t="s">
        <v>512</v>
      </c>
      <c r="L394" s="51">
        <v>182.0</v>
      </c>
      <c r="M394" s="52" t="s">
        <v>547</v>
      </c>
      <c r="N394" s="51" t="s">
        <v>166</v>
      </c>
      <c r="O394" s="48">
        <v>330.0</v>
      </c>
      <c r="P394" s="48">
        <v>148.0</v>
      </c>
      <c r="Q394" s="48">
        <v>65.0</v>
      </c>
      <c r="R394" s="48">
        <v>3.0</v>
      </c>
      <c r="S394" s="50" t="s">
        <v>166</v>
      </c>
      <c r="T394" s="52" t="s">
        <v>227</v>
      </c>
      <c r="U394" s="52" t="s">
        <v>599</v>
      </c>
      <c r="V394" s="51">
        <v>3.0</v>
      </c>
      <c r="W394" s="48" t="s">
        <v>193</v>
      </c>
      <c r="X394" s="50" t="s">
        <v>166</v>
      </c>
      <c r="Y394" s="51" t="s">
        <v>166</v>
      </c>
      <c r="Z394" s="48" t="s">
        <v>166</v>
      </c>
      <c r="AA394" s="48" t="s">
        <v>166</v>
      </c>
      <c r="AB394" s="48" t="s">
        <v>166</v>
      </c>
      <c r="AC394" s="48" t="s">
        <v>278</v>
      </c>
      <c r="AD394" s="48" t="s">
        <v>426</v>
      </c>
      <c r="AE394" s="54" t="s">
        <v>166</v>
      </c>
      <c r="AF394" s="55" t="s">
        <v>166</v>
      </c>
      <c r="AG394" s="51" t="s">
        <v>166</v>
      </c>
      <c r="AH394" s="48">
        <v>2.0</v>
      </c>
      <c r="AI394" s="48">
        <v>1.0</v>
      </c>
      <c r="AJ394" s="50" t="s">
        <v>174</v>
      </c>
      <c r="AK394" s="56" t="s">
        <v>166</v>
      </c>
      <c r="AL394" s="57">
        <v>170.0</v>
      </c>
      <c r="AM394" s="58"/>
      <c r="AN394" s="64" t="s">
        <v>214</v>
      </c>
      <c r="AO394" s="60"/>
      <c r="AP394" s="65">
        <v>45224.573871932866</v>
      </c>
      <c r="AQ394" s="66"/>
    </row>
    <row r="395">
      <c r="A395" s="69" t="str">
        <f>HYPERLINK("https://sgpc.world.taobao.com/","SGPC")</f>
        <v>SGPC</v>
      </c>
      <c r="B395" s="46" t="s">
        <v>1347</v>
      </c>
      <c r="C395" s="63" t="s">
        <v>490</v>
      </c>
      <c r="D395" s="48">
        <v>270.0</v>
      </c>
      <c r="E395" s="48">
        <v>343.0</v>
      </c>
      <c r="F395" s="48">
        <v>206.0</v>
      </c>
      <c r="G395" s="49">
        <f t="shared" si="11"/>
        <v>19.07766</v>
      </c>
      <c r="H395" s="49">
        <f t="shared" si="12"/>
        <v>926.1</v>
      </c>
      <c r="I395" s="48" t="s">
        <v>170</v>
      </c>
      <c r="J395" s="48" t="s">
        <v>171</v>
      </c>
      <c r="K395" s="50" t="s">
        <v>1348</v>
      </c>
      <c r="L395" s="51">
        <v>47.0</v>
      </c>
      <c r="M395" s="52" t="s">
        <v>166</v>
      </c>
      <c r="N395" s="51" t="s">
        <v>166</v>
      </c>
      <c r="O395" s="48">
        <v>255.0</v>
      </c>
      <c r="P395" s="48" t="s">
        <v>170</v>
      </c>
      <c r="Q395" s="48">
        <v>80.0</v>
      </c>
      <c r="R395" s="48">
        <v>4.0</v>
      </c>
      <c r="S395" s="50" t="s">
        <v>166</v>
      </c>
      <c r="T395" s="52" t="s">
        <v>1102</v>
      </c>
      <c r="U395" s="52" t="s">
        <v>186</v>
      </c>
      <c r="V395" s="51">
        <v>4.0</v>
      </c>
      <c r="W395" s="48">
        <v>8.0</v>
      </c>
      <c r="X395" s="50" t="s">
        <v>166</v>
      </c>
      <c r="Y395" s="51" t="s">
        <v>166</v>
      </c>
      <c r="Z395" s="48">
        <v>1.0</v>
      </c>
      <c r="AA395" s="48" t="s">
        <v>166</v>
      </c>
      <c r="AB395" s="48" t="s">
        <v>166</v>
      </c>
      <c r="AC395" s="48">
        <v>2.0</v>
      </c>
      <c r="AD395" s="48" t="s">
        <v>166</v>
      </c>
      <c r="AE395" s="54" t="s">
        <v>166</v>
      </c>
      <c r="AF395" s="55" t="s">
        <v>166</v>
      </c>
      <c r="AG395" s="51" t="s">
        <v>166</v>
      </c>
      <c r="AH395" s="48">
        <v>1.0</v>
      </c>
      <c r="AI395" s="48">
        <v>1.0</v>
      </c>
      <c r="AJ395" s="50" t="s">
        <v>166</v>
      </c>
      <c r="AK395" s="56">
        <v>899.0</v>
      </c>
      <c r="AL395" s="57">
        <f>AK395*Sheets!$E$3</f>
        <v>123.9231045</v>
      </c>
      <c r="AM395" s="68"/>
      <c r="AN395" s="59"/>
      <c r="AO395" s="60" t="s">
        <v>181</v>
      </c>
      <c r="AP395" s="65"/>
      <c r="AQ395" s="66"/>
    </row>
    <row r="396">
      <c r="A396" s="82" t="str">
        <f>HYPERLINK("http://www.jonsbo.com/en/","Jonsbo")</f>
        <v>Jonsbo</v>
      </c>
      <c r="B396" s="62" t="str">
        <f>HYPERLINK("http://www.jonsbo.com/en/products/v4silver.html","V4")</f>
        <v>V4</v>
      </c>
      <c r="C396" s="63" t="s">
        <v>262</v>
      </c>
      <c r="D396" s="48">
        <v>290.0</v>
      </c>
      <c r="E396" s="48">
        <v>238.0</v>
      </c>
      <c r="F396" s="48">
        <v>278.0</v>
      </c>
      <c r="G396" s="49">
        <f t="shared" si="11"/>
        <v>19.18756</v>
      </c>
      <c r="H396" s="49">
        <f t="shared" si="12"/>
        <v>690.2</v>
      </c>
      <c r="I396" s="48">
        <v>2.0</v>
      </c>
      <c r="J396" s="48" t="s">
        <v>164</v>
      </c>
      <c r="K396" s="50" t="s">
        <v>204</v>
      </c>
      <c r="L396" s="51">
        <v>120.0</v>
      </c>
      <c r="M396" s="52" t="s">
        <v>166</v>
      </c>
      <c r="N396" s="51" t="s">
        <v>166</v>
      </c>
      <c r="O396" s="48">
        <v>260.0</v>
      </c>
      <c r="P396" s="48">
        <v>125.0</v>
      </c>
      <c r="Q396" s="48">
        <v>80.0</v>
      </c>
      <c r="R396" s="48">
        <v>4.0</v>
      </c>
      <c r="S396" s="50" t="s">
        <v>166</v>
      </c>
      <c r="T396" s="52" t="s">
        <v>423</v>
      </c>
      <c r="U396" s="52" t="s">
        <v>599</v>
      </c>
      <c r="V396" s="51" t="s">
        <v>412</v>
      </c>
      <c r="W396" s="48" t="s">
        <v>193</v>
      </c>
      <c r="X396" s="50" t="s">
        <v>166</v>
      </c>
      <c r="Y396" s="51" t="s">
        <v>166</v>
      </c>
      <c r="Z396" s="48" t="s">
        <v>166</v>
      </c>
      <c r="AA396" s="48">
        <v>3.0</v>
      </c>
      <c r="AB396" s="48" t="s">
        <v>166</v>
      </c>
      <c r="AC396" s="48" t="s">
        <v>166</v>
      </c>
      <c r="AD396" s="48" t="s">
        <v>166</v>
      </c>
      <c r="AE396" s="54" t="s">
        <v>166</v>
      </c>
      <c r="AF396" s="55" t="s">
        <v>166</v>
      </c>
      <c r="AG396" s="51">
        <v>1.0</v>
      </c>
      <c r="AH396" s="48">
        <v>1.0</v>
      </c>
      <c r="AI396" s="48" t="s">
        <v>166</v>
      </c>
      <c r="AJ396" s="50" t="s">
        <v>174</v>
      </c>
      <c r="AK396" s="56">
        <v>229.0</v>
      </c>
      <c r="AL396" s="57">
        <v>78.0</v>
      </c>
      <c r="AM396" s="58"/>
      <c r="AN396" s="59"/>
      <c r="AO396" s="60"/>
      <c r="AP396" s="60"/>
      <c r="AQ396" s="66"/>
    </row>
    <row r="397">
      <c r="A397" s="69" t="str">
        <f>HYPERLINK("https://sgpc.world.taobao.com/","SGPC")</f>
        <v>SGPC</v>
      </c>
      <c r="B397" s="46" t="s">
        <v>1349</v>
      </c>
      <c r="C397" s="63" t="s">
        <v>262</v>
      </c>
      <c r="D397" s="48">
        <v>375.0</v>
      </c>
      <c r="E397" s="48">
        <v>158.0</v>
      </c>
      <c r="F397" s="48">
        <v>325.0</v>
      </c>
      <c r="G397" s="49">
        <f t="shared" si="11"/>
        <v>19.25625</v>
      </c>
      <c r="H397" s="49">
        <f t="shared" si="12"/>
        <v>592.5</v>
      </c>
      <c r="I397" s="48" t="s">
        <v>170</v>
      </c>
      <c r="J397" s="48" t="s">
        <v>597</v>
      </c>
      <c r="K397" s="50" t="s">
        <v>611</v>
      </c>
      <c r="L397" s="51">
        <v>135.0</v>
      </c>
      <c r="M397" s="50" t="s">
        <v>547</v>
      </c>
      <c r="N397" s="51" t="s">
        <v>166</v>
      </c>
      <c r="O397" s="48">
        <v>365.0</v>
      </c>
      <c r="P397" s="48">
        <v>140.0</v>
      </c>
      <c r="Q397" s="48">
        <v>140.0</v>
      </c>
      <c r="R397" s="48">
        <v>7.0</v>
      </c>
      <c r="S397" s="50" t="s">
        <v>166</v>
      </c>
      <c r="T397" s="52" t="s">
        <v>1350</v>
      </c>
      <c r="U397" s="52" t="s">
        <v>686</v>
      </c>
      <c r="V397" s="51" t="s">
        <v>682</v>
      </c>
      <c r="W397" s="48" t="s">
        <v>193</v>
      </c>
      <c r="X397" s="50" t="s">
        <v>166</v>
      </c>
      <c r="Y397" s="51" t="s">
        <v>166</v>
      </c>
      <c r="Z397" s="48" t="s">
        <v>166</v>
      </c>
      <c r="AA397" s="48" t="s">
        <v>166</v>
      </c>
      <c r="AB397" s="48">
        <v>7.0</v>
      </c>
      <c r="AC397" s="48" t="s">
        <v>166</v>
      </c>
      <c r="AD397" s="48" t="s">
        <v>166</v>
      </c>
      <c r="AE397" s="54" t="s">
        <v>166</v>
      </c>
      <c r="AF397" s="55" t="s">
        <v>166</v>
      </c>
      <c r="AG397" s="51" t="s">
        <v>166</v>
      </c>
      <c r="AH397" s="48">
        <v>1.0</v>
      </c>
      <c r="AI397" s="48">
        <v>1.0</v>
      </c>
      <c r="AJ397" s="50" t="s">
        <v>166</v>
      </c>
      <c r="AK397" s="56">
        <v>159.0</v>
      </c>
      <c r="AL397" s="57">
        <f>AK397*Sheets!$E$3</f>
        <v>21.9174345</v>
      </c>
      <c r="AM397" s="68"/>
      <c r="AN397" s="59"/>
      <c r="AO397" s="60"/>
      <c r="AP397" s="65">
        <v>44727.053088252316</v>
      </c>
      <c r="AQ397" s="66"/>
    </row>
    <row r="398">
      <c r="A398" s="99" t="s">
        <v>1135</v>
      </c>
      <c r="B398" s="73" t="s">
        <v>1351</v>
      </c>
      <c r="C398" s="63" t="s">
        <v>262</v>
      </c>
      <c r="D398" s="48">
        <v>378.0</v>
      </c>
      <c r="E398" s="48">
        <v>170.0</v>
      </c>
      <c r="F398" s="48">
        <v>300.0</v>
      </c>
      <c r="G398" s="49">
        <f t="shared" si="11"/>
        <v>19.278</v>
      </c>
      <c r="H398" s="49">
        <f t="shared" si="12"/>
        <v>642.6</v>
      </c>
      <c r="I398" s="48">
        <v>2.0</v>
      </c>
      <c r="J398" s="48" t="s">
        <v>597</v>
      </c>
      <c r="K398" s="50" t="s">
        <v>164</v>
      </c>
      <c r="L398" s="51">
        <v>135.0</v>
      </c>
      <c r="M398" s="50" t="s">
        <v>166</v>
      </c>
      <c r="N398" s="51" t="s">
        <v>166</v>
      </c>
      <c r="O398" s="48">
        <v>325.0</v>
      </c>
      <c r="P398" s="48">
        <v>140.0</v>
      </c>
      <c r="Q398" s="48">
        <v>80.0</v>
      </c>
      <c r="R398" s="48">
        <v>4.0</v>
      </c>
      <c r="S398" s="50" t="s">
        <v>166</v>
      </c>
      <c r="T398" s="52" t="s">
        <v>423</v>
      </c>
      <c r="U398" s="52" t="s">
        <v>599</v>
      </c>
      <c r="V398" s="51">
        <v>1.0</v>
      </c>
      <c r="W398" s="48">
        <v>1.0</v>
      </c>
      <c r="X398" s="50" t="s">
        <v>166</v>
      </c>
      <c r="Y398" s="51" t="s">
        <v>166</v>
      </c>
      <c r="Z398" s="48" t="s">
        <v>166</v>
      </c>
      <c r="AA398" s="48">
        <v>1.0</v>
      </c>
      <c r="AB398" s="48" t="s">
        <v>166</v>
      </c>
      <c r="AC398" s="48">
        <v>4.0</v>
      </c>
      <c r="AD398" s="48" t="s">
        <v>166</v>
      </c>
      <c r="AE398" s="54" t="s">
        <v>166</v>
      </c>
      <c r="AF398" s="55" t="s">
        <v>166</v>
      </c>
      <c r="AG398" s="51" t="s">
        <v>166</v>
      </c>
      <c r="AH398" s="48">
        <v>1.0</v>
      </c>
      <c r="AI398" s="48" t="s">
        <v>166</v>
      </c>
      <c r="AJ398" s="50" t="s">
        <v>166</v>
      </c>
      <c r="AK398" s="56">
        <v>259.0</v>
      </c>
      <c r="AL398" s="57">
        <f>AK398*Sheets!$E$3</f>
        <v>35.7019845</v>
      </c>
      <c r="AM398" s="68"/>
      <c r="AN398" s="70"/>
      <c r="AO398" s="60" t="s">
        <v>181</v>
      </c>
      <c r="AP398" s="72">
        <v>44546.668312650465</v>
      </c>
      <c r="AQ398" s="66"/>
    </row>
    <row r="399">
      <c r="A399" s="61" t="s">
        <v>1104</v>
      </c>
      <c r="B399" s="62" t="s">
        <v>1352</v>
      </c>
      <c r="C399" s="63" t="s">
        <v>248</v>
      </c>
      <c r="D399" s="48">
        <v>390.0</v>
      </c>
      <c r="E399" s="48">
        <v>165.0</v>
      </c>
      <c r="F399" s="48">
        <v>300.0</v>
      </c>
      <c r="G399" s="49">
        <f t="shared" si="11"/>
        <v>19.305</v>
      </c>
      <c r="H399" s="49">
        <f t="shared" si="12"/>
        <v>643.5</v>
      </c>
      <c r="I399" s="48">
        <v>4.5</v>
      </c>
      <c r="J399" s="48" t="s">
        <v>164</v>
      </c>
      <c r="K399" s="50" t="s">
        <v>1353</v>
      </c>
      <c r="L399" s="51">
        <v>70.0</v>
      </c>
      <c r="M399" s="50" t="s">
        <v>825</v>
      </c>
      <c r="N399" s="51" t="s">
        <v>174</v>
      </c>
      <c r="O399" s="48">
        <v>330.0</v>
      </c>
      <c r="P399" s="48" t="s">
        <v>170</v>
      </c>
      <c r="Q399" s="48">
        <v>60.0</v>
      </c>
      <c r="R399" s="48">
        <v>2.0</v>
      </c>
      <c r="S399" s="50" t="s">
        <v>166</v>
      </c>
      <c r="T399" s="52" t="s">
        <v>167</v>
      </c>
      <c r="U399" s="52" t="s">
        <v>599</v>
      </c>
      <c r="V399" s="51">
        <v>3.0</v>
      </c>
      <c r="W399" s="48" t="s">
        <v>194</v>
      </c>
      <c r="X399" s="50" t="s">
        <v>166</v>
      </c>
      <c r="Y399" s="51" t="s">
        <v>166</v>
      </c>
      <c r="Z399" s="48" t="s">
        <v>166</v>
      </c>
      <c r="AA399" s="48" t="s">
        <v>166</v>
      </c>
      <c r="AB399" s="48" t="s">
        <v>166</v>
      </c>
      <c r="AC399" s="48" t="s">
        <v>193</v>
      </c>
      <c r="AD399" s="48" t="s">
        <v>193</v>
      </c>
      <c r="AE399" s="54" t="s">
        <v>166</v>
      </c>
      <c r="AF399" s="55" t="s">
        <v>166</v>
      </c>
      <c r="AG399" s="51" t="s">
        <v>166</v>
      </c>
      <c r="AH399" s="48">
        <v>1.0</v>
      </c>
      <c r="AI399" s="48">
        <v>1.0</v>
      </c>
      <c r="AJ399" s="50" t="s">
        <v>174</v>
      </c>
      <c r="AK399" s="56" t="s">
        <v>166</v>
      </c>
      <c r="AL399" s="57">
        <v>119.99</v>
      </c>
      <c r="AM399" s="58"/>
      <c r="AN399" s="64"/>
      <c r="AO399" s="60"/>
      <c r="AP399" s="65">
        <v>45061.01397667824</v>
      </c>
      <c r="AQ399" s="66"/>
    </row>
    <row r="400">
      <c r="A400" s="61" t="s">
        <v>438</v>
      </c>
      <c r="B400" s="67" t="s">
        <v>1354</v>
      </c>
      <c r="C400" s="63" t="s">
        <v>262</v>
      </c>
      <c r="D400" s="48">
        <v>333.0</v>
      </c>
      <c r="E400" s="48">
        <v>205.0</v>
      </c>
      <c r="F400" s="48">
        <v>284.0</v>
      </c>
      <c r="G400" s="49">
        <f t="shared" si="11"/>
        <v>19.38726</v>
      </c>
      <c r="H400" s="49">
        <f t="shared" si="12"/>
        <v>682.65</v>
      </c>
      <c r="I400" s="48">
        <v>2.3</v>
      </c>
      <c r="J400" s="48" t="s">
        <v>235</v>
      </c>
      <c r="K400" s="50" t="s">
        <v>252</v>
      </c>
      <c r="L400" s="51">
        <v>177.0</v>
      </c>
      <c r="M400" s="50" t="s">
        <v>166</v>
      </c>
      <c r="N400" s="51" t="s">
        <v>166</v>
      </c>
      <c r="O400" s="48">
        <v>325.0</v>
      </c>
      <c r="P400" s="48">
        <v>179.0</v>
      </c>
      <c r="Q400" s="48">
        <v>80.0</v>
      </c>
      <c r="R400" s="48">
        <v>4.0</v>
      </c>
      <c r="S400" s="50" t="s">
        <v>166</v>
      </c>
      <c r="T400" s="52" t="s">
        <v>423</v>
      </c>
      <c r="U400" s="52" t="s">
        <v>346</v>
      </c>
      <c r="V400" s="51">
        <v>1.0</v>
      </c>
      <c r="W400" s="48" t="s">
        <v>193</v>
      </c>
      <c r="X400" s="50" t="s">
        <v>166</v>
      </c>
      <c r="Y400" s="51" t="s">
        <v>166</v>
      </c>
      <c r="Z400" s="48" t="s">
        <v>166</v>
      </c>
      <c r="AA400" s="48" t="s">
        <v>166</v>
      </c>
      <c r="AB400" s="48" t="s">
        <v>166</v>
      </c>
      <c r="AC400" s="48">
        <v>5.0</v>
      </c>
      <c r="AD400" s="48" t="s">
        <v>166</v>
      </c>
      <c r="AE400" s="54" t="s">
        <v>166</v>
      </c>
      <c r="AF400" s="55" t="s">
        <v>166</v>
      </c>
      <c r="AG400" s="51" t="s">
        <v>166</v>
      </c>
      <c r="AH400" s="48">
        <v>2.0</v>
      </c>
      <c r="AI400" s="48" t="s">
        <v>166</v>
      </c>
      <c r="AJ400" s="50" t="s">
        <v>166</v>
      </c>
      <c r="AK400" s="56" t="s">
        <v>166</v>
      </c>
      <c r="AL400" s="57">
        <f>5300*0.03</f>
        <v>159</v>
      </c>
      <c r="AM400" s="64"/>
      <c r="AN400" s="59"/>
      <c r="AO400" s="60" t="s">
        <v>181</v>
      </c>
      <c r="AP400" s="65">
        <v>44617.78664938657</v>
      </c>
      <c r="AQ400" s="66"/>
    </row>
    <row r="401">
      <c r="A401" s="61" t="s">
        <v>1104</v>
      </c>
      <c r="B401" s="62" t="s">
        <v>1355</v>
      </c>
      <c r="C401" s="63" t="s">
        <v>225</v>
      </c>
      <c r="D401" s="48">
        <v>345.0</v>
      </c>
      <c r="E401" s="48">
        <v>155.0</v>
      </c>
      <c r="F401" s="48">
        <v>365.0</v>
      </c>
      <c r="G401" s="49">
        <f t="shared" si="11"/>
        <v>19.518375</v>
      </c>
      <c r="H401" s="49">
        <f t="shared" si="12"/>
        <v>534.75</v>
      </c>
      <c r="I401" s="48">
        <v>4.35</v>
      </c>
      <c r="J401" s="48" t="s">
        <v>164</v>
      </c>
      <c r="K401" s="50" t="s">
        <v>1356</v>
      </c>
      <c r="L401" s="51">
        <v>120.0</v>
      </c>
      <c r="M401" s="50" t="s">
        <v>547</v>
      </c>
      <c r="N401" s="51" t="s">
        <v>174</v>
      </c>
      <c r="O401" s="48">
        <v>320.0</v>
      </c>
      <c r="P401" s="48">
        <v>125.0</v>
      </c>
      <c r="Q401" s="48">
        <v>60.0</v>
      </c>
      <c r="R401" s="48">
        <v>2.0</v>
      </c>
      <c r="S401" s="50" t="s">
        <v>166</v>
      </c>
      <c r="T401" s="52" t="s">
        <v>167</v>
      </c>
      <c r="U401" s="52" t="s">
        <v>324</v>
      </c>
      <c r="V401" s="51">
        <v>2.0</v>
      </c>
      <c r="W401" s="48">
        <v>1.0</v>
      </c>
      <c r="X401" s="50" t="s">
        <v>166</v>
      </c>
      <c r="Y401" s="51" t="s">
        <v>166</v>
      </c>
      <c r="Z401" s="48" t="s">
        <v>166</v>
      </c>
      <c r="AA401" s="48" t="s">
        <v>166</v>
      </c>
      <c r="AB401" s="48" t="s">
        <v>166</v>
      </c>
      <c r="AC401" s="48">
        <v>2.0</v>
      </c>
      <c r="AD401" s="48" t="s">
        <v>166</v>
      </c>
      <c r="AE401" s="54" t="s">
        <v>166</v>
      </c>
      <c r="AF401" s="55" t="s">
        <v>166</v>
      </c>
      <c r="AG401" s="51" t="s">
        <v>166</v>
      </c>
      <c r="AH401" s="48">
        <v>1.0</v>
      </c>
      <c r="AI401" s="48">
        <v>1.0</v>
      </c>
      <c r="AJ401" s="50" t="s">
        <v>174</v>
      </c>
      <c r="AK401" s="56" t="s">
        <v>166</v>
      </c>
      <c r="AL401" s="57">
        <v>119.99</v>
      </c>
      <c r="AM401" s="58"/>
      <c r="AN401" s="64"/>
      <c r="AO401" s="60"/>
      <c r="AP401" s="65">
        <v>45061.01445665509</v>
      </c>
      <c r="AQ401" s="66"/>
    </row>
    <row r="402">
      <c r="A402" s="61" t="s">
        <v>1104</v>
      </c>
      <c r="B402" s="62" t="s">
        <v>1357</v>
      </c>
      <c r="C402" s="63" t="s">
        <v>225</v>
      </c>
      <c r="D402" s="48">
        <v>345.0</v>
      </c>
      <c r="E402" s="48">
        <v>155.0</v>
      </c>
      <c r="F402" s="48">
        <v>365.0</v>
      </c>
      <c r="G402" s="49">
        <f t="shared" si="11"/>
        <v>19.518375</v>
      </c>
      <c r="H402" s="49">
        <f t="shared" si="12"/>
        <v>534.75</v>
      </c>
      <c r="I402" s="48">
        <v>4.35</v>
      </c>
      <c r="J402" s="48" t="s">
        <v>164</v>
      </c>
      <c r="K402" s="50" t="s">
        <v>1356</v>
      </c>
      <c r="L402" s="51">
        <v>120.0</v>
      </c>
      <c r="M402" s="50" t="s">
        <v>547</v>
      </c>
      <c r="N402" s="51" t="s">
        <v>174</v>
      </c>
      <c r="O402" s="48">
        <v>320.0</v>
      </c>
      <c r="P402" s="48">
        <v>125.0</v>
      </c>
      <c r="Q402" s="48">
        <v>60.0</v>
      </c>
      <c r="R402" s="48">
        <v>2.0</v>
      </c>
      <c r="S402" s="50" t="s">
        <v>166</v>
      </c>
      <c r="T402" s="52" t="s">
        <v>167</v>
      </c>
      <c r="U402" s="52" t="s">
        <v>324</v>
      </c>
      <c r="V402" s="51">
        <v>2.0</v>
      </c>
      <c r="W402" s="48">
        <v>1.0</v>
      </c>
      <c r="X402" s="50" t="s">
        <v>166</v>
      </c>
      <c r="Y402" s="51" t="s">
        <v>166</v>
      </c>
      <c r="Z402" s="48" t="s">
        <v>166</v>
      </c>
      <c r="AA402" s="48" t="s">
        <v>166</v>
      </c>
      <c r="AB402" s="48" t="s">
        <v>166</v>
      </c>
      <c r="AC402" s="48">
        <v>2.0</v>
      </c>
      <c r="AD402" s="48" t="s">
        <v>166</v>
      </c>
      <c r="AE402" s="54" t="s">
        <v>166</v>
      </c>
      <c r="AF402" s="55" t="s">
        <v>166</v>
      </c>
      <c r="AG402" s="51" t="s">
        <v>166</v>
      </c>
      <c r="AH402" s="48">
        <v>1.0</v>
      </c>
      <c r="AI402" s="48">
        <v>1.0</v>
      </c>
      <c r="AJ402" s="50" t="s">
        <v>174</v>
      </c>
      <c r="AK402" s="56" t="s">
        <v>166</v>
      </c>
      <c r="AL402" s="57">
        <v>119.99</v>
      </c>
      <c r="AM402" s="58"/>
      <c r="AN402" s="64"/>
      <c r="AO402" s="60"/>
      <c r="AP402" s="65">
        <v>45061.01447017361</v>
      </c>
      <c r="AQ402" s="66"/>
    </row>
    <row r="403">
      <c r="A403" s="69" t="s">
        <v>509</v>
      </c>
      <c r="B403" s="73" t="s">
        <v>1358</v>
      </c>
      <c r="C403" s="63" t="s">
        <v>262</v>
      </c>
      <c r="D403" s="48">
        <v>332.0</v>
      </c>
      <c r="E403" s="48">
        <v>198.0</v>
      </c>
      <c r="F403" s="48">
        <v>297.0</v>
      </c>
      <c r="G403" s="49">
        <f t="shared" si="11"/>
        <v>19.523592</v>
      </c>
      <c r="H403" s="49">
        <f t="shared" si="12"/>
        <v>657.36</v>
      </c>
      <c r="I403" s="48">
        <v>5.5</v>
      </c>
      <c r="J403" s="48" t="s">
        <v>597</v>
      </c>
      <c r="K403" s="50" t="s">
        <v>1359</v>
      </c>
      <c r="L403" s="51">
        <v>165.0</v>
      </c>
      <c r="M403" s="50" t="s">
        <v>547</v>
      </c>
      <c r="N403" s="51" t="s">
        <v>166</v>
      </c>
      <c r="O403" s="48">
        <v>320.0</v>
      </c>
      <c r="P403" s="48">
        <v>170.0</v>
      </c>
      <c r="Q403" s="48">
        <v>60.0</v>
      </c>
      <c r="R403" s="48">
        <v>2.0</v>
      </c>
      <c r="S403" s="50" t="s">
        <v>166</v>
      </c>
      <c r="T403" s="52" t="s">
        <v>423</v>
      </c>
      <c r="U403" s="52" t="s">
        <v>686</v>
      </c>
      <c r="V403" s="51" t="s">
        <v>697</v>
      </c>
      <c r="W403" s="48" t="s">
        <v>426</v>
      </c>
      <c r="X403" s="50" t="s">
        <v>166</v>
      </c>
      <c r="Y403" s="51" t="s">
        <v>166</v>
      </c>
      <c r="Z403" s="48" t="s">
        <v>166</v>
      </c>
      <c r="AA403" s="48" t="s">
        <v>166</v>
      </c>
      <c r="AB403" s="48" t="s">
        <v>166</v>
      </c>
      <c r="AC403" s="48" t="s">
        <v>278</v>
      </c>
      <c r="AD403" s="48" t="s">
        <v>426</v>
      </c>
      <c r="AE403" s="54" t="s">
        <v>166</v>
      </c>
      <c r="AF403" s="55" t="s">
        <v>166</v>
      </c>
      <c r="AG403" s="51" t="s">
        <v>166</v>
      </c>
      <c r="AH403" s="48" t="s">
        <v>166</v>
      </c>
      <c r="AI403" s="48" t="s">
        <v>166</v>
      </c>
      <c r="AJ403" s="50" t="s">
        <v>166</v>
      </c>
      <c r="AK403" s="56">
        <v>1499.0</v>
      </c>
      <c r="AL403" s="57">
        <f>AK403*Sheets!$E$3</f>
        <v>206.6304045</v>
      </c>
      <c r="AM403" s="58"/>
      <c r="AN403" s="59"/>
      <c r="AO403" s="60" t="s">
        <v>181</v>
      </c>
      <c r="AP403" s="65">
        <v>44604.55717517361</v>
      </c>
      <c r="AQ403" s="66"/>
    </row>
    <row r="404">
      <c r="A404" s="82" t="str">
        <f>HYPERLINK("https://www.fractal-design.com/","Fractal Design")</f>
        <v>Fractal Design</v>
      </c>
      <c r="B404" s="83" t="str">
        <f>HYPERLINK("https://www.fractal-design.com/products/cases/core/core-500/black/","Core 500")</f>
        <v>Core 500</v>
      </c>
      <c r="C404" s="63" t="s">
        <v>262</v>
      </c>
      <c r="D404" s="48">
        <v>367.0</v>
      </c>
      <c r="E404" s="48">
        <v>250.0</v>
      </c>
      <c r="F404" s="48">
        <v>213.0</v>
      </c>
      <c r="G404" s="49">
        <f t="shared" si="11"/>
        <v>19.54275</v>
      </c>
      <c r="H404" s="49">
        <f t="shared" si="12"/>
        <v>917.5</v>
      </c>
      <c r="I404" s="48">
        <v>4.4</v>
      </c>
      <c r="J404" s="48" t="s">
        <v>171</v>
      </c>
      <c r="K404" s="50" t="s">
        <v>171</v>
      </c>
      <c r="L404" s="51">
        <v>170.0</v>
      </c>
      <c r="M404" s="50" t="s">
        <v>825</v>
      </c>
      <c r="N404" s="51" t="s">
        <v>166</v>
      </c>
      <c r="O404" s="48">
        <v>310.0</v>
      </c>
      <c r="P404" s="48">
        <v>175.0</v>
      </c>
      <c r="Q404" s="48">
        <v>44.0</v>
      </c>
      <c r="R404" s="48">
        <v>2.0</v>
      </c>
      <c r="S404" s="50" t="s">
        <v>166</v>
      </c>
      <c r="T404" s="52" t="s">
        <v>227</v>
      </c>
      <c r="U404" s="52" t="s">
        <v>599</v>
      </c>
      <c r="V404" s="51">
        <v>3.0</v>
      </c>
      <c r="W404" s="48">
        <v>3.0</v>
      </c>
      <c r="X404" s="50">
        <v>1.0</v>
      </c>
      <c r="Y404" s="51" t="s">
        <v>166</v>
      </c>
      <c r="Z404" s="48" t="s">
        <v>166</v>
      </c>
      <c r="AA404" s="48" t="s">
        <v>166</v>
      </c>
      <c r="AB404" s="48" t="s">
        <v>166</v>
      </c>
      <c r="AC404" s="48" t="s">
        <v>426</v>
      </c>
      <c r="AD404" s="48" t="s">
        <v>426</v>
      </c>
      <c r="AE404" s="54" t="s">
        <v>166</v>
      </c>
      <c r="AF404" s="55" t="s">
        <v>166</v>
      </c>
      <c r="AG404" s="51" t="s">
        <v>166</v>
      </c>
      <c r="AH404" s="48">
        <v>2.0</v>
      </c>
      <c r="AI404" s="48" t="s">
        <v>166</v>
      </c>
      <c r="AJ404" s="50" t="s">
        <v>174</v>
      </c>
      <c r="AK404" s="56" t="s">
        <v>166</v>
      </c>
      <c r="AL404" s="57">
        <v>54.99</v>
      </c>
      <c r="AM404" s="58"/>
      <c r="AN404" s="64" t="s">
        <v>214</v>
      </c>
      <c r="AO404" s="60"/>
      <c r="AP404" s="65">
        <v>44757.47286928241</v>
      </c>
      <c r="AQ404" s="66"/>
    </row>
    <row r="405">
      <c r="A405" s="61" t="s">
        <v>209</v>
      </c>
      <c r="B405" s="62" t="s">
        <v>1360</v>
      </c>
      <c r="C405" s="63" t="s">
        <v>262</v>
      </c>
      <c r="D405" s="48">
        <v>368.1</v>
      </c>
      <c r="E405" s="48">
        <v>247.0</v>
      </c>
      <c r="F405" s="48">
        <v>215.0</v>
      </c>
      <c r="G405" s="49">
        <f t="shared" si="11"/>
        <v>19.5479505</v>
      </c>
      <c r="H405" s="49">
        <f t="shared" si="12"/>
        <v>909.207</v>
      </c>
      <c r="I405" s="48">
        <v>4.89</v>
      </c>
      <c r="J405" s="48" t="s">
        <v>171</v>
      </c>
      <c r="K405" s="50" t="s">
        <v>211</v>
      </c>
      <c r="L405" s="51">
        <v>182.0</v>
      </c>
      <c r="M405" s="50" t="s">
        <v>547</v>
      </c>
      <c r="N405" s="51" t="s">
        <v>166</v>
      </c>
      <c r="O405" s="48">
        <v>330.0</v>
      </c>
      <c r="P405" s="48">
        <v>148.0</v>
      </c>
      <c r="Q405" s="48">
        <v>65.0</v>
      </c>
      <c r="R405" s="48">
        <v>3.0</v>
      </c>
      <c r="S405" s="50" t="s">
        <v>166</v>
      </c>
      <c r="T405" s="52" t="s">
        <v>227</v>
      </c>
      <c r="U405" s="52" t="s">
        <v>599</v>
      </c>
      <c r="V405" s="51">
        <v>3.0</v>
      </c>
      <c r="W405" s="48" t="s">
        <v>193</v>
      </c>
      <c r="X405" s="50" t="s">
        <v>194</v>
      </c>
      <c r="Y405" s="51" t="s">
        <v>166</v>
      </c>
      <c r="Z405" s="48" t="s">
        <v>166</v>
      </c>
      <c r="AA405" s="48" t="s">
        <v>166</v>
      </c>
      <c r="AB405" s="48" t="s">
        <v>166</v>
      </c>
      <c r="AC405" s="48" t="s">
        <v>278</v>
      </c>
      <c r="AD405" s="48" t="s">
        <v>426</v>
      </c>
      <c r="AE405" s="54" t="s">
        <v>166</v>
      </c>
      <c r="AF405" s="55" t="s">
        <v>166</v>
      </c>
      <c r="AG405" s="51">
        <v>1.0</v>
      </c>
      <c r="AH405" s="48">
        <v>2.0</v>
      </c>
      <c r="AI405" s="48" t="s">
        <v>166</v>
      </c>
      <c r="AJ405" s="50" t="s">
        <v>174</v>
      </c>
      <c r="AK405" s="56" t="s">
        <v>166</v>
      </c>
      <c r="AL405" s="57">
        <v>109.99</v>
      </c>
      <c r="AM405" s="58"/>
      <c r="AN405" s="64" t="s">
        <v>214</v>
      </c>
      <c r="AO405" s="60"/>
      <c r="AP405" s="65">
        <v>45224.573723113426</v>
      </c>
      <c r="AQ405" s="66"/>
    </row>
    <row r="406">
      <c r="A406" s="82" t="str">
        <f>HYPERLINK("http://www.jonsbo.com/en/","Jonsbo")</f>
        <v>Jonsbo</v>
      </c>
      <c r="B406" s="62" t="s">
        <v>1361</v>
      </c>
      <c r="C406" s="63" t="s">
        <v>490</v>
      </c>
      <c r="D406" s="48">
        <v>300.0</v>
      </c>
      <c r="E406" s="48">
        <v>286.0</v>
      </c>
      <c r="F406" s="48">
        <v>228.0</v>
      </c>
      <c r="G406" s="49">
        <f t="shared" si="11"/>
        <v>19.5624</v>
      </c>
      <c r="H406" s="49">
        <f t="shared" si="12"/>
        <v>858</v>
      </c>
      <c r="I406" s="48">
        <v>3.75</v>
      </c>
      <c r="J406" s="48" t="s">
        <v>171</v>
      </c>
      <c r="K406" s="50" t="s">
        <v>1362</v>
      </c>
      <c r="L406" s="51">
        <v>70.0</v>
      </c>
      <c r="M406" s="50" t="s">
        <v>166</v>
      </c>
      <c r="N406" s="51" t="s">
        <v>166</v>
      </c>
      <c r="O406" s="48">
        <v>230.0</v>
      </c>
      <c r="P406" s="48">
        <v>70.0</v>
      </c>
      <c r="Q406" s="48">
        <v>80.0</v>
      </c>
      <c r="R406" s="48" t="s">
        <v>166</v>
      </c>
      <c r="S406" s="50">
        <v>4.0</v>
      </c>
      <c r="T406" s="52" t="s">
        <v>423</v>
      </c>
      <c r="U406" s="52" t="s">
        <v>346</v>
      </c>
      <c r="V406" s="51">
        <v>2.0</v>
      </c>
      <c r="W406" s="48">
        <v>6.0</v>
      </c>
      <c r="X406" s="50" t="s">
        <v>166</v>
      </c>
      <c r="Y406" s="51" t="s">
        <v>166</v>
      </c>
      <c r="Z406" s="48" t="s">
        <v>166</v>
      </c>
      <c r="AA406" s="48" t="s">
        <v>166</v>
      </c>
      <c r="AB406" s="48" t="s">
        <v>166</v>
      </c>
      <c r="AC406" s="48">
        <v>1.0</v>
      </c>
      <c r="AD406" s="48" t="s">
        <v>166</v>
      </c>
      <c r="AE406" s="54" t="s">
        <v>166</v>
      </c>
      <c r="AF406" s="55" t="s">
        <v>166</v>
      </c>
      <c r="AG406" s="51" t="s">
        <v>166</v>
      </c>
      <c r="AH406" s="48">
        <v>1.0</v>
      </c>
      <c r="AI406" s="48">
        <v>1.0</v>
      </c>
      <c r="AJ406" s="50" t="s">
        <v>166</v>
      </c>
      <c r="AK406" s="56" t="s">
        <v>166</v>
      </c>
      <c r="AL406" s="57" t="s">
        <v>170</v>
      </c>
      <c r="AM406" s="68"/>
      <c r="AN406" s="59"/>
      <c r="AO406" s="60"/>
      <c r="AP406" s="65"/>
      <c r="AQ406" s="66"/>
    </row>
    <row r="407">
      <c r="A407" s="82" t="s">
        <v>1363</v>
      </c>
      <c r="B407" s="62" t="s">
        <v>1364</v>
      </c>
      <c r="C407" s="63" t="s">
        <v>262</v>
      </c>
      <c r="D407" s="48">
        <v>390.0</v>
      </c>
      <c r="E407" s="48">
        <v>173.0</v>
      </c>
      <c r="F407" s="48">
        <v>290.0</v>
      </c>
      <c r="G407" s="49">
        <f t="shared" si="11"/>
        <v>19.5663</v>
      </c>
      <c r="H407" s="49">
        <f t="shared" si="12"/>
        <v>674.7</v>
      </c>
      <c r="I407" s="48">
        <v>4.2</v>
      </c>
      <c r="J407" s="48" t="s">
        <v>171</v>
      </c>
      <c r="K407" s="50" t="s">
        <v>1365</v>
      </c>
      <c r="L407" s="51">
        <v>135.0</v>
      </c>
      <c r="M407" s="52" t="s">
        <v>547</v>
      </c>
      <c r="N407" s="51" t="s">
        <v>232</v>
      </c>
      <c r="O407" s="48">
        <v>320.0</v>
      </c>
      <c r="P407" s="48">
        <v>140.0</v>
      </c>
      <c r="Q407" s="48">
        <v>60.0</v>
      </c>
      <c r="R407" s="48">
        <v>5.0</v>
      </c>
      <c r="S407" s="50" t="s">
        <v>166</v>
      </c>
      <c r="T407" s="52" t="s">
        <v>167</v>
      </c>
      <c r="U407" s="52" t="s">
        <v>346</v>
      </c>
      <c r="V407" s="51" t="s">
        <v>195</v>
      </c>
      <c r="W407" s="48" t="s">
        <v>194</v>
      </c>
      <c r="X407" s="50" t="s">
        <v>166</v>
      </c>
      <c r="Y407" s="51" t="s">
        <v>166</v>
      </c>
      <c r="Z407" s="48" t="s">
        <v>166</v>
      </c>
      <c r="AA407" s="48" t="s">
        <v>166</v>
      </c>
      <c r="AB407" s="48">
        <v>2.0</v>
      </c>
      <c r="AC407" s="48" t="s">
        <v>568</v>
      </c>
      <c r="AD407" s="48" t="s">
        <v>166</v>
      </c>
      <c r="AE407" s="54" t="s">
        <v>166</v>
      </c>
      <c r="AF407" s="55" t="s">
        <v>166</v>
      </c>
      <c r="AG407" s="51" t="s">
        <v>166</v>
      </c>
      <c r="AH407" s="48">
        <v>2.0</v>
      </c>
      <c r="AI407" s="48">
        <v>1.0</v>
      </c>
      <c r="AJ407" s="50" t="s">
        <v>174</v>
      </c>
      <c r="AK407" s="56" t="s">
        <v>166</v>
      </c>
      <c r="AL407" s="57">
        <v>79.9</v>
      </c>
      <c r="AM407" s="58"/>
      <c r="AN407" s="64"/>
      <c r="AO407" s="60"/>
      <c r="AP407" s="65">
        <v>44757.47893621528</v>
      </c>
      <c r="AQ407" s="66"/>
    </row>
    <row r="408">
      <c r="A408" s="61" t="s">
        <v>1366</v>
      </c>
      <c r="B408" s="62" t="s">
        <v>1367</v>
      </c>
      <c r="C408" s="63" t="s">
        <v>248</v>
      </c>
      <c r="D408" s="48">
        <v>294.0</v>
      </c>
      <c r="E408" s="48">
        <v>179.0</v>
      </c>
      <c r="F408" s="48">
        <v>373.0</v>
      </c>
      <c r="G408" s="49">
        <f t="shared" si="11"/>
        <v>19.629498</v>
      </c>
      <c r="H408" s="49">
        <f t="shared" si="12"/>
        <v>526.26</v>
      </c>
      <c r="I408" s="48" t="s">
        <v>170</v>
      </c>
      <c r="J408" s="48" t="s">
        <v>235</v>
      </c>
      <c r="K408" s="50" t="s">
        <v>319</v>
      </c>
      <c r="L408" s="51">
        <v>80.0</v>
      </c>
      <c r="M408" s="52" t="s">
        <v>825</v>
      </c>
      <c r="N408" s="51" t="s">
        <v>174</v>
      </c>
      <c r="O408" s="48">
        <v>325.0</v>
      </c>
      <c r="P408" s="48">
        <v>170.0</v>
      </c>
      <c r="Q408" s="48">
        <v>70.0</v>
      </c>
      <c r="R408" s="48">
        <v>3.0</v>
      </c>
      <c r="S408" s="50" t="s">
        <v>166</v>
      </c>
      <c r="T408" s="52" t="s">
        <v>227</v>
      </c>
      <c r="U408" s="52" t="s">
        <v>346</v>
      </c>
      <c r="V408" s="51">
        <v>6.0</v>
      </c>
      <c r="W408" s="48" t="s">
        <v>166</v>
      </c>
      <c r="X408" s="50" t="s">
        <v>166</v>
      </c>
      <c r="Y408" s="51" t="s">
        <v>166</v>
      </c>
      <c r="Z408" s="48" t="s">
        <v>166</v>
      </c>
      <c r="AA408" s="48" t="s">
        <v>166</v>
      </c>
      <c r="AB408" s="48" t="s">
        <v>166</v>
      </c>
      <c r="AC408" s="48" t="s">
        <v>278</v>
      </c>
      <c r="AD408" s="48" t="s">
        <v>278</v>
      </c>
      <c r="AE408" s="54" t="s">
        <v>166</v>
      </c>
      <c r="AF408" s="55" t="s">
        <v>166</v>
      </c>
      <c r="AG408" s="51" t="s">
        <v>166</v>
      </c>
      <c r="AH408" s="48" t="s">
        <v>166</v>
      </c>
      <c r="AI408" s="48" t="s">
        <v>166</v>
      </c>
      <c r="AJ408" s="50" t="s">
        <v>166</v>
      </c>
      <c r="AK408" s="56" t="s">
        <v>166</v>
      </c>
      <c r="AL408" s="57">
        <v>325.0</v>
      </c>
      <c r="AM408" s="64" t="s">
        <v>214</v>
      </c>
      <c r="AN408" s="59"/>
      <c r="AO408" s="60"/>
      <c r="AP408" s="65">
        <v>44666.44859475695</v>
      </c>
      <c r="AQ408" s="66"/>
    </row>
    <row r="409">
      <c r="A409" s="82" t="str">
        <f>HYPERLINK("https://www.fractal-design.com/","Fractal Design")</f>
        <v>Fractal Design</v>
      </c>
      <c r="B409" s="83" t="str">
        <f>HYPERLINK("https://www.fractal-design.com/products/cases/node/node-304/black/","Node 304")</f>
        <v>Node 304</v>
      </c>
      <c r="C409" s="63" t="s">
        <v>262</v>
      </c>
      <c r="D409" s="48">
        <v>374.0</v>
      </c>
      <c r="E409" s="48">
        <v>250.0</v>
      </c>
      <c r="F409" s="48">
        <v>210.0</v>
      </c>
      <c r="G409" s="49">
        <f t="shared" si="11"/>
        <v>19.635</v>
      </c>
      <c r="H409" s="49">
        <f t="shared" si="12"/>
        <v>935</v>
      </c>
      <c r="I409" s="48">
        <v>4.9</v>
      </c>
      <c r="J409" s="48" t="s">
        <v>171</v>
      </c>
      <c r="K409" s="50" t="s">
        <v>512</v>
      </c>
      <c r="L409" s="51">
        <v>165.0</v>
      </c>
      <c r="M409" s="52" t="s">
        <v>737</v>
      </c>
      <c r="N409" s="51" t="s">
        <v>166</v>
      </c>
      <c r="O409" s="48">
        <v>310.0</v>
      </c>
      <c r="P409" s="48">
        <v>170.0</v>
      </c>
      <c r="Q409" s="48">
        <v>45.0</v>
      </c>
      <c r="R409" s="48">
        <v>2.0</v>
      </c>
      <c r="S409" s="50" t="s">
        <v>166</v>
      </c>
      <c r="T409" s="52" t="s">
        <v>227</v>
      </c>
      <c r="U409" s="52" t="s">
        <v>599</v>
      </c>
      <c r="V409" s="51" t="s">
        <v>682</v>
      </c>
      <c r="W409" s="48" t="s">
        <v>682</v>
      </c>
      <c r="X409" s="50" t="s">
        <v>166</v>
      </c>
      <c r="Y409" s="51" t="s">
        <v>166</v>
      </c>
      <c r="Z409" s="48" t="s">
        <v>166</v>
      </c>
      <c r="AA409" s="48" t="s">
        <v>193</v>
      </c>
      <c r="AB409" s="48" t="s">
        <v>193</v>
      </c>
      <c r="AC409" s="48" t="s">
        <v>194</v>
      </c>
      <c r="AD409" s="48" t="s">
        <v>194</v>
      </c>
      <c r="AE409" s="54" t="s">
        <v>166</v>
      </c>
      <c r="AF409" s="55" t="s">
        <v>166</v>
      </c>
      <c r="AG409" s="51" t="s">
        <v>166</v>
      </c>
      <c r="AH409" s="48">
        <v>2.0</v>
      </c>
      <c r="AI409" s="48" t="s">
        <v>166</v>
      </c>
      <c r="AJ409" s="50" t="s">
        <v>174</v>
      </c>
      <c r="AK409" s="56" t="s">
        <v>166</v>
      </c>
      <c r="AL409" s="57">
        <v>80.0</v>
      </c>
      <c r="AM409" s="58"/>
      <c r="AN409" s="64" t="s">
        <v>214</v>
      </c>
      <c r="AO409" s="60"/>
      <c r="AP409" s="65">
        <v>44644.50735814815</v>
      </c>
      <c r="AQ409" s="66"/>
    </row>
    <row r="410">
      <c r="A410" s="46" t="str">
        <f>HYPERLINK("https://shop309038390.world.taobao.com/","ZZAW")</f>
        <v>ZZAW</v>
      </c>
      <c r="B410" s="46" t="s">
        <v>1239</v>
      </c>
      <c r="C410" s="63" t="s">
        <v>262</v>
      </c>
      <c r="D410" s="48">
        <v>398.0</v>
      </c>
      <c r="E410" s="48">
        <v>165.0</v>
      </c>
      <c r="F410" s="48">
        <v>299.0</v>
      </c>
      <c r="G410" s="49">
        <f t="shared" si="11"/>
        <v>19.63533</v>
      </c>
      <c r="H410" s="49">
        <f t="shared" si="12"/>
        <v>656.7</v>
      </c>
      <c r="I410" s="48">
        <v>3.9</v>
      </c>
      <c r="J410" s="48" t="s">
        <v>164</v>
      </c>
      <c r="K410" s="50" t="s">
        <v>323</v>
      </c>
      <c r="L410" s="51">
        <v>138.0</v>
      </c>
      <c r="M410" s="52" t="s">
        <v>166</v>
      </c>
      <c r="N410" s="51" t="s">
        <v>166</v>
      </c>
      <c r="O410" s="48">
        <v>350.0</v>
      </c>
      <c r="P410" s="48">
        <v>142.0</v>
      </c>
      <c r="Q410" s="48">
        <v>90.0</v>
      </c>
      <c r="R410" s="48">
        <v>3.0</v>
      </c>
      <c r="S410" s="50" t="s">
        <v>166</v>
      </c>
      <c r="T410" s="52" t="s">
        <v>423</v>
      </c>
      <c r="U410" s="52" t="s">
        <v>599</v>
      </c>
      <c r="V410" s="51" t="s">
        <v>416</v>
      </c>
      <c r="W410" s="48" t="s">
        <v>193</v>
      </c>
      <c r="X410" s="50" t="s">
        <v>166</v>
      </c>
      <c r="Y410" s="51" t="s">
        <v>166</v>
      </c>
      <c r="Z410" s="48" t="s">
        <v>166</v>
      </c>
      <c r="AA410" s="48" t="s">
        <v>194</v>
      </c>
      <c r="AB410" s="48" t="s">
        <v>194</v>
      </c>
      <c r="AC410" s="48" t="s">
        <v>562</v>
      </c>
      <c r="AD410" s="48" t="s">
        <v>166</v>
      </c>
      <c r="AE410" s="54" t="s">
        <v>166</v>
      </c>
      <c r="AF410" s="55" t="s">
        <v>166</v>
      </c>
      <c r="AG410" s="51" t="s">
        <v>166</v>
      </c>
      <c r="AH410" s="48">
        <v>1.0</v>
      </c>
      <c r="AI410" s="48">
        <v>1.0</v>
      </c>
      <c r="AJ410" s="50" t="s">
        <v>166</v>
      </c>
      <c r="AK410" s="56">
        <v>998.0</v>
      </c>
      <c r="AL410" s="57">
        <f>AK410*Sheets!$E$3</f>
        <v>137.569809</v>
      </c>
      <c r="AM410" s="58"/>
      <c r="AN410" s="59"/>
      <c r="AO410" s="60"/>
      <c r="AP410" s="65">
        <v>44681.60226324074</v>
      </c>
      <c r="AQ410" s="66"/>
    </row>
    <row r="411">
      <c r="A411" s="61" t="s">
        <v>1368</v>
      </c>
      <c r="B411" s="62" t="s">
        <v>1369</v>
      </c>
      <c r="C411" s="63" t="s">
        <v>248</v>
      </c>
      <c r="D411" s="48">
        <v>368.0</v>
      </c>
      <c r="E411" s="48">
        <v>368.0</v>
      </c>
      <c r="F411" s="48">
        <v>435.0</v>
      </c>
      <c r="G411" s="49">
        <f>D411*E411*F411/3/1000000</f>
        <v>19.63648</v>
      </c>
      <c r="H411" s="49">
        <f t="shared" si="12"/>
        <v>1354.24</v>
      </c>
      <c r="I411" s="48">
        <v>6.3</v>
      </c>
      <c r="J411" s="48" t="s">
        <v>597</v>
      </c>
      <c r="K411" s="50" t="s">
        <v>1370</v>
      </c>
      <c r="L411" s="51">
        <v>85.0</v>
      </c>
      <c r="M411" s="50">
        <v>120.0</v>
      </c>
      <c r="N411" s="51" t="s">
        <v>174</v>
      </c>
      <c r="O411" s="48">
        <v>280.0</v>
      </c>
      <c r="P411" s="48" t="s">
        <v>170</v>
      </c>
      <c r="Q411" s="48">
        <v>40.0</v>
      </c>
      <c r="R411" s="48">
        <v>2.0</v>
      </c>
      <c r="S411" s="50" t="s">
        <v>166</v>
      </c>
      <c r="T411" s="52" t="s">
        <v>167</v>
      </c>
      <c r="U411" s="52" t="s">
        <v>324</v>
      </c>
      <c r="V411" s="51">
        <v>2.0</v>
      </c>
      <c r="W411" s="48" t="s">
        <v>166</v>
      </c>
      <c r="X411" s="50" t="s">
        <v>166</v>
      </c>
      <c r="Y411" s="51" t="s">
        <v>166</v>
      </c>
      <c r="Z411" s="48" t="s">
        <v>166</v>
      </c>
      <c r="AA411" s="48" t="s">
        <v>166</v>
      </c>
      <c r="AB411" s="48" t="s">
        <v>166</v>
      </c>
      <c r="AC411" s="48">
        <v>1.0</v>
      </c>
      <c r="AD411" s="48" t="s">
        <v>166</v>
      </c>
      <c r="AE411" s="54" t="s">
        <v>166</v>
      </c>
      <c r="AF411" s="55" t="s">
        <v>166</v>
      </c>
      <c r="AG411" s="51" t="s">
        <v>166</v>
      </c>
      <c r="AH411" s="48">
        <v>1.0</v>
      </c>
      <c r="AI411" s="48" t="s">
        <v>166</v>
      </c>
      <c r="AJ411" s="50" t="s">
        <v>174</v>
      </c>
      <c r="AK411" s="56" t="s">
        <v>166</v>
      </c>
      <c r="AL411" s="57">
        <v>259.99</v>
      </c>
      <c r="AM411" s="58"/>
      <c r="AN411" s="59"/>
      <c r="AO411" s="60"/>
      <c r="AP411" s="60"/>
      <c r="AQ411" s="66"/>
    </row>
    <row r="412">
      <c r="A412" s="82" t="str">
        <f>HYPERLINK("http://sliger.com/","Sliger")</f>
        <v>Sliger</v>
      </c>
      <c r="B412" s="62" t="s">
        <v>1371</v>
      </c>
      <c r="C412" s="63" t="s">
        <v>262</v>
      </c>
      <c r="D412" s="48">
        <v>358.0</v>
      </c>
      <c r="E412" s="48">
        <v>172.0</v>
      </c>
      <c r="F412" s="48">
        <v>319.0</v>
      </c>
      <c r="G412" s="49">
        <f t="shared" ref="G412:G422" si="23">D412*E412*F412/1000000</f>
        <v>19.642744</v>
      </c>
      <c r="H412" s="49">
        <f t="shared" si="12"/>
        <v>615.76</v>
      </c>
      <c r="I412" s="48">
        <v>4.22</v>
      </c>
      <c r="J412" s="48" t="s">
        <v>274</v>
      </c>
      <c r="K412" s="50" t="s">
        <v>1072</v>
      </c>
      <c r="L412" s="51">
        <v>149.0</v>
      </c>
      <c r="M412" s="50" t="s">
        <v>825</v>
      </c>
      <c r="N412" s="51" t="s">
        <v>166</v>
      </c>
      <c r="O412" s="48">
        <v>330.0</v>
      </c>
      <c r="P412" s="48">
        <v>152.0</v>
      </c>
      <c r="Q412" s="48">
        <v>100.0</v>
      </c>
      <c r="R412" s="48">
        <v>5.0</v>
      </c>
      <c r="S412" s="50" t="s">
        <v>166</v>
      </c>
      <c r="T412" s="52" t="s">
        <v>423</v>
      </c>
      <c r="U412" s="52" t="s">
        <v>816</v>
      </c>
      <c r="V412" s="51">
        <v>2.0</v>
      </c>
      <c r="W412" s="48" t="s">
        <v>166</v>
      </c>
      <c r="X412" s="50" t="s">
        <v>166</v>
      </c>
      <c r="Y412" s="51" t="s">
        <v>166</v>
      </c>
      <c r="Z412" s="48" t="s">
        <v>166</v>
      </c>
      <c r="AA412" s="48" t="s">
        <v>166</v>
      </c>
      <c r="AB412" s="48" t="s">
        <v>166</v>
      </c>
      <c r="AC412" s="48">
        <v>5.0</v>
      </c>
      <c r="AD412" s="48">
        <v>3.0</v>
      </c>
      <c r="AE412" s="54" t="s">
        <v>166</v>
      </c>
      <c r="AF412" s="55" t="s">
        <v>166</v>
      </c>
      <c r="AG412" s="51" t="s">
        <v>166</v>
      </c>
      <c r="AH412" s="48">
        <v>2.0</v>
      </c>
      <c r="AI412" s="48" t="s">
        <v>166</v>
      </c>
      <c r="AJ412" s="50" t="s">
        <v>166</v>
      </c>
      <c r="AK412" s="56" t="s">
        <v>166</v>
      </c>
      <c r="AL412" s="57">
        <v>245.0</v>
      </c>
      <c r="AM412" s="64" t="str">
        <f>HYPERLINK("https://smallformfactor.net/forum/threads/chimera-industries-cerberus-the-18l-matx-usa-made-enclosure.454/","Link")</f>
        <v>Link</v>
      </c>
      <c r="AN412" s="64" t="s">
        <v>214</v>
      </c>
      <c r="AO412" s="60"/>
      <c r="AP412" s="65">
        <v>44529.43804641203</v>
      </c>
      <c r="AQ412" s="66"/>
    </row>
    <row r="413">
      <c r="A413" s="61" t="s">
        <v>438</v>
      </c>
      <c r="B413" s="62" t="s">
        <v>1372</v>
      </c>
      <c r="C413" s="63" t="s">
        <v>262</v>
      </c>
      <c r="D413" s="48">
        <v>333.0</v>
      </c>
      <c r="E413" s="48">
        <v>205.0</v>
      </c>
      <c r="F413" s="48">
        <v>288.0</v>
      </c>
      <c r="G413" s="49">
        <f t="shared" si="23"/>
        <v>19.66032</v>
      </c>
      <c r="H413" s="49">
        <f t="shared" si="12"/>
        <v>682.65</v>
      </c>
      <c r="I413" s="48">
        <v>2.3</v>
      </c>
      <c r="J413" s="48" t="s">
        <v>235</v>
      </c>
      <c r="K413" s="50" t="s">
        <v>252</v>
      </c>
      <c r="L413" s="51">
        <v>177.0</v>
      </c>
      <c r="M413" s="50" t="s">
        <v>166</v>
      </c>
      <c r="N413" s="51" t="s">
        <v>166</v>
      </c>
      <c r="O413" s="48">
        <v>325.0</v>
      </c>
      <c r="P413" s="48">
        <v>179.0</v>
      </c>
      <c r="Q413" s="48">
        <v>80.0</v>
      </c>
      <c r="R413" s="48">
        <v>4.0</v>
      </c>
      <c r="S413" s="50" t="s">
        <v>166</v>
      </c>
      <c r="T413" s="52" t="s">
        <v>423</v>
      </c>
      <c r="U413" s="52" t="s">
        <v>346</v>
      </c>
      <c r="V413" s="51">
        <v>1.0</v>
      </c>
      <c r="W413" s="48" t="s">
        <v>193</v>
      </c>
      <c r="X413" s="50" t="s">
        <v>166</v>
      </c>
      <c r="Y413" s="51" t="s">
        <v>166</v>
      </c>
      <c r="Z413" s="48" t="s">
        <v>166</v>
      </c>
      <c r="AA413" s="48" t="s">
        <v>166</v>
      </c>
      <c r="AB413" s="48" t="s">
        <v>166</v>
      </c>
      <c r="AC413" s="48">
        <v>5.0</v>
      </c>
      <c r="AD413" s="48" t="s">
        <v>166</v>
      </c>
      <c r="AE413" s="54" t="s">
        <v>166</v>
      </c>
      <c r="AF413" s="55" t="s">
        <v>166</v>
      </c>
      <c r="AG413" s="51" t="s">
        <v>166</v>
      </c>
      <c r="AH413" s="48">
        <v>2.0</v>
      </c>
      <c r="AI413" s="48" t="s">
        <v>166</v>
      </c>
      <c r="AJ413" s="50" t="s">
        <v>166</v>
      </c>
      <c r="AK413" s="56" t="s">
        <v>166</v>
      </c>
      <c r="AL413" s="57">
        <f>5300*0.03</f>
        <v>159</v>
      </c>
      <c r="AM413" s="64"/>
      <c r="AN413" s="59"/>
      <c r="AO413" s="60"/>
      <c r="AP413" s="65">
        <v>44612.57933153935</v>
      </c>
      <c r="AQ413" s="66"/>
    </row>
    <row r="414">
      <c r="A414" s="83" t="str">
        <f>HYPERLINK("https://www.sfftime.com/","SFFtime")</f>
        <v>SFFtime</v>
      </c>
      <c r="B414" s="62" t="s">
        <v>1373</v>
      </c>
      <c r="C414" s="63" t="s">
        <v>262</v>
      </c>
      <c r="D414" s="48">
        <v>231.0</v>
      </c>
      <c r="E414" s="48">
        <v>209.0</v>
      </c>
      <c r="F414" s="48">
        <v>408.0</v>
      </c>
      <c r="G414" s="49">
        <f t="shared" si="23"/>
        <v>19.697832</v>
      </c>
      <c r="H414" s="49">
        <f t="shared" si="12"/>
        <v>482.79</v>
      </c>
      <c r="I414" s="48" t="s">
        <v>170</v>
      </c>
      <c r="J414" s="48" t="s">
        <v>164</v>
      </c>
      <c r="K414" s="50" t="s">
        <v>1374</v>
      </c>
      <c r="L414" s="51">
        <v>182.0</v>
      </c>
      <c r="M414" s="50">
        <v>120.0</v>
      </c>
      <c r="N414" s="51" t="s">
        <v>166</v>
      </c>
      <c r="O414" s="48">
        <v>345.0</v>
      </c>
      <c r="P414" s="48">
        <v>187.0</v>
      </c>
      <c r="Q414" s="48">
        <v>60.0</v>
      </c>
      <c r="R414" s="48">
        <v>3.0</v>
      </c>
      <c r="S414" s="50" t="s">
        <v>166</v>
      </c>
      <c r="T414" s="52" t="s">
        <v>227</v>
      </c>
      <c r="U414" s="52" t="s">
        <v>324</v>
      </c>
      <c r="V414" s="51">
        <v>2.0</v>
      </c>
      <c r="W414" s="48" t="s">
        <v>166</v>
      </c>
      <c r="X414" s="50" t="s">
        <v>166</v>
      </c>
      <c r="Y414" s="51" t="s">
        <v>166</v>
      </c>
      <c r="Z414" s="48" t="s">
        <v>166</v>
      </c>
      <c r="AA414" s="48" t="s">
        <v>166</v>
      </c>
      <c r="AB414" s="48" t="s">
        <v>166</v>
      </c>
      <c r="AC414" s="48" t="s">
        <v>416</v>
      </c>
      <c r="AD414" s="48" t="s">
        <v>193</v>
      </c>
      <c r="AE414" s="54" t="s">
        <v>166</v>
      </c>
      <c r="AF414" s="55" t="s">
        <v>194</v>
      </c>
      <c r="AG414" s="51" t="s">
        <v>166</v>
      </c>
      <c r="AH414" s="48" t="s">
        <v>166</v>
      </c>
      <c r="AI414" s="48" t="s">
        <v>166</v>
      </c>
      <c r="AJ414" s="50" t="s">
        <v>166</v>
      </c>
      <c r="AK414" s="56" t="s">
        <v>166</v>
      </c>
      <c r="AL414" s="57">
        <v>199.0</v>
      </c>
      <c r="AM414" s="64" t="s">
        <v>214</v>
      </c>
      <c r="AN414" s="59"/>
      <c r="AO414" s="60" t="s">
        <v>181</v>
      </c>
      <c r="AP414" s="65">
        <v>44655.422164131945</v>
      </c>
      <c r="AQ414" s="66"/>
    </row>
    <row r="415">
      <c r="A415" s="62" t="s">
        <v>292</v>
      </c>
      <c r="B415" s="62" t="s">
        <v>1375</v>
      </c>
      <c r="C415" s="63" t="s">
        <v>262</v>
      </c>
      <c r="D415" s="48">
        <v>335.0</v>
      </c>
      <c r="E415" s="48">
        <v>180.0</v>
      </c>
      <c r="F415" s="48">
        <v>328.0</v>
      </c>
      <c r="G415" s="49">
        <f t="shared" si="23"/>
        <v>19.7784</v>
      </c>
      <c r="H415" s="49">
        <f t="shared" si="12"/>
        <v>603</v>
      </c>
      <c r="I415" s="48">
        <v>5.0</v>
      </c>
      <c r="J415" s="48" t="s">
        <v>164</v>
      </c>
      <c r="K415" s="50" t="s">
        <v>164</v>
      </c>
      <c r="L415" s="51">
        <v>142.9</v>
      </c>
      <c r="M415" s="50" t="s">
        <v>1376</v>
      </c>
      <c r="N415" s="51" t="s">
        <v>166</v>
      </c>
      <c r="O415" s="48">
        <v>323.0</v>
      </c>
      <c r="P415" s="48">
        <v>147.9</v>
      </c>
      <c r="Q415" s="48">
        <v>100.0</v>
      </c>
      <c r="R415" s="48">
        <v>4.0</v>
      </c>
      <c r="S415" s="50" t="s">
        <v>166</v>
      </c>
      <c r="T415" s="52" t="s">
        <v>1102</v>
      </c>
      <c r="U415" s="52" t="s">
        <v>346</v>
      </c>
      <c r="V415" s="51" t="s">
        <v>170</v>
      </c>
      <c r="W415" s="48" t="s">
        <v>170</v>
      </c>
      <c r="X415" s="50" t="s">
        <v>166</v>
      </c>
      <c r="Y415" s="51" t="s">
        <v>166</v>
      </c>
      <c r="Z415" s="48" t="s">
        <v>166</v>
      </c>
      <c r="AA415" s="48" t="s">
        <v>166</v>
      </c>
      <c r="AB415" s="48" t="s">
        <v>166</v>
      </c>
      <c r="AC415" s="48" t="s">
        <v>193</v>
      </c>
      <c r="AD415" s="48" t="s">
        <v>568</v>
      </c>
      <c r="AE415" s="54" t="s">
        <v>166</v>
      </c>
      <c r="AF415" s="55" t="s">
        <v>166</v>
      </c>
      <c r="AG415" s="51" t="s">
        <v>166</v>
      </c>
      <c r="AH415" s="48" t="s">
        <v>166</v>
      </c>
      <c r="AI415" s="48" t="s">
        <v>166</v>
      </c>
      <c r="AJ415" s="50" t="s">
        <v>166</v>
      </c>
      <c r="AK415" s="56" t="s">
        <v>166</v>
      </c>
      <c r="AL415" s="57">
        <f>200*1.21</f>
        <v>242</v>
      </c>
      <c r="AM415" s="64" t="s">
        <v>214</v>
      </c>
      <c r="AN415" s="59"/>
      <c r="AO415" s="60" t="s">
        <v>181</v>
      </c>
      <c r="AP415" s="65">
        <v>45132.40640518519</v>
      </c>
      <c r="AQ415" s="66"/>
    </row>
    <row r="416">
      <c r="A416" s="82" t="str">
        <f>HYPERLINK("https://www.coolermaster.com/","Cooler Master")</f>
        <v>Cooler Master</v>
      </c>
      <c r="B416" s="83" t="str">
        <f>HYPERLINK("https://www.coolermaster.com/catalog/cases/mini-itx/elite130/","Elite 130")</f>
        <v>Elite 130</v>
      </c>
      <c r="C416" s="63" t="s">
        <v>262</v>
      </c>
      <c r="D416" s="48">
        <v>398.5</v>
      </c>
      <c r="E416" s="48">
        <v>240.0</v>
      </c>
      <c r="F416" s="48">
        <v>207.4</v>
      </c>
      <c r="G416" s="49">
        <f t="shared" si="23"/>
        <v>19.835736</v>
      </c>
      <c r="H416" s="49">
        <f t="shared" si="12"/>
        <v>956.4</v>
      </c>
      <c r="I416" s="48">
        <v>3.1</v>
      </c>
      <c r="J416" s="48" t="s">
        <v>171</v>
      </c>
      <c r="K416" s="50" t="s">
        <v>211</v>
      </c>
      <c r="L416" s="51">
        <v>65.0</v>
      </c>
      <c r="M416" s="50">
        <v>120.0</v>
      </c>
      <c r="N416" s="51" t="s">
        <v>166</v>
      </c>
      <c r="O416" s="48">
        <v>343.0</v>
      </c>
      <c r="P416" s="48" t="s">
        <v>170</v>
      </c>
      <c r="Q416" s="48">
        <v>40.0</v>
      </c>
      <c r="R416" s="48">
        <v>2.0</v>
      </c>
      <c r="S416" s="50" t="s">
        <v>166</v>
      </c>
      <c r="T416" s="52" t="s">
        <v>167</v>
      </c>
      <c r="U416" s="52" t="s">
        <v>599</v>
      </c>
      <c r="V416" s="51" t="s">
        <v>300</v>
      </c>
      <c r="W416" s="48" t="s">
        <v>426</v>
      </c>
      <c r="X416" s="50" t="s">
        <v>194</v>
      </c>
      <c r="Y416" s="51" t="s">
        <v>166</v>
      </c>
      <c r="Z416" s="48" t="s">
        <v>166</v>
      </c>
      <c r="AA416" s="48">
        <v>1.0</v>
      </c>
      <c r="AB416" s="48" t="s">
        <v>166</v>
      </c>
      <c r="AC416" s="48">
        <v>1.0</v>
      </c>
      <c r="AD416" s="48" t="s">
        <v>166</v>
      </c>
      <c r="AE416" s="54" t="s">
        <v>166</v>
      </c>
      <c r="AF416" s="55" t="s">
        <v>166</v>
      </c>
      <c r="AG416" s="51">
        <v>1.0</v>
      </c>
      <c r="AH416" s="48">
        <v>2.0</v>
      </c>
      <c r="AI416" s="48" t="s">
        <v>166</v>
      </c>
      <c r="AJ416" s="50" t="s">
        <v>174</v>
      </c>
      <c r="AK416" s="56" t="s">
        <v>166</v>
      </c>
      <c r="AL416" s="57">
        <v>50.0</v>
      </c>
      <c r="AM416" s="58"/>
      <c r="AN416" s="64" t="s">
        <v>214</v>
      </c>
      <c r="AO416" s="60"/>
      <c r="AP416" s="65">
        <v>44644.50745708334</v>
      </c>
      <c r="AQ416" s="66"/>
    </row>
    <row r="417">
      <c r="A417" s="69" t="str">
        <f>HYPERLINK("https://sktcase.world.taobao.com/","SKTC")</f>
        <v>SKTC</v>
      </c>
      <c r="B417" s="46" t="s">
        <v>595</v>
      </c>
      <c r="C417" s="63" t="s">
        <v>262</v>
      </c>
      <c r="D417" s="48">
        <v>354.0</v>
      </c>
      <c r="E417" s="48">
        <v>190.0</v>
      </c>
      <c r="F417" s="48">
        <v>295.0</v>
      </c>
      <c r="G417" s="49">
        <f t="shared" si="23"/>
        <v>19.8417</v>
      </c>
      <c r="H417" s="49">
        <f t="shared" si="12"/>
        <v>672.6</v>
      </c>
      <c r="I417" s="48" t="s">
        <v>170</v>
      </c>
      <c r="J417" s="48" t="s">
        <v>235</v>
      </c>
      <c r="K417" s="50" t="s">
        <v>1377</v>
      </c>
      <c r="L417" s="51">
        <v>163.0</v>
      </c>
      <c r="M417" s="50">
        <v>120.0</v>
      </c>
      <c r="N417" s="51" t="s">
        <v>166</v>
      </c>
      <c r="O417" s="48">
        <v>315.0</v>
      </c>
      <c r="P417" s="48">
        <v>168.0</v>
      </c>
      <c r="Q417" s="48">
        <v>80.0</v>
      </c>
      <c r="R417" s="48">
        <v>4.0</v>
      </c>
      <c r="S417" s="50" t="s">
        <v>166</v>
      </c>
      <c r="T417" s="52" t="s">
        <v>423</v>
      </c>
      <c r="U417" s="52" t="s">
        <v>599</v>
      </c>
      <c r="V417" s="51" t="s">
        <v>435</v>
      </c>
      <c r="W417" s="48" t="s">
        <v>194</v>
      </c>
      <c r="X417" s="50" t="s">
        <v>166</v>
      </c>
      <c r="Y417" s="51" t="s">
        <v>166</v>
      </c>
      <c r="Z417" s="48" t="s">
        <v>166</v>
      </c>
      <c r="AA417" s="48" t="s">
        <v>166</v>
      </c>
      <c r="AB417" s="48" t="s">
        <v>166</v>
      </c>
      <c r="AC417" s="48">
        <v>4.0</v>
      </c>
      <c r="AD417" s="48" t="s">
        <v>166</v>
      </c>
      <c r="AE417" s="54" t="s">
        <v>166</v>
      </c>
      <c r="AF417" s="55" t="s">
        <v>166</v>
      </c>
      <c r="AG417" s="51" t="s">
        <v>166</v>
      </c>
      <c r="AH417" s="48">
        <v>2.0</v>
      </c>
      <c r="AI417" s="48">
        <v>1.0</v>
      </c>
      <c r="AJ417" s="50" t="s">
        <v>174</v>
      </c>
      <c r="AK417" s="56">
        <v>499.0</v>
      </c>
      <c r="AL417" s="57">
        <f>AK417*Sheets!$E$3</f>
        <v>68.7849045</v>
      </c>
      <c r="AM417" s="68"/>
      <c r="AN417" s="59"/>
      <c r="AO417" s="60"/>
      <c r="AP417" s="65">
        <v>44644.507491446755</v>
      </c>
      <c r="AQ417" s="139"/>
    </row>
    <row r="418">
      <c r="A418" s="61" t="s">
        <v>1378</v>
      </c>
      <c r="B418" s="62" t="s">
        <v>1379</v>
      </c>
      <c r="C418" s="63" t="s">
        <v>262</v>
      </c>
      <c r="D418" s="48">
        <v>230.0</v>
      </c>
      <c r="E418" s="48">
        <v>269.0</v>
      </c>
      <c r="F418" s="48">
        <v>321.0</v>
      </c>
      <c r="G418" s="49">
        <f t="shared" si="23"/>
        <v>19.86027</v>
      </c>
      <c r="H418" s="49">
        <f t="shared" si="12"/>
        <v>618.7</v>
      </c>
      <c r="I418" s="48" t="s">
        <v>170</v>
      </c>
      <c r="J418" s="48" t="s">
        <v>597</v>
      </c>
      <c r="K418" s="50" t="s">
        <v>164</v>
      </c>
      <c r="L418" s="51">
        <v>122.0</v>
      </c>
      <c r="M418" s="50" t="s">
        <v>547</v>
      </c>
      <c r="N418" s="51" t="s">
        <v>166</v>
      </c>
      <c r="O418" s="48">
        <v>200.0</v>
      </c>
      <c r="P418" s="48">
        <v>127.0</v>
      </c>
      <c r="Q418" s="48">
        <v>40.0</v>
      </c>
      <c r="R418" s="48">
        <v>2.0</v>
      </c>
      <c r="S418" s="50" t="s">
        <v>166</v>
      </c>
      <c r="T418" s="52" t="s">
        <v>167</v>
      </c>
      <c r="U418" s="52" t="s">
        <v>324</v>
      </c>
      <c r="V418" s="51">
        <v>2.0</v>
      </c>
      <c r="W418" s="48" t="s">
        <v>194</v>
      </c>
      <c r="X418" s="50" t="s">
        <v>166</v>
      </c>
      <c r="Y418" s="51" t="s">
        <v>166</v>
      </c>
      <c r="Z418" s="48" t="s">
        <v>166</v>
      </c>
      <c r="AA418" s="48" t="s">
        <v>166</v>
      </c>
      <c r="AB418" s="48" t="s">
        <v>166</v>
      </c>
      <c r="AC418" s="48">
        <v>4.0</v>
      </c>
      <c r="AD418" s="48" t="s">
        <v>166</v>
      </c>
      <c r="AE418" s="54" t="s">
        <v>166</v>
      </c>
      <c r="AF418" s="55" t="s">
        <v>166</v>
      </c>
      <c r="AG418" s="51" t="s">
        <v>166</v>
      </c>
      <c r="AH418" s="48">
        <v>2.0</v>
      </c>
      <c r="AI418" s="48">
        <v>1.0</v>
      </c>
      <c r="AJ418" s="50" t="s">
        <v>174</v>
      </c>
      <c r="AK418" s="56" t="s">
        <v>166</v>
      </c>
      <c r="AL418" s="57">
        <v>299.0</v>
      </c>
      <c r="AM418" s="58"/>
      <c r="AN418" s="59"/>
      <c r="AO418" s="60"/>
      <c r="AP418" s="65">
        <v>44712.98123348379</v>
      </c>
      <c r="AQ418" s="66"/>
    </row>
    <row r="419">
      <c r="A419" s="82" t="str">
        <f>HYPERLINK("http://www.jonsbo.com/en/","Jonsbo")</f>
        <v>Jonsbo</v>
      </c>
      <c r="B419" s="62" t="s">
        <v>1380</v>
      </c>
      <c r="C419" s="63" t="s">
        <v>248</v>
      </c>
      <c r="D419" s="48">
        <v>255.0</v>
      </c>
      <c r="E419" s="48">
        <v>204.0</v>
      </c>
      <c r="F419" s="48">
        <v>382.0</v>
      </c>
      <c r="G419" s="49">
        <f t="shared" si="23"/>
        <v>19.87164</v>
      </c>
      <c r="H419" s="49">
        <f t="shared" si="12"/>
        <v>520.2</v>
      </c>
      <c r="I419" s="48">
        <v>5.28</v>
      </c>
      <c r="J419" s="48" t="s">
        <v>240</v>
      </c>
      <c r="K419" s="50" t="s">
        <v>1381</v>
      </c>
      <c r="L419" s="51">
        <v>70.0</v>
      </c>
      <c r="M419" s="50" t="s">
        <v>825</v>
      </c>
      <c r="N419" s="51" t="s">
        <v>174</v>
      </c>
      <c r="O419" s="48">
        <v>325.0</v>
      </c>
      <c r="P419" s="48" t="s">
        <v>170</v>
      </c>
      <c r="Q419" s="48">
        <v>60.0</v>
      </c>
      <c r="R419" s="48">
        <v>3.0</v>
      </c>
      <c r="S419" s="50" t="s">
        <v>166</v>
      </c>
      <c r="T419" s="52" t="s">
        <v>167</v>
      </c>
      <c r="U419" s="52" t="s">
        <v>816</v>
      </c>
      <c r="V419" s="51">
        <v>2.0</v>
      </c>
      <c r="W419" s="48" t="s">
        <v>193</v>
      </c>
      <c r="X419" s="50" t="s">
        <v>166</v>
      </c>
      <c r="Y419" s="51" t="s">
        <v>166</v>
      </c>
      <c r="Z419" s="48" t="s">
        <v>166</v>
      </c>
      <c r="AA419" s="48" t="s">
        <v>166</v>
      </c>
      <c r="AB419" s="48" t="s">
        <v>166</v>
      </c>
      <c r="AC419" s="48" t="s">
        <v>193</v>
      </c>
      <c r="AD419" s="48" t="s">
        <v>193</v>
      </c>
      <c r="AE419" s="54" t="s">
        <v>166</v>
      </c>
      <c r="AF419" s="55" t="s">
        <v>166</v>
      </c>
      <c r="AG419" s="51" t="s">
        <v>166</v>
      </c>
      <c r="AH419" s="48">
        <v>1.0</v>
      </c>
      <c r="AI419" s="48">
        <v>1.0</v>
      </c>
      <c r="AJ419" s="50" t="s">
        <v>166</v>
      </c>
      <c r="AK419" s="56" t="s">
        <v>166</v>
      </c>
      <c r="AL419" s="57" t="s">
        <v>170</v>
      </c>
      <c r="AM419" s="58"/>
      <c r="AN419" s="59"/>
      <c r="AO419" s="60"/>
      <c r="AP419" s="65">
        <v>44546.674696828704</v>
      </c>
      <c r="AQ419" s="66"/>
    </row>
    <row r="420">
      <c r="A420" s="82" t="str">
        <f>HYPERLINK("https://cougargaming.com/","Cougar")</f>
        <v>Cougar</v>
      </c>
      <c r="B420" s="62" t="s">
        <v>1382</v>
      </c>
      <c r="C420" s="63" t="s">
        <v>262</v>
      </c>
      <c r="D420" s="48">
        <v>384.0</v>
      </c>
      <c r="E420" s="48">
        <v>178.0</v>
      </c>
      <c r="F420" s="48">
        <v>291.0</v>
      </c>
      <c r="G420" s="49">
        <f t="shared" si="23"/>
        <v>19.890432</v>
      </c>
      <c r="H420" s="49">
        <f t="shared" si="12"/>
        <v>683.52</v>
      </c>
      <c r="I420" s="48">
        <v>4.5</v>
      </c>
      <c r="J420" s="48" t="s">
        <v>164</v>
      </c>
      <c r="K420" s="50" t="s">
        <v>211</v>
      </c>
      <c r="L420" s="51">
        <v>145.0</v>
      </c>
      <c r="M420" s="50" t="s">
        <v>547</v>
      </c>
      <c r="N420" s="51" t="s">
        <v>166</v>
      </c>
      <c r="O420" s="48">
        <v>350.0</v>
      </c>
      <c r="P420" s="48">
        <v>150.0</v>
      </c>
      <c r="Q420" s="48">
        <v>60.0</v>
      </c>
      <c r="R420" s="48">
        <v>2.0</v>
      </c>
      <c r="S420" s="50" t="s">
        <v>166</v>
      </c>
      <c r="T420" s="52" t="s">
        <v>167</v>
      </c>
      <c r="U420" s="52" t="s">
        <v>599</v>
      </c>
      <c r="V420" s="51">
        <v>4.0</v>
      </c>
      <c r="W420" s="48">
        <v>1.0</v>
      </c>
      <c r="X420" s="50" t="s">
        <v>218</v>
      </c>
      <c r="Y420" s="51" t="s">
        <v>166</v>
      </c>
      <c r="Z420" s="48" t="s">
        <v>166</v>
      </c>
      <c r="AA420" s="48">
        <v>1.0</v>
      </c>
      <c r="AB420" s="48">
        <v>1.0</v>
      </c>
      <c r="AC420" s="48" t="s">
        <v>910</v>
      </c>
      <c r="AD420" s="48" t="s">
        <v>166</v>
      </c>
      <c r="AE420" s="54" t="s">
        <v>166</v>
      </c>
      <c r="AF420" s="55" t="s">
        <v>166</v>
      </c>
      <c r="AG420" s="51" t="s">
        <v>166</v>
      </c>
      <c r="AH420" s="48">
        <v>2.0</v>
      </c>
      <c r="AI420" s="48" t="s">
        <v>166</v>
      </c>
      <c r="AJ420" s="50" t="s">
        <v>174</v>
      </c>
      <c r="AK420" s="56" t="s">
        <v>166</v>
      </c>
      <c r="AL420" s="57">
        <v>54.99</v>
      </c>
      <c r="AM420" s="68"/>
      <c r="AN420" s="64" t="s">
        <v>214</v>
      </c>
      <c r="AO420" s="60"/>
      <c r="AP420" s="65">
        <v>45403.01288226852</v>
      </c>
      <c r="AQ420" s="139"/>
    </row>
    <row r="421">
      <c r="A421" s="61" t="s">
        <v>942</v>
      </c>
      <c r="B421" s="67" t="s">
        <v>1383</v>
      </c>
      <c r="C421" s="63" t="s">
        <v>225</v>
      </c>
      <c r="D421" s="48">
        <v>384.0</v>
      </c>
      <c r="E421" s="48">
        <v>133.0</v>
      </c>
      <c r="F421" s="48">
        <v>390.0</v>
      </c>
      <c r="G421" s="49">
        <f t="shared" si="23"/>
        <v>19.91808</v>
      </c>
      <c r="H421" s="49">
        <f t="shared" si="12"/>
        <v>510.72</v>
      </c>
      <c r="I421" s="48">
        <v>5.4</v>
      </c>
      <c r="J421" s="48" t="s">
        <v>597</v>
      </c>
      <c r="K421" s="50" t="s">
        <v>164</v>
      </c>
      <c r="L421" s="51">
        <v>70.0</v>
      </c>
      <c r="M421" s="50" t="s">
        <v>166</v>
      </c>
      <c r="N421" s="51" t="s">
        <v>174</v>
      </c>
      <c r="O421" s="48">
        <v>190.0</v>
      </c>
      <c r="P421" s="48" t="s">
        <v>170</v>
      </c>
      <c r="Q421" s="48">
        <v>60.0</v>
      </c>
      <c r="R421" s="48">
        <v>3.0</v>
      </c>
      <c r="S421" s="50" t="s">
        <v>166</v>
      </c>
      <c r="T421" s="52" t="s">
        <v>167</v>
      </c>
      <c r="U421" s="52" t="s">
        <v>324</v>
      </c>
      <c r="V421" s="51" t="s">
        <v>355</v>
      </c>
      <c r="W421" s="48" t="s">
        <v>584</v>
      </c>
      <c r="X421" s="50" t="s">
        <v>208</v>
      </c>
      <c r="Y421" s="51" t="s">
        <v>166</v>
      </c>
      <c r="Z421" s="48" t="s">
        <v>166</v>
      </c>
      <c r="AA421" s="48" t="s">
        <v>166</v>
      </c>
      <c r="AB421" s="48" t="s">
        <v>166</v>
      </c>
      <c r="AC421" s="48" t="s">
        <v>166</v>
      </c>
      <c r="AD421" s="48">
        <v>1.0</v>
      </c>
      <c r="AE421" s="54" t="s">
        <v>166</v>
      </c>
      <c r="AF421" s="55" t="s">
        <v>166</v>
      </c>
      <c r="AG421" s="51" t="s">
        <v>166</v>
      </c>
      <c r="AH421" s="48">
        <v>2.0</v>
      </c>
      <c r="AI421" s="48" t="s">
        <v>166</v>
      </c>
      <c r="AJ421" s="50" t="s">
        <v>174</v>
      </c>
      <c r="AK421" s="56" t="s">
        <v>166</v>
      </c>
      <c r="AL421" s="57" t="s">
        <v>170</v>
      </c>
      <c r="AM421" s="68"/>
      <c r="AN421" s="59"/>
      <c r="AO421" s="60" t="s">
        <v>181</v>
      </c>
      <c r="AP421" s="65">
        <v>44717.93967928241</v>
      </c>
      <c r="AQ421" s="139"/>
    </row>
    <row r="422">
      <c r="A422" s="82" t="str">
        <f>HYPERLINK("https://streacom.com/","Streacom")</f>
        <v>Streacom</v>
      </c>
      <c r="B422" s="62" t="s">
        <v>1384</v>
      </c>
      <c r="C422" s="63" t="s">
        <v>282</v>
      </c>
      <c r="D422" s="48">
        <v>215.0</v>
      </c>
      <c r="E422" s="48">
        <v>215.0</v>
      </c>
      <c r="F422" s="48">
        <v>431.0</v>
      </c>
      <c r="G422" s="49">
        <f t="shared" si="23"/>
        <v>19.922975</v>
      </c>
      <c r="H422" s="49">
        <f t="shared" si="12"/>
        <v>462.25</v>
      </c>
      <c r="I422" s="48">
        <v>2.4</v>
      </c>
      <c r="J422" s="48" t="s">
        <v>282</v>
      </c>
      <c r="K422" s="50" t="s">
        <v>1385</v>
      </c>
      <c r="L422" s="51" t="s">
        <v>282</v>
      </c>
      <c r="M422" s="50" t="s">
        <v>825</v>
      </c>
      <c r="N422" s="51" t="s">
        <v>174</v>
      </c>
      <c r="O422" s="48">
        <v>323.0</v>
      </c>
      <c r="P422" s="48">
        <v>145.0</v>
      </c>
      <c r="Q422" s="48">
        <v>87.0</v>
      </c>
      <c r="R422" s="48">
        <v>3.0</v>
      </c>
      <c r="S422" s="50" t="s">
        <v>166</v>
      </c>
      <c r="T422" s="52" t="s">
        <v>167</v>
      </c>
      <c r="U422" s="52" t="s">
        <v>816</v>
      </c>
      <c r="V422" s="51" t="s">
        <v>170</v>
      </c>
      <c r="W422" s="48">
        <v>9.0</v>
      </c>
      <c r="X422" s="50" t="s">
        <v>166</v>
      </c>
      <c r="Y422" s="51" t="s">
        <v>1292</v>
      </c>
      <c r="Z422" s="48" t="s">
        <v>1292</v>
      </c>
      <c r="AA422" s="48" t="s">
        <v>1292</v>
      </c>
      <c r="AB422" s="48" t="s">
        <v>1292</v>
      </c>
      <c r="AC422" s="48" t="s">
        <v>1292</v>
      </c>
      <c r="AD422" s="48" t="s">
        <v>1292</v>
      </c>
      <c r="AE422" s="54" t="s">
        <v>166</v>
      </c>
      <c r="AF422" s="55" t="s">
        <v>166</v>
      </c>
      <c r="AG422" s="51" t="s">
        <v>166</v>
      </c>
      <c r="AH422" s="48" t="s">
        <v>166</v>
      </c>
      <c r="AI422" s="48">
        <v>1.0</v>
      </c>
      <c r="AJ422" s="50" t="s">
        <v>166</v>
      </c>
      <c r="AK422" s="56" t="s">
        <v>166</v>
      </c>
      <c r="AL422" s="57">
        <f>139*1.07</f>
        <v>148.73</v>
      </c>
      <c r="AM422" s="58"/>
      <c r="AN422" s="59"/>
      <c r="AO422" s="60"/>
      <c r="AP422" s="65">
        <v>44706.597081886575</v>
      </c>
      <c r="AQ422" s="66"/>
    </row>
    <row r="423">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135"/>
      <c r="AO423" s="135"/>
      <c r="AP423" s="135"/>
      <c r="AQ423" s="45"/>
    </row>
    <row r="424">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135"/>
      <c r="AO424" s="135"/>
      <c r="AP424" s="135"/>
      <c r="AQ424" s="45"/>
    </row>
    <row r="425">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135"/>
      <c r="AO425" s="135"/>
      <c r="AP425" s="135"/>
      <c r="AQ425" s="45"/>
    </row>
    <row r="4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135"/>
      <c r="AO426" s="135"/>
      <c r="AP426" s="135"/>
      <c r="AQ426" s="45"/>
    </row>
    <row r="427">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135"/>
      <c r="AO427" s="135"/>
      <c r="AP427" s="135"/>
      <c r="AQ427" s="45"/>
    </row>
    <row r="428">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135"/>
      <c r="AO428" s="135"/>
      <c r="AP428" s="135"/>
      <c r="AQ428" s="45"/>
    </row>
    <row r="429">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135"/>
      <c r="AO429" s="135"/>
      <c r="AP429" s="135"/>
      <c r="AQ429" s="45"/>
    </row>
    <row r="430">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135"/>
      <c r="AO430" s="135"/>
      <c r="AP430" s="135"/>
      <c r="AQ430" s="45"/>
    </row>
    <row r="43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135"/>
      <c r="AO431" s="135"/>
      <c r="AP431" s="135"/>
      <c r="AQ431" s="45"/>
    </row>
    <row r="432">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135"/>
      <c r="AO432" s="135"/>
      <c r="AP432" s="135"/>
      <c r="AQ432" s="45"/>
    </row>
    <row r="433">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135"/>
      <c r="AO433" s="135"/>
      <c r="AP433" s="135"/>
      <c r="AQ433" s="45"/>
    </row>
    <row r="434">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135"/>
      <c r="AO434" s="135"/>
      <c r="AP434" s="135"/>
      <c r="AQ434" s="45"/>
    </row>
    <row r="435">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135"/>
      <c r="AO435" s="135"/>
      <c r="AP435" s="135"/>
      <c r="AQ435" s="45"/>
    </row>
  </sheetData>
  <autoFilter ref="$A$1:$AP$422">
    <sortState ref="A1:AP422">
      <sortCondition ref="G1:G422"/>
    </sortState>
  </autoFilter>
  <customSheetViews>
    <customSheetView guid="{2484191D-7B0A-413B-A550-5C733AC9516C}" filter="1" showAutoFilter="1">
      <autoFilter ref="$A$1:$AP$435">
        <filterColumn colId="20">
          <filters blank="1">
            <filter val="DC-ATX / SFX / SFX-L"/>
            <filter val="DC-ATX / Flex ATX"/>
            <filter val="DC-ATX / Flex ATX / SFX / ATX"/>
            <filter val="DC-ATX"/>
          </filters>
        </filterColumn>
      </autoFilter>
    </customSheetView>
    <customSheetView guid="{F31AF662-1F25-48F6-9471-08511ECB3617}" filter="1" showAutoFilter="1">
      <autoFilter ref="$A$1:$AP$435">
        <filterColumn colId="12">
          <filters blank="1">
            <filter val="120 / 140 / 240 / 2 x 240 / 280"/>
            <filter val="120 / 140 / 240 / 280"/>
            <filter val="120 / 2 x 120 /140 / 240 / 280"/>
            <filter val="120 / 140 / 240 / 280 / 240 + 280"/>
            <filter val="120 / 2 x 180 / 2 x 200"/>
            <filter val="140 / 280"/>
            <filter val="120 / 140 / 240 / 2 x 240 / 280 / 2 x 280"/>
            <filter val="120 / 2 x 120 / 240"/>
            <filter val="92 / 120 / 240"/>
            <filter val="120 / 140 / 240 / 280 / 360 / 420"/>
            <filter val="120 / 240 / 3 x 240"/>
            <filter val="92"/>
            <filter val="120 / 140 / 2 x 240 / 2 x 280"/>
            <filter val="92 / 120 / 140 / 240 / 280"/>
            <filter val="120 / 240 / 360"/>
            <filter val="120 / 240 /w top hat"/>
            <filter val="2 x 120"/>
            <filter val="120 / 140 / 240 / 280 /w top hat"/>
            <filter val="92 /120"/>
            <filter val="120 / 140 / 240 / 280 / 240 + 280 / 2 x 280 / 3 x 280"/>
            <filter val="120 / 140 / 240"/>
            <filter val="92 / 120"/>
            <filter val="140"/>
            <filter val="120 / 140 / 240 / 280 /w AIO top hat"/>
            <filter val="120"/>
            <filter val="120 / 140 / 200"/>
            <filter val="120 / 140 / 240 / 280 / 360"/>
            <filter val="120 / 240 / 2 x 240"/>
            <filter val="120 / 240"/>
            <filter val="120 / 140"/>
            <filter val="120 / 240 /w L top hat"/>
            <filter val="240 / 280 /w large hat"/>
            <filter val="120 / 2 x 120"/>
          </filters>
        </filterColumn>
      </autoFilter>
    </customSheetView>
    <customSheetView guid="{45ECD915-252B-42EC-8227-F70214CF4F09}" filter="1" showAutoFilter="1">
      <autoFilter ref="$A$1:$AP$422">
        <sortState ref="A1:AP422">
          <sortCondition descending="1" ref="AP1:AP422"/>
        </sortState>
      </autoFilter>
    </customSheetView>
    <customSheetView guid="{ECC3305A-2B0E-4350-A9A4-E0400E210C2A}" filter="1" showAutoFilter="1">
      <autoFilter ref="$A$1:$AP$435">
        <filterColumn colId="16">
          <customFilters>
            <customFilter operator="greaterThanOrEqual" val="45"/>
          </customFilters>
        </filterColumn>
        <sortState ref="A1:AP435">
          <sortCondition ref="G1:G435"/>
        </sortState>
      </autoFilter>
    </customSheetView>
    <customSheetView guid="{C7AA6BBB-15F6-4206-AB68-B255A886B380}" filter="1" showAutoFilter="1">
      <autoFilter ref="$A$1:$AP$435">
        <filterColumn colId="2">
          <filters blank="1">
            <filter val="Console"/>
          </filters>
        </filterColumn>
      </autoFilter>
    </customSheetView>
    <customSheetView guid="{B0E5F60A-CBB1-43C5-9210-ED55E938503D}" filter="1" showAutoFilter="1">
      <autoFilter ref="$A$1:$AP$435">
        <filterColumn colId="20">
          <filters blank="1">
            <filter val="Flex ATX / 1U"/>
            <filter val="1U"/>
            <filter val="Flex ATX"/>
            <filter val="Flex ATX / SFX / SFX-L"/>
            <filter val="DC-ATX / Flex ATX"/>
            <filter val="Flex ATX / SFX / SFX-L / ATX"/>
            <filter val="DC-ATX / Flex ATX / SFX / ATX"/>
            <filter val="Flex ATX / SFX"/>
          </filters>
        </filterColumn>
      </autoFilter>
    </customSheetView>
    <customSheetView guid="{7C5C71AA-26D2-4268-85C6-0349FEE33C6D}" filter="1" showAutoFilter="1">
      <autoFilter ref="$A$1:$AP$435">
        <filterColumn colId="22">
          <filters blank="1">
            <filter val="0 to 6"/>
            <filter val="0 to 5"/>
            <filter val="0 to 7"/>
            <filter val="1 to 2"/>
            <filter val="1 to 3"/>
            <filter val="1"/>
            <filter val="2"/>
            <filter val="3"/>
            <filter val="4"/>
            <filter val="5"/>
            <filter val="2 to 5"/>
            <filter val="6"/>
            <filter val="2 to 3"/>
            <filter val="8"/>
            <filter val="9"/>
            <filter val="0 to 2"/>
            <filter val="0 to 1"/>
            <filter val="0 to 4"/>
            <filter val="0 to 3"/>
          </filters>
        </filterColumn>
      </autoFilter>
    </customSheetView>
    <customSheetView guid="{7FF0FC83-E9C3-4BCE-A08B-F9686655C4B2}" filter="1" showAutoFilter="1">
      <autoFilter ref="$A$1:$AP$435">
        <filterColumn colId="20">
          <filters blank="1">
            <filter val="SFX / SFX-L"/>
            <filter val="SFX / SFX-L / ATX"/>
            <filter val="SFX"/>
            <filter val="DC-ATX / SFX / SFX-L"/>
            <filter val="Flex ATX / SFX / SFX-L"/>
            <filter val="Flex ATX / SFX / SFX-L / ATX"/>
            <filter val="DC-ATX / Flex ATX / SFX / ATX"/>
            <filter val="SFX / ATX"/>
            <filter val="Flex ATX / SFX"/>
          </filters>
        </filterColumn>
      </autoFilter>
    </customSheetView>
    <customSheetView guid="{28C3112D-2CD6-440B-BC19-0A060A536CDB}" filter="1" showAutoFilter="1">
      <autoFilter ref="$A$1:$AP$435">
        <filterColumn colId="23">
          <filters blank="1">
            <filter val="1"/>
            <filter val="0 to 1 (Slot)"/>
            <filter val="1 (Slim)"/>
            <filter val="1 (Slot)"/>
            <filter val="0 to 1 (Slim)"/>
            <filter val="0 to 1"/>
          </filters>
        </filterColumn>
      </autoFilter>
    </customSheetView>
    <customSheetView guid="{ABF8B830-2BA9-4A62-A609-3F1E063D1EE0}" filter="1" showAutoFilter="1">
      <autoFilter ref="$A$1:$AP$435">
        <filterColumn colId="20">
          <filters>
            <filter val="SFX / SFX-L / ATX"/>
            <filter val="ATX"/>
            <filter val="Flex ATX / SFX / SFX-L / ATX"/>
            <filter val="DC-ATX / Flex ATX / SFX / ATX"/>
            <filter val="SFX / ATX"/>
          </filters>
        </filterColumn>
      </autoFilter>
    </customSheetView>
    <customSheetView guid="{08559E5C-8D61-4E9F-89F9-351862163AA1}" filter="1" showAutoFilter="1">
      <autoFilter ref="$A$1:$AK$435"/>
    </customSheetView>
    <customSheetView guid="{48ACB338-AEF2-4CEA-A478-03DC5A51C0A7}" filter="1" showAutoFilter="1">
      <autoFilter ref="$A$1:$AP$435">
        <sortState ref="A1:AP435">
          <sortCondition ref="L1:L435"/>
        </sortState>
      </autoFilter>
    </customSheetView>
    <customSheetView guid="{D6F75E10-0D2A-4FD9-964F-8A11EEFA879B}" filter="1" showAutoFilter="1">
      <autoFilter ref="$A$1:$AP$435">
        <filterColumn colId="2">
          <filters blank="1">
            <filter val="Classic"/>
          </filters>
        </filterColumn>
      </autoFilter>
    </customSheetView>
    <customSheetView guid="{CDD9237C-13C3-4F3F-8D7B-B6AA897D820D}" filter="1" showAutoFilter="1">
      <autoFilter ref="$A$1:$AP$435">
        <filterColumn colId="2">
          <filters blank="1">
            <filter val="Sandwich"/>
          </filters>
        </filterColumn>
      </autoFilter>
    </customSheetView>
    <customSheetView guid="{9985519A-4597-48DE-9723-C221FE8383EA}" filter="1" showAutoFilter="1">
      <autoFilter ref="$A$1:$AP$435">
        <sortState ref="A1:AP435">
          <sortCondition ref="AL1:AL435"/>
        </sortState>
      </autoFilter>
    </customSheetView>
    <customSheetView guid="{81DD85A5-2E82-48BA-B9ED-4F36F72F5E64}" filter="1" showAutoFilter="1">
      <autoFilter ref="$A$1:$AP$435">
        <filterColumn colId="0">
          <colorFilter dxfId="1"/>
        </filterColumn>
      </autoFilter>
    </customSheetView>
    <customSheetView guid="{88FC762E-79C0-4110-B706-61516F679340}" filter="1" showAutoFilter="1">
      <autoFilter ref="$A$1:$AP$435">
        <filterColumn colId="2">
          <filters blank="1">
            <filter val="NAS"/>
          </filters>
        </filterColumn>
      </autoFilter>
    </customSheetView>
    <customSheetView guid="{B152A8EF-5B19-461B-A4DF-BD42DF2C558C}" filter="1" showAutoFilter="1">
      <autoFilter ref="$A$1:$AP$435">
        <sortState ref="A1:AP435">
          <sortCondition ref="O1:O435"/>
        </sortState>
      </autoFilter>
    </customSheetView>
    <customSheetView guid="{234F1DF1-E232-487E-B11C-9FE2199D5CFE}" filter="1" showAutoFilter="1">
      <autoFilter ref="$A$1:$AP$435"/>
    </customSheetView>
    <customSheetView guid="{A91DB93D-9B38-4E6B-AA5F-880AA2CC318C}" filter="1" showAutoFilter="1">
      <autoFilter ref="$A$1:$AP$435">
        <filterColumn colId="17">
          <filters blank="1">
            <filter val="1 or 3"/>
            <filter val="2"/>
            <filter val="6"/>
            <filter val="7"/>
            <filter val="8"/>
            <filter val="Open"/>
          </filters>
        </filterColumn>
      </autoFilter>
    </customSheetView>
    <customSheetView guid="{AF965720-BBF9-45B6-9F3C-EA0AAF9F7D06}" filter="1" showAutoFilter="1">
      <autoFilter ref="$A$1:$AP$435">
        <filterColumn colId="2">
          <filters blank="1"/>
        </filterColumn>
      </autoFilter>
    </customSheetView>
    <customSheetView guid="{FB48EA26-B7D2-4210-A00C-9A2FAB89C010}" filter="1" showAutoFilter="1">
      <autoFilter ref="$A$1:$AP$435">
        <filterColumn colId="17">
          <filters blank="1">
            <filter val="1 or 3"/>
            <filter val="3"/>
            <filter val="4"/>
            <filter val="5"/>
            <filter val="6"/>
            <filter val="7"/>
            <filter val="8"/>
            <filter val="Open"/>
          </filters>
        </filterColumn>
      </autoFilter>
    </customSheetView>
    <customSheetView guid="{F1A7CD4E-438F-44EC-8840-87ADAE74067A}" filter="1" showAutoFilter="1">
      <autoFilter ref="$A$1:$AP$435">
        <filterColumn colId="19">
          <filters blank="1">
            <filter val="mITX / mATX (235x190)"/>
            <filter val="mITX / mATX / ATX / E-ATX (310x270)"/>
            <filter val="mITX / mATX (236x230)"/>
            <filter val="mITX / mDTX / mATX / ATX"/>
            <filter val="mITX / mDTX / mATX / ATX / E-ATX (305x275)"/>
            <filter val="mITX / mATX / ATX"/>
            <filter val="mITX / mDTX / mATX / ATX / E-ATX (305x280)"/>
            <filter val="mITX / mATX (244x180)"/>
          </filters>
        </filterColumn>
      </autoFilter>
    </customSheetView>
    <customSheetView guid="{E767646A-A628-4CC0-B9D7-9609FF37CE35}" filter="1" showAutoFilter="1">
      <autoFilter ref="$A$1:$AP$435">
        <filterColumn colId="18">
          <filters blank="1">
            <filter val="1"/>
            <filter val="2"/>
            <filter val="3"/>
            <filter val="4"/>
            <filter val="1 or 7"/>
          </filters>
        </filterColumn>
      </autoFilter>
    </customSheetView>
    <customSheetView guid="{61FEFDD9-F7E8-4415-9F6B-976341A7522D}" filter="1" showAutoFilter="1">
      <autoFilter ref="$A$1:$AP$435">
        <filterColumn colId="0">
          <filters>
            <filter val="Deng Studio"/>
            <filter val="魔神科技电脑机箱城"/>
            <filter val="酷酷的小机箱"/>
            <filter val="CNCAXE"/>
            <filter val="九品创客"/>
            <filter val="深圳好玩数码"/>
            <filter val="机械库"/>
            <filter val="翼王的藏宝阁"/>
            <filter val="Mechanic Master"/>
            <filter val="GEEEK机箱"/>
            <filter val="Shiny Snake"/>
            <filter val="Warhead Design"/>
            <filter val="HZ MOD"/>
            <filter val="所及上品 电脑配件 臻"/>
            <filter val="Seven.CME"/>
            <filter val="野望嚴選 企業店"/>
            <filter val="渝岸机箱"/>
            <filter val="龙猫定制"/>
            <filter val="Sunmilo Studio"/>
            <filter val="SeaDamaged"/>
            <filter val="ZZAW"/>
            <filter val="SGPC"/>
            <filter val="MPCG"/>
            <filter val="SIXGE Case"/>
            <filter val="Dark Energy Studio"/>
            <filter val="浪险电竞装机馆"/>
            <filter val="CASELAIR"/>
            <filter val="Small Case"/>
            <filter val="白菜哥的itx小店"/>
            <filter val="Archon定制主机"/>
            <filter val="YTC"/>
            <filter val="Sirius Case / 天狼星机箱"/>
            <filter val="深蓝SL"/>
            <filter val="POLARCASE"/>
            <filter val="Critical"/>
            <filter val="BRZHiFi"/>
            <filter val="Dream Case"/>
            <filter val="笨牛机箱"/>
            <filter val="Kyle's Studio"/>
            <filter val="Cemo / 佑泽企业店"/>
            <filter val="Galaxy Studios"/>
            <filter val="Captain S."/>
            <filter val="Fire create 火联智造"/>
            <filter val="WDEAN DORA"/>
            <filter val="Ultra Civilz"/>
            <filter val="INDESIGN STUDIO"/>
            <filter val="酷冷魔神"/>
            <filter val="Goldenfield/金河田"/>
            <filter val="极致猫电子"/>
            <filter val="臻致设计的工业与艺术"/>
            <filter val="电竞艾派官方店"/>
            <filter val="Metalfish"/>
            <filter val="托马霍克数码专营店"/>
            <filter val="AKLLA"/>
            <filter val="SKTC"/>
            <filter val="GJ"/>
            <filter val="爱国者DIY京东自营官方旗舰店"/>
            <filter val="兆方数码专营店"/>
            <filter val="LZmod"/>
            <filter val="Acat机箱"/>
            <filter val="柏越科技"/>
            <filter val="至尊地带旗舰店"/>
          </filters>
        </filterColumn>
      </autoFilter>
    </customSheetView>
    <customSheetView guid="{95B6A7BE-A6BB-4946-92BF-A852DAF0DC4C}" filter="1" showAutoFilter="1">
      <autoFilter ref="$A$1:$AP$435">
        <sortState ref="A1:AP435">
          <sortCondition ref="A1:A435"/>
          <sortCondition ref="B1:B435"/>
        </sortState>
      </autoFilter>
    </customSheetView>
    <customSheetView guid="{82CCCB4E-F596-49FC-A800-37DE1380F4DB}" filter="1" showAutoFilter="1">
      <autoFilter ref="$A$1:$AP$435">
        <filterColumn colId="19">
          <filters blank="1">
            <filter val="mITX / mATX (226x186)"/>
            <filter val="mITX / mATX (244x226)"/>
            <filter val="mITX / mATX (245x215)"/>
            <filter val="mITX / mATX (235x190)"/>
            <filter val="mITX / mATX (226x186/230x200)"/>
            <filter val="mITX / mDTX / mATX (226x244)"/>
            <filter val="mITX / mATX / ATX / E-ATX (310x270)"/>
            <filter val="mITX / mATX (226x180)"/>
            <filter val="mITX / mATX (225x175)"/>
            <filter val="mITX / mATX (236x230)"/>
            <filter val="mITX / mATX (244x195)"/>
            <filter val="mITX / mDTX / mATX / ATX"/>
            <filter val="mITX / mDTX / mATX / ATX / E-ATX (305x275)"/>
            <filter val="mITX / mDTX / mATX (244x170)"/>
            <filter val="mITX / mATX (226x175)"/>
            <filter val="mITX / mATX (245x220)"/>
            <filter val="mITX / mATX (240x195)"/>
            <filter val="mITX / mATX (226x186/230x201)"/>
            <filter val="mITX / mATX (225x205)"/>
            <filter val="mITX / mATX"/>
            <filter val="mITX / mATX / ATX"/>
            <filter val="mITX / mDTX / mATX / ATX / E-ATX (305x280)"/>
            <filter val="mITX / mATX (244x180)"/>
            <filter val="mITX / mDTX / mATX"/>
            <filter val="mITX / mATX (230x205)"/>
          </filters>
        </filterColumn>
      </autoFilter>
    </customSheetView>
    <customSheetView guid="{61CD0F28-96E8-474C-ABBF-9901ED68A1BC}" filter="1" showAutoFilter="1">
      <autoFilter ref="$A$1:$AP$435">
        <filterColumn colId="2">
          <filters blank="1">
            <filter val="Open"/>
          </filters>
        </filterColumn>
      </autoFilter>
    </customSheetView>
  </customSheetViews>
  <conditionalFormatting sqref="G2:G422">
    <cfRule type="colorScale" priority="1">
      <colorScale>
        <cfvo type="min"/>
        <cfvo type="percentile" val="50"/>
        <cfvo type="max"/>
        <color rgb="FF57BB8A"/>
        <color rgb="FFFFD666"/>
        <color rgb="FFE67C73"/>
      </colorScale>
    </cfRule>
  </conditionalFormatting>
  <conditionalFormatting sqref="H2:H422">
    <cfRule type="colorScale" priority="2">
      <colorScale>
        <cfvo type="min"/>
        <cfvo type="percentile" val="50"/>
        <cfvo type="max"/>
        <color rgb="FF57BB8A"/>
        <color rgb="FFFFD666"/>
        <color rgb="FFE67C73"/>
      </colorScale>
    </cfRule>
  </conditionalFormatting>
  <conditionalFormatting sqref="L2:L422">
    <cfRule type="colorScale" priority="3">
      <colorScale>
        <cfvo type="formula" val="30"/>
        <cfvo type="formula" val="135"/>
        <cfvo type="formula" val="165"/>
        <color rgb="FFE67C73"/>
        <color rgb="FFFFD666"/>
        <color rgb="FF57BB8A"/>
      </colorScale>
    </cfRule>
  </conditionalFormatting>
  <conditionalFormatting sqref="O2:O422">
    <cfRule type="colorScale" priority="4">
      <colorScale>
        <cfvo type="formula" val="170"/>
        <cfvo type="formula" val="270"/>
        <cfvo type="formula" val="350"/>
        <color rgb="FFE67C73"/>
        <color rgb="FFFFD666"/>
        <color rgb="FF57BB8A"/>
      </colorScale>
    </cfRule>
  </conditionalFormatting>
  <conditionalFormatting sqref="P2:P422">
    <cfRule type="colorScale" priority="5">
      <colorScale>
        <cfvo type="min"/>
        <cfvo type="percentile" val="50"/>
        <cfvo type="max"/>
        <color rgb="FFE67C73"/>
        <color rgb="FFFFD666"/>
        <color rgb="FF57BB8A"/>
      </colorScale>
    </cfRule>
  </conditionalFormatting>
  <conditionalFormatting sqref="Q2:Q422">
    <cfRule type="colorScale" priority="6">
      <colorScale>
        <cfvo type="formula" val="20"/>
        <cfvo type="formula" val="40"/>
        <cfvo type="formula" val="60"/>
        <color rgb="FFE67C73"/>
        <color rgb="FFFFD666"/>
        <color rgb="FF57BB8A"/>
      </colorScale>
    </cfRule>
  </conditionalFormatting>
  <conditionalFormatting sqref="R2:S422">
    <cfRule type="colorScale" priority="7">
      <colorScale>
        <cfvo type="min"/>
        <cfvo type="percentile" val="50"/>
        <cfvo type="max"/>
        <color rgb="FFE67C73"/>
        <color rgb="FFFFD666"/>
        <color rgb="FF57BB8A"/>
      </colorScale>
    </cfRule>
  </conditionalFormatting>
  <conditionalFormatting sqref="AK2:AK422">
    <cfRule type="colorScale" priority="8">
      <colorScale>
        <cfvo type="min"/>
        <cfvo type="percentile" val="50"/>
        <cfvo type="max"/>
        <color rgb="FF57BB8A"/>
        <color rgb="FFFFD666"/>
        <color rgb="FFE67C73"/>
      </colorScale>
    </cfRule>
  </conditionalFormatting>
  <conditionalFormatting sqref="AL2:AL422">
    <cfRule type="colorScale" priority="9">
      <colorScale>
        <cfvo type="min"/>
        <cfvo type="percentile" val="50"/>
        <cfvo type="max"/>
        <color rgb="FF57BB8A"/>
        <color rgb="FFFFD666"/>
        <color rgb="FFE67C73"/>
      </colorScale>
    </cfRule>
  </conditionalFormatting>
  <conditionalFormatting sqref="I2:I422">
    <cfRule type="colorScale" priority="10">
      <colorScale>
        <cfvo type="min"/>
        <cfvo type="percentile" val="50"/>
        <cfvo type="formula" val="6"/>
        <color rgb="FF57BB8A"/>
        <color rgb="FFFFD666"/>
        <color rgb="FFE67C73"/>
      </colorScale>
    </cfRule>
  </conditionalFormatting>
  <conditionalFormatting sqref="N2:N422">
    <cfRule type="cellIs" dxfId="3" priority="11" operator="equal">
      <formula>"Y"</formula>
    </cfRule>
  </conditionalFormatting>
  <conditionalFormatting sqref="AJ2:AJ422">
    <cfRule type="cellIs" dxfId="3" priority="12" operator="equal">
      <formula>"Y"</formula>
    </cfRule>
  </conditionalFormatting>
  <hyperlinks>
    <hyperlink r:id="rId2" ref="A2"/>
    <hyperlink r:id="rId3" ref="B3"/>
    <hyperlink r:id="rId4" ref="A4"/>
    <hyperlink r:id="rId5" ref="B4"/>
    <hyperlink r:id="rId6" ref="B5"/>
    <hyperlink r:id="rId7" ref="AM5"/>
    <hyperlink r:id="rId8" ref="AN5"/>
    <hyperlink r:id="rId9" ref="B6"/>
    <hyperlink r:id="rId10" ref="AN7"/>
    <hyperlink r:id="rId11" ref="A8"/>
    <hyperlink r:id="rId12" ref="A13"/>
    <hyperlink r:id="rId13" ref="B13"/>
    <hyperlink r:id="rId14" ref="AN13"/>
    <hyperlink r:id="rId15" ref="B14"/>
    <hyperlink r:id="rId16" ref="A15"/>
    <hyperlink r:id="rId17" ref="B15"/>
    <hyperlink r:id="rId18" ref="A17"/>
    <hyperlink r:id="rId19" ref="B17"/>
    <hyperlink r:id="rId20" ref="A19"/>
    <hyperlink r:id="rId21" ref="A20"/>
    <hyperlink r:id="rId22" ref="A21"/>
    <hyperlink r:id="rId23" ref="B22"/>
    <hyperlink r:id="rId24" ref="B23"/>
    <hyperlink r:id="rId25" ref="AM23"/>
    <hyperlink r:id="rId26" ref="B27"/>
    <hyperlink r:id="rId27" ref="B28"/>
    <hyperlink r:id="rId28" ref="A32"/>
    <hyperlink r:id="rId29" ref="B32"/>
    <hyperlink r:id="rId30" ref="A33"/>
    <hyperlink r:id="rId31" ref="A34"/>
    <hyperlink r:id="rId32" ref="B34"/>
    <hyperlink r:id="rId33" ref="A36"/>
    <hyperlink r:id="rId34" ref="B36"/>
    <hyperlink r:id="rId35" ref="A37"/>
    <hyperlink r:id="rId36" ref="B37"/>
    <hyperlink r:id="rId37" ref="A38"/>
    <hyperlink r:id="rId38" ref="B38"/>
    <hyperlink r:id="rId39" ref="AM38"/>
    <hyperlink r:id="rId40" ref="A39"/>
    <hyperlink r:id="rId41" ref="B39"/>
    <hyperlink r:id="rId42" ref="AM39"/>
    <hyperlink r:id="rId43" ref="A40"/>
    <hyperlink r:id="rId44" ref="B40"/>
    <hyperlink r:id="rId45" ref="B42"/>
    <hyperlink r:id="rId46" ref="B43"/>
    <hyperlink r:id="rId47" ref="A45"/>
    <hyperlink r:id="rId48" ref="B48"/>
    <hyperlink r:id="rId49" ref="A49"/>
    <hyperlink r:id="rId50" ref="B49"/>
    <hyperlink r:id="rId51" ref="AM49"/>
    <hyperlink r:id="rId52" ref="A51"/>
    <hyperlink r:id="rId53" ref="A52"/>
    <hyperlink r:id="rId54" ref="B52"/>
    <hyperlink r:id="rId55" ref="B54"/>
    <hyperlink r:id="rId56" ref="B56"/>
    <hyperlink r:id="rId57" ref="AM56"/>
    <hyperlink r:id="rId58" ref="AN56"/>
    <hyperlink r:id="rId59" ref="A57"/>
    <hyperlink r:id="rId60" ref="A58"/>
    <hyperlink r:id="rId61" ref="B63"/>
    <hyperlink r:id="rId62" ref="AN63"/>
    <hyperlink r:id="rId63" ref="B64"/>
    <hyperlink r:id="rId64" ref="AN64"/>
    <hyperlink r:id="rId65" ref="A65"/>
    <hyperlink r:id="rId66" ref="A66"/>
    <hyperlink r:id="rId67" ref="B66"/>
    <hyperlink r:id="rId68" ref="B68"/>
    <hyperlink r:id="rId69" ref="B70"/>
    <hyperlink r:id="rId70" ref="AN70"/>
    <hyperlink r:id="rId71" ref="B72"/>
    <hyperlink r:id="rId72" ref="B73"/>
    <hyperlink r:id="rId73" ref="B77"/>
    <hyperlink r:id="rId74" ref="AN77"/>
    <hyperlink r:id="rId75" ref="AN79"/>
    <hyperlink r:id="rId76" ref="A80"/>
    <hyperlink r:id="rId77" ref="B80"/>
    <hyperlink r:id="rId78" ref="B82"/>
    <hyperlink r:id="rId79" ref="B83"/>
    <hyperlink r:id="rId80" ref="A84"/>
    <hyperlink r:id="rId81" ref="B84"/>
    <hyperlink r:id="rId82" ref="AM84"/>
    <hyperlink r:id="rId83" ref="A85"/>
    <hyperlink r:id="rId84" ref="B86"/>
    <hyperlink r:id="rId85" ref="AN86"/>
    <hyperlink r:id="rId86" ref="A88"/>
    <hyperlink r:id="rId87" ref="A89"/>
    <hyperlink r:id="rId88" ref="B90"/>
    <hyperlink r:id="rId89" ref="A92"/>
    <hyperlink r:id="rId90" ref="B95"/>
    <hyperlink r:id="rId91" ref="B96"/>
    <hyperlink r:id="rId92" ref="B99"/>
    <hyperlink r:id="rId93" ref="B100"/>
    <hyperlink r:id="rId94" ref="A101"/>
    <hyperlink r:id="rId95" ref="A103"/>
    <hyperlink r:id="rId96" ref="B103"/>
    <hyperlink r:id="rId97" ref="A105"/>
    <hyperlink r:id="rId98" ref="B105"/>
    <hyperlink r:id="rId99" ref="A107"/>
    <hyperlink r:id="rId100" ref="AN107"/>
    <hyperlink r:id="rId101" ref="B108"/>
    <hyperlink r:id="rId102" ref="A109"/>
    <hyperlink r:id="rId103" ref="B109"/>
    <hyperlink r:id="rId104" ref="A110"/>
    <hyperlink r:id="rId105" ref="AM110"/>
    <hyperlink r:id="rId106" ref="A111"/>
    <hyperlink r:id="rId107" ref="B111"/>
    <hyperlink r:id="rId108" location="none" ref="B114"/>
    <hyperlink r:id="rId109" ref="A115"/>
    <hyperlink r:id="rId110" ref="B115"/>
    <hyperlink r:id="rId111" ref="B123"/>
    <hyperlink r:id="rId112" ref="A124"/>
    <hyperlink r:id="rId113" ref="B124"/>
    <hyperlink r:id="rId114" ref="B125"/>
    <hyperlink r:id="rId115" ref="A128"/>
    <hyperlink r:id="rId116" ref="A129"/>
    <hyperlink r:id="rId117" ref="B129"/>
    <hyperlink r:id="rId118" ref="AM129"/>
    <hyperlink r:id="rId119" ref="A130"/>
    <hyperlink r:id="rId120" ref="B133"/>
    <hyperlink r:id="rId121" ref="AN133"/>
    <hyperlink r:id="rId122" ref="A135"/>
    <hyperlink r:id="rId123" ref="B137"/>
    <hyperlink r:id="rId124" ref="A138"/>
    <hyperlink r:id="rId125" ref="B139"/>
    <hyperlink r:id="rId126" ref="A142"/>
    <hyperlink r:id="rId127" ref="A144"/>
    <hyperlink r:id="rId128" ref="B144"/>
    <hyperlink r:id="rId129" ref="B146"/>
    <hyperlink r:id="rId130" ref="AM146"/>
    <hyperlink r:id="rId131" ref="A148"/>
    <hyperlink r:id="rId132" ref="B148"/>
    <hyperlink r:id="rId133" ref="A149"/>
    <hyperlink r:id="rId134" ref="AN149"/>
    <hyperlink r:id="rId135" ref="A150"/>
    <hyperlink r:id="rId136" ref="AN150"/>
    <hyperlink r:id="rId137" ref="A152"/>
    <hyperlink r:id="rId138" ref="B152"/>
    <hyperlink r:id="rId139" ref="A154"/>
    <hyperlink r:id="rId140" ref="A155"/>
    <hyperlink r:id="rId141" ref="B155"/>
    <hyperlink r:id="rId142" ref="B156"/>
    <hyperlink r:id="rId143" ref="B157"/>
    <hyperlink r:id="rId144" ref="B159"/>
    <hyperlink r:id="rId145" ref="A162"/>
    <hyperlink r:id="rId146" ref="B162"/>
    <hyperlink r:id="rId147" ref="AN163"/>
    <hyperlink r:id="rId148" ref="B164"/>
    <hyperlink r:id="rId149" ref="A165"/>
    <hyperlink r:id="rId150" ref="A167"/>
    <hyperlink r:id="rId151" ref="A168"/>
    <hyperlink r:id="rId152" ref="AN169"/>
    <hyperlink r:id="rId153" ref="A170"/>
    <hyperlink r:id="rId154" ref="B170"/>
    <hyperlink r:id="rId155" ref="B171"/>
    <hyperlink r:id="rId156" ref="A172"/>
    <hyperlink r:id="rId157" ref="A174"/>
    <hyperlink r:id="rId158" ref="B175"/>
    <hyperlink r:id="rId159" ref="A176"/>
    <hyperlink r:id="rId160" ref="A177"/>
    <hyperlink r:id="rId161" ref="B177"/>
    <hyperlink r:id="rId162" ref="B180"/>
    <hyperlink r:id="rId163" ref="AN180"/>
    <hyperlink r:id="rId164" ref="A181"/>
    <hyperlink r:id="rId165" ref="B181"/>
    <hyperlink r:id="rId166" ref="A182"/>
    <hyperlink r:id="rId167" ref="B182"/>
    <hyperlink r:id="rId168" ref="B183"/>
    <hyperlink r:id="rId169" ref="B184"/>
    <hyperlink r:id="rId170" ref="A185"/>
    <hyperlink r:id="rId171" ref="AM185"/>
    <hyperlink r:id="rId172" ref="A188"/>
    <hyperlink r:id="rId173" ref="B188"/>
    <hyperlink r:id="rId174" ref="AN188"/>
    <hyperlink r:id="rId175" ref="B192"/>
    <hyperlink r:id="rId176" ref="B193"/>
    <hyperlink r:id="rId177" ref="B194"/>
    <hyperlink r:id="rId178" ref="A199"/>
    <hyperlink r:id="rId179" ref="A200"/>
    <hyperlink r:id="rId180" ref="B200"/>
    <hyperlink r:id="rId181" ref="A202"/>
    <hyperlink r:id="rId182" ref="B202"/>
    <hyperlink r:id="rId183" ref="B203"/>
    <hyperlink r:id="rId184" ref="A204"/>
    <hyperlink r:id="rId185" ref="B204"/>
    <hyperlink r:id="rId186" ref="B205"/>
    <hyperlink r:id="rId187" ref="A206"/>
    <hyperlink r:id="rId188" ref="A207"/>
    <hyperlink r:id="rId189" ref="AN208"/>
    <hyperlink r:id="rId190" ref="A210"/>
    <hyperlink r:id="rId191" ref="A212"/>
    <hyperlink r:id="rId192" ref="B214"/>
    <hyperlink r:id="rId193" ref="A216"/>
    <hyperlink r:id="rId194" ref="B216"/>
    <hyperlink r:id="rId195" ref="AN217"/>
    <hyperlink r:id="rId196" ref="A218"/>
    <hyperlink r:id="rId197" ref="A219"/>
    <hyperlink r:id="rId198" ref="B219"/>
    <hyperlink r:id="rId199" ref="B220"/>
    <hyperlink r:id="rId200" ref="B221"/>
    <hyperlink r:id="rId201" ref="B222"/>
    <hyperlink r:id="rId202" ref="B223"/>
    <hyperlink r:id="rId203" ref="B224"/>
    <hyperlink r:id="rId204" ref="AM224"/>
    <hyperlink r:id="rId205" ref="A226"/>
    <hyperlink r:id="rId206" ref="AN226"/>
    <hyperlink r:id="rId207" ref="A227"/>
    <hyperlink r:id="rId208" ref="AN227"/>
    <hyperlink r:id="rId209" ref="A228"/>
    <hyperlink r:id="rId210" ref="AN228"/>
    <hyperlink r:id="rId211" ref="B229"/>
    <hyperlink r:id="rId212" ref="AM229"/>
    <hyperlink r:id="rId213" ref="A230"/>
    <hyperlink r:id="rId214" ref="B230"/>
    <hyperlink r:id="rId215" ref="A231"/>
    <hyperlink r:id="rId216" ref="AN231"/>
    <hyperlink r:id="rId217" ref="A232"/>
    <hyperlink r:id="rId218" ref="AN232"/>
    <hyperlink r:id="rId219" ref="A233"/>
    <hyperlink r:id="rId220" ref="B233"/>
    <hyperlink r:id="rId221" ref="AM233"/>
    <hyperlink r:id="rId222" ref="B234"/>
    <hyperlink r:id="rId223" ref="B236"/>
    <hyperlink r:id="rId224" ref="A238"/>
    <hyperlink r:id="rId225" ref="AM238"/>
    <hyperlink r:id="rId226" ref="A239"/>
    <hyperlink r:id="rId227" ref="B239"/>
    <hyperlink r:id="rId228" ref="A240"/>
    <hyperlink r:id="rId229" ref="B240"/>
    <hyperlink r:id="rId230" ref="A241"/>
    <hyperlink r:id="rId231" ref="B241"/>
    <hyperlink r:id="rId232" ref="B243"/>
    <hyperlink r:id="rId233" ref="A245"/>
    <hyperlink r:id="rId234" ref="B245"/>
    <hyperlink r:id="rId235" ref="AM245"/>
    <hyperlink r:id="rId236" ref="A246"/>
    <hyperlink r:id="rId237" ref="B246"/>
    <hyperlink r:id="rId238" ref="B247"/>
    <hyperlink r:id="rId239" ref="B248"/>
    <hyperlink r:id="rId240" ref="A249"/>
    <hyperlink r:id="rId241" ref="B249"/>
    <hyperlink r:id="rId242" ref="A252"/>
    <hyperlink r:id="rId243" ref="AN252"/>
    <hyperlink r:id="rId244" ref="A255"/>
    <hyperlink r:id="rId245" ref="B255"/>
    <hyperlink r:id="rId246" ref="AM255"/>
    <hyperlink r:id="rId247" ref="B256"/>
    <hyperlink r:id="rId248" ref="AM256"/>
    <hyperlink r:id="rId249" ref="A257"/>
    <hyperlink r:id="rId250" ref="B257"/>
    <hyperlink r:id="rId251" ref="A258"/>
    <hyperlink r:id="rId252" ref="B258"/>
    <hyperlink r:id="rId253" ref="AM258"/>
    <hyperlink r:id="rId254" ref="A259"/>
    <hyperlink r:id="rId255" ref="A261"/>
    <hyperlink r:id="rId256" ref="B261"/>
    <hyperlink r:id="rId257" ref="A262"/>
    <hyperlink r:id="rId258" ref="A263"/>
    <hyperlink r:id="rId259" ref="B263"/>
    <hyperlink r:id="rId260" ref="A264"/>
    <hyperlink r:id="rId261" ref="B264"/>
    <hyperlink r:id="rId262" ref="A266"/>
    <hyperlink r:id="rId263" ref="A267"/>
    <hyperlink r:id="rId264" ref="B267"/>
    <hyperlink r:id="rId265" ref="A268"/>
    <hyperlink r:id="rId266" ref="B268"/>
    <hyperlink r:id="rId267" ref="A270"/>
    <hyperlink r:id="rId268" ref="B270"/>
    <hyperlink r:id="rId269" ref="A271"/>
    <hyperlink r:id="rId270" ref="B271"/>
    <hyperlink r:id="rId271" ref="B273"/>
    <hyperlink r:id="rId272" ref="AM273"/>
    <hyperlink r:id="rId273" ref="AN275"/>
    <hyperlink r:id="rId274" ref="A276"/>
    <hyperlink r:id="rId275" ref="B276"/>
    <hyperlink r:id="rId276" ref="B277"/>
    <hyperlink r:id="rId277" ref="AN277"/>
    <hyperlink r:id="rId278" ref="A278"/>
    <hyperlink r:id="rId279" ref="B278"/>
    <hyperlink r:id="rId280" ref="B279"/>
    <hyperlink r:id="rId281" ref="B280"/>
    <hyperlink r:id="rId282" ref="B281"/>
    <hyperlink r:id="rId283" ref="B282"/>
    <hyperlink r:id="rId284" ref="AM282"/>
    <hyperlink r:id="rId285" ref="B283"/>
    <hyperlink r:id="rId286" ref="AM283"/>
    <hyperlink r:id="rId287" ref="A284"/>
    <hyperlink r:id="rId288" ref="B284"/>
    <hyperlink r:id="rId289" ref="A285"/>
    <hyperlink r:id="rId290" ref="B286"/>
    <hyperlink r:id="rId291" ref="A288"/>
    <hyperlink r:id="rId292" ref="B288"/>
    <hyperlink r:id="rId293" ref="B289"/>
    <hyperlink r:id="rId294" ref="B290"/>
    <hyperlink r:id="rId295" ref="AN290"/>
    <hyperlink r:id="rId296" ref="B291"/>
    <hyperlink r:id="rId297" ref="AM291"/>
    <hyperlink r:id="rId298" ref="AN291"/>
    <hyperlink r:id="rId299" ref="B292"/>
    <hyperlink r:id="rId300" ref="B293"/>
    <hyperlink r:id="rId301" ref="A294"/>
    <hyperlink r:id="rId302" ref="B294"/>
    <hyperlink r:id="rId303" ref="B295"/>
    <hyperlink r:id="rId304" ref="B296"/>
    <hyperlink r:id="rId305" ref="B297"/>
    <hyperlink r:id="rId306" ref="A299"/>
    <hyperlink r:id="rId307" ref="B299"/>
    <hyperlink r:id="rId308" ref="A301"/>
    <hyperlink r:id="rId309" ref="B301"/>
    <hyperlink r:id="rId310" ref="A302"/>
    <hyperlink r:id="rId311" ref="B302"/>
    <hyperlink r:id="rId312" ref="A304"/>
    <hyperlink r:id="rId313" ref="B306"/>
    <hyperlink r:id="rId314" ref="B307"/>
    <hyperlink r:id="rId315" ref="AM307"/>
    <hyperlink r:id="rId316" ref="B308"/>
    <hyperlink r:id="rId317" ref="B309"/>
    <hyperlink r:id="rId318" ref="B310"/>
    <hyperlink r:id="rId319" ref="AN311"/>
    <hyperlink r:id="rId320" ref="A312"/>
    <hyperlink r:id="rId321" ref="B312"/>
    <hyperlink r:id="rId322" ref="A317"/>
    <hyperlink r:id="rId323" ref="A318"/>
    <hyperlink r:id="rId324" ref="B318"/>
    <hyperlink r:id="rId325" ref="A320"/>
    <hyperlink r:id="rId326" ref="B320"/>
    <hyperlink r:id="rId327" ref="B324"/>
    <hyperlink r:id="rId328" ref="B325"/>
    <hyperlink r:id="rId329" ref="B328"/>
    <hyperlink r:id="rId330" ref="A329"/>
    <hyperlink r:id="rId331" ref="B329"/>
    <hyperlink r:id="rId332" ref="AM329"/>
    <hyperlink r:id="rId333" ref="A331"/>
    <hyperlink r:id="rId334" ref="A333"/>
    <hyperlink r:id="rId335" ref="B333"/>
    <hyperlink r:id="rId336" ref="B334"/>
    <hyperlink r:id="rId337" ref="AN335"/>
    <hyperlink r:id="rId338" ref="A336"/>
    <hyperlink r:id="rId339" ref="B336"/>
    <hyperlink r:id="rId340" ref="B337"/>
    <hyperlink r:id="rId341" ref="B338"/>
    <hyperlink r:id="rId342" ref="A339"/>
    <hyperlink r:id="rId343" ref="B339"/>
    <hyperlink r:id="rId344" ref="A340"/>
    <hyperlink r:id="rId345" ref="B340"/>
    <hyperlink r:id="rId346" ref="A341"/>
    <hyperlink r:id="rId347" ref="B341"/>
    <hyperlink r:id="rId348" ref="A342"/>
    <hyperlink r:id="rId349" ref="A343"/>
    <hyperlink r:id="rId350" ref="B346"/>
    <hyperlink r:id="rId351" ref="A348"/>
    <hyperlink r:id="rId352" ref="B348"/>
    <hyperlink r:id="rId353" ref="A349"/>
    <hyperlink r:id="rId354" ref="B349"/>
    <hyperlink r:id="rId355" ref="A350"/>
    <hyperlink r:id="rId356" ref="B350"/>
    <hyperlink r:id="rId357" ref="A351"/>
    <hyperlink r:id="rId358" ref="A352"/>
    <hyperlink r:id="rId359" ref="B352"/>
    <hyperlink r:id="rId360" ref="B354"/>
    <hyperlink r:id="rId361" ref="B355"/>
    <hyperlink r:id="rId362" ref="B356"/>
    <hyperlink r:id="rId363" ref="A357"/>
    <hyperlink r:id="rId364" ref="AM357"/>
    <hyperlink r:id="rId365" ref="B358"/>
    <hyperlink r:id="rId366" ref="A359"/>
    <hyperlink r:id="rId367" ref="B360"/>
    <hyperlink r:id="rId368" ref="AM360"/>
    <hyperlink r:id="rId369" ref="AN361"/>
    <hyperlink r:id="rId370" ref="AN364"/>
    <hyperlink r:id="rId371" ref="B365"/>
    <hyperlink r:id="rId372" ref="AN365"/>
    <hyperlink r:id="rId373" ref="B366"/>
    <hyperlink r:id="rId374" ref="B367"/>
    <hyperlink r:id="rId375" ref="B368"/>
    <hyperlink r:id="rId376" ref="B369"/>
    <hyperlink r:id="rId377" ref="A370"/>
    <hyperlink r:id="rId378" ref="B370"/>
    <hyperlink r:id="rId379" ref="A371"/>
    <hyperlink r:id="rId380" ref="B371"/>
    <hyperlink r:id="rId381" ref="B372"/>
    <hyperlink r:id="rId382" ref="AN372"/>
    <hyperlink r:id="rId383" ref="B373"/>
    <hyperlink r:id="rId384" ref="AN373"/>
    <hyperlink r:id="rId385" ref="B374"/>
    <hyperlink r:id="rId386" ref="B375"/>
    <hyperlink r:id="rId387" ref="A376"/>
    <hyperlink r:id="rId388" ref="B376"/>
    <hyperlink r:id="rId389" ref="B377"/>
    <hyperlink r:id="rId390" ref="A378"/>
    <hyperlink r:id="rId391" ref="B378"/>
    <hyperlink r:id="rId392" ref="AN378"/>
    <hyperlink r:id="rId393" ref="A379"/>
    <hyperlink r:id="rId394" ref="B379"/>
    <hyperlink r:id="rId395" ref="A382"/>
    <hyperlink r:id="rId396" ref="B382"/>
    <hyperlink r:id="rId397" ref="B383"/>
    <hyperlink r:id="rId398" ref="A384"/>
    <hyperlink r:id="rId399" ref="A386"/>
    <hyperlink r:id="rId400" ref="AM386"/>
    <hyperlink r:id="rId401" ref="A387"/>
    <hyperlink r:id="rId402" ref="B387"/>
    <hyperlink r:id="rId403" ref="B389"/>
    <hyperlink r:id="rId404" ref="A390"/>
    <hyperlink r:id="rId405" ref="B390"/>
    <hyperlink r:id="rId406" ref="A391"/>
    <hyperlink r:id="rId407" ref="B391"/>
    <hyperlink r:id="rId408" ref="B392"/>
    <hyperlink r:id="rId409" ref="A393"/>
    <hyperlink r:id="rId410" ref="B393"/>
    <hyperlink r:id="rId411" ref="A394"/>
    <hyperlink r:id="rId412" ref="B394"/>
    <hyperlink r:id="rId413" ref="AN394"/>
    <hyperlink r:id="rId414" ref="B395"/>
    <hyperlink r:id="rId415" ref="B397"/>
    <hyperlink r:id="rId416" ref="A399"/>
    <hyperlink r:id="rId417" ref="B399"/>
    <hyperlink r:id="rId418" ref="A400"/>
    <hyperlink r:id="rId419" ref="A401"/>
    <hyperlink r:id="rId420" ref="B401"/>
    <hyperlink r:id="rId421" ref="A402"/>
    <hyperlink r:id="rId422" ref="B402"/>
    <hyperlink r:id="rId423" ref="A403"/>
    <hyperlink r:id="rId424" ref="AN404"/>
    <hyperlink r:id="rId425" ref="A405"/>
    <hyperlink r:id="rId426" ref="B405"/>
    <hyperlink r:id="rId427" ref="AN405"/>
    <hyperlink r:id="rId428" ref="B406"/>
    <hyperlink r:id="rId429" ref="B407"/>
    <hyperlink r:id="rId430" ref="A408"/>
    <hyperlink r:id="rId431" ref="B408"/>
    <hyperlink r:id="rId432" ref="AM408"/>
    <hyperlink r:id="rId433" ref="AN409"/>
    <hyperlink r:id="rId434" ref="B410"/>
    <hyperlink r:id="rId435" ref="A411"/>
    <hyperlink r:id="rId436" ref="B411"/>
    <hyperlink r:id="rId437" ref="B412"/>
    <hyperlink r:id="rId438" ref="AN412"/>
    <hyperlink r:id="rId439" ref="A413"/>
    <hyperlink r:id="rId440" ref="B413"/>
    <hyperlink r:id="rId441" ref="B414"/>
    <hyperlink r:id="rId442" ref="AM414"/>
    <hyperlink r:id="rId443" ref="A415"/>
    <hyperlink r:id="rId444" ref="B415"/>
    <hyperlink r:id="rId445" ref="AM415"/>
    <hyperlink r:id="rId446" ref="AN416"/>
    <hyperlink r:id="rId447" ref="B417"/>
    <hyperlink r:id="rId448" ref="A418"/>
    <hyperlink r:id="rId449" ref="B418"/>
    <hyperlink r:id="rId450" ref="B419"/>
    <hyperlink r:id="rId451" ref="B420"/>
    <hyperlink r:id="rId452" ref="AN420"/>
    <hyperlink r:id="rId453" ref="A421"/>
    <hyperlink r:id="rId454" ref="B422"/>
  </hyperlinks>
  <drawing r:id="rId455"/>
  <legacyDrawing r:id="rId45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4.88"/>
    <col customWidth="1" min="2" max="2" width="14.13"/>
    <col customWidth="1" min="3" max="3" width="8.0"/>
    <col customWidth="1" min="4" max="7" width="5.63"/>
    <col customWidth="1" min="8" max="8" width="6.88"/>
    <col customWidth="1" min="9" max="9" width="5.63"/>
    <col customWidth="1" min="10" max="10" width="10.0"/>
    <col customWidth="1" min="11" max="11" width="10.75"/>
    <col customWidth="1" min="12" max="12" width="7.25"/>
    <col customWidth="1" min="13" max="13" width="7.75"/>
    <col customWidth="1" min="14" max="16" width="5.63"/>
    <col customWidth="1" min="17" max="17" width="6.25"/>
    <col customWidth="1" min="18" max="19" width="5.63"/>
    <col customWidth="1" min="20" max="20" width="9.13"/>
    <col customWidth="1" min="21" max="21" width="6.63"/>
    <col customWidth="1" min="22" max="23" width="6.0"/>
    <col customWidth="1" min="24" max="24" width="6.5"/>
    <col customWidth="1" min="25" max="30" width="7.0"/>
    <col customWidth="1" min="31" max="35" width="5.63"/>
    <col customWidth="1" min="36" max="36" width="5.75"/>
    <col customWidth="1" min="37" max="37" width="7.38"/>
    <col customWidth="1" min="38" max="38" width="6.0"/>
    <col customWidth="1" min="39" max="40" width="5.63"/>
    <col customWidth="1" min="41" max="41" width="11.63"/>
    <col customWidth="1" min="42" max="42" width="12.38"/>
    <col customWidth="1" min="43" max="43" width="6.88"/>
  </cols>
  <sheetData>
    <row r="1" ht="72.75" customHeight="1">
      <c r="A1" s="32" t="s">
        <v>121</v>
      </c>
      <c r="B1" s="32" t="s">
        <v>122</v>
      </c>
      <c r="C1" s="33" t="s">
        <v>123</v>
      </c>
      <c r="D1" s="34" t="s">
        <v>124</v>
      </c>
      <c r="E1" s="34" t="s">
        <v>125</v>
      </c>
      <c r="F1" s="34" t="s">
        <v>126</v>
      </c>
      <c r="G1" s="34" t="s">
        <v>127</v>
      </c>
      <c r="H1" s="34" t="s">
        <v>128</v>
      </c>
      <c r="I1" s="34" t="s">
        <v>129</v>
      </c>
      <c r="J1" s="32" t="s">
        <v>130</v>
      </c>
      <c r="K1" s="35" t="s">
        <v>131</v>
      </c>
      <c r="L1" s="36" t="s">
        <v>132</v>
      </c>
      <c r="M1" s="37" t="s">
        <v>133</v>
      </c>
      <c r="N1" s="36" t="s">
        <v>134</v>
      </c>
      <c r="O1" s="34" t="s">
        <v>135</v>
      </c>
      <c r="P1" s="34" t="s">
        <v>136</v>
      </c>
      <c r="Q1" s="38" t="s">
        <v>137</v>
      </c>
      <c r="R1" s="34" t="s">
        <v>138</v>
      </c>
      <c r="S1" s="37" t="s">
        <v>139</v>
      </c>
      <c r="T1" s="39" t="s">
        <v>140</v>
      </c>
      <c r="U1" s="40" t="s">
        <v>42</v>
      </c>
      <c r="V1" s="36" t="s">
        <v>141</v>
      </c>
      <c r="W1" s="34" t="s">
        <v>142</v>
      </c>
      <c r="X1" s="37" t="s">
        <v>143</v>
      </c>
      <c r="Y1" s="36" t="s">
        <v>144</v>
      </c>
      <c r="Z1" s="34" t="s">
        <v>145</v>
      </c>
      <c r="AA1" s="34" t="s">
        <v>146</v>
      </c>
      <c r="AB1" s="34" t="s">
        <v>147</v>
      </c>
      <c r="AC1" s="34" t="s">
        <v>148</v>
      </c>
      <c r="AD1" s="34" t="s">
        <v>149</v>
      </c>
      <c r="AE1" s="34" t="s">
        <v>150</v>
      </c>
      <c r="AF1" s="37" t="s">
        <v>151</v>
      </c>
      <c r="AG1" s="36" t="s">
        <v>152</v>
      </c>
      <c r="AH1" s="36" t="s">
        <v>153</v>
      </c>
      <c r="AI1" s="34" t="s">
        <v>154</v>
      </c>
      <c r="AJ1" s="37" t="s">
        <v>155</v>
      </c>
      <c r="AK1" s="36" t="s">
        <v>156</v>
      </c>
      <c r="AL1" s="41" t="s">
        <v>157</v>
      </c>
      <c r="AM1" s="42" t="s">
        <v>1386</v>
      </c>
      <c r="AN1" s="43" t="s">
        <v>159</v>
      </c>
      <c r="AO1" s="44" t="s">
        <v>160</v>
      </c>
      <c r="AP1" s="44" t="s">
        <v>161</v>
      </c>
      <c r="AQ1" s="45"/>
    </row>
    <row r="2">
      <c r="A2" s="61" t="s">
        <v>1387</v>
      </c>
      <c r="B2" s="62" t="s">
        <v>1388</v>
      </c>
      <c r="C2" s="63" t="s">
        <v>262</v>
      </c>
      <c r="D2" s="48">
        <v>420.0</v>
      </c>
      <c r="E2" s="48">
        <v>152.0</v>
      </c>
      <c r="F2" s="48">
        <v>315.0</v>
      </c>
      <c r="G2" s="49">
        <f t="shared" ref="G2:G145" si="1">D2*E2*F2/1000000</f>
        <v>20.1096</v>
      </c>
      <c r="H2" s="49">
        <f t="shared" ref="H2:H145" si="2">D2*E2/100</f>
        <v>638.4</v>
      </c>
      <c r="I2" s="48">
        <v>3.25</v>
      </c>
      <c r="J2" s="48" t="s">
        <v>171</v>
      </c>
      <c r="K2" s="50" t="s">
        <v>1389</v>
      </c>
      <c r="L2" s="51">
        <v>66.0</v>
      </c>
      <c r="M2" s="50" t="s">
        <v>166</v>
      </c>
      <c r="N2" s="51" t="s">
        <v>166</v>
      </c>
      <c r="O2" s="48">
        <v>220.0</v>
      </c>
      <c r="P2" s="48">
        <v>70.0</v>
      </c>
      <c r="Q2" s="48" t="s">
        <v>166</v>
      </c>
      <c r="R2" s="48" t="s">
        <v>166</v>
      </c>
      <c r="S2" s="50">
        <v>4.0</v>
      </c>
      <c r="T2" s="52" t="s">
        <v>423</v>
      </c>
      <c r="U2" s="52" t="s">
        <v>324</v>
      </c>
      <c r="V2" s="51">
        <v>2.0</v>
      </c>
      <c r="W2" s="48">
        <v>2.0</v>
      </c>
      <c r="X2" s="50">
        <v>1.0</v>
      </c>
      <c r="Y2" s="51" t="s">
        <v>166</v>
      </c>
      <c r="Z2" s="48" t="s">
        <v>166</v>
      </c>
      <c r="AA2" s="48">
        <v>2.0</v>
      </c>
      <c r="AB2" s="48" t="s">
        <v>166</v>
      </c>
      <c r="AC2" s="48" t="s">
        <v>166</v>
      </c>
      <c r="AD2" s="48" t="s">
        <v>166</v>
      </c>
      <c r="AE2" s="48" t="s">
        <v>166</v>
      </c>
      <c r="AF2" s="50" t="s">
        <v>166</v>
      </c>
      <c r="AG2" s="51">
        <v>2.0</v>
      </c>
      <c r="AH2" s="51">
        <v>1.0</v>
      </c>
      <c r="AI2" s="48" t="s">
        <v>166</v>
      </c>
      <c r="AJ2" s="50" t="s">
        <v>174</v>
      </c>
      <c r="AK2" s="56" t="s">
        <v>166</v>
      </c>
      <c r="AL2" s="57" t="s">
        <v>170</v>
      </c>
      <c r="AM2" s="58"/>
      <c r="AN2" s="59"/>
      <c r="AO2" s="60"/>
      <c r="AP2" s="65">
        <v>45030.929985717594</v>
      </c>
      <c r="AQ2" s="66"/>
    </row>
    <row r="3">
      <c r="A3" s="61" t="s">
        <v>1390</v>
      </c>
      <c r="B3" s="62" t="s">
        <v>1391</v>
      </c>
      <c r="C3" s="63" t="s">
        <v>262</v>
      </c>
      <c r="D3" s="48">
        <v>352.0</v>
      </c>
      <c r="E3" s="48">
        <v>202.0</v>
      </c>
      <c r="F3" s="48">
        <v>285.0</v>
      </c>
      <c r="G3" s="49">
        <f t="shared" si="1"/>
        <v>20.26464</v>
      </c>
      <c r="H3" s="49">
        <f t="shared" si="2"/>
        <v>711.04</v>
      </c>
      <c r="I3" s="48" t="s">
        <v>170</v>
      </c>
      <c r="J3" s="48" t="s">
        <v>171</v>
      </c>
      <c r="K3" s="50" t="s">
        <v>171</v>
      </c>
      <c r="L3" s="51">
        <v>175.0</v>
      </c>
      <c r="M3" s="50" t="s">
        <v>1392</v>
      </c>
      <c r="N3" s="51" t="s">
        <v>166</v>
      </c>
      <c r="O3" s="48">
        <v>342.0</v>
      </c>
      <c r="P3" s="48">
        <v>180.0</v>
      </c>
      <c r="Q3" s="48">
        <v>80.0</v>
      </c>
      <c r="R3" s="48">
        <v>4.0</v>
      </c>
      <c r="S3" s="50" t="s">
        <v>166</v>
      </c>
      <c r="T3" s="52" t="s">
        <v>423</v>
      </c>
      <c r="U3" s="52" t="s">
        <v>816</v>
      </c>
      <c r="V3" s="51" t="s">
        <v>170</v>
      </c>
      <c r="W3" s="48" t="s">
        <v>170</v>
      </c>
      <c r="X3" s="50" t="s">
        <v>166</v>
      </c>
      <c r="Y3" s="51" t="s">
        <v>166</v>
      </c>
      <c r="Z3" s="48" t="s">
        <v>166</v>
      </c>
      <c r="AA3" s="48" t="s">
        <v>166</v>
      </c>
      <c r="AB3" s="48" t="s">
        <v>166</v>
      </c>
      <c r="AC3" s="48" t="s">
        <v>1045</v>
      </c>
      <c r="AD3" s="48" t="s">
        <v>682</v>
      </c>
      <c r="AE3" s="48" t="s">
        <v>166</v>
      </c>
      <c r="AF3" s="50" t="s">
        <v>166</v>
      </c>
      <c r="AG3" s="51" t="s">
        <v>166</v>
      </c>
      <c r="AH3" s="51" t="s">
        <v>166</v>
      </c>
      <c r="AI3" s="48">
        <v>1.0</v>
      </c>
      <c r="AJ3" s="50" t="s">
        <v>166</v>
      </c>
      <c r="AK3" s="56" t="s">
        <v>166</v>
      </c>
      <c r="AL3" s="57">
        <v>199.0</v>
      </c>
      <c r="AM3" s="58"/>
      <c r="AN3" s="59"/>
      <c r="AO3" s="60"/>
      <c r="AP3" s="65">
        <v>45092.42665243056</v>
      </c>
      <c r="AQ3" s="66"/>
    </row>
    <row r="4">
      <c r="A4" s="61" t="s">
        <v>1224</v>
      </c>
      <c r="B4" s="62" t="s">
        <v>1393</v>
      </c>
      <c r="C4" s="63" t="s">
        <v>262</v>
      </c>
      <c r="D4" s="48">
        <v>370.0</v>
      </c>
      <c r="E4" s="48">
        <v>186.0</v>
      </c>
      <c r="F4" s="48">
        <v>295.0</v>
      </c>
      <c r="G4" s="49">
        <f t="shared" si="1"/>
        <v>20.3019</v>
      </c>
      <c r="H4" s="49">
        <f t="shared" si="2"/>
        <v>688.2</v>
      </c>
      <c r="I4" s="48">
        <v>5.0</v>
      </c>
      <c r="J4" s="48" t="s">
        <v>597</v>
      </c>
      <c r="K4" s="50" t="s">
        <v>447</v>
      </c>
      <c r="L4" s="51">
        <v>160.0</v>
      </c>
      <c r="M4" s="50" t="s">
        <v>547</v>
      </c>
      <c r="N4" s="51" t="s">
        <v>166</v>
      </c>
      <c r="O4" s="48">
        <v>363.0</v>
      </c>
      <c r="P4" s="48">
        <v>165.0</v>
      </c>
      <c r="Q4" s="48">
        <v>80.0</v>
      </c>
      <c r="R4" s="48">
        <v>4.0</v>
      </c>
      <c r="S4" s="50" t="s">
        <v>166</v>
      </c>
      <c r="T4" s="52" t="s">
        <v>423</v>
      </c>
      <c r="U4" s="52" t="s">
        <v>599</v>
      </c>
      <c r="V4" s="51">
        <v>3.0</v>
      </c>
      <c r="W4" s="48">
        <v>1.0</v>
      </c>
      <c r="X4" s="50" t="s">
        <v>166</v>
      </c>
      <c r="Y4" s="51" t="s">
        <v>166</v>
      </c>
      <c r="Z4" s="48" t="s">
        <v>166</v>
      </c>
      <c r="AA4" s="48" t="s">
        <v>166</v>
      </c>
      <c r="AB4" s="48" t="s">
        <v>194</v>
      </c>
      <c r="AC4" s="48" t="s">
        <v>195</v>
      </c>
      <c r="AD4" s="48" t="s">
        <v>278</v>
      </c>
      <c r="AE4" s="48" t="s">
        <v>166</v>
      </c>
      <c r="AF4" s="50" t="s">
        <v>166</v>
      </c>
      <c r="AG4" s="51" t="s">
        <v>166</v>
      </c>
      <c r="AH4" s="51">
        <v>1.0</v>
      </c>
      <c r="AI4" s="48">
        <v>1.0</v>
      </c>
      <c r="AJ4" s="50" t="s">
        <v>174</v>
      </c>
      <c r="AK4" s="56" t="s">
        <v>170</v>
      </c>
      <c r="AL4" s="57" t="s">
        <v>170</v>
      </c>
      <c r="AM4" s="58"/>
      <c r="AN4" s="59"/>
      <c r="AO4" s="60"/>
      <c r="AP4" s="65">
        <v>45308.03854019676</v>
      </c>
      <c r="AQ4" s="66"/>
    </row>
    <row r="5">
      <c r="A5" s="69" t="s">
        <v>509</v>
      </c>
      <c r="B5" s="73" t="s">
        <v>1394</v>
      </c>
      <c r="C5" s="63" t="s">
        <v>262</v>
      </c>
      <c r="D5" s="48">
        <v>348.0</v>
      </c>
      <c r="E5" s="48">
        <v>187.0</v>
      </c>
      <c r="F5" s="48">
        <v>312.0</v>
      </c>
      <c r="G5" s="49">
        <f t="shared" si="1"/>
        <v>20.303712</v>
      </c>
      <c r="H5" s="49">
        <f t="shared" si="2"/>
        <v>650.76</v>
      </c>
      <c r="I5" s="48">
        <v>5.5</v>
      </c>
      <c r="J5" s="48" t="s">
        <v>597</v>
      </c>
      <c r="K5" s="50" t="s">
        <v>1109</v>
      </c>
      <c r="L5" s="51">
        <v>158.0</v>
      </c>
      <c r="M5" s="50" t="s">
        <v>825</v>
      </c>
      <c r="N5" s="51" t="s">
        <v>166</v>
      </c>
      <c r="O5" s="48">
        <v>330.0</v>
      </c>
      <c r="P5" s="48">
        <v>163.0</v>
      </c>
      <c r="Q5" s="48">
        <v>60.0</v>
      </c>
      <c r="R5" s="48">
        <v>2.0</v>
      </c>
      <c r="S5" s="50" t="s">
        <v>166</v>
      </c>
      <c r="T5" s="52" t="s">
        <v>167</v>
      </c>
      <c r="U5" s="52" t="s">
        <v>324</v>
      </c>
      <c r="V5" s="51">
        <v>4.0</v>
      </c>
      <c r="W5" s="48" t="s">
        <v>166</v>
      </c>
      <c r="X5" s="50" t="s">
        <v>166</v>
      </c>
      <c r="Y5" s="51" t="s">
        <v>166</v>
      </c>
      <c r="Z5" s="48" t="s">
        <v>166</v>
      </c>
      <c r="AA5" s="48" t="s">
        <v>166</v>
      </c>
      <c r="AB5" s="48">
        <v>2.0</v>
      </c>
      <c r="AC5" s="48" t="s">
        <v>278</v>
      </c>
      <c r="AD5" s="48" t="s">
        <v>278</v>
      </c>
      <c r="AE5" s="48" t="s">
        <v>166</v>
      </c>
      <c r="AF5" s="50" t="s">
        <v>166</v>
      </c>
      <c r="AG5" s="51" t="s">
        <v>166</v>
      </c>
      <c r="AH5" s="51">
        <v>1.0</v>
      </c>
      <c r="AI5" s="48">
        <v>1.0</v>
      </c>
      <c r="AJ5" s="50" t="s">
        <v>174</v>
      </c>
      <c r="AK5" s="56">
        <v>1799.0</v>
      </c>
      <c r="AL5" s="57">
        <f>AK5*Sheets!$E$3</f>
        <v>247.9840545</v>
      </c>
      <c r="AM5" s="68"/>
      <c r="AN5" s="70"/>
      <c r="AO5" s="71" t="s">
        <v>181</v>
      </c>
      <c r="AP5" s="72">
        <v>45071.549246319446</v>
      </c>
      <c r="AQ5" s="66"/>
    </row>
    <row r="6">
      <c r="A6" s="69" t="s">
        <v>1395</v>
      </c>
      <c r="B6" s="46" t="s">
        <v>1396</v>
      </c>
      <c r="C6" s="63" t="s">
        <v>248</v>
      </c>
      <c r="D6" s="48">
        <v>297.0</v>
      </c>
      <c r="E6" s="48">
        <v>170.0</v>
      </c>
      <c r="F6" s="48">
        <v>403.0</v>
      </c>
      <c r="G6" s="49">
        <f t="shared" si="1"/>
        <v>20.34747</v>
      </c>
      <c r="H6" s="49">
        <f t="shared" si="2"/>
        <v>504.9</v>
      </c>
      <c r="I6" s="48" t="s">
        <v>170</v>
      </c>
      <c r="J6" s="48" t="s">
        <v>164</v>
      </c>
      <c r="K6" s="50" t="s">
        <v>213</v>
      </c>
      <c r="L6" s="51">
        <v>70.0</v>
      </c>
      <c r="M6" s="50" t="s">
        <v>909</v>
      </c>
      <c r="N6" s="51" t="s">
        <v>174</v>
      </c>
      <c r="O6" s="48">
        <v>330.0</v>
      </c>
      <c r="P6" s="48" t="s">
        <v>170</v>
      </c>
      <c r="Q6" s="48">
        <v>62.0</v>
      </c>
      <c r="R6" s="48">
        <v>3.0</v>
      </c>
      <c r="S6" s="50" t="s">
        <v>166</v>
      </c>
      <c r="T6" s="52" t="s">
        <v>167</v>
      </c>
      <c r="U6" s="52" t="s">
        <v>599</v>
      </c>
      <c r="V6" s="51" t="s">
        <v>166</v>
      </c>
      <c r="W6" s="48" t="s">
        <v>166</v>
      </c>
      <c r="X6" s="50" t="s">
        <v>166</v>
      </c>
      <c r="Y6" s="51" t="s">
        <v>166</v>
      </c>
      <c r="Z6" s="48" t="s">
        <v>166</v>
      </c>
      <c r="AA6" s="48" t="s">
        <v>166</v>
      </c>
      <c r="AB6" s="48" t="s">
        <v>166</v>
      </c>
      <c r="AC6" s="48">
        <v>3.0</v>
      </c>
      <c r="AD6" s="48" t="s">
        <v>166</v>
      </c>
      <c r="AE6" s="48" t="s">
        <v>166</v>
      </c>
      <c r="AF6" s="50" t="s">
        <v>166</v>
      </c>
      <c r="AG6" s="51" t="s">
        <v>166</v>
      </c>
      <c r="AH6" s="51" t="s">
        <v>166</v>
      </c>
      <c r="AI6" s="48" t="s">
        <v>166</v>
      </c>
      <c r="AJ6" s="50" t="s">
        <v>166</v>
      </c>
      <c r="AK6" s="56">
        <v>1299.0</v>
      </c>
      <c r="AL6" s="57">
        <f>AK6*Sheets!$E$3</f>
        <v>179.0613045</v>
      </c>
      <c r="AM6" s="68"/>
      <c r="AN6" s="59"/>
      <c r="AO6" s="60"/>
      <c r="AP6" s="159"/>
      <c r="AQ6" s="66"/>
    </row>
    <row r="7">
      <c r="A7" s="69" t="s">
        <v>509</v>
      </c>
      <c r="B7" s="46" t="s">
        <v>1397</v>
      </c>
      <c r="C7" s="63" t="s">
        <v>262</v>
      </c>
      <c r="D7" s="48">
        <v>355.0</v>
      </c>
      <c r="E7" s="48">
        <v>195.0</v>
      </c>
      <c r="F7" s="48">
        <v>294.0</v>
      </c>
      <c r="G7" s="49">
        <f t="shared" si="1"/>
        <v>20.35215</v>
      </c>
      <c r="H7" s="49">
        <f t="shared" si="2"/>
        <v>692.25</v>
      </c>
      <c r="I7" s="48">
        <v>9.0</v>
      </c>
      <c r="J7" s="48" t="s">
        <v>597</v>
      </c>
      <c r="K7" s="50" t="s">
        <v>418</v>
      </c>
      <c r="L7" s="51">
        <v>165.0</v>
      </c>
      <c r="M7" s="50" t="s">
        <v>825</v>
      </c>
      <c r="N7" s="51" t="s">
        <v>166</v>
      </c>
      <c r="O7" s="48">
        <v>335.0</v>
      </c>
      <c r="P7" s="48">
        <v>170.0</v>
      </c>
      <c r="Q7" s="48">
        <v>80.0</v>
      </c>
      <c r="R7" s="48">
        <v>4.0</v>
      </c>
      <c r="S7" s="50" t="s">
        <v>166</v>
      </c>
      <c r="T7" s="52" t="s">
        <v>423</v>
      </c>
      <c r="U7" s="52" t="s">
        <v>816</v>
      </c>
      <c r="V7" s="51" t="s">
        <v>426</v>
      </c>
      <c r="W7" s="48" t="s">
        <v>194</v>
      </c>
      <c r="X7" s="50" t="s">
        <v>166</v>
      </c>
      <c r="Y7" s="51" t="s">
        <v>166</v>
      </c>
      <c r="Z7" s="48" t="s">
        <v>166</v>
      </c>
      <c r="AA7" s="48" t="s">
        <v>166</v>
      </c>
      <c r="AB7" s="48" t="s">
        <v>166</v>
      </c>
      <c r="AC7" s="48" t="s">
        <v>300</v>
      </c>
      <c r="AD7" s="48" t="s">
        <v>278</v>
      </c>
      <c r="AE7" s="48" t="s">
        <v>166</v>
      </c>
      <c r="AF7" s="50" t="s">
        <v>166</v>
      </c>
      <c r="AG7" s="51" t="s">
        <v>166</v>
      </c>
      <c r="AH7" s="51" t="s">
        <v>166</v>
      </c>
      <c r="AI7" s="48">
        <v>1.0</v>
      </c>
      <c r="AJ7" s="50" t="s">
        <v>166</v>
      </c>
      <c r="AK7" s="56">
        <v>1999.0</v>
      </c>
      <c r="AL7" s="57">
        <f>AK7*Sheets!$E$3</f>
        <v>275.5531545</v>
      </c>
      <c r="AM7" s="68"/>
      <c r="AN7" s="70"/>
      <c r="AO7" s="71"/>
      <c r="AP7" s="72">
        <v>45071.54926636574</v>
      </c>
      <c r="AQ7" s="66"/>
    </row>
    <row r="8">
      <c r="A8" s="82" t="str">
        <f>HYPERLINK("https://www.fractal-design.com/","Fractal Design")</f>
        <v>Fractal Design</v>
      </c>
      <c r="B8" s="62" t="s">
        <v>1398</v>
      </c>
      <c r="C8" s="63" t="s">
        <v>248</v>
      </c>
      <c r="D8" s="48">
        <v>212.0</v>
      </c>
      <c r="E8" s="48">
        <v>212.0</v>
      </c>
      <c r="F8" s="48">
        <v>453.0</v>
      </c>
      <c r="G8" s="49">
        <f t="shared" si="1"/>
        <v>20.359632</v>
      </c>
      <c r="H8" s="49">
        <f t="shared" si="2"/>
        <v>449.44</v>
      </c>
      <c r="I8" s="48">
        <v>4.6</v>
      </c>
      <c r="J8" s="48" t="s">
        <v>1399</v>
      </c>
      <c r="K8" s="50" t="s">
        <v>171</v>
      </c>
      <c r="L8" s="51">
        <v>114.0</v>
      </c>
      <c r="M8" s="50" t="s">
        <v>825</v>
      </c>
      <c r="N8" s="51" t="s">
        <v>174</v>
      </c>
      <c r="O8" s="48">
        <v>325.0</v>
      </c>
      <c r="P8" s="48">
        <v>158.0</v>
      </c>
      <c r="Q8" s="48">
        <v>56.0</v>
      </c>
      <c r="R8" s="48">
        <v>2.0</v>
      </c>
      <c r="S8" s="50" t="s">
        <v>166</v>
      </c>
      <c r="T8" s="52" t="s">
        <v>167</v>
      </c>
      <c r="U8" s="52" t="s">
        <v>346</v>
      </c>
      <c r="V8" s="51" t="s">
        <v>207</v>
      </c>
      <c r="W8" s="48" t="s">
        <v>194</v>
      </c>
      <c r="X8" s="50" t="s">
        <v>166</v>
      </c>
      <c r="Y8" s="51" t="s">
        <v>166</v>
      </c>
      <c r="Z8" s="48" t="s">
        <v>166</v>
      </c>
      <c r="AA8" s="48" t="s">
        <v>166</v>
      </c>
      <c r="AB8" s="48" t="s">
        <v>166</v>
      </c>
      <c r="AC8" s="48" t="s">
        <v>193</v>
      </c>
      <c r="AD8" s="48" t="s">
        <v>193</v>
      </c>
      <c r="AE8" s="48" t="s">
        <v>194</v>
      </c>
      <c r="AF8" s="50" t="s">
        <v>166</v>
      </c>
      <c r="AG8" s="51" t="s">
        <v>166</v>
      </c>
      <c r="AH8" s="51">
        <v>2.0</v>
      </c>
      <c r="AI8" s="48">
        <v>1.0</v>
      </c>
      <c r="AJ8" s="50" t="s">
        <v>174</v>
      </c>
      <c r="AK8" s="56" t="s">
        <v>166</v>
      </c>
      <c r="AL8" s="57">
        <v>150.0</v>
      </c>
      <c r="AM8" s="58"/>
      <c r="AN8" s="59"/>
      <c r="AO8" s="60"/>
      <c r="AP8" s="65">
        <v>45461.94510394676</v>
      </c>
      <c r="AQ8" s="66"/>
    </row>
    <row r="9">
      <c r="A9" s="82" t="str">
        <f>HYPERLINK("http://kolink.eu/index.html","Kolink")</f>
        <v>Kolink</v>
      </c>
      <c r="B9" s="62" t="s">
        <v>1400</v>
      </c>
      <c r="C9" s="63" t="s">
        <v>248</v>
      </c>
      <c r="D9" s="48">
        <v>212.5</v>
      </c>
      <c r="E9" s="48">
        <v>214.5</v>
      </c>
      <c r="F9" s="48">
        <v>448.5</v>
      </c>
      <c r="G9" s="49">
        <f t="shared" si="1"/>
        <v>20.44319063</v>
      </c>
      <c r="H9" s="49">
        <f t="shared" si="2"/>
        <v>455.8125</v>
      </c>
      <c r="I9" s="48">
        <v>4.45</v>
      </c>
      <c r="J9" s="48" t="s">
        <v>1401</v>
      </c>
      <c r="K9" s="50" t="s">
        <v>524</v>
      </c>
      <c r="L9" s="51">
        <v>110.0</v>
      </c>
      <c r="M9" s="50" t="s">
        <v>547</v>
      </c>
      <c r="N9" s="51" t="s">
        <v>174</v>
      </c>
      <c r="O9" s="48">
        <v>330.0</v>
      </c>
      <c r="P9" s="48" t="s">
        <v>170</v>
      </c>
      <c r="Q9" s="48">
        <v>56.0</v>
      </c>
      <c r="R9" s="48">
        <v>2.0</v>
      </c>
      <c r="S9" s="50" t="s">
        <v>166</v>
      </c>
      <c r="T9" s="52" t="s">
        <v>167</v>
      </c>
      <c r="U9" s="52" t="s">
        <v>346</v>
      </c>
      <c r="V9" s="51">
        <v>4.0</v>
      </c>
      <c r="W9" s="48" t="s">
        <v>166</v>
      </c>
      <c r="X9" s="50" t="s">
        <v>166</v>
      </c>
      <c r="Y9" s="51" t="s">
        <v>166</v>
      </c>
      <c r="Z9" s="48" t="s">
        <v>166</v>
      </c>
      <c r="AA9" s="48" t="s">
        <v>166</v>
      </c>
      <c r="AB9" s="48" t="s">
        <v>166</v>
      </c>
      <c r="AC9" s="48">
        <v>2.0</v>
      </c>
      <c r="AD9" s="48" t="s">
        <v>166</v>
      </c>
      <c r="AE9" s="48" t="s">
        <v>166</v>
      </c>
      <c r="AF9" s="50" t="s">
        <v>166</v>
      </c>
      <c r="AG9" s="51" t="s">
        <v>166</v>
      </c>
      <c r="AH9" s="51">
        <v>1.0</v>
      </c>
      <c r="AI9" s="48">
        <v>1.0</v>
      </c>
      <c r="AJ9" s="50" t="s">
        <v>166</v>
      </c>
      <c r="AK9" s="56" t="s">
        <v>166</v>
      </c>
      <c r="AL9" s="57">
        <f>170*1.12</f>
        <v>190.4</v>
      </c>
      <c r="AM9" s="58"/>
      <c r="AN9" s="59"/>
      <c r="AO9" s="60"/>
      <c r="AP9" s="65">
        <v>44524.83681037037</v>
      </c>
      <c r="AQ9" s="66"/>
    </row>
    <row r="10">
      <c r="A10" s="69" t="str">
        <f>HYPERLINK("https://sktcase.world.taobao.com/","SKTC")</f>
        <v>SKTC</v>
      </c>
      <c r="B10" s="46" t="str">
        <f>HYPERLINK("https://item.taobao.com/item.htm?id=581848214330","A03")</f>
        <v>A03</v>
      </c>
      <c r="C10" s="63" t="s">
        <v>248</v>
      </c>
      <c r="D10" s="48">
        <v>393.0</v>
      </c>
      <c r="E10" s="48">
        <v>161.0</v>
      </c>
      <c r="F10" s="48">
        <v>324.0</v>
      </c>
      <c r="G10" s="49">
        <f t="shared" si="1"/>
        <v>20.500452</v>
      </c>
      <c r="H10" s="49">
        <f t="shared" si="2"/>
        <v>632.73</v>
      </c>
      <c r="I10" s="48" t="s">
        <v>170</v>
      </c>
      <c r="J10" s="48" t="s">
        <v>245</v>
      </c>
      <c r="K10" s="50" t="s">
        <v>164</v>
      </c>
      <c r="L10" s="51">
        <v>90.0</v>
      </c>
      <c r="M10" s="50" t="s">
        <v>547</v>
      </c>
      <c r="N10" s="51" t="s">
        <v>174</v>
      </c>
      <c r="O10" s="48">
        <v>300.0</v>
      </c>
      <c r="P10" s="48" t="s">
        <v>170</v>
      </c>
      <c r="Q10" s="48">
        <v>40.0</v>
      </c>
      <c r="R10" s="48">
        <v>2.0</v>
      </c>
      <c r="S10" s="50" t="s">
        <v>166</v>
      </c>
      <c r="T10" s="52" t="s">
        <v>641</v>
      </c>
      <c r="U10" s="52" t="s">
        <v>599</v>
      </c>
      <c r="V10" s="51" t="s">
        <v>412</v>
      </c>
      <c r="W10" s="48" t="s">
        <v>194</v>
      </c>
      <c r="X10" s="50" t="s">
        <v>166</v>
      </c>
      <c r="Y10" s="51" t="s">
        <v>166</v>
      </c>
      <c r="Z10" s="48" t="s">
        <v>166</v>
      </c>
      <c r="AA10" s="48" t="s">
        <v>166</v>
      </c>
      <c r="AB10" s="48" t="s">
        <v>166</v>
      </c>
      <c r="AC10" s="48">
        <v>3.0</v>
      </c>
      <c r="AD10" s="48" t="s">
        <v>166</v>
      </c>
      <c r="AE10" s="48" t="s">
        <v>166</v>
      </c>
      <c r="AF10" s="50" t="s">
        <v>166</v>
      </c>
      <c r="AG10" s="51" t="s">
        <v>166</v>
      </c>
      <c r="AH10" s="51">
        <v>2.0</v>
      </c>
      <c r="AI10" s="48" t="s">
        <v>166</v>
      </c>
      <c r="AJ10" s="50" t="s">
        <v>174</v>
      </c>
      <c r="AK10" s="56">
        <v>399.0</v>
      </c>
      <c r="AL10" s="57">
        <f>AK10*Sheets!$E$3</f>
        <v>55.0003545</v>
      </c>
      <c r="AM10" s="68"/>
      <c r="AN10" s="59"/>
      <c r="AO10" s="60"/>
      <c r="AP10" s="159"/>
      <c r="AQ10" s="66"/>
    </row>
    <row r="11">
      <c r="A11" s="69" t="str">
        <f>HYPERLINK("https://shop34001191.world.taobao.com/","Mechanic Master")</f>
        <v>Mechanic Master</v>
      </c>
      <c r="B11" s="46" t="s">
        <v>1402</v>
      </c>
      <c r="C11" s="63" t="s">
        <v>262</v>
      </c>
      <c r="D11" s="48">
        <v>392.0</v>
      </c>
      <c r="E11" s="48">
        <v>185.0</v>
      </c>
      <c r="F11" s="48">
        <v>284.0</v>
      </c>
      <c r="G11" s="49">
        <f t="shared" si="1"/>
        <v>20.59568</v>
      </c>
      <c r="H11" s="49">
        <f t="shared" si="2"/>
        <v>725.2</v>
      </c>
      <c r="I11" s="48">
        <v>5.7</v>
      </c>
      <c r="J11" s="48" t="s">
        <v>898</v>
      </c>
      <c r="K11" s="50" t="s">
        <v>605</v>
      </c>
      <c r="L11" s="51">
        <v>162.0</v>
      </c>
      <c r="M11" s="50" t="s">
        <v>547</v>
      </c>
      <c r="N11" s="51" t="s">
        <v>166</v>
      </c>
      <c r="O11" s="48">
        <v>385.0</v>
      </c>
      <c r="P11" s="48">
        <v>167.0</v>
      </c>
      <c r="Q11" s="48">
        <v>80.0</v>
      </c>
      <c r="R11" s="48">
        <v>4.0</v>
      </c>
      <c r="S11" s="50" t="s">
        <v>166</v>
      </c>
      <c r="T11" s="52" t="s">
        <v>423</v>
      </c>
      <c r="U11" s="52" t="s">
        <v>816</v>
      </c>
      <c r="V11" s="51">
        <v>1.0</v>
      </c>
      <c r="W11" s="48" t="s">
        <v>207</v>
      </c>
      <c r="X11" s="50" t="s">
        <v>166</v>
      </c>
      <c r="Y11" s="51" t="s">
        <v>166</v>
      </c>
      <c r="Z11" s="48" t="s">
        <v>166</v>
      </c>
      <c r="AA11" s="48" t="s">
        <v>166</v>
      </c>
      <c r="AB11" s="48" t="s">
        <v>166</v>
      </c>
      <c r="AC11" s="48" t="s">
        <v>1113</v>
      </c>
      <c r="AD11" s="48" t="s">
        <v>193</v>
      </c>
      <c r="AE11" s="48" t="s">
        <v>166</v>
      </c>
      <c r="AF11" s="50" t="s">
        <v>166</v>
      </c>
      <c r="AG11" s="51" t="s">
        <v>166</v>
      </c>
      <c r="AH11" s="51">
        <v>1.0</v>
      </c>
      <c r="AI11" s="48">
        <v>1.0</v>
      </c>
      <c r="AJ11" s="50" t="s">
        <v>166</v>
      </c>
      <c r="AK11" s="56">
        <v>849.0</v>
      </c>
      <c r="AL11" s="57">
        <f>AK11*Sheets!$E$3</f>
        <v>117.0308295</v>
      </c>
      <c r="AM11" s="68"/>
      <c r="AN11" s="70"/>
      <c r="AO11" s="71"/>
      <c r="AP11" s="72">
        <v>45071.54938240741</v>
      </c>
      <c r="AQ11" s="66"/>
    </row>
    <row r="12">
      <c r="A12" s="46" t="s">
        <v>451</v>
      </c>
      <c r="B12" s="46" t="s">
        <v>1403</v>
      </c>
      <c r="C12" s="63" t="s">
        <v>262</v>
      </c>
      <c r="D12" s="48">
        <v>350.0</v>
      </c>
      <c r="E12" s="48">
        <v>190.0</v>
      </c>
      <c r="F12" s="48">
        <v>310.0</v>
      </c>
      <c r="G12" s="49">
        <f t="shared" si="1"/>
        <v>20.615</v>
      </c>
      <c r="H12" s="49">
        <f t="shared" si="2"/>
        <v>665</v>
      </c>
      <c r="I12" s="48">
        <v>3.0</v>
      </c>
      <c r="J12" s="48" t="s">
        <v>1048</v>
      </c>
      <c r="K12" s="50" t="s">
        <v>188</v>
      </c>
      <c r="L12" s="51">
        <v>165.0</v>
      </c>
      <c r="M12" s="50" t="s">
        <v>825</v>
      </c>
      <c r="N12" s="51" t="s">
        <v>166</v>
      </c>
      <c r="O12" s="48">
        <v>345.0</v>
      </c>
      <c r="P12" s="48">
        <v>170.0</v>
      </c>
      <c r="Q12" s="48">
        <v>80.0</v>
      </c>
      <c r="R12" s="48">
        <v>4.0</v>
      </c>
      <c r="S12" s="50" t="s">
        <v>166</v>
      </c>
      <c r="T12" s="52" t="s">
        <v>423</v>
      </c>
      <c r="U12" s="52" t="s">
        <v>816</v>
      </c>
      <c r="V12" s="51" t="s">
        <v>193</v>
      </c>
      <c r="W12" s="48" t="s">
        <v>193</v>
      </c>
      <c r="X12" s="50" t="s">
        <v>166</v>
      </c>
      <c r="Y12" s="51" t="s">
        <v>166</v>
      </c>
      <c r="Z12" s="48" t="s">
        <v>166</v>
      </c>
      <c r="AA12" s="48" t="s">
        <v>166</v>
      </c>
      <c r="AB12" s="48" t="s">
        <v>166</v>
      </c>
      <c r="AC12" s="48" t="s">
        <v>278</v>
      </c>
      <c r="AD12" s="48" t="s">
        <v>278</v>
      </c>
      <c r="AE12" s="48" t="s">
        <v>166</v>
      </c>
      <c r="AF12" s="50" t="s">
        <v>166</v>
      </c>
      <c r="AG12" s="51" t="s">
        <v>166</v>
      </c>
      <c r="AH12" s="51" t="s">
        <v>166</v>
      </c>
      <c r="AI12" s="48">
        <v>1.0</v>
      </c>
      <c r="AJ12" s="50" t="s">
        <v>166</v>
      </c>
      <c r="AK12" s="56">
        <v>799.0</v>
      </c>
      <c r="AL12" s="57">
        <f>AK12*Sheets!$E$3</f>
        <v>110.1385545</v>
      </c>
      <c r="AM12" s="68"/>
      <c r="AN12" s="70"/>
      <c r="AO12" s="71"/>
      <c r="AP12" s="72">
        <v>45071.54950026621</v>
      </c>
      <c r="AQ12" s="66"/>
    </row>
    <row r="13">
      <c r="A13" s="46" t="str">
        <f>HYPERLINK("https://shop309038390.world.taobao.com/","ZZAW")</f>
        <v>ZZAW</v>
      </c>
      <c r="B13" s="46" t="s">
        <v>1404</v>
      </c>
      <c r="C13" s="63" t="s">
        <v>262</v>
      </c>
      <c r="D13" s="48">
        <v>383.0</v>
      </c>
      <c r="E13" s="48">
        <v>174.0</v>
      </c>
      <c r="F13" s="48">
        <v>310.0</v>
      </c>
      <c r="G13" s="49">
        <f t="shared" si="1"/>
        <v>20.65902</v>
      </c>
      <c r="H13" s="49">
        <f t="shared" si="2"/>
        <v>666.42</v>
      </c>
      <c r="I13" s="48">
        <v>2.2</v>
      </c>
      <c r="J13" s="48" t="s">
        <v>597</v>
      </c>
      <c r="K13" s="50" t="s">
        <v>185</v>
      </c>
      <c r="L13" s="51">
        <v>136.0</v>
      </c>
      <c r="M13" s="50" t="s">
        <v>547</v>
      </c>
      <c r="N13" s="51" t="s">
        <v>166</v>
      </c>
      <c r="O13" s="48">
        <v>360.0</v>
      </c>
      <c r="P13" s="48">
        <v>141.0</v>
      </c>
      <c r="Q13" s="48">
        <v>80.0</v>
      </c>
      <c r="R13" s="48">
        <v>4.0</v>
      </c>
      <c r="S13" s="50" t="s">
        <v>166</v>
      </c>
      <c r="T13" s="52" t="s">
        <v>1102</v>
      </c>
      <c r="U13" s="52" t="s">
        <v>816</v>
      </c>
      <c r="V13" s="51">
        <v>2.0</v>
      </c>
      <c r="W13" s="48">
        <v>2.0</v>
      </c>
      <c r="X13" s="50" t="s">
        <v>166</v>
      </c>
      <c r="Y13" s="51" t="s">
        <v>166</v>
      </c>
      <c r="Z13" s="48" t="s">
        <v>166</v>
      </c>
      <c r="AA13" s="48" t="s">
        <v>166</v>
      </c>
      <c r="AB13" s="48">
        <v>2.0</v>
      </c>
      <c r="AC13" s="48">
        <v>5.0</v>
      </c>
      <c r="AD13" s="48" t="s">
        <v>166</v>
      </c>
      <c r="AE13" s="48" t="s">
        <v>166</v>
      </c>
      <c r="AF13" s="50" t="s">
        <v>166</v>
      </c>
      <c r="AG13" s="51" t="s">
        <v>166</v>
      </c>
      <c r="AH13" s="51">
        <v>1.0</v>
      </c>
      <c r="AI13" s="48">
        <v>1.0</v>
      </c>
      <c r="AJ13" s="50" t="s">
        <v>174</v>
      </c>
      <c r="AK13" s="56">
        <v>338.0</v>
      </c>
      <c r="AL13" s="57">
        <f>AK13*Sheets!$E$3</f>
        <v>46.591779</v>
      </c>
      <c r="AM13" s="68"/>
      <c r="AN13" s="70"/>
      <c r="AO13" s="71"/>
      <c r="AP13" s="72">
        <v>45071.5495921875</v>
      </c>
      <c r="AQ13" s="66"/>
    </row>
    <row r="14">
      <c r="A14" s="61" t="s">
        <v>1104</v>
      </c>
      <c r="B14" s="62" t="s">
        <v>1405</v>
      </c>
      <c r="C14" s="63" t="s">
        <v>262</v>
      </c>
      <c r="D14" s="48">
        <v>356.0</v>
      </c>
      <c r="E14" s="48">
        <v>195.0</v>
      </c>
      <c r="F14" s="48">
        <v>300.0</v>
      </c>
      <c r="G14" s="49">
        <f t="shared" si="1"/>
        <v>20.826</v>
      </c>
      <c r="H14" s="49">
        <f t="shared" si="2"/>
        <v>694.2</v>
      </c>
      <c r="I14" s="48">
        <v>5.65</v>
      </c>
      <c r="J14" s="48" t="s">
        <v>164</v>
      </c>
      <c r="K14" s="50" t="s">
        <v>1406</v>
      </c>
      <c r="L14" s="51">
        <v>165.0</v>
      </c>
      <c r="M14" s="50" t="s">
        <v>547</v>
      </c>
      <c r="N14" s="51" t="s">
        <v>166</v>
      </c>
      <c r="O14" s="48">
        <v>350.0</v>
      </c>
      <c r="P14" s="48">
        <v>170.0</v>
      </c>
      <c r="Q14" s="48">
        <v>80.0</v>
      </c>
      <c r="R14" s="48">
        <v>4.0</v>
      </c>
      <c r="S14" s="50" t="s">
        <v>166</v>
      </c>
      <c r="T14" s="52" t="s">
        <v>423</v>
      </c>
      <c r="U14" s="52" t="s">
        <v>816</v>
      </c>
      <c r="V14" s="51">
        <v>4.0</v>
      </c>
      <c r="W14" s="48">
        <v>2.0</v>
      </c>
      <c r="X14" s="50" t="s">
        <v>166</v>
      </c>
      <c r="Y14" s="51" t="s">
        <v>166</v>
      </c>
      <c r="Z14" s="48" t="s">
        <v>166</v>
      </c>
      <c r="AA14" s="48" t="s">
        <v>166</v>
      </c>
      <c r="AB14" s="48" t="s">
        <v>166</v>
      </c>
      <c r="AC14" s="48" t="s">
        <v>672</v>
      </c>
      <c r="AD14" s="48" t="s">
        <v>193</v>
      </c>
      <c r="AE14" s="48" t="s">
        <v>166</v>
      </c>
      <c r="AF14" s="50" t="s">
        <v>166</v>
      </c>
      <c r="AG14" s="51" t="s">
        <v>166</v>
      </c>
      <c r="AH14" s="51">
        <v>1.0</v>
      </c>
      <c r="AI14" s="48">
        <v>1.0</v>
      </c>
      <c r="AJ14" s="50" t="s">
        <v>174</v>
      </c>
      <c r="AK14" s="56">
        <v>649.0</v>
      </c>
      <c r="AL14" s="57">
        <v>129.99</v>
      </c>
      <c r="AM14" s="58"/>
      <c r="AN14" s="59"/>
      <c r="AO14" s="60"/>
      <c r="AP14" s="65">
        <v>45071.54964946759</v>
      </c>
      <c r="AQ14" s="66"/>
    </row>
    <row r="15">
      <c r="A15" s="82" t="str">
        <f>HYPERLINK("http://www.jonsbo.com/en/","Jonsbo")</f>
        <v>Jonsbo</v>
      </c>
      <c r="B15" s="62" t="str">
        <f>HYPERLINK("http://www.jonsbo.com/en/products/u3silver.html","U3")</f>
        <v>U3</v>
      </c>
      <c r="C15" s="63" t="s">
        <v>262</v>
      </c>
      <c r="D15" s="48">
        <v>270.0</v>
      </c>
      <c r="E15" s="48">
        <v>208.0</v>
      </c>
      <c r="F15" s="48">
        <v>372.0</v>
      </c>
      <c r="G15" s="49">
        <f t="shared" si="1"/>
        <v>20.89152</v>
      </c>
      <c r="H15" s="49">
        <f t="shared" si="2"/>
        <v>561.6</v>
      </c>
      <c r="I15" s="48">
        <v>2.5</v>
      </c>
      <c r="J15" s="48" t="s">
        <v>164</v>
      </c>
      <c r="K15" s="50" t="s">
        <v>185</v>
      </c>
      <c r="L15" s="51">
        <v>175.0</v>
      </c>
      <c r="M15" s="50">
        <v>120.0</v>
      </c>
      <c r="N15" s="51" t="s">
        <v>166</v>
      </c>
      <c r="O15" s="48">
        <v>260.0</v>
      </c>
      <c r="P15" s="48">
        <v>180.0</v>
      </c>
      <c r="Q15" s="48">
        <v>80.0</v>
      </c>
      <c r="R15" s="48">
        <v>4.0</v>
      </c>
      <c r="S15" s="50" t="s">
        <v>166</v>
      </c>
      <c r="T15" s="52" t="s">
        <v>423</v>
      </c>
      <c r="U15" s="52" t="s">
        <v>599</v>
      </c>
      <c r="V15" s="51" t="s">
        <v>193</v>
      </c>
      <c r="W15" s="48" t="s">
        <v>207</v>
      </c>
      <c r="X15" s="50" t="s">
        <v>166</v>
      </c>
      <c r="Y15" s="51" t="s">
        <v>166</v>
      </c>
      <c r="Z15" s="48" t="s">
        <v>166</v>
      </c>
      <c r="AA15" s="48" t="s">
        <v>166</v>
      </c>
      <c r="AB15" s="48" t="s">
        <v>166</v>
      </c>
      <c r="AC15" s="48">
        <v>1.0</v>
      </c>
      <c r="AD15" s="48" t="s">
        <v>166</v>
      </c>
      <c r="AE15" s="48" t="s">
        <v>166</v>
      </c>
      <c r="AF15" s="50" t="s">
        <v>166</v>
      </c>
      <c r="AG15" s="51" t="s">
        <v>166</v>
      </c>
      <c r="AH15" s="51">
        <v>2.0</v>
      </c>
      <c r="AI15" s="48" t="s">
        <v>166</v>
      </c>
      <c r="AJ15" s="50" t="s">
        <v>174</v>
      </c>
      <c r="AK15" s="56">
        <v>359.0</v>
      </c>
      <c r="AL15" s="57">
        <v>76.0</v>
      </c>
      <c r="AM15" s="58"/>
      <c r="AN15" s="59"/>
      <c r="AO15" s="60"/>
      <c r="AP15" s="65">
        <v>45071.549697083334</v>
      </c>
      <c r="AQ15" s="66"/>
    </row>
    <row r="16">
      <c r="A16" s="69" t="str">
        <f>HYPERLINK("https://metalfish.world.taobao.com/","Metalfish")</f>
        <v>Metalfish</v>
      </c>
      <c r="B16" s="46" t="s">
        <v>906</v>
      </c>
      <c r="C16" s="63" t="s">
        <v>262</v>
      </c>
      <c r="D16" s="48">
        <v>380.0</v>
      </c>
      <c r="E16" s="48">
        <v>173.0</v>
      </c>
      <c r="F16" s="48">
        <v>320.0</v>
      </c>
      <c r="G16" s="49">
        <f t="shared" si="1"/>
        <v>21.0368</v>
      </c>
      <c r="H16" s="49">
        <f t="shared" si="2"/>
        <v>657.4</v>
      </c>
      <c r="I16" s="48">
        <v>3.0</v>
      </c>
      <c r="J16" s="48" t="s">
        <v>597</v>
      </c>
      <c r="K16" s="50" t="s">
        <v>204</v>
      </c>
      <c r="L16" s="51">
        <v>150.0</v>
      </c>
      <c r="M16" s="50" t="s">
        <v>547</v>
      </c>
      <c r="N16" s="51" t="s">
        <v>166</v>
      </c>
      <c r="O16" s="48">
        <v>360.0</v>
      </c>
      <c r="P16" s="48">
        <v>155.0</v>
      </c>
      <c r="Q16" s="48">
        <v>80.0</v>
      </c>
      <c r="R16" s="48">
        <v>4.0</v>
      </c>
      <c r="S16" s="50" t="s">
        <v>166</v>
      </c>
      <c r="T16" s="52" t="s">
        <v>423</v>
      </c>
      <c r="U16" s="52" t="s">
        <v>816</v>
      </c>
      <c r="V16" s="51">
        <v>1.0</v>
      </c>
      <c r="W16" s="48" t="s">
        <v>194</v>
      </c>
      <c r="X16" s="50" t="s">
        <v>166</v>
      </c>
      <c r="Y16" s="51" t="s">
        <v>166</v>
      </c>
      <c r="Z16" s="48" t="s">
        <v>166</v>
      </c>
      <c r="AA16" s="48" t="s">
        <v>166</v>
      </c>
      <c r="AB16" s="48">
        <v>1.0</v>
      </c>
      <c r="AC16" s="48" t="s">
        <v>873</v>
      </c>
      <c r="AD16" s="48" t="s">
        <v>166</v>
      </c>
      <c r="AE16" s="48" t="s">
        <v>166</v>
      </c>
      <c r="AF16" s="50" t="s">
        <v>166</v>
      </c>
      <c r="AG16" s="51" t="s">
        <v>166</v>
      </c>
      <c r="AH16" s="51">
        <v>1.0</v>
      </c>
      <c r="AI16" s="48">
        <v>1.0</v>
      </c>
      <c r="AJ16" s="50" t="s">
        <v>174</v>
      </c>
      <c r="AK16" s="56">
        <v>279.0</v>
      </c>
      <c r="AL16" s="57">
        <f>AK16*Sheets!$E$3</f>
        <v>38.4588945</v>
      </c>
      <c r="AM16" s="68"/>
      <c r="AN16" s="70"/>
      <c r="AO16" s="71"/>
      <c r="AP16" s="72">
        <v>45071.54976599537</v>
      </c>
      <c r="AQ16" s="66"/>
    </row>
    <row r="17">
      <c r="A17" s="82" t="str">
        <f>HYPERLINK("https://cougargaming.com/","Cougar")</f>
        <v>Cougar</v>
      </c>
      <c r="B17" s="62" t="s">
        <v>1407</v>
      </c>
      <c r="C17" s="63" t="s">
        <v>248</v>
      </c>
      <c r="D17" s="48">
        <v>403.0</v>
      </c>
      <c r="E17" s="48">
        <v>175.0</v>
      </c>
      <c r="F17" s="48">
        <v>299.0</v>
      </c>
      <c r="G17" s="49">
        <f t="shared" si="1"/>
        <v>21.086975</v>
      </c>
      <c r="H17" s="49">
        <f t="shared" si="2"/>
        <v>705.25</v>
      </c>
      <c r="I17" s="48">
        <v>6.05</v>
      </c>
      <c r="J17" s="48" t="s">
        <v>164</v>
      </c>
      <c r="K17" s="50" t="s">
        <v>164</v>
      </c>
      <c r="L17" s="51">
        <v>70.0</v>
      </c>
      <c r="M17" s="50" t="s">
        <v>825</v>
      </c>
      <c r="N17" s="51" t="s">
        <v>174</v>
      </c>
      <c r="O17" s="48">
        <v>330.0</v>
      </c>
      <c r="P17" s="48" t="s">
        <v>170</v>
      </c>
      <c r="Q17" s="48">
        <v>60.0</v>
      </c>
      <c r="R17" s="48">
        <v>2.0</v>
      </c>
      <c r="S17" s="50" t="s">
        <v>166</v>
      </c>
      <c r="T17" s="52" t="s">
        <v>167</v>
      </c>
      <c r="U17" s="52" t="s">
        <v>599</v>
      </c>
      <c r="V17" s="51">
        <v>2.0</v>
      </c>
      <c r="W17" s="48" t="s">
        <v>194</v>
      </c>
      <c r="X17" s="50" t="s">
        <v>166</v>
      </c>
      <c r="Y17" s="51" t="s">
        <v>166</v>
      </c>
      <c r="Z17" s="48" t="s">
        <v>166</v>
      </c>
      <c r="AA17" s="48" t="s">
        <v>166</v>
      </c>
      <c r="AB17" s="48" t="s">
        <v>166</v>
      </c>
      <c r="AC17" s="48" t="s">
        <v>193</v>
      </c>
      <c r="AD17" s="48" t="s">
        <v>193</v>
      </c>
      <c r="AE17" s="48" t="s">
        <v>166</v>
      </c>
      <c r="AF17" s="50" t="s">
        <v>166</v>
      </c>
      <c r="AG17" s="51" t="s">
        <v>166</v>
      </c>
      <c r="AH17" s="51">
        <v>1.0</v>
      </c>
      <c r="AI17" s="48">
        <v>1.0</v>
      </c>
      <c r="AJ17" s="50" t="s">
        <v>174</v>
      </c>
      <c r="AK17" s="56" t="s">
        <v>166</v>
      </c>
      <c r="AL17" s="57">
        <v>165.0</v>
      </c>
      <c r="AM17" s="58"/>
      <c r="AN17" s="59"/>
      <c r="AO17" s="60"/>
      <c r="AP17" s="159"/>
      <c r="AQ17" s="66"/>
    </row>
    <row r="18">
      <c r="A18" s="82" t="s">
        <v>1408</v>
      </c>
      <c r="B18" s="62" t="s">
        <v>1409</v>
      </c>
      <c r="C18" s="63" t="s">
        <v>262</v>
      </c>
      <c r="D18" s="48">
        <v>396.0</v>
      </c>
      <c r="E18" s="48">
        <v>168.0</v>
      </c>
      <c r="F18" s="48">
        <v>318.0</v>
      </c>
      <c r="G18" s="49">
        <f t="shared" si="1"/>
        <v>21.155904</v>
      </c>
      <c r="H18" s="49">
        <f t="shared" si="2"/>
        <v>665.28</v>
      </c>
      <c r="I18" s="48">
        <v>4.2</v>
      </c>
      <c r="J18" s="48" t="s">
        <v>597</v>
      </c>
      <c r="K18" s="50" t="s">
        <v>1410</v>
      </c>
      <c r="L18" s="51">
        <v>138.0</v>
      </c>
      <c r="M18" s="50" t="s">
        <v>1003</v>
      </c>
      <c r="N18" s="51" t="s">
        <v>232</v>
      </c>
      <c r="O18" s="48">
        <v>336.0</v>
      </c>
      <c r="P18" s="48">
        <v>143.0</v>
      </c>
      <c r="Q18" s="48">
        <v>60.0</v>
      </c>
      <c r="R18" s="48">
        <v>6.0</v>
      </c>
      <c r="S18" s="50" t="s">
        <v>166</v>
      </c>
      <c r="T18" s="52" t="s">
        <v>167</v>
      </c>
      <c r="U18" s="52" t="s">
        <v>346</v>
      </c>
      <c r="V18" s="51">
        <v>3.0</v>
      </c>
      <c r="W18" s="48" t="s">
        <v>193</v>
      </c>
      <c r="X18" s="50" t="s">
        <v>166</v>
      </c>
      <c r="Y18" s="51" t="s">
        <v>166</v>
      </c>
      <c r="Z18" s="48" t="s">
        <v>166</v>
      </c>
      <c r="AA18" s="48">
        <v>1.0</v>
      </c>
      <c r="AB18" s="48" t="s">
        <v>166</v>
      </c>
      <c r="AC18" s="48" t="s">
        <v>568</v>
      </c>
      <c r="AD18" s="48" t="s">
        <v>166</v>
      </c>
      <c r="AE18" s="48" t="s">
        <v>166</v>
      </c>
      <c r="AF18" s="50" t="s">
        <v>166</v>
      </c>
      <c r="AG18" s="51" t="s">
        <v>166</v>
      </c>
      <c r="AH18" s="51">
        <v>2.0</v>
      </c>
      <c r="AI18" s="48" t="s">
        <v>166</v>
      </c>
      <c r="AJ18" s="50" t="s">
        <v>174</v>
      </c>
      <c r="AK18" s="56">
        <v>229.0</v>
      </c>
      <c r="AL18" s="57">
        <f>AK18*Sheets!$E$3</f>
        <v>31.5666195</v>
      </c>
      <c r="AM18" s="68"/>
      <c r="AN18" s="70"/>
      <c r="AO18" s="71"/>
      <c r="AP18" s="72">
        <v>45071.54993105324</v>
      </c>
      <c r="AQ18" s="66"/>
    </row>
    <row r="19">
      <c r="A19" s="61" t="str">
        <f>HYPERLINK("http://abkoncore.com/","ABKONCORE")</f>
        <v>ABKONCORE</v>
      </c>
      <c r="B19" s="62" t="s">
        <v>1411</v>
      </c>
      <c r="C19" s="63" t="s">
        <v>262</v>
      </c>
      <c r="D19" s="48">
        <v>315.0</v>
      </c>
      <c r="E19" s="48">
        <v>185.0</v>
      </c>
      <c r="F19" s="48">
        <v>365.0</v>
      </c>
      <c r="G19" s="49">
        <f t="shared" si="1"/>
        <v>21.270375</v>
      </c>
      <c r="H19" s="49">
        <f t="shared" si="2"/>
        <v>582.75</v>
      </c>
      <c r="I19" s="48" t="s">
        <v>170</v>
      </c>
      <c r="J19" s="48" t="s">
        <v>245</v>
      </c>
      <c r="K19" s="50" t="s">
        <v>171</v>
      </c>
      <c r="L19" s="51">
        <v>157.0</v>
      </c>
      <c r="M19" s="50" t="s">
        <v>825</v>
      </c>
      <c r="N19" s="51" t="s">
        <v>166</v>
      </c>
      <c r="O19" s="48">
        <v>310.0</v>
      </c>
      <c r="P19" s="48">
        <v>162.0</v>
      </c>
      <c r="Q19" s="48">
        <v>80.0</v>
      </c>
      <c r="R19" s="48">
        <v>4.0</v>
      </c>
      <c r="S19" s="50" t="s">
        <v>166</v>
      </c>
      <c r="T19" s="52" t="s">
        <v>423</v>
      </c>
      <c r="U19" s="52" t="s">
        <v>599</v>
      </c>
      <c r="V19" s="51">
        <v>4.0</v>
      </c>
      <c r="W19" s="48">
        <v>2.0</v>
      </c>
      <c r="X19" s="50" t="s">
        <v>166</v>
      </c>
      <c r="Y19" s="51" t="s">
        <v>166</v>
      </c>
      <c r="Z19" s="48" t="s">
        <v>166</v>
      </c>
      <c r="AA19" s="48" t="s">
        <v>166</v>
      </c>
      <c r="AB19" s="48" t="s">
        <v>166</v>
      </c>
      <c r="AC19" s="48" t="s">
        <v>300</v>
      </c>
      <c r="AD19" s="48" t="s">
        <v>278</v>
      </c>
      <c r="AE19" s="48" t="s">
        <v>166</v>
      </c>
      <c r="AF19" s="50" t="s">
        <v>166</v>
      </c>
      <c r="AG19" s="51">
        <v>2.0</v>
      </c>
      <c r="AH19" s="51">
        <v>1.0</v>
      </c>
      <c r="AI19" s="48" t="s">
        <v>166</v>
      </c>
      <c r="AJ19" s="50" t="s">
        <v>174</v>
      </c>
      <c r="AK19" s="56" t="s">
        <v>166</v>
      </c>
      <c r="AL19" s="57" t="s">
        <v>170</v>
      </c>
      <c r="AM19" s="68"/>
      <c r="AN19" s="59"/>
      <c r="AO19" s="60"/>
      <c r="AP19" s="65">
        <v>45071.54998589121</v>
      </c>
      <c r="AQ19" s="66"/>
    </row>
    <row r="20">
      <c r="A20" s="61" t="s">
        <v>209</v>
      </c>
      <c r="B20" s="62" t="str">
        <f>HYPERLINK("https://www.silverstonetek.com/product.php?pid=233&amp;area=en","GD04")</f>
        <v>GD04</v>
      </c>
      <c r="C20" s="63" t="s">
        <v>225</v>
      </c>
      <c r="D20" s="48">
        <v>323.0</v>
      </c>
      <c r="E20" s="48">
        <v>440.0</v>
      </c>
      <c r="F20" s="48">
        <v>150.0</v>
      </c>
      <c r="G20" s="49">
        <f t="shared" si="1"/>
        <v>21.318</v>
      </c>
      <c r="H20" s="49">
        <f t="shared" si="2"/>
        <v>1421.2</v>
      </c>
      <c r="I20" s="48">
        <v>5.54</v>
      </c>
      <c r="J20" s="48" t="s">
        <v>171</v>
      </c>
      <c r="K20" s="50" t="s">
        <v>1412</v>
      </c>
      <c r="L20" s="51">
        <v>120.0</v>
      </c>
      <c r="M20" s="50" t="s">
        <v>166</v>
      </c>
      <c r="N20" s="51" t="s">
        <v>166</v>
      </c>
      <c r="O20" s="48">
        <v>279.0</v>
      </c>
      <c r="P20" s="48">
        <v>124.0</v>
      </c>
      <c r="Q20" s="48">
        <v>100.0</v>
      </c>
      <c r="R20" s="48">
        <v>5.0</v>
      </c>
      <c r="S20" s="50" t="s">
        <v>166</v>
      </c>
      <c r="T20" s="52" t="s">
        <v>1102</v>
      </c>
      <c r="U20" s="52" t="s">
        <v>599</v>
      </c>
      <c r="V20" s="51" t="s">
        <v>207</v>
      </c>
      <c r="W20" s="48" t="s">
        <v>207</v>
      </c>
      <c r="X20" s="50">
        <v>1.0</v>
      </c>
      <c r="Y20" s="51" t="s">
        <v>166</v>
      </c>
      <c r="Z20" s="48" t="s">
        <v>166</v>
      </c>
      <c r="AA20" s="48" t="s">
        <v>435</v>
      </c>
      <c r="AB20" s="48" t="s">
        <v>166</v>
      </c>
      <c r="AC20" s="48" t="s">
        <v>435</v>
      </c>
      <c r="AD20" s="48" t="s">
        <v>166</v>
      </c>
      <c r="AE20" s="48" t="s">
        <v>166</v>
      </c>
      <c r="AF20" s="50" t="s">
        <v>166</v>
      </c>
      <c r="AG20" s="51" t="s">
        <v>166</v>
      </c>
      <c r="AH20" s="51">
        <v>2.0</v>
      </c>
      <c r="AI20" s="48" t="s">
        <v>166</v>
      </c>
      <c r="AJ20" s="50" t="s">
        <v>174</v>
      </c>
      <c r="AK20" s="56" t="s">
        <v>166</v>
      </c>
      <c r="AL20" s="57" t="s">
        <v>170</v>
      </c>
      <c r="AM20" s="68"/>
      <c r="AN20" s="70"/>
      <c r="AO20" s="71"/>
      <c r="AP20" s="72">
        <v>44717.937956932874</v>
      </c>
      <c r="AQ20" s="66"/>
    </row>
    <row r="21">
      <c r="A21" s="69" t="s">
        <v>445</v>
      </c>
      <c r="B21" s="73" t="s">
        <v>1413</v>
      </c>
      <c r="C21" s="63" t="s">
        <v>262</v>
      </c>
      <c r="D21" s="48">
        <v>375.0</v>
      </c>
      <c r="E21" s="48">
        <v>190.0</v>
      </c>
      <c r="F21" s="48">
        <v>300.0</v>
      </c>
      <c r="G21" s="49">
        <f t="shared" si="1"/>
        <v>21.375</v>
      </c>
      <c r="H21" s="49">
        <f t="shared" si="2"/>
        <v>712.5</v>
      </c>
      <c r="I21" s="48" t="s">
        <v>170</v>
      </c>
      <c r="J21" s="48" t="s">
        <v>336</v>
      </c>
      <c r="K21" s="50" t="s">
        <v>971</v>
      </c>
      <c r="L21" s="51">
        <v>160.0</v>
      </c>
      <c r="M21" s="50" t="s">
        <v>547</v>
      </c>
      <c r="N21" s="51" t="s">
        <v>166</v>
      </c>
      <c r="O21" s="48">
        <v>350.0</v>
      </c>
      <c r="P21" s="48">
        <v>165.0</v>
      </c>
      <c r="Q21" s="48">
        <v>80.0</v>
      </c>
      <c r="R21" s="48">
        <v>4.0</v>
      </c>
      <c r="S21" s="50" t="s">
        <v>166</v>
      </c>
      <c r="T21" s="52" t="s">
        <v>423</v>
      </c>
      <c r="U21" s="52" t="s">
        <v>816</v>
      </c>
      <c r="V21" s="51">
        <v>4.0</v>
      </c>
      <c r="W21" s="48">
        <v>1.0</v>
      </c>
      <c r="X21" s="50" t="s">
        <v>166</v>
      </c>
      <c r="Y21" s="51" t="s">
        <v>166</v>
      </c>
      <c r="Z21" s="48" t="s">
        <v>166</v>
      </c>
      <c r="AA21" s="48" t="s">
        <v>166</v>
      </c>
      <c r="AB21" s="48" t="s">
        <v>166</v>
      </c>
      <c r="AC21" s="48">
        <v>5.0</v>
      </c>
      <c r="AD21" s="48" t="s">
        <v>166</v>
      </c>
      <c r="AE21" s="48" t="s">
        <v>166</v>
      </c>
      <c r="AF21" s="50" t="s">
        <v>166</v>
      </c>
      <c r="AG21" s="51" t="s">
        <v>166</v>
      </c>
      <c r="AH21" s="51">
        <v>1.0</v>
      </c>
      <c r="AI21" s="48">
        <v>1.0</v>
      </c>
      <c r="AJ21" s="50" t="s">
        <v>166</v>
      </c>
      <c r="AK21" s="56">
        <v>199.0</v>
      </c>
      <c r="AL21" s="57">
        <f>AK21*Sheets!$E$3</f>
        <v>27.4312545</v>
      </c>
      <c r="AM21" s="68"/>
      <c r="AN21" s="70"/>
      <c r="AO21" s="71" t="s">
        <v>181</v>
      </c>
      <c r="AP21" s="72">
        <v>45446.52982784722</v>
      </c>
      <c r="AQ21" s="66"/>
    </row>
    <row r="22">
      <c r="A22" s="46" t="str">
        <f>HYPERLINK("https://shop159524301.world.taobao.com/","Warhead Design")</f>
        <v>Warhead Design</v>
      </c>
      <c r="B22" s="46" t="s">
        <v>1414</v>
      </c>
      <c r="C22" s="63" t="s">
        <v>490</v>
      </c>
      <c r="D22" s="48">
        <v>350.0</v>
      </c>
      <c r="E22" s="48">
        <v>215.0</v>
      </c>
      <c r="F22" s="48">
        <v>285.0</v>
      </c>
      <c r="G22" s="49">
        <f t="shared" si="1"/>
        <v>21.44625</v>
      </c>
      <c r="H22" s="49">
        <f t="shared" si="2"/>
        <v>752.5</v>
      </c>
      <c r="I22" s="48">
        <v>3.5</v>
      </c>
      <c r="J22" s="48" t="s">
        <v>171</v>
      </c>
      <c r="K22" s="50" t="s">
        <v>1094</v>
      </c>
      <c r="L22" s="51">
        <v>135.0</v>
      </c>
      <c r="M22" s="50" t="s">
        <v>547</v>
      </c>
      <c r="N22" s="51" t="s">
        <v>174</v>
      </c>
      <c r="O22" s="48">
        <v>330.0</v>
      </c>
      <c r="P22" s="48">
        <v>160.0</v>
      </c>
      <c r="Q22" s="48">
        <v>68.0</v>
      </c>
      <c r="R22" s="48">
        <v>2.0</v>
      </c>
      <c r="S22" s="50">
        <v>1.0</v>
      </c>
      <c r="T22" s="52" t="s">
        <v>423</v>
      </c>
      <c r="U22" s="52" t="s">
        <v>599</v>
      </c>
      <c r="V22" s="51">
        <v>2.0</v>
      </c>
      <c r="W22" s="48" t="s">
        <v>355</v>
      </c>
      <c r="X22" s="50" t="s">
        <v>166</v>
      </c>
      <c r="Y22" s="51" t="s">
        <v>166</v>
      </c>
      <c r="Z22" s="48" t="s">
        <v>166</v>
      </c>
      <c r="AA22" s="48" t="s">
        <v>166</v>
      </c>
      <c r="AB22" s="48">
        <v>2.0</v>
      </c>
      <c r="AC22" s="48" t="s">
        <v>412</v>
      </c>
      <c r="AD22" s="48" t="s">
        <v>193</v>
      </c>
      <c r="AE22" s="48" t="s">
        <v>166</v>
      </c>
      <c r="AF22" s="50" t="s">
        <v>166</v>
      </c>
      <c r="AG22" s="51" t="s">
        <v>166</v>
      </c>
      <c r="AH22" s="51">
        <v>2.0</v>
      </c>
      <c r="AI22" s="48">
        <v>1.0</v>
      </c>
      <c r="AJ22" s="50" t="s">
        <v>174</v>
      </c>
      <c r="AK22" s="56">
        <v>499.0</v>
      </c>
      <c r="AL22" s="57">
        <f>AK22*Sheets!$E$3</f>
        <v>68.7849045</v>
      </c>
      <c r="AM22" s="68"/>
      <c r="AN22" s="70"/>
      <c r="AO22" s="71" t="s">
        <v>181</v>
      </c>
      <c r="AP22" s="72"/>
      <c r="AQ22" s="66"/>
    </row>
    <row r="23">
      <c r="A23" s="91" t="s">
        <v>1415</v>
      </c>
      <c r="B23" s="67" t="s">
        <v>1416</v>
      </c>
      <c r="C23" s="63" t="s">
        <v>262</v>
      </c>
      <c r="D23" s="48">
        <v>330.2</v>
      </c>
      <c r="E23" s="48">
        <v>203.2</v>
      </c>
      <c r="F23" s="48">
        <v>320.0</v>
      </c>
      <c r="G23" s="49">
        <f t="shared" si="1"/>
        <v>21.4709248</v>
      </c>
      <c r="H23" s="49">
        <f t="shared" si="2"/>
        <v>670.9664</v>
      </c>
      <c r="I23" s="48">
        <v>3.3</v>
      </c>
      <c r="J23" s="48" t="s">
        <v>171</v>
      </c>
      <c r="K23" s="50" t="s">
        <v>171</v>
      </c>
      <c r="L23" s="51">
        <v>135.0</v>
      </c>
      <c r="M23" s="50" t="s">
        <v>1196</v>
      </c>
      <c r="N23" s="51" t="s">
        <v>166</v>
      </c>
      <c r="O23" s="48">
        <v>290.0</v>
      </c>
      <c r="P23" s="48">
        <v>140.0</v>
      </c>
      <c r="Q23" s="48">
        <v>40.0</v>
      </c>
      <c r="R23" s="48">
        <v>2.0</v>
      </c>
      <c r="S23" s="50" t="s">
        <v>166</v>
      </c>
      <c r="T23" s="52" t="s">
        <v>167</v>
      </c>
      <c r="U23" s="52" t="s">
        <v>599</v>
      </c>
      <c r="V23" s="51">
        <v>2.0</v>
      </c>
      <c r="W23" s="48">
        <v>1.0</v>
      </c>
      <c r="X23" s="50" t="s">
        <v>166</v>
      </c>
      <c r="Y23" s="51" t="s">
        <v>166</v>
      </c>
      <c r="Z23" s="48" t="s">
        <v>166</v>
      </c>
      <c r="AA23" s="48" t="s">
        <v>166</v>
      </c>
      <c r="AB23" s="48" t="s">
        <v>166</v>
      </c>
      <c r="AC23" s="48" t="s">
        <v>910</v>
      </c>
      <c r="AD23" s="48" t="s">
        <v>194</v>
      </c>
      <c r="AE23" s="48" t="s">
        <v>166</v>
      </c>
      <c r="AF23" s="50" t="s">
        <v>166</v>
      </c>
      <c r="AG23" s="51" t="s">
        <v>166</v>
      </c>
      <c r="AH23" s="51">
        <v>2.0</v>
      </c>
      <c r="AI23" s="48" t="s">
        <v>166</v>
      </c>
      <c r="AJ23" s="50" t="s">
        <v>174</v>
      </c>
      <c r="AK23" s="56" t="s">
        <v>166</v>
      </c>
      <c r="AL23" s="57" t="s">
        <v>166</v>
      </c>
      <c r="AM23" s="68"/>
      <c r="AN23" s="70"/>
      <c r="AO23" s="71" t="s">
        <v>181</v>
      </c>
      <c r="AP23" s="72">
        <v>45071.5501015162</v>
      </c>
      <c r="AQ23" s="66"/>
    </row>
    <row r="24">
      <c r="A24" s="82" t="str">
        <f>HYPERLINK("http://www.jonsbo.com/en/","Jonsbo")</f>
        <v>Jonsbo</v>
      </c>
      <c r="B24" s="62" t="str">
        <f>HYPERLINK("http://www.jonsbo.com/en/products/rm2silver.html","RM2")</f>
        <v>RM2</v>
      </c>
      <c r="C24" s="63" t="s">
        <v>262</v>
      </c>
      <c r="D24" s="48">
        <v>302.0</v>
      </c>
      <c r="E24" s="48">
        <v>209.0</v>
      </c>
      <c r="F24" s="48">
        <v>341.0</v>
      </c>
      <c r="G24" s="49">
        <f t="shared" si="1"/>
        <v>21.523238</v>
      </c>
      <c r="H24" s="49">
        <f t="shared" si="2"/>
        <v>631.18</v>
      </c>
      <c r="I24" s="48">
        <v>2.6</v>
      </c>
      <c r="J24" s="48" t="s">
        <v>164</v>
      </c>
      <c r="K24" s="50" t="s">
        <v>1417</v>
      </c>
      <c r="L24" s="51">
        <v>95.0</v>
      </c>
      <c r="M24" s="50" t="s">
        <v>166</v>
      </c>
      <c r="N24" s="51" t="s">
        <v>166</v>
      </c>
      <c r="O24" s="48">
        <v>290.0</v>
      </c>
      <c r="P24" s="48" t="s">
        <v>170</v>
      </c>
      <c r="Q24" s="48">
        <v>120.0</v>
      </c>
      <c r="R24" s="48">
        <v>6.0</v>
      </c>
      <c r="S24" s="50" t="s">
        <v>166</v>
      </c>
      <c r="T24" s="52" t="s">
        <v>696</v>
      </c>
      <c r="U24" s="52" t="s">
        <v>599</v>
      </c>
      <c r="V24" s="51">
        <v>3.0</v>
      </c>
      <c r="W24" s="48">
        <v>1.0</v>
      </c>
      <c r="X24" s="50" t="s">
        <v>166</v>
      </c>
      <c r="Y24" s="51" t="s">
        <v>166</v>
      </c>
      <c r="Z24" s="48" t="s">
        <v>166</v>
      </c>
      <c r="AA24" s="48" t="s">
        <v>166</v>
      </c>
      <c r="AB24" s="48" t="s">
        <v>166</v>
      </c>
      <c r="AC24" s="48">
        <v>1.0</v>
      </c>
      <c r="AD24" s="48" t="s">
        <v>166</v>
      </c>
      <c r="AE24" s="48" t="s">
        <v>166</v>
      </c>
      <c r="AF24" s="50" t="s">
        <v>166</v>
      </c>
      <c r="AG24" s="51" t="s">
        <v>166</v>
      </c>
      <c r="AH24" s="51">
        <v>2.0</v>
      </c>
      <c r="AI24" s="48" t="s">
        <v>166</v>
      </c>
      <c r="AJ24" s="50" t="s">
        <v>174</v>
      </c>
      <c r="AK24" s="56">
        <v>299.0</v>
      </c>
      <c r="AL24" s="57">
        <v>65.0</v>
      </c>
      <c r="AM24" s="68"/>
      <c r="AN24" s="59"/>
      <c r="AO24" s="60"/>
      <c r="AP24" s="65">
        <v>45071.55047106482</v>
      </c>
      <c r="AQ24" s="66"/>
    </row>
    <row r="25">
      <c r="A25" s="82" t="str">
        <f>HYPERLINK("https://streacom.com/","Streacom")</f>
        <v>Streacom</v>
      </c>
      <c r="B25" s="62" t="s">
        <v>1418</v>
      </c>
      <c r="C25" s="63" t="s">
        <v>282</v>
      </c>
      <c r="D25" s="48">
        <v>215.0</v>
      </c>
      <c r="E25" s="48">
        <v>215.0</v>
      </c>
      <c r="F25" s="48">
        <v>466.0</v>
      </c>
      <c r="G25" s="49">
        <f t="shared" si="1"/>
        <v>21.54085</v>
      </c>
      <c r="H25" s="49">
        <f t="shared" si="2"/>
        <v>462.25</v>
      </c>
      <c r="I25" s="48">
        <v>2.5</v>
      </c>
      <c r="J25" s="48" t="s">
        <v>282</v>
      </c>
      <c r="K25" s="50" t="s">
        <v>1385</v>
      </c>
      <c r="L25" s="51" t="s">
        <v>282</v>
      </c>
      <c r="M25" s="50" t="s">
        <v>825</v>
      </c>
      <c r="N25" s="51" t="s">
        <v>174</v>
      </c>
      <c r="O25" s="48">
        <v>358.0</v>
      </c>
      <c r="P25" s="48">
        <v>145.0</v>
      </c>
      <c r="Q25" s="48">
        <v>87.0</v>
      </c>
      <c r="R25" s="48">
        <v>3.0</v>
      </c>
      <c r="S25" s="50" t="s">
        <v>166</v>
      </c>
      <c r="T25" s="52" t="s">
        <v>167</v>
      </c>
      <c r="U25" s="52" t="s">
        <v>816</v>
      </c>
      <c r="V25" s="51" t="s">
        <v>170</v>
      </c>
      <c r="W25" s="48">
        <v>9.0</v>
      </c>
      <c r="X25" s="50" t="s">
        <v>166</v>
      </c>
      <c r="Y25" s="51" t="s">
        <v>1292</v>
      </c>
      <c r="Z25" s="48" t="s">
        <v>1292</v>
      </c>
      <c r="AA25" s="48" t="s">
        <v>1292</v>
      </c>
      <c r="AB25" s="48" t="s">
        <v>1292</v>
      </c>
      <c r="AC25" s="48" t="s">
        <v>1292</v>
      </c>
      <c r="AD25" s="48" t="s">
        <v>1292</v>
      </c>
      <c r="AE25" s="48" t="s">
        <v>166</v>
      </c>
      <c r="AF25" s="50" t="s">
        <v>166</v>
      </c>
      <c r="AG25" s="51" t="s">
        <v>166</v>
      </c>
      <c r="AH25" s="51" t="s">
        <v>166</v>
      </c>
      <c r="AI25" s="48">
        <v>1.0</v>
      </c>
      <c r="AJ25" s="50" t="s">
        <v>166</v>
      </c>
      <c r="AK25" s="56" t="s">
        <v>166</v>
      </c>
      <c r="AL25" s="57">
        <f>149*1.07</f>
        <v>159.43</v>
      </c>
      <c r="AM25" s="68"/>
      <c r="AN25" s="70"/>
      <c r="AO25" s="71"/>
      <c r="AP25" s="72"/>
      <c r="AQ25" s="66"/>
    </row>
    <row r="26">
      <c r="A26" s="61" t="s">
        <v>209</v>
      </c>
      <c r="B26" s="62" t="str">
        <f>HYPERLINK("https://www.silverstonetek.com/product.php?pid=241&amp;area=en","GD05")</f>
        <v>GD05</v>
      </c>
      <c r="C26" s="63" t="s">
        <v>225</v>
      </c>
      <c r="D26" s="48">
        <v>325.0</v>
      </c>
      <c r="E26" s="48">
        <v>440.0</v>
      </c>
      <c r="F26" s="48">
        <v>151.0</v>
      </c>
      <c r="G26" s="49">
        <f t="shared" si="1"/>
        <v>21.593</v>
      </c>
      <c r="H26" s="49">
        <f t="shared" si="2"/>
        <v>1430</v>
      </c>
      <c r="I26" s="48">
        <v>4.7</v>
      </c>
      <c r="J26" s="48" t="s">
        <v>171</v>
      </c>
      <c r="K26" s="50" t="s">
        <v>1419</v>
      </c>
      <c r="L26" s="51">
        <v>120.0</v>
      </c>
      <c r="M26" s="50" t="s">
        <v>166</v>
      </c>
      <c r="N26" s="51" t="s">
        <v>166</v>
      </c>
      <c r="O26" s="48">
        <v>279.0</v>
      </c>
      <c r="P26" s="48">
        <v>125.0</v>
      </c>
      <c r="Q26" s="48">
        <v>100.0</v>
      </c>
      <c r="R26" s="48">
        <v>5.0</v>
      </c>
      <c r="S26" s="50" t="s">
        <v>166</v>
      </c>
      <c r="T26" s="52" t="s">
        <v>1102</v>
      </c>
      <c r="U26" s="52" t="s">
        <v>599</v>
      </c>
      <c r="V26" s="51" t="s">
        <v>207</v>
      </c>
      <c r="W26" s="48" t="s">
        <v>207</v>
      </c>
      <c r="X26" s="50">
        <v>1.0</v>
      </c>
      <c r="Y26" s="51" t="s">
        <v>166</v>
      </c>
      <c r="Z26" s="48" t="s">
        <v>166</v>
      </c>
      <c r="AA26" s="48" t="s">
        <v>435</v>
      </c>
      <c r="AB26" s="48" t="s">
        <v>166</v>
      </c>
      <c r="AC26" s="48" t="s">
        <v>435</v>
      </c>
      <c r="AD26" s="48" t="s">
        <v>166</v>
      </c>
      <c r="AE26" s="48" t="s">
        <v>166</v>
      </c>
      <c r="AF26" s="50" t="s">
        <v>166</v>
      </c>
      <c r="AG26" s="51" t="s">
        <v>166</v>
      </c>
      <c r="AH26" s="51">
        <v>2.0</v>
      </c>
      <c r="AI26" s="48" t="s">
        <v>166</v>
      </c>
      <c r="AJ26" s="50" t="s">
        <v>174</v>
      </c>
      <c r="AK26" s="56" t="s">
        <v>166</v>
      </c>
      <c r="AL26" s="57" t="s">
        <v>170</v>
      </c>
      <c r="AM26" s="68"/>
      <c r="AN26" s="70"/>
      <c r="AO26" s="71"/>
      <c r="AP26" s="72">
        <v>45071.55057611111</v>
      </c>
      <c r="AQ26" s="66"/>
    </row>
    <row r="27">
      <c r="A27" s="69" t="str">
        <f>HYPERLINK("https://shop34001191.world.taobao.com/","Mechanic Master")</f>
        <v>Mechanic Master</v>
      </c>
      <c r="B27" s="46" t="str">
        <f>HYPERLINK("https://item.taobao.com/item.htm?id=610156835590","C34")</f>
        <v>C34</v>
      </c>
      <c r="C27" s="63" t="s">
        <v>262</v>
      </c>
      <c r="D27" s="48">
        <v>342.0</v>
      </c>
      <c r="E27" s="48">
        <v>185.0</v>
      </c>
      <c r="F27" s="48">
        <v>342.0</v>
      </c>
      <c r="G27" s="49">
        <f t="shared" si="1"/>
        <v>21.63834</v>
      </c>
      <c r="H27" s="49">
        <f t="shared" si="2"/>
        <v>632.7</v>
      </c>
      <c r="I27" s="48">
        <v>3.5</v>
      </c>
      <c r="J27" s="48" t="s">
        <v>597</v>
      </c>
      <c r="K27" s="50" t="s">
        <v>605</v>
      </c>
      <c r="L27" s="51">
        <v>162.0</v>
      </c>
      <c r="M27" s="50" t="s">
        <v>825</v>
      </c>
      <c r="N27" s="51" t="s">
        <v>166</v>
      </c>
      <c r="O27" s="48">
        <v>335.0</v>
      </c>
      <c r="P27" s="48">
        <v>167.0</v>
      </c>
      <c r="Q27" s="48">
        <v>140.0</v>
      </c>
      <c r="R27" s="48">
        <v>9.0</v>
      </c>
      <c r="S27" s="50" t="s">
        <v>166</v>
      </c>
      <c r="T27" s="52" t="s">
        <v>1420</v>
      </c>
      <c r="U27" s="52" t="s">
        <v>686</v>
      </c>
      <c r="V27" s="51">
        <v>4.0</v>
      </c>
      <c r="W27" s="48" t="s">
        <v>193</v>
      </c>
      <c r="X27" s="50" t="s">
        <v>166</v>
      </c>
      <c r="Y27" s="51" t="s">
        <v>166</v>
      </c>
      <c r="Z27" s="48" t="s">
        <v>166</v>
      </c>
      <c r="AA27" s="48" t="s">
        <v>166</v>
      </c>
      <c r="AB27" s="48" t="s">
        <v>166</v>
      </c>
      <c r="AC27" s="48" t="s">
        <v>1100</v>
      </c>
      <c r="AD27" s="48" t="s">
        <v>278</v>
      </c>
      <c r="AE27" s="48" t="s">
        <v>166</v>
      </c>
      <c r="AF27" s="50" t="s">
        <v>166</v>
      </c>
      <c r="AG27" s="51" t="s">
        <v>166</v>
      </c>
      <c r="AH27" s="51">
        <v>1.0</v>
      </c>
      <c r="AI27" s="48">
        <v>1.0</v>
      </c>
      <c r="AJ27" s="50" t="s">
        <v>166</v>
      </c>
      <c r="AK27" s="56">
        <v>849.0</v>
      </c>
      <c r="AL27" s="57">
        <f>AK27*Sheets!$E$3</f>
        <v>117.0308295</v>
      </c>
      <c r="AM27" s="68"/>
      <c r="AN27" s="70"/>
      <c r="AO27" s="71"/>
      <c r="AP27" s="72">
        <v>45078.95497619213</v>
      </c>
      <c r="AQ27" s="66"/>
    </row>
    <row r="28">
      <c r="A28" s="61" t="s">
        <v>209</v>
      </c>
      <c r="B28" s="62" t="s">
        <v>1421</v>
      </c>
      <c r="C28" s="63" t="s">
        <v>490</v>
      </c>
      <c r="D28" s="48">
        <v>360.0</v>
      </c>
      <c r="E28" s="48">
        <v>211.0</v>
      </c>
      <c r="F28" s="48">
        <v>285.0</v>
      </c>
      <c r="G28" s="49">
        <f t="shared" si="1"/>
        <v>21.6486</v>
      </c>
      <c r="H28" s="49">
        <f t="shared" si="2"/>
        <v>759.6</v>
      </c>
      <c r="I28" s="48" t="s">
        <v>170</v>
      </c>
      <c r="J28" s="48" t="s">
        <v>171</v>
      </c>
      <c r="K28" s="50" t="s">
        <v>171</v>
      </c>
      <c r="L28" s="51">
        <v>57.0</v>
      </c>
      <c r="M28" s="50" t="s">
        <v>166</v>
      </c>
      <c r="N28" s="51" t="s">
        <v>166</v>
      </c>
      <c r="O28" s="48">
        <v>279.0</v>
      </c>
      <c r="P28" s="48">
        <v>111.0</v>
      </c>
      <c r="Q28" s="48">
        <v>40.0</v>
      </c>
      <c r="R28" s="48">
        <v>2.0</v>
      </c>
      <c r="S28" s="50" t="s">
        <v>166</v>
      </c>
      <c r="T28" s="52" t="s">
        <v>227</v>
      </c>
      <c r="U28" s="52" t="s">
        <v>346</v>
      </c>
      <c r="V28" s="51" t="s">
        <v>1422</v>
      </c>
      <c r="W28" s="48" t="s">
        <v>740</v>
      </c>
      <c r="X28" s="50" t="s">
        <v>166</v>
      </c>
      <c r="Y28" s="51" t="s">
        <v>166</v>
      </c>
      <c r="Z28" s="48" t="s">
        <v>166</v>
      </c>
      <c r="AA28" s="48" t="s">
        <v>166</v>
      </c>
      <c r="AB28" s="48" t="s">
        <v>166</v>
      </c>
      <c r="AC28" s="48">
        <v>3.0</v>
      </c>
      <c r="AD28" s="48" t="s">
        <v>166</v>
      </c>
      <c r="AE28" s="48" t="s">
        <v>166</v>
      </c>
      <c r="AF28" s="50" t="s">
        <v>166</v>
      </c>
      <c r="AG28" s="51" t="s">
        <v>166</v>
      </c>
      <c r="AH28" s="51">
        <v>2.0</v>
      </c>
      <c r="AI28" s="48" t="s">
        <v>166</v>
      </c>
      <c r="AJ28" s="50" t="s">
        <v>174</v>
      </c>
      <c r="AK28" s="56" t="s">
        <v>166</v>
      </c>
      <c r="AL28" s="57">
        <v>187.0</v>
      </c>
      <c r="AM28" s="68"/>
      <c r="AN28" s="70"/>
      <c r="AO28" s="71"/>
      <c r="AP28" s="72">
        <v>44445.881937604165</v>
      </c>
      <c r="AQ28" s="66"/>
    </row>
    <row r="29">
      <c r="A29" s="46" t="str">
        <f>HYPERLINK("https://shop309038390.world.taobao.com/","ZZAW")</f>
        <v>ZZAW</v>
      </c>
      <c r="B29" s="73" t="s">
        <v>1423</v>
      </c>
      <c r="C29" s="63" t="s">
        <v>262</v>
      </c>
      <c r="D29" s="48">
        <v>410.0</v>
      </c>
      <c r="E29" s="48">
        <v>170.0</v>
      </c>
      <c r="F29" s="48">
        <v>313.0</v>
      </c>
      <c r="G29" s="49">
        <f t="shared" si="1"/>
        <v>21.8161</v>
      </c>
      <c r="H29" s="49">
        <f t="shared" si="2"/>
        <v>697</v>
      </c>
      <c r="I29" s="48">
        <v>2.3</v>
      </c>
      <c r="J29" s="48" t="s">
        <v>597</v>
      </c>
      <c r="K29" s="50" t="s">
        <v>204</v>
      </c>
      <c r="L29" s="51">
        <v>137.0</v>
      </c>
      <c r="M29" s="50" t="s">
        <v>909</v>
      </c>
      <c r="N29" s="51" t="s">
        <v>232</v>
      </c>
      <c r="O29" s="48">
        <v>405.0</v>
      </c>
      <c r="P29" s="48">
        <v>152.0</v>
      </c>
      <c r="Q29" s="48">
        <v>90.0</v>
      </c>
      <c r="R29" s="48">
        <v>4.0</v>
      </c>
      <c r="S29" s="50" t="s">
        <v>166</v>
      </c>
      <c r="T29" s="52" t="s">
        <v>1102</v>
      </c>
      <c r="U29" s="52" t="s">
        <v>816</v>
      </c>
      <c r="V29" s="51">
        <v>4.0</v>
      </c>
      <c r="W29" s="48">
        <v>1.0</v>
      </c>
      <c r="X29" s="50" t="s">
        <v>166</v>
      </c>
      <c r="Y29" s="51" t="s">
        <v>166</v>
      </c>
      <c r="Z29" s="48" t="s">
        <v>166</v>
      </c>
      <c r="AA29" s="48" t="s">
        <v>166</v>
      </c>
      <c r="AB29" s="48">
        <v>1.0</v>
      </c>
      <c r="AC29" s="48">
        <v>8.0</v>
      </c>
      <c r="AD29" s="48" t="s">
        <v>166</v>
      </c>
      <c r="AE29" s="48" t="s">
        <v>166</v>
      </c>
      <c r="AF29" s="50" t="s">
        <v>166</v>
      </c>
      <c r="AG29" s="51" t="s">
        <v>166</v>
      </c>
      <c r="AH29" s="51">
        <v>1.0</v>
      </c>
      <c r="AI29" s="48" t="s">
        <v>166</v>
      </c>
      <c r="AJ29" s="50" t="s">
        <v>166</v>
      </c>
      <c r="AK29" s="56">
        <v>299.0</v>
      </c>
      <c r="AL29" s="57">
        <f>AK29*Sheets!$E$3</f>
        <v>41.2158045</v>
      </c>
      <c r="AM29" s="68"/>
      <c r="AN29" s="70"/>
      <c r="AO29" s="71" t="s">
        <v>181</v>
      </c>
      <c r="AP29" s="72">
        <v>44563.766356631946</v>
      </c>
      <c r="AQ29" s="66"/>
    </row>
    <row r="30">
      <c r="A30" s="82" t="str">
        <f t="shared" ref="A30:A32" si="3">HYPERLINK("https://www.in-win.com/","InWin")</f>
        <v>InWin</v>
      </c>
      <c r="B30" s="62" t="s">
        <v>415</v>
      </c>
      <c r="C30" s="63" t="s">
        <v>262</v>
      </c>
      <c r="D30" s="48">
        <v>357.0</v>
      </c>
      <c r="E30" s="48">
        <v>224.0</v>
      </c>
      <c r="F30" s="48">
        <v>273.0</v>
      </c>
      <c r="G30" s="49">
        <f t="shared" si="1"/>
        <v>21.831264</v>
      </c>
      <c r="H30" s="49">
        <f t="shared" si="2"/>
        <v>799.68</v>
      </c>
      <c r="I30" s="48">
        <v>6.0</v>
      </c>
      <c r="J30" s="48" t="s">
        <v>597</v>
      </c>
      <c r="K30" s="50" t="s">
        <v>1389</v>
      </c>
      <c r="L30" s="51">
        <v>160.0</v>
      </c>
      <c r="M30" s="50">
        <v>120.0</v>
      </c>
      <c r="N30" s="51" t="s">
        <v>166</v>
      </c>
      <c r="O30" s="48">
        <v>320.0</v>
      </c>
      <c r="P30" s="48">
        <v>165.0</v>
      </c>
      <c r="Q30" s="48">
        <v>55.0</v>
      </c>
      <c r="R30" s="48">
        <v>2.0</v>
      </c>
      <c r="S30" s="50" t="s">
        <v>166</v>
      </c>
      <c r="T30" s="52" t="s">
        <v>167</v>
      </c>
      <c r="U30" s="52" t="s">
        <v>599</v>
      </c>
      <c r="V30" s="51">
        <v>2.0</v>
      </c>
      <c r="W30" s="48" t="s">
        <v>166</v>
      </c>
      <c r="X30" s="50" t="s">
        <v>166</v>
      </c>
      <c r="Y30" s="51" t="s">
        <v>166</v>
      </c>
      <c r="Z30" s="48" t="s">
        <v>166</v>
      </c>
      <c r="AA30" s="48" t="s">
        <v>166</v>
      </c>
      <c r="AB30" s="48" t="s">
        <v>166</v>
      </c>
      <c r="AC30" s="48">
        <v>4.0</v>
      </c>
      <c r="AD30" s="48" t="s">
        <v>166</v>
      </c>
      <c r="AE30" s="48" t="s">
        <v>166</v>
      </c>
      <c r="AF30" s="50" t="s">
        <v>166</v>
      </c>
      <c r="AG30" s="51" t="s">
        <v>166</v>
      </c>
      <c r="AH30" s="51">
        <v>2.0</v>
      </c>
      <c r="AI30" s="48" t="s">
        <v>166</v>
      </c>
      <c r="AJ30" s="50" t="s">
        <v>174</v>
      </c>
      <c r="AK30" s="56" t="s">
        <v>166</v>
      </c>
      <c r="AL30" s="57">
        <v>199.0</v>
      </c>
      <c r="AM30" s="64"/>
      <c r="AN30" s="59"/>
      <c r="AO30" s="60"/>
      <c r="AP30" s="65">
        <v>45071.55085090278</v>
      </c>
      <c r="AQ30" s="66"/>
    </row>
    <row r="31">
      <c r="A31" s="82" t="str">
        <f t="shared" si="3"/>
        <v>InWin</v>
      </c>
      <c r="B31" s="62" t="s">
        <v>1424</v>
      </c>
      <c r="C31" s="63" t="s">
        <v>262</v>
      </c>
      <c r="D31" s="48">
        <v>357.0</v>
      </c>
      <c r="E31" s="48">
        <v>224.0</v>
      </c>
      <c r="F31" s="48">
        <v>273.0</v>
      </c>
      <c r="G31" s="49">
        <f t="shared" si="1"/>
        <v>21.831264</v>
      </c>
      <c r="H31" s="49">
        <f t="shared" si="2"/>
        <v>799.68</v>
      </c>
      <c r="I31" s="48">
        <v>6.0</v>
      </c>
      <c r="J31" s="48" t="s">
        <v>597</v>
      </c>
      <c r="K31" s="50" t="s">
        <v>1389</v>
      </c>
      <c r="L31" s="51">
        <v>160.0</v>
      </c>
      <c r="M31" s="50">
        <v>120.0</v>
      </c>
      <c r="N31" s="51" t="s">
        <v>166</v>
      </c>
      <c r="O31" s="48">
        <v>320.0</v>
      </c>
      <c r="P31" s="48">
        <v>165.0</v>
      </c>
      <c r="Q31" s="48">
        <v>55.0</v>
      </c>
      <c r="R31" s="48">
        <v>2.0</v>
      </c>
      <c r="S31" s="50" t="s">
        <v>166</v>
      </c>
      <c r="T31" s="52" t="s">
        <v>167</v>
      </c>
      <c r="U31" s="52" t="s">
        <v>599</v>
      </c>
      <c r="V31" s="51">
        <v>2.0</v>
      </c>
      <c r="W31" s="48" t="s">
        <v>166</v>
      </c>
      <c r="X31" s="50" t="s">
        <v>166</v>
      </c>
      <c r="Y31" s="51" t="s">
        <v>166</v>
      </c>
      <c r="Z31" s="48" t="s">
        <v>166</v>
      </c>
      <c r="AA31" s="48" t="s">
        <v>166</v>
      </c>
      <c r="AB31" s="48" t="s">
        <v>166</v>
      </c>
      <c r="AC31" s="48">
        <v>4.0</v>
      </c>
      <c r="AD31" s="48" t="s">
        <v>166</v>
      </c>
      <c r="AE31" s="48" t="s">
        <v>166</v>
      </c>
      <c r="AF31" s="50" t="s">
        <v>166</v>
      </c>
      <c r="AG31" s="51" t="s">
        <v>166</v>
      </c>
      <c r="AH31" s="51">
        <v>2.0</v>
      </c>
      <c r="AI31" s="48" t="s">
        <v>166</v>
      </c>
      <c r="AJ31" s="50" t="s">
        <v>174</v>
      </c>
      <c r="AK31" s="56" t="s">
        <v>166</v>
      </c>
      <c r="AL31" s="57">
        <v>199.0</v>
      </c>
      <c r="AM31" s="64"/>
      <c r="AN31" s="59"/>
      <c r="AO31" s="60"/>
      <c r="AP31" s="65">
        <v>45071.55086876157</v>
      </c>
      <c r="AQ31" s="66"/>
    </row>
    <row r="32">
      <c r="A32" s="82" t="str">
        <f t="shared" si="3"/>
        <v>InWin</v>
      </c>
      <c r="B32" s="62" t="s">
        <v>1425</v>
      </c>
      <c r="C32" s="63" t="s">
        <v>262</v>
      </c>
      <c r="D32" s="48">
        <v>357.0</v>
      </c>
      <c r="E32" s="48">
        <v>224.0</v>
      </c>
      <c r="F32" s="48">
        <v>273.0</v>
      </c>
      <c r="G32" s="49">
        <f t="shared" si="1"/>
        <v>21.831264</v>
      </c>
      <c r="H32" s="49">
        <f t="shared" si="2"/>
        <v>799.68</v>
      </c>
      <c r="I32" s="48">
        <v>6.14</v>
      </c>
      <c r="J32" s="48" t="s">
        <v>597</v>
      </c>
      <c r="K32" s="50" t="s">
        <v>1389</v>
      </c>
      <c r="L32" s="51">
        <v>160.0</v>
      </c>
      <c r="M32" s="50">
        <v>120.0</v>
      </c>
      <c r="N32" s="51" t="s">
        <v>166</v>
      </c>
      <c r="O32" s="48">
        <v>320.0</v>
      </c>
      <c r="P32" s="48">
        <v>165.0</v>
      </c>
      <c r="Q32" s="48">
        <v>55.0</v>
      </c>
      <c r="R32" s="48">
        <v>2.0</v>
      </c>
      <c r="S32" s="50" t="s">
        <v>166</v>
      </c>
      <c r="T32" s="52" t="s">
        <v>167</v>
      </c>
      <c r="U32" s="52" t="s">
        <v>599</v>
      </c>
      <c r="V32" s="51">
        <v>2.0</v>
      </c>
      <c r="W32" s="48" t="s">
        <v>166</v>
      </c>
      <c r="X32" s="50" t="s">
        <v>166</v>
      </c>
      <c r="Y32" s="51" t="s">
        <v>166</v>
      </c>
      <c r="Z32" s="48" t="s">
        <v>166</v>
      </c>
      <c r="AA32" s="48" t="s">
        <v>166</v>
      </c>
      <c r="AB32" s="48" t="s">
        <v>166</v>
      </c>
      <c r="AC32" s="48">
        <v>4.0</v>
      </c>
      <c r="AD32" s="48" t="s">
        <v>166</v>
      </c>
      <c r="AE32" s="48" t="s">
        <v>166</v>
      </c>
      <c r="AF32" s="50" t="s">
        <v>166</v>
      </c>
      <c r="AG32" s="51" t="s">
        <v>166</v>
      </c>
      <c r="AH32" s="51">
        <v>2.0</v>
      </c>
      <c r="AI32" s="48" t="s">
        <v>166</v>
      </c>
      <c r="AJ32" s="50" t="s">
        <v>174</v>
      </c>
      <c r="AK32" s="56" t="s">
        <v>166</v>
      </c>
      <c r="AL32" s="57">
        <v>249.0</v>
      </c>
      <c r="AM32" s="64"/>
      <c r="AN32" s="59"/>
      <c r="AO32" s="60"/>
      <c r="AP32" s="65">
        <v>45061.01543201389</v>
      </c>
      <c r="AQ32" s="66"/>
    </row>
    <row r="33">
      <c r="A33" s="82" t="s">
        <v>1408</v>
      </c>
      <c r="B33" s="62" t="s">
        <v>1426</v>
      </c>
      <c r="C33" s="63" t="s">
        <v>262</v>
      </c>
      <c r="D33" s="48">
        <v>391.0</v>
      </c>
      <c r="E33" s="48">
        <v>185.0</v>
      </c>
      <c r="F33" s="48">
        <v>303.0</v>
      </c>
      <c r="G33" s="49">
        <f t="shared" si="1"/>
        <v>21.917505</v>
      </c>
      <c r="H33" s="49">
        <f t="shared" si="2"/>
        <v>723.35</v>
      </c>
      <c r="I33" s="48" t="s">
        <v>170</v>
      </c>
      <c r="J33" s="48" t="s">
        <v>653</v>
      </c>
      <c r="K33" s="50" t="s">
        <v>447</v>
      </c>
      <c r="L33" s="51">
        <v>155.0</v>
      </c>
      <c r="M33" s="50" t="s">
        <v>547</v>
      </c>
      <c r="N33" s="51" t="s">
        <v>232</v>
      </c>
      <c r="O33" s="48">
        <v>335.0</v>
      </c>
      <c r="P33" s="48">
        <v>160.0</v>
      </c>
      <c r="Q33" s="48">
        <v>80.0</v>
      </c>
      <c r="R33" s="48">
        <v>6.0</v>
      </c>
      <c r="S33" s="50" t="s">
        <v>166</v>
      </c>
      <c r="T33" s="52" t="s">
        <v>423</v>
      </c>
      <c r="U33" s="52" t="s">
        <v>686</v>
      </c>
      <c r="V33" s="51">
        <v>3.0</v>
      </c>
      <c r="W33" s="48">
        <v>3.0</v>
      </c>
      <c r="X33" s="50" t="s">
        <v>166</v>
      </c>
      <c r="Y33" s="51" t="s">
        <v>166</v>
      </c>
      <c r="Z33" s="48" t="s">
        <v>166</v>
      </c>
      <c r="AA33" s="48">
        <v>1.0</v>
      </c>
      <c r="AB33" s="48" t="s">
        <v>166</v>
      </c>
      <c r="AC33" s="48">
        <v>6.0</v>
      </c>
      <c r="AD33" s="48" t="s">
        <v>166</v>
      </c>
      <c r="AE33" s="48" t="s">
        <v>166</v>
      </c>
      <c r="AF33" s="50" t="s">
        <v>166</v>
      </c>
      <c r="AG33" s="51" t="s">
        <v>166</v>
      </c>
      <c r="AH33" s="51">
        <v>2.0</v>
      </c>
      <c r="AI33" s="48" t="s">
        <v>166</v>
      </c>
      <c r="AJ33" s="50" t="s">
        <v>174</v>
      </c>
      <c r="AK33" s="56">
        <v>299.0</v>
      </c>
      <c r="AL33" s="57">
        <f>AK33*Sheets!$E$3</f>
        <v>41.2158045</v>
      </c>
      <c r="AM33" s="68"/>
      <c r="AN33" s="70"/>
      <c r="AO33" s="71"/>
      <c r="AP33" s="72">
        <v>45071.55091011574</v>
      </c>
      <c r="AQ33" s="66"/>
    </row>
    <row r="34">
      <c r="A34" s="61" t="s">
        <v>1427</v>
      </c>
      <c r="B34" s="62" t="s">
        <v>1428</v>
      </c>
      <c r="C34" s="63" t="s">
        <v>262</v>
      </c>
      <c r="D34" s="48">
        <v>355.0</v>
      </c>
      <c r="E34" s="48">
        <v>196.0</v>
      </c>
      <c r="F34" s="48">
        <v>315.0</v>
      </c>
      <c r="G34" s="49">
        <f t="shared" si="1"/>
        <v>21.9177</v>
      </c>
      <c r="H34" s="49">
        <f t="shared" si="2"/>
        <v>695.8</v>
      </c>
      <c r="I34" s="48">
        <v>4.9</v>
      </c>
      <c r="J34" s="48" t="s">
        <v>597</v>
      </c>
      <c r="K34" s="50" t="s">
        <v>1429</v>
      </c>
      <c r="L34" s="51">
        <v>160.0</v>
      </c>
      <c r="M34" s="50">
        <v>120.0</v>
      </c>
      <c r="N34" s="51" t="s">
        <v>166</v>
      </c>
      <c r="O34" s="48">
        <v>315.0</v>
      </c>
      <c r="P34" s="48">
        <v>165.0</v>
      </c>
      <c r="Q34" s="48">
        <v>80.0</v>
      </c>
      <c r="R34" s="48">
        <v>4.0</v>
      </c>
      <c r="S34" s="50" t="s">
        <v>166</v>
      </c>
      <c r="T34" s="52" t="s">
        <v>423</v>
      </c>
      <c r="U34" s="52" t="s">
        <v>686</v>
      </c>
      <c r="V34" s="51" t="s">
        <v>435</v>
      </c>
      <c r="W34" s="48" t="s">
        <v>194</v>
      </c>
      <c r="X34" s="50" t="s">
        <v>166</v>
      </c>
      <c r="Y34" s="51" t="s">
        <v>166</v>
      </c>
      <c r="Z34" s="48" t="s">
        <v>166</v>
      </c>
      <c r="AA34" s="48" t="s">
        <v>166</v>
      </c>
      <c r="AB34" s="48" t="s">
        <v>166</v>
      </c>
      <c r="AC34" s="48" t="s">
        <v>220</v>
      </c>
      <c r="AD34" s="48" t="s">
        <v>426</v>
      </c>
      <c r="AE34" s="48" t="s">
        <v>166</v>
      </c>
      <c r="AF34" s="50" t="s">
        <v>166</v>
      </c>
      <c r="AG34" s="51">
        <v>1.0</v>
      </c>
      <c r="AH34" s="51">
        <v>2.0</v>
      </c>
      <c r="AI34" s="48" t="s">
        <v>166</v>
      </c>
      <c r="AJ34" s="50" t="s">
        <v>174</v>
      </c>
      <c r="AK34" s="56" t="s">
        <v>166</v>
      </c>
      <c r="AL34" s="57">
        <v>69.99</v>
      </c>
      <c r="AM34" s="68"/>
      <c r="AN34" s="70"/>
      <c r="AO34" s="71"/>
      <c r="AP34" s="72">
        <v>45071.55095042824</v>
      </c>
      <c r="AQ34" s="66"/>
    </row>
    <row r="35">
      <c r="A35" s="46" t="str">
        <f>HYPERLINK("https://shop159524301.world.taobao.com/","Warhead Design")</f>
        <v>Warhead Design</v>
      </c>
      <c r="B35" s="46" t="s">
        <v>1430</v>
      </c>
      <c r="C35" s="63" t="s">
        <v>490</v>
      </c>
      <c r="D35" s="48">
        <v>292.0</v>
      </c>
      <c r="E35" s="48">
        <v>328.5</v>
      </c>
      <c r="F35" s="48">
        <v>228.5</v>
      </c>
      <c r="G35" s="49">
        <f t="shared" si="1"/>
        <v>21.918177</v>
      </c>
      <c r="H35" s="49">
        <f t="shared" si="2"/>
        <v>959.22</v>
      </c>
      <c r="I35" s="48" t="s">
        <v>170</v>
      </c>
      <c r="J35" s="48" t="s">
        <v>171</v>
      </c>
      <c r="K35" s="50" t="s">
        <v>512</v>
      </c>
      <c r="L35" s="51">
        <v>80.0</v>
      </c>
      <c r="M35" s="50" t="s">
        <v>166</v>
      </c>
      <c r="N35" s="51" t="s">
        <v>166</v>
      </c>
      <c r="O35" s="48">
        <v>280.0</v>
      </c>
      <c r="P35" s="48">
        <v>70.0</v>
      </c>
      <c r="Q35" s="48">
        <v>120.0</v>
      </c>
      <c r="R35" s="48" t="s">
        <v>166</v>
      </c>
      <c r="S35" s="50">
        <v>6.0</v>
      </c>
      <c r="T35" s="52" t="s">
        <v>696</v>
      </c>
      <c r="U35" s="52" t="s">
        <v>1431</v>
      </c>
      <c r="V35" s="51" t="s">
        <v>170</v>
      </c>
      <c r="W35" s="48">
        <v>8.0</v>
      </c>
      <c r="X35" s="50" t="s">
        <v>166</v>
      </c>
      <c r="Y35" s="51" t="s">
        <v>166</v>
      </c>
      <c r="Z35" s="48" t="s">
        <v>166</v>
      </c>
      <c r="AA35" s="48" t="s">
        <v>166</v>
      </c>
      <c r="AB35" s="48" t="s">
        <v>166</v>
      </c>
      <c r="AC35" s="48">
        <v>2.0</v>
      </c>
      <c r="AD35" s="48" t="s">
        <v>166</v>
      </c>
      <c r="AE35" s="48" t="s">
        <v>166</v>
      </c>
      <c r="AF35" s="50" t="s">
        <v>166</v>
      </c>
      <c r="AG35" s="51" t="s">
        <v>166</v>
      </c>
      <c r="AH35" s="51">
        <v>1.0</v>
      </c>
      <c r="AI35" s="48" t="s">
        <v>166</v>
      </c>
      <c r="AJ35" s="50" t="s">
        <v>166</v>
      </c>
      <c r="AK35" s="56">
        <v>1399.0</v>
      </c>
      <c r="AL35" s="57">
        <f>AK35*Sheets!$E$3</f>
        <v>192.8458545</v>
      </c>
      <c r="AM35" s="68"/>
      <c r="AN35" s="70"/>
      <c r="AO35" s="71"/>
      <c r="AP35" s="72">
        <v>45056.387358935186</v>
      </c>
      <c r="AQ35" s="66"/>
    </row>
    <row r="36">
      <c r="A36" s="61" t="s">
        <v>1432</v>
      </c>
      <c r="B36" s="62" t="s">
        <v>1204</v>
      </c>
      <c r="C36" s="63" t="s">
        <v>262</v>
      </c>
      <c r="D36" s="48">
        <v>392.0</v>
      </c>
      <c r="E36" s="48">
        <v>185.0</v>
      </c>
      <c r="F36" s="48">
        <v>303.0</v>
      </c>
      <c r="G36" s="49">
        <f t="shared" si="1"/>
        <v>21.97356</v>
      </c>
      <c r="H36" s="49">
        <f t="shared" si="2"/>
        <v>725.2</v>
      </c>
      <c r="I36" s="48">
        <v>5.3</v>
      </c>
      <c r="J36" s="48" t="s">
        <v>653</v>
      </c>
      <c r="K36" s="50" t="s">
        <v>447</v>
      </c>
      <c r="L36" s="51">
        <v>155.0</v>
      </c>
      <c r="M36" s="50" t="s">
        <v>547</v>
      </c>
      <c r="N36" s="51" t="s">
        <v>166</v>
      </c>
      <c r="O36" s="48">
        <v>335.0</v>
      </c>
      <c r="P36" s="48">
        <v>160.0</v>
      </c>
      <c r="Q36" s="48">
        <v>80.0</v>
      </c>
      <c r="R36" s="48">
        <v>4.0</v>
      </c>
      <c r="S36" s="50" t="s">
        <v>166</v>
      </c>
      <c r="T36" s="52" t="s">
        <v>423</v>
      </c>
      <c r="U36" s="52" t="s">
        <v>686</v>
      </c>
      <c r="V36" s="51" t="s">
        <v>1018</v>
      </c>
      <c r="W36" s="48" t="s">
        <v>426</v>
      </c>
      <c r="X36" s="50" t="s">
        <v>166</v>
      </c>
      <c r="Y36" s="51" t="s">
        <v>166</v>
      </c>
      <c r="Z36" s="48" t="s">
        <v>166</v>
      </c>
      <c r="AA36" s="48" t="s">
        <v>166</v>
      </c>
      <c r="AB36" s="48">
        <v>1.0</v>
      </c>
      <c r="AC36" s="48" t="s">
        <v>682</v>
      </c>
      <c r="AD36" s="48" t="s">
        <v>166</v>
      </c>
      <c r="AE36" s="48" t="s">
        <v>166</v>
      </c>
      <c r="AF36" s="50" t="s">
        <v>166</v>
      </c>
      <c r="AG36" s="51" t="s">
        <v>166</v>
      </c>
      <c r="AH36" s="51">
        <v>2.0</v>
      </c>
      <c r="AI36" s="48" t="s">
        <v>166</v>
      </c>
      <c r="AJ36" s="50" t="s">
        <v>174</v>
      </c>
      <c r="AK36" s="56">
        <v>499.0</v>
      </c>
      <c r="AL36" s="57">
        <f>AK36*Sheets!$E$3</f>
        <v>68.7849045</v>
      </c>
      <c r="AM36" s="68"/>
      <c r="AN36" s="70"/>
      <c r="AO36" s="71"/>
      <c r="AP36" s="72">
        <v>45071.551006932874</v>
      </c>
      <c r="AQ36" s="66"/>
    </row>
    <row r="37">
      <c r="A37" s="82" t="str">
        <f>HYPERLINK("http://www.jonsbo.com/en/","Jonsbo")</f>
        <v>Jonsbo</v>
      </c>
      <c r="B37" s="67" t="s">
        <v>1433</v>
      </c>
      <c r="C37" s="63" t="s">
        <v>262</v>
      </c>
      <c r="D37" s="48">
        <v>238.0</v>
      </c>
      <c r="E37" s="48">
        <v>239.0</v>
      </c>
      <c r="F37" s="48">
        <v>386.5</v>
      </c>
      <c r="G37" s="49">
        <f t="shared" si="1"/>
        <v>21.984893</v>
      </c>
      <c r="H37" s="49">
        <f t="shared" si="2"/>
        <v>568.82</v>
      </c>
      <c r="I37" s="48">
        <v>5.7</v>
      </c>
      <c r="J37" s="48" t="s">
        <v>597</v>
      </c>
      <c r="K37" s="50" t="s">
        <v>164</v>
      </c>
      <c r="L37" s="51">
        <v>190.0</v>
      </c>
      <c r="M37" s="50" t="s">
        <v>166</v>
      </c>
      <c r="N37" s="51" t="s">
        <v>166</v>
      </c>
      <c r="O37" s="48">
        <v>320.0</v>
      </c>
      <c r="P37" s="48">
        <v>195.0</v>
      </c>
      <c r="Q37" s="48">
        <v>40.0</v>
      </c>
      <c r="R37" s="48">
        <v>2.0</v>
      </c>
      <c r="S37" s="50" t="s">
        <v>166</v>
      </c>
      <c r="T37" s="52" t="s">
        <v>167</v>
      </c>
      <c r="U37" s="52" t="s">
        <v>599</v>
      </c>
      <c r="V37" s="51">
        <v>2.0</v>
      </c>
      <c r="W37" s="48">
        <v>1.0</v>
      </c>
      <c r="X37" s="50" t="s">
        <v>166</v>
      </c>
      <c r="Y37" s="51" t="s">
        <v>166</v>
      </c>
      <c r="Z37" s="48" t="s">
        <v>166</v>
      </c>
      <c r="AA37" s="48" t="s">
        <v>166</v>
      </c>
      <c r="AB37" s="48" t="s">
        <v>166</v>
      </c>
      <c r="AC37" s="48">
        <v>2.0</v>
      </c>
      <c r="AD37" s="48" t="s">
        <v>166</v>
      </c>
      <c r="AE37" s="48" t="s">
        <v>166</v>
      </c>
      <c r="AF37" s="50" t="s">
        <v>166</v>
      </c>
      <c r="AG37" s="51" t="s">
        <v>166</v>
      </c>
      <c r="AH37" s="51">
        <v>2.0</v>
      </c>
      <c r="AI37" s="48" t="s">
        <v>166</v>
      </c>
      <c r="AJ37" s="50" t="s">
        <v>174</v>
      </c>
      <c r="AK37" s="56" t="s">
        <v>166</v>
      </c>
      <c r="AL37" s="57" t="s">
        <v>170</v>
      </c>
      <c r="AM37" s="68"/>
      <c r="AN37" s="70"/>
      <c r="AO37" s="71"/>
      <c r="AP37" s="72">
        <v>45071.5510731713</v>
      </c>
      <c r="AQ37" s="66"/>
    </row>
    <row r="38">
      <c r="A38" s="46" t="str">
        <f>HYPERLINK("https://shop309038390.world.taobao.com/","ZZAW")</f>
        <v>ZZAW</v>
      </c>
      <c r="B38" s="73" t="s">
        <v>1434</v>
      </c>
      <c r="C38" s="63" t="s">
        <v>262</v>
      </c>
      <c r="D38" s="48">
        <v>313.0</v>
      </c>
      <c r="E38" s="48">
        <v>165.0</v>
      </c>
      <c r="F38" s="48">
        <v>428.0</v>
      </c>
      <c r="G38" s="49">
        <f t="shared" si="1"/>
        <v>22.10406</v>
      </c>
      <c r="H38" s="49">
        <f t="shared" si="2"/>
        <v>516.45</v>
      </c>
      <c r="I38" s="48">
        <v>2.9</v>
      </c>
      <c r="J38" s="48" t="s">
        <v>597</v>
      </c>
      <c r="K38" s="50" t="s">
        <v>305</v>
      </c>
      <c r="L38" s="51">
        <v>140.0</v>
      </c>
      <c r="M38" s="50" t="s">
        <v>547</v>
      </c>
      <c r="N38" s="51" t="s">
        <v>166</v>
      </c>
      <c r="O38" s="48">
        <v>359.0</v>
      </c>
      <c r="P38" s="48">
        <v>145.0</v>
      </c>
      <c r="Q38" s="48">
        <v>93.0</v>
      </c>
      <c r="R38" s="48">
        <v>4.0</v>
      </c>
      <c r="S38" s="50" t="s">
        <v>166</v>
      </c>
      <c r="T38" s="52" t="s">
        <v>423</v>
      </c>
      <c r="U38" s="52" t="s">
        <v>599</v>
      </c>
      <c r="V38" s="51">
        <v>2.0</v>
      </c>
      <c r="W38" s="48">
        <v>1.0</v>
      </c>
      <c r="X38" s="50" t="s">
        <v>166</v>
      </c>
      <c r="Y38" s="51" t="s">
        <v>166</v>
      </c>
      <c r="Z38" s="48" t="s">
        <v>166</v>
      </c>
      <c r="AA38" s="48" t="s">
        <v>166</v>
      </c>
      <c r="AB38" s="48">
        <v>1.0</v>
      </c>
      <c r="AC38" s="48">
        <v>2.0</v>
      </c>
      <c r="AD38" s="48" t="s">
        <v>166</v>
      </c>
      <c r="AE38" s="48" t="s">
        <v>166</v>
      </c>
      <c r="AF38" s="50" t="s">
        <v>166</v>
      </c>
      <c r="AG38" s="51" t="s">
        <v>166</v>
      </c>
      <c r="AH38" s="51">
        <v>2.0</v>
      </c>
      <c r="AI38" s="48" t="s">
        <v>166</v>
      </c>
      <c r="AJ38" s="50" t="s">
        <v>166</v>
      </c>
      <c r="AK38" s="56">
        <v>448.0</v>
      </c>
      <c r="AL38" s="57">
        <f>AK38*Sheets!$E$3</f>
        <v>61.754784</v>
      </c>
      <c r="AM38" s="68"/>
      <c r="AN38" s="70"/>
      <c r="AO38" s="71" t="s">
        <v>181</v>
      </c>
      <c r="AP38" s="72">
        <v>45071.55112004629</v>
      </c>
      <c r="AQ38" s="66"/>
    </row>
    <row r="39">
      <c r="A39" s="82" t="str">
        <f>HYPERLINK("http://raijintek.com/en/index.php","Raijintek")</f>
        <v>Raijintek</v>
      </c>
      <c r="B39" s="83" t="str">
        <f>HYPERLINK("http://raijintek.com/en/products_detail.php?ProductID=122","Metis Evo")</f>
        <v>Metis Evo</v>
      </c>
      <c r="C39" s="63" t="s">
        <v>262</v>
      </c>
      <c r="D39" s="48">
        <v>290.0</v>
      </c>
      <c r="E39" s="48">
        <v>293.0</v>
      </c>
      <c r="F39" s="48">
        <v>263.0</v>
      </c>
      <c r="G39" s="49">
        <f t="shared" si="1"/>
        <v>22.34711</v>
      </c>
      <c r="H39" s="49">
        <f t="shared" si="2"/>
        <v>849.7</v>
      </c>
      <c r="I39" s="48">
        <v>4.35</v>
      </c>
      <c r="J39" s="48" t="s">
        <v>597</v>
      </c>
      <c r="K39" s="50" t="s">
        <v>1243</v>
      </c>
      <c r="L39" s="51">
        <v>135.0</v>
      </c>
      <c r="M39" s="50" t="s">
        <v>737</v>
      </c>
      <c r="N39" s="51" t="s">
        <v>166</v>
      </c>
      <c r="O39" s="48">
        <v>280.0</v>
      </c>
      <c r="P39" s="48">
        <v>140.0</v>
      </c>
      <c r="Q39" s="48">
        <v>40.0</v>
      </c>
      <c r="R39" s="48">
        <v>2.0</v>
      </c>
      <c r="S39" s="50" t="s">
        <v>166</v>
      </c>
      <c r="T39" s="52" t="s">
        <v>167</v>
      </c>
      <c r="U39" s="52" t="s">
        <v>686</v>
      </c>
      <c r="V39" s="51">
        <v>2.0</v>
      </c>
      <c r="W39" s="48">
        <v>2.0</v>
      </c>
      <c r="X39" s="50" t="s">
        <v>166</v>
      </c>
      <c r="Y39" s="51" t="s">
        <v>166</v>
      </c>
      <c r="Z39" s="48" t="s">
        <v>166</v>
      </c>
      <c r="AA39" s="48" t="s">
        <v>166</v>
      </c>
      <c r="AB39" s="48">
        <v>3.0</v>
      </c>
      <c r="AC39" s="48" t="s">
        <v>207</v>
      </c>
      <c r="AD39" s="48" t="s">
        <v>194</v>
      </c>
      <c r="AE39" s="48" t="s">
        <v>166</v>
      </c>
      <c r="AF39" s="50" t="s">
        <v>166</v>
      </c>
      <c r="AG39" s="51" t="s">
        <v>166</v>
      </c>
      <c r="AH39" s="51">
        <v>1.0</v>
      </c>
      <c r="AI39" s="48">
        <v>1.0</v>
      </c>
      <c r="AJ39" s="50" t="s">
        <v>166</v>
      </c>
      <c r="AK39" s="56" t="s">
        <v>166</v>
      </c>
      <c r="AL39" s="57">
        <v>149.9</v>
      </c>
      <c r="AM39" s="68"/>
      <c r="AN39" s="59"/>
      <c r="AO39" s="60"/>
      <c r="AP39" s="65">
        <v>45071.551183206015</v>
      </c>
      <c r="AQ39" s="66"/>
    </row>
    <row r="40">
      <c r="A40" s="61" t="s">
        <v>209</v>
      </c>
      <c r="B40" s="62" t="str">
        <f>HYPERLINK("https://www.silverstonetek.com/product.php?pid=293&amp;area=en","GD06")</f>
        <v>GD06</v>
      </c>
      <c r="C40" s="63" t="s">
        <v>225</v>
      </c>
      <c r="D40" s="48">
        <v>340.0</v>
      </c>
      <c r="E40" s="48">
        <v>440.0</v>
      </c>
      <c r="F40" s="48">
        <v>150.0</v>
      </c>
      <c r="G40" s="49">
        <f t="shared" si="1"/>
        <v>22.44</v>
      </c>
      <c r="H40" s="49">
        <f t="shared" si="2"/>
        <v>1496</v>
      </c>
      <c r="I40" s="48">
        <v>5.6</v>
      </c>
      <c r="J40" s="48" t="s">
        <v>171</v>
      </c>
      <c r="K40" s="50" t="s">
        <v>1419</v>
      </c>
      <c r="L40" s="51">
        <v>120.0</v>
      </c>
      <c r="M40" s="50" t="s">
        <v>166</v>
      </c>
      <c r="N40" s="51" t="s">
        <v>166</v>
      </c>
      <c r="O40" s="48">
        <v>279.0</v>
      </c>
      <c r="P40" s="48">
        <v>125.0</v>
      </c>
      <c r="Q40" s="48">
        <v>100.0</v>
      </c>
      <c r="R40" s="48">
        <v>5.0</v>
      </c>
      <c r="S40" s="50" t="s">
        <v>166</v>
      </c>
      <c r="T40" s="52" t="s">
        <v>1102</v>
      </c>
      <c r="U40" s="52" t="s">
        <v>599</v>
      </c>
      <c r="V40" s="51" t="s">
        <v>207</v>
      </c>
      <c r="W40" s="48" t="s">
        <v>562</v>
      </c>
      <c r="X40" s="50">
        <v>1.0</v>
      </c>
      <c r="Y40" s="51" t="s">
        <v>166</v>
      </c>
      <c r="Z40" s="48" t="s">
        <v>166</v>
      </c>
      <c r="AA40" s="48" t="s">
        <v>435</v>
      </c>
      <c r="AB40" s="48" t="s">
        <v>166</v>
      </c>
      <c r="AC40" s="48" t="s">
        <v>435</v>
      </c>
      <c r="AD40" s="48" t="s">
        <v>166</v>
      </c>
      <c r="AE40" s="48" t="s">
        <v>166</v>
      </c>
      <c r="AF40" s="50" t="s">
        <v>166</v>
      </c>
      <c r="AG40" s="51" t="s">
        <v>166</v>
      </c>
      <c r="AH40" s="51">
        <v>2.0</v>
      </c>
      <c r="AI40" s="48" t="s">
        <v>166</v>
      </c>
      <c r="AJ40" s="50" t="s">
        <v>174</v>
      </c>
      <c r="AK40" s="56" t="s">
        <v>166</v>
      </c>
      <c r="AL40" s="57" t="s">
        <v>170</v>
      </c>
      <c r="AM40" s="68"/>
      <c r="AN40" s="70"/>
      <c r="AO40" s="71"/>
      <c r="AP40" s="72">
        <v>45071.5512527199</v>
      </c>
      <c r="AQ40" s="66"/>
    </row>
    <row r="41">
      <c r="A41" s="61" t="s">
        <v>209</v>
      </c>
      <c r="B41" s="62" t="s">
        <v>1435</v>
      </c>
      <c r="C41" s="63" t="s">
        <v>262</v>
      </c>
      <c r="D41" s="48">
        <v>393.0</v>
      </c>
      <c r="E41" s="48">
        <v>270.0</v>
      </c>
      <c r="F41" s="48">
        <v>212.0</v>
      </c>
      <c r="G41" s="49">
        <f t="shared" si="1"/>
        <v>22.49532</v>
      </c>
      <c r="H41" s="49">
        <f t="shared" si="2"/>
        <v>1061.1</v>
      </c>
      <c r="I41" s="48">
        <v>4.1</v>
      </c>
      <c r="J41" s="48" t="s">
        <v>171</v>
      </c>
      <c r="K41" s="50" t="s">
        <v>1389</v>
      </c>
      <c r="L41" s="51">
        <v>82.0</v>
      </c>
      <c r="M41" s="50" t="s">
        <v>166</v>
      </c>
      <c r="N41" s="51" t="s">
        <v>166</v>
      </c>
      <c r="O41" s="48">
        <v>368.0</v>
      </c>
      <c r="P41" s="48">
        <v>113.0</v>
      </c>
      <c r="Q41" s="48">
        <v>80.0</v>
      </c>
      <c r="R41" s="48">
        <v>4.0</v>
      </c>
      <c r="S41" s="50" t="s">
        <v>166</v>
      </c>
      <c r="T41" s="52" t="s">
        <v>1102</v>
      </c>
      <c r="U41" s="52" t="s">
        <v>599</v>
      </c>
      <c r="V41" s="51" t="s">
        <v>166</v>
      </c>
      <c r="W41" s="48" t="s">
        <v>435</v>
      </c>
      <c r="X41" s="50">
        <v>2.0</v>
      </c>
      <c r="Y41" s="51" t="s">
        <v>166</v>
      </c>
      <c r="Z41" s="48" t="s">
        <v>166</v>
      </c>
      <c r="AA41" s="48">
        <v>3.0</v>
      </c>
      <c r="AB41" s="48" t="s">
        <v>166</v>
      </c>
      <c r="AC41" s="48" t="s">
        <v>166</v>
      </c>
      <c r="AD41" s="48" t="s">
        <v>166</v>
      </c>
      <c r="AE41" s="48" t="s">
        <v>166</v>
      </c>
      <c r="AF41" s="50" t="s">
        <v>166</v>
      </c>
      <c r="AG41" s="51" t="s">
        <v>166</v>
      </c>
      <c r="AH41" s="51">
        <v>3.0</v>
      </c>
      <c r="AI41" s="48" t="s">
        <v>166</v>
      </c>
      <c r="AJ41" s="50" t="s">
        <v>174</v>
      </c>
      <c r="AK41" s="56" t="s">
        <v>166</v>
      </c>
      <c r="AL41" s="57">
        <v>115.0</v>
      </c>
      <c r="AM41" s="58"/>
      <c r="AN41" s="70"/>
      <c r="AO41" s="71"/>
      <c r="AP41" s="160"/>
      <c r="AQ41" s="66"/>
    </row>
    <row r="42">
      <c r="A42" s="61" t="s">
        <v>209</v>
      </c>
      <c r="B42" s="83" t="str">
        <f>HYPERLINK("https://www.silverstonetek.com/product.php?pid=535&amp;area=en","SG11")</f>
        <v>SG11</v>
      </c>
      <c r="C42" s="63" t="s">
        <v>262</v>
      </c>
      <c r="D42" s="48">
        <v>393.0</v>
      </c>
      <c r="E42" s="48">
        <v>270.0</v>
      </c>
      <c r="F42" s="48">
        <v>212.0</v>
      </c>
      <c r="G42" s="49">
        <f t="shared" si="1"/>
        <v>22.49532</v>
      </c>
      <c r="H42" s="49">
        <f t="shared" si="2"/>
        <v>1061.1</v>
      </c>
      <c r="I42" s="48">
        <v>4.45</v>
      </c>
      <c r="J42" s="48" t="s">
        <v>171</v>
      </c>
      <c r="K42" s="50" t="s">
        <v>211</v>
      </c>
      <c r="L42" s="51">
        <v>82.0</v>
      </c>
      <c r="M42" s="50" t="s">
        <v>166</v>
      </c>
      <c r="N42" s="51" t="s">
        <v>166</v>
      </c>
      <c r="O42" s="48">
        <v>368.0</v>
      </c>
      <c r="P42" s="48">
        <v>113.0</v>
      </c>
      <c r="Q42" s="48">
        <v>80.0</v>
      </c>
      <c r="R42" s="48">
        <v>4.0</v>
      </c>
      <c r="S42" s="50" t="s">
        <v>166</v>
      </c>
      <c r="T42" s="52" t="s">
        <v>1102</v>
      </c>
      <c r="U42" s="52" t="s">
        <v>599</v>
      </c>
      <c r="V42" s="51" t="s">
        <v>1436</v>
      </c>
      <c r="W42" s="48" t="s">
        <v>426</v>
      </c>
      <c r="X42" s="50">
        <v>1.0</v>
      </c>
      <c r="Y42" s="51" t="s">
        <v>166</v>
      </c>
      <c r="Z42" s="48" t="s">
        <v>166</v>
      </c>
      <c r="AA42" s="48">
        <v>2.0</v>
      </c>
      <c r="AB42" s="48" t="s">
        <v>166</v>
      </c>
      <c r="AC42" s="48">
        <v>1.0</v>
      </c>
      <c r="AD42" s="48" t="s">
        <v>166</v>
      </c>
      <c r="AE42" s="48" t="s">
        <v>166</v>
      </c>
      <c r="AF42" s="50" t="s">
        <v>166</v>
      </c>
      <c r="AG42" s="51" t="s">
        <v>166</v>
      </c>
      <c r="AH42" s="51">
        <v>2.0</v>
      </c>
      <c r="AI42" s="48" t="s">
        <v>166</v>
      </c>
      <c r="AJ42" s="50" t="s">
        <v>174</v>
      </c>
      <c r="AK42" s="56" t="s">
        <v>166</v>
      </c>
      <c r="AL42" s="57" t="s">
        <v>170</v>
      </c>
      <c r="AM42" s="58"/>
      <c r="AN42" s="70"/>
      <c r="AO42" s="71"/>
      <c r="AP42" s="72">
        <v>44717.93781524306</v>
      </c>
      <c r="AQ42" s="66"/>
    </row>
    <row r="43">
      <c r="A43" s="82" t="str">
        <f t="shared" ref="A43:A44" si="4">HYPERLINK("http://www.phanteks.com/","Phanteks")</f>
        <v>Phanteks</v>
      </c>
      <c r="B43" s="62" t="s">
        <v>1437</v>
      </c>
      <c r="C43" s="63" t="s">
        <v>248</v>
      </c>
      <c r="D43" s="48">
        <v>274.0</v>
      </c>
      <c r="E43" s="48">
        <v>170.0</v>
      </c>
      <c r="F43" s="48">
        <v>484.0</v>
      </c>
      <c r="G43" s="49">
        <f t="shared" si="1"/>
        <v>22.54472</v>
      </c>
      <c r="H43" s="49">
        <f t="shared" si="2"/>
        <v>465.8</v>
      </c>
      <c r="I43" s="48">
        <v>6.6</v>
      </c>
      <c r="J43" s="48" t="s">
        <v>597</v>
      </c>
      <c r="K43" s="50" t="s">
        <v>512</v>
      </c>
      <c r="L43" s="51">
        <v>82.0</v>
      </c>
      <c r="M43" s="50" t="s">
        <v>1205</v>
      </c>
      <c r="N43" s="51" t="s">
        <v>174</v>
      </c>
      <c r="O43" s="48">
        <v>350.0</v>
      </c>
      <c r="P43" s="48" t="s">
        <v>170</v>
      </c>
      <c r="Q43" s="48">
        <v>40.0</v>
      </c>
      <c r="R43" s="48">
        <v>2.0</v>
      </c>
      <c r="S43" s="50" t="s">
        <v>166</v>
      </c>
      <c r="T43" s="52" t="s">
        <v>167</v>
      </c>
      <c r="U43" s="52" t="s">
        <v>346</v>
      </c>
      <c r="V43" s="51">
        <v>3.0</v>
      </c>
      <c r="W43" s="48">
        <v>1.0</v>
      </c>
      <c r="X43" s="50" t="s">
        <v>166</v>
      </c>
      <c r="Y43" s="51" t="s">
        <v>166</v>
      </c>
      <c r="Z43" s="48" t="s">
        <v>166</v>
      </c>
      <c r="AA43" s="48" t="s">
        <v>166</v>
      </c>
      <c r="AB43" s="48" t="s">
        <v>166</v>
      </c>
      <c r="AC43" s="48" t="s">
        <v>426</v>
      </c>
      <c r="AD43" s="48" t="s">
        <v>426</v>
      </c>
      <c r="AE43" s="48" t="s">
        <v>166</v>
      </c>
      <c r="AF43" s="50" t="s">
        <v>166</v>
      </c>
      <c r="AG43" s="51" t="s">
        <v>166</v>
      </c>
      <c r="AH43" s="51">
        <v>2.0</v>
      </c>
      <c r="AI43" s="48" t="s">
        <v>166</v>
      </c>
      <c r="AJ43" s="50" t="s">
        <v>166</v>
      </c>
      <c r="AK43" s="56" t="s">
        <v>166</v>
      </c>
      <c r="AL43" s="57">
        <v>109.99</v>
      </c>
      <c r="AM43" s="58"/>
      <c r="AN43" s="59"/>
      <c r="AO43" s="60" t="s">
        <v>181</v>
      </c>
      <c r="AP43" s="65">
        <v>44563.99808796296</v>
      </c>
      <c r="AQ43" s="66"/>
    </row>
    <row r="44">
      <c r="A44" s="82" t="str">
        <f t="shared" si="4"/>
        <v>Phanteks</v>
      </c>
      <c r="B44" s="62" t="s">
        <v>1438</v>
      </c>
      <c r="C44" s="63" t="s">
        <v>248</v>
      </c>
      <c r="D44" s="48">
        <v>274.0</v>
      </c>
      <c r="E44" s="48">
        <v>170.0</v>
      </c>
      <c r="F44" s="48">
        <v>484.0</v>
      </c>
      <c r="G44" s="49">
        <f t="shared" si="1"/>
        <v>22.54472</v>
      </c>
      <c r="H44" s="49">
        <f t="shared" si="2"/>
        <v>465.8</v>
      </c>
      <c r="I44" s="48">
        <v>5.0</v>
      </c>
      <c r="J44" s="48" t="s">
        <v>240</v>
      </c>
      <c r="K44" s="50" t="s">
        <v>512</v>
      </c>
      <c r="L44" s="51">
        <v>82.0</v>
      </c>
      <c r="M44" s="50" t="s">
        <v>1205</v>
      </c>
      <c r="N44" s="51" t="s">
        <v>174</v>
      </c>
      <c r="O44" s="48">
        <v>350.0</v>
      </c>
      <c r="P44" s="48" t="s">
        <v>170</v>
      </c>
      <c r="Q44" s="48">
        <v>40.0</v>
      </c>
      <c r="R44" s="48">
        <v>2.0</v>
      </c>
      <c r="S44" s="50" t="s">
        <v>166</v>
      </c>
      <c r="T44" s="52" t="s">
        <v>167</v>
      </c>
      <c r="U44" s="52" t="s">
        <v>346</v>
      </c>
      <c r="V44" s="51">
        <v>3.0</v>
      </c>
      <c r="W44" s="48">
        <v>1.0</v>
      </c>
      <c r="X44" s="50" t="s">
        <v>166</v>
      </c>
      <c r="Y44" s="51" t="s">
        <v>166</v>
      </c>
      <c r="Z44" s="48" t="s">
        <v>166</v>
      </c>
      <c r="AA44" s="48" t="s">
        <v>166</v>
      </c>
      <c r="AB44" s="48" t="s">
        <v>166</v>
      </c>
      <c r="AC44" s="48" t="s">
        <v>426</v>
      </c>
      <c r="AD44" s="48" t="s">
        <v>426</v>
      </c>
      <c r="AE44" s="48" t="s">
        <v>166</v>
      </c>
      <c r="AF44" s="50" t="s">
        <v>166</v>
      </c>
      <c r="AG44" s="51" t="s">
        <v>166</v>
      </c>
      <c r="AH44" s="51">
        <v>2.0</v>
      </c>
      <c r="AI44" s="48" t="s">
        <v>166</v>
      </c>
      <c r="AJ44" s="50" t="s">
        <v>166</v>
      </c>
      <c r="AK44" s="56" t="s">
        <v>166</v>
      </c>
      <c r="AL44" s="57">
        <v>109.99</v>
      </c>
      <c r="AM44" s="58"/>
      <c r="AN44" s="59"/>
      <c r="AO44" s="60" t="s">
        <v>181</v>
      </c>
      <c r="AP44" s="65">
        <v>44563.99811158565</v>
      </c>
      <c r="AQ44" s="66"/>
    </row>
    <row r="45">
      <c r="A45" s="82" t="str">
        <f>HYPERLINK("https://www.thermaltake.com/","Thermaltake")</f>
        <v>Thermaltake</v>
      </c>
      <c r="B45" s="62" t="s">
        <v>1439</v>
      </c>
      <c r="C45" s="63" t="s">
        <v>262</v>
      </c>
      <c r="D45" s="48">
        <v>316.0</v>
      </c>
      <c r="E45" s="48">
        <v>260.0</v>
      </c>
      <c r="F45" s="48">
        <v>276.0</v>
      </c>
      <c r="G45" s="49">
        <f t="shared" si="1"/>
        <v>22.67616</v>
      </c>
      <c r="H45" s="49">
        <f t="shared" si="2"/>
        <v>821.6</v>
      </c>
      <c r="I45" s="48" t="s">
        <v>170</v>
      </c>
      <c r="J45" s="48" t="s">
        <v>245</v>
      </c>
      <c r="K45" s="50" t="s">
        <v>447</v>
      </c>
      <c r="L45" s="51">
        <v>140.0</v>
      </c>
      <c r="M45" s="50" t="s">
        <v>737</v>
      </c>
      <c r="N45" s="51" t="s">
        <v>166</v>
      </c>
      <c r="O45" s="48">
        <v>285.0</v>
      </c>
      <c r="P45" s="48">
        <v>145.0</v>
      </c>
      <c r="Q45" s="48">
        <v>46.5</v>
      </c>
      <c r="R45" s="48">
        <v>2.0</v>
      </c>
      <c r="S45" s="50" t="s">
        <v>166</v>
      </c>
      <c r="T45" s="52" t="s">
        <v>167</v>
      </c>
      <c r="U45" s="52" t="s">
        <v>599</v>
      </c>
      <c r="V45" s="51">
        <v>2.0</v>
      </c>
      <c r="W45" s="48">
        <v>2.0</v>
      </c>
      <c r="X45" s="50" t="s">
        <v>166</v>
      </c>
      <c r="Y45" s="51" t="s">
        <v>166</v>
      </c>
      <c r="Z45" s="48" t="s">
        <v>166</v>
      </c>
      <c r="AA45" s="48">
        <v>2.0</v>
      </c>
      <c r="AB45" s="48" t="s">
        <v>166</v>
      </c>
      <c r="AC45" s="48" t="s">
        <v>194</v>
      </c>
      <c r="AD45" s="48" t="s">
        <v>194</v>
      </c>
      <c r="AE45" s="48" t="s">
        <v>166</v>
      </c>
      <c r="AF45" s="50" t="s">
        <v>194</v>
      </c>
      <c r="AG45" s="51" t="s">
        <v>166</v>
      </c>
      <c r="AH45" s="51">
        <v>2.0</v>
      </c>
      <c r="AI45" s="48" t="s">
        <v>166</v>
      </c>
      <c r="AJ45" s="50" t="s">
        <v>174</v>
      </c>
      <c r="AK45" s="56" t="s">
        <v>166</v>
      </c>
      <c r="AL45" s="57">
        <v>50.99</v>
      </c>
      <c r="AM45" s="58"/>
      <c r="AN45" s="59"/>
      <c r="AO45" s="60"/>
      <c r="AP45" s="65">
        <v>45071.55143229167</v>
      </c>
      <c r="AQ45" s="66"/>
    </row>
    <row r="46">
      <c r="A46" s="61" t="s">
        <v>209</v>
      </c>
      <c r="B46" s="62" t="s">
        <v>1440</v>
      </c>
      <c r="C46" s="63" t="s">
        <v>490</v>
      </c>
      <c r="D46" s="48">
        <v>411.0</v>
      </c>
      <c r="E46" s="48">
        <v>265.0</v>
      </c>
      <c r="F46" s="48">
        <v>209.0</v>
      </c>
      <c r="G46" s="49">
        <f t="shared" si="1"/>
        <v>22.763235</v>
      </c>
      <c r="H46" s="49">
        <f t="shared" si="2"/>
        <v>1089.15</v>
      </c>
      <c r="I46" s="48">
        <v>5.0</v>
      </c>
      <c r="J46" s="48" t="s">
        <v>171</v>
      </c>
      <c r="K46" s="50" t="s">
        <v>211</v>
      </c>
      <c r="L46" s="51">
        <v>82.0</v>
      </c>
      <c r="M46" s="50" t="s">
        <v>166</v>
      </c>
      <c r="N46" s="51" t="s">
        <v>166</v>
      </c>
      <c r="O46" s="48">
        <v>368.0</v>
      </c>
      <c r="P46" s="48" t="s">
        <v>170</v>
      </c>
      <c r="Q46" s="48">
        <v>80.0</v>
      </c>
      <c r="R46" s="48">
        <v>4.0</v>
      </c>
      <c r="S46" s="50" t="s">
        <v>166</v>
      </c>
      <c r="T46" s="52" t="s">
        <v>1102</v>
      </c>
      <c r="U46" s="52" t="s">
        <v>599</v>
      </c>
      <c r="V46" s="51" t="s">
        <v>1441</v>
      </c>
      <c r="W46" s="48" t="s">
        <v>1018</v>
      </c>
      <c r="X46" s="50" t="s">
        <v>166</v>
      </c>
      <c r="Y46" s="51">
        <v>3.0</v>
      </c>
      <c r="Z46" s="48" t="s">
        <v>166</v>
      </c>
      <c r="AA46" s="48">
        <v>3.0</v>
      </c>
      <c r="AB46" s="48" t="s">
        <v>166</v>
      </c>
      <c r="AC46" s="48" t="s">
        <v>166</v>
      </c>
      <c r="AD46" s="48" t="s">
        <v>166</v>
      </c>
      <c r="AE46" s="48" t="s">
        <v>166</v>
      </c>
      <c r="AF46" s="50" t="s">
        <v>166</v>
      </c>
      <c r="AG46" s="51" t="s">
        <v>166</v>
      </c>
      <c r="AH46" s="51">
        <v>2.0</v>
      </c>
      <c r="AI46" s="48">
        <v>1.0</v>
      </c>
      <c r="AJ46" s="50" t="s">
        <v>174</v>
      </c>
      <c r="AK46" s="56" t="s">
        <v>166</v>
      </c>
      <c r="AL46" s="57" t="s">
        <v>170</v>
      </c>
      <c r="AM46" s="68"/>
      <c r="AN46" s="59"/>
      <c r="AO46" s="60"/>
      <c r="AP46" s="65">
        <v>45316.012100300926</v>
      </c>
      <c r="AQ46" s="66"/>
    </row>
    <row r="47">
      <c r="A47" s="82" t="str">
        <f t="shared" ref="A47:A48" si="5">HYPERLINK("http://www.phanteks.com/","Phanteks")</f>
        <v>Phanteks</v>
      </c>
      <c r="B47" s="62" t="s">
        <v>1442</v>
      </c>
      <c r="C47" s="63" t="s">
        <v>248</v>
      </c>
      <c r="D47" s="48">
        <v>274.0</v>
      </c>
      <c r="E47" s="48">
        <v>170.0</v>
      </c>
      <c r="F47" s="48">
        <v>490.0</v>
      </c>
      <c r="G47" s="49">
        <f t="shared" si="1"/>
        <v>22.8242</v>
      </c>
      <c r="H47" s="49">
        <f t="shared" si="2"/>
        <v>465.8</v>
      </c>
      <c r="I47" s="48">
        <v>6.8</v>
      </c>
      <c r="J47" s="48" t="s">
        <v>597</v>
      </c>
      <c r="K47" s="50" t="s">
        <v>512</v>
      </c>
      <c r="L47" s="51">
        <v>85.0</v>
      </c>
      <c r="M47" s="50">
        <v>120.0</v>
      </c>
      <c r="N47" s="51" t="s">
        <v>174</v>
      </c>
      <c r="O47" s="48">
        <v>335.0</v>
      </c>
      <c r="P47" s="48">
        <v>150.0</v>
      </c>
      <c r="Q47" s="48">
        <v>59.0</v>
      </c>
      <c r="R47" s="48">
        <v>2.0</v>
      </c>
      <c r="S47" s="50" t="s">
        <v>166</v>
      </c>
      <c r="T47" s="52" t="s">
        <v>167</v>
      </c>
      <c r="U47" s="52" t="s">
        <v>346</v>
      </c>
      <c r="V47" s="51">
        <v>4.0</v>
      </c>
      <c r="W47" s="48">
        <v>1.0</v>
      </c>
      <c r="X47" s="50" t="s">
        <v>166</v>
      </c>
      <c r="Y47" s="51" t="s">
        <v>166</v>
      </c>
      <c r="Z47" s="48" t="s">
        <v>166</v>
      </c>
      <c r="AA47" s="48" t="s">
        <v>166</v>
      </c>
      <c r="AB47" s="48" t="s">
        <v>166</v>
      </c>
      <c r="AC47" s="48" t="s">
        <v>426</v>
      </c>
      <c r="AD47" s="48" t="s">
        <v>426</v>
      </c>
      <c r="AE47" s="48" t="s">
        <v>166</v>
      </c>
      <c r="AF47" s="50" t="s">
        <v>166</v>
      </c>
      <c r="AG47" s="51" t="s">
        <v>166</v>
      </c>
      <c r="AH47" s="51">
        <v>2.0</v>
      </c>
      <c r="AI47" s="48" t="s">
        <v>166</v>
      </c>
      <c r="AJ47" s="50" t="s">
        <v>166</v>
      </c>
      <c r="AK47" s="56" t="s">
        <v>166</v>
      </c>
      <c r="AL47" s="57">
        <v>109.99</v>
      </c>
      <c r="AM47" s="58"/>
      <c r="AN47" s="59"/>
      <c r="AO47" s="60"/>
      <c r="AP47" s="159"/>
      <c r="AQ47" s="66"/>
    </row>
    <row r="48">
      <c r="A48" s="82" t="str">
        <f t="shared" si="5"/>
        <v>Phanteks</v>
      </c>
      <c r="B48" s="62" t="s">
        <v>1443</v>
      </c>
      <c r="C48" s="63" t="s">
        <v>248</v>
      </c>
      <c r="D48" s="48">
        <v>274.0</v>
      </c>
      <c r="E48" s="48">
        <v>170.0</v>
      </c>
      <c r="F48" s="48">
        <v>490.0</v>
      </c>
      <c r="G48" s="49">
        <f t="shared" si="1"/>
        <v>22.8242</v>
      </c>
      <c r="H48" s="49">
        <f t="shared" si="2"/>
        <v>465.8</v>
      </c>
      <c r="I48" s="48">
        <v>4.9</v>
      </c>
      <c r="J48" s="48" t="s">
        <v>240</v>
      </c>
      <c r="K48" s="50" t="s">
        <v>512</v>
      </c>
      <c r="L48" s="51">
        <v>85.0</v>
      </c>
      <c r="M48" s="50">
        <v>120.0</v>
      </c>
      <c r="N48" s="51" t="s">
        <v>174</v>
      </c>
      <c r="O48" s="48">
        <v>335.0</v>
      </c>
      <c r="P48" s="48">
        <v>150.0</v>
      </c>
      <c r="Q48" s="48">
        <v>59.0</v>
      </c>
      <c r="R48" s="48">
        <v>2.0</v>
      </c>
      <c r="S48" s="50" t="s">
        <v>166</v>
      </c>
      <c r="T48" s="52" t="s">
        <v>167</v>
      </c>
      <c r="U48" s="52" t="s">
        <v>346</v>
      </c>
      <c r="V48" s="51">
        <v>4.0</v>
      </c>
      <c r="W48" s="48">
        <v>1.0</v>
      </c>
      <c r="X48" s="50" t="s">
        <v>166</v>
      </c>
      <c r="Y48" s="51" t="s">
        <v>166</v>
      </c>
      <c r="Z48" s="48" t="s">
        <v>166</v>
      </c>
      <c r="AA48" s="48" t="s">
        <v>166</v>
      </c>
      <c r="AB48" s="48" t="s">
        <v>166</v>
      </c>
      <c r="AC48" s="48" t="s">
        <v>426</v>
      </c>
      <c r="AD48" s="48" t="s">
        <v>426</v>
      </c>
      <c r="AE48" s="48" t="s">
        <v>166</v>
      </c>
      <c r="AF48" s="50" t="s">
        <v>166</v>
      </c>
      <c r="AG48" s="51" t="s">
        <v>166</v>
      </c>
      <c r="AH48" s="51">
        <v>2.0</v>
      </c>
      <c r="AI48" s="48" t="s">
        <v>166</v>
      </c>
      <c r="AJ48" s="50" t="s">
        <v>166</v>
      </c>
      <c r="AK48" s="56" t="s">
        <v>166</v>
      </c>
      <c r="AL48" s="57">
        <v>109.99</v>
      </c>
      <c r="AM48" s="58"/>
      <c r="AN48" s="59"/>
      <c r="AO48" s="60"/>
      <c r="AP48" s="159"/>
      <c r="AQ48" s="66"/>
    </row>
    <row r="49">
      <c r="A49" s="82" t="str">
        <f>HYPERLINK("https://www.thermaltake.com/","Thermaltake")</f>
        <v>Thermaltake</v>
      </c>
      <c r="B49" s="83" t="str">
        <f>HYPERLINK("https://www.thermaltake.com/suppressor-f1.html","Suppressor F1")</f>
        <v>Suppressor F1</v>
      </c>
      <c r="C49" s="63" t="s">
        <v>262</v>
      </c>
      <c r="D49" s="48">
        <v>319.0</v>
      </c>
      <c r="E49" s="48">
        <v>260.0</v>
      </c>
      <c r="F49" s="48">
        <v>276.0</v>
      </c>
      <c r="G49" s="49">
        <f t="shared" si="1"/>
        <v>22.89144</v>
      </c>
      <c r="H49" s="49">
        <f t="shared" si="2"/>
        <v>829.4</v>
      </c>
      <c r="I49" s="48">
        <v>3.2</v>
      </c>
      <c r="J49" s="48" t="s">
        <v>245</v>
      </c>
      <c r="K49" s="50" t="s">
        <v>447</v>
      </c>
      <c r="L49" s="51">
        <v>140.0</v>
      </c>
      <c r="M49" s="50" t="s">
        <v>737</v>
      </c>
      <c r="N49" s="51" t="s">
        <v>166</v>
      </c>
      <c r="O49" s="48">
        <v>285.0</v>
      </c>
      <c r="P49" s="48">
        <v>145.0</v>
      </c>
      <c r="Q49" s="48">
        <v>40.0</v>
      </c>
      <c r="R49" s="48">
        <v>2.0</v>
      </c>
      <c r="S49" s="50" t="s">
        <v>166</v>
      </c>
      <c r="T49" s="52" t="s">
        <v>167</v>
      </c>
      <c r="U49" s="52" t="s">
        <v>599</v>
      </c>
      <c r="V49" s="51">
        <v>2.0</v>
      </c>
      <c r="W49" s="48">
        <v>2.0</v>
      </c>
      <c r="X49" s="50" t="s">
        <v>166</v>
      </c>
      <c r="Y49" s="51" t="s">
        <v>166</v>
      </c>
      <c r="Z49" s="48" t="s">
        <v>166</v>
      </c>
      <c r="AA49" s="48">
        <v>2.0</v>
      </c>
      <c r="AB49" s="48" t="s">
        <v>166</v>
      </c>
      <c r="AC49" s="48" t="s">
        <v>194</v>
      </c>
      <c r="AD49" s="48" t="s">
        <v>194</v>
      </c>
      <c r="AE49" s="48" t="s">
        <v>166</v>
      </c>
      <c r="AF49" s="50" t="s">
        <v>166</v>
      </c>
      <c r="AG49" s="51" t="s">
        <v>166</v>
      </c>
      <c r="AH49" s="51">
        <v>2.0</v>
      </c>
      <c r="AI49" s="48" t="s">
        <v>166</v>
      </c>
      <c r="AJ49" s="50" t="s">
        <v>174</v>
      </c>
      <c r="AK49" s="56" t="s">
        <v>166</v>
      </c>
      <c r="AL49" s="57">
        <v>69.99</v>
      </c>
      <c r="AM49" s="58"/>
      <c r="AN49" s="59"/>
      <c r="AO49" s="60"/>
      <c r="AP49" s="65">
        <v>45071.55153275463</v>
      </c>
      <c r="AQ49" s="66"/>
    </row>
    <row r="50">
      <c r="A50" s="61" t="s">
        <v>209</v>
      </c>
      <c r="B50" s="62" t="str">
        <f>HYPERLINK("https://www.silverstonetek.com/product.php?pid=345&amp;area=en","SG09")</f>
        <v>SG09</v>
      </c>
      <c r="C50" s="63" t="s">
        <v>262</v>
      </c>
      <c r="D50" s="48">
        <v>354.0</v>
      </c>
      <c r="E50" s="48">
        <v>220.0</v>
      </c>
      <c r="F50" s="48">
        <v>295.0</v>
      </c>
      <c r="G50" s="49">
        <f t="shared" si="1"/>
        <v>22.9746</v>
      </c>
      <c r="H50" s="49">
        <f t="shared" si="2"/>
        <v>778.8</v>
      </c>
      <c r="I50" s="48">
        <v>5.3</v>
      </c>
      <c r="J50" s="48" t="s">
        <v>171</v>
      </c>
      <c r="K50" s="50" t="s">
        <v>211</v>
      </c>
      <c r="L50" s="51">
        <v>165.0</v>
      </c>
      <c r="M50" s="50" t="s">
        <v>166</v>
      </c>
      <c r="N50" s="51" t="s">
        <v>166</v>
      </c>
      <c r="O50" s="48">
        <v>337.0</v>
      </c>
      <c r="P50" s="48">
        <v>170.0</v>
      </c>
      <c r="Q50" s="48">
        <v>80.0</v>
      </c>
      <c r="R50" s="48">
        <v>4.0</v>
      </c>
      <c r="S50" s="50" t="s">
        <v>166</v>
      </c>
      <c r="T50" s="52" t="s">
        <v>1102</v>
      </c>
      <c r="U50" s="52" t="s">
        <v>599</v>
      </c>
      <c r="V50" s="51">
        <v>4.0</v>
      </c>
      <c r="W50" s="48">
        <v>2.0</v>
      </c>
      <c r="X50" s="50" t="s">
        <v>208</v>
      </c>
      <c r="Y50" s="51" t="s">
        <v>166</v>
      </c>
      <c r="Z50" s="48" t="s">
        <v>166</v>
      </c>
      <c r="AA50" s="48" t="s">
        <v>412</v>
      </c>
      <c r="AB50" s="48" t="s">
        <v>426</v>
      </c>
      <c r="AC50" s="48" t="s">
        <v>207</v>
      </c>
      <c r="AD50" s="48" t="s">
        <v>194</v>
      </c>
      <c r="AE50" s="48" t="s">
        <v>166</v>
      </c>
      <c r="AF50" s="50" t="s">
        <v>166</v>
      </c>
      <c r="AG50" s="51" t="s">
        <v>166</v>
      </c>
      <c r="AH50" s="51">
        <v>2.0</v>
      </c>
      <c r="AI50" s="48" t="s">
        <v>166</v>
      </c>
      <c r="AJ50" s="50" t="s">
        <v>174</v>
      </c>
      <c r="AK50" s="56" t="s">
        <v>166</v>
      </c>
      <c r="AL50" s="57" t="s">
        <v>170</v>
      </c>
      <c r="AM50" s="68"/>
      <c r="AN50" s="70"/>
      <c r="AO50" s="71"/>
      <c r="AP50" s="72">
        <v>45071.551565092595</v>
      </c>
      <c r="AQ50" s="66"/>
    </row>
    <row r="51">
      <c r="A51" s="61" t="s">
        <v>209</v>
      </c>
      <c r="B51" s="62" t="str">
        <f>HYPERLINK("https://www.silverstonetek.com/product.php?pid=392&amp;area=en","SG10")</f>
        <v>SG10</v>
      </c>
      <c r="C51" s="63" t="s">
        <v>262</v>
      </c>
      <c r="D51" s="48">
        <v>354.0</v>
      </c>
      <c r="E51" s="48">
        <v>220.0</v>
      </c>
      <c r="F51" s="48">
        <v>295.0</v>
      </c>
      <c r="G51" s="49">
        <f t="shared" si="1"/>
        <v>22.9746</v>
      </c>
      <c r="H51" s="49">
        <f t="shared" si="2"/>
        <v>778.8</v>
      </c>
      <c r="I51" s="48">
        <v>5.8</v>
      </c>
      <c r="J51" s="48" t="s">
        <v>171</v>
      </c>
      <c r="K51" s="50" t="s">
        <v>512</v>
      </c>
      <c r="L51" s="51">
        <v>165.0</v>
      </c>
      <c r="M51" s="50" t="s">
        <v>166</v>
      </c>
      <c r="N51" s="51" t="s">
        <v>166</v>
      </c>
      <c r="O51" s="48">
        <v>337.0</v>
      </c>
      <c r="P51" s="48">
        <v>170.0</v>
      </c>
      <c r="Q51" s="48">
        <v>80.0</v>
      </c>
      <c r="R51" s="48">
        <v>4.0</v>
      </c>
      <c r="S51" s="50" t="s">
        <v>166</v>
      </c>
      <c r="T51" s="52" t="s">
        <v>1102</v>
      </c>
      <c r="U51" s="52" t="s">
        <v>599</v>
      </c>
      <c r="V51" s="51">
        <v>4.0</v>
      </c>
      <c r="W51" s="48">
        <v>2.0</v>
      </c>
      <c r="X51" s="50" t="s">
        <v>208</v>
      </c>
      <c r="Y51" s="51" t="s">
        <v>166</v>
      </c>
      <c r="Z51" s="48" t="s">
        <v>166</v>
      </c>
      <c r="AA51" s="48" t="s">
        <v>412</v>
      </c>
      <c r="AB51" s="48" t="s">
        <v>426</v>
      </c>
      <c r="AC51" s="48" t="s">
        <v>207</v>
      </c>
      <c r="AD51" s="48" t="s">
        <v>194</v>
      </c>
      <c r="AE51" s="48" t="s">
        <v>166</v>
      </c>
      <c r="AF51" s="50" t="s">
        <v>166</v>
      </c>
      <c r="AG51" s="51" t="s">
        <v>166</v>
      </c>
      <c r="AH51" s="51">
        <v>2.0</v>
      </c>
      <c r="AI51" s="48" t="s">
        <v>166</v>
      </c>
      <c r="AJ51" s="50" t="s">
        <v>174</v>
      </c>
      <c r="AK51" s="56" t="s">
        <v>166</v>
      </c>
      <c r="AL51" s="57" t="s">
        <v>170</v>
      </c>
      <c r="AM51" s="68"/>
      <c r="AN51" s="70"/>
      <c r="AO51" s="71"/>
      <c r="AP51" s="72">
        <v>45071.55158303241</v>
      </c>
      <c r="AQ51" s="66"/>
    </row>
    <row r="52">
      <c r="A52" s="61" t="s">
        <v>209</v>
      </c>
      <c r="B52" s="83" t="str">
        <f>HYPERLINK("https://www.silverstonetek.com/product.php?pid=540&amp;area=en","SG12")</f>
        <v>SG12</v>
      </c>
      <c r="C52" s="63" t="s">
        <v>262</v>
      </c>
      <c r="D52" s="48">
        <v>412.0</v>
      </c>
      <c r="E52" s="48">
        <v>266.0</v>
      </c>
      <c r="F52" s="48">
        <v>210.0</v>
      </c>
      <c r="G52" s="49">
        <f t="shared" si="1"/>
        <v>23.01432</v>
      </c>
      <c r="H52" s="49">
        <f t="shared" si="2"/>
        <v>1095.92</v>
      </c>
      <c r="I52" s="48">
        <v>5.0</v>
      </c>
      <c r="J52" s="48" t="s">
        <v>171</v>
      </c>
      <c r="K52" s="50" t="s">
        <v>512</v>
      </c>
      <c r="L52" s="51">
        <v>82.0</v>
      </c>
      <c r="M52" s="50" t="s">
        <v>166</v>
      </c>
      <c r="N52" s="51" t="s">
        <v>166</v>
      </c>
      <c r="O52" s="48">
        <v>368.0</v>
      </c>
      <c r="P52" s="48">
        <v>113.0</v>
      </c>
      <c r="Q52" s="48">
        <v>80.0</v>
      </c>
      <c r="R52" s="48">
        <v>4.0</v>
      </c>
      <c r="S52" s="50" t="s">
        <v>166</v>
      </c>
      <c r="T52" s="52" t="s">
        <v>1102</v>
      </c>
      <c r="U52" s="52" t="s">
        <v>599</v>
      </c>
      <c r="V52" s="51" t="s">
        <v>1436</v>
      </c>
      <c r="W52" s="48" t="s">
        <v>426</v>
      </c>
      <c r="X52" s="50">
        <v>1.0</v>
      </c>
      <c r="Y52" s="51" t="s">
        <v>166</v>
      </c>
      <c r="Z52" s="48" t="s">
        <v>166</v>
      </c>
      <c r="AA52" s="48">
        <v>2.0</v>
      </c>
      <c r="AB52" s="48" t="s">
        <v>166</v>
      </c>
      <c r="AC52" s="48">
        <v>1.0</v>
      </c>
      <c r="AD52" s="48" t="s">
        <v>166</v>
      </c>
      <c r="AE52" s="48" t="s">
        <v>166</v>
      </c>
      <c r="AF52" s="50" t="s">
        <v>166</v>
      </c>
      <c r="AG52" s="51" t="s">
        <v>166</v>
      </c>
      <c r="AH52" s="51">
        <v>1.0</v>
      </c>
      <c r="AI52" s="48">
        <v>1.0</v>
      </c>
      <c r="AJ52" s="50" t="s">
        <v>174</v>
      </c>
      <c r="AK52" s="56" t="s">
        <v>166</v>
      </c>
      <c r="AL52" s="57" t="s">
        <v>170</v>
      </c>
      <c r="AM52" s="68"/>
      <c r="AN52" s="70"/>
      <c r="AO52" s="71"/>
      <c r="AP52" s="72">
        <v>44717.93773641204</v>
      </c>
      <c r="AQ52" s="66"/>
    </row>
    <row r="53">
      <c r="A53" s="82" t="str">
        <f>HYPERLINK("http://sliger.com/","Sliger")</f>
        <v>Sliger</v>
      </c>
      <c r="B53" s="62" t="s">
        <v>1444</v>
      </c>
      <c r="C53" s="63" t="s">
        <v>262</v>
      </c>
      <c r="D53" s="48">
        <v>380.0</v>
      </c>
      <c r="E53" s="48">
        <v>172.0</v>
      </c>
      <c r="F53" s="48">
        <v>358.0</v>
      </c>
      <c r="G53" s="49">
        <f t="shared" si="1"/>
        <v>23.39888</v>
      </c>
      <c r="H53" s="49">
        <f t="shared" si="2"/>
        <v>653.6</v>
      </c>
      <c r="I53" s="48">
        <v>4.9</v>
      </c>
      <c r="J53" s="48" t="s">
        <v>274</v>
      </c>
      <c r="K53" s="50" t="s">
        <v>1072</v>
      </c>
      <c r="L53" s="51">
        <v>149.0</v>
      </c>
      <c r="M53" s="50" t="s">
        <v>825</v>
      </c>
      <c r="N53" s="51" t="s">
        <v>166</v>
      </c>
      <c r="O53" s="48">
        <v>330.0</v>
      </c>
      <c r="P53" s="48">
        <v>153.0</v>
      </c>
      <c r="Q53" s="48">
        <v>160.0</v>
      </c>
      <c r="R53" s="48">
        <v>8.0</v>
      </c>
      <c r="S53" s="50" t="s">
        <v>166</v>
      </c>
      <c r="T53" s="52" t="s">
        <v>1445</v>
      </c>
      <c r="U53" s="52" t="s">
        <v>816</v>
      </c>
      <c r="V53" s="51">
        <v>2.0</v>
      </c>
      <c r="W53" s="48" t="s">
        <v>166</v>
      </c>
      <c r="X53" s="50" t="s">
        <v>166</v>
      </c>
      <c r="Y53" s="51" t="s">
        <v>166</v>
      </c>
      <c r="Z53" s="48" t="s">
        <v>166</v>
      </c>
      <c r="AA53" s="48" t="s">
        <v>166</v>
      </c>
      <c r="AB53" s="48" t="s">
        <v>166</v>
      </c>
      <c r="AC53" s="48">
        <v>3.0</v>
      </c>
      <c r="AD53" s="48">
        <v>2.0</v>
      </c>
      <c r="AE53" s="48" t="s">
        <v>166</v>
      </c>
      <c r="AF53" s="50" t="s">
        <v>166</v>
      </c>
      <c r="AG53" s="51" t="s">
        <v>166</v>
      </c>
      <c r="AH53" s="51">
        <v>2.0</v>
      </c>
      <c r="AI53" s="48" t="s">
        <v>166</v>
      </c>
      <c r="AJ53" s="50" t="s">
        <v>166</v>
      </c>
      <c r="AK53" s="56" t="s">
        <v>166</v>
      </c>
      <c r="AL53" s="57">
        <v>265.0</v>
      </c>
      <c r="AM53" s="64" t="str">
        <f>HYPERLINK("https://smallformfactor.net/forum/threads/chimera-industries-cerberus-the-18l-matx-usa-made-enclosure.454/","Link")</f>
        <v>Link</v>
      </c>
      <c r="AN53" s="64" t="s">
        <v>214</v>
      </c>
      <c r="AO53" s="60"/>
      <c r="AP53" s="65">
        <v>45071.55170108796</v>
      </c>
      <c r="AQ53" s="66"/>
    </row>
    <row r="54">
      <c r="A54" s="61" t="s">
        <v>438</v>
      </c>
      <c r="B54" s="67" t="s">
        <v>1446</v>
      </c>
      <c r="C54" s="63" t="s">
        <v>262</v>
      </c>
      <c r="D54" s="48">
        <v>358.0</v>
      </c>
      <c r="E54" s="48">
        <v>153.0</v>
      </c>
      <c r="F54" s="48">
        <v>429.0</v>
      </c>
      <c r="G54" s="49">
        <f t="shared" si="1"/>
        <v>23.498046</v>
      </c>
      <c r="H54" s="49">
        <f t="shared" si="2"/>
        <v>547.74</v>
      </c>
      <c r="I54" s="48">
        <v>4.7</v>
      </c>
      <c r="J54" s="48" t="s">
        <v>235</v>
      </c>
      <c r="K54" s="50" t="s">
        <v>252</v>
      </c>
      <c r="L54" s="51">
        <v>127.0</v>
      </c>
      <c r="M54" s="50" t="s">
        <v>909</v>
      </c>
      <c r="N54" s="51" t="s">
        <v>232</v>
      </c>
      <c r="O54" s="48">
        <v>346.0</v>
      </c>
      <c r="P54" s="48">
        <v>190.0</v>
      </c>
      <c r="Q54" s="48">
        <v>60.0</v>
      </c>
      <c r="R54" s="48">
        <v>3.0</v>
      </c>
      <c r="S54" s="50" t="s">
        <v>166</v>
      </c>
      <c r="T54" s="52" t="s">
        <v>696</v>
      </c>
      <c r="U54" s="52" t="s">
        <v>346</v>
      </c>
      <c r="V54" s="51">
        <v>2.0</v>
      </c>
      <c r="W54" s="48" t="s">
        <v>166</v>
      </c>
      <c r="X54" s="50" t="s">
        <v>166</v>
      </c>
      <c r="Y54" s="51" t="s">
        <v>166</v>
      </c>
      <c r="Z54" s="48" t="s">
        <v>166</v>
      </c>
      <c r="AA54" s="48" t="s">
        <v>166</v>
      </c>
      <c r="AB54" s="48" t="s">
        <v>166</v>
      </c>
      <c r="AC54" s="48" t="s">
        <v>1447</v>
      </c>
      <c r="AD54" s="48" t="s">
        <v>166</v>
      </c>
      <c r="AE54" s="48" t="s">
        <v>166</v>
      </c>
      <c r="AF54" s="50" t="s">
        <v>166</v>
      </c>
      <c r="AG54" s="51" t="s">
        <v>166</v>
      </c>
      <c r="AH54" s="51">
        <v>2.0</v>
      </c>
      <c r="AI54" s="48" t="s">
        <v>166</v>
      </c>
      <c r="AJ54" s="50" t="s">
        <v>166</v>
      </c>
      <c r="AK54" s="56" t="s">
        <v>166</v>
      </c>
      <c r="AL54" s="57">
        <f>8100*0.03</f>
        <v>243</v>
      </c>
      <c r="AM54" s="58"/>
      <c r="AN54" s="59"/>
      <c r="AO54" s="60" t="s">
        <v>181</v>
      </c>
      <c r="AP54" s="65">
        <v>44617.78391462963</v>
      </c>
      <c r="AQ54" s="66"/>
    </row>
    <row r="55">
      <c r="A55" s="61" t="s">
        <v>398</v>
      </c>
      <c r="B55" s="62" t="s">
        <v>1448</v>
      </c>
      <c r="C55" s="63" t="s">
        <v>248</v>
      </c>
      <c r="D55" s="48">
        <v>426.0</v>
      </c>
      <c r="E55" s="48">
        <v>170.0</v>
      </c>
      <c r="F55" s="48">
        <v>325.0</v>
      </c>
      <c r="G55" s="49">
        <f t="shared" si="1"/>
        <v>23.5365</v>
      </c>
      <c r="H55" s="49">
        <f t="shared" si="2"/>
        <v>724.2</v>
      </c>
      <c r="I55" s="48">
        <v>5.1</v>
      </c>
      <c r="J55" s="48" t="s">
        <v>898</v>
      </c>
      <c r="K55" s="50" t="s">
        <v>217</v>
      </c>
      <c r="L55" s="51">
        <v>50.0</v>
      </c>
      <c r="M55" s="50" t="s">
        <v>547</v>
      </c>
      <c r="N55" s="51" t="s">
        <v>174</v>
      </c>
      <c r="O55" s="48">
        <v>320.0</v>
      </c>
      <c r="P55" s="48" t="s">
        <v>170</v>
      </c>
      <c r="Q55" s="48">
        <v>40.0</v>
      </c>
      <c r="R55" s="48">
        <v>2.0</v>
      </c>
      <c r="S55" s="50" t="s">
        <v>166</v>
      </c>
      <c r="T55" s="52" t="s">
        <v>167</v>
      </c>
      <c r="U55" s="52" t="s">
        <v>324</v>
      </c>
      <c r="V55" s="51">
        <v>2.0</v>
      </c>
      <c r="W55" s="48" t="s">
        <v>166</v>
      </c>
      <c r="X55" s="50" t="s">
        <v>166</v>
      </c>
      <c r="Y55" s="51" t="s">
        <v>166</v>
      </c>
      <c r="Z55" s="48" t="s">
        <v>166</v>
      </c>
      <c r="AA55" s="48" t="s">
        <v>166</v>
      </c>
      <c r="AB55" s="48" t="s">
        <v>166</v>
      </c>
      <c r="AC55" s="48">
        <v>4.0</v>
      </c>
      <c r="AD55" s="48" t="s">
        <v>166</v>
      </c>
      <c r="AE55" s="48" t="s">
        <v>166</v>
      </c>
      <c r="AF55" s="50" t="s">
        <v>166</v>
      </c>
      <c r="AG55" s="51" t="s">
        <v>166</v>
      </c>
      <c r="AH55" s="51">
        <v>2.0</v>
      </c>
      <c r="AI55" s="48" t="s">
        <v>166</v>
      </c>
      <c r="AJ55" s="50" t="s">
        <v>174</v>
      </c>
      <c r="AK55" s="56" t="s">
        <v>166</v>
      </c>
      <c r="AL55" s="57" t="s">
        <v>170</v>
      </c>
      <c r="AM55" s="58"/>
      <c r="AN55" s="59"/>
      <c r="AO55" s="60"/>
      <c r="AP55" s="65"/>
      <c r="AQ55" s="66"/>
    </row>
    <row r="56">
      <c r="A56" s="61" t="s">
        <v>398</v>
      </c>
      <c r="B56" s="62" t="s">
        <v>1449</v>
      </c>
      <c r="C56" s="63" t="s">
        <v>248</v>
      </c>
      <c r="D56" s="48">
        <v>426.0</v>
      </c>
      <c r="E56" s="48">
        <v>170.0</v>
      </c>
      <c r="F56" s="48">
        <v>325.0</v>
      </c>
      <c r="G56" s="49">
        <f t="shared" si="1"/>
        <v>23.5365</v>
      </c>
      <c r="H56" s="49">
        <f t="shared" si="2"/>
        <v>724.2</v>
      </c>
      <c r="I56" s="48">
        <v>5.1</v>
      </c>
      <c r="J56" s="48" t="s">
        <v>653</v>
      </c>
      <c r="K56" s="50" t="s">
        <v>217</v>
      </c>
      <c r="L56" s="51">
        <v>50.0</v>
      </c>
      <c r="M56" s="50" t="s">
        <v>547</v>
      </c>
      <c r="N56" s="51" t="s">
        <v>174</v>
      </c>
      <c r="O56" s="48">
        <v>320.0</v>
      </c>
      <c r="P56" s="48" t="s">
        <v>170</v>
      </c>
      <c r="Q56" s="48">
        <v>40.0</v>
      </c>
      <c r="R56" s="48">
        <v>2.0</v>
      </c>
      <c r="S56" s="50" t="s">
        <v>166</v>
      </c>
      <c r="T56" s="52" t="s">
        <v>167</v>
      </c>
      <c r="U56" s="52" t="s">
        <v>324</v>
      </c>
      <c r="V56" s="51">
        <v>2.0</v>
      </c>
      <c r="W56" s="48" t="s">
        <v>166</v>
      </c>
      <c r="X56" s="50" t="s">
        <v>166</v>
      </c>
      <c r="Y56" s="51" t="s">
        <v>166</v>
      </c>
      <c r="Z56" s="48" t="s">
        <v>166</v>
      </c>
      <c r="AA56" s="48" t="s">
        <v>166</v>
      </c>
      <c r="AB56" s="48" t="s">
        <v>166</v>
      </c>
      <c r="AC56" s="48">
        <v>4.0</v>
      </c>
      <c r="AD56" s="48" t="s">
        <v>166</v>
      </c>
      <c r="AE56" s="48" t="s">
        <v>166</v>
      </c>
      <c r="AF56" s="50" t="s">
        <v>166</v>
      </c>
      <c r="AG56" s="51" t="s">
        <v>166</v>
      </c>
      <c r="AH56" s="51">
        <v>2.0</v>
      </c>
      <c r="AI56" s="48" t="s">
        <v>166</v>
      </c>
      <c r="AJ56" s="50" t="s">
        <v>174</v>
      </c>
      <c r="AK56" s="56" t="s">
        <v>166</v>
      </c>
      <c r="AL56" s="57" t="s">
        <v>170</v>
      </c>
      <c r="AM56" s="58"/>
      <c r="AN56" s="59"/>
      <c r="AO56" s="60"/>
      <c r="AP56" s="65"/>
      <c r="AQ56" s="66"/>
    </row>
    <row r="57">
      <c r="A57" s="82" t="str">
        <f>HYPERLINK("https://www.thermaltake.com/","Thermaltake")</f>
        <v>Thermaltake</v>
      </c>
      <c r="B57" s="83" t="str">
        <f>HYPERLINK("https://www.thermaltake.com/core-g3.html","Core G3")</f>
        <v>Core G3</v>
      </c>
      <c r="C57" s="63" t="s">
        <v>262</v>
      </c>
      <c r="D57" s="48">
        <v>371.0</v>
      </c>
      <c r="E57" s="48">
        <v>140.0</v>
      </c>
      <c r="F57" s="48">
        <v>454.0</v>
      </c>
      <c r="G57" s="49">
        <f t="shared" si="1"/>
        <v>23.58076</v>
      </c>
      <c r="H57" s="49">
        <f t="shared" si="2"/>
        <v>519.4</v>
      </c>
      <c r="I57" s="48">
        <v>4.2</v>
      </c>
      <c r="J57" s="48" t="s">
        <v>245</v>
      </c>
      <c r="K57" s="50" t="s">
        <v>447</v>
      </c>
      <c r="L57" s="51">
        <v>110.0</v>
      </c>
      <c r="M57" s="50" t="s">
        <v>547</v>
      </c>
      <c r="N57" s="51" t="s">
        <v>174</v>
      </c>
      <c r="O57" s="48">
        <v>310.0</v>
      </c>
      <c r="P57" s="48" t="s">
        <v>170</v>
      </c>
      <c r="Q57" s="48">
        <v>40.0</v>
      </c>
      <c r="R57" s="48">
        <v>2.0</v>
      </c>
      <c r="S57" s="50" t="s">
        <v>166</v>
      </c>
      <c r="T57" s="52" t="s">
        <v>696</v>
      </c>
      <c r="U57" s="52" t="s">
        <v>324</v>
      </c>
      <c r="V57" s="51" t="s">
        <v>193</v>
      </c>
      <c r="W57" s="48" t="s">
        <v>193</v>
      </c>
      <c r="X57" s="50" t="s">
        <v>166</v>
      </c>
      <c r="Y57" s="51" t="s">
        <v>166</v>
      </c>
      <c r="Z57" s="48" t="s">
        <v>166</v>
      </c>
      <c r="AA57" s="48" t="s">
        <v>166</v>
      </c>
      <c r="AB57" s="48" t="s">
        <v>166</v>
      </c>
      <c r="AC57" s="48">
        <v>3.0</v>
      </c>
      <c r="AD57" s="48" t="s">
        <v>166</v>
      </c>
      <c r="AE57" s="48" t="s">
        <v>166</v>
      </c>
      <c r="AF57" s="50" t="s">
        <v>166</v>
      </c>
      <c r="AG57" s="51">
        <v>2.0</v>
      </c>
      <c r="AH57" s="51">
        <v>2.0</v>
      </c>
      <c r="AI57" s="48" t="s">
        <v>166</v>
      </c>
      <c r="AJ57" s="50" t="s">
        <v>174</v>
      </c>
      <c r="AK57" s="56" t="s">
        <v>166</v>
      </c>
      <c r="AL57" s="57">
        <v>84.99</v>
      </c>
      <c r="AM57" s="58"/>
      <c r="AN57" s="59"/>
      <c r="AO57" s="60"/>
      <c r="AP57" s="65">
        <v>45071.55191923611</v>
      </c>
      <c r="AQ57" s="66"/>
    </row>
    <row r="58">
      <c r="A58" s="61" t="s">
        <v>438</v>
      </c>
      <c r="B58" s="62" t="s">
        <v>1450</v>
      </c>
      <c r="C58" s="63" t="s">
        <v>262</v>
      </c>
      <c r="D58" s="48">
        <v>357.0</v>
      </c>
      <c r="E58" s="48">
        <v>153.0</v>
      </c>
      <c r="F58" s="48">
        <v>433.0</v>
      </c>
      <c r="G58" s="49">
        <f t="shared" si="1"/>
        <v>23.650893</v>
      </c>
      <c r="H58" s="49">
        <f t="shared" si="2"/>
        <v>546.21</v>
      </c>
      <c r="I58" s="48">
        <v>4.7</v>
      </c>
      <c r="J58" s="48" t="s">
        <v>597</v>
      </c>
      <c r="K58" s="50" t="s">
        <v>252</v>
      </c>
      <c r="L58" s="51">
        <v>127.0</v>
      </c>
      <c r="M58" s="50" t="s">
        <v>909</v>
      </c>
      <c r="N58" s="51" t="s">
        <v>174</v>
      </c>
      <c r="O58" s="48">
        <v>285.0</v>
      </c>
      <c r="P58" s="48">
        <v>190.0</v>
      </c>
      <c r="Q58" s="48">
        <v>60.0</v>
      </c>
      <c r="R58" s="48">
        <v>3.0</v>
      </c>
      <c r="S58" s="50" t="s">
        <v>166</v>
      </c>
      <c r="T58" s="52" t="s">
        <v>696</v>
      </c>
      <c r="U58" s="52" t="s">
        <v>346</v>
      </c>
      <c r="V58" s="51">
        <v>2.0</v>
      </c>
      <c r="W58" s="48" t="s">
        <v>166</v>
      </c>
      <c r="X58" s="50" t="s">
        <v>166</v>
      </c>
      <c r="Y58" s="51" t="s">
        <v>166</v>
      </c>
      <c r="Z58" s="48" t="s">
        <v>166</v>
      </c>
      <c r="AA58" s="48" t="s">
        <v>166</v>
      </c>
      <c r="AB58" s="48" t="s">
        <v>166</v>
      </c>
      <c r="AC58" s="48">
        <v>6.0</v>
      </c>
      <c r="AD58" s="48" t="s">
        <v>166</v>
      </c>
      <c r="AE58" s="48" t="s">
        <v>166</v>
      </c>
      <c r="AF58" s="50" t="s">
        <v>166</v>
      </c>
      <c r="AG58" s="51" t="s">
        <v>166</v>
      </c>
      <c r="AH58" s="51">
        <v>2.0</v>
      </c>
      <c r="AI58" s="48" t="s">
        <v>166</v>
      </c>
      <c r="AJ58" s="50" t="s">
        <v>166</v>
      </c>
      <c r="AK58" s="56" t="s">
        <v>166</v>
      </c>
      <c r="AL58" s="57">
        <f>7600*0.03</f>
        <v>228</v>
      </c>
      <c r="AM58" s="58"/>
      <c r="AN58" s="59"/>
      <c r="AO58" s="60"/>
      <c r="AP58" s="65">
        <v>44617.78550302083</v>
      </c>
      <c r="AQ58" s="66"/>
    </row>
    <row r="59">
      <c r="A59" s="61" t="s">
        <v>1451</v>
      </c>
      <c r="B59" s="62" t="s">
        <v>1452</v>
      </c>
      <c r="C59" s="63" t="s">
        <v>262</v>
      </c>
      <c r="D59" s="48">
        <v>314.8</v>
      </c>
      <c r="E59" s="48">
        <v>195.0</v>
      </c>
      <c r="F59" s="48">
        <v>385.4</v>
      </c>
      <c r="G59" s="49">
        <f t="shared" si="1"/>
        <v>23.6581644</v>
      </c>
      <c r="H59" s="49">
        <f t="shared" si="2"/>
        <v>613.86</v>
      </c>
      <c r="I59" s="48" t="s">
        <v>170</v>
      </c>
      <c r="J59" s="48" t="s">
        <v>653</v>
      </c>
      <c r="K59" s="50" t="s">
        <v>1453</v>
      </c>
      <c r="L59" s="51">
        <v>156.0</v>
      </c>
      <c r="M59" s="50">
        <v>120.0</v>
      </c>
      <c r="N59" s="51" t="s">
        <v>166</v>
      </c>
      <c r="O59" s="48">
        <v>260.0</v>
      </c>
      <c r="P59" s="48">
        <v>161.0</v>
      </c>
      <c r="Q59" s="48">
        <v>80.0</v>
      </c>
      <c r="R59" s="48">
        <v>4.0</v>
      </c>
      <c r="S59" s="50" t="s">
        <v>166</v>
      </c>
      <c r="T59" s="52" t="s">
        <v>423</v>
      </c>
      <c r="U59" s="52" t="s">
        <v>599</v>
      </c>
      <c r="V59" s="51">
        <v>4.0</v>
      </c>
      <c r="W59" s="48">
        <v>2.0</v>
      </c>
      <c r="X59" s="50" t="s">
        <v>166</v>
      </c>
      <c r="Y59" s="51" t="s">
        <v>166</v>
      </c>
      <c r="Z59" s="48" t="s">
        <v>166</v>
      </c>
      <c r="AA59" s="48" t="s">
        <v>166</v>
      </c>
      <c r="AB59" s="48" t="s">
        <v>166</v>
      </c>
      <c r="AC59" s="48">
        <v>3.0</v>
      </c>
      <c r="AD59" s="48" t="s">
        <v>166</v>
      </c>
      <c r="AE59" s="48" t="s">
        <v>166</v>
      </c>
      <c r="AF59" s="50" t="s">
        <v>166</v>
      </c>
      <c r="AG59" s="51">
        <v>2.0</v>
      </c>
      <c r="AH59" s="51">
        <v>1.0</v>
      </c>
      <c r="AI59" s="48" t="s">
        <v>166</v>
      </c>
      <c r="AJ59" s="50" t="s">
        <v>174</v>
      </c>
      <c r="AK59" s="56" t="s">
        <v>166</v>
      </c>
      <c r="AL59" s="57" t="s">
        <v>170</v>
      </c>
      <c r="AM59" s="58"/>
      <c r="AN59" s="59"/>
      <c r="AO59" s="60"/>
      <c r="AP59" s="65">
        <v>45071.55199344907</v>
      </c>
      <c r="AQ59" s="66"/>
    </row>
    <row r="60">
      <c r="A60" s="61" t="s">
        <v>1451</v>
      </c>
      <c r="B60" s="62" t="s">
        <v>1454</v>
      </c>
      <c r="C60" s="63" t="s">
        <v>262</v>
      </c>
      <c r="D60" s="48">
        <v>314.8</v>
      </c>
      <c r="E60" s="48">
        <v>195.0</v>
      </c>
      <c r="F60" s="48">
        <v>385.4</v>
      </c>
      <c r="G60" s="49">
        <f t="shared" si="1"/>
        <v>23.6581644</v>
      </c>
      <c r="H60" s="49">
        <f t="shared" si="2"/>
        <v>613.86</v>
      </c>
      <c r="I60" s="48" t="s">
        <v>170</v>
      </c>
      <c r="J60" s="48" t="s">
        <v>597</v>
      </c>
      <c r="K60" s="50" t="s">
        <v>1455</v>
      </c>
      <c r="L60" s="51">
        <v>156.0</v>
      </c>
      <c r="M60" s="50">
        <v>120.0</v>
      </c>
      <c r="N60" s="51" t="s">
        <v>166</v>
      </c>
      <c r="O60" s="48">
        <v>260.0</v>
      </c>
      <c r="P60" s="48">
        <v>161.0</v>
      </c>
      <c r="Q60" s="48">
        <v>80.0</v>
      </c>
      <c r="R60" s="48">
        <v>4.0</v>
      </c>
      <c r="S60" s="50" t="s">
        <v>166</v>
      </c>
      <c r="T60" s="52" t="s">
        <v>423</v>
      </c>
      <c r="U60" s="52" t="s">
        <v>599</v>
      </c>
      <c r="V60" s="51">
        <v>4.0</v>
      </c>
      <c r="W60" s="48">
        <v>2.0</v>
      </c>
      <c r="X60" s="50" t="s">
        <v>166</v>
      </c>
      <c r="Y60" s="51" t="s">
        <v>166</v>
      </c>
      <c r="Z60" s="48" t="s">
        <v>166</v>
      </c>
      <c r="AA60" s="48" t="s">
        <v>166</v>
      </c>
      <c r="AB60" s="48" t="s">
        <v>166</v>
      </c>
      <c r="AC60" s="48">
        <v>3.0</v>
      </c>
      <c r="AD60" s="48" t="s">
        <v>166</v>
      </c>
      <c r="AE60" s="48" t="s">
        <v>166</v>
      </c>
      <c r="AF60" s="50" t="s">
        <v>166</v>
      </c>
      <c r="AG60" s="51">
        <v>2.0</v>
      </c>
      <c r="AH60" s="51">
        <v>1.0</v>
      </c>
      <c r="AI60" s="48" t="s">
        <v>166</v>
      </c>
      <c r="AJ60" s="50" t="s">
        <v>174</v>
      </c>
      <c r="AK60" s="56" t="s">
        <v>166</v>
      </c>
      <c r="AL60" s="57" t="s">
        <v>170</v>
      </c>
      <c r="AM60" s="58"/>
      <c r="AN60" s="59"/>
      <c r="AO60" s="60"/>
      <c r="AP60" s="65">
        <v>45071.551995625</v>
      </c>
      <c r="AQ60" s="66"/>
    </row>
    <row r="61">
      <c r="A61" s="61" t="s">
        <v>1451</v>
      </c>
      <c r="B61" s="62" t="s">
        <v>1456</v>
      </c>
      <c r="C61" s="63" t="s">
        <v>262</v>
      </c>
      <c r="D61" s="48">
        <v>340.6</v>
      </c>
      <c r="E61" s="48">
        <v>197.5</v>
      </c>
      <c r="F61" s="48">
        <v>353.0</v>
      </c>
      <c r="G61" s="49">
        <f t="shared" si="1"/>
        <v>23.7457805</v>
      </c>
      <c r="H61" s="49">
        <f t="shared" si="2"/>
        <v>672.685</v>
      </c>
      <c r="I61" s="48" t="s">
        <v>170</v>
      </c>
      <c r="J61" s="48" t="s">
        <v>245</v>
      </c>
      <c r="K61" s="50" t="s">
        <v>1457</v>
      </c>
      <c r="L61" s="51">
        <v>157.0</v>
      </c>
      <c r="M61" s="50" t="s">
        <v>547</v>
      </c>
      <c r="N61" s="51" t="s">
        <v>166</v>
      </c>
      <c r="O61" s="48">
        <v>286.0</v>
      </c>
      <c r="P61" s="48">
        <v>162.0</v>
      </c>
      <c r="Q61" s="48">
        <v>80.0</v>
      </c>
      <c r="R61" s="48">
        <v>4.0</v>
      </c>
      <c r="S61" s="50" t="s">
        <v>166</v>
      </c>
      <c r="T61" s="52" t="s">
        <v>423</v>
      </c>
      <c r="U61" s="52" t="s">
        <v>599</v>
      </c>
      <c r="V61" s="51">
        <v>2.0</v>
      </c>
      <c r="W61" s="48">
        <v>1.0</v>
      </c>
      <c r="X61" s="50" t="s">
        <v>166</v>
      </c>
      <c r="Y61" s="51" t="s">
        <v>166</v>
      </c>
      <c r="Z61" s="48" t="s">
        <v>166</v>
      </c>
      <c r="AA61" s="48" t="s">
        <v>166</v>
      </c>
      <c r="AB61" s="48" t="s">
        <v>166</v>
      </c>
      <c r="AC61" s="48">
        <v>3.0</v>
      </c>
      <c r="AD61" s="48" t="s">
        <v>166</v>
      </c>
      <c r="AE61" s="48" t="s">
        <v>166</v>
      </c>
      <c r="AF61" s="50" t="s">
        <v>166</v>
      </c>
      <c r="AG61" s="51">
        <v>1.0</v>
      </c>
      <c r="AH61" s="51">
        <v>1.0</v>
      </c>
      <c r="AI61" s="48" t="s">
        <v>166</v>
      </c>
      <c r="AJ61" s="50" t="s">
        <v>174</v>
      </c>
      <c r="AK61" s="56" t="s">
        <v>166</v>
      </c>
      <c r="AL61" s="57" t="s">
        <v>170</v>
      </c>
      <c r="AM61" s="58"/>
      <c r="AN61" s="59"/>
      <c r="AO61" s="60"/>
      <c r="AP61" s="65">
        <v>45071.55200523148</v>
      </c>
      <c r="AQ61" s="66"/>
    </row>
    <row r="62">
      <c r="A62" s="61" t="s">
        <v>942</v>
      </c>
      <c r="B62" s="83" t="str">
        <f>HYPERLINK("http://www.lian-li.com/pc-tu150/","TU150")</f>
        <v>TU150</v>
      </c>
      <c r="C62" s="63" t="s">
        <v>262</v>
      </c>
      <c r="D62" s="48">
        <v>375.0</v>
      </c>
      <c r="E62" s="48">
        <v>203.0</v>
      </c>
      <c r="F62" s="48">
        <v>312.0</v>
      </c>
      <c r="G62" s="49">
        <f t="shared" si="1"/>
        <v>23.751</v>
      </c>
      <c r="H62" s="49">
        <f t="shared" si="2"/>
        <v>761.25</v>
      </c>
      <c r="I62" s="48">
        <v>3.6</v>
      </c>
      <c r="J62" s="48" t="s">
        <v>235</v>
      </c>
      <c r="K62" s="50" t="s">
        <v>1458</v>
      </c>
      <c r="L62" s="51">
        <v>165.0</v>
      </c>
      <c r="M62" s="50">
        <v>120.0</v>
      </c>
      <c r="N62" s="51" t="s">
        <v>166</v>
      </c>
      <c r="O62" s="48">
        <v>320.0</v>
      </c>
      <c r="P62" s="48">
        <v>170.0</v>
      </c>
      <c r="Q62" s="48">
        <v>60.0</v>
      </c>
      <c r="R62" s="48">
        <v>3.0</v>
      </c>
      <c r="S62" s="50" t="s">
        <v>166</v>
      </c>
      <c r="T62" s="52" t="s">
        <v>227</v>
      </c>
      <c r="U62" s="52" t="s">
        <v>346</v>
      </c>
      <c r="V62" s="51" t="s">
        <v>207</v>
      </c>
      <c r="W62" s="48" t="s">
        <v>194</v>
      </c>
      <c r="X62" s="50" t="s">
        <v>166</v>
      </c>
      <c r="Y62" s="51" t="s">
        <v>166</v>
      </c>
      <c r="Z62" s="48" t="s">
        <v>166</v>
      </c>
      <c r="AA62" s="48" t="s">
        <v>166</v>
      </c>
      <c r="AB62" s="48" t="s">
        <v>166</v>
      </c>
      <c r="AC62" s="48">
        <v>4.0</v>
      </c>
      <c r="AD62" s="48" t="s">
        <v>166</v>
      </c>
      <c r="AE62" s="48" t="s">
        <v>166</v>
      </c>
      <c r="AF62" s="50" t="s">
        <v>166</v>
      </c>
      <c r="AG62" s="51" t="s">
        <v>166</v>
      </c>
      <c r="AH62" s="51">
        <v>2.0</v>
      </c>
      <c r="AI62" s="48">
        <v>1.0</v>
      </c>
      <c r="AJ62" s="50" t="s">
        <v>174</v>
      </c>
      <c r="AK62" s="56" t="s">
        <v>166</v>
      </c>
      <c r="AL62" s="57">
        <v>109.99</v>
      </c>
      <c r="AM62" s="58"/>
      <c r="AN62" s="59"/>
      <c r="AO62" s="60"/>
      <c r="AP62" s="65">
        <v>45071.55203141204</v>
      </c>
      <c r="AQ62" s="66"/>
    </row>
    <row r="63">
      <c r="A63" s="46" t="str">
        <f>HYPERLINK("https://shop309038390.world.taobao.com/","ZZAW")</f>
        <v>ZZAW</v>
      </c>
      <c r="B63" s="46" t="s">
        <v>1459</v>
      </c>
      <c r="C63" s="63" t="s">
        <v>262</v>
      </c>
      <c r="D63" s="48">
        <v>338.0</v>
      </c>
      <c r="E63" s="48">
        <v>165.0</v>
      </c>
      <c r="F63" s="48">
        <v>428.0</v>
      </c>
      <c r="G63" s="49">
        <f t="shared" si="1"/>
        <v>23.86956</v>
      </c>
      <c r="H63" s="49">
        <f t="shared" si="2"/>
        <v>557.7</v>
      </c>
      <c r="I63" s="48">
        <v>2.7</v>
      </c>
      <c r="J63" s="48" t="s">
        <v>597</v>
      </c>
      <c r="K63" s="50" t="s">
        <v>185</v>
      </c>
      <c r="L63" s="51">
        <v>138.0</v>
      </c>
      <c r="M63" s="50" t="s">
        <v>825</v>
      </c>
      <c r="N63" s="51" t="s">
        <v>166</v>
      </c>
      <c r="O63" s="48">
        <v>340.0</v>
      </c>
      <c r="P63" s="48">
        <v>143.0</v>
      </c>
      <c r="Q63" s="48">
        <v>80.0</v>
      </c>
      <c r="R63" s="48">
        <v>4.0</v>
      </c>
      <c r="S63" s="50" t="s">
        <v>166</v>
      </c>
      <c r="T63" s="52" t="s">
        <v>423</v>
      </c>
      <c r="U63" s="52" t="s">
        <v>599</v>
      </c>
      <c r="V63" s="51">
        <v>2.0</v>
      </c>
      <c r="W63" s="48">
        <v>2.0</v>
      </c>
      <c r="X63" s="50" t="s">
        <v>166</v>
      </c>
      <c r="Y63" s="51" t="s">
        <v>166</v>
      </c>
      <c r="Z63" s="48" t="s">
        <v>166</v>
      </c>
      <c r="AA63" s="48" t="s">
        <v>166</v>
      </c>
      <c r="AB63" s="48">
        <v>1.0</v>
      </c>
      <c r="AC63" s="48" t="s">
        <v>416</v>
      </c>
      <c r="AD63" s="48" t="s">
        <v>193</v>
      </c>
      <c r="AE63" s="48" t="s">
        <v>166</v>
      </c>
      <c r="AF63" s="50" t="s">
        <v>166</v>
      </c>
      <c r="AG63" s="51" t="s">
        <v>166</v>
      </c>
      <c r="AH63" s="51">
        <v>1.0</v>
      </c>
      <c r="AI63" s="48">
        <v>1.0</v>
      </c>
      <c r="AJ63" s="50" t="s">
        <v>174</v>
      </c>
      <c r="AK63" s="56">
        <v>448.0</v>
      </c>
      <c r="AL63" s="57">
        <f>AK63*Sheets!$E$3</f>
        <v>61.754784</v>
      </c>
      <c r="AM63" s="68"/>
      <c r="AN63" s="70"/>
      <c r="AO63" s="71"/>
      <c r="AP63" s="72">
        <v>44761.825365439814</v>
      </c>
      <c r="AQ63" s="66"/>
    </row>
    <row r="64">
      <c r="A64" s="61" t="s">
        <v>1451</v>
      </c>
      <c r="B64" s="62" t="s">
        <v>1460</v>
      </c>
      <c r="C64" s="63" t="s">
        <v>262</v>
      </c>
      <c r="D64" s="48">
        <v>340.6</v>
      </c>
      <c r="E64" s="48">
        <v>199.0</v>
      </c>
      <c r="F64" s="48">
        <v>353.0</v>
      </c>
      <c r="G64" s="49">
        <f t="shared" si="1"/>
        <v>23.9261282</v>
      </c>
      <c r="H64" s="49">
        <f t="shared" si="2"/>
        <v>677.794</v>
      </c>
      <c r="I64" s="48" t="s">
        <v>170</v>
      </c>
      <c r="J64" s="48" t="s">
        <v>171</v>
      </c>
      <c r="K64" s="50" t="s">
        <v>1461</v>
      </c>
      <c r="L64" s="51">
        <v>167.0</v>
      </c>
      <c r="M64" s="50" t="s">
        <v>547</v>
      </c>
      <c r="N64" s="51" t="s">
        <v>166</v>
      </c>
      <c r="O64" s="48">
        <v>286.0</v>
      </c>
      <c r="P64" s="48">
        <v>172.0</v>
      </c>
      <c r="Q64" s="48">
        <v>80.0</v>
      </c>
      <c r="R64" s="48">
        <v>4.0</v>
      </c>
      <c r="S64" s="50" t="s">
        <v>166</v>
      </c>
      <c r="T64" s="52" t="s">
        <v>423</v>
      </c>
      <c r="U64" s="52" t="s">
        <v>599</v>
      </c>
      <c r="V64" s="51">
        <v>2.0</v>
      </c>
      <c r="W64" s="48">
        <v>1.0</v>
      </c>
      <c r="X64" s="50">
        <v>1.0</v>
      </c>
      <c r="Y64" s="51" t="s">
        <v>166</v>
      </c>
      <c r="Z64" s="48" t="s">
        <v>166</v>
      </c>
      <c r="AA64" s="48" t="s">
        <v>166</v>
      </c>
      <c r="AB64" s="48" t="s">
        <v>166</v>
      </c>
      <c r="AC64" s="48" t="s">
        <v>562</v>
      </c>
      <c r="AD64" s="48" t="s">
        <v>166</v>
      </c>
      <c r="AE64" s="48" t="s">
        <v>166</v>
      </c>
      <c r="AF64" s="50" t="s">
        <v>166</v>
      </c>
      <c r="AG64" s="51">
        <v>2.0</v>
      </c>
      <c r="AH64" s="51">
        <v>1.0</v>
      </c>
      <c r="AI64" s="48" t="s">
        <v>166</v>
      </c>
      <c r="AJ64" s="50" t="s">
        <v>174</v>
      </c>
      <c r="AK64" s="56" t="s">
        <v>166</v>
      </c>
      <c r="AL64" s="57" t="s">
        <v>170</v>
      </c>
      <c r="AM64" s="58"/>
      <c r="AN64" s="59"/>
      <c r="AO64" s="60"/>
      <c r="AP64" s="65">
        <v>45071.55209190972</v>
      </c>
      <c r="AQ64" s="66"/>
    </row>
    <row r="65">
      <c r="A65" s="61" t="s">
        <v>1451</v>
      </c>
      <c r="B65" s="62" t="s">
        <v>1462</v>
      </c>
      <c r="C65" s="63" t="s">
        <v>262</v>
      </c>
      <c r="D65" s="48">
        <v>340.6</v>
      </c>
      <c r="E65" s="48">
        <v>199.0</v>
      </c>
      <c r="F65" s="48">
        <v>353.0</v>
      </c>
      <c r="G65" s="49">
        <f t="shared" si="1"/>
        <v>23.9261282</v>
      </c>
      <c r="H65" s="49">
        <f t="shared" si="2"/>
        <v>677.794</v>
      </c>
      <c r="I65" s="48" t="s">
        <v>170</v>
      </c>
      <c r="J65" s="48" t="s">
        <v>171</v>
      </c>
      <c r="K65" s="50" t="s">
        <v>1457</v>
      </c>
      <c r="L65" s="51">
        <v>167.0</v>
      </c>
      <c r="M65" s="50">
        <v>120.0</v>
      </c>
      <c r="N65" s="51" t="s">
        <v>166</v>
      </c>
      <c r="O65" s="48">
        <v>286.0</v>
      </c>
      <c r="P65" s="48">
        <v>172.0</v>
      </c>
      <c r="Q65" s="48">
        <v>80.0</v>
      </c>
      <c r="R65" s="48">
        <v>4.0</v>
      </c>
      <c r="S65" s="50" t="s">
        <v>166</v>
      </c>
      <c r="T65" s="52" t="s">
        <v>423</v>
      </c>
      <c r="U65" s="52" t="s">
        <v>599</v>
      </c>
      <c r="V65" s="51">
        <v>2.0</v>
      </c>
      <c r="W65" s="48">
        <v>1.0</v>
      </c>
      <c r="X65" s="50" t="s">
        <v>166</v>
      </c>
      <c r="Y65" s="51" t="s">
        <v>166</v>
      </c>
      <c r="Z65" s="48" t="s">
        <v>166</v>
      </c>
      <c r="AA65" s="48" t="s">
        <v>166</v>
      </c>
      <c r="AB65" s="48" t="s">
        <v>166</v>
      </c>
      <c r="AC65" s="48">
        <v>4.0</v>
      </c>
      <c r="AD65" s="48" t="s">
        <v>166</v>
      </c>
      <c r="AE65" s="48" t="s">
        <v>166</v>
      </c>
      <c r="AF65" s="50" t="s">
        <v>166</v>
      </c>
      <c r="AG65" s="51">
        <v>1.0</v>
      </c>
      <c r="AH65" s="51">
        <v>1.0</v>
      </c>
      <c r="AI65" s="48" t="s">
        <v>166</v>
      </c>
      <c r="AJ65" s="50" t="s">
        <v>174</v>
      </c>
      <c r="AK65" s="56" t="s">
        <v>166</v>
      </c>
      <c r="AL65" s="57" t="s">
        <v>170</v>
      </c>
      <c r="AM65" s="58"/>
      <c r="AN65" s="59"/>
      <c r="AO65" s="60"/>
      <c r="AP65" s="65">
        <v>45071.552111006946</v>
      </c>
      <c r="AQ65" s="66"/>
    </row>
    <row r="66">
      <c r="A66" s="61" t="s">
        <v>1451</v>
      </c>
      <c r="B66" s="62" t="s">
        <v>1463</v>
      </c>
      <c r="C66" s="63" t="s">
        <v>262</v>
      </c>
      <c r="D66" s="48">
        <v>355.0</v>
      </c>
      <c r="E66" s="48">
        <v>187.0</v>
      </c>
      <c r="F66" s="48">
        <v>361.0</v>
      </c>
      <c r="G66" s="49">
        <f t="shared" si="1"/>
        <v>23.964985</v>
      </c>
      <c r="H66" s="49">
        <f t="shared" si="2"/>
        <v>663.85</v>
      </c>
      <c r="I66" s="48">
        <v>2.25</v>
      </c>
      <c r="J66" s="48" t="s">
        <v>171</v>
      </c>
      <c r="K66" s="50" t="s">
        <v>1464</v>
      </c>
      <c r="L66" s="51">
        <v>148.0</v>
      </c>
      <c r="M66" s="50">
        <v>120.0</v>
      </c>
      <c r="N66" s="51" t="s">
        <v>166</v>
      </c>
      <c r="O66" s="48">
        <v>320.0</v>
      </c>
      <c r="P66" s="48">
        <v>153.0</v>
      </c>
      <c r="Q66" s="48">
        <v>80.0</v>
      </c>
      <c r="R66" s="48">
        <v>4.0</v>
      </c>
      <c r="S66" s="50" t="s">
        <v>166</v>
      </c>
      <c r="T66" s="52" t="s">
        <v>423</v>
      </c>
      <c r="U66" s="52" t="s">
        <v>599</v>
      </c>
      <c r="V66" s="51">
        <v>1.0</v>
      </c>
      <c r="W66" s="48">
        <v>2.0</v>
      </c>
      <c r="X66" s="50">
        <v>1.0</v>
      </c>
      <c r="Y66" s="51" t="s">
        <v>166</v>
      </c>
      <c r="Z66" s="48" t="s">
        <v>166</v>
      </c>
      <c r="AA66" s="48">
        <v>3.0</v>
      </c>
      <c r="AB66" s="48" t="s">
        <v>166</v>
      </c>
      <c r="AC66" s="48" t="s">
        <v>194</v>
      </c>
      <c r="AD66" s="48" t="s">
        <v>194</v>
      </c>
      <c r="AE66" s="48" t="s">
        <v>166</v>
      </c>
      <c r="AF66" s="50" t="s">
        <v>166</v>
      </c>
      <c r="AG66" s="51">
        <v>1.0</v>
      </c>
      <c r="AH66" s="51">
        <v>1.0</v>
      </c>
      <c r="AI66" s="48" t="s">
        <v>166</v>
      </c>
      <c r="AJ66" s="50" t="s">
        <v>174</v>
      </c>
      <c r="AK66" s="56" t="s">
        <v>166</v>
      </c>
      <c r="AL66" s="57" t="s">
        <v>170</v>
      </c>
      <c r="AM66" s="58"/>
      <c r="AN66" s="59"/>
      <c r="AO66" s="60"/>
      <c r="AP66" s="65">
        <v>45071.55216083334</v>
      </c>
      <c r="AQ66" s="66"/>
    </row>
    <row r="67">
      <c r="A67" s="61" t="s">
        <v>398</v>
      </c>
      <c r="B67" s="62" t="s">
        <v>1465</v>
      </c>
      <c r="C67" s="63" t="s">
        <v>248</v>
      </c>
      <c r="D67" s="48">
        <v>435.0</v>
      </c>
      <c r="E67" s="48">
        <v>170.0</v>
      </c>
      <c r="F67" s="48">
        <v>325.0</v>
      </c>
      <c r="G67" s="49">
        <f t="shared" si="1"/>
        <v>24.03375</v>
      </c>
      <c r="H67" s="49">
        <f t="shared" si="2"/>
        <v>739.5</v>
      </c>
      <c r="I67" s="48">
        <v>5.1</v>
      </c>
      <c r="J67" s="48" t="s">
        <v>898</v>
      </c>
      <c r="K67" s="50" t="s">
        <v>217</v>
      </c>
      <c r="L67" s="51">
        <v>50.0</v>
      </c>
      <c r="M67" s="50" t="s">
        <v>547</v>
      </c>
      <c r="N67" s="51" t="s">
        <v>174</v>
      </c>
      <c r="O67" s="48">
        <v>320.0</v>
      </c>
      <c r="P67" s="48" t="s">
        <v>170</v>
      </c>
      <c r="Q67" s="48">
        <v>40.0</v>
      </c>
      <c r="R67" s="48">
        <v>2.0</v>
      </c>
      <c r="S67" s="50" t="s">
        <v>166</v>
      </c>
      <c r="T67" s="52" t="s">
        <v>167</v>
      </c>
      <c r="U67" s="52" t="s">
        <v>324</v>
      </c>
      <c r="V67" s="51">
        <v>2.0</v>
      </c>
      <c r="W67" s="48" t="s">
        <v>166</v>
      </c>
      <c r="X67" s="50" t="s">
        <v>166</v>
      </c>
      <c r="Y67" s="51" t="s">
        <v>166</v>
      </c>
      <c r="Z67" s="48" t="s">
        <v>166</v>
      </c>
      <c r="AA67" s="48" t="s">
        <v>166</v>
      </c>
      <c r="AB67" s="48" t="s">
        <v>166</v>
      </c>
      <c r="AC67" s="48">
        <v>4.0</v>
      </c>
      <c r="AD67" s="48" t="s">
        <v>166</v>
      </c>
      <c r="AE67" s="48" t="s">
        <v>166</v>
      </c>
      <c r="AF67" s="50" t="s">
        <v>166</v>
      </c>
      <c r="AG67" s="51" t="s">
        <v>166</v>
      </c>
      <c r="AH67" s="51">
        <v>2.0</v>
      </c>
      <c r="AI67" s="48" t="s">
        <v>166</v>
      </c>
      <c r="AJ67" s="50" t="s">
        <v>174</v>
      </c>
      <c r="AK67" s="56" t="s">
        <v>166</v>
      </c>
      <c r="AL67" s="57" t="s">
        <v>170</v>
      </c>
      <c r="AM67" s="58"/>
      <c r="AN67" s="59"/>
      <c r="AO67" s="60"/>
      <c r="AP67" s="65"/>
      <c r="AQ67" s="66"/>
    </row>
    <row r="68">
      <c r="A68" s="61" t="s">
        <v>401</v>
      </c>
      <c r="B68" s="62" t="s">
        <v>1466</v>
      </c>
      <c r="C68" s="63" t="s">
        <v>262</v>
      </c>
      <c r="D68" s="48">
        <v>256.0</v>
      </c>
      <c r="E68" s="48">
        <v>220.0</v>
      </c>
      <c r="F68" s="48">
        <v>429.0</v>
      </c>
      <c r="G68" s="49">
        <f t="shared" si="1"/>
        <v>24.16128</v>
      </c>
      <c r="H68" s="49">
        <f t="shared" si="2"/>
        <v>563.2</v>
      </c>
      <c r="I68" s="48">
        <v>5.0</v>
      </c>
      <c r="J68" s="48" t="s">
        <v>365</v>
      </c>
      <c r="K68" s="50" t="s">
        <v>1467</v>
      </c>
      <c r="L68" s="51">
        <v>195.0</v>
      </c>
      <c r="M68" s="50" t="s">
        <v>1122</v>
      </c>
      <c r="N68" s="51" t="s">
        <v>166</v>
      </c>
      <c r="O68" s="48">
        <v>350.0</v>
      </c>
      <c r="P68" s="48">
        <v>200.0</v>
      </c>
      <c r="Q68" s="48">
        <v>70.5</v>
      </c>
      <c r="R68" s="48">
        <v>3.0</v>
      </c>
      <c r="S68" s="50" t="s">
        <v>166</v>
      </c>
      <c r="T68" s="52" t="s">
        <v>167</v>
      </c>
      <c r="U68" s="52" t="s">
        <v>346</v>
      </c>
      <c r="V68" s="51" t="s">
        <v>426</v>
      </c>
      <c r="W68" s="48" t="s">
        <v>193</v>
      </c>
      <c r="X68" s="50" t="s">
        <v>166</v>
      </c>
      <c r="Y68" s="51" t="s">
        <v>166</v>
      </c>
      <c r="Z68" s="48" t="s">
        <v>166</v>
      </c>
      <c r="AA68" s="48" t="s">
        <v>166</v>
      </c>
      <c r="AB68" s="48" t="s">
        <v>166</v>
      </c>
      <c r="AC68" s="48" t="s">
        <v>426</v>
      </c>
      <c r="AD68" s="48" t="s">
        <v>193</v>
      </c>
      <c r="AE68" s="48" t="s">
        <v>166</v>
      </c>
      <c r="AF68" s="50" t="s">
        <v>166</v>
      </c>
      <c r="AG68" s="51" t="s">
        <v>166</v>
      </c>
      <c r="AH68" s="51">
        <v>1.0</v>
      </c>
      <c r="AI68" s="48">
        <v>1.0</v>
      </c>
      <c r="AJ68" s="50" t="s">
        <v>174</v>
      </c>
      <c r="AK68" s="56" t="s">
        <v>166</v>
      </c>
      <c r="AL68" s="57">
        <f>169*1.04</f>
        <v>175.76</v>
      </c>
      <c r="AM68" s="58"/>
      <c r="AN68" s="59"/>
      <c r="AO68" s="60"/>
      <c r="AP68" s="65">
        <v>45071.55230802084</v>
      </c>
      <c r="AQ68" s="66"/>
    </row>
    <row r="69">
      <c r="A69" s="46" t="str">
        <f>HYPERLINK("https://shop309038390.world.taobao.com/","ZZAW")</f>
        <v>ZZAW</v>
      </c>
      <c r="B69" s="46" t="s">
        <v>1468</v>
      </c>
      <c r="C69" s="63" t="s">
        <v>262</v>
      </c>
      <c r="D69" s="48">
        <v>425.0</v>
      </c>
      <c r="E69" s="48">
        <v>182.0</v>
      </c>
      <c r="F69" s="48">
        <v>313.0</v>
      </c>
      <c r="G69" s="49">
        <f t="shared" si="1"/>
        <v>24.21055</v>
      </c>
      <c r="H69" s="49">
        <f t="shared" si="2"/>
        <v>773.5</v>
      </c>
      <c r="I69" s="48">
        <v>2.4</v>
      </c>
      <c r="J69" s="48" t="s">
        <v>597</v>
      </c>
      <c r="K69" s="50" t="s">
        <v>204</v>
      </c>
      <c r="L69" s="51">
        <v>151.0</v>
      </c>
      <c r="M69" s="50" t="s">
        <v>1469</v>
      </c>
      <c r="N69" s="51" t="s">
        <v>232</v>
      </c>
      <c r="O69" s="48">
        <v>410.0</v>
      </c>
      <c r="P69" s="48">
        <v>160.0</v>
      </c>
      <c r="Q69" s="48">
        <v>80.0</v>
      </c>
      <c r="R69" s="48">
        <v>4.0</v>
      </c>
      <c r="S69" s="50" t="s">
        <v>166</v>
      </c>
      <c r="T69" s="52" t="s">
        <v>1102</v>
      </c>
      <c r="U69" s="52" t="s">
        <v>599</v>
      </c>
      <c r="V69" s="51">
        <v>4.0</v>
      </c>
      <c r="W69" s="48">
        <v>1.0</v>
      </c>
      <c r="X69" s="50" t="s">
        <v>166</v>
      </c>
      <c r="Y69" s="51" t="s">
        <v>166</v>
      </c>
      <c r="Z69" s="48" t="s">
        <v>166</v>
      </c>
      <c r="AA69" s="48" t="s">
        <v>166</v>
      </c>
      <c r="AB69" s="48">
        <v>1.0</v>
      </c>
      <c r="AC69" s="48">
        <v>9.0</v>
      </c>
      <c r="AD69" s="48" t="s">
        <v>166</v>
      </c>
      <c r="AE69" s="48" t="s">
        <v>166</v>
      </c>
      <c r="AF69" s="50" t="s">
        <v>166</v>
      </c>
      <c r="AG69" s="51" t="s">
        <v>166</v>
      </c>
      <c r="AH69" s="51">
        <v>1.0</v>
      </c>
      <c r="AI69" s="48">
        <v>1.0</v>
      </c>
      <c r="AJ69" s="50" t="s">
        <v>174</v>
      </c>
      <c r="AK69" s="56">
        <v>328.0</v>
      </c>
      <c r="AL69" s="57">
        <f>AK69*Sheets!$E$3</f>
        <v>45.213324</v>
      </c>
      <c r="AM69" s="68"/>
      <c r="AN69" s="70"/>
      <c r="AO69" s="71"/>
      <c r="AP69" s="72">
        <v>44933.55363621528</v>
      </c>
      <c r="AQ69" s="66"/>
    </row>
    <row r="70">
      <c r="A70" s="82" t="str">
        <f>HYPERLINK("https://www.in-win.com/","InWin")</f>
        <v>InWin</v>
      </c>
      <c r="B70" s="91">
        <v>901.0</v>
      </c>
      <c r="C70" s="63" t="s">
        <v>262</v>
      </c>
      <c r="D70" s="48">
        <v>400.0</v>
      </c>
      <c r="E70" s="48">
        <v>173.0</v>
      </c>
      <c r="F70" s="48">
        <v>350.0</v>
      </c>
      <c r="G70" s="49">
        <f t="shared" si="1"/>
        <v>24.22</v>
      </c>
      <c r="H70" s="49">
        <f t="shared" si="2"/>
        <v>692</v>
      </c>
      <c r="I70" s="48">
        <v>6.71</v>
      </c>
      <c r="J70" s="48" t="s">
        <v>597</v>
      </c>
      <c r="K70" s="50" t="s">
        <v>164</v>
      </c>
      <c r="L70" s="51">
        <v>127.0</v>
      </c>
      <c r="M70" s="50" t="s">
        <v>166</v>
      </c>
      <c r="N70" s="51" t="s">
        <v>166</v>
      </c>
      <c r="O70" s="48">
        <v>300.0</v>
      </c>
      <c r="P70" s="48">
        <v>124.0</v>
      </c>
      <c r="Q70" s="48">
        <v>40.0</v>
      </c>
      <c r="R70" s="48">
        <v>2.0</v>
      </c>
      <c r="S70" s="50" t="s">
        <v>166</v>
      </c>
      <c r="T70" s="52" t="s">
        <v>167</v>
      </c>
      <c r="U70" s="52" t="s">
        <v>599</v>
      </c>
      <c r="V70" s="51" t="s">
        <v>193</v>
      </c>
      <c r="W70" s="48" t="s">
        <v>193</v>
      </c>
      <c r="X70" s="50">
        <v>1.0</v>
      </c>
      <c r="Y70" s="51" t="s">
        <v>166</v>
      </c>
      <c r="Z70" s="48" t="s">
        <v>166</v>
      </c>
      <c r="AA70" s="48" t="s">
        <v>166</v>
      </c>
      <c r="AB70" s="48">
        <v>1.0</v>
      </c>
      <c r="AC70" s="48">
        <v>1.0</v>
      </c>
      <c r="AD70" s="48" t="s">
        <v>166</v>
      </c>
      <c r="AE70" s="48" t="s">
        <v>166</v>
      </c>
      <c r="AF70" s="50" t="s">
        <v>166</v>
      </c>
      <c r="AG70" s="51" t="s">
        <v>166</v>
      </c>
      <c r="AH70" s="51">
        <v>2.0</v>
      </c>
      <c r="AI70" s="48" t="s">
        <v>166</v>
      </c>
      <c r="AJ70" s="50" t="s">
        <v>174</v>
      </c>
      <c r="AK70" s="56" t="s">
        <v>166</v>
      </c>
      <c r="AL70" s="57" t="s">
        <v>166</v>
      </c>
      <c r="AM70" s="58"/>
      <c r="AN70" s="59"/>
      <c r="AO70" s="60" t="s">
        <v>181</v>
      </c>
      <c r="AP70" s="65">
        <v>45061.01593175926</v>
      </c>
      <c r="AQ70" s="66"/>
    </row>
    <row r="71">
      <c r="A71" s="61" t="s">
        <v>1470</v>
      </c>
      <c r="B71" s="62" t="s">
        <v>1471</v>
      </c>
      <c r="C71" s="63" t="s">
        <v>262</v>
      </c>
      <c r="D71" s="48">
        <v>367.2</v>
      </c>
      <c r="E71" s="48">
        <v>206.2</v>
      </c>
      <c r="F71" s="48">
        <v>321.5</v>
      </c>
      <c r="G71" s="49">
        <f t="shared" si="1"/>
        <v>24.34289976</v>
      </c>
      <c r="H71" s="49">
        <f t="shared" si="2"/>
        <v>757.1664</v>
      </c>
      <c r="I71" s="48">
        <v>5.8</v>
      </c>
      <c r="J71" s="48" t="s">
        <v>597</v>
      </c>
      <c r="K71" s="50" t="s">
        <v>217</v>
      </c>
      <c r="L71" s="51">
        <v>165.0</v>
      </c>
      <c r="M71" s="50" t="s">
        <v>547</v>
      </c>
      <c r="N71" s="51" t="s">
        <v>166</v>
      </c>
      <c r="O71" s="48">
        <v>320.0</v>
      </c>
      <c r="P71" s="48">
        <v>170.0</v>
      </c>
      <c r="Q71" s="48">
        <v>60.0</v>
      </c>
      <c r="R71" s="48">
        <v>3.0</v>
      </c>
      <c r="S71" s="50" t="s">
        <v>166</v>
      </c>
      <c r="T71" s="52" t="s">
        <v>227</v>
      </c>
      <c r="U71" s="52" t="s">
        <v>346</v>
      </c>
      <c r="V71" s="51">
        <v>3.0</v>
      </c>
      <c r="W71" s="48" t="s">
        <v>166</v>
      </c>
      <c r="X71" s="50" t="s">
        <v>166</v>
      </c>
      <c r="Y71" s="51" t="s">
        <v>166</v>
      </c>
      <c r="Z71" s="48" t="s">
        <v>166</v>
      </c>
      <c r="AA71" s="48" t="s">
        <v>166</v>
      </c>
      <c r="AB71" s="48" t="s">
        <v>166</v>
      </c>
      <c r="AC71" s="48">
        <v>6.0</v>
      </c>
      <c r="AD71" s="48" t="s">
        <v>166</v>
      </c>
      <c r="AE71" s="48" t="s">
        <v>166</v>
      </c>
      <c r="AF71" s="50" t="s">
        <v>166</v>
      </c>
      <c r="AG71" s="51" t="s">
        <v>166</v>
      </c>
      <c r="AH71" s="51">
        <v>2.0</v>
      </c>
      <c r="AI71" s="48">
        <v>1.0</v>
      </c>
      <c r="AJ71" s="50" t="s">
        <v>174</v>
      </c>
      <c r="AK71" s="56" t="s">
        <v>166</v>
      </c>
      <c r="AL71" s="57">
        <v>179.99</v>
      </c>
      <c r="AM71" s="68"/>
      <c r="AN71" s="59"/>
      <c r="AO71" s="60"/>
      <c r="AP71" s="65">
        <v>45071.55237962963</v>
      </c>
      <c r="AQ71" s="66"/>
    </row>
    <row r="72">
      <c r="A72" s="61" t="s">
        <v>1451</v>
      </c>
      <c r="B72" s="62" t="s">
        <v>1472</v>
      </c>
      <c r="C72" s="63" t="s">
        <v>262</v>
      </c>
      <c r="D72" s="48">
        <v>372.0</v>
      </c>
      <c r="E72" s="48">
        <v>190.0</v>
      </c>
      <c r="F72" s="48">
        <v>345.0</v>
      </c>
      <c r="G72" s="49">
        <f t="shared" si="1"/>
        <v>24.3846</v>
      </c>
      <c r="H72" s="49">
        <f t="shared" si="2"/>
        <v>706.8</v>
      </c>
      <c r="I72" s="48">
        <v>1.9</v>
      </c>
      <c r="J72" s="48" t="s">
        <v>171</v>
      </c>
      <c r="K72" s="50" t="s">
        <v>1473</v>
      </c>
      <c r="L72" s="51">
        <v>150.0</v>
      </c>
      <c r="M72" s="50" t="s">
        <v>166</v>
      </c>
      <c r="N72" s="51" t="s">
        <v>166</v>
      </c>
      <c r="O72" s="48">
        <v>240.0</v>
      </c>
      <c r="P72" s="48">
        <v>155.0</v>
      </c>
      <c r="Q72" s="48">
        <v>80.0</v>
      </c>
      <c r="R72" s="48">
        <v>4.0</v>
      </c>
      <c r="S72" s="50" t="s">
        <v>166</v>
      </c>
      <c r="T72" s="52" t="s">
        <v>423</v>
      </c>
      <c r="U72" s="52" t="s">
        <v>599</v>
      </c>
      <c r="V72" s="51">
        <v>2.0</v>
      </c>
      <c r="W72" s="48">
        <v>3.0</v>
      </c>
      <c r="X72" s="50">
        <v>1.0</v>
      </c>
      <c r="Y72" s="51" t="s">
        <v>166</v>
      </c>
      <c r="Z72" s="48" t="s">
        <v>166</v>
      </c>
      <c r="AA72" s="48">
        <v>1.0</v>
      </c>
      <c r="AB72" s="48" t="s">
        <v>166</v>
      </c>
      <c r="AC72" s="48">
        <v>1.0</v>
      </c>
      <c r="AD72" s="48" t="s">
        <v>166</v>
      </c>
      <c r="AE72" s="48" t="s">
        <v>166</v>
      </c>
      <c r="AF72" s="50" t="s">
        <v>166</v>
      </c>
      <c r="AG72" s="51">
        <v>1.0</v>
      </c>
      <c r="AH72" s="51">
        <v>1.0</v>
      </c>
      <c r="AI72" s="48" t="s">
        <v>166</v>
      </c>
      <c r="AJ72" s="50" t="s">
        <v>174</v>
      </c>
      <c r="AK72" s="56" t="s">
        <v>166</v>
      </c>
      <c r="AL72" s="57" t="s">
        <v>170</v>
      </c>
      <c r="AM72" s="58"/>
      <c r="AN72" s="59"/>
      <c r="AO72" s="60"/>
      <c r="AP72" s="65">
        <v>45071.55241791667</v>
      </c>
      <c r="AQ72" s="66"/>
    </row>
    <row r="73">
      <c r="A73" s="61" t="s">
        <v>1474</v>
      </c>
      <c r="B73" s="62" t="s">
        <v>1475</v>
      </c>
      <c r="C73" s="63" t="s">
        <v>248</v>
      </c>
      <c r="D73" s="48">
        <v>307.5</v>
      </c>
      <c r="E73" s="48">
        <v>190.0</v>
      </c>
      <c r="F73" s="48">
        <v>417.5</v>
      </c>
      <c r="G73" s="49">
        <f t="shared" si="1"/>
        <v>24.3924375</v>
      </c>
      <c r="H73" s="49">
        <f t="shared" si="2"/>
        <v>584.25</v>
      </c>
      <c r="I73" s="48">
        <v>5.8</v>
      </c>
      <c r="J73" s="48" t="s">
        <v>597</v>
      </c>
      <c r="K73" s="50" t="s">
        <v>164</v>
      </c>
      <c r="L73" s="51">
        <v>70.0</v>
      </c>
      <c r="M73" s="50" t="s">
        <v>825</v>
      </c>
      <c r="N73" s="51" t="s">
        <v>174</v>
      </c>
      <c r="O73" s="48">
        <v>330.0</v>
      </c>
      <c r="P73" s="48" t="s">
        <v>170</v>
      </c>
      <c r="Q73" s="48">
        <v>60.0</v>
      </c>
      <c r="R73" s="48">
        <v>3.0</v>
      </c>
      <c r="S73" s="50" t="s">
        <v>166</v>
      </c>
      <c r="T73" s="52" t="s">
        <v>167</v>
      </c>
      <c r="U73" s="52" t="s">
        <v>324</v>
      </c>
      <c r="V73" s="51">
        <v>2.0</v>
      </c>
      <c r="W73" s="48" t="s">
        <v>194</v>
      </c>
      <c r="X73" s="50" t="s">
        <v>166</v>
      </c>
      <c r="Y73" s="51" t="s">
        <v>166</v>
      </c>
      <c r="Z73" s="48" t="s">
        <v>166</v>
      </c>
      <c r="AA73" s="48" t="s">
        <v>166</v>
      </c>
      <c r="AB73" s="48" t="s">
        <v>166</v>
      </c>
      <c r="AC73" s="48" t="s">
        <v>193</v>
      </c>
      <c r="AD73" s="48" t="s">
        <v>193</v>
      </c>
      <c r="AE73" s="48" t="s">
        <v>166</v>
      </c>
      <c r="AF73" s="50" t="s">
        <v>166</v>
      </c>
      <c r="AG73" s="51" t="s">
        <v>166</v>
      </c>
      <c r="AH73" s="51">
        <v>2.0</v>
      </c>
      <c r="AI73" s="48">
        <v>1.0</v>
      </c>
      <c r="AJ73" s="50" t="s">
        <v>166</v>
      </c>
      <c r="AK73" s="56">
        <v>1380.0</v>
      </c>
      <c r="AL73" s="57">
        <v>199.99</v>
      </c>
      <c r="AM73" s="68"/>
      <c r="AN73" s="59"/>
      <c r="AO73" s="60"/>
      <c r="AP73" s="65">
        <v>44552.48359613426</v>
      </c>
      <c r="AQ73" s="66"/>
    </row>
    <row r="74">
      <c r="A74" s="82" t="str">
        <f>HYPERLINK("http://www.jonsbo.com/en/","Jonsbo")</f>
        <v>Jonsbo</v>
      </c>
      <c r="B74" s="62" t="str">
        <f>HYPERLINK("http://www.jonsbo.com/en/products/umx3silver.html","UMX3")</f>
        <v>UMX3</v>
      </c>
      <c r="C74" s="63" t="s">
        <v>262</v>
      </c>
      <c r="D74" s="48">
        <v>358.0</v>
      </c>
      <c r="E74" s="48">
        <v>188.0</v>
      </c>
      <c r="F74" s="48">
        <v>365.0</v>
      </c>
      <c r="G74" s="49">
        <f t="shared" si="1"/>
        <v>24.56596</v>
      </c>
      <c r="H74" s="49">
        <f t="shared" si="2"/>
        <v>673.04</v>
      </c>
      <c r="I74" s="48">
        <v>4.15</v>
      </c>
      <c r="J74" s="48" t="s">
        <v>235</v>
      </c>
      <c r="K74" s="50" t="s">
        <v>1476</v>
      </c>
      <c r="L74" s="51">
        <v>163.0</v>
      </c>
      <c r="M74" s="50" t="s">
        <v>166</v>
      </c>
      <c r="N74" s="51" t="s">
        <v>166</v>
      </c>
      <c r="O74" s="48">
        <v>320.0</v>
      </c>
      <c r="P74" s="48">
        <v>168.0</v>
      </c>
      <c r="Q74" s="48">
        <v>80.0</v>
      </c>
      <c r="R74" s="48">
        <v>4.0</v>
      </c>
      <c r="S74" s="50" t="s">
        <v>166</v>
      </c>
      <c r="T74" s="52" t="s">
        <v>423</v>
      </c>
      <c r="U74" s="52" t="s">
        <v>599</v>
      </c>
      <c r="V74" s="51">
        <v>4.0</v>
      </c>
      <c r="W74" s="48">
        <v>1.0</v>
      </c>
      <c r="X74" s="50" t="s">
        <v>166</v>
      </c>
      <c r="Y74" s="51" t="s">
        <v>166</v>
      </c>
      <c r="Z74" s="48" t="s">
        <v>166</v>
      </c>
      <c r="AA74" s="48" t="s">
        <v>166</v>
      </c>
      <c r="AB74" s="48" t="s">
        <v>166</v>
      </c>
      <c r="AC74" s="48">
        <v>1.0</v>
      </c>
      <c r="AD74" s="48">
        <v>1.0</v>
      </c>
      <c r="AE74" s="48" t="s">
        <v>166</v>
      </c>
      <c r="AF74" s="50" t="s">
        <v>166</v>
      </c>
      <c r="AG74" s="51">
        <v>2.0</v>
      </c>
      <c r="AH74" s="51">
        <v>2.0</v>
      </c>
      <c r="AI74" s="48" t="s">
        <v>166</v>
      </c>
      <c r="AJ74" s="50" t="s">
        <v>174</v>
      </c>
      <c r="AK74" s="56">
        <v>549.0</v>
      </c>
      <c r="AL74" s="57">
        <v>106.03</v>
      </c>
      <c r="AM74" s="68"/>
      <c r="AN74" s="59"/>
      <c r="AO74" s="60"/>
      <c r="AP74" s="65">
        <v>45071.552447326394</v>
      </c>
      <c r="AQ74" s="139"/>
    </row>
    <row r="75">
      <c r="A75" s="82" t="str">
        <f>HYPERLINK("https://streacom.com/","Streacom")</f>
        <v>Streacom</v>
      </c>
      <c r="B75" s="62" t="s">
        <v>1477</v>
      </c>
      <c r="C75" s="63" t="s">
        <v>225</v>
      </c>
      <c r="D75" s="48">
        <v>320.0</v>
      </c>
      <c r="E75" s="48">
        <v>440.0</v>
      </c>
      <c r="F75" s="48">
        <v>175.0</v>
      </c>
      <c r="G75" s="49">
        <f t="shared" si="1"/>
        <v>24.64</v>
      </c>
      <c r="H75" s="49">
        <f t="shared" si="2"/>
        <v>1408</v>
      </c>
      <c r="I75" s="48">
        <v>4.4</v>
      </c>
      <c r="J75" s="48" t="s">
        <v>164</v>
      </c>
      <c r="K75" s="50" t="s">
        <v>387</v>
      </c>
      <c r="L75" s="51">
        <v>135.0</v>
      </c>
      <c r="M75" s="50" t="s">
        <v>1196</v>
      </c>
      <c r="N75" s="51" t="s">
        <v>166</v>
      </c>
      <c r="O75" s="48">
        <v>310.0</v>
      </c>
      <c r="P75" s="48">
        <v>130.0</v>
      </c>
      <c r="Q75" s="48">
        <v>140.0</v>
      </c>
      <c r="R75" s="48">
        <v>7.0</v>
      </c>
      <c r="S75" s="50" t="s">
        <v>166</v>
      </c>
      <c r="T75" s="52" t="s">
        <v>696</v>
      </c>
      <c r="U75" s="52" t="s">
        <v>599</v>
      </c>
      <c r="V75" s="51" t="s">
        <v>1478</v>
      </c>
      <c r="W75" s="48" t="s">
        <v>1479</v>
      </c>
      <c r="X75" s="50" t="s">
        <v>218</v>
      </c>
      <c r="Y75" s="51" t="s">
        <v>166</v>
      </c>
      <c r="Z75" s="48" t="s">
        <v>166</v>
      </c>
      <c r="AA75" s="48" t="s">
        <v>1292</v>
      </c>
      <c r="AB75" s="48" t="s">
        <v>1292</v>
      </c>
      <c r="AC75" s="48" t="s">
        <v>1292</v>
      </c>
      <c r="AD75" s="48" t="s">
        <v>1292</v>
      </c>
      <c r="AE75" s="48" t="s">
        <v>166</v>
      </c>
      <c r="AF75" s="50" t="s">
        <v>166</v>
      </c>
      <c r="AG75" s="51" t="s">
        <v>166</v>
      </c>
      <c r="AH75" s="51">
        <v>2.0</v>
      </c>
      <c r="AI75" s="48" t="s">
        <v>166</v>
      </c>
      <c r="AJ75" s="50" t="s">
        <v>166</v>
      </c>
      <c r="AK75" s="56" t="s">
        <v>166</v>
      </c>
      <c r="AL75" s="57" t="s">
        <v>170</v>
      </c>
      <c r="AM75" s="68"/>
      <c r="AN75" s="59"/>
      <c r="AO75" s="60"/>
      <c r="AP75" s="65">
        <v>44717.938611192134</v>
      </c>
      <c r="AQ75" s="66"/>
    </row>
    <row r="76">
      <c r="A76" s="61" t="s">
        <v>1480</v>
      </c>
      <c r="B76" s="62" t="s">
        <v>1481</v>
      </c>
      <c r="C76" s="63" t="s">
        <v>262</v>
      </c>
      <c r="D76" s="48">
        <v>271.0</v>
      </c>
      <c r="E76" s="48">
        <v>200.0</v>
      </c>
      <c r="F76" s="48">
        <v>458.0</v>
      </c>
      <c r="G76" s="49">
        <f t="shared" si="1"/>
        <v>24.8236</v>
      </c>
      <c r="H76" s="49">
        <f t="shared" si="2"/>
        <v>542</v>
      </c>
      <c r="I76" s="48">
        <v>4.5</v>
      </c>
      <c r="J76" s="48" t="s">
        <v>240</v>
      </c>
      <c r="K76" s="50" t="s">
        <v>171</v>
      </c>
      <c r="L76" s="51">
        <v>170.0</v>
      </c>
      <c r="M76" s="50" t="s">
        <v>1122</v>
      </c>
      <c r="N76" s="51" t="s">
        <v>166</v>
      </c>
      <c r="O76" s="48">
        <v>365.0</v>
      </c>
      <c r="P76" s="48">
        <v>175.0</v>
      </c>
      <c r="Q76" s="48">
        <v>60.0</v>
      </c>
      <c r="R76" s="48">
        <v>3.0</v>
      </c>
      <c r="S76" s="50" t="s">
        <v>166</v>
      </c>
      <c r="T76" s="52" t="s">
        <v>167</v>
      </c>
      <c r="U76" s="52" t="s">
        <v>346</v>
      </c>
      <c r="V76" s="51">
        <v>3.0</v>
      </c>
      <c r="W76" s="48" t="s">
        <v>166</v>
      </c>
      <c r="X76" s="50" t="s">
        <v>166</v>
      </c>
      <c r="Y76" s="51" t="s">
        <v>166</v>
      </c>
      <c r="Z76" s="48" t="s">
        <v>166</v>
      </c>
      <c r="AA76" s="48" t="s">
        <v>166</v>
      </c>
      <c r="AB76" s="48" t="s">
        <v>166</v>
      </c>
      <c r="AC76" s="48" t="s">
        <v>1482</v>
      </c>
      <c r="AD76" s="48" t="s">
        <v>193</v>
      </c>
      <c r="AE76" s="48" t="s">
        <v>166</v>
      </c>
      <c r="AF76" s="50" t="s">
        <v>166</v>
      </c>
      <c r="AG76" s="51" t="s">
        <v>166</v>
      </c>
      <c r="AH76" s="51">
        <v>2.0</v>
      </c>
      <c r="AI76" s="48">
        <v>1.0</v>
      </c>
      <c r="AJ76" s="50" t="s">
        <v>174</v>
      </c>
      <c r="AK76" s="56" t="s">
        <v>166</v>
      </c>
      <c r="AL76" s="57">
        <v>139.99</v>
      </c>
      <c r="AM76" s="68"/>
      <c r="AN76" s="59"/>
      <c r="AO76" s="60"/>
      <c r="AP76" s="65">
        <v>45071.552520509256</v>
      </c>
      <c r="AQ76" s="66"/>
    </row>
    <row r="77">
      <c r="A77" s="61" t="s">
        <v>1480</v>
      </c>
      <c r="B77" s="62" t="s">
        <v>1483</v>
      </c>
      <c r="C77" s="63" t="s">
        <v>262</v>
      </c>
      <c r="D77" s="48">
        <v>271.0</v>
      </c>
      <c r="E77" s="48">
        <v>200.0</v>
      </c>
      <c r="F77" s="48">
        <v>458.0</v>
      </c>
      <c r="G77" s="49">
        <f t="shared" si="1"/>
        <v>24.8236</v>
      </c>
      <c r="H77" s="49">
        <f t="shared" si="2"/>
        <v>542</v>
      </c>
      <c r="I77" s="48">
        <v>4.5</v>
      </c>
      <c r="J77" s="48" t="s">
        <v>240</v>
      </c>
      <c r="K77" s="50" t="s">
        <v>171</v>
      </c>
      <c r="L77" s="51">
        <v>170.0</v>
      </c>
      <c r="M77" s="50" t="s">
        <v>1122</v>
      </c>
      <c r="N77" s="51" t="s">
        <v>166</v>
      </c>
      <c r="O77" s="48">
        <v>365.0</v>
      </c>
      <c r="P77" s="48">
        <v>175.0</v>
      </c>
      <c r="Q77" s="48">
        <v>60.0</v>
      </c>
      <c r="R77" s="48">
        <v>3.0</v>
      </c>
      <c r="S77" s="50" t="s">
        <v>166</v>
      </c>
      <c r="T77" s="52" t="s">
        <v>167</v>
      </c>
      <c r="U77" s="52" t="s">
        <v>346</v>
      </c>
      <c r="V77" s="51">
        <v>3.0</v>
      </c>
      <c r="W77" s="48" t="s">
        <v>166</v>
      </c>
      <c r="X77" s="50" t="s">
        <v>166</v>
      </c>
      <c r="Y77" s="51" t="s">
        <v>166</v>
      </c>
      <c r="Z77" s="48" t="s">
        <v>166</v>
      </c>
      <c r="AA77" s="48" t="s">
        <v>166</v>
      </c>
      <c r="AB77" s="48" t="s">
        <v>166</v>
      </c>
      <c r="AC77" s="48" t="s">
        <v>1482</v>
      </c>
      <c r="AD77" s="48" t="s">
        <v>193</v>
      </c>
      <c r="AE77" s="48" t="s">
        <v>166</v>
      </c>
      <c r="AF77" s="50" t="s">
        <v>166</v>
      </c>
      <c r="AG77" s="51" t="s">
        <v>166</v>
      </c>
      <c r="AH77" s="51">
        <v>2.0</v>
      </c>
      <c r="AI77" s="48">
        <v>1.0</v>
      </c>
      <c r="AJ77" s="50" t="s">
        <v>174</v>
      </c>
      <c r="AK77" s="56" t="s">
        <v>166</v>
      </c>
      <c r="AL77" s="57">
        <v>199.99</v>
      </c>
      <c r="AM77" s="68"/>
      <c r="AN77" s="59"/>
      <c r="AO77" s="60"/>
      <c r="AP77" s="65">
        <v>45071.55253266204</v>
      </c>
      <c r="AQ77" s="66"/>
    </row>
    <row r="78">
      <c r="A78" s="82" t="str">
        <f>HYPERLINK("http://raijintek.com/en/index.php","Raijintek")</f>
        <v>Raijintek</v>
      </c>
      <c r="B78" s="62" t="s">
        <v>1484</v>
      </c>
      <c r="C78" s="63" t="s">
        <v>262</v>
      </c>
      <c r="D78" s="48">
        <v>302.0</v>
      </c>
      <c r="E78" s="48">
        <v>180.0</v>
      </c>
      <c r="F78" s="48">
        <v>458.0</v>
      </c>
      <c r="G78" s="49">
        <f t="shared" si="1"/>
        <v>24.89688</v>
      </c>
      <c r="H78" s="49">
        <f t="shared" si="2"/>
        <v>543.6</v>
      </c>
      <c r="I78" s="48">
        <v>5.1</v>
      </c>
      <c r="J78" s="48" t="s">
        <v>240</v>
      </c>
      <c r="K78" s="50" t="s">
        <v>217</v>
      </c>
      <c r="L78" s="51">
        <v>130.0</v>
      </c>
      <c r="M78" s="50" t="s">
        <v>1196</v>
      </c>
      <c r="N78" s="51" t="s">
        <v>166</v>
      </c>
      <c r="O78" s="48">
        <v>320.0</v>
      </c>
      <c r="P78" s="48">
        <v>135.0</v>
      </c>
      <c r="Q78" s="48">
        <v>60.0</v>
      </c>
      <c r="R78" s="48">
        <v>3.0</v>
      </c>
      <c r="S78" s="50" t="s">
        <v>166</v>
      </c>
      <c r="T78" s="52" t="s">
        <v>167</v>
      </c>
      <c r="U78" s="52" t="s">
        <v>686</v>
      </c>
      <c r="V78" s="51" t="s">
        <v>195</v>
      </c>
      <c r="W78" s="48" t="s">
        <v>426</v>
      </c>
      <c r="X78" s="50" t="s">
        <v>166</v>
      </c>
      <c r="Y78" s="51" t="s">
        <v>166</v>
      </c>
      <c r="Z78" s="48" t="s">
        <v>166</v>
      </c>
      <c r="AA78" s="48">
        <v>1.0</v>
      </c>
      <c r="AB78" s="48" t="s">
        <v>166</v>
      </c>
      <c r="AC78" s="48" t="s">
        <v>682</v>
      </c>
      <c r="AD78" s="48" t="s">
        <v>682</v>
      </c>
      <c r="AE78" s="48" t="s">
        <v>166</v>
      </c>
      <c r="AF78" s="50" t="s">
        <v>166</v>
      </c>
      <c r="AG78" s="51" t="s">
        <v>166</v>
      </c>
      <c r="AH78" s="51">
        <v>2.0</v>
      </c>
      <c r="AI78" s="48">
        <v>1.0</v>
      </c>
      <c r="AJ78" s="50" t="s">
        <v>174</v>
      </c>
      <c r="AK78" s="56" t="s">
        <v>166</v>
      </c>
      <c r="AL78" s="57">
        <v>129.99</v>
      </c>
      <c r="AM78" s="68"/>
      <c r="AN78" s="59"/>
      <c r="AO78" s="60"/>
      <c r="AP78" s="65">
        <v>45071.552584282406</v>
      </c>
      <c r="AQ78" s="66"/>
    </row>
    <row r="79">
      <c r="A79" s="69" t="s">
        <v>509</v>
      </c>
      <c r="B79" s="46" t="s">
        <v>1485</v>
      </c>
      <c r="C79" s="63" t="s">
        <v>262</v>
      </c>
      <c r="D79" s="48">
        <v>370.0</v>
      </c>
      <c r="E79" s="48">
        <v>198.0</v>
      </c>
      <c r="F79" s="48">
        <v>340.0</v>
      </c>
      <c r="G79" s="49">
        <f t="shared" si="1"/>
        <v>24.9084</v>
      </c>
      <c r="H79" s="49">
        <f t="shared" si="2"/>
        <v>732.6</v>
      </c>
      <c r="I79" s="48">
        <v>5.5</v>
      </c>
      <c r="J79" s="48" t="s">
        <v>597</v>
      </c>
      <c r="K79" s="50" t="s">
        <v>164</v>
      </c>
      <c r="L79" s="51">
        <v>165.0</v>
      </c>
      <c r="M79" s="50" t="s">
        <v>825</v>
      </c>
      <c r="N79" s="51" t="s">
        <v>166</v>
      </c>
      <c r="O79" s="48" t="s">
        <v>170</v>
      </c>
      <c r="P79" s="48">
        <v>170.0</v>
      </c>
      <c r="Q79" s="48">
        <v>100.0</v>
      </c>
      <c r="R79" s="48">
        <v>5.0</v>
      </c>
      <c r="S79" s="50" t="s">
        <v>166</v>
      </c>
      <c r="T79" s="52" t="s">
        <v>423</v>
      </c>
      <c r="U79" s="52" t="s">
        <v>686</v>
      </c>
      <c r="V79" s="51">
        <v>2.0</v>
      </c>
      <c r="W79" s="48" t="s">
        <v>799</v>
      </c>
      <c r="X79" s="50" t="s">
        <v>166</v>
      </c>
      <c r="Y79" s="51" t="s">
        <v>166</v>
      </c>
      <c r="Z79" s="48" t="s">
        <v>166</v>
      </c>
      <c r="AA79" s="48" t="s">
        <v>166</v>
      </c>
      <c r="AB79" s="48">
        <v>2.0</v>
      </c>
      <c r="AC79" s="48" t="s">
        <v>873</v>
      </c>
      <c r="AD79" s="48" t="s">
        <v>193</v>
      </c>
      <c r="AE79" s="48" t="s">
        <v>166</v>
      </c>
      <c r="AF79" s="50" t="s">
        <v>166</v>
      </c>
      <c r="AG79" s="51" t="s">
        <v>166</v>
      </c>
      <c r="AH79" s="51">
        <v>1.0</v>
      </c>
      <c r="AI79" s="48" t="s">
        <v>166</v>
      </c>
      <c r="AJ79" s="50" t="s">
        <v>166</v>
      </c>
      <c r="AK79" s="56">
        <v>1759.0</v>
      </c>
      <c r="AL79" s="57">
        <f>AK79*Sheets!$E$3</f>
        <v>242.4702345</v>
      </c>
      <c r="AM79" s="68"/>
      <c r="AN79" s="70"/>
      <c r="AO79" s="71"/>
      <c r="AP79" s="72">
        <v>45071.55267986111</v>
      </c>
      <c r="AQ79" s="66"/>
    </row>
    <row r="80">
      <c r="A80" s="61" t="s">
        <v>1486</v>
      </c>
      <c r="B80" s="62" t="s">
        <v>1487</v>
      </c>
      <c r="C80" s="63" t="s">
        <v>225</v>
      </c>
      <c r="D80" s="48">
        <v>310.0</v>
      </c>
      <c r="E80" s="48">
        <v>570.0</v>
      </c>
      <c r="F80" s="48">
        <v>142.0</v>
      </c>
      <c r="G80" s="49">
        <f t="shared" si="1"/>
        <v>25.0914</v>
      </c>
      <c r="H80" s="49">
        <f t="shared" si="2"/>
        <v>1767</v>
      </c>
      <c r="I80" s="48">
        <v>5.3</v>
      </c>
      <c r="J80" s="48" t="s">
        <v>164</v>
      </c>
      <c r="K80" s="50" t="s">
        <v>305</v>
      </c>
      <c r="L80" s="51">
        <v>48.0</v>
      </c>
      <c r="M80" s="50" t="s">
        <v>166</v>
      </c>
      <c r="N80" s="51" t="s">
        <v>174</v>
      </c>
      <c r="O80" s="48">
        <v>280.0</v>
      </c>
      <c r="P80" s="48">
        <v>134.0</v>
      </c>
      <c r="Q80" s="48">
        <v>40.0</v>
      </c>
      <c r="R80" s="48">
        <v>2.0</v>
      </c>
      <c r="S80" s="50" t="s">
        <v>166</v>
      </c>
      <c r="T80" s="52" t="s">
        <v>167</v>
      </c>
      <c r="U80" s="52" t="s">
        <v>346</v>
      </c>
      <c r="V80" s="51">
        <v>2.0</v>
      </c>
      <c r="W80" s="48">
        <v>1.0</v>
      </c>
      <c r="X80" s="50" t="s">
        <v>166</v>
      </c>
      <c r="Y80" s="51" t="s">
        <v>166</v>
      </c>
      <c r="Z80" s="48" t="s">
        <v>166</v>
      </c>
      <c r="AA80" s="48" t="s">
        <v>166</v>
      </c>
      <c r="AB80" s="48" t="s">
        <v>166</v>
      </c>
      <c r="AC80" s="48" t="s">
        <v>166</v>
      </c>
      <c r="AD80" s="48" t="s">
        <v>166</v>
      </c>
      <c r="AE80" s="48" t="s">
        <v>166</v>
      </c>
      <c r="AF80" s="50" t="s">
        <v>166</v>
      </c>
      <c r="AG80" s="51" t="s">
        <v>166</v>
      </c>
      <c r="AH80" s="51">
        <v>2.0</v>
      </c>
      <c r="AI80" s="48" t="s">
        <v>166</v>
      </c>
      <c r="AJ80" s="50" t="s">
        <v>174</v>
      </c>
      <c r="AK80" s="56" t="s">
        <v>166</v>
      </c>
      <c r="AL80" s="57">
        <v>329.99</v>
      </c>
      <c r="AM80" s="68"/>
      <c r="AN80" s="59"/>
      <c r="AO80" s="60"/>
      <c r="AP80" s="65">
        <v>45153.97987520833</v>
      </c>
      <c r="AQ80" s="66"/>
    </row>
    <row r="81">
      <c r="A81" s="61" t="s">
        <v>1104</v>
      </c>
      <c r="B81" s="62" t="s">
        <v>1488</v>
      </c>
      <c r="C81" s="63" t="s">
        <v>262</v>
      </c>
      <c r="D81" s="48">
        <v>410.0</v>
      </c>
      <c r="E81" s="48">
        <v>170.0</v>
      </c>
      <c r="F81" s="48">
        <v>360.0</v>
      </c>
      <c r="G81" s="49">
        <f t="shared" si="1"/>
        <v>25.092</v>
      </c>
      <c r="H81" s="49">
        <f t="shared" si="2"/>
        <v>697</v>
      </c>
      <c r="I81" s="48">
        <v>5.0</v>
      </c>
      <c r="J81" s="48" t="s">
        <v>597</v>
      </c>
      <c r="K81" s="50" t="s">
        <v>1489</v>
      </c>
      <c r="L81" s="51">
        <v>145.0</v>
      </c>
      <c r="M81" s="50" t="s">
        <v>547</v>
      </c>
      <c r="N81" s="51" t="s">
        <v>166</v>
      </c>
      <c r="O81" s="48">
        <v>360.0</v>
      </c>
      <c r="P81" s="48">
        <v>150.0</v>
      </c>
      <c r="Q81" s="48">
        <v>100.0</v>
      </c>
      <c r="R81" s="48">
        <v>5.0</v>
      </c>
      <c r="S81" s="50" t="s">
        <v>166</v>
      </c>
      <c r="T81" s="52" t="s">
        <v>423</v>
      </c>
      <c r="U81" s="52" t="s">
        <v>599</v>
      </c>
      <c r="V81" s="51" t="s">
        <v>435</v>
      </c>
      <c r="W81" s="48" t="s">
        <v>194</v>
      </c>
      <c r="X81" s="50" t="s">
        <v>166</v>
      </c>
      <c r="Y81" s="51" t="s">
        <v>166</v>
      </c>
      <c r="Z81" s="48" t="s">
        <v>166</v>
      </c>
      <c r="AA81" s="48">
        <v>1.0</v>
      </c>
      <c r="AB81" s="48" t="s">
        <v>166</v>
      </c>
      <c r="AC81" s="48" t="s">
        <v>873</v>
      </c>
      <c r="AD81" s="48" t="s">
        <v>166</v>
      </c>
      <c r="AE81" s="48" t="s">
        <v>166</v>
      </c>
      <c r="AF81" s="50" t="s">
        <v>166</v>
      </c>
      <c r="AG81" s="51" t="s">
        <v>166</v>
      </c>
      <c r="AH81" s="51">
        <v>2.0</v>
      </c>
      <c r="AI81" s="48" t="s">
        <v>166</v>
      </c>
      <c r="AJ81" s="50" t="s">
        <v>174</v>
      </c>
      <c r="AK81" s="56" t="s">
        <v>166</v>
      </c>
      <c r="AL81" s="57">
        <v>99.99</v>
      </c>
      <c r="AM81" s="58"/>
      <c r="AN81" s="59"/>
      <c r="AO81" s="60"/>
      <c r="AP81" s="65">
        <v>45071.552763368054</v>
      </c>
      <c r="AQ81" s="66"/>
    </row>
    <row r="82">
      <c r="A82" s="61" t="s">
        <v>1104</v>
      </c>
      <c r="B82" s="62" t="s">
        <v>1490</v>
      </c>
      <c r="C82" s="63" t="s">
        <v>262</v>
      </c>
      <c r="D82" s="48">
        <v>410.0</v>
      </c>
      <c r="E82" s="48">
        <v>170.0</v>
      </c>
      <c r="F82" s="48">
        <v>360.0</v>
      </c>
      <c r="G82" s="49">
        <f t="shared" si="1"/>
        <v>25.092</v>
      </c>
      <c r="H82" s="49">
        <f t="shared" si="2"/>
        <v>697</v>
      </c>
      <c r="I82" s="48">
        <v>4.35</v>
      </c>
      <c r="J82" s="48" t="s">
        <v>597</v>
      </c>
      <c r="K82" s="50" t="s">
        <v>1491</v>
      </c>
      <c r="L82" s="51">
        <v>145.0</v>
      </c>
      <c r="M82" s="50" t="s">
        <v>547</v>
      </c>
      <c r="N82" s="51" t="s">
        <v>166</v>
      </c>
      <c r="O82" s="48">
        <v>360.0</v>
      </c>
      <c r="P82" s="48">
        <v>150.0</v>
      </c>
      <c r="Q82" s="48">
        <v>100.0</v>
      </c>
      <c r="R82" s="48">
        <v>5.0</v>
      </c>
      <c r="S82" s="50" t="s">
        <v>166</v>
      </c>
      <c r="T82" s="52" t="s">
        <v>423</v>
      </c>
      <c r="U82" s="52" t="s">
        <v>599</v>
      </c>
      <c r="V82" s="51" t="s">
        <v>435</v>
      </c>
      <c r="W82" s="48" t="s">
        <v>194</v>
      </c>
      <c r="X82" s="50" t="s">
        <v>166</v>
      </c>
      <c r="Y82" s="51" t="s">
        <v>166</v>
      </c>
      <c r="Z82" s="48" t="s">
        <v>166</v>
      </c>
      <c r="AA82" s="48">
        <v>1.0</v>
      </c>
      <c r="AB82" s="48" t="s">
        <v>166</v>
      </c>
      <c r="AC82" s="48" t="s">
        <v>873</v>
      </c>
      <c r="AD82" s="48" t="s">
        <v>166</v>
      </c>
      <c r="AE82" s="48" t="s">
        <v>166</v>
      </c>
      <c r="AF82" s="50" t="s">
        <v>166</v>
      </c>
      <c r="AG82" s="51" t="s">
        <v>166</v>
      </c>
      <c r="AH82" s="51">
        <v>2.0</v>
      </c>
      <c r="AI82" s="48" t="s">
        <v>166</v>
      </c>
      <c r="AJ82" s="50" t="s">
        <v>174</v>
      </c>
      <c r="AK82" s="56" t="s">
        <v>166</v>
      </c>
      <c r="AL82" s="57">
        <v>99.99</v>
      </c>
      <c r="AM82" s="58"/>
      <c r="AN82" s="59"/>
      <c r="AO82" s="60"/>
      <c r="AP82" s="65">
        <v>45071.55278385417</v>
      </c>
      <c r="AQ82" s="66"/>
    </row>
    <row r="83">
      <c r="A83" s="61" t="s">
        <v>1492</v>
      </c>
      <c r="B83" s="62" t="s">
        <v>1493</v>
      </c>
      <c r="C83" s="63" t="s">
        <v>262</v>
      </c>
      <c r="D83" s="48">
        <v>239.0</v>
      </c>
      <c r="E83" s="48">
        <v>234.0</v>
      </c>
      <c r="F83" s="48">
        <v>450.0</v>
      </c>
      <c r="G83" s="49">
        <f t="shared" si="1"/>
        <v>25.1667</v>
      </c>
      <c r="H83" s="49">
        <f t="shared" si="2"/>
        <v>559.26</v>
      </c>
      <c r="I83" s="48">
        <v>7.3</v>
      </c>
      <c r="J83" s="48" t="s">
        <v>164</v>
      </c>
      <c r="K83" s="50" t="s">
        <v>1494</v>
      </c>
      <c r="L83" s="51">
        <v>184.0</v>
      </c>
      <c r="M83" s="50" t="s">
        <v>547</v>
      </c>
      <c r="N83" s="51" t="s">
        <v>166</v>
      </c>
      <c r="O83" s="48">
        <v>315.0</v>
      </c>
      <c r="P83" s="48">
        <v>189.0</v>
      </c>
      <c r="Q83" s="48">
        <v>50.0</v>
      </c>
      <c r="R83" s="48">
        <v>2.0</v>
      </c>
      <c r="S83" s="50" t="s">
        <v>166</v>
      </c>
      <c r="T83" s="52" t="s">
        <v>167</v>
      </c>
      <c r="U83" s="52" t="s">
        <v>816</v>
      </c>
      <c r="V83" s="51">
        <v>1.0</v>
      </c>
      <c r="W83" s="48">
        <v>1.0</v>
      </c>
      <c r="X83" s="50" t="s">
        <v>166</v>
      </c>
      <c r="Y83" s="51" t="s">
        <v>166</v>
      </c>
      <c r="Z83" s="48" t="s">
        <v>166</v>
      </c>
      <c r="AA83" s="48" t="s">
        <v>166</v>
      </c>
      <c r="AB83" s="48" t="s">
        <v>166</v>
      </c>
      <c r="AC83" s="48" t="s">
        <v>426</v>
      </c>
      <c r="AD83" s="48" t="s">
        <v>194</v>
      </c>
      <c r="AE83" s="48" t="s">
        <v>166</v>
      </c>
      <c r="AF83" s="50" t="s">
        <v>194</v>
      </c>
      <c r="AG83" s="51" t="s">
        <v>166</v>
      </c>
      <c r="AH83" s="51">
        <v>1.0</v>
      </c>
      <c r="AI83" s="48">
        <v>1.0</v>
      </c>
      <c r="AJ83" s="50" t="s">
        <v>174</v>
      </c>
      <c r="AK83" s="56" t="s">
        <v>166</v>
      </c>
      <c r="AL83" s="57">
        <v>499.0</v>
      </c>
      <c r="AM83" s="68"/>
      <c r="AN83" s="59"/>
      <c r="AO83" s="60"/>
      <c r="AP83" s="65">
        <v>45071.55282748843</v>
      </c>
      <c r="AQ83" s="66"/>
    </row>
    <row r="84">
      <c r="A84" s="69" t="str">
        <f>HYPERLINK("https://metalfish.world.taobao.com/","Metalfish")</f>
        <v>Metalfish</v>
      </c>
      <c r="B84" s="46" t="s">
        <v>1495</v>
      </c>
      <c r="C84" s="63" t="s">
        <v>262</v>
      </c>
      <c r="D84" s="48">
        <v>336.0</v>
      </c>
      <c r="E84" s="48">
        <v>226.0</v>
      </c>
      <c r="F84" s="48">
        <v>332.0</v>
      </c>
      <c r="G84" s="49">
        <f t="shared" si="1"/>
        <v>25.210752</v>
      </c>
      <c r="H84" s="49">
        <f t="shared" si="2"/>
        <v>759.36</v>
      </c>
      <c r="I84" s="48">
        <v>3.5</v>
      </c>
      <c r="J84" s="48" t="s">
        <v>597</v>
      </c>
      <c r="K84" s="50" t="s">
        <v>204</v>
      </c>
      <c r="L84" s="51">
        <v>135.0</v>
      </c>
      <c r="M84" s="50" t="s">
        <v>547</v>
      </c>
      <c r="N84" s="51" t="s">
        <v>166</v>
      </c>
      <c r="O84" s="48">
        <v>320.0</v>
      </c>
      <c r="P84" s="48">
        <v>140.0</v>
      </c>
      <c r="Q84" s="48">
        <v>80.0</v>
      </c>
      <c r="R84" s="48">
        <v>4.0</v>
      </c>
      <c r="S84" s="50" t="s">
        <v>166</v>
      </c>
      <c r="T84" s="52" t="s">
        <v>423</v>
      </c>
      <c r="U84" s="52" t="s">
        <v>346</v>
      </c>
      <c r="V84" s="51">
        <v>2.0</v>
      </c>
      <c r="W84" s="48">
        <v>1.0</v>
      </c>
      <c r="X84" s="50" t="s">
        <v>166</v>
      </c>
      <c r="Y84" s="51" t="s">
        <v>166</v>
      </c>
      <c r="Z84" s="48" t="s">
        <v>166</v>
      </c>
      <c r="AA84" s="48" t="s">
        <v>166</v>
      </c>
      <c r="AB84" s="48" t="s">
        <v>584</v>
      </c>
      <c r="AC84" s="48" t="s">
        <v>581</v>
      </c>
      <c r="AD84" s="48" t="s">
        <v>166</v>
      </c>
      <c r="AE84" s="48" t="s">
        <v>166</v>
      </c>
      <c r="AF84" s="50" t="s">
        <v>166</v>
      </c>
      <c r="AG84" s="51" t="s">
        <v>166</v>
      </c>
      <c r="AH84" s="51">
        <v>1.0</v>
      </c>
      <c r="AI84" s="48">
        <v>1.0</v>
      </c>
      <c r="AJ84" s="50" t="s">
        <v>174</v>
      </c>
      <c r="AK84" s="56">
        <v>218.0</v>
      </c>
      <c r="AL84" s="57">
        <f>AK84*Sheets!$E$3</f>
        <v>30.050319</v>
      </c>
      <c r="AM84" s="68"/>
      <c r="AN84" s="70"/>
      <c r="AO84" s="71"/>
      <c r="AP84" s="72">
        <v>45071.55287496527</v>
      </c>
      <c r="AQ84" s="66"/>
    </row>
    <row r="85">
      <c r="A85" s="61" t="s">
        <v>209</v>
      </c>
      <c r="B85" s="62" t="s">
        <v>1496</v>
      </c>
      <c r="C85" s="63" t="s">
        <v>262</v>
      </c>
      <c r="D85" s="48">
        <v>230.0</v>
      </c>
      <c r="E85" s="48">
        <v>265.0</v>
      </c>
      <c r="F85" s="48">
        <v>414.0</v>
      </c>
      <c r="G85" s="49">
        <f t="shared" si="1"/>
        <v>25.2333</v>
      </c>
      <c r="H85" s="49">
        <f t="shared" si="2"/>
        <v>609.5</v>
      </c>
      <c r="I85" s="48">
        <v>5.34</v>
      </c>
      <c r="J85" s="48" t="s">
        <v>597</v>
      </c>
      <c r="K85" s="50" t="s">
        <v>171</v>
      </c>
      <c r="L85" s="51">
        <v>190.0</v>
      </c>
      <c r="M85" s="50" t="s">
        <v>1205</v>
      </c>
      <c r="N85" s="51" t="s">
        <v>166</v>
      </c>
      <c r="O85" s="48">
        <v>309.0</v>
      </c>
      <c r="P85" s="48">
        <v>167.0</v>
      </c>
      <c r="Q85" s="48">
        <v>48.0</v>
      </c>
      <c r="R85" s="48">
        <v>2.0</v>
      </c>
      <c r="S85" s="50" t="s">
        <v>166</v>
      </c>
      <c r="T85" s="52" t="s">
        <v>227</v>
      </c>
      <c r="U85" s="52" t="s">
        <v>346</v>
      </c>
      <c r="V85" s="51" t="s">
        <v>207</v>
      </c>
      <c r="W85" s="48" t="s">
        <v>194</v>
      </c>
      <c r="X85" s="50" t="s">
        <v>166</v>
      </c>
      <c r="Y85" s="51" t="s">
        <v>166</v>
      </c>
      <c r="Z85" s="48" t="s">
        <v>166</v>
      </c>
      <c r="AA85" s="48" t="s">
        <v>166</v>
      </c>
      <c r="AB85" s="48" t="s">
        <v>166</v>
      </c>
      <c r="AC85" s="48">
        <v>2.0</v>
      </c>
      <c r="AD85" s="48" t="s">
        <v>166</v>
      </c>
      <c r="AE85" s="48" t="s">
        <v>166</v>
      </c>
      <c r="AF85" s="50" t="s">
        <v>166</v>
      </c>
      <c r="AG85" s="51" t="s">
        <v>166</v>
      </c>
      <c r="AH85" s="51">
        <v>2.0</v>
      </c>
      <c r="AI85" s="48" t="s">
        <v>166</v>
      </c>
      <c r="AJ85" s="50" t="s">
        <v>174</v>
      </c>
      <c r="AK85" s="56" t="s">
        <v>166</v>
      </c>
      <c r="AL85" s="57">
        <v>119.99</v>
      </c>
      <c r="AM85" s="68"/>
      <c r="AN85" s="59"/>
      <c r="AO85" s="60"/>
      <c r="AP85" s="159"/>
      <c r="AQ85" s="66"/>
    </row>
    <row r="86">
      <c r="A86" s="61" t="s">
        <v>209</v>
      </c>
      <c r="B86" s="62" t="s">
        <v>1497</v>
      </c>
      <c r="C86" s="63" t="s">
        <v>262</v>
      </c>
      <c r="D86" s="48">
        <v>230.0</v>
      </c>
      <c r="E86" s="48">
        <v>265.0</v>
      </c>
      <c r="F86" s="48">
        <v>414.0</v>
      </c>
      <c r="G86" s="49">
        <f t="shared" si="1"/>
        <v>25.2333</v>
      </c>
      <c r="H86" s="49">
        <f t="shared" si="2"/>
        <v>609.5</v>
      </c>
      <c r="I86" s="48">
        <v>5.22</v>
      </c>
      <c r="J86" s="48" t="s">
        <v>597</v>
      </c>
      <c r="K86" s="50" t="s">
        <v>171</v>
      </c>
      <c r="L86" s="51">
        <v>190.0</v>
      </c>
      <c r="M86" s="50" t="s">
        <v>1205</v>
      </c>
      <c r="N86" s="51" t="s">
        <v>166</v>
      </c>
      <c r="O86" s="48">
        <v>309.0</v>
      </c>
      <c r="P86" s="48">
        <v>167.0</v>
      </c>
      <c r="Q86" s="48">
        <v>48.0</v>
      </c>
      <c r="R86" s="48">
        <v>2.0</v>
      </c>
      <c r="S86" s="50" t="s">
        <v>166</v>
      </c>
      <c r="T86" s="52" t="s">
        <v>227</v>
      </c>
      <c r="U86" s="52" t="s">
        <v>346</v>
      </c>
      <c r="V86" s="51" t="s">
        <v>207</v>
      </c>
      <c r="W86" s="48" t="s">
        <v>194</v>
      </c>
      <c r="X86" s="50" t="s">
        <v>166</v>
      </c>
      <c r="Y86" s="51" t="s">
        <v>166</v>
      </c>
      <c r="Z86" s="48" t="s">
        <v>166</v>
      </c>
      <c r="AA86" s="48" t="s">
        <v>166</v>
      </c>
      <c r="AB86" s="48" t="s">
        <v>166</v>
      </c>
      <c r="AC86" s="48">
        <v>2.0</v>
      </c>
      <c r="AD86" s="48" t="s">
        <v>166</v>
      </c>
      <c r="AE86" s="48" t="s">
        <v>166</v>
      </c>
      <c r="AF86" s="50" t="s">
        <v>166</v>
      </c>
      <c r="AG86" s="51" t="s">
        <v>166</v>
      </c>
      <c r="AH86" s="51">
        <v>1.0</v>
      </c>
      <c r="AI86" s="48">
        <v>1.0</v>
      </c>
      <c r="AJ86" s="50" t="s">
        <v>174</v>
      </c>
      <c r="AK86" s="56" t="s">
        <v>166</v>
      </c>
      <c r="AL86" s="57">
        <v>119.99</v>
      </c>
      <c r="AM86" s="68"/>
      <c r="AN86" s="59"/>
      <c r="AO86" s="60"/>
      <c r="AP86" s="159"/>
      <c r="AQ86" s="66"/>
    </row>
    <row r="87">
      <c r="A87" s="82" t="str">
        <f>HYPERLINK("http://www.jonsbo.com/en/","Jonsbo")</f>
        <v>Jonsbo</v>
      </c>
      <c r="B87" s="62" t="s">
        <v>327</v>
      </c>
      <c r="C87" s="63" t="s">
        <v>262</v>
      </c>
      <c r="D87" s="48">
        <v>390.0</v>
      </c>
      <c r="E87" s="48">
        <v>249.5</v>
      </c>
      <c r="F87" s="48">
        <v>260.0</v>
      </c>
      <c r="G87" s="49">
        <f t="shared" si="1"/>
        <v>25.2993</v>
      </c>
      <c r="H87" s="49">
        <f t="shared" si="2"/>
        <v>973.05</v>
      </c>
      <c r="I87" s="48">
        <v>5.8</v>
      </c>
      <c r="J87" s="48" t="s">
        <v>240</v>
      </c>
      <c r="K87" s="50" t="s">
        <v>1498</v>
      </c>
      <c r="L87" s="51">
        <v>195.0</v>
      </c>
      <c r="M87" s="50" t="s">
        <v>166</v>
      </c>
      <c r="N87" s="51" t="s">
        <v>166</v>
      </c>
      <c r="O87" s="48">
        <v>330.0</v>
      </c>
      <c r="P87" s="48">
        <v>200.0</v>
      </c>
      <c r="Q87" s="48">
        <v>40.0</v>
      </c>
      <c r="R87" s="48">
        <v>2.0</v>
      </c>
      <c r="S87" s="50" t="s">
        <v>166</v>
      </c>
      <c r="T87" s="52" t="s">
        <v>227</v>
      </c>
      <c r="U87" s="52" t="s">
        <v>599</v>
      </c>
      <c r="V87" s="51">
        <v>1.0</v>
      </c>
      <c r="W87" s="48">
        <v>2.0</v>
      </c>
      <c r="X87" s="50" t="s">
        <v>166</v>
      </c>
      <c r="Y87" s="51" t="s">
        <v>166</v>
      </c>
      <c r="Z87" s="48" t="s">
        <v>166</v>
      </c>
      <c r="AA87" s="48" t="s">
        <v>166</v>
      </c>
      <c r="AB87" s="48" t="s">
        <v>166</v>
      </c>
      <c r="AC87" s="48" t="s">
        <v>435</v>
      </c>
      <c r="AD87" s="48" t="s">
        <v>194</v>
      </c>
      <c r="AE87" s="48" t="s">
        <v>166</v>
      </c>
      <c r="AF87" s="50">
        <v>1.0</v>
      </c>
      <c r="AG87" s="51" t="s">
        <v>166</v>
      </c>
      <c r="AH87" s="51">
        <v>1.0</v>
      </c>
      <c r="AI87" s="48">
        <v>1.0</v>
      </c>
      <c r="AJ87" s="50" t="s">
        <v>174</v>
      </c>
      <c r="AK87" s="56">
        <v>599.0</v>
      </c>
      <c r="AL87" s="57">
        <f>AK87*0.14</f>
        <v>83.86</v>
      </c>
      <c r="AM87" s="68"/>
      <c r="AN87" s="59"/>
      <c r="AO87" s="60"/>
      <c r="AP87" s="65">
        <v>45071.553015682875</v>
      </c>
      <c r="AQ87" s="66"/>
    </row>
    <row r="88">
      <c r="A88" s="69" t="str">
        <f>HYPERLINK("https://sktcase.world.taobao.com/","SKTC")</f>
        <v>SKTC</v>
      </c>
      <c r="B88" s="46" t="str">
        <f>HYPERLINK("https://item.taobao.com/item.htm?id=522616011155","Q3")</f>
        <v>Q3</v>
      </c>
      <c r="C88" s="63" t="s">
        <v>262</v>
      </c>
      <c r="D88" s="48">
        <v>360.0</v>
      </c>
      <c r="E88" s="48">
        <v>210.0</v>
      </c>
      <c r="F88" s="48">
        <v>335.0</v>
      </c>
      <c r="G88" s="49">
        <f t="shared" si="1"/>
        <v>25.326</v>
      </c>
      <c r="H88" s="49">
        <f t="shared" si="2"/>
        <v>756</v>
      </c>
      <c r="I88" s="48">
        <v>3.8</v>
      </c>
      <c r="J88" s="48" t="s">
        <v>411</v>
      </c>
      <c r="K88" s="50" t="s">
        <v>375</v>
      </c>
      <c r="L88" s="51">
        <v>180.0</v>
      </c>
      <c r="M88" s="50" t="s">
        <v>547</v>
      </c>
      <c r="N88" s="51" t="s">
        <v>166</v>
      </c>
      <c r="O88" s="48">
        <v>280.0</v>
      </c>
      <c r="P88" s="48">
        <v>185.0</v>
      </c>
      <c r="Q88" s="48">
        <v>100.0</v>
      </c>
      <c r="R88" s="48">
        <v>5.0</v>
      </c>
      <c r="S88" s="50" t="s">
        <v>166</v>
      </c>
      <c r="T88" s="52" t="s">
        <v>423</v>
      </c>
      <c r="U88" s="52" t="s">
        <v>599</v>
      </c>
      <c r="V88" s="51" t="s">
        <v>416</v>
      </c>
      <c r="W88" s="48" t="s">
        <v>412</v>
      </c>
      <c r="X88" s="50" t="s">
        <v>166</v>
      </c>
      <c r="Y88" s="51" t="s">
        <v>166</v>
      </c>
      <c r="Z88" s="48" t="s">
        <v>166</v>
      </c>
      <c r="AA88" s="48" t="s">
        <v>166</v>
      </c>
      <c r="AB88" s="48" t="s">
        <v>166</v>
      </c>
      <c r="AC88" s="48">
        <v>4.0</v>
      </c>
      <c r="AD88" s="48" t="s">
        <v>166</v>
      </c>
      <c r="AE88" s="48" t="s">
        <v>166</v>
      </c>
      <c r="AF88" s="50" t="s">
        <v>166</v>
      </c>
      <c r="AG88" s="51" t="s">
        <v>166</v>
      </c>
      <c r="AH88" s="51">
        <v>2.0</v>
      </c>
      <c r="AI88" s="48" t="s">
        <v>166</v>
      </c>
      <c r="AJ88" s="50" t="s">
        <v>174</v>
      </c>
      <c r="AK88" s="56">
        <v>299.0</v>
      </c>
      <c r="AL88" s="57">
        <f>AK88*Sheets!$E$3</f>
        <v>41.2158045</v>
      </c>
      <c r="AM88" s="68"/>
      <c r="AN88" s="59"/>
      <c r="AO88" s="60" t="s">
        <v>181</v>
      </c>
      <c r="AP88" s="65">
        <v>45071.553069409725</v>
      </c>
      <c r="AQ88" s="66"/>
    </row>
    <row r="89">
      <c r="A89" s="82" t="str">
        <f>HYPERLINK("http://raijintek.com/en/index.php","Raijintek")</f>
        <v>Raijintek</v>
      </c>
      <c r="B89" s="62" t="str">
        <f>HYPERLINK("http://raijintek.com/en/products_detail.php?ProductID=26","Styx")</f>
        <v>Styx</v>
      </c>
      <c r="C89" s="63" t="s">
        <v>262</v>
      </c>
      <c r="D89" s="48">
        <v>360.0</v>
      </c>
      <c r="E89" s="48">
        <v>210.0</v>
      </c>
      <c r="F89" s="48">
        <v>335.0</v>
      </c>
      <c r="G89" s="49">
        <f t="shared" si="1"/>
        <v>25.326</v>
      </c>
      <c r="H89" s="49">
        <f t="shared" si="2"/>
        <v>756</v>
      </c>
      <c r="I89" s="48">
        <v>3.8</v>
      </c>
      <c r="J89" s="48" t="s">
        <v>274</v>
      </c>
      <c r="K89" s="50" t="s">
        <v>1076</v>
      </c>
      <c r="L89" s="51">
        <v>180.0</v>
      </c>
      <c r="M89" s="50" t="s">
        <v>547</v>
      </c>
      <c r="N89" s="51" t="s">
        <v>166</v>
      </c>
      <c r="O89" s="48">
        <v>280.0</v>
      </c>
      <c r="P89" s="48">
        <v>185.0</v>
      </c>
      <c r="Q89" s="48">
        <v>100.0</v>
      </c>
      <c r="R89" s="48">
        <v>5.0</v>
      </c>
      <c r="S89" s="50" t="s">
        <v>166</v>
      </c>
      <c r="T89" s="52" t="s">
        <v>423</v>
      </c>
      <c r="U89" s="52" t="s">
        <v>599</v>
      </c>
      <c r="V89" s="51" t="s">
        <v>416</v>
      </c>
      <c r="W89" s="48" t="s">
        <v>412</v>
      </c>
      <c r="X89" s="50" t="s">
        <v>208</v>
      </c>
      <c r="Y89" s="51" t="s">
        <v>166</v>
      </c>
      <c r="Z89" s="48" t="s">
        <v>166</v>
      </c>
      <c r="AA89" s="48" t="s">
        <v>166</v>
      </c>
      <c r="AB89" s="48" t="s">
        <v>166</v>
      </c>
      <c r="AC89" s="48">
        <v>4.0</v>
      </c>
      <c r="AD89" s="48" t="s">
        <v>166</v>
      </c>
      <c r="AE89" s="48" t="s">
        <v>166</v>
      </c>
      <c r="AF89" s="50" t="s">
        <v>166</v>
      </c>
      <c r="AG89" s="51" t="s">
        <v>166</v>
      </c>
      <c r="AH89" s="51">
        <v>2.0</v>
      </c>
      <c r="AI89" s="48" t="s">
        <v>166</v>
      </c>
      <c r="AJ89" s="50" t="s">
        <v>174</v>
      </c>
      <c r="AK89" s="56" t="s">
        <v>166</v>
      </c>
      <c r="AL89" s="57">
        <v>79.99</v>
      </c>
      <c r="AM89" s="68"/>
      <c r="AN89" s="59"/>
      <c r="AO89" s="60"/>
      <c r="AP89" s="65">
        <v>45071.55310567129</v>
      </c>
      <c r="AQ89" s="66"/>
    </row>
    <row r="90">
      <c r="A90" s="69" t="s">
        <v>286</v>
      </c>
      <c r="B90" s="46" t="s">
        <v>1499</v>
      </c>
      <c r="C90" s="63" t="s">
        <v>262</v>
      </c>
      <c r="D90" s="48">
        <v>388.0</v>
      </c>
      <c r="E90" s="48">
        <v>186.0</v>
      </c>
      <c r="F90" s="48">
        <v>355.0</v>
      </c>
      <c r="G90" s="49">
        <f t="shared" si="1"/>
        <v>25.61964</v>
      </c>
      <c r="H90" s="49">
        <f t="shared" si="2"/>
        <v>721.68</v>
      </c>
      <c r="I90" s="48" t="s">
        <v>170</v>
      </c>
      <c r="J90" s="48" t="s">
        <v>235</v>
      </c>
      <c r="K90" s="50" t="s">
        <v>1500</v>
      </c>
      <c r="L90" s="51">
        <v>165.0</v>
      </c>
      <c r="M90" s="50" t="s">
        <v>981</v>
      </c>
      <c r="N90" s="51" t="s">
        <v>166</v>
      </c>
      <c r="O90" s="48">
        <v>378.0</v>
      </c>
      <c r="P90" s="48">
        <v>170.0</v>
      </c>
      <c r="Q90" s="48">
        <v>140.0</v>
      </c>
      <c r="R90" s="48">
        <v>7.0</v>
      </c>
      <c r="S90" s="50" t="s">
        <v>166</v>
      </c>
      <c r="T90" s="52" t="s">
        <v>696</v>
      </c>
      <c r="U90" s="52" t="s">
        <v>686</v>
      </c>
      <c r="V90" s="51" t="s">
        <v>278</v>
      </c>
      <c r="W90" s="48" t="s">
        <v>194</v>
      </c>
      <c r="X90" s="50" t="s">
        <v>166</v>
      </c>
      <c r="Y90" s="51" t="s">
        <v>166</v>
      </c>
      <c r="Z90" s="48" t="s">
        <v>166</v>
      </c>
      <c r="AA90" s="48" t="s">
        <v>166</v>
      </c>
      <c r="AB90" s="48" t="s">
        <v>166</v>
      </c>
      <c r="AC90" s="48" t="s">
        <v>170</v>
      </c>
      <c r="AD90" s="48" t="s">
        <v>170</v>
      </c>
      <c r="AE90" s="48" t="s">
        <v>166</v>
      </c>
      <c r="AF90" s="50" t="s">
        <v>166</v>
      </c>
      <c r="AG90" s="51" t="s">
        <v>166</v>
      </c>
      <c r="AH90" s="51" t="s">
        <v>166</v>
      </c>
      <c r="AI90" s="48" t="s">
        <v>166</v>
      </c>
      <c r="AJ90" s="50" t="s">
        <v>166</v>
      </c>
      <c r="AK90" s="56">
        <v>1699.0</v>
      </c>
      <c r="AL90" s="57">
        <f>AK90*Sheets!$E$3</f>
        <v>234.1995045</v>
      </c>
      <c r="AM90" s="68"/>
      <c r="AN90" s="70"/>
      <c r="AO90" s="71"/>
      <c r="AP90" s="72">
        <v>45071.553117766205</v>
      </c>
      <c r="AQ90" s="66"/>
    </row>
    <row r="91">
      <c r="A91" s="82" t="str">
        <f t="shared" ref="A91:A92" si="6">HYPERLINK("http://metallicgear.com/","Metallic Gear")</f>
        <v>Metallic Gear</v>
      </c>
      <c r="B91" s="83" t="str">
        <f>HYPERLINK("http://metallicgear.com/index.php/products/Neo-G-Mini-V2","Neo G Mini V2")</f>
        <v>Neo G Mini V2</v>
      </c>
      <c r="C91" s="63" t="s">
        <v>262</v>
      </c>
      <c r="D91" s="48">
        <v>380.0</v>
      </c>
      <c r="E91" s="48">
        <v>190.0</v>
      </c>
      <c r="F91" s="48">
        <v>355.0</v>
      </c>
      <c r="G91" s="49">
        <f t="shared" si="1"/>
        <v>25.631</v>
      </c>
      <c r="H91" s="49">
        <f t="shared" si="2"/>
        <v>722</v>
      </c>
      <c r="I91" s="48">
        <v>4.9</v>
      </c>
      <c r="J91" s="48" t="s">
        <v>597</v>
      </c>
      <c r="K91" s="50" t="s">
        <v>512</v>
      </c>
      <c r="L91" s="51">
        <v>160.0</v>
      </c>
      <c r="M91" s="50" t="s">
        <v>825</v>
      </c>
      <c r="N91" s="51" t="s">
        <v>166</v>
      </c>
      <c r="O91" s="48">
        <v>345.0</v>
      </c>
      <c r="P91" s="48">
        <v>165.0</v>
      </c>
      <c r="Q91" s="48">
        <v>60.0</v>
      </c>
      <c r="R91" s="48">
        <v>3.0</v>
      </c>
      <c r="S91" s="50" t="s">
        <v>166</v>
      </c>
      <c r="T91" s="52" t="s">
        <v>167</v>
      </c>
      <c r="U91" s="52" t="s">
        <v>599</v>
      </c>
      <c r="V91" s="51">
        <v>2.0</v>
      </c>
      <c r="W91" s="48">
        <v>1.0</v>
      </c>
      <c r="X91" s="50" t="s">
        <v>166</v>
      </c>
      <c r="Y91" s="51" t="s">
        <v>166</v>
      </c>
      <c r="Z91" s="48" t="s">
        <v>166</v>
      </c>
      <c r="AA91" s="48" t="s">
        <v>166</v>
      </c>
      <c r="AB91" s="48" t="s">
        <v>166</v>
      </c>
      <c r="AC91" s="48" t="s">
        <v>416</v>
      </c>
      <c r="AD91" s="48" t="s">
        <v>193</v>
      </c>
      <c r="AE91" s="48" t="s">
        <v>166</v>
      </c>
      <c r="AF91" s="50" t="s">
        <v>166</v>
      </c>
      <c r="AG91" s="51" t="s">
        <v>166</v>
      </c>
      <c r="AH91" s="51">
        <v>2.0</v>
      </c>
      <c r="AI91" s="48" t="s">
        <v>166</v>
      </c>
      <c r="AJ91" s="50" t="s">
        <v>174</v>
      </c>
      <c r="AK91" s="56" t="s">
        <v>166</v>
      </c>
      <c r="AL91" s="57" t="s">
        <v>170</v>
      </c>
      <c r="AM91" s="58"/>
      <c r="AN91" s="59"/>
      <c r="AO91" s="60"/>
      <c r="AP91" s="65">
        <v>45071.553170416664</v>
      </c>
      <c r="AQ91" s="66"/>
    </row>
    <row r="92">
      <c r="A92" s="82" t="str">
        <f t="shared" si="6"/>
        <v>Metallic Gear</v>
      </c>
      <c r="B92" s="83" t="str">
        <f>HYPERLINK("http://metallicgear.com/index.php/products/Neo-Mini-V2","Neo Mini V2")</f>
        <v>Neo Mini V2</v>
      </c>
      <c r="C92" s="63" t="s">
        <v>262</v>
      </c>
      <c r="D92" s="48">
        <v>380.0</v>
      </c>
      <c r="E92" s="48">
        <v>190.0</v>
      </c>
      <c r="F92" s="48">
        <v>355.0</v>
      </c>
      <c r="G92" s="49">
        <f t="shared" si="1"/>
        <v>25.631</v>
      </c>
      <c r="H92" s="49">
        <f t="shared" si="2"/>
        <v>722</v>
      </c>
      <c r="I92" s="48">
        <v>4.9</v>
      </c>
      <c r="J92" s="48" t="s">
        <v>597</v>
      </c>
      <c r="K92" s="50" t="s">
        <v>512</v>
      </c>
      <c r="L92" s="51">
        <v>160.0</v>
      </c>
      <c r="M92" s="50" t="s">
        <v>825</v>
      </c>
      <c r="N92" s="51" t="s">
        <v>166</v>
      </c>
      <c r="O92" s="48">
        <v>345.0</v>
      </c>
      <c r="P92" s="48">
        <v>165.0</v>
      </c>
      <c r="Q92" s="48">
        <v>40.0</v>
      </c>
      <c r="R92" s="48">
        <v>2.0</v>
      </c>
      <c r="S92" s="50" t="s">
        <v>166</v>
      </c>
      <c r="T92" s="52" t="s">
        <v>167</v>
      </c>
      <c r="U92" s="52" t="s">
        <v>599</v>
      </c>
      <c r="V92" s="51">
        <v>2.0</v>
      </c>
      <c r="W92" s="48">
        <v>1.0</v>
      </c>
      <c r="X92" s="50" t="s">
        <v>166</v>
      </c>
      <c r="Y92" s="51" t="s">
        <v>166</v>
      </c>
      <c r="Z92" s="48" t="s">
        <v>166</v>
      </c>
      <c r="AA92" s="48" t="s">
        <v>166</v>
      </c>
      <c r="AB92" s="48" t="s">
        <v>166</v>
      </c>
      <c r="AC92" s="48" t="s">
        <v>873</v>
      </c>
      <c r="AD92" s="48" t="s">
        <v>193</v>
      </c>
      <c r="AE92" s="48" t="s">
        <v>166</v>
      </c>
      <c r="AF92" s="50" t="s">
        <v>166</v>
      </c>
      <c r="AG92" s="51" t="s">
        <v>166</v>
      </c>
      <c r="AH92" s="51">
        <v>2.0</v>
      </c>
      <c r="AI92" s="48" t="s">
        <v>166</v>
      </c>
      <c r="AJ92" s="50" t="s">
        <v>174</v>
      </c>
      <c r="AK92" s="56" t="s">
        <v>166</v>
      </c>
      <c r="AL92" s="57">
        <v>69.99</v>
      </c>
      <c r="AM92" s="58"/>
      <c r="AN92" s="59"/>
      <c r="AO92" s="60"/>
      <c r="AP92" s="65">
        <v>45071.55317320602</v>
      </c>
      <c r="AQ92" s="66"/>
    </row>
    <row r="93">
      <c r="A93" s="61" t="s">
        <v>209</v>
      </c>
      <c r="B93" s="62" t="str">
        <f>HYPERLINK("https://www.silverstonetek.com/product.php?pid=822&amp;area=en","PS15")</f>
        <v>PS15</v>
      </c>
      <c r="C93" s="63" t="s">
        <v>262</v>
      </c>
      <c r="D93" s="48">
        <v>351.0</v>
      </c>
      <c r="E93" s="48">
        <v>192.0</v>
      </c>
      <c r="F93" s="48">
        <v>381.0</v>
      </c>
      <c r="G93" s="49">
        <f t="shared" si="1"/>
        <v>25.676352</v>
      </c>
      <c r="H93" s="49">
        <f t="shared" si="2"/>
        <v>673.92</v>
      </c>
      <c r="I93" s="48">
        <v>3.52</v>
      </c>
      <c r="J93" s="48" t="s">
        <v>653</v>
      </c>
      <c r="K93" s="50" t="s">
        <v>171</v>
      </c>
      <c r="L93" s="51">
        <v>154.0</v>
      </c>
      <c r="M93" s="50" t="s">
        <v>1501</v>
      </c>
      <c r="N93" s="51" t="s">
        <v>166</v>
      </c>
      <c r="O93" s="48">
        <v>314.0</v>
      </c>
      <c r="P93" s="48">
        <v>151.0</v>
      </c>
      <c r="Q93" s="48">
        <v>80.0</v>
      </c>
      <c r="R93" s="48">
        <v>4.0</v>
      </c>
      <c r="S93" s="50" t="s">
        <v>166</v>
      </c>
      <c r="T93" s="52" t="s">
        <v>1102</v>
      </c>
      <c r="U93" s="52" t="s">
        <v>599</v>
      </c>
      <c r="V93" s="51" t="s">
        <v>562</v>
      </c>
      <c r="W93" s="48" t="s">
        <v>194</v>
      </c>
      <c r="X93" s="50" t="s">
        <v>166</v>
      </c>
      <c r="Y93" s="51" t="s">
        <v>166</v>
      </c>
      <c r="Z93" s="48" t="s">
        <v>166</v>
      </c>
      <c r="AA93" s="48" t="s">
        <v>166</v>
      </c>
      <c r="AB93" s="48" t="s">
        <v>166</v>
      </c>
      <c r="AC93" s="48" t="s">
        <v>300</v>
      </c>
      <c r="AD93" s="48" t="s">
        <v>426</v>
      </c>
      <c r="AE93" s="48" t="s">
        <v>166</v>
      </c>
      <c r="AF93" s="50" t="s">
        <v>166</v>
      </c>
      <c r="AG93" s="51" t="s">
        <v>166</v>
      </c>
      <c r="AH93" s="51">
        <v>2.0</v>
      </c>
      <c r="AI93" s="48" t="s">
        <v>166</v>
      </c>
      <c r="AJ93" s="50" t="s">
        <v>174</v>
      </c>
      <c r="AK93" s="56" t="s">
        <v>166</v>
      </c>
      <c r="AL93" s="57">
        <v>49.99</v>
      </c>
      <c r="AM93" s="58"/>
      <c r="AN93" s="59"/>
      <c r="AO93" s="60"/>
      <c r="AP93" s="159"/>
      <c r="AQ93" s="66"/>
    </row>
    <row r="94">
      <c r="A94" s="61" t="s">
        <v>1451</v>
      </c>
      <c r="B94" s="62" t="s">
        <v>1502</v>
      </c>
      <c r="C94" s="63" t="s">
        <v>262</v>
      </c>
      <c r="D94" s="48">
        <v>383.0</v>
      </c>
      <c r="E94" s="48">
        <v>189.0</v>
      </c>
      <c r="F94" s="48">
        <v>356.0</v>
      </c>
      <c r="G94" s="49">
        <f t="shared" si="1"/>
        <v>25.769772</v>
      </c>
      <c r="H94" s="49">
        <f t="shared" si="2"/>
        <v>723.87</v>
      </c>
      <c r="I94" s="48" t="s">
        <v>170</v>
      </c>
      <c r="J94" s="48" t="s">
        <v>171</v>
      </c>
      <c r="K94" s="50" t="s">
        <v>1457</v>
      </c>
      <c r="L94" s="51">
        <v>151.0</v>
      </c>
      <c r="M94" s="50">
        <v>120.0</v>
      </c>
      <c r="N94" s="51" t="s">
        <v>166</v>
      </c>
      <c r="O94" s="48">
        <v>336.0</v>
      </c>
      <c r="P94" s="48">
        <v>156.0</v>
      </c>
      <c r="Q94" s="48">
        <v>80.0</v>
      </c>
      <c r="R94" s="48">
        <v>4.0</v>
      </c>
      <c r="S94" s="50" t="s">
        <v>166</v>
      </c>
      <c r="T94" s="52" t="s">
        <v>423</v>
      </c>
      <c r="U94" s="52" t="s">
        <v>599</v>
      </c>
      <c r="V94" s="51">
        <v>3.0</v>
      </c>
      <c r="W94" s="48">
        <v>2.0</v>
      </c>
      <c r="X94" s="50" t="s">
        <v>166</v>
      </c>
      <c r="Y94" s="51" t="s">
        <v>166</v>
      </c>
      <c r="Z94" s="48" t="s">
        <v>166</v>
      </c>
      <c r="AA94" s="48" t="s">
        <v>194</v>
      </c>
      <c r="AB94" s="48" t="s">
        <v>194</v>
      </c>
      <c r="AC94" s="48">
        <v>3.0</v>
      </c>
      <c r="AD94" s="48" t="s">
        <v>166</v>
      </c>
      <c r="AE94" s="48" t="s">
        <v>166</v>
      </c>
      <c r="AF94" s="50" t="s">
        <v>166</v>
      </c>
      <c r="AG94" s="51">
        <v>1.0</v>
      </c>
      <c r="AH94" s="51">
        <v>1.0</v>
      </c>
      <c r="AI94" s="48" t="s">
        <v>166</v>
      </c>
      <c r="AJ94" s="50" t="s">
        <v>174</v>
      </c>
      <c r="AK94" s="56" t="s">
        <v>166</v>
      </c>
      <c r="AL94" s="57" t="s">
        <v>170</v>
      </c>
      <c r="AM94" s="58"/>
      <c r="AN94" s="59"/>
      <c r="AO94" s="60"/>
      <c r="AP94" s="65">
        <v>45071.553223993054</v>
      </c>
      <c r="AQ94" s="66"/>
    </row>
    <row r="95">
      <c r="A95" s="61" t="s">
        <v>1503</v>
      </c>
      <c r="B95" s="62" t="s">
        <v>1504</v>
      </c>
      <c r="C95" s="63" t="s">
        <v>248</v>
      </c>
      <c r="D95" s="48">
        <v>393.7</v>
      </c>
      <c r="E95" s="106">
        <v>168.275</v>
      </c>
      <c r="F95" s="48">
        <v>390.5</v>
      </c>
      <c r="G95" s="49">
        <f t="shared" si="1"/>
        <v>25.87057326</v>
      </c>
      <c r="H95" s="49">
        <f t="shared" si="2"/>
        <v>662.498675</v>
      </c>
      <c r="I95" s="48" t="s">
        <v>170</v>
      </c>
      <c r="J95" s="48" t="s">
        <v>245</v>
      </c>
      <c r="K95" s="50" t="s">
        <v>171</v>
      </c>
      <c r="L95" s="51">
        <v>63.0</v>
      </c>
      <c r="M95" s="50" t="s">
        <v>1505</v>
      </c>
      <c r="N95" s="51" t="s">
        <v>174</v>
      </c>
      <c r="O95" s="48" t="s">
        <v>170</v>
      </c>
      <c r="P95" s="48" t="s">
        <v>170</v>
      </c>
      <c r="Q95" s="48">
        <v>50.0</v>
      </c>
      <c r="R95" s="48">
        <v>4.0</v>
      </c>
      <c r="S95" s="50" t="s">
        <v>166</v>
      </c>
      <c r="T95" s="52" t="s">
        <v>1445</v>
      </c>
      <c r="U95" s="52" t="s">
        <v>346</v>
      </c>
      <c r="V95" s="51" t="s">
        <v>220</v>
      </c>
      <c r="W95" s="48" t="s">
        <v>194</v>
      </c>
      <c r="X95" s="50" t="s">
        <v>166</v>
      </c>
      <c r="Y95" s="51" t="s">
        <v>166</v>
      </c>
      <c r="Z95" s="48" t="s">
        <v>166</v>
      </c>
      <c r="AA95" s="48" t="s">
        <v>166</v>
      </c>
      <c r="AB95" s="48" t="s">
        <v>166</v>
      </c>
      <c r="AC95" s="48">
        <v>1.0</v>
      </c>
      <c r="AD95" s="48">
        <v>4.0</v>
      </c>
      <c r="AE95" s="48" t="s">
        <v>166</v>
      </c>
      <c r="AF95" s="50" t="s">
        <v>166</v>
      </c>
      <c r="AG95" s="51" t="s">
        <v>166</v>
      </c>
      <c r="AH95" s="51">
        <v>2.0</v>
      </c>
      <c r="AI95" s="48">
        <v>1.0</v>
      </c>
      <c r="AJ95" s="50" t="s">
        <v>174</v>
      </c>
      <c r="AK95" s="56" t="s">
        <v>166</v>
      </c>
      <c r="AL95" s="57">
        <v>150.0</v>
      </c>
      <c r="AM95" s="58"/>
      <c r="AN95" s="59"/>
      <c r="AO95" s="60"/>
      <c r="AP95" s="65">
        <v>44610.69374887731</v>
      </c>
      <c r="AQ95" s="66"/>
    </row>
    <row r="96">
      <c r="A96" s="61" t="s">
        <v>1224</v>
      </c>
      <c r="B96" s="62" t="s">
        <v>1506</v>
      </c>
      <c r="C96" s="63" t="s">
        <v>262</v>
      </c>
      <c r="D96" s="48">
        <v>435.0</v>
      </c>
      <c r="E96" s="48">
        <v>194.0</v>
      </c>
      <c r="F96" s="48">
        <v>307.0</v>
      </c>
      <c r="G96" s="49">
        <f t="shared" si="1"/>
        <v>25.90773</v>
      </c>
      <c r="H96" s="49">
        <f t="shared" si="2"/>
        <v>843.9</v>
      </c>
      <c r="I96" s="48">
        <v>6.7</v>
      </c>
      <c r="J96" s="48" t="s">
        <v>235</v>
      </c>
      <c r="K96" s="50" t="s">
        <v>1507</v>
      </c>
      <c r="L96" s="51">
        <v>166.0</v>
      </c>
      <c r="M96" s="50" t="s">
        <v>1508</v>
      </c>
      <c r="N96" s="51" t="s">
        <v>232</v>
      </c>
      <c r="O96" s="48">
        <v>373.0</v>
      </c>
      <c r="P96" s="48">
        <v>160.0</v>
      </c>
      <c r="Q96" s="48">
        <v>62.0</v>
      </c>
      <c r="R96" s="48">
        <v>2.0</v>
      </c>
      <c r="S96" s="50" t="s">
        <v>166</v>
      </c>
      <c r="T96" s="52" t="s">
        <v>227</v>
      </c>
      <c r="U96" s="52" t="s">
        <v>686</v>
      </c>
      <c r="V96" s="51" t="s">
        <v>435</v>
      </c>
      <c r="W96" s="48" t="s">
        <v>194</v>
      </c>
      <c r="X96" s="50" t="s">
        <v>166</v>
      </c>
      <c r="Y96" s="51" t="s">
        <v>166</v>
      </c>
      <c r="Z96" s="48" t="s">
        <v>166</v>
      </c>
      <c r="AA96" s="48" t="s">
        <v>166</v>
      </c>
      <c r="AB96" s="48" t="s">
        <v>166</v>
      </c>
      <c r="AC96" s="48" t="s">
        <v>682</v>
      </c>
      <c r="AD96" s="48" t="s">
        <v>278</v>
      </c>
      <c r="AE96" s="48" t="s">
        <v>166</v>
      </c>
      <c r="AF96" s="50" t="s">
        <v>166</v>
      </c>
      <c r="AG96" s="51" t="s">
        <v>166</v>
      </c>
      <c r="AH96" s="51">
        <v>1.0</v>
      </c>
      <c r="AI96" s="48">
        <v>1.0</v>
      </c>
      <c r="AJ96" s="50" t="s">
        <v>174</v>
      </c>
      <c r="AK96" s="56" t="s">
        <v>166</v>
      </c>
      <c r="AL96" s="57">
        <v>269.99</v>
      </c>
      <c r="AM96" s="58"/>
      <c r="AN96" s="59"/>
      <c r="AO96" s="60"/>
      <c r="AP96" s="65">
        <v>45061.01709144676</v>
      </c>
      <c r="AQ96" s="66"/>
    </row>
    <row r="97">
      <c r="A97" s="61" t="s">
        <v>1492</v>
      </c>
      <c r="B97" s="62" t="s">
        <v>1509</v>
      </c>
      <c r="C97" s="63" t="s">
        <v>262</v>
      </c>
      <c r="D97" s="48">
        <v>360.5</v>
      </c>
      <c r="E97" s="48">
        <v>240.0</v>
      </c>
      <c r="F97" s="48">
        <v>300.0</v>
      </c>
      <c r="G97" s="49">
        <f t="shared" si="1"/>
        <v>25.956</v>
      </c>
      <c r="H97" s="49">
        <f t="shared" si="2"/>
        <v>865.2</v>
      </c>
      <c r="I97" s="48" t="s">
        <v>170</v>
      </c>
      <c r="J97" s="48" t="s">
        <v>164</v>
      </c>
      <c r="K97" s="50" t="s">
        <v>1510</v>
      </c>
      <c r="L97" s="51">
        <v>150.0</v>
      </c>
      <c r="M97" s="50" t="s">
        <v>547</v>
      </c>
      <c r="N97" s="51" t="s">
        <v>166</v>
      </c>
      <c r="O97" s="48">
        <v>310.0</v>
      </c>
      <c r="P97" s="48">
        <v>155.0</v>
      </c>
      <c r="Q97" s="48">
        <v>80.0</v>
      </c>
      <c r="R97" s="48">
        <v>4.0</v>
      </c>
      <c r="S97" s="50" t="s">
        <v>166</v>
      </c>
      <c r="T97" s="52" t="s">
        <v>423</v>
      </c>
      <c r="U97" s="52" t="s">
        <v>346</v>
      </c>
      <c r="V97" s="51">
        <v>1.0</v>
      </c>
      <c r="W97" s="48">
        <v>1.0</v>
      </c>
      <c r="X97" s="50" t="s">
        <v>166</v>
      </c>
      <c r="Y97" s="51" t="s">
        <v>166</v>
      </c>
      <c r="Z97" s="48" t="s">
        <v>166</v>
      </c>
      <c r="AA97" s="48">
        <v>2.0</v>
      </c>
      <c r="AB97" s="48" t="s">
        <v>166</v>
      </c>
      <c r="AC97" s="48">
        <v>2.0</v>
      </c>
      <c r="AD97" s="48" t="s">
        <v>166</v>
      </c>
      <c r="AE97" s="48" t="s">
        <v>166</v>
      </c>
      <c r="AF97" s="50" t="s">
        <v>166</v>
      </c>
      <c r="AG97" s="51" t="s">
        <v>166</v>
      </c>
      <c r="AH97" s="51">
        <v>1.0</v>
      </c>
      <c r="AI97" s="48">
        <v>1.0</v>
      </c>
      <c r="AJ97" s="50" t="s">
        <v>174</v>
      </c>
      <c r="AK97" s="56" t="s">
        <v>166</v>
      </c>
      <c r="AL97" s="57">
        <v>239.0</v>
      </c>
      <c r="AM97" s="68"/>
      <c r="AN97" s="59"/>
      <c r="AO97" s="60"/>
      <c r="AP97" s="65">
        <v>45071.553279618056</v>
      </c>
      <c r="AQ97" s="66"/>
    </row>
    <row r="98">
      <c r="A98" s="82" t="str">
        <f>HYPERLINK("https://www.in-win.com/","InWin")</f>
        <v>InWin</v>
      </c>
      <c r="B98" s="61" t="str">
        <f>HYPERLINK("https://www.in-win.com/en/gaming-chassis/301/","301")</f>
        <v>301</v>
      </c>
      <c r="C98" s="63" t="s">
        <v>262</v>
      </c>
      <c r="D98" s="48">
        <v>365.0</v>
      </c>
      <c r="E98" s="48">
        <v>188.0</v>
      </c>
      <c r="F98" s="48">
        <v>379.0</v>
      </c>
      <c r="G98" s="49">
        <f t="shared" si="1"/>
        <v>26.00698</v>
      </c>
      <c r="H98" s="49">
        <f t="shared" si="2"/>
        <v>686.2</v>
      </c>
      <c r="I98" s="48">
        <v>6.57</v>
      </c>
      <c r="J98" s="48" t="s">
        <v>597</v>
      </c>
      <c r="K98" s="50" t="s">
        <v>1389</v>
      </c>
      <c r="L98" s="51">
        <v>160.0</v>
      </c>
      <c r="M98" s="50" t="s">
        <v>1511</v>
      </c>
      <c r="N98" s="51" t="s">
        <v>166</v>
      </c>
      <c r="O98" s="48">
        <v>330.0</v>
      </c>
      <c r="P98" s="48">
        <v>165.0</v>
      </c>
      <c r="Q98" s="48">
        <v>80.0</v>
      </c>
      <c r="R98" s="48">
        <v>4.0</v>
      </c>
      <c r="S98" s="50" t="s">
        <v>166</v>
      </c>
      <c r="T98" s="52" t="s">
        <v>423</v>
      </c>
      <c r="U98" s="52" t="s">
        <v>599</v>
      </c>
      <c r="V98" s="51" t="s">
        <v>435</v>
      </c>
      <c r="W98" s="48" t="s">
        <v>194</v>
      </c>
      <c r="X98" s="50" t="s">
        <v>166</v>
      </c>
      <c r="Y98" s="51" t="s">
        <v>166</v>
      </c>
      <c r="Z98" s="48" t="s">
        <v>166</v>
      </c>
      <c r="AA98" s="48" t="s">
        <v>166</v>
      </c>
      <c r="AB98" s="48" t="s">
        <v>166</v>
      </c>
      <c r="AC98" s="48">
        <v>5.0</v>
      </c>
      <c r="AD98" s="48" t="s">
        <v>166</v>
      </c>
      <c r="AE98" s="48" t="s">
        <v>166</v>
      </c>
      <c r="AF98" s="50" t="s">
        <v>166</v>
      </c>
      <c r="AG98" s="51" t="s">
        <v>166</v>
      </c>
      <c r="AH98" s="51">
        <v>2.0</v>
      </c>
      <c r="AI98" s="48" t="s">
        <v>166</v>
      </c>
      <c r="AJ98" s="50" t="s">
        <v>174</v>
      </c>
      <c r="AK98" s="56" t="s">
        <v>166</v>
      </c>
      <c r="AL98" s="57">
        <v>69.98</v>
      </c>
      <c r="AM98" s="58"/>
      <c r="AN98" s="59"/>
      <c r="AO98" s="60"/>
      <c r="AP98" s="65">
        <v>45071.55331616898</v>
      </c>
      <c r="AQ98" s="66"/>
    </row>
    <row r="99">
      <c r="A99" s="82" t="s">
        <v>1408</v>
      </c>
      <c r="B99" s="62" t="s">
        <v>1512</v>
      </c>
      <c r="C99" s="63" t="s">
        <v>262</v>
      </c>
      <c r="D99" s="48">
        <v>391.0</v>
      </c>
      <c r="E99" s="48">
        <v>205.0</v>
      </c>
      <c r="F99" s="48">
        <v>325.0</v>
      </c>
      <c r="G99" s="49">
        <f t="shared" si="1"/>
        <v>26.050375</v>
      </c>
      <c r="H99" s="49">
        <f t="shared" si="2"/>
        <v>801.55</v>
      </c>
      <c r="I99" s="48" t="s">
        <v>170</v>
      </c>
      <c r="J99" s="48" t="s">
        <v>597</v>
      </c>
      <c r="K99" s="50" t="s">
        <v>1216</v>
      </c>
      <c r="L99" s="51">
        <v>166.0</v>
      </c>
      <c r="M99" s="50" t="s">
        <v>166</v>
      </c>
      <c r="N99" s="51" t="s">
        <v>166</v>
      </c>
      <c r="O99" s="48">
        <v>355.0</v>
      </c>
      <c r="P99" s="48">
        <v>171.0</v>
      </c>
      <c r="Q99" s="48">
        <v>80.0</v>
      </c>
      <c r="R99" s="48">
        <v>4.0</v>
      </c>
      <c r="S99" s="50" t="s">
        <v>166</v>
      </c>
      <c r="T99" s="52" t="s">
        <v>423</v>
      </c>
      <c r="U99" s="52" t="s">
        <v>816</v>
      </c>
      <c r="V99" s="51" t="s">
        <v>426</v>
      </c>
      <c r="W99" s="48" t="s">
        <v>426</v>
      </c>
      <c r="X99" s="50" t="s">
        <v>166</v>
      </c>
      <c r="Y99" s="51" t="s">
        <v>166</v>
      </c>
      <c r="Z99" s="48" t="s">
        <v>166</v>
      </c>
      <c r="AA99" s="48" t="s">
        <v>166</v>
      </c>
      <c r="AB99" s="48" t="s">
        <v>166</v>
      </c>
      <c r="AC99" s="48" t="s">
        <v>1018</v>
      </c>
      <c r="AD99" s="48" t="s">
        <v>426</v>
      </c>
      <c r="AE99" s="48" t="s">
        <v>166</v>
      </c>
      <c r="AF99" s="50" t="s">
        <v>166</v>
      </c>
      <c r="AG99" s="51" t="s">
        <v>166</v>
      </c>
      <c r="AH99" s="51">
        <v>2.0</v>
      </c>
      <c r="AI99" s="48">
        <v>1.0</v>
      </c>
      <c r="AJ99" s="50" t="s">
        <v>174</v>
      </c>
      <c r="AK99" s="56">
        <v>379.0</v>
      </c>
      <c r="AL99" s="57">
        <v>85.0</v>
      </c>
      <c r="AM99" s="68"/>
      <c r="AN99" s="70"/>
      <c r="AO99" s="71"/>
      <c r="AP99" s="72">
        <v>45159.977797025465</v>
      </c>
      <c r="AQ99" s="66"/>
    </row>
    <row r="100">
      <c r="A100" s="61" t="s">
        <v>209</v>
      </c>
      <c r="B100" s="62" t="s">
        <v>1513</v>
      </c>
      <c r="C100" s="63" t="s">
        <v>262</v>
      </c>
      <c r="D100" s="48">
        <v>451.0</v>
      </c>
      <c r="E100" s="48">
        <v>202.0</v>
      </c>
      <c r="F100" s="48">
        <v>286.0</v>
      </c>
      <c r="G100" s="49">
        <f t="shared" si="1"/>
        <v>26.055172</v>
      </c>
      <c r="H100" s="49">
        <f t="shared" si="2"/>
        <v>911.02</v>
      </c>
      <c r="I100" s="48">
        <v>5.78</v>
      </c>
      <c r="J100" s="48" t="s">
        <v>171</v>
      </c>
      <c r="K100" s="50" t="s">
        <v>1235</v>
      </c>
      <c r="L100" s="51">
        <v>170.0</v>
      </c>
      <c r="M100" s="50" t="s">
        <v>1514</v>
      </c>
      <c r="N100" s="51" t="s">
        <v>166</v>
      </c>
      <c r="O100" s="48">
        <v>400.0</v>
      </c>
      <c r="P100" s="48">
        <v>174.0</v>
      </c>
      <c r="Q100" s="48">
        <v>98.0</v>
      </c>
      <c r="R100" s="48">
        <v>4.0</v>
      </c>
      <c r="S100" s="50" t="s">
        <v>166</v>
      </c>
      <c r="T100" s="52" t="s">
        <v>1102</v>
      </c>
      <c r="U100" s="52" t="s">
        <v>816</v>
      </c>
      <c r="V100" s="51" t="s">
        <v>435</v>
      </c>
      <c r="W100" s="48" t="s">
        <v>194</v>
      </c>
      <c r="X100" s="50" t="s">
        <v>166</v>
      </c>
      <c r="Y100" s="51" t="s">
        <v>166</v>
      </c>
      <c r="Z100" s="48" t="s">
        <v>166</v>
      </c>
      <c r="AA100" s="48">
        <v>4.0</v>
      </c>
      <c r="AB100" s="48" t="s">
        <v>166</v>
      </c>
      <c r="AC100" s="48" t="s">
        <v>1515</v>
      </c>
      <c r="AD100" s="48" t="s">
        <v>193</v>
      </c>
      <c r="AE100" s="48" t="s">
        <v>166</v>
      </c>
      <c r="AF100" s="50" t="s">
        <v>166</v>
      </c>
      <c r="AG100" s="51" t="s">
        <v>166</v>
      </c>
      <c r="AH100" s="51">
        <v>2.0</v>
      </c>
      <c r="AI100" s="48">
        <v>1.0</v>
      </c>
      <c r="AJ100" s="50" t="s">
        <v>174</v>
      </c>
      <c r="AK100" s="56" t="s">
        <v>166</v>
      </c>
      <c r="AL100" s="57">
        <v>239.99</v>
      </c>
      <c r="AM100" s="58"/>
      <c r="AN100" s="59"/>
      <c r="AO100" s="60"/>
      <c r="AP100" s="65">
        <v>45195.855867465274</v>
      </c>
      <c r="AQ100" s="66"/>
    </row>
    <row r="101">
      <c r="A101" s="61" t="s">
        <v>942</v>
      </c>
      <c r="B101" s="88" t="s">
        <v>1516</v>
      </c>
      <c r="C101" s="63" t="s">
        <v>262</v>
      </c>
      <c r="D101" s="48">
        <v>443.0</v>
      </c>
      <c r="E101" s="48">
        <v>194.0</v>
      </c>
      <c r="F101" s="48">
        <v>306.0</v>
      </c>
      <c r="G101" s="49">
        <f t="shared" si="1"/>
        <v>26.298252</v>
      </c>
      <c r="H101" s="49">
        <f t="shared" si="2"/>
        <v>859.42</v>
      </c>
      <c r="I101" s="48" t="s">
        <v>170</v>
      </c>
      <c r="J101" s="48" t="s">
        <v>240</v>
      </c>
      <c r="K101" s="50" t="s">
        <v>171</v>
      </c>
      <c r="L101" s="51">
        <v>165.0</v>
      </c>
      <c r="M101" s="50" t="s">
        <v>1514</v>
      </c>
      <c r="N101" s="51" t="s">
        <v>166</v>
      </c>
      <c r="O101" s="48">
        <v>415.0</v>
      </c>
      <c r="P101" s="48">
        <v>160.0</v>
      </c>
      <c r="Q101" s="48">
        <v>90.0</v>
      </c>
      <c r="R101" s="48">
        <v>4.0</v>
      </c>
      <c r="S101" s="50" t="s">
        <v>166</v>
      </c>
      <c r="T101" s="52" t="s">
        <v>423</v>
      </c>
      <c r="U101" s="52" t="s">
        <v>816</v>
      </c>
      <c r="V101" s="51" t="s">
        <v>435</v>
      </c>
      <c r="W101" s="48" t="s">
        <v>194</v>
      </c>
      <c r="X101" s="50" t="s">
        <v>166</v>
      </c>
      <c r="Y101" s="51" t="s">
        <v>166</v>
      </c>
      <c r="Z101" s="48" t="s">
        <v>166</v>
      </c>
      <c r="AA101" s="48" t="s">
        <v>166</v>
      </c>
      <c r="AB101" s="48" t="s">
        <v>166</v>
      </c>
      <c r="AC101" s="48" t="s">
        <v>1517</v>
      </c>
      <c r="AD101" s="48" t="s">
        <v>278</v>
      </c>
      <c r="AE101" s="48" t="s">
        <v>166</v>
      </c>
      <c r="AF101" s="50" t="s">
        <v>166</v>
      </c>
      <c r="AG101" s="51" t="s">
        <v>166</v>
      </c>
      <c r="AH101" s="51">
        <v>2.0</v>
      </c>
      <c r="AI101" s="48">
        <v>1.0</v>
      </c>
      <c r="AJ101" s="50" t="s">
        <v>174</v>
      </c>
      <c r="AK101" s="56"/>
      <c r="AL101" s="57">
        <v>69.99</v>
      </c>
      <c r="AM101" s="68"/>
      <c r="AN101" s="59"/>
      <c r="AO101" s="60"/>
      <c r="AP101" s="65">
        <v>45441.93281157408</v>
      </c>
      <c r="AQ101" s="66"/>
    </row>
    <row r="102">
      <c r="A102" s="82" t="str">
        <f>HYPERLINK("http://www.jonsbo.com/en/","Jonsbo")</f>
        <v>Jonsbo</v>
      </c>
      <c r="B102" s="62" t="s">
        <v>1518</v>
      </c>
      <c r="C102" s="63" t="s">
        <v>262</v>
      </c>
      <c r="D102" s="48">
        <v>401.0</v>
      </c>
      <c r="E102" s="48">
        <v>204.0</v>
      </c>
      <c r="F102" s="48">
        <v>325.0</v>
      </c>
      <c r="G102" s="49">
        <f t="shared" si="1"/>
        <v>26.5863</v>
      </c>
      <c r="H102" s="49">
        <f t="shared" si="2"/>
        <v>818.04</v>
      </c>
      <c r="I102" s="48">
        <v>4.36</v>
      </c>
      <c r="J102" s="48" t="s">
        <v>597</v>
      </c>
      <c r="K102" s="50" t="s">
        <v>1519</v>
      </c>
      <c r="L102" s="51">
        <v>168.0</v>
      </c>
      <c r="M102" s="50" t="s">
        <v>1520</v>
      </c>
      <c r="N102" s="51" t="s">
        <v>166</v>
      </c>
      <c r="O102" s="48">
        <v>355.0</v>
      </c>
      <c r="P102" s="48">
        <v>173.0</v>
      </c>
      <c r="Q102" s="48">
        <v>80.0</v>
      </c>
      <c r="R102" s="48">
        <v>4.0</v>
      </c>
      <c r="S102" s="50" t="s">
        <v>166</v>
      </c>
      <c r="T102" s="52" t="s">
        <v>1102</v>
      </c>
      <c r="U102" s="52" t="s">
        <v>599</v>
      </c>
      <c r="V102" s="51" t="s">
        <v>562</v>
      </c>
      <c r="W102" s="48" t="s">
        <v>194</v>
      </c>
      <c r="X102" s="50" t="s">
        <v>166</v>
      </c>
      <c r="Y102" s="51" t="s">
        <v>166</v>
      </c>
      <c r="Z102" s="48" t="s">
        <v>166</v>
      </c>
      <c r="AA102" s="48" t="s">
        <v>166</v>
      </c>
      <c r="AB102" s="48" t="s">
        <v>166</v>
      </c>
      <c r="AC102" s="48" t="s">
        <v>355</v>
      </c>
      <c r="AD102" s="48" t="s">
        <v>278</v>
      </c>
      <c r="AE102" s="48" t="s">
        <v>166</v>
      </c>
      <c r="AF102" s="50" t="s">
        <v>166</v>
      </c>
      <c r="AG102" s="51" t="s">
        <v>166</v>
      </c>
      <c r="AH102" s="51">
        <v>1.0</v>
      </c>
      <c r="AI102" s="48">
        <v>1.0</v>
      </c>
      <c r="AJ102" s="50" t="s">
        <v>174</v>
      </c>
      <c r="AK102" s="56">
        <v>399.0</v>
      </c>
      <c r="AL102" s="57">
        <v>109.99</v>
      </c>
      <c r="AM102" s="68"/>
      <c r="AN102" s="59"/>
      <c r="AO102" s="60"/>
      <c r="AP102" s="65">
        <v>45071.55334078704</v>
      </c>
      <c r="AQ102" s="66"/>
    </row>
    <row r="103">
      <c r="A103" s="82" t="str">
        <f>HYPERLINK("https://www.fractal-design.com/","Fractal Design")</f>
        <v>Fractal Design</v>
      </c>
      <c r="B103" s="83" t="str">
        <f>HYPERLINK("https://www.fractal-design.com/products/cases/define/define-nano-s/black/","Define Nano S")</f>
        <v>Define Nano S</v>
      </c>
      <c r="C103" s="63" t="s">
        <v>262</v>
      </c>
      <c r="D103" s="48">
        <v>400.0</v>
      </c>
      <c r="E103" s="48">
        <v>203.0</v>
      </c>
      <c r="F103" s="48">
        <v>330.0</v>
      </c>
      <c r="G103" s="49">
        <f t="shared" si="1"/>
        <v>26.796</v>
      </c>
      <c r="H103" s="49">
        <f t="shared" si="2"/>
        <v>812</v>
      </c>
      <c r="I103" s="48">
        <v>5.0</v>
      </c>
      <c r="J103" s="48" t="s">
        <v>274</v>
      </c>
      <c r="K103" s="50" t="s">
        <v>171</v>
      </c>
      <c r="L103" s="51">
        <v>162.0</v>
      </c>
      <c r="M103" s="50" t="s">
        <v>825</v>
      </c>
      <c r="N103" s="51" t="s">
        <v>166</v>
      </c>
      <c r="O103" s="48">
        <v>315.0</v>
      </c>
      <c r="P103" s="48">
        <v>167.0</v>
      </c>
      <c r="Q103" s="48">
        <v>39.0</v>
      </c>
      <c r="R103" s="48">
        <v>2.0</v>
      </c>
      <c r="S103" s="50" t="s">
        <v>166</v>
      </c>
      <c r="T103" s="52" t="s">
        <v>167</v>
      </c>
      <c r="U103" s="52" t="s">
        <v>599</v>
      </c>
      <c r="V103" s="51" t="s">
        <v>416</v>
      </c>
      <c r="W103" s="48" t="s">
        <v>193</v>
      </c>
      <c r="X103" s="50" t="s">
        <v>166</v>
      </c>
      <c r="Y103" s="51" t="s">
        <v>166</v>
      </c>
      <c r="Z103" s="48" t="s">
        <v>166</v>
      </c>
      <c r="AA103" s="48" t="s">
        <v>166</v>
      </c>
      <c r="AB103" s="48" t="s">
        <v>166</v>
      </c>
      <c r="AC103" s="48" t="s">
        <v>584</v>
      </c>
      <c r="AD103" s="48" t="s">
        <v>426</v>
      </c>
      <c r="AE103" s="48" t="s">
        <v>166</v>
      </c>
      <c r="AF103" s="50" t="s">
        <v>166</v>
      </c>
      <c r="AG103" s="51" t="s">
        <v>166</v>
      </c>
      <c r="AH103" s="51">
        <v>2.0</v>
      </c>
      <c r="AI103" s="48" t="s">
        <v>166</v>
      </c>
      <c r="AJ103" s="50" t="s">
        <v>174</v>
      </c>
      <c r="AK103" s="56" t="s">
        <v>166</v>
      </c>
      <c r="AL103" s="57">
        <v>56.99</v>
      </c>
      <c r="AM103" s="58"/>
      <c r="AN103" s="64" t="s">
        <v>214</v>
      </c>
      <c r="AO103" s="60"/>
      <c r="AP103" s="65">
        <v>45071.553388796296</v>
      </c>
      <c r="AQ103" s="66"/>
    </row>
    <row r="104">
      <c r="A104" s="61" t="s">
        <v>209</v>
      </c>
      <c r="B104" s="62" t="s">
        <v>1521</v>
      </c>
      <c r="C104" s="63" t="s">
        <v>262</v>
      </c>
      <c r="D104" s="48">
        <v>410.0</v>
      </c>
      <c r="E104" s="48">
        <v>183.0</v>
      </c>
      <c r="F104" s="48">
        <v>360.0</v>
      </c>
      <c r="G104" s="49">
        <f t="shared" si="1"/>
        <v>27.0108</v>
      </c>
      <c r="H104" s="49">
        <f t="shared" si="2"/>
        <v>750.3</v>
      </c>
      <c r="I104" s="48">
        <v>3.48</v>
      </c>
      <c r="J104" s="48" t="s">
        <v>171</v>
      </c>
      <c r="K104" s="50" t="s">
        <v>211</v>
      </c>
      <c r="L104" s="51">
        <v>156.0</v>
      </c>
      <c r="M104" s="50" t="s">
        <v>1196</v>
      </c>
      <c r="N104" s="51" t="s">
        <v>166</v>
      </c>
      <c r="O104" s="48">
        <v>354.0</v>
      </c>
      <c r="P104" s="48">
        <v>161.0</v>
      </c>
      <c r="Q104" s="48">
        <v>80.0</v>
      </c>
      <c r="R104" s="48">
        <v>4.0</v>
      </c>
      <c r="S104" s="50" t="s">
        <v>166</v>
      </c>
      <c r="T104" s="52" t="s">
        <v>423</v>
      </c>
      <c r="U104" s="52" t="s">
        <v>599</v>
      </c>
      <c r="V104" s="51" t="s">
        <v>412</v>
      </c>
      <c r="W104" s="48" t="s">
        <v>412</v>
      </c>
      <c r="X104" s="50" t="s">
        <v>194</v>
      </c>
      <c r="Y104" s="51" t="s">
        <v>166</v>
      </c>
      <c r="Z104" s="48" t="s">
        <v>166</v>
      </c>
      <c r="AA104" s="48" t="s">
        <v>166</v>
      </c>
      <c r="AB104" s="48" t="s">
        <v>166</v>
      </c>
      <c r="AC104" s="48" t="s">
        <v>412</v>
      </c>
      <c r="AD104" s="48" t="s">
        <v>193</v>
      </c>
      <c r="AE104" s="48" t="s">
        <v>166</v>
      </c>
      <c r="AF104" s="50" t="s">
        <v>166</v>
      </c>
      <c r="AG104" s="51">
        <v>1.0</v>
      </c>
      <c r="AH104" s="51">
        <v>2.0</v>
      </c>
      <c r="AI104" s="48" t="s">
        <v>166</v>
      </c>
      <c r="AJ104" s="50" t="s">
        <v>174</v>
      </c>
      <c r="AK104" s="56" t="s">
        <v>166</v>
      </c>
      <c r="AL104" s="57">
        <v>69.99</v>
      </c>
      <c r="AM104" s="58"/>
      <c r="AN104" s="59"/>
      <c r="AO104" s="60"/>
      <c r="AP104" s="65">
        <v>45061.017708287036</v>
      </c>
      <c r="AQ104" s="66"/>
    </row>
    <row r="105">
      <c r="A105" s="82" t="str">
        <f>HYPERLINK("https://www.fractal-design.com/","Fractal Design")</f>
        <v>Fractal Design</v>
      </c>
      <c r="B105" s="62" t="s">
        <v>1522</v>
      </c>
      <c r="C105" s="63" t="s">
        <v>262</v>
      </c>
      <c r="D105" s="48">
        <v>384.0</v>
      </c>
      <c r="E105" s="48">
        <v>205.0</v>
      </c>
      <c r="F105" s="48">
        <v>345.0</v>
      </c>
      <c r="G105" s="49">
        <f t="shared" si="1"/>
        <v>27.1584</v>
      </c>
      <c r="H105" s="49">
        <f t="shared" si="2"/>
        <v>787.2</v>
      </c>
      <c r="I105" s="48">
        <v>5.9</v>
      </c>
      <c r="J105" s="48" t="s">
        <v>597</v>
      </c>
      <c r="K105" s="50" t="s">
        <v>171</v>
      </c>
      <c r="L105" s="51">
        <v>167.0</v>
      </c>
      <c r="M105" s="50" t="s">
        <v>825</v>
      </c>
      <c r="N105" s="51" t="s">
        <v>166</v>
      </c>
      <c r="O105" s="48">
        <v>331.0</v>
      </c>
      <c r="P105" s="48">
        <v>171.0</v>
      </c>
      <c r="Q105" s="48">
        <v>57.0</v>
      </c>
      <c r="R105" s="48">
        <v>2.0</v>
      </c>
      <c r="S105" s="50" t="s">
        <v>166</v>
      </c>
      <c r="T105" s="52" t="s">
        <v>227</v>
      </c>
      <c r="U105" s="52" t="s">
        <v>599</v>
      </c>
      <c r="V105" s="51" t="s">
        <v>562</v>
      </c>
      <c r="W105" s="48" t="s">
        <v>194</v>
      </c>
      <c r="X105" s="50" t="s">
        <v>166</v>
      </c>
      <c r="Y105" s="51" t="s">
        <v>166</v>
      </c>
      <c r="Z105" s="48" t="s">
        <v>166</v>
      </c>
      <c r="AA105" s="48" t="s">
        <v>166</v>
      </c>
      <c r="AB105" s="48" t="s">
        <v>166</v>
      </c>
      <c r="AC105" s="48" t="s">
        <v>355</v>
      </c>
      <c r="AD105" s="48" t="s">
        <v>426</v>
      </c>
      <c r="AE105" s="48" t="s">
        <v>166</v>
      </c>
      <c r="AF105" s="50" t="s">
        <v>166</v>
      </c>
      <c r="AG105" s="51" t="s">
        <v>166</v>
      </c>
      <c r="AH105" s="51">
        <v>2.0</v>
      </c>
      <c r="AI105" s="48">
        <v>1.0</v>
      </c>
      <c r="AJ105" s="50" t="s">
        <v>174</v>
      </c>
      <c r="AK105" s="56" t="s">
        <v>166</v>
      </c>
      <c r="AL105" s="57">
        <v>99.99</v>
      </c>
      <c r="AM105" s="68"/>
      <c r="AN105" s="59"/>
      <c r="AO105" s="60"/>
      <c r="AP105" s="65">
        <v>45071.553430520835</v>
      </c>
      <c r="AQ105" s="66"/>
    </row>
    <row r="106">
      <c r="A106" s="83" t="str">
        <f t="shared" ref="A106:A107" si="7">HYPERLINK("https://www.nzxt.com/","NZXT")</f>
        <v>NZXT</v>
      </c>
      <c r="B106" s="62" t="s">
        <v>1523</v>
      </c>
      <c r="C106" s="63" t="s">
        <v>262</v>
      </c>
      <c r="D106" s="48">
        <v>372.0</v>
      </c>
      <c r="E106" s="48">
        <v>210.0</v>
      </c>
      <c r="F106" s="48">
        <v>349.0</v>
      </c>
      <c r="G106" s="49">
        <f t="shared" si="1"/>
        <v>27.26388</v>
      </c>
      <c r="H106" s="49">
        <f t="shared" si="2"/>
        <v>781.2</v>
      </c>
      <c r="I106" s="48">
        <v>5.9</v>
      </c>
      <c r="J106" s="48" t="s">
        <v>597</v>
      </c>
      <c r="K106" s="50" t="s">
        <v>1094</v>
      </c>
      <c r="L106" s="51">
        <v>165.0</v>
      </c>
      <c r="M106" s="50" t="s">
        <v>1501</v>
      </c>
      <c r="N106" s="51" t="s">
        <v>166</v>
      </c>
      <c r="O106" s="48">
        <v>325.0</v>
      </c>
      <c r="P106" s="48">
        <v>170.0</v>
      </c>
      <c r="Q106" s="48">
        <v>44.0</v>
      </c>
      <c r="R106" s="48">
        <v>2.0</v>
      </c>
      <c r="S106" s="50" t="s">
        <v>166</v>
      </c>
      <c r="T106" s="52" t="s">
        <v>167</v>
      </c>
      <c r="U106" s="52" t="s">
        <v>599</v>
      </c>
      <c r="V106" s="51" t="s">
        <v>562</v>
      </c>
      <c r="W106" s="48">
        <v>1.0</v>
      </c>
      <c r="X106" s="50" t="s">
        <v>166</v>
      </c>
      <c r="Y106" s="51" t="s">
        <v>166</v>
      </c>
      <c r="Z106" s="48" t="s">
        <v>166</v>
      </c>
      <c r="AA106" s="48" t="s">
        <v>166</v>
      </c>
      <c r="AB106" s="48" t="s">
        <v>166</v>
      </c>
      <c r="AC106" s="48" t="s">
        <v>416</v>
      </c>
      <c r="AD106" s="48" t="s">
        <v>193</v>
      </c>
      <c r="AE106" s="48" t="s">
        <v>166</v>
      </c>
      <c r="AF106" s="50" t="s">
        <v>166</v>
      </c>
      <c r="AG106" s="51" t="s">
        <v>166</v>
      </c>
      <c r="AH106" s="51">
        <v>1.0</v>
      </c>
      <c r="AI106" s="48">
        <v>1.0</v>
      </c>
      <c r="AJ106" s="50" t="s">
        <v>174</v>
      </c>
      <c r="AK106" s="56" t="s">
        <v>166</v>
      </c>
      <c r="AL106" s="57">
        <v>80.0</v>
      </c>
      <c r="AM106" s="58"/>
      <c r="AN106" s="59"/>
      <c r="AO106" s="60"/>
      <c r="AP106" s="65">
        <v>45071.553455381945</v>
      </c>
      <c r="AQ106" s="66"/>
    </row>
    <row r="107">
      <c r="A107" s="83" t="str">
        <f t="shared" si="7"/>
        <v>NZXT</v>
      </c>
      <c r="B107" s="62" t="s">
        <v>1524</v>
      </c>
      <c r="C107" s="63" t="s">
        <v>262</v>
      </c>
      <c r="D107" s="48">
        <v>372.0</v>
      </c>
      <c r="E107" s="48">
        <v>210.0</v>
      </c>
      <c r="F107" s="48">
        <v>349.0</v>
      </c>
      <c r="G107" s="49">
        <f t="shared" si="1"/>
        <v>27.26388</v>
      </c>
      <c r="H107" s="49">
        <f t="shared" si="2"/>
        <v>781.2</v>
      </c>
      <c r="I107" s="48">
        <v>5.9</v>
      </c>
      <c r="J107" s="48" t="s">
        <v>597</v>
      </c>
      <c r="K107" s="50" t="s">
        <v>1094</v>
      </c>
      <c r="L107" s="51">
        <v>165.0</v>
      </c>
      <c r="M107" s="50" t="s">
        <v>1501</v>
      </c>
      <c r="N107" s="51" t="s">
        <v>166</v>
      </c>
      <c r="O107" s="48">
        <v>325.0</v>
      </c>
      <c r="P107" s="48">
        <v>170.0</v>
      </c>
      <c r="Q107" s="48">
        <v>44.0</v>
      </c>
      <c r="R107" s="48">
        <v>2.0</v>
      </c>
      <c r="S107" s="50" t="s">
        <v>166</v>
      </c>
      <c r="T107" s="52" t="s">
        <v>167</v>
      </c>
      <c r="U107" s="52" t="s">
        <v>599</v>
      </c>
      <c r="V107" s="51" t="s">
        <v>562</v>
      </c>
      <c r="W107" s="48">
        <v>1.0</v>
      </c>
      <c r="X107" s="50" t="s">
        <v>166</v>
      </c>
      <c r="Y107" s="51" t="s">
        <v>166</v>
      </c>
      <c r="Z107" s="48" t="s">
        <v>166</v>
      </c>
      <c r="AA107" s="48" t="s">
        <v>166</v>
      </c>
      <c r="AB107" s="48" t="s">
        <v>166</v>
      </c>
      <c r="AC107" s="48" t="s">
        <v>416</v>
      </c>
      <c r="AD107" s="48" t="s">
        <v>193</v>
      </c>
      <c r="AE107" s="48" t="s">
        <v>166</v>
      </c>
      <c r="AF107" s="50" t="s">
        <v>166</v>
      </c>
      <c r="AG107" s="51" t="s">
        <v>166</v>
      </c>
      <c r="AH107" s="51">
        <v>1.0</v>
      </c>
      <c r="AI107" s="48">
        <v>1.0</v>
      </c>
      <c r="AJ107" s="50" t="s">
        <v>174</v>
      </c>
      <c r="AK107" s="56" t="s">
        <v>166</v>
      </c>
      <c r="AL107" s="57">
        <v>109.99</v>
      </c>
      <c r="AM107" s="58"/>
      <c r="AN107" s="59"/>
      <c r="AO107" s="60"/>
      <c r="AP107" s="65">
        <v>45071.553543807866</v>
      </c>
      <c r="AQ107" s="66"/>
    </row>
    <row r="108">
      <c r="A108" s="61" t="s">
        <v>205</v>
      </c>
      <c r="B108" s="62" t="s">
        <v>1525</v>
      </c>
      <c r="C108" s="63" t="s">
        <v>262</v>
      </c>
      <c r="D108" s="48">
        <v>415.0</v>
      </c>
      <c r="E108" s="48">
        <v>204.0</v>
      </c>
      <c r="F108" s="48">
        <v>325.0</v>
      </c>
      <c r="G108" s="49">
        <f t="shared" si="1"/>
        <v>27.5145</v>
      </c>
      <c r="H108" s="49">
        <f t="shared" si="2"/>
        <v>846.6</v>
      </c>
      <c r="I108" s="48">
        <v>4.78</v>
      </c>
      <c r="J108" s="48" t="s">
        <v>597</v>
      </c>
      <c r="K108" s="50" t="s">
        <v>1526</v>
      </c>
      <c r="L108" s="51">
        <v>165.0</v>
      </c>
      <c r="M108" s="50" t="s">
        <v>547</v>
      </c>
      <c r="N108" s="51" t="s">
        <v>166</v>
      </c>
      <c r="O108" s="48">
        <v>380.0</v>
      </c>
      <c r="P108" s="48">
        <v>170.0</v>
      </c>
      <c r="Q108" s="48">
        <v>80.0</v>
      </c>
      <c r="R108" s="48">
        <v>4.0</v>
      </c>
      <c r="S108" s="50" t="s">
        <v>166</v>
      </c>
      <c r="T108" s="52" t="s">
        <v>423</v>
      </c>
      <c r="U108" s="52" t="s">
        <v>599</v>
      </c>
      <c r="V108" s="51" t="s">
        <v>562</v>
      </c>
      <c r="W108" s="48" t="s">
        <v>194</v>
      </c>
      <c r="X108" s="50" t="s">
        <v>166</v>
      </c>
      <c r="Y108" s="51" t="s">
        <v>166</v>
      </c>
      <c r="Z108" s="48" t="s">
        <v>166</v>
      </c>
      <c r="AA108" s="48" t="s">
        <v>166</v>
      </c>
      <c r="AB108" s="48" t="s">
        <v>166</v>
      </c>
      <c r="AC108" s="48" t="s">
        <v>355</v>
      </c>
      <c r="AD108" s="48" t="s">
        <v>278</v>
      </c>
      <c r="AE108" s="48" t="s">
        <v>166</v>
      </c>
      <c r="AF108" s="50" t="s">
        <v>166</v>
      </c>
      <c r="AG108" s="51" t="s">
        <v>166</v>
      </c>
      <c r="AH108" s="51">
        <v>1.0</v>
      </c>
      <c r="AI108" s="48">
        <v>1.0</v>
      </c>
      <c r="AJ108" s="50" t="s">
        <v>174</v>
      </c>
      <c r="AK108" s="56" t="s">
        <v>166</v>
      </c>
      <c r="AL108" s="57">
        <f>77.9*1.07</f>
        <v>83.353</v>
      </c>
      <c r="AM108" s="68"/>
      <c r="AN108" s="59"/>
      <c r="AO108" s="60"/>
      <c r="AP108" s="65">
        <v>45071.55354412037</v>
      </c>
      <c r="AQ108" s="66"/>
    </row>
    <row r="109">
      <c r="A109" s="83" t="s">
        <v>1328</v>
      </c>
      <c r="B109" s="83" t="s">
        <v>1527</v>
      </c>
      <c r="C109" s="63" t="s">
        <v>225</v>
      </c>
      <c r="D109" s="48">
        <v>383.0</v>
      </c>
      <c r="E109" s="48">
        <v>431.0</v>
      </c>
      <c r="F109" s="48">
        <v>167.0</v>
      </c>
      <c r="G109" s="49">
        <f t="shared" si="1"/>
        <v>27.567191</v>
      </c>
      <c r="H109" s="49">
        <f t="shared" si="2"/>
        <v>1650.73</v>
      </c>
      <c r="I109" s="48" t="s">
        <v>170</v>
      </c>
      <c r="J109" s="48" t="s">
        <v>597</v>
      </c>
      <c r="K109" s="50" t="s">
        <v>164</v>
      </c>
      <c r="L109" s="51">
        <v>110.0</v>
      </c>
      <c r="M109" s="50" t="s">
        <v>1501</v>
      </c>
      <c r="N109" s="51" t="s">
        <v>166</v>
      </c>
      <c r="O109" s="48">
        <v>330.0</v>
      </c>
      <c r="P109" s="48" t="s">
        <v>170</v>
      </c>
      <c r="Q109" s="48">
        <v>80.0</v>
      </c>
      <c r="R109" s="48">
        <v>4.0</v>
      </c>
      <c r="S109" s="50" t="s">
        <v>166</v>
      </c>
      <c r="T109" s="52" t="s">
        <v>423</v>
      </c>
      <c r="U109" s="52" t="s">
        <v>599</v>
      </c>
      <c r="V109" s="51">
        <v>4.0</v>
      </c>
      <c r="W109" s="48">
        <v>2.0</v>
      </c>
      <c r="X109" s="50" t="s">
        <v>166</v>
      </c>
      <c r="Y109" s="51" t="s">
        <v>166</v>
      </c>
      <c r="Z109" s="48">
        <v>2.0</v>
      </c>
      <c r="AA109" s="48" t="s">
        <v>166</v>
      </c>
      <c r="AB109" s="48" t="s">
        <v>166</v>
      </c>
      <c r="AC109" s="48">
        <v>3.0</v>
      </c>
      <c r="AD109" s="48" t="s">
        <v>166</v>
      </c>
      <c r="AE109" s="48" t="s">
        <v>166</v>
      </c>
      <c r="AF109" s="50" t="s">
        <v>166</v>
      </c>
      <c r="AG109" s="51" t="s">
        <v>166</v>
      </c>
      <c r="AH109" s="51">
        <v>2.0</v>
      </c>
      <c r="AI109" s="48">
        <v>1.0</v>
      </c>
      <c r="AJ109" s="50" t="s">
        <v>174</v>
      </c>
      <c r="AK109" s="56" t="s">
        <v>166</v>
      </c>
      <c r="AL109" s="57">
        <v>179.99</v>
      </c>
      <c r="AM109" s="68"/>
      <c r="AN109" s="59"/>
      <c r="AO109" s="60"/>
      <c r="AP109" s="159"/>
      <c r="AQ109" s="66"/>
    </row>
    <row r="110">
      <c r="A110" s="82" t="str">
        <f>HYPERLINK("https://www.fractal-design.com/","Fractal Design")</f>
        <v>Fractal Design</v>
      </c>
      <c r="B110" s="62" t="s">
        <v>1528</v>
      </c>
      <c r="C110" s="63" t="s">
        <v>262</v>
      </c>
      <c r="D110" s="48">
        <v>390.0</v>
      </c>
      <c r="E110" s="48">
        <v>205.0</v>
      </c>
      <c r="F110" s="48">
        <v>345.0</v>
      </c>
      <c r="G110" s="49">
        <f t="shared" si="1"/>
        <v>27.58275</v>
      </c>
      <c r="H110" s="49">
        <f t="shared" si="2"/>
        <v>799.5</v>
      </c>
      <c r="I110" s="48">
        <v>7.1</v>
      </c>
      <c r="J110" s="48" t="s">
        <v>653</v>
      </c>
      <c r="K110" s="50" t="s">
        <v>512</v>
      </c>
      <c r="L110" s="51">
        <v>167.0</v>
      </c>
      <c r="M110" s="50" t="s">
        <v>825</v>
      </c>
      <c r="N110" s="51" t="s">
        <v>166</v>
      </c>
      <c r="O110" s="48">
        <v>331.0</v>
      </c>
      <c r="P110" s="48">
        <v>172.0</v>
      </c>
      <c r="Q110" s="48">
        <v>57.0</v>
      </c>
      <c r="R110" s="48">
        <v>2.0</v>
      </c>
      <c r="S110" s="50" t="s">
        <v>166</v>
      </c>
      <c r="T110" s="52" t="s">
        <v>227</v>
      </c>
      <c r="U110" s="52" t="s">
        <v>599</v>
      </c>
      <c r="V110" s="51" t="s">
        <v>562</v>
      </c>
      <c r="W110" s="48" t="s">
        <v>194</v>
      </c>
      <c r="X110" s="50" t="s">
        <v>166</v>
      </c>
      <c r="Y110" s="51" t="s">
        <v>166</v>
      </c>
      <c r="Z110" s="48" t="s">
        <v>166</v>
      </c>
      <c r="AA110" s="48" t="s">
        <v>166</v>
      </c>
      <c r="AB110" s="48" t="s">
        <v>166</v>
      </c>
      <c r="AC110" s="48" t="s">
        <v>355</v>
      </c>
      <c r="AD110" s="48" t="s">
        <v>426</v>
      </c>
      <c r="AE110" s="48" t="s">
        <v>166</v>
      </c>
      <c r="AF110" s="50" t="s">
        <v>166</v>
      </c>
      <c r="AG110" s="51">
        <v>2.0</v>
      </c>
      <c r="AH110" s="51">
        <v>2.0</v>
      </c>
      <c r="AI110" s="48">
        <v>1.0</v>
      </c>
      <c r="AJ110" s="50" t="s">
        <v>174</v>
      </c>
      <c r="AK110" s="56" t="s">
        <v>166</v>
      </c>
      <c r="AL110" s="57">
        <v>99.99</v>
      </c>
      <c r="AM110" s="68"/>
      <c r="AN110" s="59"/>
      <c r="AO110" s="60"/>
      <c r="AP110" s="65">
        <v>45071.55358457176</v>
      </c>
      <c r="AQ110" s="66"/>
    </row>
    <row r="111">
      <c r="A111" s="82" t="str">
        <f>HYPERLINK("http://raijintek.com/en/index.php","Raijintek")</f>
        <v>Raijintek</v>
      </c>
      <c r="B111" s="62" t="str">
        <f>HYPERLINK("http://raijintek.com/en/products_detail.php?ProductID=52","Thetis")</f>
        <v>Thetis</v>
      </c>
      <c r="C111" s="63" t="s">
        <v>262</v>
      </c>
      <c r="D111" s="48">
        <v>360.0</v>
      </c>
      <c r="E111" s="48">
        <v>210.0</v>
      </c>
      <c r="F111" s="48">
        <v>366.0</v>
      </c>
      <c r="G111" s="49">
        <f t="shared" si="1"/>
        <v>27.6696</v>
      </c>
      <c r="H111" s="49">
        <f t="shared" si="2"/>
        <v>756</v>
      </c>
      <c r="I111" s="48">
        <v>4.8</v>
      </c>
      <c r="J111" s="48" t="s">
        <v>235</v>
      </c>
      <c r="K111" s="50" t="s">
        <v>540</v>
      </c>
      <c r="L111" s="51">
        <v>170.0</v>
      </c>
      <c r="M111" s="50" t="s">
        <v>547</v>
      </c>
      <c r="N111" s="51" t="s">
        <v>166</v>
      </c>
      <c r="O111" s="48">
        <v>320.0</v>
      </c>
      <c r="P111" s="48">
        <v>175.0</v>
      </c>
      <c r="Q111" s="48">
        <v>140.0</v>
      </c>
      <c r="R111" s="48">
        <v>7.0</v>
      </c>
      <c r="S111" s="50" t="s">
        <v>166</v>
      </c>
      <c r="T111" s="52" t="s">
        <v>696</v>
      </c>
      <c r="U111" s="52" t="s">
        <v>599</v>
      </c>
      <c r="V111" s="51">
        <v>2.0</v>
      </c>
      <c r="W111" s="48">
        <v>2.0</v>
      </c>
      <c r="X111" s="50" t="s">
        <v>166</v>
      </c>
      <c r="Y111" s="51" t="s">
        <v>166</v>
      </c>
      <c r="Z111" s="48" t="s">
        <v>166</v>
      </c>
      <c r="AA111" s="48" t="s">
        <v>166</v>
      </c>
      <c r="AB111" s="48" t="s">
        <v>166</v>
      </c>
      <c r="AC111" s="48">
        <v>4.0</v>
      </c>
      <c r="AD111" s="48" t="s">
        <v>166</v>
      </c>
      <c r="AE111" s="48" t="s">
        <v>166</v>
      </c>
      <c r="AF111" s="50" t="s">
        <v>166</v>
      </c>
      <c r="AG111" s="51" t="s">
        <v>166</v>
      </c>
      <c r="AH111" s="51">
        <v>2.0</v>
      </c>
      <c r="AI111" s="48" t="s">
        <v>166</v>
      </c>
      <c r="AJ111" s="50" t="s">
        <v>174</v>
      </c>
      <c r="AK111" s="56" t="s">
        <v>166</v>
      </c>
      <c r="AL111" s="57" t="s">
        <v>170</v>
      </c>
      <c r="AM111" s="68"/>
      <c r="AN111" s="59"/>
      <c r="AO111" s="60"/>
      <c r="AP111" s="65">
        <v>45149.749951770835</v>
      </c>
      <c r="AQ111" s="66"/>
    </row>
    <row r="112">
      <c r="A112" s="82" t="str">
        <f>HYPERLINK("http://www.jonsbo.com/en/","Jonsbo")</f>
        <v>Jonsbo</v>
      </c>
      <c r="B112" s="62" t="str">
        <f>HYPERLINK("http://www.jonsbo.com/en/products/rm3silver.html","RM3")</f>
        <v>RM3</v>
      </c>
      <c r="C112" s="63" t="s">
        <v>262</v>
      </c>
      <c r="D112" s="48">
        <v>336.0</v>
      </c>
      <c r="E112" s="48">
        <v>215.0</v>
      </c>
      <c r="F112" s="48">
        <v>385.0</v>
      </c>
      <c r="G112" s="49">
        <f t="shared" si="1"/>
        <v>27.8124</v>
      </c>
      <c r="H112" s="49">
        <f t="shared" si="2"/>
        <v>722.4</v>
      </c>
      <c r="I112" s="48">
        <v>7.3</v>
      </c>
      <c r="J112" s="48" t="s">
        <v>597</v>
      </c>
      <c r="K112" s="50" t="s">
        <v>1529</v>
      </c>
      <c r="L112" s="51">
        <v>170.0</v>
      </c>
      <c r="M112" s="50">
        <v>120.0</v>
      </c>
      <c r="N112" s="51" t="s">
        <v>166</v>
      </c>
      <c r="O112" s="48">
        <v>310.0</v>
      </c>
      <c r="P112" s="48">
        <v>175.0</v>
      </c>
      <c r="Q112" s="48">
        <v>80.0</v>
      </c>
      <c r="R112" s="48">
        <v>4.0</v>
      </c>
      <c r="S112" s="50" t="s">
        <v>166</v>
      </c>
      <c r="T112" s="52" t="s">
        <v>423</v>
      </c>
      <c r="U112" s="52" t="s">
        <v>599</v>
      </c>
      <c r="V112" s="51" t="s">
        <v>873</v>
      </c>
      <c r="W112" s="48" t="s">
        <v>193</v>
      </c>
      <c r="X112" s="50" t="s">
        <v>166</v>
      </c>
      <c r="Y112" s="51" t="s">
        <v>166</v>
      </c>
      <c r="Z112" s="48" t="s">
        <v>166</v>
      </c>
      <c r="AA112" s="48" t="s">
        <v>166</v>
      </c>
      <c r="AB112" s="48" t="s">
        <v>166</v>
      </c>
      <c r="AC112" s="48">
        <v>2.0</v>
      </c>
      <c r="AD112" s="48">
        <v>1.0</v>
      </c>
      <c r="AE112" s="48" t="s">
        <v>166</v>
      </c>
      <c r="AF112" s="50" t="s">
        <v>166</v>
      </c>
      <c r="AG112" s="51" t="s">
        <v>166</v>
      </c>
      <c r="AH112" s="51">
        <v>2.0</v>
      </c>
      <c r="AI112" s="48" t="s">
        <v>166</v>
      </c>
      <c r="AJ112" s="50" t="s">
        <v>174</v>
      </c>
      <c r="AK112" s="56">
        <v>499.0</v>
      </c>
      <c r="AL112" s="57">
        <v>109.8</v>
      </c>
      <c r="AM112" s="68"/>
      <c r="AN112" s="59"/>
      <c r="AO112" s="60"/>
      <c r="AP112" s="65">
        <v>45071.55364758102</v>
      </c>
      <c r="AQ112" s="66"/>
    </row>
    <row r="113">
      <c r="A113" s="69" t="str">
        <f>HYPERLINK("https://sktcase.world.taobao.com/","SKTC")</f>
        <v>SKTC</v>
      </c>
      <c r="B113" s="46" t="str">
        <f>HYPERLINK("https://item.taobao.com/item.htm?id=537834269621","Q5")</f>
        <v>Q5</v>
      </c>
      <c r="C113" s="63" t="s">
        <v>262</v>
      </c>
      <c r="D113" s="48">
        <v>360.0</v>
      </c>
      <c r="E113" s="48">
        <v>210.0</v>
      </c>
      <c r="F113" s="48">
        <v>370.0</v>
      </c>
      <c r="G113" s="49">
        <f t="shared" si="1"/>
        <v>27.972</v>
      </c>
      <c r="H113" s="49">
        <f t="shared" si="2"/>
        <v>756</v>
      </c>
      <c r="I113" s="48">
        <v>4.9</v>
      </c>
      <c r="J113" s="48" t="s">
        <v>411</v>
      </c>
      <c r="K113" s="50" t="s">
        <v>375</v>
      </c>
      <c r="L113" s="51">
        <v>170.0</v>
      </c>
      <c r="M113" s="50" t="s">
        <v>1501</v>
      </c>
      <c r="N113" s="51" t="s">
        <v>166</v>
      </c>
      <c r="O113" s="48">
        <v>300.0</v>
      </c>
      <c r="P113" s="48">
        <v>175.0</v>
      </c>
      <c r="Q113" s="48">
        <v>140.0</v>
      </c>
      <c r="R113" s="48">
        <v>7.0</v>
      </c>
      <c r="S113" s="50" t="s">
        <v>166</v>
      </c>
      <c r="T113" s="52" t="s">
        <v>696</v>
      </c>
      <c r="U113" s="52" t="s">
        <v>599</v>
      </c>
      <c r="V113" s="51">
        <v>2.0</v>
      </c>
      <c r="W113" s="48">
        <v>2.0</v>
      </c>
      <c r="X113" s="50" t="s">
        <v>166</v>
      </c>
      <c r="Y113" s="51" t="s">
        <v>166</v>
      </c>
      <c r="Z113" s="48" t="s">
        <v>166</v>
      </c>
      <c r="AA113" s="48" t="s">
        <v>166</v>
      </c>
      <c r="AB113" s="48" t="s">
        <v>166</v>
      </c>
      <c r="AC113" s="48">
        <v>4.0</v>
      </c>
      <c r="AD113" s="48" t="s">
        <v>166</v>
      </c>
      <c r="AE113" s="48" t="s">
        <v>166</v>
      </c>
      <c r="AF113" s="50" t="s">
        <v>166</v>
      </c>
      <c r="AG113" s="51" t="s">
        <v>166</v>
      </c>
      <c r="AH113" s="51">
        <v>2.0</v>
      </c>
      <c r="AI113" s="48" t="s">
        <v>166</v>
      </c>
      <c r="AJ113" s="50" t="s">
        <v>174</v>
      </c>
      <c r="AK113" s="56">
        <v>379.0</v>
      </c>
      <c r="AL113" s="57">
        <f>AK113*Sheets!$E$3</f>
        <v>52.2434445</v>
      </c>
      <c r="AM113" s="68"/>
      <c r="AN113" s="59"/>
      <c r="AO113" s="60"/>
      <c r="AP113" s="65">
        <v>45071.55366737269</v>
      </c>
      <c r="AQ113" s="66"/>
    </row>
    <row r="114">
      <c r="A114" s="83" t="str">
        <f>HYPERLINK("https://www.corsair.com/us/en/","Corsair")</f>
        <v>Corsair</v>
      </c>
      <c r="B114" s="83" t="str">
        <f>HYPERLINK("https://www.corsair.com/us/en/Categories/Products/Cases/Obsidian-Series%E2%84%A2-250D-Mini-ITX-PC-Case/p/CC-9011047-WW","250D")</f>
        <v>250D</v>
      </c>
      <c r="C114" s="63" t="s">
        <v>262</v>
      </c>
      <c r="D114" s="48">
        <v>351.0</v>
      </c>
      <c r="E114" s="48">
        <v>277.0</v>
      </c>
      <c r="F114" s="48">
        <v>290.0</v>
      </c>
      <c r="G114" s="49">
        <f t="shared" si="1"/>
        <v>28.19583</v>
      </c>
      <c r="H114" s="49">
        <f t="shared" si="2"/>
        <v>972.27</v>
      </c>
      <c r="I114" s="48">
        <v>4.42</v>
      </c>
      <c r="J114" s="48" t="s">
        <v>164</v>
      </c>
      <c r="K114" s="50" t="s">
        <v>512</v>
      </c>
      <c r="L114" s="51">
        <v>140.0</v>
      </c>
      <c r="M114" s="50" t="s">
        <v>1196</v>
      </c>
      <c r="N114" s="51" t="s">
        <v>166</v>
      </c>
      <c r="O114" s="48">
        <v>290.0</v>
      </c>
      <c r="P114" s="48">
        <v>145.0</v>
      </c>
      <c r="Q114" s="48">
        <v>40.0</v>
      </c>
      <c r="R114" s="48">
        <v>2.0</v>
      </c>
      <c r="S114" s="50" t="s">
        <v>166</v>
      </c>
      <c r="T114" s="52" t="s">
        <v>167</v>
      </c>
      <c r="U114" s="52" t="s">
        <v>599</v>
      </c>
      <c r="V114" s="51" t="s">
        <v>416</v>
      </c>
      <c r="W114" s="48" t="s">
        <v>193</v>
      </c>
      <c r="X114" s="50">
        <v>1.0</v>
      </c>
      <c r="Y114" s="51" t="s">
        <v>166</v>
      </c>
      <c r="Z114" s="48" t="s">
        <v>166</v>
      </c>
      <c r="AA114" s="48">
        <v>2.0</v>
      </c>
      <c r="AB114" s="48" t="s">
        <v>166</v>
      </c>
      <c r="AC114" s="48" t="s">
        <v>412</v>
      </c>
      <c r="AD114" s="48" t="s">
        <v>194</v>
      </c>
      <c r="AE114" s="48" t="s">
        <v>166</v>
      </c>
      <c r="AF114" s="50" t="s">
        <v>194</v>
      </c>
      <c r="AG114" s="51" t="s">
        <v>166</v>
      </c>
      <c r="AH114" s="51">
        <v>2.0</v>
      </c>
      <c r="AI114" s="48" t="s">
        <v>166</v>
      </c>
      <c r="AJ114" s="50" t="s">
        <v>174</v>
      </c>
      <c r="AK114" s="56" t="s">
        <v>166</v>
      </c>
      <c r="AL114" s="57">
        <v>89.99</v>
      </c>
      <c r="AM114" s="58"/>
      <c r="AN114" s="59"/>
      <c r="AO114" s="60"/>
      <c r="AP114" s="65">
        <v>45071.553694884264</v>
      </c>
      <c r="AQ114" s="66"/>
    </row>
    <row r="115">
      <c r="A115" s="61" t="s">
        <v>398</v>
      </c>
      <c r="B115" s="62" t="s">
        <v>1530</v>
      </c>
      <c r="C115" s="63" t="s">
        <v>262</v>
      </c>
      <c r="D115" s="48">
        <v>413.0</v>
      </c>
      <c r="E115" s="48">
        <v>204.0</v>
      </c>
      <c r="F115" s="48">
        <v>337.0</v>
      </c>
      <c r="G115" s="49">
        <f t="shared" si="1"/>
        <v>28.392924</v>
      </c>
      <c r="H115" s="49">
        <f t="shared" si="2"/>
        <v>842.52</v>
      </c>
      <c r="I115" s="48" t="s">
        <v>170</v>
      </c>
      <c r="J115" s="48" t="s">
        <v>597</v>
      </c>
      <c r="K115" s="50" t="s">
        <v>1531</v>
      </c>
      <c r="L115" s="51">
        <v>168.0</v>
      </c>
      <c r="M115" s="50" t="s">
        <v>547</v>
      </c>
      <c r="N115" s="51" t="s">
        <v>166</v>
      </c>
      <c r="O115" s="48">
        <v>355.0</v>
      </c>
      <c r="P115" s="48">
        <v>173.0</v>
      </c>
      <c r="Q115" s="48">
        <v>80.0</v>
      </c>
      <c r="R115" s="48">
        <v>4.0</v>
      </c>
      <c r="S115" s="50" t="s">
        <v>166</v>
      </c>
      <c r="T115" s="52" t="s">
        <v>1102</v>
      </c>
      <c r="U115" s="52" t="s">
        <v>599</v>
      </c>
      <c r="V115" s="51" t="s">
        <v>562</v>
      </c>
      <c r="W115" s="48" t="s">
        <v>194</v>
      </c>
      <c r="X115" s="50" t="s">
        <v>166</v>
      </c>
      <c r="Y115" s="51" t="s">
        <v>166</v>
      </c>
      <c r="Z115" s="48" t="s">
        <v>166</v>
      </c>
      <c r="AA115" s="48" t="s">
        <v>166</v>
      </c>
      <c r="AB115" s="48" t="s">
        <v>166</v>
      </c>
      <c r="AC115" s="48" t="s">
        <v>355</v>
      </c>
      <c r="AD115" s="48" t="s">
        <v>278</v>
      </c>
      <c r="AE115" s="48" t="s">
        <v>166</v>
      </c>
      <c r="AF115" s="50" t="s">
        <v>166</v>
      </c>
      <c r="AG115" s="51" t="s">
        <v>166</v>
      </c>
      <c r="AH115" s="51">
        <v>1.0</v>
      </c>
      <c r="AI115" s="48">
        <v>1.0</v>
      </c>
      <c r="AJ115" s="50" t="s">
        <v>174</v>
      </c>
      <c r="AK115" s="56" t="s">
        <v>166</v>
      </c>
      <c r="AL115" s="57" t="s">
        <v>170</v>
      </c>
      <c r="AM115" s="58"/>
      <c r="AN115" s="59"/>
      <c r="AO115" s="60"/>
      <c r="AP115" s="65">
        <v>45071.55372405093</v>
      </c>
      <c r="AQ115" s="66"/>
    </row>
    <row r="116">
      <c r="A116" s="61" t="s">
        <v>1532</v>
      </c>
      <c r="B116" s="62" t="s">
        <v>1533</v>
      </c>
      <c r="C116" s="63" t="s">
        <v>262</v>
      </c>
      <c r="D116" s="48">
        <v>370.0</v>
      </c>
      <c r="E116" s="48">
        <v>210.0</v>
      </c>
      <c r="F116" s="48">
        <v>370.0</v>
      </c>
      <c r="G116" s="49">
        <f t="shared" si="1"/>
        <v>28.749</v>
      </c>
      <c r="H116" s="49">
        <f t="shared" si="2"/>
        <v>777</v>
      </c>
      <c r="I116" s="48">
        <v>4.35</v>
      </c>
      <c r="J116" s="48" t="s">
        <v>597</v>
      </c>
      <c r="K116" s="50" t="s">
        <v>211</v>
      </c>
      <c r="L116" s="51">
        <v>159.0</v>
      </c>
      <c r="M116" s="50" t="s">
        <v>547</v>
      </c>
      <c r="N116" s="51" t="s">
        <v>166</v>
      </c>
      <c r="O116" s="48">
        <v>360.0</v>
      </c>
      <c r="P116" s="48">
        <v>164.0</v>
      </c>
      <c r="Q116" s="48">
        <v>80.0</v>
      </c>
      <c r="R116" s="48">
        <v>4.0</v>
      </c>
      <c r="S116" s="50" t="s">
        <v>166</v>
      </c>
      <c r="T116" s="52" t="s">
        <v>423</v>
      </c>
      <c r="U116" s="52" t="s">
        <v>599</v>
      </c>
      <c r="V116" s="51">
        <v>2.0</v>
      </c>
      <c r="W116" s="48">
        <v>1.0</v>
      </c>
      <c r="X116" s="50" t="s">
        <v>166</v>
      </c>
      <c r="Y116" s="51" t="s">
        <v>166</v>
      </c>
      <c r="Z116" s="48" t="s">
        <v>166</v>
      </c>
      <c r="AA116" s="48" t="s">
        <v>166</v>
      </c>
      <c r="AB116" s="48" t="s">
        <v>166</v>
      </c>
      <c r="AC116" s="48" t="s">
        <v>568</v>
      </c>
      <c r="AD116" s="48" t="s">
        <v>193</v>
      </c>
      <c r="AE116" s="48" t="s">
        <v>166</v>
      </c>
      <c r="AF116" s="50" t="s">
        <v>166</v>
      </c>
      <c r="AG116" s="51" t="s">
        <v>166</v>
      </c>
      <c r="AH116" s="51">
        <v>2.0</v>
      </c>
      <c r="AI116" s="48">
        <v>1.0</v>
      </c>
      <c r="AJ116" s="50" t="s">
        <v>174</v>
      </c>
      <c r="AK116" s="56" t="s">
        <v>166</v>
      </c>
      <c r="AL116" s="57">
        <v>59.99</v>
      </c>
      <c r="AM116" s="68"/>
      <c r="AN116" s="70"/>
      <c r="AO116" s="71"/>
      <c r="AP116" s="72">
        <v>45173.612543923606</v>
      </c>
      <c r="AQ116" s="66"/>
    </row>
    <row r="117">
      <c r="A117" s="82" t="s">
        <v>1408</v>
      </c>
      <c r="B117" s="62" t="s">
        <v>1534</v>
      </c>
      <c r="C117" s="63" t="s">
        <v>262</v>
      </c>
      <c r="D117" s="48">
        <v>391.0</v>
      </c>
      <c r="E117" s="48">
        <v>205.0</v>
      </c>
      <c r="F117" s="48">
        <v>362.0</v>
      </c>
      <c r="G117" s="49">
        <f t="shared" si="1"/>
        <v>29.01611</v>
      </c>
      <c r="H117" s="49">
        <f t="shared" si="2"/>
        <v>801.55</v>
      </c>
      <c r="I117" s="48" t="s">
        <v>170</v>
      </c>
      <c r="J117" s="48" t="s">
        <v>597</v>
      </c>
      <c r="K117" s="50" t="s">
        <v>1216</v>
      </c>
      <c r="L117" s="51">
        <v>166.0</v>
      </c>
      <c r="M117" s="50" t="s">
        <v>825</v>
      </c>
      <c r="N117" s="51" t="s">
        <v>166</v>
      </c>
      <c r="O117" s="48">
        <v>355.0</v>
      </c>
      <c r="P117" s="48">
        <v>171.0</v>
      </c>
      <c r="Q117" s="48">
        <v>80.0</v>
      </c>
      <c r="R117" s="48">
        <v>4.0</v>
      </c>
      <c r="S117" s="50" t="s">
        <v>166</v>
      </c>
      <c r="T117" s="52" t="s">
        <v>423</v>
      </c>
      <c r="U117" s="52" t="s">
        <v>816</v>
      </c>
      <c r="V117" s="51" t="s">
        <v>195</v>
      </c>
      <c r="W117" s="48" t="s">
        <v>195</v>
      </c>
      <c r="X117" s="50" t="s">
        <v>166</v>
      </c>
      <c r="Y117" s="51" t="s">
        <v>166</v>
      </c>
      <c r="Z117" s="48" t="s">
        <v>166</v>
      </c>
      <c r="AA117" s="48" t="s">
        <v>166</v>
      </c>
      <c r="AB117" s="48" t="s">
        <v>166</v>
      </c>
      <c r="AC117" s="48" t="s">
        <v>914</v>
      </c>
      <c r="AD117" s="48" t="s">
        <v>278</v>
      </c>
      <c r="AE117" s="48" t="s">
        <v>166</v>
      </c>
      <c r="AF117" s="50" t="s">
        <v>166</v>
      </c>
      <c r="AG117" s="51" t="s">
        <v>166</v>
      </c>
      <c r="AH117" s="51">
        <v>2.0</v>
      </c>
      <c r="AI117" s="48">
        <v>1.0</v>
      </c>
      <c r="AJ117" s="50" t="s">
        <v>174</v>
      </c>
      <c r="AK117" s="56">
        <v>379.0</v>
      </c>
      <c r="AL117" s="57">
        <v>85.0</v>
      </c>
      <c r="AM117" s="68"/>
      <c r="AN117" s="70"/>
      <c r="AO117" s="71"/>
      <c r="AP117" s="72">
        <v>45159.978128518516</v>
      </c>
      <c r="AQ117" s="66"/>
    </row>
    <row r="118">
      <c r="A118" s="82" t="str">
        <f>HYPERLINK("http://sharkoon.com/","Sharkoon")</f>
        <v>Sharkoon</v>
      </c>
      <c r="B118" s="62" t="s">
        <v>1535</v>
      </c>
      <c r="C118" s="63" t="s">
        <v>262</v>
      </c>
      <c r="D118" s="48">
        <v>471.0</v>
      </c>
      <c r="E118" s="48">
        <v>208.0</v>
      </c>
      <c r="F118" s="48">
        <v>301.0</v>
      </c>
      <c r="G118" s="49">
        <f t="shared" si="1"/>
        <v>29.488368</v>
      </c>
      <c r="H118" s="49">
        <f t="shared" si="2"/>
        <v>979.68</v>
      </c>
      <c r="I118" s="48">
        <v>6.2</v>
      </c>
      <c r="J118" s="48" t="s">
        <v>171</v>
      </c>
      <c r="K118" s="50" t="s">
        <v>171</v>
      </c>
      <c r="L118" s="51">
        <v>175.0</v>
      </c>
      <c r="M118" s="50" t="s">
        <v>1122</v>
      </c>
      <c r="N118" s="51" t="s">
        <v>166</v>
      </c>
      <c r="O118" s="48">
        <v>365.0</v>
      </c>
      <c r="P118" s="48">
        <v>180.0</v>
      </c>
      <c r="Q118" s="48">
        <v>80.0</v>
      </c>
      <c r="R118" s="48">
        <v>3.0</v>
      </c>
      <c r="S118" s="50" t="s">
        <v>166</v>
      </c>
      <c r="T118" s="52" t="s">
        <v>167</v>
      </c>
      <c r="U118" s="52" t="s">
        <v>346</v>
      </c>
      <c r="V118" s="51">
        <v>5.0</v>
      </c>
      <c r="W118" s="48">
        <v>1.0</v>
      </c>
      <c r="X118" s="50" t="s">
        <v>166</v>
      </c>
      <c r="Y118" s="51" t="s">
        <v>166</v>
      </c>
      <c r="Z118" s="48" t="s">
        <v>166</v>
      </c>
      <c r="AA118" s="48" t="s">
        <v>166</v>
      </c>
      <c r="AB118" s="48" t="s">
        <v>166</v>
      </c>
      <c r="AC118" s="48" t="s">
        <v>1045</v>
      </c>
      <c r="AD118" s="48" t="s">
        <v>278</v>
      </c>
      <c r="AE118" s="48" t="s">
        <v>166</v>
      </c>
      <c r="AF118" s="50" t="s">
        <v>166</v>
      </c>
      <c r="AG118" s="51" t="s">
        <v>166</v>
      </c>
      <c r="AH118" s="51">
        <v>2.0</v>
      </c>
      <c r="AI118" s="48">
        <v>1.0</v>
      </c>
      <c r="AJ118" s="50" t="s">
        <v>174</v>
      </c>
      <c r="AK118" s="56" t="s">
        <v>166</v>
      </c>
      <c r="AL118" s="57">
        <f>139.9*1.06</f>
        <v>148.294</v>
      </c>
      <c r="AM118" s="58"/>
      <c r="AN118" s="59"/>
      <c r="AO118" s="60"/>
      <c r="AP118" s="65">
        <v>45398.84754241898</v>
      </c>
      <c r="AQ118" s="66"/>
    </row>
    <row r="119">
      <c r="A119" s="82" t="str">
        <f>HYPERLINK("http://www.jonsbo.com/en/","Jonsbo")</f>
        <v>Jonsbo</v>
      </c>
      <c r="B119" s="62" t="str">
        <f>HYPERLINK("http://www.jonsbo.com/en/products/u4silver.html","U4")</f>
        <v>U4</v>
      </c>
      <c r="C119" s="63" t="s">
        <v>262</v>
      </c>
      <c r="D119" s="48">
        <v>340.0</v>
      </c>
      <c r="E119" s="48">
        <v>205.0</v>
      </c>
      <c r="F119" s="48">
        <v>428.0</v>
      </c>
      <c r="G119" s="49">
        <f t="shared" si="1"/>
        <v>29.8316</v>
      </c>
      <c r="H119" s="49">
        <f t="shared" si="2"/>
        <v>697</v>
      </c>
      <c r="I119" s="48">
        <v>4.8</v>
      </c>
      <c r="J119" s="48" t="s">
        <v>235</v>
      </c>
      <c r="K119" s="50" t="s">
        <v>1536</v>
      </c>
      <c r="L119" s="51">
        <v>170.0</v>
      </c>
      <c r="M119" s="50" t="s">
        <v>1537</v>
      </c>
      <c r="N119" s="51" t="s">
        <v>166</v>
      </c>
      <c r="O119" s="48">
        <v>305.0</v>
      </c>
      <c r="P119" s="48">
        <v>175.0</v>
      </c>
      <c r="Q119" s="48">
        <v>140.0</v>
      </c>
      <c r="R119" s="48">
        <v>7.0</v>
      </c>
      <c r="S119" s="50" t="s">
        <v>166</v>
      </c>
      <c r="T119" s="52" t="s">
        <v>696</v>
      </c>
      <c r="U119" s="52" t="s">
        <v>599</v>
      </c>
      <c r="V119" s="51" t="s">
        <v>435</v>
      </c>
      <c r="W119" s="48" t="s">
        <v>207</v>
      </c>
      <c r="X119" s="50" t="s">
        <v>166</v>
      </c>
      <c r="Y119" s="51" t="s">
        <v>166</v>
      </c>
      <c r="Z119" s="48" t="s">
        <v>166</v>
      </c>
      <c r="AA119" s="48" t="s">
        <v>166</v>
      </c>
      <c r="AB119" s="48" t="s">
        <v>166</v>
      </c>
      <c r="AC119" s="48">
        <v>4.0</v>
      </c>
      <c r="AD119" s="48" t="s">
        <v>166</v>
      </c>
      <c r="AE119" s="48" t="s">
        <v>166</v>
      </c>
      <c r="AF119" s="50" t="s">
        <v>166</v>
      </c>
      <c r="AG119" s="51" t="s">
        <v>166</v>
      </c>
      <c r="AH119" s="51">
        <v>2.0</v>
      </c>
      <c r="AI119" s="48" t="s">
        <v>166</v>
      </c>
      <c r="AJ119" s="50" t="s">
        <v>174</v>
      </c>
      <c r="AK119" s="56">
        <v>299.0</v>
      </c>
      <c r="AL119" s="57">
        <v>75.53</v>
      </c>
      <c r="AM119" s="58"/>
      <c r="AN119" s="59"/>
      <c r="AO119" s="60"/>
      <c r="AP119" s="65">
        <v>45071.55376549769</v>
      </c>
      <c r="AQ119" s="66"/>
    </row>
    <row r="120">
      <c r="A120" s="82" t="str">
        <f>HYPERLINK("https://www.in-win.com/","InWin")</f>
        <v>InWin</v>
      </c>
      <c r="B120" s="62" t="s">
        <v>604</v>
      </c>
      <c r="C120" s="63" t="s">
        <v>262</v>
      </c>
      <c r="D120" s="48">
        <v>401.0</v>
      </c>
      <c r="E120" s="48">
        <v>215.0</v>
      </c>
      <c r="F120" s="48">
        <v>347.0</v>
      </c>
      <c r="G120" s="49">
        <f t="shared" si="1"/>
        <v>29.916605</v>
      </c>
      <c r="H120" s="49">
        <f t="shared" si="2"/>
        <v>862.15</v>
      </c>
      <c r="I120" s="48">
        <v>5.24</v>
      </c>
      <c r="J120" s="48" t="s">
        <v>597</v>
      </c>
      <c r="K120" s="50" t="s">
        <v>1167</v>
      </c>
      <c r="L120" s="51">
        <v>162.0</v>
      </c>
      <c r="M120" s="50" t="s">
        <v>547</v>
      </c>
      <c r="N120" s="51" t="s">
        <v>166</v>
      </c>
      <c r="O120" s="48">
        <v>340.0</v>
      </c>
      <c r="P120" s="48">
        <v>167.0</v>
      </c>
      <c r="Q120" s="48">
        <v>80.0</v>
      </c>
      <c r="R120" s="48">
        <v>4.0</v>
      </c>
      <c r="S120" s="50" t="s">
        <v>166</v>
      </c>
      <c r="T120" s="52" t="s">
        <v>423</v>
      </c>
      <c r="U120" s="52" t="s">
        <v>599</v>
      </c>
      <c r="V120" s="51" t="s">
        <v>412</v>
      </c>
      <c r="W120" s="48" t="s">
        <v>193</v>
      </c>
      <c r="X120" s="50" t="s">
        <v>166</v>
      </c>
      <c r="Y120" s="51" t="s">
        <v>166</v>
      </c>
      <c r="Z120" s="48" t="s">
        <v>166</v>
      </c>
      <c r="AA120" s="48" t="s">
        <v>166</v>
      </c>
      <c r="AB120" s="48" t="s">
        <v>166</v>
      </c>
      <c r="AC120" s="48">
        <v>5.0</v>
      </c>
      <c r="AD120" s="48" t="s">
        <v>166</v>
      </c>
      <c r="AE120" s="48" t="s">
        <v>166</v>
      </c>
      <c r="AF120" s="50" t="s">
        <v>166</v>
      </c>
      <c r="AG120" s="51" t="s">
        <v>166</v>
      </c>
      <c r="AH120" s="51">
        <v>2.0</v>
      </c>
      <c r="AI120" s="48">
        <v>1.0</v>
      </c>
      <c r="AJ120" s="50" t="s">
        <v>174</v>
      </c>
      <c r="AK120" s="56" t="s">
        <v>166</v>
      </c>
      <c r="AL120" s="57">
        <v>95.0</v>
      </c>
      <c r="AM120" s="58"/>
      <c r="AN120" s="59"/>
      <c r="AO120" s="60"/>
      <c r="AP120" s="65">
        <v>45071.55382971065</v>
      </c>
      <c r="AQ120" s="66"/>
    </row>
    <row r="121">
      <c r="A121" s="82" t="str">
        <f>HYPERLINK("http://www.phanteks.com/","Phanteks")</f>
        <v>Phanteks</v>
      </c>
      <c r="B121" s="62" t="s">
        <v>1538</v>
      </c>
      <c r="C121" s="63" t="s">
        <v>262</v>
      </c>
      <c r="D121" s="48">
        <v>400.0</v>
      </c>
      <c r="E121" s="48">
        <v>205.0</v>
      </c>
      <c r="F121" s="48">
        <v>365.0</v>
      </c>
      <c r="G121" s="49">
        <f t="shared" si="1"/>
        <v>29.93</v>
      </c>
      <c r="H121" s="49">
        <f t="shared" si="2"/>
        <v>820</v>
      </c>
      <c r="I121" s="48">
        <v>5.3</v>
      </c>
      <c r="J121" s="48" t="s">
        <v>171</v>
      </c>
      <c r="K121" s="50" t="s">
        <v>171</v>
      </c>
      <c r="L121" s="51">
        <v>165.0</v>
      </c>
      <c r="M121" s="50" t="s">
        <v>825</v>
      </c>
      <c r="N121" s="51" t="s">
        <v>232</v>
      </c>
      <c r="O121" s="48">
        <v>355.0</v>
      </c>
      <c r="P121" s="48">
        <v>170.0</v>
      </c>
      <c r="Q121" s="48">
        <v>65.0</v>
      </c>
      <c r="R121" s="48">
        <v>3.0</v>
      </c>
      <c r="S121" s="50" t="s">
        <v>166</v>
      </c>
      <c r="T121" s="52" t="s">
        <v>227</v>
      </c>
      <c r="U121" s="52" t="s">
        <v>599</v>
      </c>
      <c r="V121" s="51">
        <v>4.0</v>
      </c>
      <c r="W121" s="48" t="s">
        <v>278</v>
      </c>
      <c r="X121" s="50" t="s">
        <v>166</v>
      </c>
      <c r="Y121" s="51" t="s">
        <v>166</v>
      </c>
      <c r="Z121" s="48" t="s">
        <v>166</v>
      </c>
      <c r="AA121" s="48" t="s">
        <v>166</v>
      </c>
      <c r="AB121" s="48" t="s">
        <v>166</v>
      </c>
      <c r="AC121" s="48" t="s">
        <v>672</v>
      </c>
      <c r="AD121" s="48" t="s">
        <v>193</v>
      </c>
      <c r="AE121" s="48" t="s">
        <v>166</v>
      </c>
      <c r="AF121" s="50" t="s">
        <v>166</v>
      </c>
      <c r="AG121" s="51" t="s">
        <v>166</v>
      </c>
      <c r="AH121" s="51">
        <v>2.0</v>
      </c>
      <c r="AI121" s="48" t="s">
        <v>166</v>
      </c>
      <c r="AJ121" s="50" t="s">
        <v>174</v>
      </c>
      <c r="AK121" s="56" t="s">
        <v>166</v>
      </c>
      <c r="AL121" s="57">
        <v>50.0</v>
      </c>
      <c r="AM121" s="58"/>
      <c r="AN121" s="59"/>
      <c r="AO121" s="60"/>
      <c r="AP121" s="65">
        <v>45071.55385996528</v>
      </c>
      <c r="AQ121" s="66"/>
    </row>
    <row r="122">
      <c r="A122" s="69" t="str">
        <f>HYPERLINK("https://shop34001191.world.taobao.com/","Mechanic Master")</f>
        <v>Mechanic Master</v>
      </c>
      <c r="B122" s="46" t="s">
        <v>1539</v>
      </c>
      <c r="C122" s="63" t="s">
        <v>262</v>
      </c>
      <c r="D122" s="48">
        <v>429.0</v>
      </c>
      <c r="E122" s="48">
        <v>205.0</v>
      </c>
      <c r="F122" s="48">
        <v>349.0</v>
      </c>
      <c r="G122" s="49">
        <f t="shared" si="1"/>
        <v>30.692805</v>
      </c>
      <c r="H122" s="49">
        <f t="shared" si="2"/>
        <v>879.45</v>
      </c>
      <c r="I122" s="48">
        <v>3.5</v>
      </c>
      <c r="J122" s="48" t="s">
        <v>597</v>
      </c>
      <c r="K122" s="50" t="s">
        <v>605</v>
      </c>
      <c r="L122" s="51">
        <v>165.0</v>
      </c>
      <c r="M122" s="50" t="s">
        <v>1540</v>
      </c>
      <c r="N122" s="51" t="s">
        <v>232</v>
      </c>
      <c r="O122" s="48">
        <v>420.0</v>
      </c>
      <c r="P122" s="48">
        <v>150.0</v>
      </c>
      <c r="Q122" s="48">
        <v>140.0</v>
      </c>
      <c r="R122" s="48">
        <v>7.0</v>
      </c>
      <c r="S122" s="50" t="s">
        <v>166</v>
      </c>
      <c r="T122" s="52" t="s">
        <v>1445</v>
      </c>
      <c r="U122" s="52" t="s">
        <v>816</v>
      </c>
      <c r="V122" s="51">
        <v>2.0</v>
      </c>
      <c r="W122" s="48" t="s">
        <v>278</v>
      </c>
      <c r="X122" s="50" t="s">
        <v>166</v>
      </c>
      <c r="Y122" s="51" t="s">
        <v>166</v>
      </c>
      <c r="Z122" s="48" t="s">
        <v>166</v>
      </c>
      <c r="AA122" s="48" t="s">
        <v>166</v>
      </c>
      <c r="AB122" s="48" t="s">
        <v>166</v>
      </c>
      <c r="AC122" s="48">
        <v>11.0</v>
      </c>
      <c r="AD122" s="48" t="s">
        <v>193</v>
      </c>
      <c r="AE122" s="48" t="s">
        <v>166</v>
      </c>
      <c r="AF122" s="50" t="s">
        <v>166</v>
      </c>
      <c r="AG122" s="51" t="s">
        <v>166</v>
      </c>
      <c r="AH122" s="51">
        <v>2.0</v>
      </c>
      <c r="AI122" s="48">
        <v>1.0</v>
      </c>
      <c r="AJ122" s="50" t="s">
        <v>174</v>
      </c>
      <c r="AK122" s="56">
        <v>949.0</v>
      </c>
      <c r="AL122" s="57">
        <f>AK122*Sheets!$E$3</f>
        <v>130.8153795</v>
      </c>
      <c r="AM122" s="68"/>
      <c r="AN122" s="70"/>
      <c r="AO122" s="71"/>
      <c r="AP122" s="72">
        <v>45152.48689810185</v>
      </c>
      <c r="AQ122" s="66"/>
    </row>
    <row r="123">
      <c r="A123" s="82" t="str">
        <f>HYPERLINK("https://www.fractal-design.com/","Fractal Design")</f>
        <v>Fractal Design</v>
      </c>
      <c r="B123" s="62" t="s">
        <v>1541</v>
      </c>
      <c r="C123" s="63" t="s">
        <v>262</v>
      </c>
      <c r="D123" s="48">
        <v>384.0</v>
      </c>
      <c r="E123" s="48">
        <v>205.0</v>
      </c>
      <c r="F123" s="48">
        <v>390.0</v>
      </c>
      <c r="G123" s="49">
        <f t="shared" si="1"/>
        <v>30.7008</v>
      </c>
      <c r="H123" s="49">
        <f t="shared" si="2"/>
        <v>787.2</v>
      </c>
      <c r="I123" s="48">
        <v>6.62</v>
      </c>
      <c r="J123" s="48" t="s">
        <v>597</v>
      </c>
      <c r="K123" s="50" t="s">
        <v>171</v>
      </c>
      <c r="L123" s="51">
        <v>167.0</v>
      </c>
      <c r="M123" s="50" t="s">
        <v>887</v>
      </c>
      <c r="N123" s="51" t="s">
        <v>166</v>
      </c>
      <c r="O123" s="48">
        <v>331.0</v>
      </c>
      <c r="P123" s="48">
        <v>172.0</v>
      </c>
      <c r="Q123" s="48">
        <v>80.0</v>
      </c>
      <c r="R123" s="48">
        <v>4.0</v>
      </c>
      <c r="S123" s="50" t="s">
        <v>166</v>
      </c>
      <c r="T123" s="52" t="s">
        <v>1102</v>
      </c>
      <c r="U123" s="52" t="s">
        <v>599</v>
      </c>
      <c r="V123" s="51" t="s">
        <v>568</v>
      </c>
      <c r="W123" s="48" t="s">
        <v>193</v>
      </c>
      <c r="X123" s="50" t="s">
        <v>166</v>
      </c>
      <c r="Y123" s="51" t="s">
        <v>166</v>
      </c>
      <c r="Z123" s="48" t="s">
        <v>166</v>
      </c>
      <c r="AA123" s="48" t="s">
        <v>166</v>
      </c>
      <c r="AB123" s="48" t="s">
        <v>166</v>
      </c>
      <c r="AC123" s="48" t="s">
        <v>1151</v>
      </c>
      <c r="AD123" s="48" t="s">
        <v>278</v>
      </c>
      <c r="AE123" s="48" t="s">
        <v>166</v>
      </c>
      <c r="AF123" s="50" t="s">
        <v>166</v>
      </c>
      <c r="AG123" s="51" t="s">
        <v>166</v>
      </c>
      <c r="AH123" s="51">
        <v>2.0</v>
      </c>
      <c r="AI123" s="48">
        <v>1.0</v>
      </c>
      <c r="AJ123" s="50" t="s">
        <v>174</v>
      </c>
      <c r="AK123" s="56" t="s">
        <v>166</v>
      </c>
      <c r="AL123" s="57">
        <v>109.99</v>
      </c>
      <c r="AM123" s="68"/>
      <c r="AN123" s="59"/>
      <c r="AO123" s="60"/>
      <c r="AP123" s="65">
        <v>45071.55391739584</v>
      </c>
      <c r="AQ123" s="66"/>
    </row>
    <row r="124">
      <c r="A124" s="61" t="s">
        <v>398</v>
      </c>
      <c r="B124" s="62" t="s">
        <v>1542</v>
      </c>
      <c r="C124" s="63" t="s">
        <v>262</v>
      </c>
      <c r="D124" s="48">
        <v>389.0</v>
      </c>
      <c r="E124" s="48">
        <v>193.0</v>
      </c>
      <c r="F124" s="48">
        <v>410.0</v>
      </c>
      <c r="G124" s="49">
        <f t="shared" si="1"/>
        <v>30.78157</v>
      </c>
      <c r="H124" s="49">
        <f t="shared" si="2"/>
        <v>750.77</v>
      </c>
      <c r="I124" s="48" t="s">
        <v>170</v>
      </c>
      <c r="J124" s="48" t="s">
        <v>171</v>
      </c>
      <c r="K124" s="50" t="s">
        <v>877</v>
      </c>
      <c r="L124" s="51">
        <v>155.0</v>
      </c>
      <c r="M124" s="50">
        <v>120.0</v>
      </c>
      <c r="N124" s="51" t="s">
        <v>166</v>
      </c>
      <c r="O124" s="48">
        <v>340.0</v>
      </c>
      <c r="P124" s="48">
        <v>160.0</v>
      </c>
      <c r="Q124" s="48">
        <v>80.0</v>
      </c>
      <c r="R124" s="48">
        <v>4.0</v>
      </c>
      <c r="S124" s="50" t="s">
        <v>166</v>
      </c>
      <c r="T124" s="52" t="s">
        <v>423</v>
      </c>
      <c r="U124" s="52" t="s">
        <v>599</v>
      </c>
      <c r="V124" s="51">
        <v>2.0</v>
      </c>
      <c r="W124" s="48">
        <v>2.0</v>
      </c>
      <c r="X124" s="50" t="s">
        <v>166</v>
      </c>
      <c r="Y124" s="51" t="s">
        <v>166</v>
      </c>
      <c r="Z124" s="48" t="s">
        <v>166</v>
      </c>
      <c r="AA124" s="48" t="s">
        <v>166</v>
      </c>
      <c r="AB124" s="48" t="s">
        <v>166</v>
      </c>
      <c r="AC124" s="48">
        <v>3.0</v>
      </c>
      <c r="AD124" s="48" t="s">
        <v>166</v>
      </c>
      <c r="AE124" s="48" t="s">
        <v>166</v>
      </c>
      <c r="AF124" s="50" t="s">
        <v>166</v>
      </c>
      <c r="AG124" s="51">
        <v>2.0</v>
      </c>
      <c r="AH124" s="51">
        <v>1.0</v>
      </c>
      <c r="AI124" s="48" t="s">
        <v>166</v>
      </c>
      <c r="AJ124" s="50" t="s">
        <v>174</v>
      </c>
      <c r="AK124" s="56" t="s">
        <v>166</v>
      </c>
      <c r="AL124" s="57" t="s">
        <v>170</v>
      </c>
      <c r="AM124" s="58"/>
      <c r="AN124" s="59"/>
      <c r="AO124" s="60"/>
      <c r="AP124" s="65">
        <v>45071.55272065972</v>
      </c>
      <c r="AQ124" s="66"/>
    </row>
    <row r="125">
      <c r="A125" s="82" t="str">
        <f>HYPERLINK("http://www.phanteks.com/","Phanteks")</f>
        <v>Phanteks</v>
      </c>
      <c r="B125" s="83" t="str">
        <f>HYPERLINK("http://www.phanteks.com/Enthoo-Evolv-Shift-X.html","Evolv Shift X")</f>
        <v>Evolv Shift X</v>
      </c>
      <c r="C125" s="63" t="s">
        <v>248</v>
      </c>
      <c r="D125" s="48">
        <v>274.0</v>
      </c>
      <c r="E125" s="48">
        <v>170.0</v>
      </c>
      <c r="F125" s="48">
        <v>663.0</v>
      </c>
      <c r="G125" s="49">
        <f t="shared" si="1"/>
        <v>30.88254</v>
      </c>
      <c r="H125" s="49">
        <f t="shared" si="2"/>
        <v>465.8</v>
      </c>
      <c r="I125" s="48">
        <v>9.5</v>
      </c>
      <c r="J125" s="48" t="s">
        <v>597</v>
      </c>
      <c r="K125" s="50" t="s">
        <v>512</v>
      </c>
      <c r="L125" s="51">
        <v>82.0</v>
      </c>
      <c r="M125" s="50" t="s">
        <v>825</v>
      </c>
      <c r="N125" s="51" t="s">
        <v>174</v>
      </c>
      <c r="O125" s="48">
        <v>529.0</v>
      </c>
      <c r="P125" s="48" t="s">
        <v>170</v>
      </c>
      <c r="Q125" s="48">
        <v>40.0</v>
      </c>
      <c r="R125" s="48">
        <v>2.0</v>
      </c>
      <c r="S125" s="50" t="s">
        <v>166</v>
      </c>
      <c r="T125" s="52" t="s">
        <v>167</v>
      </c>
      <c r="U125" s="52" t="s">
        <v>816</v>
      </c>
      <c r="V125" s="51">
        <v>4.0</v>
      </c>
      <c r="W125" s="48">
        <v>2.0</v>
      </c>
      <c r="X125" s="50" t="s">
        <v>166</v>
      </c>
      <c r="Y125" s="51" t="s">
        <v>166</v>
      </c>
      <c r="Z125" s="48" t="s">
        <v>166</v>
      </c>
      <c r="AA125" s="48" t="s">
        <v>166</v>
      </c>
      <c r="AB125" s="48" t="s">
        <v>166</v>
      </c>
      <c r="AC125" s="48" t="s">
        <v>278</v>
      </c>
      <c r="AD125" s="48" t="s">
        <v>278</v>
      </c>
      <c r="AE125" s="48" t="s">
        <v>166</v>
      </c>
      <c r="AF125" s="50" t="s">
        <v>166</v>
      </c>
      <c r="AG125" s="51" t="s">
        <v>166</v>
      </c>
      <c r="AH125" s="51">
        <v>2.0</v>
      </c>
      <c r="AI125" s="48" t="s">
        <v>166</v>
      </c>
      <c r="AJ125" s="50" t="s">
        <v>174</v>
      </c>
      <c r="AK125" s="56" t="s">
        <v>166</v>
      </c>
      <c r="AL125" s="57">
        <v>149.99</v>
      </c>
      <c r="AM125" s="58"/>
      <c r="AN125" s="59"/>
      <c r="AO125" s="60" t="s">
        <v>181</v>
      </c>
      <c r="AP125" s="65">
        <v>44563.9986462963</v>
      </c>
      <c r="AQ125" s="66"/>
    </row>
    <row r="126">
      <c r="A126" s="61" t="s">
        <v>209</v>
      </c>
      <c r="B126" s="62" t="s">
        <v>1543</v>
      </c>
      <c r="C126" s="63" t="s">
        <v>262</v>
      </c>
      <c r="D126" s="48">
        <v>399.0</v>
      </c>
      <c r="E126" s="48">
        <v>440.0</v>
      </c>
      <c r="F126" s="48">
        <v>176.0</v>
      </c>
      <c r="G126" s="49">
        <f t="shared" si="1"/>
        <v>30.89856</v>
      </c>
      <c r="H126" s="49">
        <f t="shared" si="2"/>
        <v>1755.6</v>
      </c>
      <c r="I126" s="48" t="s">
        <v>170</v>
      </c>
      <c r="J126" s="48" t="s">
        <v>171</v>
      </c>
      <c r="K126" s="50" t="s">
        <v>211</v>
      </c>
      <c r="L126" s="51">
        <v>146.0</v>
      </c>
      <c r="M126" s="50" t="s">
        <v>547</v>
      </c>
      <c r="N126" s="51" t="s">
        <v>166</v>
      </c>
      <c r="O126" s="48">
        <v>340.0</v>
      </c>
      <c r="P126" s="48">
        <v>151.0</v>
      </c>
      <c r="Q126" s="48">
        <v>140.0</v>
      </c>
      <c r="R126" s="48">
        <v>7.0</v>
      </c>
      <c r="S126" s="50" t="s">
        <v>166</v>
      </c>
      <c r="T126" s="52" t="s">
        <v>1544</v>
      </c>
      <c r="U126" s="52" t="s">
        <v>599</v>
      </c>
      <c r="V126" s="51" t="s">
        <v>194</v>
      </c>
      <c r="W126" s="48" t="s">
        <v>435</v>
      </c>
      <c r="X126" s="50" t="s">
        <v>166</v>
      </c>
      <c r="Y126" s="51" t="s">
        <v>166</v>
      </c>
      <c r="Z126" s="48" t="s">
        <v>166</v>
      </c>
      <c r="AA126" s="48">
        <v>2.0</v>
      </c>
      <c r="AB126" s="48" t="s">
        <v>166</v>
      </c>
      <c r="AC126" s="48">
        <v>5.0</v>
      </c>
      <c r="AD126" s="48" t="s">
        <v>166</v>
      </c>
      <c r="AE126" s="48" t="s">
        <v>166</v>
      </c>
      <c r="AF126" s="50" t="s">
        <v>166</v>
      </c>
      <c r="AG126" s="51" t="s">
        <v>166</v>
      </c>
      <c r="AH126" s="51">
        <v>2.0</v>
      </c>
      <c r="AI126" s="48">
        <v>1.0</v>
      </c>
      <c r="AJ126" s="50" t="s">
        <v>174</v>
      </c>
      <c r="AK126" s="56" t="s">
        <v>166</v>
      </c>
      <c r="AL126" s="57" t="s">
        <v>170</v>
      </c>
      <c r="AM126" s="68"/>
      <c r="AN126" s="70"/>
      <c r="AO126" s="71"/>
      <c r="AP126" s="72">
        <v>44728.03520806713</v>
      </c>
      <c r="AQ126" s="66"/>
    </row>
    <row r="127">
      <c r="A127" s="61" t="s">
        <v>209</v>
      </c>
      <c r="B127" s="62" t="s">
        <v>1545</v>
      </c>
      <c r="C127" s="63" t="s">
        <v>262</v>
      </c>
      <c r="D127" s="48">
        <v>307.0</v>
      </c>
      <c r="E127" s="48">
        <v>200.0</v>
      </c>
      <c r="F127" s="48">
        <v>507.0</v>
      </c>
      <c r="G127" s="49">
        <f t="shared" si="1"/>
        <v>31.1298</v>
      </c>
      <c r="H127" s="49">
        <f t="shared" si="2"/>
        <v>614</v>
      </c>
      <c r="I127" s="48">
        <v>6.0</v>
      </c>
      <c r="J127" s="48" t="s">
        <v>171</v>
      </c>
      <c r="K127" s="50" t="s">
        <v>211</v>
      </c>
      <c r="L127" s="51">
        <v>159.0</v>
      </c>
      <c r="M127" s="50" t="s">
        <v>909</v>
      </c>
      <c r="N127" s="51" t="s">
        <v>166</v>
      </c>
      <c r="O127" s="48">
        <v>355.0</v>
      </c>
      <c r="P127" s="48">
        <v>164.0</v>
      </c>
      <c r="Q127" s="48">
        <v>80.0</v>
      </c>
      <c r="R127" s="48">
        <v>4.0</v>
      </c>
      <c r="S127" s="50" t="s">
        <v>166</v>
      </c>
      <c r="T127" s="52" t="s">
        <v>423</v>
      </c>
      <c r="U127" s="52" t="s">
        <v>346</v>
      </c>
      <c r="V127" s="51" t="s">
        <v>278</v>
      </c>
      <c r="W127" s="48" t="s">
        <v>278</v>
      </c>
      <c r="X127" s="50" t="s">
        <v>166</v>
      </c>
      <c r="Y127" s="51" t="s">
        <v>166</v>
      </c>
      <c r="Z127" s="48" t="s">
        <v>166</v>
      </c>
      <c r="AA127" s="48" t="s">
        <v>166</v>
      </c>
      <c r="AB127" s="48" t="s">
        <v>166</v>
      </c>
      <c r="AC127" s="48" t="s">
        <v>195</v>
      </c>
      <c r="AD127" s="48" t="s">
        <v>166</v>
      </c>
      <c r="AE127" s="48">
        <v>1.0</v>
      </c>
      <c r="AF127" s="50" t="s">
        <v>166</v>
      </c>
      <c r="AG127" s="51" t="s">
        <v>166</v>
      </c>
      <c r="AH127" s="51">
        <v>2.0</v>
      </c>
      <c r="AI127" s="48">
        <v>1.0</v>
      </c>
      <c r="AJ127" s="50" t="s">
        <v>174</v>
      </c>
      <c r="AK127" s="56" t="s">
        <v>166</v>
      </c>
      <c r="AL127" s="57">
        <v>170.0</v>
      </c>
      <c r="AM127" s="58"/>
      <c r="AN127" s="59"/>
      <c r="AO127" s="60"/>
      <c r="AP127" s="65">
        <v>45071.55403384259</v>
      </c>
      <c r="AQ127" s="66"/>
    </row>
    <row r="128">
      <c r="A128" s="82" t="str">
        <f>HYPERLINK("https://www.fractal-design.com/","Fractal Design")</f>
        <v>Fractal Design</v>
      </c>
      <c r="B128" s="62" t="s">
        <v>1546</v>
      </c>
      <c r="C128" s="63" t="s">
        <v>262</v>
      </c>
      <c r="D128" s="48">
        <v>390.0</v>
      </c>
      <c r="E128" s="48">
        <v>205.0</v>
      </c>
      <c r="F128" s="48">
        <v>390.0</v>
      </c>
      <c r="G128" s="49">
        <f t="shared" si="1"/>
        <v>31.1805</v>
      </c>
      <c r="H128" s="49">
        <f t="shared" si="2"/>
        <v>799.5</v>
      </c>
      <c r="I128" s="48">
        <v>6.84</v>
      </c>
      <c r="J128" s="48" t="s">
        <v>653</v>
      </c>
      <c r="K128" s="50" t="s">
        <v>512</v>
      </c>
      <c r="L128" s="51">
        <v>167.0</v>
      </c>
      <c r="M128" s="50" t="s">
        <v>887</v>
      </c>
      <c r="N128" s="51" t="s">
        <v>166</v>
      </c>
      <c r="O128" s="48">
        <v>331.0</v>
      </c>
      <c r="P128" s="48">
        <v>172.0</v>
      </c>
      <c r="Q128" s="48">
        <v>80.0</v>
      </c>
      <c r="R128" s="48">
        <v>4.0</v>
      </c>
      <c r="S128" s="50" t="s">
        <v>166</v>
      </c>
      <c r="T128" s="52" t="s">
        <v>1102</v>
      </c>
      <c r="U128" s="52" t="s">
        <v>599</v>
      </c>
      <c r="V128" s="51" t="s">
        <v>568</v>
      </c>
      <c r="W128" s="48" t="s">
        <v>193</v>
      </c>
      <c r="X128" s="50" t="s">
        <v>166</v>
      </c>
      <c r="Y128" s="51" t="s">
        <v>166</v>
      </c>
      <c r="Z128" s="48" t="s">
        <v>166</v>
      </c>
      <c r="AA128" s="48" t="s">
        <v>166</v>
      </c>
      <c r="AB128" s="48" t="s">
        <v>166</v>
      </c>
      <c r="AC128" s="48" t="s">
        <v>1151</v>
      </c>
      <c r="AD128" s="48" t="s">
        <v>278</v>
      </c>
      <c r="AE128" s="48" t="s">
        <v>166</v>
      </c>
      <c r="AF128" s="50" t="s">
        <v>166</v>
      </c>
      <c r="AG128" s="51">
        <v>2.0</v>
      </c>
      <c r="AH128" s="51">
        <v>2.0</v>
      </c>
      <c r="AI128" s="48">
        <v>1.0</v>
      </c>
      <c r="AJ128" s="50" t="s">
        <v>174</v>
      </c>
      <c r="AK128" s="56" t="s">
        <v>166</v>
      </c>
      <c r="AL128" s="57">
        <v>109.99</v>
      </c>
      <c r="AM128" s="68"/>
      <c r="AN128" s="59"/>
      <c r="AO128" s="60"/>
      <c r="AP128" s="65">
        <v>45071.55406084491</v>
      </c>
      <c r="AQ128" s="66"/>
    </row>
    <row r="129">
      <c r="A129" s="46" t="s">
        <v>594</v>
      </c>
      <c r="B129" s="46" t="s">
        <v>1547</v>
      </c>
      <c r="C129" s="63" t="s">
        <v>262</v>
      </c>
      <c r="D129" s="48">
        <v>403.0</v>
      </c>
      <c r="E129" s="48">
        <v>219.0</v>
      </c>
      <c r="F129" s="48">
        <v>355.0</v>
      </c>
      <c r="G129" s="49">
        <f t="shared" si="1"/>
        <v>31.331235</v>
      </c>
      <c r="H129" s="49">
        <f t="shared" si="2"/>
        <v>882.57</v>
      </c>
      <c r="I129" s="48">
        <v>4.2</v>
      </c>
      <c r="J129" s="48" t="s">
        <v>597</v>
      </c>
      <c r="K129" s="50" t="s">
        <v>375</v>
      </c>
      <c r="L129" s="51">
        <v>170.0</v>
      </c>
      <c r="M129" s="50" t="s">
        <v>547</v>
      </c>
      <c r="N129" s="51" t="s">
        <v>166</v>
      </c>
      <c r="O129" s="48">
        <v>400.0</v>
      </c>
      <c r="P129" s="48">
        <v>175.0</v>
      </c>
      <c r="Q129" s="48">
        <v>100.0</v>
      </c>
      <c r="R129" s="48">
        <v>5.0</v>
      </c>
      <c r="S129" s="50" t="s">
        <v>166</v>
      </c>
      <c r="T129" s="52" t="s">
        <v>423</v>
      </c>
      <c r="U129" s="52" t="s">
        <v>599</v>
      </c>
      <c r="V129" s="51">
        <v>3.0</v>
      </c>
      <c r="W129" s="48">
        <v>1.0</v>
      </c>
      <c r="X129" s="50" t="s">
        <v>166</v>
      </c>
      <c r="Y129" s="51" t="s">
        <v>166</v>
      </c>
      <c r="Z129" s="48" t="s">
        <v>166</v>
      </c>
      <c r="AA129" s="48" t="s">
        <v>166</v>
      </c>
      <c r="AB129" s="48" t="s">
        <v>166</v>
      </c>
      <c r="AC129" s="48">
        <v>6.0</v>
      </c>
      <c r="AD129" s="48" t="s">
        <v>166</v>
      </c>
      <c r="AE129" s="48" t="s">
        <v>166</v>
      </c>
      <c r="AF129" s="50" t="s">
        <v>166</v>
      </c>
      <c r="AG129" s="51" t="s">
        <v>166</v>
      </c>
      <c r="AH129" s="51">
        <v>1.0</v>
      </c>
      <c r="AI129" s="48">
        <v>1.0</v>
      </c>
      <c r="AJ129" s="50" t="s">
        <v>166</v>
      </c>
      <c r="AK129" s="56">
        <v>229.0</v>
      </c>
      <c r="AL129" s="57">
        <f>AK129*Sheets!$E$3</f>
        <v>31.5666195</v>
      </c>
      <c r="AM129" s="68"/>
      <c r="AN129" s="70"/>
      <c r="AO129" s="71"/>
      <c r="AP129" s="72"/>
      <c r="AQ129" s="66"/>
    </row>
    <row r="130">
      <c r="A130" s="82" t="str">
        <f t="shared" ref="A130:A131" si="8">HYPERLINK("http://www.jonsbo.com/en/","Jonsbo")</f>
        <v>Jonsbo</v>
      </c>
      <c r="B130" s="62" t="s">
        <v>1548</v>
      </c>
      <c r="C130" s="63" t="s">
        <v>262</v>
      </c>
      <c r="D130" s="48">
        <v>440.0</v>
      </c>
      <c r="E130" s="48">
        <v>205.0</v>
      </c>
      <c r="F130" s="48">
        <v>347.5</v>
      </c>
      <c r="G130" s="49">
        <f t="shared" si="1"/>
        <v>31.3445</v>
      </c>
      <c r="H130" s="49">
        <f t="shared" si="2"/>
        <v>902</v>
      </c>
      <c r="I130" s="48">
        <v>6.5</v>
      </c>
      <c r="J130" s="48" t="s">
        <v>597</v>
      </c>
      <c r="K130" s="50" t="s">
        <v>1549</v>
      </c>
      <c r="L130" s="51">
        <v>168.0</v>
      </c>
      <c r="M130" s="50" t="s">
        <v>1514</v>
      </c>
      <c r="N130" s="51" t="s">
        <v>166</v>
      </c>
      <c r="O130" s="48">
        <v>400.0</v>
      </c>
      <c r="P130" s="48">
        <v>173.0</v>
      </c>
      <c r="Q130" s="48">
        <v>80.0</v>
      </c>
      <c r="R130" s="48">
        <v>4.0</v>
      </c>
      <c r="S130" s="50" t="s">
        <v>166</v>
      </c>
      <c r="T130" s="52" t="s">
        <v>1102</v>
      </c>
      <c r="U130" s="52" t="s">
        <v>816</v>
      </c>
      <c r="V130" s="51">
        <v>2.0</v>
      </c>
      <c r="W130" s="48">
        <v>1.0</v>
      </c>
      <c r="X130" s="50" t="s">
        <v>166</v>
      </c>
      <c r="Y130" s="51" t="s">
        <v>166</v>
      </c>
      <c r="Z130" s="48" t="s">
        <v>166</v>
      </c>
      <c r="AA130" s="48" t="s">
        <v>166</v>
      </c>
      <c r="AB130" s="48" t="s">
        <v>166</v>
      </c>
      <c r="AC130" s="48" t="s">
        <v>914</v>
      </c>
      <c r="AD130" s="48" t="s">
        <v>278</v>
      </c>
      <c r="AE130" s="48" t="s">
        <v>166</v>
      </c>
      <c r="AF130" s="50" t="s">
        <v>166</v>
      </c>
      <c r="AG130" s="51" t="s">
        <v>166</v>
      </c>
      <c r="AH130" s="51">
        <v>1.0</v>
      </c>
      <c r="AI130" s="48">
        <v>1.0</v>
      </c>
      <c r="AJ130" s="50" t="s">
        <v>174</v>
      </c>
      <c r="AK130" s="56" t="s">
        <v>166</v>
      </c>
      <c r="AL130" s="57">
        <v>144.99</v>
      </c>
      <c r="AM130" s="68"/>
      <c r="AN130" s="59"/>
      <c r="AO130" s="60"/>
      <c r="AP130" s="65">
        <v>45071.55411730324</v>
      </c>
      <c r="AQ130" s="66"/>
    </row>
    <row r="131">
      <c r="A131" s="82" t="str">
        <f t="shared" si="8"/>
        <v>Jonsbo</v>
      </c>
      <c r="B131" s="62" t="s">
        <v>1550</v>
      </c>
      <c r="C131" s="63" t="s">
        <v>262</v>
      </c>
      <c r="D131" s="48">
        <v>310.0</v>
      </c>
      <c r="E131" s="48">
        <v>299.0</v>
      </c>
      <c r="F131" s="48">
        <v>345.0</v>
      </c>
      <c r="G131" s="49">
        <f t="shared" si="1"/>
        <v>31.97805</v>
      </c>
      <c r="H131" s="49">
        <f t="shared" si="2"/>
        <v>926.9</v>
      </c>
      <c r="I131" s="48">
        <v>5.9</v>
      </c>
      <c r="J131" s="48" t="s">
        <v>597</v>
      </c>
      <c r="K131" s="50" t="s">
        <v>1551</v>
      </c>
      <c r="L131" s="51">
        <v>165.0</v>
      </c>
      <c r="M131" s="50" t="s">
        <v>547</v>
      </c>
      <c r="N131" s="51" t="s">
        <v>166</v>
      </c>
      <c r="O131" s="48">
        <v>280.0</v>
      </c>
      <c r="P131" s="48">
        <v>170.0</v>
      </c>
      <c r="Q131" s="48">
        <v>80.0</v>
      </c>
      <c r="R131" s="48">
        <v>4.0</v>
      </c>
      <c r="S131" s="50" t="s">
        <v>166</v>
      </c>
      <c r="T131" s="52" t="s">
        <v>423</v>
      </c>
      <c r="U131" s="52" t="s">
        <v>599</v>
      </c>
      <c r="V131" s="51" t="s">
        <v>194</v>
      </c>
      <c r="W131" s="51" t="s">
        <v>207</v>
      </c>
      <c r="X131" s="50" t="s">
        <v>166</v>
      </c>
      <c r="Y131" s="51" t="s">
        <v>166</v>
      </c>
      <c r="Z131" s="48" t="s">
        <v>166</v>
      </c>
      <c r="AA131" s="48" t="s">
        <v>166</v>
      </c>
      <c r="AB131" s="48" t="s">
        <v>166</v>
      </c>
      <c r="AC131" s="48">
        <v>4.0</v>
      </c>
      <c r="AD131" s="48" t="s">
        <v>166</v>
      </c>
      <c r="AE131" s="48" t="s">
        <v>166</v>
      </c>
      <c r="AF131" s="50" t="s">
        <v>166</v>
      </c>
      <c r="AG131" s="51" t="s">
        <v>166</v>
      </c>
      <c r="AH131" s="51">
        <v>1.0</v>
      </c>
      <c r="AI131" s="48">
        <v>1.0</v>
      </c>
      <c r="AJ131" s="50" t="s">
        <v>174</v>
      </c>
      <c r="AK131" s="56" t="s">
        <v>166</v>
      </c>
      <c r="AL131" s="57" t="s">
        <v>170</v>
      </c>
      <c r="AM131" s="68"/>
      <c r="AN131" s="59"/>
      <c r="AO131" s="60"/>
      <c r="AP131" s="65">
        <v>45071.55414959491</v>
      </c>
      <c r="AQ131" s="66"/>
    </row>
    <row r="132">
      <c r="A132" s="61" t="s">
        <v>209</v>
      </c>
      <c r="B132" s="62" t="s">
        <v>1552</v>
      </c>
      <c r="C132" s="63" t="s">
        <v>262</v>
      </c>
      <c r="D132" s="48">
        <v>284.0</v>
      </c>
      <c r="E132" s="48">
        <v>235.0</v>
      </c>
      <c r="F132" s="48">
        <v>487.0</v>
      </c>
      <c r="G132" s="49">
        <f t="shared" si="1"/>
        <v>32.50238</v>
      </c>
      <c r="H132" s="49">
        <f t="shared" si="2"/>
        <v>667.4</v>
      </c>
      <c r="I132" s="48">
        <v>6.7</v>
      </c>
      <c r="J132" s="48" t="s">
        <v>164</v>
      </c>
      <c r="K132" s="50" t="s">
        <v>512</v>
      </c>
      <c r="L132" s="51">
        <v>167.0</v>
      </c>
      <c r="M132" s="50">
        <v>120.0</v>
      </c>
      <c r="N132" s="51" t="s">
        <v>166</v>
      </c>
      <c r="O132" s="48">
        <v>349.0</v>
      </c>
      <c r="P132" s="48">
        <v>172.0</v>
      </c>
      <c r="Q132" s="48">
        <v>80.0</v>
      </c>
      <c r="R132" s="48">
        <v>4.0</v>
      </c>
      <c r="S132" s="50" t="s">
        <v>166</v>
      </c>
      <c r="T132" s="52" t="s">
        <v>1102</v>
      </c>
      <c r="U132" s="52" t="s">
        <v>599</v>
      </c>
      <c r="V132" s="51">
        <v>1.0</v>
      </c>
      <c r="W132" s="51">
        <v>3.0</v>
      </c>
      <c r="X132" s="50" t="s">
        <v>218</v>
      </c>
      <c r="Y132" s="51" t="s">
        <v>166</v>
      </c>
      <c r="Z132" s="48" t="s">
        <v>166</v>
      </c>
      <c r="AA132" s="48" t="s">
        <v>435</v>
      </c>
      <c r="AB132" s="48" t="s">
        <v>194</v>
      </c>
      <c r="AC132" s="48">
        <v>3.0</v>
      </c>
      <c r="AD132" s="48" t="s">
        <v>166</v>
      </c>
      <c r="AE132" s="48" t="s">
        <v>166</v>
      </c>
      <c r="AF132" s="50" t="s">
        <v>166</v>
      </c>
      <c r="AG132" s="51" t="s">
        <v>166</v>
      </c>
      <c r="AH132" s="51">
        <v>2.0</v>
      </c>
      <c r="AI132" s="48" t="s">
        <v>166</v>
      </c>
      <c r="AJ132" s="50" t="s">
        <v>174</v>
      </c>
      <c r="AK132" s="56" t="s">
        <v>166</v>
      </c>
      <c r="AL132" s="57" t="s">
        <v>166</v>
      </c>
      <c r="AM132" s="58"/>
      <c r="AN132" s="59"/>
      <c r="AO132" s="60" t="s">
        <v>181</v>
      </c>
      <c r="AP132" s="65">
        <v>45071.55417050926</v>
      </c>
      <c r="AQ132" s="66"/>
    </row>
    <row r="133">
      <c r="A133" s="82" t="str">
        <f>HYPERLINK("https://www.thermaltake.com/","Thermaltake")</f>
        <v>Thermaltake</v>
      </c>
      <c r="B133" s="62" t="s">
        <v>1553</v>
      </c>
      <c r="C133" s="63" t="s">
        <v>262</v>
      </c>
      <c r="D133" s="48">
        <v>266.0</v>
      </c>
      <c r="E133" s="48">
        <v>266.0</v>
      </c>
      <c r="F133" s="48">
        <v>462.8</v>
      </c>
      <c r="G133" s="49">
        <f t="shared" si="1"/>
        <v>32.7458768</v>
      </c>
      <c r="H133" s="49">
        <f t="shared" si="2"/>
        <v>707.56</v>
      </c>
      <c r="I133" s="48">
        <v>6.1</v>
      </c>
      <c r="J133" s="48" t="s">
        <v>597</v>
      </c>
      <c r="K133" s="50" t="s">
        <v>447</v>
      </c>
      <c r="L133" s="51">
        <v>190.0</v>
      </c>
      <c r="M133" s="50">
        <v>120.0</v>
      </c>
      <c r="N133" s="51" t="s">
        <v>166</v>
      </c>
      <c r="O133" s="48">
        <v>330.0</v>
      </c>
      <c r="P133" s="48">
        <v>195.0</v>
      </c>
      <c r="Q133" s="48">
        <v>40.0</v>
      </c>
      <c r="R133" s="48">
        <v>2.0</v>
      </c>
      <c r="S133" s="50" t="s">
        <v>166</v>
      </c>
      <c r="T133" s="52" t="s">
        <v>167</v>
      </c>
      <c r="U133" s="52" t="s">
        <v>599</v>
      </c>
      <c r="V133" s="51">
        <v>2.0</v>
      </c>
      <c r="W133" s="51" t="s">
        <v>193</v>
      </c>
      <c r="X133" s="50" t="s">
        <v>166</v>
      </c>
      <c r="Y133" s="51" t="s">
        <v>166</v>
      </c>
      <c r="Z133" s="48" t="s">
        <v>166</v>
      </c>
      <c r="AA133" s="48" t="s">
        <v>166</v>
      </c>
      <c r="AB133" s="48" t="s">
        <v>166</v>
      </c>
      <c r="AC133" s="48" t="s">
        <v>426</v>
      </c>
      <c r="AD133" s="48" t="s">
        <v>426</v>
      </c>
      <c r="AE133" s="48" t="s">
        <v>166</v>
      </c>
      <c r="AF133" s="50" t="s">
        <v>166</v>
      </c>
      <c r="AG133" s="51" t="s">
        <v>166</v>
      </c>
      <c r="AH133" s="51">
        <v>2.0</v>
      </c>
      <c r="AI133" s="48">
        <v>1.0</v>
      </c>
      <c r="AJ133" s="50" t="s">
        <v>174</v>
      </c>
      <c r="AK133" s="56" t="s">
        <v>166</v>
      </c>
      <c r="AL133" s="57">
        <v>119.99</v>
      </c>
      <c r="AM133" s="58"/>
      <c r="AN133" s="59"/>
      <c r="AO133" s="60"/>
      <c r="AP133" s="65">
        <v>45071.55420643519</v>
      </c>
      <c r="AQ133" s="66"/>
    </row>
    <row r="134">
      <c r="A134" s="61" t="s">
        <v>1554</v>
      </c>
      <c r="B134" s="62" t="s">
        <v>1555</v>
      </c>
      <c r="C134" s="63" t="s">
        <v>262</v>
      </c>
      <c r="D134" s="48">
        <v>460.0</v>
      </c>
      <c r="E134" s="48">
        <v>205.0</v>
      </c>
      <c r="F134" s="48">
        <v>350.0</v>
      </c>
      <c r="G134" s="49">
        <f t="shared" si="1"/>
        <v>33.005</v>
      </c>
      <c r="H134" s="49">
        <f t="shared" si="2"/>
        <v>943</v>
      </c>
      <c r="I134" s="48">
        <v>5.8</v>
      </c>
      <c r="J134" s="48" t="s">
        <v>240</v>
      </c>
      <c r="K134" s="50" t="s">
        <v>171</v>
      </c>
      <c r="L134" s="51">
        <v>170.0</v>
      </c>
      <c r="M134" s="50" t="s">
        <v>1122</v>
      </c>
      <c r="N134" s="51" t="s">
        <v>166</v>
      </c>
      <c r="O134" s="48">
        <v>338.0</v>
      </c>
      <c r="P134" s="48">
        <v>175.0</v>
      </c>
      <c r="Q134" s="48">
        <v>80.0</v>
      </c>
      <c r="R134" s="48">
        <v>4.0</v>
      </c>
      <c r="S134" s="50" t="s">
        <v>166</v>
      </c>
      <c r="T134" s="52" t="s">
        <v>423</v>
      </c>
      <c r="U134" s="52" t="s">
        <v>599</v>
      </c>
      <c r="V134" s="51" t="s">
        <v>220</v>
      </c>
      <c r="W134" s="48" t="s">
        <v>426</v>
      </c>
      <c r="X134" s="50" t="s">
        <v>166</v>
      </c>
      <c r="Y134" s="51" t="s">
        <v>166</v>
      </c>
      <c r="Z134" s="48" t="s">
        <v>166</v>
      </c>
      <c r="AA134" s="48" t="s">
        <v>166</v>
      </c>
      <c r="AB134" s="48" t="s">
        <v>166</v>
      </c>
      <c r="AC134" s="48" t="s">
        <v>1113</v>
      </c>
      <c r="AD134" s="48" t="s">
        <v>193</v>
      </c>
      <c r="AE134" s="48" t="s">
        <v>166</v>
      </c>
      <c r="AF134" s="50" t="s">
        <v>166</v>
      </c>
      <c r="AG134" s="51" t="s">
        <v>166</v>
      </c>
      <c r="AH134" s="51">
        <v>2.0</v>
      </c>
      <c r="AI134" s="48">
        <v>1.0</v>
      </c>
      <c r="AJ134" s="50" t="s">
        <v>174</v>
      </c>
      <c r="AK134" s="56" t="s">
        <v>166</v>
      </c>
      <c r="AL134" s="57">
        <v>79.99</v>
      </c>
      <c r="AM134" s="58"/>
      <c r="AN134" s="59"/>
      <c r="AO134" s="60"/>
      <c r="AP134" s="65">
        <v>45071.55422528935</v>
      </c>
      <c r="AQ134" s="66"/>
    </row>
    <row r="135">
      <c r="A135" s="82" t="str">
        <f>HYPERLINK("https://www.fractal-design.com/","Fractal Design")</f>
        <v>Fractal Design</v>
      </c>
      <c r="B135" s="62" t="s">
        <v>1556</v>
      </c>
      <c r="C135" s="63" t="s">
        <v>262</v>
      </c>
      <c r="D135" s="48">
        <v>395.0</v>
      </c>
      <c r="E135" s="48">
        <v>212.0</v>
      </c>
      <c r="F135" s="48">
        <v>399.0</v>
      </c>
      <c r="G135" s="49">
        <f t="shared" si="1"/>
        <v>33.41226</v>
      </c>
      <c r="H135" s="49">
        <f t="shared" si="2"/>
        <v>837.4</v>
      </c>
      <c r="I135" s="48">
        <v>6.28</v>
      </c>
      <c r="J135" s="48" t="s">
        <v>597</v>
      </c>
      <c r="K135" s="50" t="s">
        <v>171</v>
      </c>
      <c r="L135" s="51">
        <v>172.0</v>
      </c>
      <c r="M135" s="50" t="s">
        <v>887</v>
      </c>
      <c r="N135" s="51" t="s">
        <v>166</v>
      </c>
      <c r="O135" s="48">
        <v>335.0</v>
      </c>
      <c r="P135" s="48">
        <v>177.0</v>
      </c>
      <c r="Q135" s="48">
        <v>100.0</v>
      </c>
      <c r="R135" s="48">
        <v>5.0</v>
      </c>
      <c r="S135" s="50" t="s">
        <v>166</v>
      </c>
      <c r="T135" s="52" t="s">
        <v>423</v>
      </c>
      <c r="U135" s="52" t="s">
        <v>599</v>
      </c>
      <c r="V135" s="51" t="s">
        <v>873</v>
      </c>
      <c r="W135" s="48" t="s">
        <v>193</v>
      </c>
      <c r="X135" s="50" t="s">
        <v>166</v>
      </c>
      <c r="Y135" s="51" t="s">
        <v>166</v>
      </c>
      <c r="Z135" s="48" t="s">
        <v>166</v>
      </c>
      <c r="AA135" s="48" t="s">
        <v>166</v>
      </c>
      <c r="AB135" s="48" t="s">
        <v>166</v>
      </c>
      <c r="AC135" s="48" t="s">
        <v>1151</v>
      </c>
      <c r="AD135" s="48" t="s">
        <v>278</v>
      </c>
      <c r="AE135" s="48" t="s">
        <v>166</v>
      </c>
      <c r="AF135" s="50" t="s">
        <v>166</v>
      </c>
      <c r="AG135" s="51" t="s">
        <v>166</v>
      </c>
      <c r="AH135" s="51">
        <v>2.0</v>
      </c>
      <c r="AI135" s="48" t="s">
        <v>166</v>
      </c>
      <c r="AJ135" s="50" t="s">
        <v>174</v>
      </c>
      <c r="AK135" s="56" t="s">
        <v>166</v>
      </c>
      <c r="AL135" s="57">
        <v>99.99</v>
      </c>
      <c r="AM135" s="68"/>
      <c r="AN135" s="59"/>
      <c r="AO135" s="60"/>
      <c r="AP135" s="65">
        <v>45071.554284039354</v>
      </c>
      <c r="AQ135" s="66"/>
    </row>
    <row r="136">
      <c r="A136" s="82" t="str">
        <f>HYPERLINK("https://www.coolermaster.com/","Cooler Master")</f>
        <v>Cooler Master</v>
      </c>
      <c r="B136" s="62" t="s">
        <v>1557</v>
      </c>
      <c r="C136" s="63" t="s">
        <v>262</v>
      </c>
      <c r="D136" s="48">
        <v>380.0</v>
      </c>
      <c r="E136" s="48">
        <v>231.0</v>
      </c>
      <c r="F136" s="48">
        <v>381.0</v>
      </c>
      <c r="G136" s="49">
        <f t="shared" si="1"/>
        <v>33.44418</v>
      </c>
      <c r="H136" s="49">
        <f t="shared" si="2"/>
        <v>877.8</v>
      </c>
      <c r="I136" s="48">
        <v>7.8</v>
      </c>
      <c r="J136" s="48" t="s">
        <v>653</v>
      </c>
      <c r="K136" s="50" t="s">
        <v>211</v>
      </c>
      <c r="L136" s="51">
        <v>172.0</v>
      </c>
      <c r="M136" s="50" t="s">
        <v>825</v>
      </c>
      <c r="N136" s="51" t="s">
        <v>166</v>
      </c>
      <c r="O136" s="48">
        <v>365.0</v>
      </c>
      <c r="P136" s="48">
        <v>177.0</v>
      </c>
      <c r="Q136" s="48">
        <v>140.0</v>
      </c>
      <c r="R136" s="48">
        <v>7.0</v>
      </c>
      <c r="S136" s="50" t="s">
        <v>166</v>
      </c>
      <c r="T136" s="52" t="s">
        <v>1558</v>
      </c>
      <c r="U136" s="52" t="s">
        <v>816</v>
      </c>
      <c r="V136" s="51">
        <v>3.0</v>
      </c>
      <c r="W136" s="48">
        <v>4.0</v>
      </c>
      <c r="X136" s="50" t="s">
        <v>166</v>
      </c>
      <c r="Y136" s="51" t="s">
        <v>166</v>
      </c>
      <c r="Z136" s="48" t="s">
        <v>166</v>
      </c>
      <c r="AA136" s="48" t="s">
        <v>166</v>
      </c>
      <c r="AB136" s="48" t="s">
        <v>166</v>
      </c>
      <c r="AC136" s="48" t="s">
        <v>1260</v>
      </c>
      <c r="AD136" s="48" t="s">
        <v>740</v>
      </c>
      <c r="AE136" s="48" t="s">
        <v>166</v>
      </c>
      <c r="AF136" s="50" t="s">
        <v>166</v>
      </c>
      <c r="AG136" s="51" t="s">
        <v>166</v>
      </c>
      <c r="AH136" s="51">
        <v>2.0</v>
      </c>
      <c r="AI136" s="48">
        <v>1.0</v>
      </c>
      <c r="AJ136" s="50" t="s">
        <v>174</v>
      </c>
      <c r="AK136" s="56" t="s">
        <v>166</v>
      </c>
      <c r="AL136" s="57">
        <v>79.99</v>
      </c>
      <c r="AM136" s="58"/>
      <c r="AN136" s="59"/>
      <c r="AO136" s="60"/>
      <c r="AP136" s="65"/>
      <c r="AQ136" s="66"/>
    </row>
    <row r="137">
      <c r="A137" s="61" t="s">
        <v>398</v>
      </c>
      <c r="B137" s="62" t="s">
        <v>1559</v>
      </c>
      <c r="C137" s="63" t="s">
        <v>262</v>
      </c>
      <c r="D137" s="48">
        <v>413.0</v>
      </c>
      <c r="E137" s="48">
        <v>204.0</v>
      </c>
      <c r="F137" s="48">
        <v>398.0</v>
      </c>
      <c r="G137" s="49">
        <f t="shared" si="1"/>
        <v>33.532296</v>
      </c>
      <c r="H137" s="49">
        <f t="shared" si="2"/>
        <v>842.52</v>
      </c>
      <c r="I137" s="48" t="s">
        <v>170</v>
      </c>
      <c r="J137" s="48" t="s">
        <v>597</v>
      </c>
      <c r="K137" s="50" t="s">
        <v>1531</v>
      </c>
      <c r="L137" s="51">
        <v>168.0</v>
      </c>
      <c r="M137" s="50" t="s">
        <v>547</v>
      </c>
      <c r="N137" s="51" t="s">
        <v>166</v>
      </c>
      <c r="O137" s="48">
        <v>355.0</v>
      </c>
      <c r="P137" s="48">
        <v>173.0</v>
      </c>
      <c r="Q137" s="48">
        <v>140.0</v>
      </c>
      <c r="R137" s="48">
        <v>7.0</v>
      </c>
      <c r="S137" s="50" t="s">
        <v>166</v>
      </c>
      <c r="T137" s="52" t="s">
        <v>852</v>
      </c>
      <c r="U137" s="52" t="s">
        <v>599</v>
      </c>
      <c r="V137" s="51" t="s">
        <v>562</v>
      </c>
      <c r="W137" s="48" t="s">
        <v>194</v>
      </c>
      <c r="X137" s="50" t="s">
        <v>166</v>
      </c>
      <c r="Y137" s="51" t="s">
        <v>166</v>
      </c>
      <c r="Z137" s="48" t="s">
        <v>166</v>
      </c>
      <c r="AA137" s="48" t="s">
        <v>166</v>
      </c>
      <c r="AB137" s="48" t="s">
        <v>166</v>
      </c>
      <c r="AC137" s="48" t="s">
        <v>355</v>
      </c>
      <c r="AD137" s="48" t="s">
        <v>278</v>
      </c>
      <c r="AE137" s="48" t="s">
        <v>166</v>
      </c>
      <c r="AF137" s="50" t="s">
        <v>166</v>
      </c>
      <c r="AG137" s="51" t="s">
        <v>166</v>
      </c>
      <c r="AH137" s="51">
        <v>1.0</v>
      </c>
      <c r="AI137" s="48">
        <v>1.0</v>
      </c>
      <c r="AJ137" s="50" t="s">
        <v>174</v>
      </c>
      <c r="AK137" s="56" t="s">
        <v>166</v>
      </c>
      <c r="AL137" s="57" t="s">
        <v>170</v>
      </c>
      <c r="AM137" s="58"/>
      <c r="AN137" s="59"/>
      <c r="AO137" s="60"/>
      <c r="AP137" s="65">
        <v>45071.554319965275</v>
      </c>
      <c r="AQ137" s="66"/>
    </row>
    <row r="138">
      <c r="A138" s="61" t="s">
        <v>398</v>
      </c>
      <c r="B138" s="62" t="s">
        <v>1560</v>
      </c>
      <c r="C138" s="63" t="s">
        <v>262</v>
      </c>
      <c r="D138" s="48">
        <v>413.0</v>
      </c>
      <c r="E138" s="48">
        <v>204.0</v>
      </c>
      <c r="F138" s="48">
        <v>398.0</v>
      </c>
      <c r="G138" s="49">
        <f t="shared" si="1"/>
        <v>33.532296</v>
      </c>
      <c r="H138" s="49">
        <f t="shared" si="2"/>
        <v>842.52</v>
      </c>
      <c r="I138" s="48" t="s">
        <v>170</v>
      </c>
      <c r="J138" s="48" t="s">
        <v>240</v>
      </c>
      <c r="K138" s="50" t="s">
        <v>1531</v>
      </c>
      <c r="L138" s="51">
        <v>168.0</v>
      </c>
      <c r="M138" s="50" t="s">
        <v>547</v>
      </c>
      <c r="N138" s="51" t="s">
        <v>166</v>
      </c>
      <c r="O138" s="48">
        <v>355.0</v>
      </c>
      <c r="P138" s="48">
        <v>173.0</v>
      </c>
      <c r="Q138" s="48">
        <v>140.0</v>
      </c>
      <c r="R138" s="48">
        <v>7.0</v>
      </c>
      <c r="S138" s="50" t="s">
        <v>166</v>
      </c>
      <c r="T138" s="52" t="s">
        <v>852</v>
      </c>
      <c r="U138" s="52" t="s">
        <v>599</v>
      </c>
      <c r="V138" s="51" t="s">
        <v>562</v>
      </c>
      <c r="W138" s="48" t="s">
        <v>194</v>
      </c>
      <c r="X138" s="50" t="s">
        <v>166</v>
      </c>
      <c r="Y138" s="51" t="s">
        <v>166</v>
      </c>
      <c r="Z138" s="48" t="s">
        <v>166</v>
      </c>
      <c r="AA138" s="48" t="s">
        <v>166</v>
      </c>
      <c r="AB138" s="48" t="s">
        <v>166</v>
      </c>
      <c r="AC138" s="48" t="s">
        <v>355</v>
      </c>
      <c r="AD138" s="48" t="s">
        <v>278</v>
      </c>
      <c r="AE138" s="48" t="s">
        <v>166</v>
      </c>
      <c r="AF138" s="50" t="s">
        <v>166</v>
      </c>
      <c r="AG138" s="51" t="s">
        <v>166</v>
      </c>
      <c r="AH138" s="51">
        <v>1.0</v>
      </c>
      <c r="AI138" s="48">
        <v>1.0</v>
      </c>
      <c r="AJ138" s="50" t="s">
        <v>174</v>
      </c>
      <c r="AK138" s="56" t="s">
        <v>166</v>
      </c>
      <c r="AL138" s="57" t="s">
        <v>170</v>
      </c>
      <c r="AM138" s="58"/>
      <c r="AN138" s="59"/>
      <c r="AO138" s="60"/>
      <c r="AP138" s="65">
        <v>45071.55434512731</v>
      </c>
      <c r="AQ138" s="66"/>
    </row>
    <row r="139">
      <c r="A139" s="82" t="str">
        <f>HYPERLINK("https://www.coolermaster.com/","Cooler Master")</f>
        <v>Cooler Master</v>
      </c>
      <c r="B139" s="62" t="str">
        <f>HYPERLINK("https://www.coolermaster.com/catalog/cases/mid-tower/masterbox-q500l/","MasterBox Q500L")</f>
        <v>MasterBox Q500L</v>
      </c>
      <c r="C139" s="63" t="s">
        <v>262</v>
      </c>
      <c r="D139" s="48">
        <v>386.0</v>
      </c>
      <c r="E139" s="48">
        <v>230.0</v>
      </c>
      <c r="F139" s="48">
        <v>381.0</v>
      </c>
      <c r="G139" s="49">
        <f t="shared" si="1"/>
        <v>33.82518</v>
      </c>
      <c r="H139" s="49">
        <f t="shared" si="2"/>
        <v>887.8</v>
      </c>
      <c r="I139" s="48">
        <v>3.81</v>
      </c>
      <c r="J139" s="48" t="s">
        <v>245</v>
      </c>
      <c r="K139" s="50" t="s">
        <v>211</v>
      </c>
      <c r="L139" s="51">
        <v>160.0</v>
      </c>
      <c r="M139" s="50" t="s">
        <v>547</v>
      </c>
      <c r="N139" s="51" t="s">
        <v>166</v>
      </c>
      <c r="O139" s="48">
        <v>360.0</v>
      </c>
      <c r="P139" s="48">
        <v>165.0</v>
      </c>
      <c r="Q139" s="48">
        <v>140.0</v>
      </c>
      <c r="R139" s="48">
        <v>7.0</v>
      </c>
      <c r="S139" s="50" t="s">
        <v>166</v>
      </c>
      <c r="T139" s="52" t="s">
        <v>696</v>
      </c>
      <c r="U139" s="52" t="s">
        <v>599</v>
      </c>
      <c r="V139" s="51" t="s">
        <v>278</v>
      </c>
      <c r="W139" s="48" t="s">
        <v>193</v>
      </c>
      <c r="X139" s="50" t="s">
        <v>166</v>
      </c>
      <c r="Y139" s="51" t="s">
        <v>166</v>
      </c>
      <c r="Z139" s="48" t="s">
        <v>166</v>
      </c>
      <c r="AA139" s="48" t="s">
        <v>166</v>
      </c>
      <c r="AB139" s="48" t="s">
        <v>166</v>
      </c>
      <c r="AC139" s="48" t="s">
        <v>873</v>
      </c>
      <c r="AD139" s="48" t="s">
        <v>193</v>
      </c>
      <c r="AE139" s="48" t="s">
        <v>166</v>
      </c>
      <c r="AF139" s="50" t="s">
        <v>166</v>
      </c>
      <c r="AG139" s="51" t="s">
        <v>166</v>
      </c>
      <c r="AH139" s="51">
        <v>2.0</v>
      </c>
      <c r="AI139" s="48" t="s">
        <v>166</v>
      </c>
      <c r="AJ139" s="50" t="s">
        <v>174</v>
      </c>
      <c r="AK139" s="56" t="s">
        <v>166</v>
      </c>
      <c r="AL139" s="57">
        <v>59.99</v>
      </c>
      <c r="AM139" s="58"/>
      <c r="AN139" s="59"/>
      <c r="AO139" s="60"/>
      <c r="AP139" s="65">
        <v>45071.55437287037</v>
      </c>
      <c r="AQ139" s="66"/>
    </row>
    <row r="140">
      <c r="A140" s="82" t="str">
        <f t="shared" ref="A140:A141" si="9">HYPERLINK("http://www.phanteks.com/","Phanteks")</f>
        <v>Phanteks</v>
      </c>
      <c r="B140" s="62" t="s">
        <v>1561</v>
      </c>
      <c r="C140" s="63" t="s">
        <v>262</v>
      </c>
      <c r="D140" s="48">
        <v>395.0</v>
      </c>
      <c r="E140" s="48">
        <v>230.0</v>
      </c>
      <c r="F140" s="48">
        <v>375.0</v>
      </c>
      <c r="G140" s="49">
        <f t="shared" si="1"/>
        <v>34.06875</v>
      </c>
      <c r="H140" s="49">
        <f t="shared" si="2"/>
        <v>908.5</v>
      </c>
      <c r="I140" s="48">
        <v>5.4</v>
      </c>
      <c r="J140" s="48" t="s">
        <v>336</v>
      </c>
      <c r="K140" s="50" t="s">
        <v>211</v>
      </c>
      <c r="L140" s="51">
        <v>200.0</v>
      </c>
      <c r="M140" s="50" t="s">
        <v>825</v>
      </c>
      <c r="N140" s="51" t="s">
        <v>166</v>
      </c>
      <c r="O140" s="48">
        <v>330.0</v>
      </c>
      <c r="P140" s="48">
        <v>205.0</v>
      </c>
      <c r="Q140" s="48">
        <v>40.0</v>
      </c>
      <c r="R140" s="48">
        <v>2.0</v>
      </c>
      <c r="S140" s="50" t="s">
        <v>166</v>
      </c>
      <c r="T140" s="52" t="s">
        <v>167</v>
      </c>
      <c r="U140" s="52" t="s">
        <v>599</v>
      </c>
      <c r="V140" s="51">
        <v>1.0</v>
      </c>
      <c r="W140" s="48">
        <v>2.0</v>
      </c>
      <c r="X140" s="50" t="s">
        <v>166</v>
      </c>
      <c r="Y140" s="51" t="s">
        <v>166</v>
      </c>
      <c r="Z140" s="48" t="s">
        <v>166</v>
      </c>
      <c r="AA140" s="48" t="s">
        <v>166</v>
      </c>
      <c r="AB140" s="48" t="s">
        <v>166</v>
      </c>
      <c r="AC140" s="48">
        <v>5.0</v>
      </c>
      <c r="AD140" s="48">
        <v>5.0</v>
      </c>
      <c r="AE140" s="48" t="s">
        <v>166</v>
      </c>
      <c r="AF140" s="50" t="s">
        <v>166</v>
      </c>
      <c r="AG140" s="51" t="s">
        <v>166</v>
      </c>
      <c r="AH140" s="51">
        <v>2.0</v>
      </c>
      <c r="AI140" s="48" t="s">
        <v>166</v>
      </c>
      <c r="AJ140" s="50" t="s">
        <v>174</v>
      </c>
      <c r="AK140" s="56" t="s">
        <v>166</v>
      </c>
      <c r="AL140" s="57">
        <v>87.0</v>
      </c>
      <c r="AM140" s="58"/>
      <c r="AN140" s="59"/>
      <c r="AO140" s="60"/>
      <c r="AP140" s="65">
        <v>45071.55443260417</v>
      </c>
      <c r="AQ140" s="66"/>
    </row>
    <row r="141">
      <c r="A141" s="82" t="str">
        <f t="shared" si="9"/>
        <v>Phanteks</v>
      </c>
      <c r="B141" s="62" t="s">
        <v>1562</v>
      </c>
      <c r="C141" s="63" t="s">
        <v>262</v>
      </c>
      <c r="D141" s="48">
        <v>395.0</v>
      </c>
      <c r="E141" s="48">
        <v>230.0</v>
      </c>
      <c r="F141" s="48">
        <v>375.0</v>
      </c>
      <c r="G141" s="49">
        <f t="shared" si="1"/>
        <v>34.06875</v>
      </c>
      <c r="H141" s="49">
        <f t="shared" si="2"/>
        <v>908.5</v>
      </c>
      <c r="I141" s="48">
        <v>6.0</v>
      </c>
      <c r="J141" s="48" t="s">
        <v>597</v>
      </c>
      <c r="K141" s="50" t="s">
        <v>211</v>
      </c>
      <c r="L141" s="51">
        <v>200.0</v>
      </c>
      <c r="M141" s="50" t="s">
        <v>825</v>
      </c>
      <c r="N141" s="51" t="s">
        <v>166</v>
      </c>
      <c r="O141" s="48">
        <v>330.0</v>
      </c>
      <c r="P141" s="48">
        <v>205.0</v>
      </c>
      <c r="Q141" s="48">
        <v>40.0</v>
      </c>
      <c r="R141" s="48">
        <v>2.0</v>
      </c>
      <c r="S141" s="50" t="s">
        <v>166</v>
      </c>
      <c r="T141" s="52" t="s">
        <v>167</v>
      </c>
      <c r="U141" s="52" t="s">
        <v>599</v>
      </c>
      <c r="V141" s="51">
        <v>1.0</v>
      </c>
      <c r="W141" s="48">
        <v>2.0</v>
      </c>
      <c r="X141" s="50" t="s">
        <v>166</v>
      </c>
      <c r="Y141" s="51" t="s">
        <v>166</v>
      </c>
      <c r="Z141" s="48" t="s">
        <v>166</v>
      </c>
      <c r="AA141" s="48" t="s">
        <v>166</v>
      </c>
      <c r="AB141" s="48" t="s">
        <v>166</v>
      </c>
      <c r="AC141" s="48">
        <v>5.0</v>
      </c>
      <c r="AD141" s="48">
        <v>5.0</v>
      </c>
      <c r="AE141" s="48" t="s">
        <v>166</v>
      </c>
      <c r="AF141" s="50" t="s">
        <v>166</v>
      </c>
      <c r="AG141" s="51" t="s">
        <v>166</v>
      </c>
      <c r="AH141" s="51">
        <v>2.0</v>
      </c>
      <c r="AI141" s="48" t="s">
        <v>166</v>
      </c>
      <c r="AJ141" s="50" t="s">
        <v>174</v>
      </c>
      <c r="AK141" s="56" t="s">
        <v>166</v>
      </c>
      <c r="AL141" s="57">
        <v>87.0</v>
      </c>
      <c r="AM141" s="58"/>
      <c r="AN141" s="59"/>
      <c r="AO141" s="60"/>
      <c r="AP141" s="65">
        <v>45071.55445174768</v>
      </c>
      <c r="AQ141" s="66"/>
    </row>
    <row r="142">
      <c r="A142" s="82" t="str">
        <f>HYPERLINK("http://www.jonsbo.com/en/","Jonsbo")</f>
        <v>Jonsbo</v>
      </c>
      <c r="B142" s="62" t="s">
        <v>1563</v>
      </c>
      <c r="C142" s="63" t="s">
        <v>262</v>
      </c>
      <c r="D142" s="48">
        <v>395.0</v>
      </c>
      <c r="E142" s="48">
        <v>205.0</v>
      </c>
      <c r="F142" s="48">
        <v>426.0</v>
      </c>
      <c r="G142" s="49">
        <f t="shared" si="1"/>
        <v>34.49535</v>
      </c>
      <c r="H142" s="49">
        <f t="shared" si="2"/>
        <v>809.75</v>
      </c>
      <c r="I142" s="48" t="s">
        <v>170</v>
      </c>
      <c r="J142" s="48" t="s">
        <v>653</v>
      </c>
      <c r="K142" s="50" t="s">
        <v>1564</v>
      </c>
      <c r="L142" s="51">
        <v>160.0</v>
      </c>
      <c r="M142" s="50" t="s">
        <v>547</v>
      </c>
      <c r="N142" s="51" t="s">
        <v>166</v>
      </c>
      <c r="O142" s="48">
        <v>330.0</v>
      </c>
      <c r="P142" s="48">
        <v>165.0</v>
      </c>
      <c r="Q142" s="48">
        <v>140.0</v>
      </c>
      <c r="R142" s="48">
        <v>7.0</v>
      </c>
      <c r="S142" s="50" t="s">
        <v>166</v>
      </c>
      <c r="T142" s="52" t="s">
        <v>696</v>
      </c>
      <c r="U142" s="52" t="s">
        <v>599</v>
      </c>
      <c r="V142" s="51" t="s">
        <v>193</v>
      </c>
      <c r="W142" s="48" t="s">
        <v>194</v>
      </c>
      <c r="X142" s="50" t="s">
        <v>166</v>
      </c>
      <c r="Y142" s="51" t="s">
        <v>166</v>
      </c>
      <c r="Z142" s="48" t="s">
        <v>166</v>
      </c>
      <c r="AA142" s="48" t="s">
        <v>166</v>
      </c>
      <c r="AB142" s="48" t="s">
        <v>166</v>
      </c>
      <c r="AC142" s="48">
        <v>5.0</v>
      </c>
      <c r="AD142" s="48" t="s">
        <v>166</v>
      </c>
      <c r="AE142" s="48" t="s">
        <v>166</v>
      </c>
      <c r="AF142" s="50" t="s">
        <v>166</v>
      </c>
      <c r="AG142" s="51" t="s">
        <v>166</v>
      </c>
      <c r="AH142" s="51">
        <v>1.0</v>
      </c>
      <c r="AI142" s="48">
        <v>1.0</v>
      </c>
      <c r="AJ142" s="50" t="s">
        <v>174</v>
      </c>
      <c r="AK142" s="56" t="s">
        <v>166</v>
      </c>
      <c r="AL142" s="57" t="s">
        <v>170</v>
      </c>
      <c r="AM142" s="58"/>
      <c r="AN142" s="59"/>
      <c r="AO142" s="60"/>
      <c r="AP142" s="65">
        <v>45071.55448306713</v>
      </c>
      <c r="AQ142" s="66"/>
    </row>
    <row r="143">
      <c r="A143" s="82" t="str">
        <f>HYPERLINK("https://www.fractal-design.com/","Fractal Design")</f>
        <v>Fractal Design</v>
      </c>
      <c r="B143" s="62" t="s">
        <v>1565</v>
      </c>
      <c r="C143" s="63" t="s">
        <v>262</v>
      </c>
      <c r="D143" s="48">
        <v>417.0</v>
      </c>
      <c r="E143" s="48">
        <v>222.0</v>
      </c>
      <c r="F143" s="48">
        <v>374.0</v>
      </c>
      <c r="G143" s="49">
        <f t="shared" si="1"/>
        <v>34.622676</v>
      </c>
      <c r="H143" s="49">
        <f t="shared" si="2"/>
        <v>925.74</v>
      </c>
      <c r="I143" s="48">
        <v>6.0</v>
      </c>
      <c r="J143" s="48" t="s">
        <v>597</v>
      </c>
      <c r="K143" s="50" t="s">
        <v>171</v>
      </c>
      <c r="L143" s="51">
        <v>165.0</v>
      </c>
      <c r="M143" s="50" t="s">
        <v>825</v>
      </c>
      <c r="N143" s="51" t="s">
        <v>166</v>
      </c>
      <c r="O143" s="48">
        <v>335.0</v>
      </c>
      <c r="P143" s="48">
        <v>170.0</v>
      </c>
      <c r="Q143" s="48">
        <v>60.0</v>
      </c>
      <c r="R143" s="48">
        <v>3.0</v>
      </c>
      <c r="S143" s="50" t="s">
        <v>166</v>
      </c>
      <c r="T143" s="52" t="s">
        <v>227</v>
      </c>
      <c r="U143" s="52" t="s">
        <v>599</v>
      </c>
      <c r="V143" s="51" t="s">
        <v>435</v>
      </c>
      <c r="W143" s="48" t="s">
        <v>194</v>
      </c>
      <c r="X143" s="50" t="s">
        <v>166</v>
      </c>
      <c r="Y143" s="51" t="s">
        <v>166</v>
      </c>
      <c r="Z143" s="48" t="s">
        <v>166</v>
      </c>
      <c r="AA143" s="48" t="s">
        <v>166</v>
      </c>
      <c r="AB143" s="48" t="s">
        <v>166</v>
      </c>
      <c r="AC143" s="48" t="s">
        <v>300</v>
      </c>
      <c r="AD143" s="48" t="s">
        <v>278</v>
      </c>
      <c r="AE143" s="48" t="s">
        <v>194</v>
      </c>
      <c r="AF143" s="50" t="s">
        <v>166</v>
      </c>
      <c r="AG143" s="51" t="s">
        <v>166</v>
      </c>
      <c r="AH143" s="51">
        <v>2.0</v>
      </c>
      <c r="AI143" s="48">
        <v>1.0</v>
      </c>
      <c r="AJ143" s="50" t="s">
        <v>174</v>
      </c>
      <c r="AK143" s="56" t="s">
        <v>166</v>
      </c>
      <c r="AL143" s="57">
        <v>119.99</v>
      </c>
      <c r="AM143" s="58"/>
      <c r="AN143" s="59"/>
      <c r="AO143" s="60"/>
      <c r="AP143" s="65">
        <v>45071.554588032406</v>
      </c>
      <c r="AQ143" s="66"/>
    </row>
    <row r="144">
      <c r="A144" s="82" t="str">
        <f>HYPERLINK("https://www.in-win.com/","InWin")</f>
        <v>InWin</v>
      </c>
      <c r="B144" s="62" t="s">
        <v>859</v>
      </c>
      <c r="C144" s="63" t="s">
        <v>262</v>
      </c>
      <c r="D144" s="48">
        <v>399.0</v>
      </c>
      <c r="E144" s="48">
        <v>215.0</v>
      </c>
      <c r="F144" s="48">
        <v>407.0</v>
      </c>
      <c r="G144" s="49">
        <f t="shared" si="1"/>
        <v>34.914495</v>
      </c>
      <c r="H144" s="49">
        <f t="shared" si="2"/>
        <v>857.85</v>
      </c>
      <c r="I144" s="48">
        <v>5.86</v>
      </c>
      <c r="J144" s="48" t="s">
        <v>597</v>
      </c>
      <c r="K144" s="50" t="s">
        <v>1167</v>
      </c>
      <c r="L144" s="51">
        <v>162.0</v>
      </c>
      <c r="M144" s="50" t="s">
        <v>547</v>
      </c>
      <c r="N144" s="51" t="s">
        <v>166</v>
      </c>
      <c r="O144" s="48">
        <v>340.0</v>
      </c>
      <c r="P144" s="48">
        <v>167.0</v>
      </c>
      <c r="Q144" s="48">
        <v>140.0</v>
      </c>
      <c r="R144" s="48">
        <v>7.0</v>
      </c>
      <c r="S144" s="50" t="s">
        <v>166</v>
      </c>
      <c r="T144" s="52" t="s">
        <v>1566</v>
      </c>
      <c r="U144" s="52" t="s">
        <v>599</v>
      </c>
      <c r="V144" s="51" t="s">
        <v>416</v>
      </c>
      <c r="W144" s="48" t="s">
        <v>193</v>
      </c>
      <c r="X144" s="50" t="s">
        <v>166</v>
      </c>
      <c r="Y144" s="51" t="s">
        <v>166</v>
      </c>
      <c r="Z144" s="48" t="s">
        <v>166</v>
      </c>
      <c r="AA144" s="48" t="s">
        <v>166</v>
      </c>
      <c r="AB144" s="48" t="s">
        <v>166</v>
      </c>
      <c r="AC144" s="48">
        <v>5.0</v>
      </c>
      <c r="AD144" s="48" t="s">
        <v>166</v>
      </c>
      <c r="AE144" s="48" t="s">
        <v>166</v>
      </c>
      <c r="AF144" s="50" t="s">
        <v>166</v>
      </c>
      <c r="AG144" s="51" t="s">
        <v>166</v>
      </c>
      <c r="AH144" s="51">
        <v>2.0</v>
      </c>
      <c r="AI144" s="48">
        <v>1.0</v>
      </c>
      <c r="AJ144" s="50" t="s">
        <v>174</v>
      </c>
      <c r="AK144" s="56" t="s">
        <v>166</v>
      </c>
      <c r="AL144" s="57">
        <v>105.0</v>
      </c>
      <c r="AM144" s="58"/>
      <c r="AN144" s="59"/>
      <c r="AO144" s="60"/>
      <c r="AP144" s="65">
        <v>45071.554625254634</v>
      </c>
      <c r="AQ144" s="66"/>
    </row>
    <row r="145">
      <c r="A145" s="161" t="str">
        <f>HYPERLINK("http://www.yeston.net/index/index/english","Yeston")</f>
        <v>Yeston</v>
      </c>
      <c r="B145" s="96" t="s">
        <v>1567</v>
      </c>
      <c r="C145" s="63" t="s">
        <v>262</v>
      </c>
      <c r="D145" s="48">
        <v>381.0</v>
      </c>
      <c r="E145" s="48">
        <v>326.0</v>
      </c>
      <c r="F145" s="48">
        <v>285.0</v>
      </c>
      <c r="G145" s="49">
        <f t="shared" si="1"/>
        <v>35.39871</v>
      </c>
      <c r="H145" s="49">
        <f t="shared" si="2"/>
        <v>1242.06</v>
      </c>
      <c r="I145" s="48" t="s">
        <v>170</v>
      </c>
      <c r="J145" s="48" t="s">
        <v>597</v>
      </c>
      <c r="K145" s="50" t="s">
        <v>164</v>
      </c>
      <c r="L145" s="51">
        <v>120.0</v>
      </c>
      <c r="M145" s="50" t="s">
        <v>547</v>
      </c>
      <c r="N145" s="51" t="s">
        <v>166</v>
      </c>
      <c r="O145" s="48">
        <v>340.0</v>
      </c>
      <c r="P145" s="48">
        <v>125.0</v>
      </c>
      <c r="Q145" s="48">
        <v>80.0</v>
      </c>
      <c r="R145" s="48">
        <v>4.0</v>
      </c>
      <c r="S145" s="50" t="s">
        <v>166</v>
      </c>
      <c r="T145" s="52" t="s">
        <v>423</v>
      </c>
      <c r="U145" s="52" t="s">
        <v>599</v>
      </c>
      <c r="V145" s="51">
        <v>3.0</v>
      </c>
      <c r="W145" s="48" t="s">
        <v>166</v>
      </c>
      <c r="X145" s="50" t="s">
        <v>166</v>
      </c>
      <c r="Y145" s="51" t="s">
        <v>166</v>
      </c>
      <c r="Z145" s="48" t="s">
        <v>166</v>
      </c>
      <c r="AA145" s="48" t="s">
        <v>166</v>
      </c>
      <c r="AB145" s="48" t="s">
        <v>166</v>
      </c>
      <c r="AC145" s="48">
        <v>2.0</v>
      </c>
      <c r="AD145" s="48" t="s">
        <v>166</v>
      </c>
      <c r="AE145" s="48" t="s">
        <v>166</v>
      </c>
      <c r="AF145" s="50" t="s">
        <v>166</v>
      </c>
      <c r="AG145" s="51" t="s">
        <v>166</v>
      </c>
      <c r="AH145" s="51">
        <v>2.0</v>
      </c>
      <c r="AI145" s="48" t="s">
        <v>166</v>
      </c>
      <c r="AJ145" s="50" t="s">
        <v>174</v>
      </c>
      <c r="AK145" s="56">
        <v>799.0</v>
      </c>
      <c r="AL145" s="57">
        <f>AK145*Sheets!$E$3</f>
        <v>110.1385545</v>
      </c>
      <c r="AM145" s="58"/>
      <c r="AN145" s="59"/>
      <c r="AO145" s="60" t="s">
        <v>181</v>
      </c>
      <c r="AP145" s="65">
        <v>45071.55465701389</v>
      </c>
      <c r="AQ145" s="66"/>
    </row>
    <row r="146">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135"/>
      <c r="AO146" s="135"/>
      <c r="AP146" s="135"/>
      <c r="AQ146" s="45"/>
    </row>
    <row r="147">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135"/>
      <c r="AO147" s="135"/>
      <c r="AP147" s="135"/>
      <c r="AQ147" s="45"/>
    </row>
    <row r="148">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135"/>
      <c r="AO148" s="135"/>
      <c r="AP148" s="135"/>
      <c r="AQ148" s="45"/>
    </row>
    <row r="149">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135"/>
      <c r="AO149" s="135"/>
      <c r="AP149" s="135"/>
      <c r="AQ149" s="45"/>
    </row>
    <row r="150">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135"/>
      <c r="AO150" s="135"/>
      <c r="AP150" s="135"/>
      <c r="AQ150" s="45"/>
    </row>
    <row r="15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135"/>
      <c r="AO151" s="135"/>
      <c r="AP151" s="135"/>
      <c r="AQ151" s="45"/>
    </row>
    <row r="152">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135"/>
      <c r="AO152" s="135"/>
      <c r="AP152" s="135"/>
      <c r="AQ152" s="45"/>
    </row>
    <row r="153">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135"/>
      <c r="AO153" s="135"/>
      <c r="AP153" s="135"/>
      <c r="AQ153" s="45"/>
    </row>
    <row r="154">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135"/>
      <c r="AO154" s="135"/>
      <c r="AP154" s="135"/>
      <c r="AQ154" s="45"/>
    </row>
    <row r="155">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135"/>
      <c r="AO155" s="135"/>
      <c r="AP155" s="135"/>
      <c r="AQ155" s="45"/>
    </row>
  </sheetData>
  <autoFilter ref="$A$1:$AP$155">
    <sortState ref="A1:AP155">
      <sortCondition ref="G1:G155"/>
      <sortCondition ref="B1:B155"/>
    </sortState>
  </autoFilter>
  <customSheetViews>
    <customSheetView guid="{95B6A7BE-A6BB-4946-92BF-A852DAF0DC4C}" filter="1" showAutoFilter="1">
      <autoFilter ref="$A$1:$AP$155">
        <sortState ref="A1:AP155">
          <sortCondition ref="A1:A155"/>
          <sortCondition ref="B1:B155"/>
        </sortState>
      </autoFilter>
    </customSheetView>
    <customSheetView guid="{C7AA6BBB-15F6-4206-AB68-B255A886B380}" filter="1" showAutoFilter="1">
      <autoFilter ref="$A$1:$AP$155">
        <filterColumn colId="2">
          <filters blank="1">
            <filter val="Console"/>
          </filters>
        </filterColumn>
      </autoFilter>
    </customSheetView>
    <customSheetView guid="{48ACB338-AEF2-4CEA-A478-03DC5A51C0A7}" filter="1" showAutoFilter="1">
      <autoFilter ref="$A$1:$AP$155">
        <sortState ref="A1:AP155">
          <sortCondition ref="L1:L155"/>
        </sortState>
      </autoFilter>
    </customSheetView>
    <customSheetView guid="{F1A7CD4E-438F-44EC-8840-87ADAE74067A}" filter="1" showAutoFilter="1">
      <autoFilter ref="$A$1:$AP$155">
        <filterColumn colId="19">
          <filters blank="1">
            <filter val="mITX / mDTX / mATX / ATX"/>
            <filter val="mITX / mDTX / mATX / ATX / E-ATX (305x296)"/>
            <filter val="mITX / mATX / ATX / E-ATX (305x279)"/>
            <filter val="mITX / mATX / ATX / E-ATX (315x315)"/>
            <filter val="mITX / mATX / ATX / SSI-EEB"/>
            <filter val="mITX / mATX / ATX / SSI-CEB"/>
            <filter val="mITX / mATX / ATX"/>
          </filters>
        </filterColumn>
      </autoFilter>
    </customSheetView>
    <customSheetView guid="{B152A8EF-5B19-461B-A4DF-BD42DF2C558C}" filter="1" showAutoFilter="1">
      <autoFilter ref="$A$1:$AP$155">
        <sortState ref="A1:AP155">
          <sortCondition ref="O1:O155"/>
        </sortState>
      </autoFilter>
    </customSheetView>
    <customSheetView guid="{88FC762E-79C0-4110-B706-61516F679340}" filter="1" showAutoFilter="1">
      <autoFilter ref="$A$1:$AP$145">
        <filterColumn colId="2">
          <filters>
            <filter val="NAS"/>
          </filters>
        </filterColumn>
      </autoFilter>
    </customSheetView>
    <customSheetView guid="{CDD9237C-13C3-4F3F-8D7B-B6AA897D820D}" filter="1" showAutoFilter="1">
      <autoFilter ref="$A$1:$AP$155">
        <filterColumn colId="2">
          <filters blank="1">
            <filter val="Sandwich"/>
          </filters>
        </filterColumn>
      </autoFilter>
    </customSheetView>
    <customSheetView guid="{2484191D-7B0A-413B-A550-5C733AC9516C}" filter="1" showAutoFilter="1">
      <autoFilter ref="$A$1:$AP$155">
        <filterColumn colId="20">
          <filters blank="1">
            <filter val="Flex ATX / 1U / SFX / SFX-L"/>
          </filters>
        </filterColumn>
      </autoFilter>
    </customSheetView>
    <customSheetView guid="{81DD85A5-2E82-48BA-B9ED-4F36F72F5E64}" filter="1" showAutoFilter="1">
      <autoFilter ref="$A$1:$AP$155">
        <filterColumn colId="0">
          <colorFilter dxfId="1"/>
        </filterColumn>
      </autoFilter>
    </customSheetView>
    <customSheetView guid="{F31AF662-1F25-48F6-9471-08511ECB3617}" filter="1" showAutoFilter="1">
      <autoFilter ref="$A$1:$AP$155">
        <filterColumn colId="12">
          <filters blank="1">
            <filter val="120 / 240 / 360"/>
            <filter val="120 + 140"/>
            <filter val="120 / 140 / 240 / 280"/>
            <filter val="120 / 240 / 280 / 360"/>
            <filter val="120 / 140 / 240 / 280 / 240 + 280"/>
            <filter val="140 / 280"/>
            <filter val="2 x 120"/>
            <filter val="120 +240"/>
            <filter val="2 x 280"/>
            <filter val="120 / 140 / 240 / 2 x 240"/>
            <filter val="120 / 140 / 240"/>
            <filter val="120 / 140 / 240 / 2x240 / 280 / 360 / 2x360"/>
            <filter val="120"/>
            <filter val="120 + 240"/>
            <filter val="120 / 140 / 240 / 280 / 360"/>
            <filter val="120 / 140 / 240 / 280 / 360 / 2 x 360"/>
            <filter val="120 / 240 / 2 x 240"/>
            <filter val="120 / 240"/>
            <filter val="120 / 140"/>
            <filter val="120 / 240 / 4 x 240"/>
            <filter val="120 / 240 / 360 / 2 x 360"/>
          </filters>
        </filterColumn>
      </autoFilter>
    </customSheetView>
    <customSheetView guid="{61CD0F28-96E8-474C-ABBF-9901ED68A1BC}" filter="1" showAutoFilter="1">
      <autoFilter ref="$A$1:$AP$155">
        <filterColumn colId="2">
          <filters blank="1">
            <filter val="Open"/>
          </filters>
        </filterColumn>
      </autoFilter>
    </customSheetView>
    <customSheetView guid="{28C3112D-2CD6-440B-BC19-0A060A536CDB}" filter="1" showAutoFilter="1">
      <autoFilter ref="$A$1:$AP$155">
        <filterColumn colId="23">
          <filters blank="1">
            <filter val="1"/>
            <filter val="2"/>
            <filter val="1 (Slim)"/>
            <filter val="1 (Slot)"/>
            <filter val="0 to 1"/>
          </filters>
        </filterColumn>
      </autoFilter>
    </customSheetView>
    <customSheetView guid="{61FEFDD9-F7E8-4415-9F6B-976341A7522D}" filter="1" showAutoFilter="1">
      <autoFilter ref="$A$1:$AP$155">
        <filterColumn colId="0">
          <colorFilter dxfId="2"/>
        </filterColumn>
      </autoFilter>
    </customSheetView>
    <customSheetView guid="{7FF0FC83-E9C3-4BCE-A08B-F9686655C4B2}" filter="1" showAutoFilter="1">
      <autoFilter ref="$A$1:$AP$155">
        <filterColumn colId="20">
          <filters blank="1">
            <filter val="SFX / SFX-L"/>
            <filter val="SFX / SFX-L / ATX"/>
            <filter val="SFX"/>
            <filter val="Flex ATX / 1U / SFX / SFX-L"/>
            <filter val="SFX / ATX"/>
          </filters>
        </filterColumn>
      </autoFilter>
    </customSheetView>
    <customSheetView guid="{9985519A-4597-48DE-9723-C221FE8383EA}" filter="1" showAutoFilter="1">
      <autoFilter ref="$A$1:$AP$155">
        <sortState ref="A1:AP155">
          <sortCondition ref="AL1:AL155"/>
        </sortState>
      </autoFilter>
    </customSheetView>
    <customSheetView guid="{45ECD915-252B-42EC-8227-F70214CF4F09}" filter="1" showAutoFilter="1">
      <autoFilter ref="$A$1:$AP$145">
        <sortState ref="A1:AP145">
          <sortCondition descending="1" ref="AP1:AP145"/>
        </sortState>
      </autoFilter>
    </customSheetView>
    <customSheetView guid="{D6F75E10-0D2A-4FD9-964F-8A11EEFA879B}" filter="1" showAutoFilter="1">
      <autoFilter ref="$A$1:$AP$155">
        <filterColumn colId="2">
          <filters blank="1">
            <filter val="Classic"/>
          </filters>
        </filterColumn>
      </autoFilter>
    </customSheetView>
    <customSheetView guid="{7C5C71AA-26D2-4268-85C6-0349FEE33C6D}" filter="1" showAutoFilter="1">
      <autoFilter ref="$A$1:$AP$155">
        <filterColumn colId="22">
          <filters blank="1">
            <filter val="5 to 12"/>
            <filter val="0 to 5"/>
            <filter val="0 to 8"/>
            <filter val="1 to 2"/>
            <filter val="2 to 7"/>
            <filter val="1 to 3"/>
            <filter val="1"/>
            <filter val="2"/>
            <filter val="3"/>
            <filter val="4"/>
            <filter val="1 to 6"/>
            <filter val="2 to 3"/>
            <filter val="8"/>
            <filter val="9"/>
            <filter val="0 to 2"/>
            <filter val="3 to 4"/>
            <filter val="0 to 1"/>
            <filter val="2 to 10"/>
            <filter val="0 to 4"/>
            <filter val="0 to 3"/>
          </filters>
        </filterColumn>
      </autoFilter>
    </customSheetView>
    <customSheetView guid="{ABF8B830-2BA9-4A62-A609-3F1E063D1EE0}" filter="1" showAutoFilter="1">
      <autoFilter ref="$A$1:$AP$155">
        <filterColumn colId="20">
          <filters blank="1">
            <filter val="SFX / SFX-L / ATX"/>
            <filter val="ATX"/>
            <filter val="Flex ATX / 1U / SFX / SFX-L"/>
            <filter val="SFX / ATX"/>
          </filters>
        </filterColumn>
      </autoFilter>
    </customSheetView>
    <customSheetView guid="{82CCCB4E-F596-49FC-A800-37DE1380F4DB}" filter="1" showAutoFilter="1">
      <autoFilter ref="$A$1:$AP$155">
        <filterColumn colId="19">
          <filters blank="1">
            <filter val="mITX / mDTX / mATX / ATX"/>
            <filter val="mITX / mDTX / mATX / ATX / E-ATX (305x296)"/>
            <filter val="mITX / mATX / ATX / E-ATX (305x279)"/>
            <filter val="mITX / mATX (245x225)"/>
            <filter val="mITX / mATX / ATX / E-ATX (315x315)"/>
            <filter val="mITX / mATX / ATX / SSI-EEB"/>
            <filter val="mITX / mATX / ATX / SSI-CEB"/>
            <filter val="mITX / mATX"/>
            <filter val="mITX / mATX / ATX"/>
            <filter val="mITX / mDTX / mATX"/>
          </filters>
        </filterColumn>
      </autoFilter>
    </customSheetView>
    <customSheetView guid="{234F1DF1-E232-487E-B11C-9FE2199D5CFE}" filter="1" showAutoFilter="1">
      <autoFilter ref="$A$1:$AP$155"/>
    </customSheetView>
    <customSheetView guid="{E0EC73E7-92F2-4465-82D0-44EFB849A444}" filter="1" showAutoFilter="1">
      <autoFilter ref="$A$1:$AP$155">
        <filterColumn colId="20">
          <filters blank="1">
            <filter val="Flex ATX / 1U / SFX / SFX-L"/>
          </filters>
        </filterColumn>
      </autoFilter>
    </customSheetView>
  </customSheetViews>
  <conditionalFormatting sqref="G2:G145">
    <cfRule type="colorScale" priority="1">
      <colorScale>
        <cfvo type="min"/>
        <cfvo type="percentile" val="50"/>
        <cfvo type="formula" val="30"/>
        <color rgb="FF57BB8A"/>
        <color rgb="FFFFD666"/>
        <color rgb="FFCC4125"/>
      </colorScale>
    </cfRule>
  </conditionalFormatting>
  <conditionalFormatting sqref="H2:H145">
    <cfRule type="colorScale" priority="2">
      <colorScale>
        <cfvo type="min"/>
        <cfvo type="percentile" val="50"/>
        <cfvo type="max"/>
        <color rgb="FF57BB8A"/>
        <color rgb="FFFFD666"/>
        <color rgb="FFE67C73"/>
      </colorScale>
    </cfRule>
  </conditionalFormatting>
  <conditionalFormatting sqref="L2:L145">
    <cfRule type="colorScale" priority="3">
      <colorScale>
        <cfvo type="formula" val="30"/>
        <cfvo type="formula" val="135"/>
        <cfvo type="formula" val="165"/>
        <color rgb="FFE67C73"/>
        <color rgb="FFFFD666"/>
        <color rgb="FF57BB8A"/>
      </colorScale>
    </cfRule>
  </conditionalFormatting>
  <conditionalFormatting sqref="O2:O145">
    <cfRule type="colorScale" priority="4">
      <colorScale>
        <cfvo type="formula" val="170"/>
        <cfvo type="formula" val="270"/>
        <cfvo type="formula" val="350"/>
        <color rgb="FFE67C73"/>
        <color rgb="FFFFD666"/>
        <color rgb="FF57BB8A"/>
      </colorScale>
    </cfRule>
  </conditionalFormatting>
  <conditionalFormatting sqref="P2:P145">
    <cfRule type="colorScale" priority="5">
      <colorScale>
        <cfvo type="min"/>
        <cfvo type="percentile" val="50"/>
        <cfvo type="max"/>
        <color rgb="FFE67C73"/>
        <color rgb="FFFFD666"/>
        <color rgb="FF57BB8A"/>
      </colorScale>
    </cfRule>
  </conditionalFormatting>
  <conditionalFormatting sqref="Q2:Q145">
    <cfRule type="colorScale" priority="6">
      <colorScale>
        <cfvo type="formula" val="20"/>
        <cfvo type="formula" val="40"/>
        <cfvo type="formula" val="60"/>
        <color rgb="FFE67C73"/>
        <color rgb="FFFFD666"/>
        <color rgb="FF57BB8A"/>
      </colorScale>
    </cfRule>
  </conditionalFormatting>
  <conditionalFormatting sqref="R2:S145">
    <cfRule type="colorScale" priority="7">
      <colorScale>
        <cfvo type="min"/>
        <cfvo type="percentile" val="50"/>
        <cfvo type="max"/>
        <color rgb="FFE67C73"/>
        <color rgb="FFFFD666"/>
        <color rgb="FF57BB8A"/>
      </colorScale>
    </cfRule>
  </conditionalFormatting>
  <conditionalFormatting sqref="AK2:AK145">
    <cfRule type="colorScale" priority="8">
      <colorScale>
        <cfvo type="min"/>
        <cfvo type="percentile" val="50"/>
        <cfvo type="max"/>
        <color rgb="FF57BB8A"/>
        <color rgb="FFFFD666"/>
        <color rgb="FFE67C73"/>
      </colorScale>
    </cfRule>
  </conditionalFormatting>
  <conditionalFormatting sqref="AL2:AL145">
    <cfRule type="colorScale" priority="9">
      <colorScale>
        <cfvo type="min"/>
        <cfvo type="percentile" val="50"/>
        <cfvo type="max"/>
        <color rgb="FF57BB8A"/>
        <color rgb="FFFFD666"/>
        <color rgb="FFE67C73"/>
      </colorScale>
    </cfRule>
  </conditionalFormatting>
  <conditionalFormatting sqref="I2:I145">
    <cfRule type="colorScale" priority="10">
      <colorScale>
        <cfvo type="min"/>
        <cfvo type="percentile" val="50"/>
        <cfvo type="formula" val="6"/>
        <color rgb="FF57BB8A"/>
        <color rgb="FFFFD666"/>
        <color rgb="FFE67C73"/>
      </colorScale>
    </cfRule>
  </conditionalFormatting>
  <conditionalFormatting sqref="N2:N145">
    <cfRule type="cellIs" dxfId="3" priority="11" operator="equal">
      <formula>"Y"</formula>
    </cfRule>
  </conditionalFormatting>
  <conditionalFormatting sqref="AJ2:AJ145">
    <cfRule type="cellIs" dxfId="3" priority="12" operator="equal">
      <formula>"Y"</formula>
    </cfRule>
  </conditionalFormatting>
  <hyperlinks>
    <hyperlink r:id="rId2" ref="A2"/>
    <hyperlink r:id="rId3" ref="B2"/>
    <hyperlink r:id="rId4" ref="A3"/>
    <hyperlink r:id="rId5" ref="B3"/>
    <hyperlink r:id="rId6" ref="A4"/>
    <hyperlink r:id="rId7" ref="B4"/>
    <hyperlink r:id="rId8" ref="A5"/>
    <hyperlink r:id="rId9" ref="A6"/>
    <hyperlink r:id="rId10" ref="B6"/>
    <hyperlink r:id="rId11" ref="A7"/>
    <hyperlink r:id="rId12" ref="B7"/>
    <hyperlink r:id="rId13" ref="B8"/>
    <hyperlink r:id="rId14" ref="B9"/>
    <hyperlink r:id="rId15" ref="B11"/>
    <hyperlink r:id="rId16" ref="A12"/>
    <hyperlink r:id="rId17" ref="B12"/>
    <hyperlink r:id="rId18" ref="B13"/>
    <hyperlink r:id="rId19" ref="A14"/>
    <hyperlink r:id="rId20" ref="B14"/>
    <hyperlink r:id="rId21" ref="B16"/>
    <hyperlink r:id="rId22" ref="B17"/>
    <hyperlink r:id="rId23" ref="A18"/>
    <hyperlink r:id="rId24" ref="B18"/>
    <hyperlink r:id="rId25" ref="B19"/>
    <hyperlink r:id="rId26" ref="A20"/>
    <hyperlink r:id="rId27" ref="A21"/>
    <hyperlink r:id="rId28" ref="B22"/>
    <hyperlink r:id="rId29" ref="B25"/>
    <hyperlink r:id="rId30" ref="A26"/>
    <hyperlink r:id="rId31" ref="A28"/>
    <hyperlink r:id="rId32" ref="B28"/>
    <hyperlink r:id="rId33" ref="B30"/>
    <hyperlink r:id="rId34" ref="B31"/>
    <hyperlink r:id="rId35" ref="B32"/>
    <hyperlink r:id="rId36" ref="A33"/>
    <hyperlink r:id="rId37" ref="B33"/>
    <hyperlink r:id="rId38" ref="A34"/>
    <hyperlink r:id="rId39" ref="B34"/>
    <hyperlink r:id="rId40" ref="B35"/>
    <hyperlink r:id="rId41" ref="A36"/>
    <hyperlink r:id="rId42" ref="B36"/>
    <hyperlink r:id="rId43" ref="A40"/>
    <hyperlink r:id="rId44" ref="A41"/>
    <hyperlink r:id="rId45" ref="B41"/>
    <hyperlink r:id="rId46" ref="A42"/>
    <hyperlink r:id="rId47" ref="B43"/>
    <hyperlink r:id="rId48" ref="B44"/>
    <hyperlink r:id="rId49" ref="B45"/>
    <hyperlink r:id="rId50" ref="A46"/>
    <hyperlink r:id="rId51" ref="B46"/>
    <hyperlink r:id="rId52" ref="B47"/>
    <hyperlink r:id="rId53" ref="B48"/>
    <hyperlink r:id="rId54" ref="A50"/>
    <hyperlink r:id="rId55" ref="A51"/>
    <hyperlink r:id="rId56" ref="A52"/>
    <hyperlink r:id="rId57" ref="B53"/>
    <hyperlink r:id="rId58" ref="AN53"/>
    <hyperlink r:id="rId59" ref="A54"/>
    <hyperlink r:id="rId60" ref="A55"/>
    <hyperlink r:id="rId61" ref="B55"/>
    <hyperlink r:id="rId62" ref="A56"/>
    <hyperlink r:id="rId63" ref="B56"/>
    <hyperlink r:id="rId64" ref="A58"/>
    <hyperlink r:id="rId65" ref="B58"/>
    <hyperlink r:id="rId66" ref="A59"/>
    <hyperlink r:id="rId67" ref="B59"/>
    <hyperlink r:id="rId68" ref="A60"/>
    <hyperlink r:id="rId69" ref="B60"/>
    <hyperlink r:id="rId70" ref="A61"/>
    <hyperlink r:id="rId71" ref="B61"/>
    <hyperlink r:id="rId72" ref="A62"/>
    <hyperlink r:id="rId73" ref="B63"/>
    <hyperlink r:id="rId74" ref="A64"/>
    <hyperlink r:id="rId75" ref="B64"/>
    <hyperlink r:id="rId76" ref="A65"/>
    <hyperlink r:id="rId77" ref="B65"/>
    <hyperlink r:id="rId78" ref="A66"/>
    <hyperlink r:id="rId79" ref="B66"/>
    <hyperlink r:id="rId80" ref="A67"/>
    <hyperlink r:id="rId81" ref="B67"/>
    <hyperlink r:id="rId82" ref="A68"/>
    <hyperlink r:id="rId83" ref="B68"/>
    <hyperlink r:id="rId84" ref="B69"/>
    <hyperlink r:id="rId85" ref="A71"/>
    <hyperlink r:id="rId86" ref="B71"/>
    <hyperlink r:id="rId87" ref="A72"/>
    <hyperlink r:id="rId88" ref="B72"/>
    <hyperlink r:id="rId89" ref="A73"/>
    <hyperlink r:id="rId90" ref="B73"/>
    <hyperlink r:id="rId91" ref="B75"/>
    <hyperlink r:id="rId92" ref="A76"/>
    <hyperlink r:id="rId93" ref="B76"/>
    <hyperlink r:id="rId94" ref="A77"/>
    <hyperlink r:id="rId95" ref="B77"/>
    <hyperlink r:id="rId96" ref="B78"/>
    <hyperlink r:id="rId97" ref="A79"/>
    <hyperlink r:id="rId98" ref="B79"/>
    <hyperlink r:id="rId99" ref="A80"/>
    <hyperlink r:id="rId100" ref="B80"/>
    <hyperlink r:id="rId101" ref="A81"/>
    <hyperlink r:id="rId102" ref="B81"/>
    <hyperlink r:id="rId103" ref="A82"/>
    <hyperlink r:id="rId104" ref="B82"/>
    <hyperlink r:id="rId105" ref="A83"/>
    <hyperlink r:id="rId106" ref="B83"/>
    <hyperlink r:id="rId107" ref="B84"/>
    <hyperlink r:id="rId108" ref="A85"/>
    <hyperlink r:id="rId109" ref="B85"/>
    <hyperlink r:id="rId110" ref="A86"/>
    <hyperlink r:id="rId111" ref="B86"/>
    <hyperlink r:id="rId112" ref="B87"/>
    <hyperlink r:id="rId113" ref="A90"/>
    <hyperlink r:id="rId114" ref="B90"/>
    <hyperlink r:id="rId115" ref="A93"/>
    <hyperlink r:id="rId116" ref="A94"/>
    <hyperlink r:id="rId117" ref="B94"/>
    <hyperlink r:id="rId118" ref="A95"/>
    <hyperlink r:id="rId119" ref="B95"/>
    <hyperlink r:id="rId120" ref="A96"/>
    <hyperlink r:id="rId121" ref="B96"/>
    <hyperlink r:id="rId122" ref="A97"/>
    <hyperlink r:id="rId123" ref="B97"/>
    <hyperlink r:id="rId124" ref="A99"/>
    <hyperlink r:id="rId125" ref="B99"/>
    <hyperlink r:id="rId126" ref="A100"/>
    <hyperlink r:id="rId127" ref="B100"/>
    <hyperlink r:id="rId128" ref="A101"/>
    <hyperlink r:id="rId129" ref="B101"/>
    <hyperlink r:id="rId130" ref="B102"/>
    <hyperlink r:id="rId131" ref="AN103"/>
    <hyperlink r:id="rId132" ref="A104"/>
    <hyperlink r:id="rId133" ref="B104"/>
    <hyperlink r:id="rId134" ref="B105"/>
    <hyperlink r:id="rId135" ref="B106"/>
    <hyperlink r:id="rId136" ref="B107"/>
    <hyperlink r:id="rId137" ref="A108"/>
    <hyperlink r:id="rId138" ref="B108"/>
    <hyperlink r:id="rId139" ref="A109"/>
    <hyperlink r:id="rId140" ref="B109"/>
    <hyperlink r:id="rId141" ref="B110"/>
    <hyperlink r:id="rId142" ref="A115"/>
    <hyperlink r:id="rId143" ref="B115"/>
    <hyperlink r:id="rId144" ref="A116"/>
    <hyperlink r:id="rId145" ref="B116"/>
    <hyperlink r:id="rId146" ref="A117"/>
    <hyperlink r:id="rId147" ref="B117"/>
    <hyperlink r:id="rId148" ref="B118"/>
    <hyperlink r:id="rId149" ref="B120"/>
    <hyperlink r:id="rId150" ref="B121"/>
    <hyperlink r:id="rId151" ref="B122"/>
    <hyperlink r:id="rId152" ref="B123"/>
    <hyperlink r:id="rId153" ref="A124"/>
    <hyperlink r:id="rId154" ref="B124"/>
    <hyperlink r:id="rId155" ref="A126"/>
    <hyperlink r:id="rId156" ref="B126"/>
    <hyperlink r:id="rId157" ref="A127"/>
    <hyperlink r:id="rId158" ref="B127"/>
    <hyperlink r:id="rId159" ref="B128"/>
    <hyperlink r:id="rId160" ref="A129"/>
    <hyperlink r:id="rId161" ref="B129"/>
    <hyperlink r:id="rId162" ref="B130"/>
    <hyperlink r:id="rId163" ref="B131"/>
    <hyperlink r:id="rId164" ref="A132"/>
    <hyperlink r:id="rId165" ref="B132"/>
    <hyperlink r:id="rId166" ref="B133"/>
    <hyperlink r:id="rId167" ref="A134"/>
    <hyperlink r:id="rId168" ref="B134"/>
    <hyperlink r:id="rId169" ref="B135"/>
    <hyperlink r:id="rId170" ref="B136"/>
    <hyperlink r:id="rId171" ref="A137"/>
    <hyperlink r:id="rId172" ref="B137"/>
    <hyperlink r:id="rId173" ref="A138"/>
    <hyperlink r:id="rId174" ref="B138"/>
    <hyperlink r:id="rId175" ref="B140"/>
    <hyperlink r:id="rId176" ref="B141"/>
    <hyperlink r:id="rId177" ref="B142"/>
    <hyperlink r:id="rId178" ref="B143"/>
    <hyperlink r:id="rId179" ref="B144"/>
  </hyperlinks>
  <drawing r:id="rId180"/>
  <legacyDrawing r:id="rId18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9.75"/>
    <col customWidth="1" min="2" max="2" width="23.13"/>
  </cols>
  <sheetData>
    <row r="1">
      <c r="A1" s="162" t="s">
        <v>1568</v>
      </c>
    </row>
    <row r="2">
      <c r="A2" s="163" t="s">
        <v>1569</v>
      </c>
      <c r="B2" s="164" t="s">
        <v>1570</v>
      </c>
    </row>
    <row r="3">
      <c r="A3" s="163" t="s">
        <v>1571</v>
      </c>
      <c r="B3" s="164" t="s">
        <v>1572</v>
      </c>
    </row>
    <row r="4">
      <c r="A4" s="163" t="s">
        <v>1573</v>
      </c>
      <c r="B4" s="165" t="s">
        <v>1574</v>
      </c>
    </row>
    <row r="5">
      <c r="A5" s="163" t="s">
        <v>1575</v>
      </c>
      <c r="B5" s="164" t="s">
        <v>1576</v>
      </c>
    </row>
    <row r="6">
      <c r="A6" s="163" t="s">
        <v>1577</v>
      </c>
      <c r="B6" s="164" t="s">
        <v>1578</v>
      </c>
    </row>
  </sheetData>
  <hyperlinks>
    <hyperlink r:id="rId1" ref="B2"/>
    <hyperlink r:id="rId2" ref="B3"/>
    <hyperlink r:id="rId3" ref="B4"/>
    <hyperlink r:id="rId4" ref="B5"/>
    <hyperlink r:id="rId5" ref="B6"/>
  </hyperlinks>
  <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75"/>
    <col customWidth="1" min="2" max="2" width="22.88"/>
    <col customWidth="1" min="3" max="3" width="10.38"/>
    <col customWidth="1" min="4" max="7" width="5.63"/>
    <col customWidth="1" min="8" max="8" width="6.38"/>
    <col customWidth="1" min="9" max="10" width="5.63"/>
    <col customWidth="1" min="11" max="11" width="7.0"/>
    <col customWidth="1" min="12" max="12" width="5.63"/>
    <col customWidth="1" min="13" max="13" width="11.63"/>
    <col customWidth="1" min="14" max="24" width="5.63"/>
    <col customWidth="1" min="25" max="25" width="25.5"/>
  </cols>
  <sheetData>
    <row r="1" ht="97.5" customHeight="1">
      <c r="A1" s="44" t="s">
        <v>1579</v>
      </c>
      <c r="B1" s="166" t="s">
        <v>1580</v>
      </c>
      <c r="C1" s="167" t="s">
        <v>1581</v>
      </c>
      <c r="D1" s="43" t="s">
        <v>1582</v>
      </c>
      <c r="E1" s="168" t="s">
        <v>1583</v>
      </c>
      <c r="F1" s="168" t="s">
        <v>1584</v>
      </c>
      <c r="G1" s="168" t="s">
        <v>1585</v>
      </c>
      <c r="H1" s="168" t="s">
        <v>1586</v>
      </c>
      <c r="I1" s="168" t="s">
        <v>1587</v>
      </c>
      <c r="J1" s="168" t="s">
        <v>1588</v>
      </c>
      <c r="K1" s="169" t="s">
        <v>1589</v>
      </c>
      <c r="L1" s="43" t="s">
        <v>25</v>
      </c>
      <c r="M1" s="167" t="s">
        <v>1590</v>
      </c>
      <c r="N1" s="168" t="s">
        <v>1591</v>
      </c>
      <c r="O1" s="168" t="s">
        <v>1592</v>
      </c>
      <c r="P1" s="168" t="s">
        <v>1593</v>
      </c>
      <c r="Q1" s="170" t="s">
        <v>1594</v>
      </c>
      <c r="R1" s="171" t="s">
        <v>1595</v>
      </c>
      <c r="S1" s="168" t="s">
        <v>1596</v>
      </c>
      <c r="T1" s="168" t="s">
        <v>1597</v>
      </c>
      <c r="U1" s="168" t="s">
        <v>1598</v>
      </c>
      <c r="V1" s="168" t="s">
        <v>1599</v>
      </c>
      <c r="W1" s="170" t="s">
        <v>1600</v>
      </c>
      <c r="X1" s="170" t="s">
        <v>1601</v>
      </c>
      <c r="Y1" s="172" t="s">
        <v>1602</v>
      </c>
      <c r="Z1" s="173"/>
      <c r="AA1" s="173"/>
      <c r="AB1" s="173"/>
      <c r="AC1" s="173"/>
      <c r="AD1" s="173"/>
      <c r="AE1" s="173"/>
      <c r="AF1" s="173"/>
      <c r="AG1" s="173"/>
      <c r="AH1" s="173"/>
    </row>
    <row r="2">
      <c r="A2" s="174" t="s">
        <v>1603</v>
      </c>
      <c r="B2" s="175" t="str">
        <f>HYPERLINK("https://www.thermaltake.com/engine-17.html","Engine 17")</f>
        <v>Engine 17</v>
      </c>
      <c r="C2" s="51" t="s">
        <v>1604</v>
      </c>
      <c r="D2" s="51">
        <v>91.5</v>
      </c>
      <c r="E2" s="48">
        <v>91.5</v>
      </c>
      <c r="F2" s="48">
        <v>17.0</v>
      </c>
      <c r="G2" s="48">
        <v>205.0</v>
      </c>
      <c r="H2" s="48" t="s">
        <v>164</v>
      </c>
      <c r="I2" s="48" t="s">
        <v>166</v>
      </c>
      <c r="J2" s="48">
        <v>35.0</v>
      </c>
      <c r="K2" s="50" t="s">
        <v>1605</v>
      </c>
      <c r="L2" s="51">
        <v>1.0</v>
      </c>
      <c r="M2" s="51" t="s">
        <v>1606</v>
      </c>
      <c r="N2" s="48">
        <v>2500.0</v>
      </c>
      <c r="O2" s="49">
        <v>8.9</v>
      </c>
      <c r="P2" s="49">
        <v>2.4</v>
      </c>
      <c r="Q2" s="176">
        <v>23.0</v>
      </c>
      <c r="R2" s="63" t="s">
        <v>166</v>
      </c>
      <c r="S2" s="48" t="s">
        <v>166</v>
      </c>
      <c r="T2" s="48" t="s">
        <v>166</v>
      </c>
      <c r="U2" s="48" t="s">
        <v>174</v>
      </c>
      <c r="V2" s="48" t="s">
        <v>166</v>
      </c>
      <c r="W2" s="177" t="s">
        <v>166</v>
      </c>
      <c r="X2" s="177" t="s">
        <v>166</v>
      </c>
      <c r="Y2" s="178"/>
      <c r="Z2" s="66"/>
      <c r="AA2" s="66"/>
      <c r="AB2" s="66"/>
      <c r="AC2" s="66"/>
      <c r="AD2" s="66"/>
      <c r="AE2" s="66"/>
      <c r="AF2" s="66"/>
      <c r="AG2" s="66"/>
      <c r="AH2" s="66"/>
    </row>
    <row r="3">
      <c r="A3" s="174" t="s">
        <v>1607</v>
      </c>
      <c r="B3" s="175" t="s">
        <v>1608</v>
      </c>
      <c r="C3" s="51" t="s">
        <v>1609</v>
      </c>
      <c r="D3" s="51">
        <v>95.0</v>
      </c>
      <c r="E3" s="48">
        <v>84.0</v>
      </c>
      <c r="F3" s="48">
        <v>22.0</v>
      </c>
      <c r="G3" s="48">
        <v>380.0</v>
      </c>
      <c r="H3" s="48" t="s">
        <v>164</v>
      </c>
      <c r="I3" s="48" t="s">
        <v>166</v>
      </c>
      <c r="J3" s="48">
        <v>84.0</v>
      </c>
      <c r="K3" s="50" t="s">
        <v>1605</v>
      </c>
      <c r="L3" s="51">
        <v>1.0</v>
      </c>
      <c r="M3" s="51" t="s">
        <v>1610</v>
      </c>
      <c r="N3" s="48">
        <v>3000.0</v>
      </c>
      <c r="O3" s="49">
        <v>41.0</v>
      </c>
      <c r="P3" s="49" t="s">
        <v>170</v>
      </c>
      <c r="Q3" s="176">
        <v>40.0</v>
      </c>
      <c r="R3" s="63" t="s">
        <v>166</v>
      </c>
      <c r="S3" s="48" t="s">
        <v>166</v>
      </c>
      <c r="T3" s="48" t="s">
        <v>174</v>
      </c>
      <c r="U3" s="48" t="s">
        <v>174</v>
      </c>
      <c r="V3" s="48" t="s">
        <v>166</v>
      </c>
      <c r="W3" s="177" t="s">
        <v>166</v>
      </c>
      <c r="X3" s="177" t="s">
        <v>166</v>
      </c>
      <c r="Y3" s="178"/>
      <c r="Z3" s="66"/>
      <c r="AA3" s="66"/>
      <c r="AB3" s="66"/>
      <c r="AC3" s="66"/>
      <c r="AD3" s="66"/>
      <c r="AE3" s="66"/>
      <c r="AF3" s="66"/>
      <c r="AG3" s="66"/>
      <c r="AH3" s="66"/>
    </row>
    <row r="4">
      <c r="A4" s="174" t="s">
        <v>1611</v>
      </c>
      <c r="B4" s="175" t="str">
        <f>HYPERLINK("http://www.idcooling.com/Product/detail/id/24/name/IS-20i","IS-20i")</f>
        <v>IS-20i</v>
      </c>
      <c r="C4" s="51" t="s">
        <v>1604</v>
      </c>
      <c r="D4" s="51">
        <v>91.0</v>
      </c>
      <c r="E4" s="48">
        <v>91.0</v>
      </c>
      <c r="F4" s="48">
        <v>23.0</v>
      </c>
      <c r="G4" s="48">
        <v>140.0</v>
      </c>
      <c r="H4" s="48" t="s">
        <v>164</v>
      </c>
      <c r="I4" s="48" t="s">
        <v>166</v>
      </c>
      <c r="J4" s="48">
        <v>45.0</v>
      </c>
      <c r="K4" s="50" t="s">
        <v>1605</v>
      </c>
      <c r="L4" s="51">
        <v>1.0</v>
      </c>
      <c r="M4" s="51" t="s">
        <v>1612</v>
      </c>
      <c r="N4" s="48">
        <v>2700.0</v>
      </c>
      <c r="O4" s="49">
        <v>21.8</v>
      </c>
      <c r="P4" s="49">
        <v>1.52</v>
      </c>
      <c r="Q4" s="176">
        <v>23.0</v>
      </c>
      <c r="R4" s="63" t="s">
        <v>166</v>
      </c>
      <c r="S4" s="48" t="s">
        <v>166</v>
      </c>
      <c r="T4" s="48" t="s">
        <v>166</v>
      </c>
      <c r="U4" s="48" t="s">
        <v>174</v>
      </c>
      <c r="V4" s="48" t="s">
        <v>166</v>
      </c>
      <c r="W4" s="177" t="s">
        <v>166</v>
      </c>
      <c r="X4" s="177" t="s">
        <v>166</v>
      </c>
      <c r="Y4" s="178"/>
      <c r="Z4" s="66"/>
      <c r="AA4" s="66"/>
      <c r="AB4" s="66"/>
      <c r="AC4" s="66"/>
      <c r="AD4" s="66"/>
      <c r="AE4" s="66"/>
      <c r="AF4" s="66"/>
      <c r="AG4" s="66"/>
      <c r="AH4" s="66"/>
    </row>
    <row r="5">
      <c r="A5" s="174" t="s">
        <v>1611</v>
      </c>
      <c r="B5" s="175" t="str">
        <f>HYPERLINK("http://www.idcooling.com/Product/detail/id/23/name/IS-25i","IS-25i")</f>
        <v>IS-25i</v>
      </c>
      <c r="C5" s="51" t="s">
        <v>1604</v>
      </c>
      <c r="D5" s="51">
        <v>88.0</v>
      </c>
      <c r="E5" s="48">
        <v>92.0</v>
      </c>
      <c r="F5" s="48">
        <v>27.0</v>
      </c>
      <c r="G5" s="48">
        <v>240.0</v>
      </c>
      <c r="H5" s="48" t="s">
        <v>164</v>
      </c>
      <c r="I5" s="48">
        <v>2.0</v>
      </c>
      <c r="J5" s="48">
        <v>75.0</v>
      </c>
      <c r="K5" s="50" t="s">
        <v>1605</v>
      </c>
      <c r="L5" s="51">
        <v>1.0</v>
      </c>
      <c r="M5" s="51" t="s">
        <v>1612</v>
      </c>
      <c r="N5" s="48">
        <v>2700.0</v>
      </c>
      <c r="O5" s="49">
        <v>21.8</v>
      </c>
      <c r="P5" s="49">
        <v>1.52</v>
      </c>
      <c r="Q5" s="176">
        <v>25.0</v>
      </c>
      <c r="R5" s="63" t="s">
        <v>166</v>
      </c>
      <c r="S5" s="48" t="s">
        <v>166</v>
      </c>
      <c r="T5" s="48" t="s">
        <v>166</v>
      </c>
      <c r="U5" s="48" t="s">
        <v>174</v>
      </c>
      <c r="V5" s="48" t="s">
        <v>166</v>
      </c>
      <c r="W5" s="177" t="s">
        <v>166</v>
      </c>
      <c r="X5" s="177" t="s">
        <v>166</v>
      </c>
      <c r="Y5" s="178"/>
      <c r="Z5" s="66"/>
      <c r="AA5" s="66"/>
      <c r="AB5" s="66"/>
      <c r="AC5" s="66"/>
      <c r="AD5" s="66"/>
      <c r="AE5" s="66"/>
      <c r="AF5" s="66"/>
      <c r="AG5" s="66"/>
      <c r="AH5" s="66"/>
    </row>
    <row r="6">
      <c r="A6" s="174" t="s">
        <v>1611</v>
      </c>
      <c r="B6" s="175" t="s">
        <v>1613</v>
      </c>
      <c r="C6" s="51" t="s">
        <v>1604</v>
      </c>
      <c r="D6" s="51">
        <v>92.0</v>
      </c>
      <c r="E6" s="48">
        <v>92.0</v>
      </c>
      <c r="F6" s="48">
        <v>27.0</v>
      </c>
      <c r="G6" s="48">
        <v>200.0</v>
      </c>
      <c r="H6" s="48" t="s">
        <v>164</v>
      </c>
      <c r="I6" s="48">
        <v>2.0</v>
      </c>
      <c r="J6" s="48">
        <v>65.0</v>
      </c>
      <c r="K6" s="50" t="s">
        <v>1605</v>
      </c>
      <c r="L6" s="51">
        <v>1.0</v>
      </c>
      <c r="M6" s="51" t="s">
        <v>1612</v>
      </c>
      <c r="N6" s="48">
        <v>2700.0</v>
      </c>
      <c r="O6" s="49">
        <v>21.8</v>
      </c>
      <c r="P6" s="49">
        <v>1.52</v>
      </c>
      <c r="Q6" s="176">
        <v>25.0</v>
      </c>
      <c r="R6" s="63" t="s">
        <v>166</v>
      </c>
      <c r="S6" s="48" t="s">
        <v>166</v>
      </c>
      <c r="T6" s="48" t="s">
        <v>166</v>
      </c>
      <c r="U6" s="48" t="s">
        <v>174</v>
      </c>
      <c r="V6" s="48" t="s">
        <v>166</v>
      </c>
      <c r="W6" s="177" t="s">
        <v>174</v>
      </c>
      <c r="X6" s="177" t="s">
        <v>166</v>
      </c>
      <c r="Y6" s="178"/>
      <c r="Z6" s="66"/>
      <c r="AA6" s="66"/>
      <c r="AB6" s="66"/>
      <c r="AC6" s="66"/>
      <c r="AD6" s="66"/>
      <c r="AE6" s="66"/>
      <c r="AF6" s="66"/>
      <c r="AG6" s="66"/>
      <c r="AH6" s="66"/>
    </row>
    <row r="7">
      <c r="A7" s="174" t="s">
        <v>1603</v>
      </c>
      <c r="B7" s="175" t="str">
        <f>HYPERLINK("https://www.thermaltake.com/engine-27.html","Engine 27")</f>
        <v>Engine 27</v>
      </c>
      <c r="C7" s="51" t="s">
        <v>1604</v>
      </c>
      <c r="D7" s="51">
        <v>91.5</v>
      </c>
      <c r="E7" s="48">
        <v>91.5</v>
      </c>
      <c r="F7" s="48">
        <v>27.0</v>
      </c>
      <c r="G7" s="48">
        <v>310.0</v>
      </c>
      <c r="H7" s="48" t="s">
        <v>164</v>
      </c>
      <c r="I7" s="48" t="s">
        <v>166</v>
      </c>
      <c r="J7" s="48">
        <v>70.0</v>
      </c>
      <c r="K7" s="50" t="s">
        <v>1605</v>
      </c>
      <c r="L7" s="51">
        <v>1.0</v>
      </c>
      <c r="M7" s="51" t="s">
        <v>1614</v>
      </c>
      <c r="N7" s="48">
        <v>2500.0</v>
      </c>
      <c r="O7" s="49">
        <v>9.2</v>
      </c>
      <c r="P7" s="49">
        <v>3.1</v>
      </c>
      <c r="Q7" s="176">
        <v>25.0</v>
      </c>
      <c r="R7" s="63" t="s">
        <v>166</v>
      </c>
      <c r="S7" s="48" t="s">
        <v>166</v>
      </c>
      <c r="T7" s="48" t="s">
        <v>166</v>
      </c>
      <c r="U7" s="48" t="s">
        <v>174</v>
      </c>
      <c r="V7" s="48" t="s">
        <v>166</v>
      </c>
      <c r="W7" s="177" t="s">
        <v>166</v>
      </c>
      <c r="X7" s="177" t="s">
        <v>166</v>
      </c>
      <c r="Y7" s="178"/>
      <c r="Z7" s="66"/>
      <c r="AA7" s="66"/>
      <c r="AB7" s="66"/>
      <c r="AC7" s="66"/>
      <c r="AD7" s="66"/>
      <c r="AE7" s="66"/>
      <c r="AF7" s="66"/>
      <c r="AG7" s="66"/>
      <c r="AH7" s="66"/>
    </row>
    <row r="8">
      <c r="A8" s="174" t="s">
        <v>1615</v>
      </c>
      <c r="B8" s="175" t="s">
        <v>1616</v>
      </c>
      <c r="C8" s="51" t="s">
        <v>1604</v>
      </c>
      <c r="D8" s="51">
        <v>84.0</v>
      </c>
      <c r="E8" s="48">
        <v>84.0</v>
      </c>
      <c r="F8" s="48">
        <v>27.0</v>
      </c>
      <c r="G8" s="48">
        <v>83.0</v>
      </c>
      <c r="H8" s="48" t="s">
        <v>1617</v>
      </c>
      <c r="I8" s="48">
        <v>1.0</v>
      </c>
      <c r="J8" s="48">
        <v>60.0</v>
      </c>
      <c r="K8" s="50" t="s">
        <v>1605</v>
      </c>
      <c r="L8" s="51">
        <v>1.0</v>
      </c>
      <c r="M8" s="51" t="s">
        <v>1612</v>
      </c>
      <c r="N8" s="48">
        <v>2600.0</v>
      </c>
      <c r="O8" s="49" t="s">
        <v>170</v>
      </c>
      <c r="P8" s="49" t="s">
        <v>170</v>
      </c>
      <c r="Q8" s="176">
        <v>22.7</v>
      </c>
      <c r="R8" s="63" t="s">
        <v>174</v>
      </c>
      <c r="S8" s="48" t="s">
        <v>166</v>
      </c>
      <c r="T8" s="48" t="s">
        <v>166</v>
      </c>
      <c r="U8" s="48" t="s">
        <v>174</v>
      </c>
      <c r="V8" s="48" t="s">
        <v>166</v>
      </c>
      <c r="W8" s="177" t="s">
        <v>166</v>
      </c>
      <c r="X8" s="177" t="s">
        <v>166</v>
      </c>
      <c r="Y8" s="178"/>
      <c r="Z8" s="66"/>
      <c r="AA8" s="66"/>
      <c r="AB8" s="66"/>
      <c r="AC8" s="66"/>
      <c r="AD8" s="66"/>
      <c r="AE8" s="66"/>
      <c r="AF8" s="66"/>
      <c r="AG8" s="66"/>
      <c r="AH8" s="66"/>
    </row>
    <row r="9">
      <c r="A9" s="179" t="s">
        <v>1618</v>
      </c>
      <c r="B9" s="180" t="s">
        <v>1619</v>
      </c>
      <c r="C9" s="51" t="s">
        <v>1604</v>
      </c>
      <c r="D9" s="51">
        <v>94.0</v>
      </c>
      <c r="E9" s="48">
        <v>100.0</v>
      </c>
      <c r="F9" s="48">
        <v>30.0</v>
      </c>
      <c r="G9" s="48">
        <v>300.0</v>
      </c>
      <c r="H9" s="48" t="s">
        <v>1617</v>
      </c>
      <c r="I9" s="48">
        <v>2.0</v>
      </c>
      <c r="J9" s="48">
        <v>100.0</v>
      </c>
      <c r="K9" s="50" t="s">
        <v>1605</v>
      </c>
      <c r="L9" s="51">
        <v>1.0</v>
      </c>
      <c r="M9" s="51" t="s">
        <v>1612</v>
      </c>
      <c r="N9" s="48">
        <v>2500.0</v>
      </c>
      <c r="O9" s="49" t="s">
        <v>170</v>
      </c>
      <c r="P9" s="49" t="s">
        <v>170</v>
      </c>
      <c r="Q9" s="176">
        <v>27.0</v>
      </c>
      <c r="R9" s="63" t="s">
        <v>166</v>
      </c>
      <c r="S9" s="48" t="s">
        <v>166</v>
      </c>
      <c r="T9" s="48" t="s">
        <v>166</v>
      </c>
      <c r="U9" s="48" t="s">
        <v>174</v>
      </c>
      <c r="V9" s="48" t="s">
        <v>166</v>
      </c>
      <c r="W9" s="177" t="s">
        <v>166</v>
      </c>
      <c r="X9" s="177" t="s">
        <v>166</v>
      </c>
      <c r="Y9" s="178"/>
      <c r="Z9" s="66"/>
      <c r="AA9" s="66"/>
      <c r="AB9" s="66"/>
      <c r="AC9" s="66"/>
      <c r="AD9" s="66"/>
      <c r="AE9" s="66"/>
      <c r="AF9" s="66"/>
      <c r="AG9" s="66"/>
      <c r="AH9" s="66"/>
    </row>
    <row r="10">
      <c r="A10" s="174" t="s">
        <v>1611</v>
      </c>
      <c r="B10" s="175" t="str">
        <f>HYPERLINK("http://www.idcooling.com/Product/detail/id/156/name/IS-30","IS-30")</f>
        <v>IS-30</v>
      </c>
      <c r="C10" s="51" t="s">
        <v>1604</v>
      </c>
      <c r="D10" s="51">
        <v>93.0</v>
      </c>
      <c r="E10" s="48">
        <v>100.0</v>
      </c>
      <c r="F10" s="48">
        <v>30.0</v>
      </c>
      <c r="G10" s="48">
        <v>310.0</v>
      </c>
      <c r="H10" s="48" t="s">
        <v>164</v>
      </c>
      <c r="I10" s="48">
        <v>4.0</v>
      </c>
      <c r="J10" s="48">
        <v>100.0</v>
      </c>
      <c r="K10" s="50" t="s">
        <v>1605</v>
      </c>
      <c r="L10" s="51">
        <v>1.0</v>
      </c>
      <c r="M10" s="51" t="s">
        <v>1620</v>
      </c>
      <c r="N10" s="48">
        <v>3600.0</v>
      </c>
      <c r="O10" s="49">
        <v>40.0</v>
      </c>
      <c r="P10" s="49">
        <v>2.2</v>
      </c>
      <c r="Q10" s="176">
        <v>35.8</v>
      </c>
      <c r="R10" s="63" t="s">
        <v>174</v>
      </c>
      <c r="S10" s="48" t="s">
        <v>174</v>
      </c>
      <c r="T10" s="48" t="s">
        <v>166</v>
      </c>
      <c r="U10" s="48" t="s">
        <v>174</v>
      </c>
      <c r="V10" s="48" t="s">
        <v>166</v>
      </c>
      <c r="W10" s="177" t="s">
        <v>174</v>
      </c>
      <c r="X10" s="177" t="s">
        <v>166</v>
      </c>
      <c r="Y10" s="178"/>
      <c r="Z10" s="66"/>
      <c r="AA10" s="66"/>
      <c r="AB10" s="66"/>
      <c r="AC10" s="66"/>
      <c r="AD10" s="66"/>
      <c r="AE10" s="66"/>
      <c r="AF10" s="66"/>
      <c r="AG10" s="66"/>
      <c r="AH10" s="66"/>
    </row>
    <row r="11">
      <c r="A11" s="174" t="s">
        <v>1611</v>
      </c>
      <c r="B11" s="175" t="s">
        <v>1621</v>
      </c>
      <c r="C11" s="51" t="s">
        <v>1604</v>
      </c>
      <c r="D11" s="51">
        <v>94.0</v>
      </c>
      <c r="E11" s="48">
        <v>94.0</v>
      </c>
      <c r="F11" s="48">
        <v>30.0</v>
      </c>
      <c r="G11" s="48">
        <v>250.0</v>
      </c>
      <c r="H11" s="48" t="s">
        <v>164</v>
      </c>
      <c r="I11" s="48">
        <v>4.0</v>
      </c>
      <c r="J11" s="48">
        <v>100.0</v>
      </c>
      <c r="K11" s="50" t="s">
        <v>1605</v>
      </c>
      <c r="L11" s="51">
        <v>1.0</v>
      </c>
      <c r="M11" s="51" t="s">
        <v>1620</v>
      </c>
      <c r="N11" s="48">
        <v>3600.0</v>
      </c>
      <c r="O11" s="49">
        <v>40.0</v>
      </c>
      <c r="P11" s="49">
        <v>2.2</v>
      </c>
      <c r="Q11" s="176">
        <v>35.8</v>
      </c>
      <c r="R11" s="63" t="s">
        <v>166</v>
      </c>
      <c r="S11" s="48" t="s">
        <v>174</v>
      </c>
      <c r="T11" s="48" t="s">
        <v>166</v>
      </c>
      <c r="U11" s="48" t="s">
        <v>166</v>
      </c>
      <c r="V11" s="48" t="s">
        <v>166</v>
      </c>
      <c r="W11" s="177" t="s">
        <v>166</v>
      </c>
      <c r="X11" s="177" t="s">
        <v>166</v>
      </c>
      <c r="Y11" s="178"/>
      <c r="Z11" s="66"/>
      <c r="AA11" s="66"/>
      <c r="AB11" s="66"/>
      <c r="AC11" s="66"/>
      <c r="AD11" s="66"/>
      <c r="AE11" s="66"/>
      <c r="AF11" s="66"/>
      <c r="AG11" s="66"/>
      <c r="AH11" s="66"/>
    </row>
    <row r="12">
      <c r="A12" s="174" t="s">
        <v>1611</v>
      </c>
      <c r="B12" s="175" t="s">
        <v>1622</v>
      </c>
      <c r="C12" s="51" t="s">
        <v>1604</v>
      </c>
      <c r="D12" s="51">
        <v>94.0</v>
      </c>
      <c r="E12" s="48">
        <v>94.0</v>
      </c>
      <c r="F12" s="48">
        <v>30.0</v>
      </c>
      <c r="G12" s="48">
        <v>250.0</v>
      </c>
      <c r="H12" s="48" t="s">
        <v>164</v>
      </c>
      <c r="I12" s="48">
        <v>4.0</v>
      </c>
      <c r="J12" s="48">
        <v>100.0</v>
      </c>
      <c r="K12" s="50" t="s">
        <v>1605</v>
      </c>
      <c r="L12" s="51">
        <v>1.0</v>
      </c>
      <c r="M12" s="51" t="s">
        <v>1620</v>
      </c>
      <c r="N12" s="48">
        <v>3600.0</v>
      </c>
      <c r="O12" s="49">
        <v>40.0</v>
      </c>
      <c r="P12" s="49">
        <v>2.2</v>
      </c>
      <c r="Q12" s="176">
        <v>35.8</v>
      </c>
      <c r="R12" s="63" t="s">
        <v>166</v>
      </c>
      <c r="S12" s="48" t="s">
        <v>166</v>
      </c>
      <c r="T12" s="48" t="s">
        <v>166</v>
      </c>
      <c r="U12" s="48" t="s">
        <v>174</v>
      </c>
      <c r="V12" s="48" t="s">
        <v>166</v>
      </c>
      <c r="W12" s="177" t="s">
        <v>174</v>
      </c>
      <c r="X12" s="177" t="s">
        <v>166</v>
      </c>
      <c r="Y12" s="178"/>
      <c r="Z12" s="66"/>
      <c r="AA12" s="66"/>
      <c r="AB12" s="66"/>
      <c r="AC12" s="66"/>
      <c r="AD12" s="66"/>
      <c r="AE12" s="66"/>
      <c r="AF12" s="66"/>
      <c r="AG12" s="66"/>
      <c r="AH12" s="66"/>
    </row>
    <row r="13">
      <c r="A13" s="174" t="s">
        <v>1387</v>
      </c>
      <c r="B13" s="175" t="s">
        <v>1623</v>
      </c>
      <c r="C13" s="51" t="s">
        <v>1604</v>
      </c>
      <c r="D13" s="51">
        <v>95.0</v>
      </c>
      <c r="E13" s="48">
        <v>95.0</v>
      </c>
      <c r="F13" s="48">
        <v>31.0</v>
      </c>
      <c r="G13" s="48">
        <v>200.0</v>
      </c>
      <c r="H13" s="48" t="s">
        <v>164</v>
      </c>
      <c r="I13" s="48" t="s">
        <v>166</v>
      </c>
      <c r="J13" s="48" t="s">
        <v>170</v>
      </c>
      <c r="K13" s="50" t="s">
        <v>1605</v>
      </c>
      <c r="L13" s="51">
        <v>1.0</v>
      </c>
      <c r="M13" s="51" t="s">
        <v>1624</v>
      </c>
      <c r="N13" s="48">
        <v>2700.0</v>
      </c>
      <c r="O13" s="49" t="s">
        <v>170</v>
      </c>
      <c r="P13" s="49" t="s">
        <v>170</v>
      </c>
      <c r="Q13" s="176">
        <v>25.0</v>
      </c>
      <c r="R13" s="63" t="s">
        <v>166</v>
      </c>
      <c r="S13" s="48" t="s">
        <v>166</v>
      </c>
      <c r="T13" s="48" t="s">
        <v>166</v>
      </c>
      <c r="U13" s="48" t="s">
        <v>174</v>
      </c>
      <c r="V13" s="48" t="s">
        <v>166</v>
      </c>
      <c r="W13" s="177" t="s">
        <v>166</v>
      </c>
      <c r="X13" s="177" t="s">
        <v>166</v>
      </c>
      <c r="Y13" s="178"/>
      <c r="Z13" s="66"/>
      <c r="AA13" s="66"/>
      <c r="AB13" s="66"/>
      <c r="AC13" s="66"/>
      <c r="AD13" s="66"/>
      <c r="AE13" s="66"/>
      <c r="AF13" s="66"/>
      <c r="AG13" s="66"/>
      <c r="AH13" s="66"/>
    </row>
    <row r="14">
      <c r="A14" s="174" t="s">
        <v>1625</v>
      </c>
      <c r="B14" s="175" t="s">
        <v>1626</v>
      </c>
      <c r="C14" s="51" t="s">
        <v>1604</v>
      </c>
      <c r="D14" s="51">
        <v>98.0</v>
      </c>
      <c r="E14" s="48">
        <v>80.0</v>
      </c>
      <c r="F14" s="48">
        <v>34.0</v>
      </c>
      <c r="G14" s="48">
        <v>185.0</v>
      </c>
      <c r="H14" s="48" t="s">
        <v>164</v>
      </c>
      <c r="I14" s="48">
        <v>2.0</v>
      </c>
      <c r="J14" s="48">
        <v>65.0</v>
      </c>
      <c r="K14" s="50" t="s">
        <v>1605</v>
      </c>
      <c r="L14" s="51">
        <v>1.0</v>
      </c>
      <c r="M14" s="51" t="s">
        <v>1627</v>
      </c>
      <c r="N14" s="48">
        <v>3300.0</v>
      </c>
      <c r="O14" s="49">
        <v>24.82</v>
      </c>
      <c r="P14" s="49">
        <v>1.98</v>
      </c>
      <c r="Q14" s="176">
        <v>32.5</v>
      </c>
      <c r="R14" s="63" t="s">
        <v>174</v>
      </c>
      <c r="S14" s="48" t="s">
        <v>174</v>
      </c>
      <c r="T14" s="48" t="s">
        <v>174</v>
      </c>
      <c r="U14" s="48" t="s">
        <v>174</v>
      </c>
      <c r="V14" s="48" t="s">
        <v>174</v>
      </c>
      <c r="W14" s="177" t="s">
        <v>166</v>
      </c>
      <c r="X14" s="177" t="s">
        <v>166</v>
      </c>
      <c r="Y14" s="178"/>
      <c r="Z14" s="66"/>
      <c r="AA14" s="66"/>
      <c r="AB14" s="66"/>
      <c r="AC14" s="66"/>
      <c r="AD14" s="66"/>
      <c r="AE14" s="66"/>
      <c r="AF14" s="66"/>
      <c r="AG14" s="66"/>
      <c r="AH14" s="66"/>
    </row>
    <row r="15">
      <c r="A15" s="174" t="s">
        <v>1387</v>
      </c>
      <c r="B15" s="180" t="s">
        <v>1628</v>
      </c>
      <c r="C15" s="51" t="s">
        <v>1604</v>
      </c>
      <c r="D15" s="51">
        <v>82.5</v>
      </c>
      <c r="E15" s="48">
        <v>95.0</v>
      </c>
      <c r="F15" s="48">
        <v>34.0</v>
      </c>
      <c r="G15" s="48">
        <v>180.0</v>
      </c>
      <c r="H15" s="48" t="s">
        <v>164</v>
      </c>
      <c r="I15" s="48">
        <v>2.0</v>
      </c>
      <c r="J15" s="48">
        <v>65.0</v>
      </c>
      <c r="K15" s="50" t="s">
        <v>1605</v>
      </c>
      <c r="L15" s="51">
        <v>1.0</v>
      </c>
      <c r="M15" s="51" t="s">
        <v>1612</v>
      </c>
      <c r="N15" s="48">
        <v>3300.0</v>
      </c>
      <c r="O15" s="49">
        <v>24.82</v>
      </c>
      <c r="P15" s="49">
        <v>1.99</v>
      </c>
      <c r="Q15" s="176">
        <v>32.5</v>
      </c>
      <c r="R15" s="63" t="s">
        <v>174</v>
      </c>
      <c r="S15" s="48" t="s">
        <v>166</v>
      </c>
      <c r="T15" s="48" t="s">
        <v>174</v>
      </c>
      <c r="U15" s="48" t="s">
        <v>174</v>
      </c>
      <c r="V15" s="48" t="s">
        <v>166</v>
      </c>
      <c r="W15" s="177" t="s">
        <v>166</v>
      </c>
      <c r="X15" s="177" t="s">
        <v>166</v>
      </c>
      <c r="Y15" s="178"/>
      <c r="Z15" s="66"/>
      <c r="AA15" s="66"/>
      <c r="AB15" s="66"/>
      <c r="AC15" s="66"/>
      <c r="AD15" s="66"/>
      <c r="AE15" s="66"/>
      <c r="AF15" s="66"/>
      <c r="AG15" s="66"/>
      <c r="AH15" s="66"/>
    </row>
    <row r="16">
      <c r="A16" s="174" t="s">
        <v>209</v>
      </c>
      <c r="B16" s="175" t="s">
        <v>1629</v>
      </c>
      <c r="C16" s="51" t="s">
        <v>1604</v>
      </c>
      <c r="D16" s="51">
        <v>101.0</v>
      </c>
      <c r="E16" s="48">
        <v>101.0</v>
      </c>
      <c r="F16" s="48">
        <v>34.0</v>
      </c>
      <c r="G16" s="48">
        <v>292.0</v>
      </c>
      <c r="H16" s="48" t="s">
        <v>164</v>
      </c>
      <c r="I16" s="48" t="s">
        <v>166</v>
      </c>
      <c r="J16" s="48">
        <v>65.0</v>
      </c>
      <c r="K16" s="50" t="s">
        <v>1605</v>
      </c>
      <c r="L16" s="51">
        <v>1.0</v>
      </c>
      <c r="M16" s="51" t="s">
        <v>1612</v>
      </c>
      <c r="N16" s="48">
        <v>3400.0</v>
      </c>
      <c r="O16" s="49">
        <v>15.98</v>
      </c>
      <c r="P16" s="49">
        <v>2.43</v>
      </c>
      <c r="Q16" s="176">
        <v>28.98</v>
      </c>
      <c r="R16" s="63" t="s">
        <v>166</v>
      </c>
      <c r="S16" s="48" t="s">
        <v>166</v>
      </c>
      <c r="T16" s="48" t="s">
        <v>166</v>
      </c>
      <c r="U16" s="48" t="s">
        <v>174</v>
      </c>
      <c r="V16" s="48" t="s">
        <v>166</v>
      </c>
      <c r="W16" s="177" t="s">
        <v>166</v>
      </c>
      <c r="X16" s="177" t="s">
        <v>166</v>
      </c>
      <c r="Y16" s="178"/>
      <c r="Z16" s="66"/>
      <c r="AA16" s="66"/>
      <c r="AB16" s="66"/>
      <c r="AC16" s="66"/>
      <c r="AD16" s="66"/>
      <c r="AE16" s="66"/>
      <c r="AF16" s="66"/>
      <c r="AG16" s="66"/>
      <c r="AH16" s="66"/>
    </row>
    <row r="17">
      <c r="A17" s="174" t="s">
        <v>1630</v>
      </c>
      <c r="B17" s="175" t="s">
        <v>1631</v>
      </c>
      <c r="C17" s="51" t="s">
        <v>1604</v>
      </c>
      <c r="D17" s="51">
        <v>92.0</v>
      </c>
      <c r="E17" s="48">
        <v>103.0</v>
      </c>
      <c r="F17" s="48">
        <v>36.0</v>
      </c>
      <c r="G17" s="48">
        <v>380.0</v>
      </c>
      <c r="H17" s="48" t="s">
        <v>164</v>
      </c>
      <c r="I17" s="48">
        <v>4.0</v>
      </c>
      <c r="J17" s="48">
        <v>110.0</v>
      </c>
      <c r="K17" s="50" t="s">
        <v>1605</v>
      </c>
      <c r="L17" s="51">
        <v>1.0</v>
      </c>
      <c r="M17" s="51" t="s">
        <v>1632</v>
      </c>
      <c r="N17" s="48">
        <v>3000.0</v>
      </c>
      <c r="O17" s="49">
        <v>48.3</v>
      </c>
      <c r="P17" s="49">
        <v>3.24</v>
      </c>
      <c r="Q17" s="176">
        <v>33.0</v>
      </c>
      <c r="R17" s="63" t="s">
        <v>174</v>
      </c>
      <c r="S17" s="48" t="s">
        <v>174</v>
      </c>
      <c r="T17" s="48" t="s">
        <v>174</v>
      </c>
      <c r="U17" s="48" t="s">
        <v>174</v>
      </c>
      <c r="V17" s="48" t="s">
        <v>166</v>
      </c>
      <c r="W17" s="177" t="s">
        <v>166</v>
      </c>
      <c r="X17" s="177" t="s">
        <v>166</v>
      </c>
      <c r="Y17" s="178"/>
      <c r="Z17" s="66"/>
      <c r="AA17" s="66"/>
      <c r="AB17" s="66"/>
      <c r="AC17" s="66"/>
      <c r="AD17" s="66"/>
      <c r="AE17" s="66"/>
      <c r="AF17" s="66"/>
      <c r="AG17" s="66"/>
      <c r="AH17" s="66"/>
    </row>
    <row r="18">
      <c r="A18" s="174" t="s">
        <v>1607</v>
      </c>
      <c r="B18" s="175" t="s">
        <v>1633</v>
      </c>
      <c r="C18" s="51" t="s">
        <v>1604</v>
      </c>
      <c r="D18" s="51">
        <v>103.0</v>
      </c>
      <c r="E18" s="48">
        <v>92.0</v>
      </c>
      <c r="F18" s="48">
        <v>36.0</v>
      </c>
      <c r="G18" s="48">
        <v>380.0</v>
      </c>
      <c r="H18" s="48" t="s">
        <v>164</v>
      </c>
      <c r="I18" s="48">
        <v>2.0</v>
      </c>
      <c r="J18" s="48">
        <v>110.0</v>
      </c>
      <c r="K18" s="50" t="s">
        <v>1605</v>
      </c>
      <c r="L18" s="51">
        <v>1.0</v>
      </c>
      <c r="M18" s="51" t="s">
        <v>1632</v>
      </c>
      <c r="N18" s="48">
        <v>3000.0</v>
      </c>
      <c r="O18" s="49">
        <v>45.0</v>
      </c>
      <c r="P18" s="49" t="s">
        <v>170</v>
      </c>
      <c r="Q18" s="176">
        <v>33.0</v>
      </c>
      <c r="R18" s="63" t="s">
        <v>174</v>
      </c>
      <c r="S18" s="48" t="s">
        <v>174</v>
      </c>
      <c r="T18" s="48" t="s">
        <v>174</v>
      </c>
      <c r="U18" s="48" t="s">
        <v>174</v>
      </c>
      <c r="V18" s="48" t="s">
        <v>166</v>
      </c>
      <c r="W18" s="177" t="s">
        <v>166</v>
      </c>
      <c r="X18" s="177" t="s">
        <v>166</v>
      </c>
      <c r="Y18" s="178"/>
      <c r="Z18" s="66"/>
      <c r="AA18" s="66"/>
      <c r="AB18" s="66"/>
      <c r="AC18" s="66"/>
      <c r="AD18" s="66"/>
      <c r="AE18" s="66"/>
      <c r="AF18" s="66"/>
      <c r="AG18" s="66"/>
      <c r="AH18" s="66"/>
    </row>
    <row r="19">
      <c r="A19" s="174" t="s">
        <v>1634</v>
      </c>
      <c r="B19" s="175" t="s">
        <v>1635</v>
      </c>
      <c r="C19" s="51" t="s">
        <v>1604</v>
      </c>
      <c r="D19" s="51">
        <v>94.5</v>
      </c>
      <c r="E19" s="48">
        <v>95.0</v>
      </c>
      <c r="F19" s="48">
        <v>36.0</v>
      </c>
      <c r="G19" s="48">
        <v>230.0</v>
      </c>
      <c r="H19" s="48" t="s">
        <v>164</v>
      </c>
      <c r="I19" s="48">
        <v>4.0</v>
      </c>
      <c r="J19" s="48">
        <v>95.0</v>
      </c>
      <c r="K19" s="50" t="s">
        <v>1605</v>
      </c>
      <c r="L19" s="51">
        <v>1.0</v>
      </c>
      <c r="M19" s="51" t="s">
        <v>1632</v>
      </c>
      <c r="N19" s="48">
        <v>2700.0</v>
      </c>
      <c r="O19" s="49">
        <v>42.58</v>
      </c>
      <c r="P19" s="49">
        <v>1.33</v>
      </c>
      <c r="Q19" s="176">
        <v>22.4</v>
      </c>
      <c r="R19" s="63" t="s">
        <v>166</v>
      </c>
      <c r="S19" s="48" t="s">
        <v>174</v>
      </c>
      <c r="T19" s="48" t="s">
        <v>166</v>
      </c>
      <c r="U19" s="48" t="s">
        <v>174</v>
      </c>
      <c r="V19" s="48" t="s">
        <v>166</v>
      </c>
      <c r="W19" s="177" t="s">
        <v>174</v>
      </c>
      <c r="X19" s="177" t="s">
        <v>166</v>
      </c>
      <c r="Y19" s="178"/>
      <c r="Z19" s="66"/>
      <c r="AA19" s="66"/>
      <c r="AB19" s="66"/>
      <c r="AC19" s="66"/>
      <c r="AD19" s="66"/>
      <c r="AE19" s="66"/>
      <c r="AF19" s="66"/>
      <c r="AG19" s="66"/>
      <c r="AH19" s="66"/>
    </row>
    <row r="20">
      <c r="A20" s="174" t="s">
        <v>1634</v>
      </c>
      <c r="B20" s="175" t="s">
        <v>1636</v>
      </c>
      <c r="C20" s="51" t="s">
        <v>1604</v>
      </c>
      <c r="D20" s="51">
        <v>94.5</v>
      </c>
      <c r="E20" s="48">
        <v>95.0</v>
      </c>
      <c r="F20" s="48">
        <v>36.0</v>
      </c>
      <c r="G20" s="48">
        <v>230.0</v>
      </c>
      <c r="H20" s="48" t="s">
        <v>164</v>
      </c>
      <c r="I20" s="48">
        <v>4.0</v>
      </c>
      <c r="J20" s="48">
        <v>95.0</v>
      </c>
      <c r="K20" s="50" t="s">
        <v>1605</v>
      </c>
      <c r="L20" s="51">
        <v>1.0</v>
      </c>
      <c r="M20" s="51" t="s">
        <v>1632</v>
      </c>
      <c r="N20" s="48">
        <v>2700.0</v>
      </c>
      <c r="O20" s="49">
        <v>42.58</v>
      </c>
      <c r="P20" s="49">
        <v>1.33</v>
      </c>
      <c r="Q20" s="176">
        <v>22.4</v>
      </c>
      <c r="R20" s="63" t="s">
        <v>166</v>
      </c>
      <c r="S20" s="48" t="s">
        <v>174</v>
      </c>
      <c r="T20" s="48" t="s">
        <v>166</v>
      </c>
      <c r="U20" s="48" t="s">
        <v>174</v>
      </c>
      <c r="V20" s="48" t="s">
        <v>166</v>
      </c>
      <c r="W20" s="177" t="s">
        <v>174</v>
      </c>
      <c r="X20" s="177" t="s">
        <v>166</v>
      </c>
      <c r="Y20" s="178"/>
      <c r="Z20" s="66"/>
      <c r="AA20" s="66"/>
      <c r="AB20" s="66"/>
      <c r="AC20" s="66"/>
      <c r="AD20" s="66"/>
      <c r="AE20" s="66"/>
      <c r="AF20" s="66"/>
      <c r="AG20" s="66"/>
      <c r="AH20" s="66"/>
    </row>
    <row r="21">
      <c r="A21" s="174" t="s">
        <v>1630</v>
      </c>
      <c r="B21" s="175" t="s">
        <v>1637</v>
      </c>
      <c r="C21" s="51" t="s">
        <v>1604</v>
      </c>
      <c r="D21" s="51">
        <v>92.0</v>
      </c>
      <c r="E21" s="48">
        <v>103.0</v>
      </c>
      <c r="F21" s="48">
        <v>36.7</v>
      </c>
      <c r="G21" s="48" t="s">
        <v>170</v>
      </c>
      <c r="H21" s="48" t="s">
        <v>164</v>
      </c>
      <c r="I21" s="48">
        <v>4.0</v>
      </c>
      <c r="J21" s="181" t="s">
        <v>170</v>
      </c>
      <c r="K21" s="50" t="s">
        <v>1605</v>
      </c>
      <c r="L21" s="51">
        <v>1.0</v>
      </c>
      <c r="M21" s="51" t="s">
        <v>1632</v>
      </c>
      <c r="N21" s="48">
        <v>2800.0</v>
      </c>
      <c r="O21" s="49">
        <v>38.18</v>
      </c>
      <c r="P21" s="49" t="s">
        <v>170</v>
      </c>
      <c r="Q21" s="176">
        <v>34.0</v>
      </c>
      <c r="R21" s="63" t="s">
        <v>166</v>
      </c>
      <c r="S21" s="48" t="s">
        <v>174</v>
      </c>
      <c r="T21" s="48" t="s">
        <v>166</v>
      </c>
      <c r="U21" s="48" t="s">
        <v>174</v>
      </c>
      <c r="V21" s="48" t="s">
        <v>166</v>
      </c>
      <c r="W21" s="177" t="s">
        <v>174</v>
      </c>
      <c r="X21" s="177" t="s">
        <v>166</v>
      </c>
      <c r="Y21" s="178"/>
      <c r="Z21" s="66"/>
      <c r="AA21" s="66"/>
      <c r="AB21" s="66"/>
      <c r="AC21" s="66"/>
      <c r="AD21" s="66"/>
      <c r="AE21" s="66"/>
      <c r="AF21" s="66"/>
      <c r="AG21" s="66"/>
      <c r="AH21" s="66"/>
    </row>
    <row r="22">
      <c r="A22" s="174" t="s">
        <v>1630</v>
      </c>
      <c r="B22" s="175" t="s">
        <v>1638</v>
      </c>
      <c r="C22" s="51" t="s">
        <v>1604</v>
      </c>
      <c r="D22" s="51">
        <v>92.0</v>
      </c>
      <c r="E22" s="48">
        <v>103.0</v>
      </c>
      <c r="F22" s="48">
        <v>36.7</v>
      </c>
      <c r="G22" s="48" t="s">
        <v>170</v>
      </c>
      <c r="H22" s="48" t="s">
        <v>164</v>
      </c>
      <c r="I22" s="48">
        <v>4.0</v>
      </c>
      <c r="J22" s="181" t="s">
        <v>170</v>
      </c>
      <c r="K22" s="50" t="s">
        <v>1605</v>
      </c>
      <c r="L22" s="51">
        <v>1.0</v>
      </c>
      <c r="M22" s="51" t="s">
        <v>1632</v>
      </c>
      <c r="N22" s="48">
        <v>2800.0</v>
      </c>
      <c r="O22" s="49">
        <v>38.18</v>
      </c>
      <c r="P22" s="49" t="s">
        <v>170</v>
      </c>
      <c r="Q22" s="176">
        <v>34.0</v>
      </c>
      <c r="R22" s="63" t="s">
        <v>166</v>
      </c>
      <c r="S22" s="48" t="s">
        <v>174</v>
      </c>
      <c r="T22" s="48" t="s">
        <v>166</v>
      </c>
      <c r="U22" s="48" t="s">
        <v>174</v>
      </c>
      <c r="V22" s="48" t="s">
        <v>166</v>
      </c>
      <c r="W22" s="177" t="s">
        <v>174</v>
      </c>
      <c r="X22" s="177" t="s">
        <v>166</v>
      </c>
      <c r="Y22" s="178"/>
      <c r="Z22" s="66"/>
      <c r="AA22" s="66"/>
      <c r="AB22" s="66"/>
      <c r="AC22" s="66"/>
      <c r="AD22" s="66"/>
      <c r="AE22" s="66"/>
      <c r="AF22" s="66"/>
      <c r="AG22" s="66"/>
      <c r="AH22" s="66"/>
    </row>
    <row r="23">
      <c r="A23" s="174" t="s">
        <v>1639</v>
      </c>
      <c r="B23" s="175" t="str">
        <f>HYPERLINK("https://noctua.at/en/nh-l9a","NH-L9a")</f>
        <v>NH-L9a</v>
      </c>
      <c r="C23" s="51" t="s">
        <v>1604</v>
      </c>
      <c r="D23" s="51">
        <v>92.0</v>
      </c>
      <c r="E23" s="48">
        <v>114.0</v>
      </c>
      <c r="F23" s="48">
        <v>37.0</v>
      </c>
      <c r="G23" s="48">
        <v>465.0</v>
      </c>
      <c r="H23" s="48" t="s">
        <v>164</v>
      </c>
      <c r="I23" s="48">
        <v>2.0</v>
      </c>
      <c r="J23" s="182" t="s">
        <v>214</v>
      </c>
      <c r="K23" s="50" t="s">
        <v>1605</v>
      </c>
      <c r="L23" s="51">
        <v>1.0</v>
      </c>
      <c r="M23" s="51" t="s">
        <v>1640</v>
      </c>
      <c r="N23" s="48">
        <v>2500.0</v>
      </c>
      <c r="O23" s="49">
        <v>33.9</v>
      </c>
      <c r="P23" s="49">
        <v>2.11</v>
      </c>
      <c r="Q23" s="176">
        <v>23.6</v>
      </c>
      <c r="R23" s="63" t="s">
        <v>174</v>
      </c>
      <c r="S23" s="48" t="s">
        <v>174</v>
      </c>
      <c r="T23" s="48" t="s">
        <v>166</v>
      </c>
      <c r="U23" s="48" t="s">
        <v>166</v>
      </c>
      <c r="V23" s="48" t="s">
        <v>166</v>
      </c>
      <c r="W23" s="177" t="s">
        <v>166</v>
      </c>
      <c r="X23" s="177" t="s">
        <v>166</v>
      </c>
      <c r="Y23" s="178"/>
      <c r="Z23" s="66"/>
      <c r="AA23" s="66"/>
      <c r="AB23" s="66"/>
      <c r="AC23" s="66"/>
      <c r="AD23" s="66"/>
      <c r="AE23" s="66"/>
      <c r="AF23" s="66"/>
      <c r="AG23" s="66"/>
      <c r="AH23" s="66"/>
    </row>
    <row r="24">
      <c r="A24" s="174" t="s">
        <v>1639</v>
      </c>
      <c r="B24" s="175" t="s">
        <v>1641</v>
      </c>
      <c r="C24" s="51" t="s">
        <v>1604</v>
      </c>
      <c r="D24" s="51">
        <v>92.0</v>
      </c>
      <c r="E24" s="48">
        <v>114.0</v>
      </c>
      <c r="F24" s="48">
        <v>37.0</v>
      </c>
      <c r="G24" s="48">
        <v>465.0</v>
      </c>
      <c r="H24" s="48" t="s">
        <v>164</v>
      </c>
      <c r="I24" s="48">
        <v>2.0</v>
      </c>
      <c r="J24" s="182" t="s">
        <v>214</v>
      </c>
      <c r="K24" s="50" t="s">
        <v>1605</v>
      </c>
      <c r="L24" s="51">
        <v>1.0</v>
      </c>
      <c r="M24" s="51" t="s">
        <v>1640</v>
      </c>
      <c r="N24" s="48">
        <v>2500.0</v>
      </c>
      <c r="O24" s="49">
        <v>33.9</v>
      </c>
      <c r="P24" s="49">
        <v>2.11</v>
      </c>
      <c r="Q24" s="176">
        <v>23.6</v>
      </c>
      <c r="R24" s="63" t="s">
        <v>166</v>
      </c>
      <c r="S24" s="48" t="s">
        <v>174</v>
      </c>
      <c r="T24" s="48" t="s">
        <v>166</v>
      </c>
      <c r="U24" s="48" t="s">
        <v>166</v>
      </c>
      <c r="V24" s="48" t="s">
        <v>166</v>
      </c>
      <c r="W24" s="177" t="s">
        <v>166</v>
      </c>
      <c r="X24" s="177" t="s">
        <v>166</v>
      </c>
      <c r="Y24" s="178"/>
      <c r="Z24" s="66"/>
      <c r="AA24" s="66"/>
      <c r="AB24" s="66"/>
      <c r="AC24" s="66"/>
      <c r="AD24" s="66"/>
      <c r="AE24" s="66"/>
      <c r="AF24" s="66"/>
      <c r="AG24" s="66"/>
      <c r="AH24" s="66"/>
    </row>
    <row r="25">
      <c r="A25" s="174" t="s">
        <v>1639</v>
      </c>
      <c r="B25" s="175" t="s">
        <v>1642</v>
      </c>
      <c r="C25" s="51" t="s">
        <v>1604</v>
      </c>
      <c r="D25" s="51">
        <v>92.0</v>
      </c>
      <c r="E25" s="48">
        <v>114.0</v>
      </c>
      <c r="F25" s="48">
        <v>37.0</v>
      </c>
      <c r="G25" s="48">
        <v>465.0</v>
      </c>
      <c r="H25" s="48" t="s">
        <v>164</v>
      </c>
      <c r="I25" s="48">
        <v>2.0</v>
      </c>
      <c r="J25" s="182" t="s">
        <v>214</v>
      </c>
      <c r="K25" s="50" t="s">
        <v>1605</v>
      </c>
      <c r="L25" s="51">
        <v>1.0</v>
      </c>
      <c r="M25" s="51" t="s">
        <v>1640</v>
      </c>
      <c r="N25" s="48">
        <v>2500.0</v>
      </c>
      <c r="O25" s="49">
        <v>33.9</v>
      </c>
      <c r="P25" s="49">
        <v>2.11</v>
      </c>
      <c r="Q25" s="176">
        <v>23.6</v>
      </c>
      <c r="R25" s="63" t="s">
        <v>166</v>
      </c>
      <c r="S25" s="48" t="s">
        <v>174</v>
      </c>
      <c r="T25" s="48" t="s">
        <v>166</v>
      </c>
      <c r="U25" s="48" t="s">
        <v>166</v>
      </c>
      <c r="V25" s="48" t="s">
        <v>166</v>
      </c>
      <c r="W25" s="177" t="s">
        <v>166</v>
      </c>
      <c r="X25" s="177" t="s">
        <v>166</v>
      </c>
      <c r="Y25" s="183"/>
      <c r="Z25" s="66"/>
      <c r="AA25" s="66"/>
      <c r="AB25" s="66"/>
      <c r="AC25" s="66"/>
      <c r="AD25" s="66"/>
      <c r="AE25" s="66"/>
      <c r="AF25" s="66"/>
      <c r="AG25" s="66"/>
      <c r="AH25" s="66"/>
    </row>
    <row r="26">
      <c r="A26" s="174" t="s">
        <v>1639</v>
      </c>
      <c r="B26" s="175" t="s">
        <v>1643</v>
      </c>
      <c r="C26" s="51" t="s">
        <v>1604</v>
      </c>
      <c r="D26" s="51">
        <v>92.0</v>
      </c>
      <c r="E26" s="48">
        <v>114.0</v>
      </c>
      <c r="F26" s="48">
        <v>37.0</v>
      </c>
      <c r="G26" s="48">
        <v>465.0</v>
      </c>
      <c r="H26" s="48" t="s">
        <v>164</v>
      </c>
      <c r="I26" s="48">
        <v>2.0</v>
      </c>
      <c r="J26" s="182" t="s">
        <v>214</v>
      </c>
      <c r="K26" s="50" t="s">
        <v>1605</v>
      </c>
      <c r="L26" s="51">
        <v>1.0</v>
      </c>
      <c r="M26" s="51" t="s">
        <v>1640</v>
      </c>
      <c r="N26" s="48">
        <v>2500.0</v>
      </c>
      <c r="O26" s="49">
        <v>33.9</v>
      </c>
      <c r="P26" s="49">
        <v>2.11</v>
      </c>
      <c r="Q26" s="176">
        <v>23.6</v>
      </c>
      <c r="R26" s="63" t="s">
        <v>166</v>
      </c>
      <c r="S26" s="48" t="s">
        <v>174</v>
      </c>
      <c r="T26" s="48" t="s">
        <v>166</v>
      </c>
      <c r="U26" s="48" t="s">
        <v>166</v>
      </c>
      <c r="V26" s="48" t="s">
        <v>166</v>
      </c>
      <c r="W26" s="177" t="s">
        <v>166</v>
      </c>
      <c r="X26" s="177" t="s">
        <v>166</v>
      </c>
      <c r="Y26" s="178"/>
      <c r="Z26" s="66"/>
      <c r="AA26" s="66"/>
      <c r="AB26" s="66"/>
      <c r="AC26" s="66"/>
      <c r="AD26" s="66"/>
      <c r="AE26" s="66"/>
      <c r="AF26" s="66"/>
      <c r="AG26" s="66"/>
      <c r="AH26" s="66"/>
    </row>
    <row r="27">
      <c r="A27" s="174" t="s">
        <v>1639</v>
      </c>
      <c r="B27" s="175" t="s">
        <v>1644</v>
      </c>
      <c r="C27" s="51" t="s">
        <v>1604</v>
      </c>
      <c r="D27" s="51">
        <v>92.0</v>
      </c>
      <c r="E27" s="48">
        <v>114.0</v>
      </c>
      <c r="F27" s="48">
        <v>37.0</v>
      </c>
      <c r="G27" s="48">
        <v>465.0</v>
      </c>
      <c r="H27" s="48" t="s">
        <v>164</v>
      </c>
      <c r="I27" s="48">
        <v>2.0</v>
      </c>
      <c r="J27" s="182" t="s">
        <v>214</v>
      </c>
      <c r="K27" s="50" t="s">
        <v>1605</v>
      </c>
      <c r="L27" s="51">
        <v>1.0</v>
      </c>
      <c r="M27" s="51" t="s">
        <v>1640</v>
      </c>
      <c r="N27" s="48">
        <v>2500.0</v>
      </c>
      <c r="O27" s="49">
        <v>33.9</v>
      </c>
      <c r="P27" s="49">
        <v>2.11</v>
      </c>
      <c r="Q27" s="176">
        <v>23.6</v>
      </c>
      <c r="R27" s="63" t="s">
        <v>166</v>
      </c>
      <c r="S27" s="48" t="s">
        <v>174</v>
      </c>
      <c r="T27" s="48" t="s">
        <v>166</v>
      </c>
      <c r="U27" s="48" t="s">
        <v>166</v>
      </c>
      <c r="V27" s="48" t="s">
        <v>166</v>
      </c>
      <c r="W27" s="177" t="s">
        <v>166</v>
      </c>
      <c r="X27" s="177" t="s">
        <v>166</v>
      </c>
      <c r="Y27" s="178"/>
      <c r="Z27" s="66"/>
      <c r="AA27" s="66"/>
      <c r="AB27" s="66"/>
      <c r="AC27" s="66"/>
      <c r="AD27" s="66"/>
      <c r="AE27" s="66"/>
      <c r="AF27" s="66"/>
      <c r="AG27" s="66"/>
      <c r="AH27" s="66"/>
    </row>
    <row r="28">
      <c r="A28" s="174" t="s">
        <v>1639</v>
      </c>
      <c r="B28" s="175" t="s">
        <v>1645</v>
      </c>
      <c r="C28" s="51" t="s">
        <v>1604</v>
      </c>
      <c r="D28" s="51">
        <v>95.0</v>
      </c>
      <c r="E28" s="48">
        <v>95.0</v>
      </c>
      <c r="F28" s="48">
        <v>37.0</v>
      </c>
      <c r="G28" s="48">
        <v>385.0</v>
      </c>
      <c r="H28" s="48" t="s">
        <v>164</v>
      </c>
      <c r="I28" s="48">
        <v>2.0</v>
      </c>
      <c r="J28" s="182" t="s">
        <v>214</v>
      </c>
      <c r="K28" s="50" t="s">
        <v>1605</v>
      </c>
      <c r="L28" s="51">
        <v>1.0</v>
      </c>
      <c r="M28" s="51" t="s">
        <v>1640</v>
      </c>
      <c r="N28" s="48">
        <v>2500.0</v>
      </c>
      <c r="O28" s="49">
        <v>33.9</v>
      </c>
      <c r="P28" s="49">
        <v>2.11</v>
      </c>
      <c r="Q28" s="176">
        <v>23.6</v>
      </c>
      <c r="R28" s="63" t="s">
        <v>166</v>
      </c>
      <c r="S28" s="48" t="s">
        <v>174</v>
      </c>
      <c r="T28" s="48" t="s">
        <v>166</v>
      </c>
      <c r="U28" s="48" t="s">
        <v>174</v>
      </c>
      <c r="V28" s="48" t="s">
        <v>166</v>
      </c>
      <c r="W28" s="177" t="s">
        <v>166</v>
      </c>
      <c r="X28" s="177" t="s">
        <v>166</v>
      </c>
      <c r="Y28" s="178"/>
      <c r="Z28" s="66"/>
      <c r="AA28" s="66"/>
      <c r="AB28" s="66"/>
      <c r="AC28" s="66"/>
      <c r="AD28" s="66"/>
      <c r="AE28" s="66"/>
      <c r="AF28" s="66"/>
      <c r="AG28" s="66"/>
      <c r="AH28" s="66"/>
    </row>
    <row r="29">
      <c r="A29" s="174" t="s">
        <v>1639</v>
      </c>
      <c r="B29" s="175" t="s">
        <v>1646</v>
      </c>
      <c r="C29" s="51" t="s">
        <v>1604</v>
      </c>
      <c r="D29" s="51">
        <v>95.0</v>
      </c>
      <c r="E29" s="48">
        <v>95.0</v>
      </c>
      <c r="F29" s="48">
        <v>37.0</v>
      </c>
      <c r="G29" s="48">
        <v>385.0</v>
      </c>
      <c r="H29" s="48" t="s">
        <v>164</v>
      </c>
      <c r="I29" s="48">
        <v>2.0</v>
      </c>
      <c r="J29" s="182" t="s">
        <v>214</v>
      </c>
      <c r="K29" s="50" t="s">
        <v>1605</v>
      </c>
      <c r="L29" s="51">
        <v>1.0</v>
      </c>
      <c r="M29" s="51" t="s">
        <v>1640</v>
      </c>
      <c r="N29" s="48">
        <v>2500.0</v>
      </c>
      <c r="O29" s="49">
        <v>33.9</v>
      </c>
      <c r="P29" s="49">
        <v>2.11</v>
      </c>
      <c r="Q29" s="176">
        <v>23.6</v>
      </c>
      <c r="R29" s="63" t="s">
        <v>166</v>
      </c>
      <c r="S29" s="48" t="s">
        <v>174</v>
      </c>
      <c r="T29" s="48" t="s">
        <v>166</v>
      </c>
      <c r="U29" s="48" t="s">
        <v>174</v>
      </c>
      <c r="V29" s="48" t="s">
        <v>166</v>
      </c>
      <c r="W29" s="177" t="s">
        <v>166</v>
      </c>
      <c r="X29" s="177" t="s">
        <v>166</v>
      </c>
      <c r="Y29" s="183"/>
      <c r="Z29" s="66"/>
      <c r="AA29" s="66"/>
      <c r="AB29" s="66"/>
      <c r="AC29" s="66"/>
      <c r="AD29" s="66"/>
      <c r="AE29" s="66"/>
      <c r="AF29" s="66"/>
      <c r="AG29" s="66"/>
      <c r="AH29" s="66"/>
    </row>
    <row r="30">
      <c r="A30" s="174" t="s">
        <v>1639</v>
      </c>
      <c r="B30" s="175" t="s">
        <v>1647</v>
      </c>
      <c r="C30" s="51" t="s">
        <v>1604</v>
      </c>
      <c r="D30" s="51">
        <v>95.0</v>
      </c>
      <c r="E30" s="48">
        <v>95.0</v>
      </c>
      <c r="F30" s="48">
        <v>37.0</v>
      </c>
      <c r="G30" s="48">
        <v>385.0</v>
      </c>
      <c r="H30" s="48" t="s">
        <v>164</v>
      </c>
      <c r="I30" s="48">
        <v>2.0</v>
      </c>
      <c r="J30" s="182" t="s">
        <v>214</v>
      </c>
      <c r="K30" s="50" t="s">
        <v>1605</v>
      </c>
      <c r="L30" s="51">
        <v>1.0</v>
      </c>
      <c r="M30" s="51" t="s">
        <v>1640</v>
      </c>
      <c r="N30" s="48">
        <v>2500.0</v>
      </c>
      <c r="O30" s="49">
        <v>33.9</v>
      </c>
      <c r="P30" s="49">
        <v>2.11</v>
      </c>
      <c r="Q30" s="176">
        <v>23.6</v>
      </c>
      <c r="R30" s="63" t="s">
        <v>166</v>
      </c>
      <c r="S30" s="48" t="s">
        <v>166</v>
      </c>
      <c r="T30" s="48" t="s">
        <v>166</v>
      </c>
      <c r="U30" s="48" t="s">
        <v>166</v>
      </c>
      <c r="V30" s="48" t="s">
        <v>166</v>
      </c>
      <c r="W30" s="177" t="s">
        <v>174</v>
      </c>
      <c r="X30" s="177" t="s">
        <v>166</v>
      </c>
      <c r="Y30" s="178"/>
      <c r="Z30" s="66"/>
      <c r="AA30" s="66"/>
      <c r="AB30" s="66"/>
      <c r="AC30" s="66"/>
      <c r="AD30" s="66"/>
      <c r="AE30" s="66"/>
      <c r="AF30" s="66"/>
      <c r="AG30" s="66"/>
      <c r="AH30" s="66"/>
    </row>
    <row r="31">
      <c r="A31" s="174" t="s">
        <v>1639</v>
      </c>
      <c r="B31" s="175" t="s">
        <v>1648</v>
      </c>
      <c r="C31" s="51" t="s">
        <v>1604</v>
      </c>
      <c r="D31" s="51">
        <v>95.0</v>
      </c>
      <c r="E31" s="48">
        <v>95.0</v>
      </c>
      <c r="F31" s="48">
        <v>37.0</v>
      </c>
      <c r="G31" s="48">
        <v>385.0</v>
      </c>
      <c r="H31" s="48" t="s">
        <v>164</v>
      </c>
      <c r="I31" s="48">
        <v>2.0</v>
      </c>
      <c r="J31" s="182" t="s">
        <v>214</v>
      </c>
      <c r="K31" s="50" t="s">
        <v>1605</v>
      </c>
      <c r="L31" s="51">
        <v>1.0</v>
      </c>
      <c r="M31" s="51" t="s">
        <v>1640</v>
      </c>
      <c r="N31" s="184">
        <v>2500.0</v>
      </c>
      <c r="O31" s="185">
        <v>33.9</v>
      </c>
      <c r="P31" s="186">
        <v>2.11</v>
      </c>
      <c r="Q31" s="187">
        <v>23.6</v>
      </c>
      <c r="R31" s="63" t="s">
        <v>166</v>
      </c>
      <c r="S31" s="48" t="s">
        <v>166</v>
      </c>
      <c r="T31" s="48" t="s">
        <v>166</v>
      </c>
      <c r="U31" s="48" t="s">
        <v>166</v>
      </c>
      <c r="V31" s="48" t="s">
        <v>166</v>
      </c>
      <c r="W31" s="177" t="s">
        <v>174</v>
      </c>
      <c r="X31" s="177" t="s">
        <v>166</v>
      </c>
      <c r="Y31" s="178"/>
      <c r="Z31" s="66"/>
      <c r="AA31" s="66"/>
      <c r="AB31" s="66"/>
      <c r="AC31" s="66"/>
      <c r="AD31" s="66"/>
      <c r="AE31" s="66"/>
      <c r="AF31" s="66"/>
      <c r="AG31" s="66"/>
      <c r="AH31" s="66"/>
    </row>
    <row r="32">
      <c r="A32" s="174" t="s">
        <v>209</v>
      </c>
      <c r="B32" s="175" t="str">
        <f>HYPERLINK("https://www.silverstonetek.com/product.php?pid=504&amp;area=en","AR05")</f>
        <v>AR05</v>
      </c>
      <c r="C32" s="51" t="s">
        <v>1604</v>
      </c>
      <c r="D32" s="51">
        <v>92.0</v>
      </c>
      <c r="E32" s="48">
        <v>104.0</v>
      </c>
      <c r="F32" s="48">
        <v>37.0</v>
      </c>
      <c r="G32" s="48">
        <v>138.0</v>
      </c>
      <c r="H32" s="48" t="s">
        <v>164</v>
      </c>
      <c r="I32" s="48">
        <v>2.0</v>
      </c>
      <c r="J32" s="48">
        <v>65.0</v>
      </c>
      <c r="K32" s="50" t="s">
        <v>1605</v>
      </c>
      <c r="L32" s="51">
        <v>1.0</v>
      </c>
      <c r="M32" s="51" t="s">
        <v>1632</v>
      </c>
      <c r="N32" s="48">
        <v>2500.0</v>
      </c>
      <c r="O32" s="49">
        <v>40.2</v>
      </c>
      <c r="P32" s="49" t="s">
        <v>170</v>
      </c>
      <c r="Q32" s="176">
        <v>28.3</v>
      </c>
      <c r="R32" s="63" t="s">
        <v>174</v>
      </c>
      <c r="S32" s="48" t="s">
        <v>166</v>
      </c>
      <c r="T32" s="48" t="s">
        <v>166</v>
      </c>
      <c r="U32" s="48" t="s">
        <v>174</v>
      </c>
      <c r="V32" s="48" t="s">
        <v>166</v>
      </c>
      <c r="W32" s="177" t="s">
        <v>166</v>
      </c>
      <c r="X32" s="177" t="s">
        <v>166</v>
      </c>
      <c r="Y32" s="178"/>
      <c r="Z32" s="66"/>
      <c r="AA32" s="66"/>
      <c r="AB32" s="66"/>
      <c r="AC32" s="66"/>
      <c r="AD32" s="66"/>
      <c r="AE32" s="66"/>
      <c r="AF32" s="66"/>
      <c r="AG32" s="66"/>
      <c r="AH32" s="66"/>
    </row>
    <row r="33">
      <c r="A33" s="174" t="s">
        <v>1649</v>
      </c>
      <c r="B33" s="175" t="s">
        <v>1650</v>
      </c>
      <c r="C33" s="51" t="s">
        <v>1604</v>
      </c>
      <c r="D33" s="51">
        <v>100.0</v>
      </c>
      <c r="E33" s="48">
        <v>88.0</v>
      </c>
      <c r="F33" s="48">
        <v>38.0</v>
      </c>
      <c r="G33" s="48">
        <v>309.0</v>
      </c>
      <c r="H33" s="48" t="s">
        <v>164</v>
      </c>
      <c r="I33" s="48">
        <v>3.0</v>
      </c>
      <c r="J33" s="48">
        <v>65.0</v>
      </c>
      <c r="K33" s="50" t="s">
        <v>1605</v>
      </c>
      <c r="L33" s="51">
        <v>1.0</v>
      </c>
      <c r="M33" s="51" t="s">
        <v>1651</v>
      </c>
      <c r="N33" s="48">
        <v>3000.0</v>
      </c>
      <c r="O33" s="49">
        <v>37.6</v>
      </c>
      <c r="P33" s="49">
        <v>3.02</v>
      </c>
      <c r="Q33" s="176">
        <v>31.5</v>
      </c>
      <c r="R33" s="63" t="s">
        <v>174</v>
      </c>
      <c r="S33" s="48" t="s">
        <v>174</v>
      </c>
      <c r="T33" s="48" t="s">
        <v>174</v>
      </c>
      <c r="U33" s="48" t="s">
        <v>174</v>
      </c>
      <c r="V33" s="48" t="s">
        <v>174</v>
      </c>
      <c r="W33" s="177" t="s">
        <v>166</v>
      </c>
      <c r="X33" s="177" t="s">
        <v>166</v>
      </c>
      <c r="Y33" s="178"/>
      <c r="Z33" s="66"/>
      <c r="AA33" s="66"/>
      <c r="AB33" s="66"/>
      <c r="AC33" s="66"/>
      <c r="AD33" s="66"/>
      <c r="AE33" s="66"/>
      <c r="AF33" s="66"/>
      <c r="AG33" s="66"/>
      <c r="AH33" s="66"/>
    </row>
    <row r="34">
      <c r="A34" s="174" t="s">
        <v>1387</v>
      </c>
      <c r="B34" s="175" t="s">
        <v>1652</v>
      </c>
      <c r="C34" s="51" t="s">
        <v>1604</v>
      </c>
      <c r="D34" s="51">
        <v>82.0</v>
      </c>
      <c r="E34" s="48">
        <v>106.0</v>
      </c>
      <c r="F34" s="48">
        <v>39.0</v>
      </c>
      <c r="G34" s="48">
        <v>250.0</v>
      </c>
      <c r="H34" s="48" t="s">
        <v>164</v>
      </c>
      <c r="I34" s="48">
        <v>4.0</v>
      </c>
      <c r="J34" s="48" t="s">
        <v>170</v>
      </c>
      <c r="K34" s="50" t="s">
        <v>1605</v>
      </c>
      <c r="L34" s="51">
        <v>1.0</v>
      </c>
      <c r="M34" s="51" t="s">
        <v>1612</v>
      </c>
      <c r="N34" s="48">
        <v>3000.0</v>
      </c>
      <c r="O34" s="49">
        <v>25.8</v>
      </c>
      <c r="P34" s="49" t="s">
        <v>170</v>
      </c>
      <c r="Q34" s="176">
        <v>30.7</v>
      </c>
      <c r="R34" s="63" t="s">
        <v>174</v>
      </c>
      <c r="S34" s="48" t="s">
        <v>174</v>
      </c>
      <c r="T34" s="48" t="s">
        <v>174</v>
      </c>
      <c r="U34" s="48" t="s">
        <v>174</v>
      </c>
      <c r="V34" s="48" t="s">
        <v>166</v>
      </c>
      <c r="W34" s="177" t="s">
        <v>166</v>
      </c>
      <c r="X34" s="177" t="s">
        <v>166</v>
      </c>
      <c r="Y34" s="178"/>
      <c r="Z34" s="66"/>
      <c r="AA34" s="66"/>
      <c r="AB34" s="66"/>
      <c r="AC34" s="66"/>
      <c r="AD34" s="66"/>
      <c r="AE34" s="66"/>
      <c r="AF34" s="66"/>
      <c r="AG34" s="66"/>
      <c r="AH34" s="66"/>
    </row>
    <row r="35">
      <c r="A35" s="174" t="s">
        <v>1387</v>
      </c>
      <c r="B35" s="175" t="s">
        <v>1653</v>
      </c>
      <c r="C35" s="51" t="s">
        <v>1604</v>
      </c>
      <c r="D35" s="51">
        <v>82.0</v>
      </c>
      <c r="E35" s="48">
        <v>106.0</v>
      </c>
      <c r="F35" s="48">
        <v>39.0</v>
      </c>
      <c r="G35" s="48">
        <v>250.0</v>
      </c>
      <c r="H35" s="48" t="s">
        <v>164</v>
      </c>
      <c r="I35" s="48">
        <v>4.0</v>
      </c>
      <c r="J35" s="48" t="s">
        <v>170</v>
      </c>
      <c r="K35" s="50" t="s">
        <v>1605</v>
      </c>
      <c r="L35" s="51">
        <v>1.0</v>
      </c>
      <c r="M35" s="51" t="s">
        <v>1612</v>
      </c>
      <c r="N35" s="48">
        <v>3000.0</v>
      </c>
      <c r="O35" s="49">
        <v>25.8</v>
      </c>
      <c r="P35" s="49" t="s">
        <v>170</v>
      </c>
      <c r="Q35" s="176">
        <v>30.7</v>
      </c>
      <c r="R35" s="63" t="s">
        <v>174</v>
      </c>
      <c r="S35" s="48" t="s">
        <v>174</v>
      </c>
      <c r="T35" s="48" t="s">
        <v>174</v>
      </c>
      <c r="U35" s="48" t="s">
        <v>174</v>
      </c>
      <c r="V35" s="48" t="s">
        <v>166</v>
      </c>
      <c r="W35" s="177" t="s">
        <v>166</v>
      </c>
      <c r="X35" s="177" t="s">
        <v>166</v>
      </c>
      <c r="Y35" s="178"/>
      <c r="Z35" s="66"/>
      <c r="AA35" s="66"/>
      <c r="AB35" s="66"/>
      <c r="AC35" s="66"/>
      <c r="AD35" s="66"/>
      <c r="AE35" s="66"/>
      <c r="AF35" s="66"/>
      <c r="AG35" s="66"/>
      <c r="AH35" s="66"/>
    </row>
    <row r="36">
      <c r="A36" s="174" t="s">
        <v>1607</v>
      </c>
      <c r="B36" s="175" t="s">
        <v>1654</v>
      </c>
      <c r="C36" s="51" t="s">
        <v>1604</v>
      </c>
      <c r="D36" s="51">
        <v>92.0</v>
      </c>
      <c r="E36" s="48">
        <v>103.0</v>
      </c>
      <c r="F36" s="48">
        <v>39.0</v>
      </c>
      <c r="G36" s="48">
        <v>380.0</v>
      </c>
      <c r="H36" s="48" t="s">
        <v>164</v>
      </c>
      <c r="I36" s="48">
        <v>4.0</v>
      </c>
      <c r="J36" s="48">
        <v>110.0</v>
      </c>
      <c r="K36" s="50" t="s">
        <v>1605</v>
      </c>
      <c r="L36" s="51">
        <v>1.0</v>
      </c>
      <c r="M36" s="51" t="s">
        <v>1632</v>
      </c>
      <c r="N36" s="48">
        <v>3000.0</v>
      </c>
      <c r="O36" s="49">
        <v>45.0</v>
      </c>
      <c r="P36" s="49" t="s">
        <v>170</v>
      </c>
      <c r="Q36" s="176">
        <v>33.0</v>
      </c>
      <c r="R36" s="63" t="s">
        <v>174</v>
      </c>
      <c r="S36" s="48" t="s">
        <v>174</v>
      </c>
      <c r="T36" s="48" t="s">
        <v>174</v>
      </c>
      <c r="U36" s="48" t="s">
        <v>174</v>
      </c>
      <c r="V36" s="48" t="s">
        <v>166</v>
      </c>
      <c r="W36" s="177" t="s">
        <v>166</v>
      </c>
      <c r="X36" s="177" t="s">
        <v>166</v>
      </c>
      <c r="Y36" s="178"/>
      <c r="Z36" s="66"/>
      <c r="AA36" s="66"/>
      <c r="AB36" s="66"/>
      <c r="AC36" s="66"/>
      <c r="AD36" s="66"/>
      <c r="AE36" s="66"/>
      <c r="AF36" s="66"/>
      <c r="AG36" s="66"/>
      <c r="AH36" s="66"/>
    </row>
    <row r="37">
      <c r="A37" s="174" t="s">
        <v>1532</v>
      </c>
      <c r="B37" s="175" t="str">
        <f>HYPERLINK("https://www.coolermaster.com/catalog/coolers/cpu-air-coolers/masterair-g200p/","MasterAir G200P")</f>
        <v>MasterAir G200P</v>
      </c>
      <c r="C37" s="51" t="s">
        <v>1604</v>
      </c>
      <c r="D37" s="51">
        <v>95.0</v>
      </c>
      <c r="E37" s="48">
        <v>92.0</v>
      </c>
      <c r="F37" s="48">
        <v>39.4</v>
      </c>
      <c r="G37" s="48">
        <v>390.0</v>
      </c>
      <c r="H37" s="48" t="s">
        <v>164</v>
      </c>
      <c r="I37" s="48">
        <v>2.0</v>
      </c>
      <c r="J37" s="48">
        <v>95.0</v>
      </c>
      <c r="K37" s="50" t="s">
        <v>1605</v>
      </c>
      <c r="L37" s="51">
        <v>1.0</v>
      </c>
      <c r="M37" s="51" t="s">
        <v>1655</v>
      </c>
      <c r="N37" s="48">
        <v>2600.0</v>
      </c>
      <c r="O37" s="49">
        <v>35.5</v>
      </c>
      <c r="P37" s="49">
        <v>2.4</v>
      </c>
      <c r="Q37" s="176">
        <v>28.0</v>
      </c>
      <c r="R37" s="63" t="s">
        <v>174</v>
      </c>
      <c r="S37" s="48" t="s">
        <v>174</v>
      </c>
      <c r="T37" s="48" t="s">
        <v>166</v>
      </c>
      <c r="U37" s="48" t="s">
        <v>174</v>
      </c>
      <c r="V37" s="48" t="s">
        <v>166</v>
      </c>
      <c r="W37" s="177" t="s">
        <v>166</v>
      </c>
      <c r="X37" s="177" t="s">
        <v>166</v>
      </c>
      <c r="Y37" s="178"/>
      <c r="Z37" s="66"/>
      <c r="AA37" s="66"/>
      <c r="AB37" s="66"/>
      <c r="AC37" s="66"/>
      <c r="AD37" s="66"/>
      <c r="AE37" s="66"/>
      <c r="AF37" s="66"/>
      <c r="AG37" s="66"/>
      <c r="AH37" s="66"/>
    </row>
    <row r="38">
      <c r="A38" s="174" t="s">
        <v>1630</v>
      </c>
      <c r="B38" s="175" t="s">
        <v>1656</v>
      </c>
      <c r="C38" s="51" t="s">
        <v>1604</v>
      </c>
      <c r="D38" s="51">
        <v>92.0</v>
      </c>
      <c r="E38" s="48">
        <v>103.0</v>
      </c>
      <c r="F38" s="48">
        <v>40.0</v>
      </c>
      <c r="G38" s="48">
        <v>380.0</v>
      </c>
      <c r="H38" s="48" t="s">
        <v>164</v>
      </c>
      <c r="I38" s="48">
        <v>4.0</v>
      </c>
      <c r="J38" s="48">
        <v>140.0</v>
      </c>
      <c r="K38" s="50" t="s">
        <v>1605</v>
      </c>
      <c r="L38" s="51">
        <v>1.0</v>
      </c>
      <c r="M38" s="51" t="s">
        <v>1632</v>
      </c>
      <c r="N38" s="48">
        <v>3000.0</v>
      </c>
      <c r="O38" s="49">
        <v>48.3</v>
      </c>
      <c r="P38" s="49">
        <v>3.24</v>
      </c>
      <c r="Q38" s="176">
        <v>33.0</v>
      </c>
      <c r="R38" s="63" t="s">
        <v>166</v>
      </c>
      <c r="S38" s="48" t="s">
        <v>174</v>
      </c>
      <c r="T38" s="48" t="s">
        <v>166</v>
      </c>
      <c r="U38" s="48" t="s">
        <v>174</v>
      </c>
      <c r="V38" s="48" t="s">
        <v>166</v>
      </c>
      <c r="W38" s="177" t="s">
        <v>174</v>
      </c>
      <c r="X38" s="177" t="s">
        <v>166</v>
      </c>
      <c r="Y38" s="178"/>
      <c r="Z38" s="66"/>
      <c r="AA38" s="66"/>
      <c r="AB38" s="66"/>
      <c r="AC38" s="66"/>
      <c r="AD38" s="66"/>
      <c r="AE38" s="66"/>
      <c r="AF38" s="66"/>
      <c r="AG38" s="66"/>
      <c r="AH38" s="66"/>
    </row>
    <row r="39">
      <c r="A39" s="174" t="s">
        <v>1630</v>
      </c>
      <c r="B39" s="175" t="s">
        <v>1657</v>
      </c>
      <c r="C39" s="51" t="s">
        <v>1604</v>
      </c>
      <c r="D39" s="51">
        <v>92.0</v>
      </c>
      <c r="E39" s="48">
        <v>103.0</v>
      </c>
      <c r="F39" s="48">
        <v>40.0</v>
      </c>
      <c r="G39" s="48">
        <v>350.0</v>
      </c>
      <c r="H39" s="48" t="s">
        <v>164</v>
      </c>
      <c r="I39" s="48">
        <v>4.0</v>
      </c>
      <c r="J39" s="48">
        <v>140.0</v>
      </c>
      <c r="K39" s="50" t="s">
        <v>1605</v>
      </c>
      <c r="L39" s="51">
        <v>1.0</v>
      </c>
      <c r="M39" s="51" t="s">
        <v>1632</v>
      </c>
      <c r="N39" s="48">
        <v>2800.0</v>
      </c>
      <c r="O39" s="49">
        <v>38.18</v>
      </c>
      <c r="P39" s="49" t="s">
        <v>170</v>
      </c>
      <c r="Q39" s="176">
        <v>34.0</v>
      </c>
      <c r="R39" s="63" t="s">
        <v>166</v>
      </c>
      <c r="S39" s="48" t="s">
        <v>174</v>
      </c>
      <c r="T39" s="48" t="s">
        <v>166</v>
      </c>
      <c r="U39" s="48" t="s">
        <v>174</v>
      </c>
      <c r="V39" s="48" t="s">
        <v>166</v>
      </c>
      <c r="W39" s="177" t="s">
        <v>174</v>
      </c>
      <c r="X39" s="177" t="s">
        <v>166</v>
      </c>
      <c r="Y39" s="178"/>
      <c r="Z39" s="66"/>
      <c r="AA39" s="66"/>
      <c r="AB39" s="66"/>
      <c r="AC39" s="66"/>
      <c r="AD39" s="66"/>
      <c r="AE39" s="66"/>
      <c r="AF39" s="66"/>
      <c r="AG39" s="66"/>
      <c r="AH39" s="66"/>
    </row>
    <row r="40">
      <c r="A40" s="174" t="s">
        <v>1387</v>
      </c>
      <c r="B40" s="180" t="s">
        <v>1658</v>
      </c>
      <c r="C40" s="51" t="s">
        <v>1604</v>
      </c>
      <c r="D40" s="51">
        <v>110.0</v>
      </c>
      <c r="E40" s="48">
        <v>103.0</v>
      </c>
      <c r="F40" s="48">
        <v>40.0</v>
      </c>
      <c r="G40" s="48">
        <v>250.0</v>
      </c>
      <c r="H40" s="48" t="s">
        <v>164</v>
      </c>
      <c r="I40" s="48">
        <v>3.0</v>
      </c>
      <c r="J40" s="48">
        <v>95.0</v>
      </c>
      <c r="K40" s="50" t="s">
        <v>1605</v>
      </c>
      <c r="L40" s="51">
        <v>1.0</v>
      </c>
      <c r="M40" s="51" t="s">
        <v>1612</v>
      </c>
      <c r="N40" s="48">
        <v>3300.0</v>
      </c>
      <c r="O40" s="49">
        <v>24.82</v>
      </c>
      <c r="P40" s="49">
        <v>1.99</v>
      </c>
      <c r="Q40" s="176">
        <v>32.5</v>
      </c>
      <c r="R40" s="63" t="s">
        <v>174</v>
      </c>
      <c r="S40" s="48" t="s">
        <v>166</v>
      </c>
      <c r="T40" s="48" t="s">
        <v>174</v>
      </c>
      <c r="U40" s="48" t="s">
        <v>174</v>
      </c>
      <c r="V40" s="48" t="s">
        <v>174</v>
      </c>
      <c r="W40" s="177" t="s">
        <v>166</v>
      </c>
      <c r="X40" s="177" t="s">
        <v>166</v>
      </c>
      <c r="Y40" s="178"/>
      <c r="Z40" s="66"/>
      <c r="AA40" s="66"/>
      <c r="AB40" s="66"/>
      <c r="AC40" s="66"/>
      <c r="AD40" s="66"/>
      <c r="AE40" s="66"/>
      <c r="AF40" s="66"/>
      <c r="AG40" s="66"/>
      <c r="AH40" s="66"/>
    </row>
    <row r="41">
      <c r="A41" s="174" t="s">
        <v>1659</v>
      </c>
      <c r="B41" s="175" t="s">
        <v>1660</v>
      </c>
      <c r="C41" s="51" t="s">
        <v>1604</v>
      </c>
      <c r="D41" s="51">
        <v>104.0</v>
      </c>
      <c r="E41" s="48">
        <v>94.0</v>
      </c>
      <c r="F41" s="48">
        <v>41.5</v>
      </c>
      <c r="G41" s="48">
        <v>198.0</v>
      </c>
      <c r="H41" s="48" t="s">
        <v>164</v>
      </c>
      <c r="I41" s="48">
        <v>4.0</v>
      </c>
      <c r="J41" s="48">
        <v>130.0</v>
      </c>
      <c r="K41" s="50" t="s">
        <v>1605</v>
      </c>
      <c r="L41" s="51">
        <v>1.0</v>
      </c>
      <c r="M41" s="51" t="s">
        <v>1632</v>
      </c>
      <c r="N41" s="48">
        <v>2800.0</v>
      </c>
      <c r="O41" s="49">
        <v>41.18</v>
      </c>
      <c r="P41" s="49">
        <v>2.49</v>
      </c>
      <c r="Q41" s="176">
        <v>26.5</v>
      </c>
      <c r="R41" s="63" t="s">
        <v>174</v>
      </c>
      <c r="S41" s="48" t="s">
        <v>174</v>
      </c>
      <c r="T41" s="48" t="s">
        <v>166</v>
      </c>
      <c r="U41" s="48" t="s">
        <v>174</v>
      </c>
      <c r="V41" s="48" t="s">
        <v>166</v>
      </c>
      <c r="W41" s="177" t="s">
        <v>174</v>
      </c>
      <c r="X41" s="177" t="s">
        <v>166</v>
      </c>
      <c r="Y41" s="178"/>
      <c r="Z41" s="66"/>
      <c r="AA41" s="66"/>
      <c r="AB41" s="66"/>
      <c r="AC41" s="66"/>
      <c r="AD41" s="66"/>
      <c r="AE41" s="66"/>
      <c r="AF41" s="66"/>
      <c r="AG41" s="66"/>
      <c r="AH41" s="66"/>
    </row>
    <row r="42">
      <c r="A42" s="174" t="s">
        <v>1661</v>
      </c>
      <c r="B42" s="175" t="str">
        <f>HYPERLINK("https://www.raijintek.com/en/products_detail.php?ProductID=8","Zelos")</f>
        <v>Zelos</v>
      </c>
      <c r="C42" s="51" t="s">
        <v>1604</v>
      </c>
      <c r="D42" s="51">
        <v>94.0</v>
      </c>
      <c r="E42" s="48">
        <v>93.0</v>
      </c>
      <c r="F42" s="48">
        <v>44.0</v>
      </c>
      <c r="G42" s="48">
        <v>190.0</v>
      </c>
      <c r="H42" s="48" t="s">
        <v>164</v>
      </c>
      <c r="I42" s="48">
        <v>3.0</v>
      </c>
      <c r="J42" s="48" t="s">
        <v>170</v>
      </c>
      <c r="K42" s="50" t="s">
        <v>1605</v>
      </c>
      <c r="L42" s="51">
        <v>1.0</v>
      </c>
      <c r="M42" s="51" t="s">
        <v>1632</v>
      </c>
      <c r="N42" s="48">
        <v>1400.0</v>
      </c>
      <c r="O42" s="49">
        <v>41.0</v>
      </c>
      <c r="P42" s="49">
        <v>3.5</v>
      </c>
      <c r="Q42" s="176">
        <v>20.0</v>
      </c>
      <c r="R42" s="63" t="s">
        <v>174</v>
      </c>
      <c r="S42" s="48" t="s">
        <v>166</v>
      </c>
      <c r="T42" s="48" t="s">
        <v>166</v>
      </c>
      <c r="U42" s="48" t="s">
        <v>174</v>
      </c>
      <c r="V42" s="48" t="s">
        <v>166</v>
      </c>
      <c r="W42" s="177" t="s">
        <v>166</v>
      </c>
      <c r="X42" s="177" t="s">
        <v>166</v>
      </c>
      <c r="Y42" s="178"/>
      <c r="Z42" s="66"/>
      <c r="AA42" s="66"/>
      <c r="AB42" s="66"/>
      <c r="AC42" s="66"/>
      <c r="AD42" s="66"/>
      <c r="AE42" s="66"/>
      <c r="AF42" s="66"/>
      <c r="AG42" s="66"/>
      <c r="AH42" s="66"/>
    </row>
    <row r="43">
      <c r="A43" s="174" t="s">
        <v>1662</v>
      </c>
      <c r="B43" s="175" t="s">
        <v>1663</v>
      </c>
      <c r="C43" s="51" t="s">
        <v>1604</v>
      </c>
      <c r="D43" s="51">
        <v>100.0</v>
      </c>
      <c r="E43" s="48">
        <v>93.0</v>
      </c>
      <c r="F43" s="48">
        <v>45.0</v>
      </c>
      <c r="G43" s="48">
        <v>250.0</v>
      </c>
      <c r="H43" s="48" t="s">
        <v>164</v>
      </c>
      <c r="I43" s="48">
        <v>3.0</v>
      </c>
      <c r="J43" s="48">
        <v>95.0</v>
      </c>
      <c r="K43" s="50" t="s">
        <v>1605</v>
      </c>
      <c r="L43" s="51">
        <v>1.0</v>
      </c>
      <c r="M43" s="51" t="s">
        <v>1632</v>
      </c>
      <c r="N43" s="48">
        <v>2800.0</v>
      </c>
      <c r="O43" s="49">
        <v>47.1</v>
      </c>
      <c r="P43" s="49" t="s">
        <v>170</v>
      </c>
      <c r="Q43" s="176">
        <v>37.6</v>
      </c>
      <c r="R43" s="63" t="s">
        <v>174</v>
      </c>
      <c r="S43" s="48" t="s">
        <v>174</v>
      </c>
      <c r="T43" s="48" t="s">
        <v>174</v>
      </c>
      <c r="U43" s="48" t="s">
        <v>174</v>
      </c>
      <c r="V43" s="48" t="s">
        <v>166</v>
      </c>
      <c r="W43" s="177" t="s">
        <v>174</v>
      </c>
      <c r="X43" s="177" t="s">
        <v>166</v>
      </c>
      <c r="Y43" s="178"/>
      <c r="Z43" s="66"/>
      <c r="AA43" s="66"/>
      <c r="AB43" s="66"/>
      <c r="AC43" s="66"/>
      <c r="AD43" s="66"/>
      <c r="AE43" s="66"/>
      <c r="AF43" s="66"/>
      <c r="AG43" s="66"/>
      <c r="AH43" s="66"/>
    </row>
    <row r="44">
      <c r="A44" s="174" t="s">
        <v>1664</v>
      </c>
      <c r="B44" s="175" t="str">
        <f>HYPERLINK("https://www.amd.com/en/technologies/cpu-cooler-solution","Wraith Stealth (no plastic shroud mod)")</f>
        <v>Wraith Stealth (no plastic shroud mod)</v>
      </c>
      <c r="C44" s="51" t="s">
        <v>1604</v>
      </c>
      <c r="D44" s="51">
        <v>92.0</v>
      </c>
      <c r="E44" s="48">
        <v>92.0</v>
      </c>
      <c r="F44" s="48">
        <v>45.0</v>
      </c>
      <c r="G44" s="48" t="s">
        <v>170</v>
      </c>
      <c r="H44" s="48" t="s">
        <v>164</v>
      </c>
      <c r="I44" s="48" t="s">
        <v>166</v>
      </c>
      <c r="J44" s="48">
        <v>65.0</v>
      </c>
      <c r="K44" s="50" t="s">
        <v>1605</v>
      </c>
      <c r="L44" s="51">
        <v>1.0</v>
      </c>
      <c r="M44" s="51" t="s">
        <v>1665</v>
      </c>
      <c r="N44" s="48" t="s">
        <v>170</v>
      </c>
      <c r="O44" s="49" t="s">
        <v>170</v>
      </c>
      <c r="P44" s="49" t="s">
        <v>170</v>
      </c>
      <c r="Q44" s="176" t="s">
        <v>170</v>
      </c>
      <c r="R44" s="63" t="s">
        <v>166</v>
      </c>
      <c r="S44" s="48" t="s">
        <v>174</v>
      </c>
      <c r="T44" s="48" t="s">
        <v>166</v>
      </c>
      <c r="U44" s="48" t="s">
        <v>166</v>
      </c>
      <c r="V44" s="48" t="s">
        <v>166</v>
      </c>
      <c r="W44" s="177" t="s">
        <v>166</v>
      </c>
      <c r="X44" s="177" t="s">
        <v>166</v>
      </c>
      <c r="Y44" s="183"/>
      <c r="Z44" s="66"/>
      <c r="AA44" s="66"/>
      <c r="AB44" s="66"/>
      <c r="AC44" s="66"/>
      <c r="AD44" s="66"/>
      <c r="AE44" s="66"/>
      <c r="AF44" s="66"/>
      <c r="AG44" s="66"/>
      <c r="AH44" s="66"/>
    </row>
    <row r="45">
      <c r="A45" s="174" t="s">
        <v>1666</v>
      </c>
      <c r="B45" s="175" t="s">
        <v>1667</v>
      </c>
      <c r="C45" s="51" t="s">
        <v>1604</v>
      </c>
      <c r="D45" s="51">
        <v>92.0</v>
      </c>
      <c r="E45" s="48">
        <v>92.0</v>
      </c>
      <c r="F45" s="48">
        <v>45.0</v>
      </c>
      <c r="G45" s="48">
        <v>358.0</v>
      </c>
      <c r="H45" s="48" t="s">
        <v>164</v>
      </c>
      <c r="I45" s="48">
        <v>3.0</v>
      </c>
      <c r="J45" s="48">
        <v>100.0</v>
      </c>
      <c r="K45" s="50" t="s">
        <v>1605</v>
      </c>
      <c r="L45" s="51">
        <v>1.0</v>
      </c>
      <c r="M45" s="51" t="s">
        <v>1632</v>
      </c>
      <c r="N45" s="48">
        <v>2500.0</v>
      </c>
      <c r="O45" s="49" t="s">
        <v>170</v>
      </c>
      <c r="P45" s="49" t="s">
        <v>170</v>
      </c>
      <c r="Q45" s="176">
        <v>30.6</v>
      </c>
      <c r="R45" s="63" t="s">
        <v>166</v>
      </c>
      <c r="S45" s="48" t="s">
        <v>174</v>
      </c>
      <c r="T45" s="48" t="s">
        <v>166</v>
      </c>
      <c r="U45" s="48" t="s">
        <v>174</v>
      </c>
      <c r="V45" s="48" t="s">
        <v>166</v>
      </c>
      <c r="W45" s="177" t="s">
        <v>174</v>
      </c>
      <c r="X45" s="177" t="s">
        <v>166</v>
      </c>
      <c r="Y45" s="178"/>
      <c r="Z45" s="66"/>
      <c r="AA45" s="66"/>
      <c r="AB45" s="66"/>
      <c r="AC45" s="66"/>
      <c r="AD45" s="66"/>
      <c r="AE45" s="66"/>
      <c r="AF45" s="66"/>
      <c r="AG45" s="66"/>
      <c r="AH45" s="66"/>
    </row>
    <row r="46">
      <c r="A46" s="174" t="s">
        <v>1611</v>
      </c>
      <c r="B46" s="175" t="str">
        <f>HYPERLINK("http://www.idcooling.com/Product/detail/id/136/name/IS-40X","IS-40X")</f>
        <v>IS-40X</v>
      </c>
      <c r="C46" s="51" t="s">
        <v>1604</v>
      </c>
      <c r="D46" s="51">
        <v>93.0</v>
      </c>
      <c r="E46" s="48">
        <v>101.0</v>
      </c>
      <c r="F46" s="48">
        <v>45.0</v>
      </c>
      <c r="G46" s="48">
        <v>310.0</v>
      </c>
      <c r="H46" s="48" t="s">
        <v>164</v>
      </c>
      <c r="I46" s="48">
        <v>4.0</v>
      </c>
      <c r="J46" s="48">
        <v>100.0</v>
      </c>
      <c r="K46" s="50" t="s">
        <v>1605</v>
      </c>
      <c r="L46" s="51">
        <v>1.0</v>
      </c>
      <c r="M46" s="51" t="s">
        <v>1632</v>
      </c>
      <c r="N46" s="48">
        <v>2500.0</v>
      </c>
      <c r="O46" s="49">
        <v>44.3</v>
      </c>
      <c r="P46" s="49">
        <v>3.24</v>
      </c>
      <c r="Q46" s="176">
        <v>33.0</v>
      </c>
      <c r="R46" s="63" t="s">
        <v>174</v>
      </c>
      <c r="S46" s="48" t="s">
        <v>174</v>
      </c>
      <c r="T46" s="48" t="s">
        <v>166</v>
      </c>
      <c r="U46" s="48" t="s">
        <v>174</v>
      </c>
      <c r="V46" s="48" t="s">
        <v>166</v>
      </c>
      <c r="W46" s="177" t="s">
        <v>166</v>
      </c>
      <c r="X46" s="177" t="s">
        <v>166</v>
      </c>
      <c r="Y46" s="178"/>
      <c r="Z46" s="66"/>
      <c r="AA46" s="66"/>
      <c r="AB46" s="66"/>
      <c r="AC46" s="66"/>
      <c r="AD46" s="66"/>
      <c r="AE46" s="66"/>
      <c r="AF46" s="66"/>
      <c r="AG46" s="66"/>
      <c r="AH46" s="66"/>
    </row>
    <row r="47">
      <c r="A47" s="174" t="s">
        <v>1611</v>
      </c>
      <c r="B47" s="175" t="s">
        <v>1668</v>
      </c>
      <c r="C47" s="51" t="s">
        <v>1604</v>
      </c>
      <c r="D47" s="51">
        <v>94.0</v>
      </c>
      <c r="E47" s="48">
        <v>101.0</v>
      </c>
      <c r="F47" s="48">
        <v>45.0</v>
      </c>
      <c r="G47" s="48">
        <v>400.0</v>
      </c>
      <c r="H47" s="48" t="s">
        <v>164</v>
      </c>
      <c r="I47" s="48">
        <v>4.0</v>
      </c>
      <c r="J47" s="48">
        <v>100.0</v>
      </c>
      <c r="K47" s="50" t="s">
        <v>1605</v>
      </c>
      <c r="L47" s="51">
        <v>1.0</v>
      </c>
      <c r="M47" s="51" t="s">
        <v>1632</v>
      </c>
      <c r="N47" s="48">
        <v>2800.0</v>
      </c>
      <c r="O47" s="49">
        <v>46.0</v>
      </c>
      <c r="P47" s="49">
        <v>3.28</v>
      </c>
      <c r="Q47" s="176">
        <v>35.2</v>
      </c>
      <c r="R47" s="63" t="s">
        <v>166</v>
      </c>
      <c r="S47" s="48" t="s">
        <v>174</v>
      </c>
      <c r="T47" s="48" t="s">
        <v>166</v>
      </c>
      <c r="U47" s="48" t="s">
        <v>174</v>
      </c>
      <c r="V47" s="48" t="s">
        <v>166</v>
      </c>
      <c r="W47" s="177" t="s">
        <v>174</v>
      </c>
      <c r="X47" s="177" t="s">
        <v>166</v>
      </c>
      <c r="Y47" s="178"/>
      <c r="Z47" s="66"/>
      <c r="AA47" s="66"/>
      <c r="AB47" s="66"/>
      <c r="AC47" s="66"/>
      <c r="AD47" s="66"/>
      <c r="AE47" s="66"/>
      <c r="AF47" s="66"/>
      <c r="AG47" s="66"/>
      <c r="AH47" s="66"/>
    </row>
    <row r="48">
      <c r="A48" s="174" t="s">
        <v>1611</v>
      </c>
      <c r="B48" s="175" t="str">
        <f>HYPERLINK("http://www.idcooling.com/Product/detail/id/44/name/IS-VC45","IS-VC45")</f>
        <v>IS-VC45</v>
      </c>
      <c r="C48" s="51" t="s">
        <v>1604</v>
      </c>
      <c r="D48" s="51">
        <v>94.0</v>
      </c>
      <c r="E48" s="48">
        <v>92.0</v>
      </c>
      <c r="F48" s="48">
        <v>45.0</v>
      </c>
      <c r="G48" s="48">
        <v>330.0</v>
      </c>
      <c r="H48" s="48" t="s">
        <v>164</v>
      </c>
      <c r="I48" s="48" t="s">
        <v>166</v>
      </c>
      <c r="J48" s="48">
        <v>130.0</v>
      </c>
      <c r="K48" s="50" t="s">
        <v>1605</v>
      </c>
      <c r="L48" s="51">
        <v>1.0</v>
      </c>
      <c r="M48" s="51" t="s">
        <v>1632</v>
      </c>
      <c r="N48" s="48">
        <v>2500.0</v>
      </c>
      <c r="O48" s="49">
        <v>44.3</v>
      </c>
      <c r="P48" s="49">
        <v>3.24</v>
      </c>
      <c r="Q48" s="176">
        <v>33.0</v>
      </c>
      <c r="R48" s="63" t="s">
        <v>166</v>
      </c>
      <c r="S48" s="48" t="s">
        <v>166</v>
      </c>
      <c r="T48" s="48" t="s">
        <v>166</v>
      </c>
      <c r="U48" s="48" t="s">
        <v>174</v>
      </c>
      <c r="V48" s="48" t="s">
        <v>166</v>
      </c>
      <c r="W48" s="177" t="s">
        <v>166</v>
      </c>
      <c r="X48" s="177" t="s">
        <v>174</v>
      </c>
      <c r="Y48" s="178"/>
      <c r="Z48" s="66"/>
      <c r="AA48" s="66"/>
      <c r="AB48" s="66"/>
      <c r="AC48" s="66"/>
      <c r="AD48" s="66"/>
      <c r="AE48" s="66"/>
      <c r="AF48" s="66"/>
      <c r="AG48" s="66"/>
      <c r="AH48" s="66"/>
    </row>
    <row r="49">
      <c r="A49" s="188" t="s">
        <v>1669</v>
      </c>
      <c r="B49" s="175" t="s">
        <v>1670</v>
      </c>
      <c r="C49" s="51" t="s">
        <v>1604</v>
      </c>
      <c r="D49" s="51">
        <v>121.2</v>
      </c>
      <c r="E49" s="48">
        <v>120.0</v>
      </c>
      <c r="F49" s="48">
        <v>45.0</v>
      </c>
      <c r="G49" s="48">
        <v>410.0</v>
      </c>
      <c r="H49" s="48" t="s">
        <v>164</v>
      </c>
      <c r="I49" s="48">
        <v>6.0</v>
      </c>
      <c r="J49" s="48" t="s">
        <v>170</v>
      </c>
      <c r="K49" s="50" t="s">
        <v>1605</v>
      </c>
      <c r="L49" s="51">
        <v>1.0</v>
      </c>
      <c r="M49" s="51" t="s">
        <v>166</v>
      </c>
      <c r="N49" s="48" t="s">
        <v>166</v>
      </c>
      <c r="O49" s="49" t="s">
        <v>166</v>
      </c>
      <c r="P49" s="49" t="s">
        <v>166</v>
      </c>
      <c r="Q49" s="176" t="s">
        <v>166</v>
      </c>
      <c r="R49" s="63" t="s">
        <v>174</v>
      </c>
      <c r="S49" s="48" t="s">
        <v>166</v>
      </c>
      <c r="T49" s="48" t="s">
        <v>174</v>
      </c>
      <c r="U49" s="48" t="s">
        <v>174</v>
      </c>
      <c r="V49" s="48" t="s">
        <v>174</v>
      </c>
      <c r="W49" s="177" t="s">
        <v>166</v>
      </c>
      <c r="X49" s="177" t="s">
        <v>166</v>
      </c>
      <c r="Y49" s="183" t="s">
        <v>1671</v>
      </c>
      <c r="Z49" s="66"/>
      <c r="AA49" s="66"/>
      <c r="AB49" s="66"/>
      <c r="AC49" s="66"/>
      <c r="AD49" s="66"/>
      <c r="AE49" s="66"/>
      <c r="AF49" s="66"/>
      <c r="AG49" s="66"/>
      <c r="AH49" s="66"/>
    </row>
    <row r="50">
      <c r="A50" s="174" t="s">
        <v>1630</v>
      </c>
      <c r="B50" s="175" t="s">
        <v>1672</v>
      </c>
      <c r="C50" s="51" t="s">
        <v>1604</v>
      </c>
      <c r="D50" s="51">
        <v>95.0</v>
      </c>
      <c r="E50" s="48">
        <v>95.0</v>
      </c>
      <c r="F50" s="48">
        <v>45.3</v>
      </c>
      <c r="G50" s="48">
        <v>290.0</v>
      </c>
      <c r="H50" s="48" t="s">
        <v>164</v>
      </c>
      <c r="I50" s="48">
        <v>4.0</v>
      </c>
      <c r="J50" s="48">
        <v>170.0</v>
      </c>
      <c r="K50" s="50" t="s">
        <v>1605</v>
      </c>
      <c r="L50" s="51">
        <v>1.0</v>
      </c>
      <c r="M50" s="51" t="s">
        <v>1673</v>
      </c>
      <c r="N50" s="48">
        <v>3300.0</v>
      </c>
      <c r="O50" s="49">
        <v>38.85</v>
      </c>
      <c r="P50" s="49">
        <v>2.71</v>
      </c>
      <c r="Q50" s="176">
        <v>28.4</v>
      </c>
      <c r="R50" s="63" t="s">
        <v>166</v>
      </c>
      <c r="S50" s="48" t="s">
        <v>174</v>
      </c>
      <c r="T50" s="48" t="s">
        <v>166</v>
      </c>
      <c r="U50" s="48" t="s">
        <v>174</v>
      </c>
      <c r="V50" s="48" t="s">
        <v>166</v>
      </c>
      <c r="W50" s="177" t="s">
        <v>174</v>
      </c>
      <c r="X50" s="177" t="s">
        <v>166</v>
      </c>
      <c r="Y50" s="183"/>
      <c r="Z50" s="66"/>
      <c r="AA50" s="66"/>
      <c r="AB50" s="66"/>
      <c r="AC50" s="66"/>
      <c r="AD50" s="66"/>
      <c r="AE50" s="66"/>
      <c r="AF50" s="66"/>
      <c r="AG50" s="66"/>
      <c r="AH50" s="66"/>
    </row>
    <row r="51">
      <c r="A51" s="174" t="s">
        <v>1630</v>
      </c>
      <c r="B51" s="175" t="s">
        <v>1674</v>
      </c>
      <c r="C51" s="51" t="s">
        <v>1604</v>
      </c>
      <c r="D51" s="51">
        <v>95.0</v>
      </c>
      <c r="E51" s="48">
        <v>95.0</v>
      </c>
      <c r="F51" s="48">
        <v>45.3</v>
      </c>
      <c r="G51" s="48">
        <v>290.0</v>
      </c>
      <c r="H51" s="48" t="s">
        <v>164</v>
      </c>
      <c r="I51" s="48">
        <v>4.0</v>
      </c>
      <c r="J51" s="48">
        <v>170.0</v>
      </c>
      <c r="K51" s="50" t="s">
        <v>1605</v>
      </c>
      <c r="L51" s="51">
        <v>1.0</v>
      </c>
      <c r="M51" s="51" t="s">
        <v>1673</v>
      </c>
      <c r="N51" s="48">
        <v>3300.0</v>
      </c>
      <c r="O51" s="49">
        <v>38.85</v>
      </c>
      <c r="P51" s="49">
        <v>2.71</v>
      </c>
      <c r="Q51" s="176">
        <v>28.4</v>
      </c>
      <c r="R51" s="63" t="s">
        <v>166</v>
      </c>
      <c r="S51" s="48" t="s">
        <v>174</v>
      </c>
      <c r="T51" s="48" t="s">
        <v>166</v>
      </c>
      <c r="U51" s="48" t="s">
        <v>174</v>
      </c>
      <c r="V51" s="48" t="s">
        <v>166</v>
      </c>
      <c r="W51" s="177" t="s">
        <v>174</v>
      </c>
      <c r="X51" s="177" t="s">
        <v>166</v>
      </c>
      <c r="Y51" s="183"/>
      <c r="Z51" s="66"/>
      <c r="AA51" s="66"/>
      <c r="AB51" s="66"/>
      <c r="AC51" s="66"/>
      <c r="AD51" s="66"/>
      <c r="AE51" s="66"/>
      <c r="AF51" s="66"/>
      <c r="AG51" s="66"/>
      <c r="AH51" s="66"/>
    </row>
    <row r="52">
      <c r="A52" s="174" t="s">
        <v>1662</v>
      </c>
      <c r="B52" s="175" t="str">
        <f>HYPERLINK("https://www.alpenfoehn.de/en/products/cpu-cooler/black-ridge-en","Blackridge (Low profile mode) (120mm fan)")</f>
        <v>Blackridge (Low profile mode) (120mm fan)</v>
      </c>
      <c r="C52" s="51" t="s">
        <v>1604</v>
      </c>
      <c r="D52" s="51">
        <v>140.0</v>
      </c>
      <c r="E52" s="48">
        <v>120.0</v>
      </c>
      <c r="F52" s="48">
        <v>47.0</v>
      </c>
      <c r="G52" s="48">
        <v>438.0</v>
      </c>
      <c r="H52" s="48" t="s">
        <v>164</v>
      </c>
      <c r="I52" s="48">
        <v>6.0</v>
      </c>
      <c r="J52" s="48">
        <v>95.0</v>
      </c>
      <c r="K52" s="50">
        <v>18.0</v>
      </c>
      <c r="L52" s="51">
        <v>1.0</v>
      </c>
      <c r="M52" s="51" t="s">
        <v>1675</v>
      </c>
      <c r="N52" s="48" t="s">
        <v>166</v>
      </c>
      <c r="O52" s="49" t="s">
        <v>166</v>
      </c>
      <c r="P52" s="49" t="s">
        <v>166</v>
      </c>
      <c r="Q52" s="176" t="s">
        <v>166</v>
      </c>
      <c r="R52" s="63" t="s">
        <v>166</v>
      </c>
      <c r="S52" s="48" t="s">
        <v>174</v>
      </c>
      <c r="T52" s="48" t="s">
        <v>166</v>
      </c>
      <c r="U52" s="48" t="s">
        <v>174</v>
      </c>
      <c r="V52" s="48" t="s">
        <v>166</v>
      </c>
      <c r="W52" s="177" t="s">
        <v>174</v>
      </c>
      <c r="X52" s="177" t="s">
        <v>166</v>
      </c>
      <c r="Y52" s="183" t="s">
        <v>1676</v>
      </c>
      <c r="Z52" s="66"/>
      <c r="AA52" s="66"/>
      <c r="AB52" s="66"/>
      <c r="AC52" s="66"/>
      <c r="AD52" s="66"/>
      <c r="AE52" s="66"/>
      <c r="AF52" s="66"/>
      <c r="AG52" s="66"/>
      <c r="AH52" s="66"/>
    </row>
    <row r="53">
      <c r="A53" s="174" t="s">
        <v>1662</v>
      </c>
      <c r="B53" s="175" t="s">
        <v>1677</v>
      </c>
      <c r="C53" s="51" t="s">
        <v>1604</v>
      </c>
      <c r="D53" s="51">
        <v>140.0</v>
      </c>
      <c r="E53" s="48">
        <v>120.0</v>
      </c>
      <c r="F53" s="48">
        <v>47.0</v>
      </c>
      <c r="G53" s="48">
        <v>438.0</v>
      </c>
      <c r="H53" s="48" t="s">
        <v>164</v>
      </c>
      <c r="I53" s="48">
        <v>6.0</v>
      </c>
      <c r="J53" s="48">
        <v>95.0</v>
      </c>
      <c r="K53" s="50">
        <v>33.0</v>
      </c>
      <c r="L53" s="51">
        <v>1.0</v>
      </c>
      <c r="M53" s="51" t="s">
        <v>1632</v>
      </c>
      <c r="N53" s="48">
        <v>2800.0</v>
      </c>
      <c r="O53" s="49">
        <v>47.1</v>
      </c>
      <c r="P53" s="49" t="s">
        <v>170</v>
      </c>
      <c r="Q53" s="176">
        <v>37.6</v>
      </c>
      <c r="R53" s="63" t="s">
        <v>166</v>
      </c>
      <c r="S53" s="48" t="s">
        <v>174</v>
      </c>
      <c r="T53" s="48" t="s">
        <v>166</v>
      </c>
      <c r="U53" s="48" t="s">
        <v>174</v>
      </c>
      <c r="V53" s="48" t="s">
        <v>166</v>
      </c>
      <c r="W53" s="177" t="s">
        <v>174</v>
      </c>
      <c r="X53" s="177" t="s">
        <v>166</v>
      </c>
      <c r="Y53" s="189" t="s">
        <v>1678</v>
      </c>
      <c r="Z53" s="66"/>
      <c r="AA53" s="66"/>
      <c r="AB53" s="66"/>
      <c r="AC53" s="66"/>
      <c r="AD53" s="66"/>
      <c r="AE53" s="66"/>
      <c r="AF53" s="66"/>
      <c r="AG53" s="66"/>
      <c r="AH53" s="66"/>
    </row>
    <row r="54">
      <c r="A54" s="174" t="s">
        <v>1662</v>
      </c>
      <c r="B54" s="175" t="s">
        <v>1679</v>
      </c>
      <c r="C54" s="51" t="s">
        <v>1604</v>
      </c>
      <c r="D54" s="51">
        <v>94.0</v>
      </c>
      <c r="E54" s="48">
        <v>93.5</v>
      </c>
      <c r="F54" s="48">
        <v>47.0</v>
      </c>
      <c r="G54" s="48">
        <v>350.0</v>
      </c>
      <c r="H54" s="48" t="s">
        <v>164</v>
      </c>
      <c r="I54" s="48">
        <v>4.0</v>
      </c>
      <c r="J54" s="48">
        <v>95.0</v>
      </c>
      <c r="K54" s="50" t="s">
        <v>1605</v>
      </c>
      <c r="L54" s="51">
        <v>1.0</v>
      </c>
      <c r="M54" s="51" t="s">
        <v>1680</v>
      </c>
      <c r="N54" s="48">
        <v>3000.0</v>
      </c>
      <c r="O54" s="49">
        <v>47.26</v>
      </c>
      <c r="P54" s="49">
        <v>3.75</v>
      </c>
      <c r="Q54" s="176">
        <v>37.6</v>
      </c>
      <c r="R54" s="63" t="s">
        <v>166</v>
      </c>
      <c r="S54" s="48" t="s">
        <v>174</v>
      </c>
      <c r="T54" s="48" t="s">
        <v>166</v>
      </c>
      <c r="U54" s="48" t="s">
        <v>174</v>
      </c>
      <c r="V54" s="48" t="s">
        <v>166</v>
      </c>
      <c r="W54" s="177" t="s">
        <v>174</v>
      </c>
      <c r="X54" s="177" t="s">
        <v>166</v>
      </c>
      <c r="Y54" s="189"/>
      <c r="Z54" s="66"/>
      <c r="AA54" s="66"/>
      <c r="AB54" s="66"/>
      <c r="AC54" s="66"/>
      <c r="AD54" s="66"/>
      <c r="AE54" s="66"/>
      <c r="AF54" s="66"/>
      <c r="AG54" s="66"/>
      <c r="AH54" s="66"/>
    </row>
    <row r="55">
      <c r="A55" s="174" t="s">
        <v>1486</v>
      </c>
      <c r="B55" s="175" t="s">
        <v>1681</v>
      </c>
      <c r="C55" s="51" t="s">
        <v>1604</v>
      </c>
      <c r="D55" s="51">
        <v>97.0</v>
      </c>
      <c r="E55" s="48">
        <v>97.0</v>
      </c>
      <c r="F55" s="48">
        <v>47.0</v>
      </c>
      <c r="G55" s="48">
        <v>357.0</v>
      </c>
      <c r="H55" s="48" t="s">
        <v>164</v>
      </c>
      <c r="I55" s="48">
        <v>4.0</v>
      </c>
      <c r="J55" s="48">
        <v>100.0</v>
      </c>
      <c r="K55" s="50" t="s">
        <v>1605</v>
      </c>
      <c r="L55" s="51">
        <v>1.0</v>
      </c>
      <c r="M55" s="51" t="s">
        <v>1632</v>
      </c>
      <c r="N55" s="48">
        <v>2500.0</v>
      </c>
      <c r="O55" s="49">
        <v>40.5</v>
      </c>
      <c r="P55" s="49">
        <v>2.8</v>
      </c>
      <c r="Q55" s="176">
        <v>30.0</v>
      </c>
      <c r="R55" s="63" t="s">
        <v>174</v>
      </c>
      <c r="S55" s="48" t="s">
        <v>174</v>
      </c>
      <c r="T55" s="48" t="s">
        <v>166</v>
      </c>
      <c r="U55" s="48" t="s">
        <v>174</v>
      </c>
      <c r="V55" s="48" t="s">
        <v>166</v>
      </c>
      <c r="W55" s="177" t="s">
        <v>166</v>
      </c>
      <c r="X55" s="177" t="s">
        <v>166</v>
      </c>
      <c r="Y55" s="178"/>
      <c r="Z55" s="66"/>
      <c r="AA55" s="66"/>
      <c r="AB55" s="66"/>
      <c r="AC55" s="66"/>
      <c r="AD55" s="66"/>
      <c r="AE55" s="66"/>
      <c r="AF55" s="66"/>
      <c r="AG55" s="66"/>
      <c r="AH55" s="66"/>
    </row>
    <row r="56">
      <c r="A56" s="174" t="s">
        <v>1486</v>
      </c>
      <c r="B56" s="175" t="s">
        <v>1682</v>
      </c>
      <c r="C56" s="51" t="s">
        <v>1604</v>
      </c>
      <c r="D56" s="51">
        <v>97.0</v>
      </c>
      <c r="E56" s="48">
        <v>97.0</v>
      </c>
      <c r="F56" s="48">
        <v>47.0</v>
      </c>
      <c r="G56" s="48">
        <v>357.0</v>
      </c>
      <c r="H56" s="48" t="s">
        <v>164</v>
      </c>
      <c r="I56" s="48">
        <v>4.0</v>
      </c>
      <c r="J56" s="48">
        <v>100.0</v>
      </c>
      <c r="K56" s="50" t="s">
        <v>1605</v>
      </c>
      <c r="L56" s="51">
        <v>1.0</v>
      </c>
      <c r="M56" s="51" t="s">
        <v>1632</v>
      </c>
      <c r="N56" s="48">
        <v>2500.0</v>
      </c>
      <c r="O56" s="49">
        <v>40.5</v>
      </c>
      <c r="P56" s="49">
        <v>2.8</v>
      </c>
      <c r="Q56" s="176">
        <v>30.0</v>
      </c>
      <c r="R56" s="63" t="s">
        <v>174</v>
      </c>
      <c r="S56" s="48" t="s">
        <v>174</v>
      </c>
      <c r="T56" s="48" t="s">
        <v>166</v>
      </c>
      <c r="U56" s="48" t="s">
        <v>174</v>
      </c>
      <c r="V56" s="48" t="s">
        <v>166</v>
      </c>
      <c r="W56" s="177" t="s">
        <v>166</v>
      </c>
      <c r="X56" s="177" t="s">
        <v>166</v>
      </c>
      <c r="Y56" s="178"/>
      <c r="Z56" s="66"/>
      <c r="AA56" s="66"/>
      <c r="AB56" s="66"/>
      <c r="AC56" s="66"/>
      <c r="AD56" s="66"/>
      <c r="AE56" s="66"/>
      <c r="AF56" s="66"/>
      <c r="AG56" s="66"/>
      <c r="AH56" s="66"/>
    </row>
    <row r="57">
      <c r="A57" s="174" t="s">
        <v>1486</v>
      </c>
      <c r="B57" s="175" t="str">
        <f>HYPERLINK("http://www.cryorig.com/c7cu.php","C7 Cu")</f>
        <v>C7 Cu</v>
      </c>
      <c r="C57" s="51" t="s">
        <v>1604</v>
      </c>
      <c r="D57" s="51">
        <v>97.0</v>
      </c>
      <c r="E57" s="48">
        <v>97.0</v>
      </c>
      <c r="F57" s="48">
        <v>47.0</v>
      </c>
      <c r="G57" s="48">
        <v>675.0</v>
      </c>
      <c r="H57" s="48" t="s">
        <v>1617</v>
      </c>
      <c r="I57" s="48">
        <v>4.0</v>
      </c>
      <c r="J57" s="48">
        <v>115.0</v>
      </c>
      <c r="K57" s="50" t="s">
        <v>1605</v>
      </c>
      <c r="L57" s="51">
        <v>1.0</v>
      </c>
      <c r="M57" s="51" t="s">
        <v>1632</v>
      </c>
      <c r="N57" s="48">
        <v>2500.0</v>
      </c>
      <c r="O57" s="49">
        <v>40.5</v>
      </c>
      <c r="P57" s="49">
        <v>2.8</v>
      </c>
      <c r="Q57" s="176">
        <v>30.0</v>
      </c>
      <c r="R57" s="63" t="s">
        <v>174</v>
      </c>
      <c r="S57" s="48" t="s">
        <v>174</v>
      </c>
      <c r="T57" s="48" t="s">
        <v>166</v>
      </c>
      <c r="U57" s="48" t="s">
        <v>174</v>
      </c>
      <c r="V57" s="48" t="s">
        <v>166</v>
      </c>
      <c r="W57" s="177" t="s">
        <v>166</v>
      </c>
      <c r="X57" s="177" t="s">
        <v>166</v>
      </c>
      <c r="Y57" s="178"/>
      <c r="Z57" s="66"/>
      <c r="AA57" s="66"/>
      <c r="AB57" s="66"/>
      <c r="AC57" s="66"/>
      <c r="AD57" s="66"/>
      <c r="AE57" s="66"/>
      <c r="AF57" s="66"/>
      <c r="AG57" s="66"/>
      <c r="AH57" s="66"/>
    </row>
    <row r="58">
      <c r="A58" s="174" t="s">
        <v>1486</v>
      </c>
      <c r="B58" s="175" t="str">
        <f>HYPERLINK("http://www.cryorig.com/c7g.php","C7 G")</f>
        <v>C7 G</v>
      </c>
      <c r="C58" s="51" t="s">
        <v>1604</v>
      </c>
      <c r="D58" s="51">
        <v>97.0</v>
      </c>
      <c r="E58" s="48">
        <v>97.0</v>
      </c>
      <c r="F58" s="48">
        <v>47.0</v>
      </c>
      <c r="G58" s="48">
        <v>673.5</v>
      </c>
      <c r="H58" s="48" t="s">
        <v>1617</v>
      </c>
      <c r="I58" s="48">
        <v>4.0</v>
      </c>
      <c r="J58" s="48">
        <v>125.0</v>
      </c>
      <c r="K58" s="50" t="s">
        <v>1605</v>
      </c>
      <c r="L58" s="51">
        <v>1.0</v>
      </c>
      <c r="M58" s="51" t="s">
        <v>1632</v>
      </c>
      <c r="N58" s="48">
        <v>2500.0</v>
      </c>
      <c r="O58" s="49">
        <v>40.5</v>
      </c>
      <c r="P58" s="49">
        <v>2.8</v>
      </c>
      <c r="Q58" s="176">
        <v>30.0</v>
      </c>
      <c r="R58" s="63" t="s">
        <v>174</v>
      </c>
      <c r="S58" s="48" t="s">
        <v>174</v>
      </c>
      <c r="T58" s="48" t="s">
        <v>166</v>
      </c>
      <c r="U58" s="48" t="s">
        <v>174</v>
      </c>
      <c r="V58" s="48" t="s">
        <v>166</v>
      </c>
      <c r="W58" s="177" t="s">
        <v>166</v>
      </c>
      <c r="X58" s="177" t="s">
        <v>166</v>
      </c>
      <c r="Y58" s="178"/>
      <c r="Z58" s="66"/>
      <c r="AA58" s="66"/>
      <c r="AB58" s="66"/>
      <c r="AC58" s="66"/>
      <c r="AD58" s="66"/>
      <c r="AE58" s="66"/>
      <c r="AF58" s="66"/>
      <c r="AG58" s="66"/>
      <c r="AH58" s="66"/>
    </row>
    <row r="59">
      <c r="A59" s="174" t="s">
        <v>1611</v>
      </c>
      <c r="B59" s="175" t="s">
        <v>1683</v>
      </c>
      <c r="C59" s="51" t="s">
        <v>1604</v>
      </c>
      <c r="D59" s="51">
        <v>120.0</v>
      </c>
      <c r="E59" s="48">
        <v>110.0</v>
      </c>
      <c r="F59" s="48">
        <v>47.0</v>
      </c>
      <c r="G59" s="48">
        <v>500.0</v>
      </c>
      <c r="H59" s="48" t="s">
        <v>164</v>
      </c>
      <c r="I59" s="48">
        <v>6.0</v>
      </c>
      <c r="J59" s="48">
        <v>130.0</v>
      </c>
      <c r="K59" s="50" t="s">
        <v>1605</v>
      </c>
      <c r="L59" s="51">
        <v>1.0</v>
      </c>
      <c r="M59" s="51" t="s">
        <v>1632</v>
      </c>
      <c r="N59" s="48">
        <v>2500.0</v>
      </c>
      <c r="O59" s="49">
        <v>44.3</v>
      </c>
      <c r="P59" s="49">
        <v>3.24</v>
      </c>
      <c r="Q59" s="176">
        <v>33.0</v>
      </c>
      <c r="R59" s="63" t="s">
        <v>166</v>
      </c>
      <c r="S59" s="48" t="s">
        <v>174</v>
      </c>
      <c r="T59" s="48" t="s">
        <v>166</v>
      </c>
      <c r="U59" s="48" t="s">
        <v>174</v>
      </c>
      <c r="V59" s="48" t="s">
        <v>166</v>
      </c>
      <c r="W59" s="177" t="s">
        <v>166</v>
      </c>
      <c r="X59" s="177" t="s">
        <v>166</v>
      </c>
      <c r="Y59" s="189" t="s">
        <v>1684</v>
      </c>
      <c r="Z59" s="66"/>
      <c r="AA59" s="66"/>
      <c r="AB59" s="66"/>
      <c r="AC59" s="66"/>
      <c r="AD59" s="66"/>
      <c r="AE59" s="66"/>
      <c r="AF59" s="66"/>
      <c r="AG59" s="66"/>
      <c r="AH59" s="66"/>
    </row>
    <row r="60">
      <c r="A60" s="174" t="s">
        <v>1611</v>
      </c>
      <c r="B60" s="175" t="s">
        <v>1685</v>
      </c>
      <c r="C60" s="51" t="s">
        <v>1604</v>
      </c>
      <c r="D60" s="51">
        <v>99.5</v>
      </c>
      <c r="E60" s="48">
        <v>93.0</v>
      </c>
      <c r="F60" s="48">
        <v>47.0</v>
      </c>
      <c r="G60" s="48">
        <v>450.0</v>
      </c>
      <c r="H60" s="48" t="s">
        <v>164</v>
      </c>
      <c r="I60" s="48">
        <v>4.0</v>
      </c>
      <c r="J60" s="48">
        <v>95.0</v>
      </c>
      <c r="K60" s="50" t="s">
        <v>1605</v>
      </c>
      <c r="L60" s="51">
        <v>1.0</v>
      </c>
      <c r="M60" s="51" t="s">
        <v>1620</v>
      </c>
      <c r="N60" s="48">
        <v>3600.0</v>
      </c>
      <c r="O60" s="49">
        <v>40.0</v>
      </c>
      <c r="P60" s="49">
        <v>2.28</v>
      </c>
      <c r="Q60" s="176">
        <v>35.8</v>
      </c>
      <c r="R60" s="63" t="s">
        <v>166</v>
      </c>
      <c r="S60" s="48" t="s">
        <v>174</v>
      </c>
      <c r="T60" s="48" t="s">
        <v>166</v>
      </c>
      <c r="U60" s="48" t="s">
        <v>174</v>
      </c>
      <c r="V60" s="48" t="s">
        <v>166</v>
      </c>
      <c r="W60" s="177" t="s">
        <v>174</v>
      </c>
      <c r="X60" s="177" t="s">
        <v>166</v>
      </c>
      <c r="Y60" s="189"/>
      <c r="Z60" s="66"/>
      <c r="AA60" s="66"/>
      <c r="AB60" s="66"/>
      <c r="AC60" s="66"/>
      <c r="AD60" s="66"/>
      <c r="AE60" s="66"/>
      <c r="AF60" s="66"/>
      <c r="AG60" s="66"/>
      <c r="AH60" s="66"/>
    </row>
    <row r="61">
      <c r="A61" s="174" t="s">
        <v>1611</v>
      </c>
      <c r="B61" s="175" t="s">
        <v>1686</v>
      </c>
      <c r="C61" s="51" t="s">
        <v>1604</v>
      </c>
      <c r="D61" s="51">
        <v>94.0</v>
      </c>
      <c r="E61" s="48">
        <v>94.0</v>
      </c>
      <c r="F61" s="48">
        <v>47.0</v>
      </c>
      <c r="G61" s="48">
        <v>355.0</v>
      </c>
      <c r="H61" s="48" t="s">
        <v>164</v>
      </c>
      <c r="I61" s="48">
        <v>4.0</v>
      </c>
      <c r="J61" s="48">
        <v>95.0</v>
      </c>
      <c r="K61" s="50" t="s">
        <v>1605</v>
      </c>
      <c r="L61" s="51">
        <v>1.0</v>
      </c>
      <c r="M61" s="51" t="s">
        <v>1632</v>
      </c>
      <c r="N61" s="48">
        <v>2800.0</v>
      </c>
      <c r="O61" s="49">
        <v>46.0</v>
      </c>
      <c r="P61" s="49">
        <v>3.28</v>
      </c>
      <c r="Q61" s="176">
        <v>32.5</v>
      </c>
      <c r="R61" s="63" t="s">
        <v>166</v>
      </c>
      <c r="S61" s="48" t="s">
        <v>174</v>
      </c>
      <c r="T61" s="48" t="s">
        <v>166</v>
      </c>
      <c r="U61" s="48" t="s">
        <v>174</v>
      </c>
      <c r="V61" s="48" t="s">
        <v>166</v>
      </c>
      <c r="W61" s="177" t="s">
        <v>174</v>
      </c>
      <c r="X61" s="177" t="s">
        <v>166</v>
      </c>
      <c r="Y61" s="178"/>
      <c r="Z61" s="66"/>
      <c r="AA61" s="66"/>
      <c r="AB61" s="66"/>
      <c r="AC61" s="66"/>
      <c r="AD61" s="66"/>
      <c r="AE61" s="66"/>
      <c r="AF61" s="66"/>
      <c r="AG61" s="66"/>
      <c r="AH61" s="66"/>
    </row>
    <row r="62">
      <c r="A62" s="174" t="s">
        <v>1611</v>
      </c>
      <c r="B62" s="175" t="s">
        <v>1687</v>
      </c>
      <c r="C62" s="51" t="s">
        <v>1604</v>
      </c>
      <c r="D62" s="51">
        <v>94.0</v>
      </c>
      <c r="E62" s="48">
        <v>94.0</v>
      </c>
      <c r="F62" s="48">
        <v>47.0</v>
      </c>
      <c r="G62" s="48">
        <v>355.0</v>
      </c>
      <c r="H62" s="48" t="s">
        <v>164</v>
      </c>
      <c r="I62" s="48">
        <v>4.0</v>
      </c>
      <c r="J62" s="48">
        <v>95.0</v>
      </c>
      <c r="K62" s="50" t="s">
        <v>1605</v>
      </c>
      <c r="L62" s="51">
        <v>1.0</v>
      </c>
      <c r="M62" s="51" t="s">
        <v>1632</v>
      </c>
      <c r="N62" s="48">
        <v>2800.0</v>
      </c>
      <c r="O62" s="49">
        <v>46.0</v>
      </c>
      <c r="P62" s="49">
        <v>3.28</v>
      </c>
      <c r="Q62" s="176">
        <v>32.5</v>
      </c>
      <c r="R62" s="63" t="s">
        <v>166</v>
      </c>
      <c r="S62" s="48" t="s">
        <v>174</v>
      </c>
      <c r="T62" s="48" t="s">
        <v>166</v>
      </c>
      <c r="U62" s="48" t="s">
        <v>174</v>
      </c>
      <c r="V62" s="48" t="s">
        <v>166</v>
      </c>
      <c r="W62" s="177" t="s">
        <v>174</v>
      </c>
      <c r="X62" s="177" t="s">
        <v>166</v>
      </c>
      <c r="Y62" s="178"/>
      <c r="Z62" s="66"/>
      <c r="AA62" s="66"/>
      <c r="AB62" s="66"/>
      <c r="AC62" s="66"/>
      <c r="AD62" s="66"/>
      <c r="AE62" s="66"/>
      <c r="AF62" s="66"/>
      <c r="AG62" s="66"/>
      <c r="AH62" s="66"/>
    </row>
    <row r="63">
      <c r="A63" s="174" t="s">
        <v>1688</v>
      </c>
      <c r="B63" s="175" t="s">
        <v>1689</v>
      </c>
      <c r="C63" s="51" t="s">
        <v>1604</v>
      </c>
      <c r="D63" s="51">
        <v>100.0</v>
      </c>
      <c r="E63" s="48">
        <v>100.0</v>
      </c>
      <c r="F63" s="48">
        <v>47.0</v>
      </c>
      <c r="G63" s="48">
        <v>260.0</v>
      </c>
      <c r="H63" s="48" t="s">
        <v>164</v>
      </c>
      <c r="I63" s="48" t="s">
        <v>166</v>
      </c>
      <c r="J63" s="48">
        <v>65.0</v>
      </c>
      <c r="K63" s="50" t="s">
        <v>1605</v>
      </c>
      <c r="L63" s="51">
        <v>1.0</v>
      </c>
      <c r="M63" s="51" t="s">
        <v>1665</v>
      </c>
      <c r="N63" s="48">
        <v>3150.0</v>
      </c>
      <c r="O63" s="49" t="s">
        <v>170</v>
      </c>
      <c r="P63" s="49" t="s">
        <v>170</v>
      </c>
      <c r="Q63" s="176">
        <v>36.0</v>
      </c>
      <c r="R63" s="63" t="s">
        <v>166</v>
      </c>
      <c r="S63" s="48" t="s">
        <v>166</v>
      </c>
      <c r="T63" s="48" t="s">
        <v>166</v>
      </c>
      <c r="U63" s="48" t="s">
        <v>166</v>
      </c>
      <c r="V63" s="48" t="s">
        <v>166</v>
      </c>
      <c r="W63" s="177" t="s">
        <v>174</v>
      </c>
      <c r="X63" s="177" t="s">
        <v>166</v>
      </c>
      <c r="Y63" s="178"/>
      <c r="Z63" s="66"/>
      <c r="AA63" s="66"/>
      <c r="AB63" s="66"/>
      <c r="AC63" s="66"/>
      <c r="AD63" s="66"/>
      <c r="AE63" s="66"/>
      <c r="AF63" s="66"/>
      <c r="AG63" s="66"/>
      <c r="AH63" s="66"/>
    </row>
    <row r="64">
      <c r="A64" s="174" t="s">
        <v>1688</v>
      </c>
      <c r="B64" s="175" t="s">
        <v>1690</v>
      </c>
      <c r="C64" s="51" t="s">
        <v>1604</v>
      </c>
      <c r="D64" s="51">
        <v>100.0</v>
      </c>
      <c r="E64" s="48">
        <v>100.0</v>
      </c>
      <c r="F64" s="48">
        <v>47.0</v>
      </c>
      <c r="G64" s="48">
        <v>350.0</v>
      </c>
      <c r="H64" s="48" t="s">
        <v>164</v>
      </c>
      <c r="I64" s="48" t="s">
        <v>166</v>
      </c>
      <c r="J64" s="48">
        <v>65.0</v>
      </c>
      <c r="K64" s="50" t="s">
        <v>1605</v>
      </c>
      <c r="L64" s="51">
        <v>1.0</v>
      </c>
      <c r="M64" s="51" t="s">
        <v>1665</v>
      </c>
      <c r="N64" s="48">
        <v>3150.0</v>
      </c>
      <c r="O64" s="49" t="s">
        <v>170</v>
      </c>
      <c r="P64" s="49" t="s">
        <v>170</v>
      </c>
      <c r="Q64" s="176">
        <v>36.0</v>
      </c>
      <c r="R64" s="63" t="s">
        <v>166</v>
      </c>
      <c r="S64" s="48" t="s">
        <v>166</v>
      </c>
      <c r="T64" s="48" t="s">
        <v>166</v>
      </c>
      <c r="U64" s="48" t="s">
        <v>166</v>
      </c>
      <c r="V64" s="48" t="s">
        <v>166</v>
      </c>
      <c r="W64" s="177" t="s">
        <v>174</v>
      </c>
      <c r="X64" s="177" t="s">
        <v>166</v>
      </c>
      <c r="Y64" s="178"/>
      <c r="Z64" s="66"/>
      <c r="AA64" s="66"/>
      <c r="AB64" s="66"/>
      <c r="AC64" s="66"/>
      <c r="AD64" s="66"/>
      <c r="AE64" s="66"/>
      <c r="AF64" s="66"/>
      <c r="AG64" s="66"/>
      <c r="AH64" s="66"/>
    </row>
    <row r="65">
      <c r="A65" s="174" t="s">
        <v>1688</v>
      </c>
      <c r="B65" s="190" t="s">
        <v>1691</v>
      </c>
      <c r="C65" s="51" t="s">
        <v>1604</v>
      </c>
      <c r="D65" s="51" t="s">
        <v>170</v>
      </c>
      <c r="E65" s="48" t="s">
        <v>170</v>
      </c>
      <c r="F65" s="48">
        <v>47.0</v>
      </c>
      <c r="G65" s="48" t="s">
        <v>170</v>
      </c>
      <c r="H65" s="48" t="s">
        <v>164</v>
      </c>
      <c r="I65" s="48" t="s">
        <v>166</v>
      </c>
      <c r="J65" s="48" t="s">
        <v>170</v>
      </c>
      <c r="K65" s="50" t="s">
        <v>1605</v>
      </c>
      <c r="L65" s="51">
        <v>1.0</v>
      </c>
      <c r="M65" s="51" t="s">
        <v>1665</v>
      </c>
      <c r="N65" s="48" t="s">
        <v>170</v>
      </c>
      <c r="O65" s="49" t="s">
        <v>170</v>
      </c>
      <c r="P65" s="49" t="s">
        <v>170</v>
      </c>
      <c r="Q65" s="176" t="s">
        <v>170</v>
      </c>
      <c r="R65" s="63" t="s">
        <v>166</v>
      </c>
      <c r="S65" s="48" t="s">
        <v>166</v>
      </c>
      <c r="T65" s="48" t="s">
        <v>166</v>
      </c>
      <c r="U65" s="48" t="s">
        <v>174</v>
      </c>
      <c r="V65" s="48" t="s">
        <v>166</v>
      </c>
      <c r="W65" s="177" t="s">
        <v>166</v>
      </c>
      <c r="X65" s="177" t="s">
        <v>166</v>
      </c>
      <c r="Y65" s="178"/>
      <c r="Z65" s="66"/>
      <c r="AA65" s="66"/>
      <c r="AB65" s="66"/>
      <c r="AC65" s="66"/>
      <c r="AD65" s="66"/>
      <c r="AE65" s="66"/>
      <c r="AF65" s="66"/>
      <c r="AG65" s="66"/>
      <c r="AH65" s="66"/>
    </row>
    <row r="66">
      <c r="A66" s="174" t="s">
        <v>209</v>
      </c>
      <c r="B66" s="175" t="str">
        <f>HYPERLINK("https://www.silverstonetek.com/product.php?pid=785&amp;area=en","AR11")</f>
        <v>AR11</v>
      </c>
      <c r="C66" s="51" t="s">
        <v>1604</v>
      </c>
      <c r="D66" s="51">
        <v>94.0</v>
      </c>
      <c r="E66" s="48">
        <v>97.0</v>
      </c>
      <c r="F66" s="48">
        <v>47.0</v>
      </c>
      <c r="G66" s="48">
        <v>290.0</v>
      </c>
      <c r="H66" s="48" t="s">
        <v>164</v>
      </c>
      <c r="I66" s="48">
        <v>4.0</v>
      </c>
      <c r="J66" s="48">
        <v>95.0</v>
      </c>
      <c r="K66" s="50" t="s">
        <v>1605</v>
      </c>
      <c r="L66" s="51">
        <v>1.0</v>
      </c>
      <c r="M66" s="51" t="s">
        <v>1632</v>
      </c>
      <c r="N66" s="48">
        <v>3000.0</v>
      </c>
      <c r="O66" s="49">
        <v>55.76</v>
      </c>
      <c r="P66" s="49">
        <v>4.53</v>
      </c>
      <c r="Q66" s="176">
        <v>44.5</v>
      </c>
      <c r="R66" s="63" t="s">
        <v>166</v>
      </c>
      <c r="S66" s="48" t="s">
        <v>166</v>
      </c>
      <c r="T66" s="48" t="s">
        <v>166</v>
      </c>
      <c r="U66" s="48" t="s">
        <v>174</v>
      </c>
      <c r="V66" s="48" t="s">
        <v>166</v>
      </c>
      <c r="W66" s="177" t="s">
        <v>166</v>
      </c>
      <c r="X66" s="177" t="s">
        <v>166</v>
      </c>
      <c r="Y66" s="178"/>
      <c r="Z66" s="66"/>
      <c r="AA66" s="66"/>
      <c r="AB66" s="66"/>
      <c r="AC66" s="66"/>
      <c r="AD66" s="66"/>
      <c r="AE66" s="66"/>
      <c r="AF66" s="66"/>
      <c r="AG66" s="66"/>
      <c r="AH66" s="66"/>
    </row>
    <row r="67">
      <c r="A67" s="174" t="s">
        <v>1634</v>
      </c>
      <c r="B67" s="175" t="s">
        <v>1692</v>
      </c>
      <c r="C67" s="51" t="s">
        <v>1604</v>
      </c>
      <c r="D67" s="51">
        <v>92.0</v>
      </c>
      <c r="E67" s="48">
        <v>97.0</v>
      </c>
      <c r="F67" s="48">
        <v>47.0</v>
      </c>
      <c r="G67" s="48">
        <v>490.0</v>
      </c>
      <c r="H67" s="48" t="s">
        <v>1617</v>
      </c>
      <c r="I67" s="48">
        <v>4.0</v>
      </c>
      <c r="J67" s="48">
        <v>145.0</v>
      </c>
      <c r="K67" s="50" t="s">
        <v>1605</v>
      </c>
      <c r="L67" s="51">
        <v>1.0</v>
      </c>
      <c r="M67" s="51" t="s">
        <v>1632</v>
      </c>
      <c r="N67" s="48">
        <v>2700.0</v>
      </c>
      <c r="O67" s="49">
        <v>42.58</v>
      </c>
      <c r="P67" s="49">
        <v>1.33</v>
      </c>
      <c r="Q67" s="176">
        <v>22.4</v>
      </c>
      <c r="R67" s="63" t="s">
        <v>166</v>
      </c>
      <c r="S67" s="48" t="s">
        <v>174</v>
      </c>
      <c r="T67" s="48" t="s">
        <v>166</v>
      </c>
      <c r="U67" s="48" t="s">
        <v>174</v>
      </c>
      <c r="V67" s="48" t="s">
        <v>166</v>
      </c>
      <c r="W67" s="177" t="s">
        <v>166</v>
      </c>
      <c r="X67" s="177" t="s">
        <v>166</v>
      </c>
      <c r="Y67" s="183" t="s">
        <v>1693</v>
      </c>
      <c r="Z67" s="66"/>
      <c r="AA67" s="66"/>
      <c r="AB67" s="66"/>
      <c r="AC67" s="66"/>
      <c r="AD67" s="66"/>
      <c r="AE67" s="66"/>
      <c r="AF67" s="66"/>
      <c r="AG67" s="66"/>
      <c r="AH67" s="66"/>
    </row>
    <row r="68">
      <c r="A68" s="174" t="s">
        <v>1634</v>
      </c>
      <c r="B68" s="175" t="s">
        <v>1694</v>
      </c>
      <c r="C68" s="51" t="s">
        <v>1604</v>
      </c>
      <c r="D68" s="51">
        <v>92.0</v>
      </c>
      <c r="E68" s="48">
        <v>97.0</v>
      </c>
      <c r="F68" s="48">
        <v>47.0</v>
      </c>
      <c r="G68" s="48">
        <v>310.0</v>
      </c>
      <c r="H68" s="48" t="s">
        <v>164</v>
      </c>
      <c r="I68" s="48">
        <v>4.0</v>
      </c>
      <c r="J68" s="48">
        <v>135.0</v>
      </c>
      <c r="K68" s="50" t="s">
        <v>1605</v>
      </c>
      <c r="L68" s="51">
        <v>1.0</v>
      </c>
      <c r="M68" s="51" t="s">
        <v>1632</v>
      </c>
      <c r="N68" s="48">
        <v>2700.0</v>
      </c>
      <c r="O68" s="49">
        <v>42.58</v>
      </c>
      <c r="P68" s="49">
        <v>1.33</v>
      </c>
      <c r="Q68" s="176">
        <v>22.4</v>
      </c>
      <c r="R68" s="63" t="s">
        <v>166</v>
      </c>
      <c r="S68" s="48" t="s">
        <v>166</v>
      </c>
      <c r="T68" s="48" t="s">
        <v>166</v>
      </c>
      <c r="U68" s="48" t="s">
        <v>174</v>
      </c>
      <c r="V68" s="48" t="s">
        <v>166</v>
      </c>
      <c r="W68" s="177" t="s">
        <v>166</v>
      </c>
      <c r="X68" s="177" t="s">
        <v>166</v>
      </c>
      <c r="Y68" s="178"/>
      <c r="Z68" s="66"/>
      <c r="AA68" s="66"/>
      <c r="AB68" s="66"/>
      <c r="AC68" s="66"/>
      <c r="AD68" s="66"/>
      <c r="AE68" s="66"/>
      <c r="AF68" s="66"/>
      <c r="AG68" s="66"/>
      <c r="AH68" s="66"/>
    </row>
    <row r="69">
      <c r="A69" s="174" t="s">
        <v>1634</v>
      </c>
      <c r="B69" s="175" t="s">
        <v>1695</v>
      </c>
      <c r="C69" s="51" t="s">
        <v>1604</v>
      </c>
      <c r="D69" s="51">
        <v>92.0</v>
      </c>
      <c r="E69" s="48">
        <v>97.0</v>
      </c>
      <c r="F69" s="48">
        <v>47.0</v>
      </c>
      <c r="G69" s="48">
        <v>490.0</v>
      </c>
      <c r="H69" s="48" t="s">
        <v>1617</v>
      </c>
      <c r="I69" s="48">
        <v>4.0</v>
      </c>
      <c r="J69" s="48">
        <v>145.0</v>
      </c>
      <c r="K69" s="50" t="s">
        <v>1605</v>
      </c>
      <c r="L69" s="51">
        <v>1.0</v>
      </c>
      <c r="M69" s="51" t="s">
        <v>1632</v>
      </c>
      <c r="N69" s="48">
        <v>2700.0</v>
      </c>
      <c r="O69" s="49">
        <v>42.58</v>
      </c>
      <c r="P69" s="49">
        <v>1.33</v>
      </c>
      <c r="Q69" s="176">
        <v>22.4</v>
      </c>
      <c r="R69" s="63" t="s">
        <v>166</v>
      </c>
      <c r="S69" s="48" t="s">
        <v>166</v>
      </c>
      <c r="T69" s="48" t="s">
        <v>166</v>
      </c>
      <c r="U69" s="48" t="s">
        <v>174</v>
      </c>
      <c r="V69" s="48" t="s">
        <v>166</v>
      </c>
      <c r="W69" s="177" t="s">
        <v>166</v>
      </c>
      <c r="X69" s="177" t="s">
        <v>166</v>
      </c>
      <c r="Y69" s="178"/>
      <c r="Z69" s="66"/>
      <c r="AA69" s="66"/>
      <c r="AB69" s="66"/>
      <c r="AC69" s="66"/>
      <c r="AD69" s="66"/>
      <c r="AE69" s="66"/>
      <c r="AF69" s="66"/>
      <c r="AG69" s="66"/>
      <c r="AH69" s="66"/>
    </row>
    <row r="70">
      <c r="A70" s="174" t="s">
        <v>1634</v>
      </c>
      <c r="B70" s="175" t="s">
        <v>1696</v>
      </c>
      <c r="C70" s="51" t="s">
        <v>1604</v>
      </c>
      <c r="D70" s="51">
        <v>92.0</v>
      </c>
      <c r="E70" s="48">
        <v>97.0</v>
      </c>
      <c r="F70" s="48">
        <v>47.0</v>
      </c>
      <c r="G70" s="48">
        <v>310.0</v>
      </c>
      <c r="H70" s="48" t="s">
        <v>164</v>
      </c>
      <c r="I70" s="48">
        <v>4.0</v>
      </c>
      <c r="J70" s="48">
        <v>135.0</v>
      </c>
      <c r="K70" s="50" t="s">
        <v>1605</v>
      </c>
      <c r="L70" s="51">
        <v>1.0</v>
      </c>
      <c r="M70" s="51" t="s">
        <v>1632</v>
      </c>
      <c r="N70" s="48">
        <v>2700.0</v>
      </c>
      <c r="O70" s="49">
        <v>42.58</v>
      </c>
      <c r="P70" s="49">
        <v>1.33</v>
      </c>
      <c r="Q70" s="176">
        <v>22.4</v>
      </c>
      <c r="R70" s="63" t="s">
        <v>166</v>
      </c>
      <c r="S70" s="48" t="s">
        <v>174</v>
      </c>
      <c r="T70" s="48" t="s">
        <v>166</v>
      </c>
      <c r="U70" s="48" t="s">
        <v>166</v>
      </c>
      <c r="V70" s="48" t="s">
        <v>166</v>
      </c>
      <c r="W70" s="177" t="s">
        <v>166</v>
      </c>
      <c r="X70" s="177" t="s">
        <v>166</v>
      </c>
      <c r="Y70" s="178"/>
      <c r="Z70" s="66"/>
      <c r="AA70" s="66"/>
      <c r="AB70" s="66"/>
      <c r="AC70" s="66"/>
      <c r="AD70" s="66"/>
      <c r="AE70" s="66"/>
      <c r="AF70" s="66"/>
      <c r="AG70" s="66"/>
      <c r="AH70" s="66"/>
    </row>
    <row r="71">
      <c r="A71" s="174" t="s">
        <v>1634</v>
      </c>
      <c r="B71" s="175" t="s">
        <v>1697</v>
      </c>
      <c r="C71" s="51" t="s">
        <v>1604</v>
      </c>
      <c r="D71" s="51">
        <v>92.0</v>
      </c>
      <c r="E71" s="48">
        <v>97.0</v>
      </c>
      <c r="F71" s="48">
        <v>47.0</v>
      </c>
      <c r="G71" s="48">
        <v>490.0</v>
      </c>
      <c r="H71" s="48" t="s">
        <v>1617</v>
      </c>
      <c r="I71" s="48">
        <v>4.0</v>
      </c>
      <c r="J71" s="48">
        <v>145.0</v>
      </c>
      <c r="K71" s="50" t="s">
        <v>1605</v>
      </c>
      <c r="L71" s="51">
        <v>1.0</v>
      </c>
      <c r="M71" s="51" t="s">
        <v>1632</v>
      </c>
      <c r="N71" s="48">
        <v>2700.0</v>
      </c>
      <c r="O71" s="49">
        <v>42.58</v>
      </c>
      <c r="P71" s="49">
        <v>1.33</v>
      </c>
      <c r="Q71" s="176">
        <v>22.4</v>
      </c>
      <c r="R71" s="63" t="s">
        <v>166</v>
      </c>
      <c r="S71" s="48" t="s">
        <v>174</v>
      </c>
      <c r="T71" s="48" t="s">
        <v>166</v>
      </c>
      <c r="U71" s="48" t="s">
        <v>166</v>
      </c>
      <c r="V71" s="48" t="s">
        <v>166</v>
      </c>
      <c r="W71" s="177" t="s">
        <v>166</v>
      </c>
      <c r="X71" s="177" t="s">
        <v>166</v>
      </c>
      <c r="Y71" s="178"/>
      <c r="Z71" s="66"/>
      <c r="AA71" s="66"/>
      <c r="AB71" s="66"/>
      <c r="AC71" s="66"/>
      <c r="AD71" s="66"/>
      <c r="AE71" s="66"/>
      <c r="AF71" s="66"/>
      <c r="AG71" s="66"/>
      <c r="AH71" s="66"/>
    </row>
    <row r="72">
      <c r="A72" s="174" t="s">
        <v>1634</v>
      </c>
      <c r="B72" s="175" t="s">
        <v>1698</v>
      </c>
      <c r="C72" s="51" t="s">
        <v>1604</v>
      </c>
      <c r="D72" s="51">
        <v>94.5</v>
      </c>
      <c r="E72" s="48">
        <v>95.0</v>
      </c>
      <c r="F72" s="48">
        <v>47.0</v>
      </c>
      <c r="G72" s="48">
        <v>310.0</v>
      </c>
      <c r="H72" s="48" t="s">
        <v>164</v>
      </c>
      <c r="I72" s="48">
        <v>4.0</v>
      </c>
      <c r="J72" s="48">
        <v>135.0</v>
      </c>
      <c r="K72" s="50" t="s">
        <v>1605</v>
      </c>
      <c r="L72" s="51">
        <v>1.0</v>
      </c>
      <c r="M72" s="51" t="s">
        <v>1632</v>
      </c>
      <c r="N72" s="48">
        <v>2700.0</v>
      </c>
      <c r="O72" s="49">
        <v>42.58</v>
      </c>
      <c r="P72" s="49">
        <v>1.33</v>
      </c>
      <c r="Q72" s="176">
        <v>22.4</v>
      </c>
      <c r="R72" s="63" t="s">
        <v>166</v>
      </c>
      <c r="S72" s="48" t="s">
        <v>174</v>
      </c>
      <c r="T72" s="48" t="s">
        <v>166</v>
      </c>
      <c r="U72" s="48" t="s">
        <v>174</v>
      </c>
      <c r="V72" s="48" t="s">
        <v>166</v>
      </c>
      <c r="W72" s="177" t="s">
        <v>174</v>
      </c>
      <c r="X72" s="177" t="s">
        <v>166</v>
      </c>
      <c r="Y72" s="178"/>
      <c r="Z72" s="66"/>
      <c r="AA72" s="66"/>
      <c r="AB72" s="66"/>
      <c r="AC72" s="66"/>
      <c r="AD72" s="66"/>
      <c r="AE72" s="66"/>
      <c r="AF72" s="66"/>
      <c r="AG72" s="66"/>
      <c r="AH72" s="66"/>
    </row>
    <row r="73">
      <c r="A73" s="174" t="s">
        <v>1634</v>
      </c>
      <c r="B73" s="175" t="s">
        <v>1699</v>
      </c>
      <c r="C73" s="51" t="s">
        <v>1604</v>
      </c>
      <c r="D73" s="51">
        <v>94.5</v>
      </c>
      <c r="E73" s="48">
        <v>95.0</v>
      </c>
      <c r="F73" s="48">
        <v>47.0</v>
      </c>
      <c r="G73" s="48">
        <v>310.0</v>
      </c>
      <c r="H73" s="48" t="s">
        <v>164</v>
      </c>
      <c r="I73" s="48">
        <v>4.0</v>
      </c>
      <c r="J73" s="48">
        <v>135.0</v>
      </c>
      <c r="K73" s="50" t="s">
        <v>1605</v>
      </c>
      <c r="L73" s="51">
        <v>1.0</v>
      </c>
      <c r="M73" s="51" t="s">
        <v>1632</v>
      </c>
      <c r="N73" s="48">
        <v>2700.0</v>
      </c>
      <c r="O73" s="49">
        <v>42.58</v>
      </c>
      <c r="P73" s="49">
        <v>1.33</v>
      </c>
      <c r="Q73" s="176">
        <v>22.4</v>
      </c>
      <c r="R73" s="63" t="s">
        <v>166</v>
      </c>
      <c r="S73" s="48" t="s">
        <v>174</v>
      </c>
      <c r="T73" s="48" t="s">
        <v>166</v>
      </c>
      <c r="U73" s="48" t="s">
        <v>174</v>
      </c>
      <c r="V73" s="48" t="s">
        <v>166</v>
      </c>
      <c r="W73" s="177" t="s">
        <v>174</v>
      </c>
      <c r="X73" s="177" t="s">
        <v>166</v>
      </c>
      <c r="Y73" s="178"/>
      <c r="Z73" s="66"/>
      <c r="AA73" s="66"/>
      <c r="AB73" s="66"/>
      <c r="AC73" s="66"/>
      <c r="AD73" s="66"/>
      <c r="AE73" s="66"/>
      <c r="AF73" s="66"/>
      <c r="AG73" s="66"/>
      <c r="AH73" s="66"/>
    </row>
    <row r="74">
      <c r="A74" s="174" t="s">
        <v>1634</v>
      </c>
      <c r="B74" s="175" t="s">
        <v>1700</v>
      </c>
      <c r="C74" s="51" t="s">
        <v>1604</v>
      </c>
      <c r="D74" s="51">
        <v>94.5</v>
      </c>
      <c r="E74" s="48">
        <v>95.0</v>
      </c>
      <c r="F74" s="48">
        <v>47.0</v>
      </c>
      <c r="G74" s="48">
        <v>520.0</v>
      </c>
      <c r="H74" s="48" t="s">
        <v>1617</v>
      </c>
      <c r="I74" s="48">
        <v>4.0</v>
      </c>
      <c r="J74" s="48">
        <v>145.0</v>
      </c>
      <c r="K74" s="50" t="s">
        <v>1605</v>
      </c>
      <c r="L74" s="51">
        <v>1.0</v>
      </c>
      <c r="M74" s="51" t="s">
        <v>1632</v>
      </c>
      <c r="N74" s="48">
        <v>2700.0</v>
      </c>
      <c r="O74" s="49">
        <v>42.58</v>
      </c>
      <c r="P74" s="49">
        <v>1.33</v>
      </c>
      <c r="Q74" s="176">
        <v>22.4</v>
      </c>
      <c r="R74" s="63" t="s">
        <v>166</v>
      </c>
      <c r="S74" s="48" t="s">
        <v>174</v>
      </c>
      <c r="T74" s="48" t="s">
        <v>166</v>
      </c>
      <c r="U74" s="48" t="s">
        <v>174</v>
      </c>
      <c r="V74" s="48" t="s">
        <v>166</v>
      </c>
      <c r="W74" s="177" t="s">
        <v>174</v>
      </c>
      <c r="X74" s="177" t="s">
        <v>166</v>
      </c>
      <c r="Y74" s="178"/>
      <c r="Z74" s="66"/>
      <c r="AA74" s="66"/>
      <c r="AB74" s="66"/>
      <c r="AC74" s="66"/>
      <c r="AD74" s="66"/>
      <c r="AE74" s="66"/>
      <c r="AF74" s="66"/>
      <c r="AG74" s="66"/>
      <c r="AH74" s="66"/>
    </row>
    <row r="75">
      <c r="A75" s="174" t="s">
        <v>1634</v>
      </c>
      <c r="B75" s="175" t="s">
        <v>1701</v>
      </c>
      <c r="C75" s="51" t="s">
        <v>1604</v>
      </c>
      <c r="D75" s="51">
        <v>94.5</v>
      </c>
      <c r="E75" s="48">
        <v>95.0</v>
      </c>
      <c r="F75" s="48">
        <v>47.0</v>
      </c>
      <c r="G75" s="48">
        <v>310.0</v>
      </c>
      <c r="H75" s="48" t="s">
        <v>164</v>
      </c>
      <c r="I75" s="48">
        <v>4.0</v>
      </c>
      <c r="J75" s="48">
        <v>135.0</v>
      </c>
      <c r="K75" s="50" t="s">
        <v>1605</v>
      </c>
      <c r="L75" s="51">
        <v>1.0</v>
      </c>
      <c r="M75" s="51" t="s">
        <v>1632</v>
      </c>
      <c r="N75" s="48">
        <v>2700.0</v>
      </c>
      <c r="O75" s="49">
        <v>42.58</v>
      </c>
      <c r="P75" s="49">
        <v>1.33</v>
      </c>
      <c r="Q75" s="176">
        <v>22.4</v>
      </c>
      <c r="R75" s="63" t="s">
        <v>166</v>
      </c>
      <c r="S75" s="48" t="s">
        <v>174</v>
      </c>
      <c r="T75" s="48" t="s">
        <v>166</v>
      </c>
      <c r="U75" s="48" t="s">
        <v>174</v>
      </c>
      <c r="V75" s="48" t="s">
        <v>166</v>
      </c>
      <c r="W75" s="177" t="s">
        <v>174</v>
      </c>
      <c r="X75" s="177" t="s">
        <v>166</v>
      </c>
      <c r="Y75" s="178"/>
      <c r="Z75" s="66"/>
      <c r="AA75" s="66"/>
      <c r="AB75" s="66"/>
      <c r="AC75" s="66"/>
      <c r="AD75" s="66"/>
      <c r="AE75" s="66"/>
      <c r="AF75" s="66"/>
      <c r="AG75" s="66"/>
      <c r="AH75" s="66"/>
    </row>
    <row r="76">
      <c r="A76" s="174" t="s">
        <v>209</v>
      </c>
      <c r="B76" s="175" t="s">
        <v>1702</v>
      </c>
      <c r="C76" s="51" t="s">
        <v>1604</v>
      </c>
      <c r="D76" s="51">
        <v>95.0</v>
      </c>
      <c r="E76" s="48">
        <v>95.0</v>
      </c>
      <c r="F76" s="48">
        <v>48.0</v>
      </c>
      <c r="G76" s="48">
        <v>305.0</v>
      </c>
      <c r="H76" s="48" t="s">
        <v>164</v>
      </c>
      <c r="I76" s="48">
        <v>4.0</v>
      </c>
      <c r="J76" s="48" t="s">
        <v>170</v>
      </c>
      <c r="K76" s="50" t="s">
        <v>1605</v>
      </c>
      <c r="L76" s="51">
        <v>1.0</v>
      </c>
      <c r="M76" s="51" t="s">
        <v>1632</v>
      </c>
      <c r="N76" s="48">
        <v>2600.0</v>
      </c>
      <c r="O76" s="49">
        <v>45.73</v>
      </c>
      <c r="P76" s="49">
        <v>2.29</v>
      </c>
      <c r="Q76" s="176">
        <v>34.6</v>
      </c>
      <c r="R76" s="63" t="s">
        <v>166</v>
      </c>
      <c r="S76" s="48" t="s">
        <v>174</v>
      </c>
      <c r="T76" s="48" t="s">
        <v>166</v>
      </c>
      <c r="U76" s="48" t="s">
        <v>174</v>
      </c>
      <c r="V76" s="48" t="s">
        <v>166</v>
      </c>
      <c r="W76" s="177" t="s">
        <v>174</v>
      </c>
      <c r="X76" s="177" t="s">
        <v>174</v>
      </c>
      <c r="Y76" s="178"/>
      <c r="Z76" s="66"/>
      <c r="AA76" s="66"/>
      <c r="AB76" s="66"/>
      <c r="AC76" s="66"/>
      <c r="AD76" s="66"/>
      <c r="AE76" s="66"/>
      <c r="AF76" s="66"/>
      <c r="AG76" s="66"/>
      <c r="AH76" s="66"/>
    </row>
    <row r="77">
      <c r="A77" s="174" t="s">
        <v>209</v>
      </c>
      <c r="B77" s="175" t="s">
        <v>1703</v>
      </c>
      <c r="C77" s="51" t="s">
        <v>1604</v>
      </c>
      <c r="D77" s="51">
        <v>101.0</v>
      </c>
      <c r="E77" s="48">
        <v>101.0</v>
      </c>
      <c r="F77" s="48">
        <v>48.0</v>
      </c>
      <c r="G77" s="48">
        <v>365.0</v>
      </c>
      <c r="H77" s="48" t="s">
        <v>164</v>
      </c>
      <c r="I77" s="48" t="s">
        <v>166</v>
      </c>
      <c r="J77" s="48">
        <v>95.0</v>
      </c>
      <c r="K77" s="50" t="s">
        <v>1605</v>
      </c>
      <c r="L77" s="51">
        <v>1.0</v>
      </c>
      <c r="M77" s="51" t="s">
        <v>1665</v>
      </c>
      <c r="N77" s="48">
        <v>3500.0</v>
      </c>
      <c r="O77" s="49">
        <v>56.96</v>
      </c>
      <c r="P77" s="49">
        <v>4.46</v>
      </c>
      <c r="Q77" s="176">
        <v>39.8</v>
      </c>
      <c r="R77" s="63" t="s">
        <v>166</v>
      </c>
      <c r="S77" s="48" t="s">
        <v>166</v>
      </c>
      <c r="T77" s="48" t="s">
        <v>166</v>
      </c>
      <c r="U77" s="48" t="s">
        <v>174</v>
      </c>
      <c r="V77" s="48" t="s">
        <v>166</v>
      </c>
      <c r="W77" s="177" t="s">
        <v>166</v>
      </c>
      <c r="X77" s="177" t="s">
        <v>166</v>
      </c>
      <c r="Y77" s="178"/>
      <c r="Z77" s="66"/>
      <c r="AA77" s="66"/>
      <c r="AB77" s="66"/>
      <c r="AC77" s="66"/>
      <c r="AD77" s="66"/>
      <c r="AE77" s="66"/>
      <c r="AF77" s="66"/>
      <c r="AG77" s="66"/>
      <c r="AH77" s="66"/>
    </row>
    <row r="78">
      <c r="A78" s="174" t="s">
        <v>1387</v>
      </c>
      <c r="B78" s="175" t="str">
        <f>HYPERLINK("http://www.scythe-cn.com/product/cooler/sc-jt8039-p.html","Jitte Plus (Dual fan)")</f>
        <v>Jitte Plus (Dual fan)</v>
      </c>
      <c r="C78" s="51" t="s">
        <v>1604</v>
      </c>
      <c r="D78" s="51">
        <v>82.0</v>
      </c>
      <c r="E78" s="48">
        <v>106.0</v>
      </c>
      <c r="F78" s="48">
        <v>49.0</v>
      </c>
      <c r="G78" s="48">
        <v>250.0</v>
      </c>
      <c r="H78" s="48" t="s">
        <v>164</v>
      </c>
      <c r="I78" s="48">
        <v>4.0</v>
      </c>
      <c r="J78" s="48" t="s">
        <v>170</v>
      </c>
      <c r="K78" s="50" t="s">
        <v>1605</v>
      </c>
      <c r="L78" s="51">
        <v>2.0</v>
      </c>
      <c r="M78" s="51" t="s">
        <v>1612</v>
      </c>
      <c r="N78" s="48">
        <v>3000.0</v>
      </c>
      <c r="O78" s="49">
        <v>25.8</v>
      </c>
      <c r="P78" s="49" t="s">
        <v>170</v>
      </c>
      <c r="Q78" s="176">
        <v>30.7</v>
      </c>
      <c r="R78" s="63" t="s">
        <v>174</v>
      </c>
      <c r="S78" s="48" t="s">
        <v>174</v>
      </c>
      <c r="T78" s="48" t="s">
        <v>174</v>
      </c>
      <c r="U78" s="48" t="s">
        <v>174</v>
      </c>
      <c r="V78" s="48" t="s">
        <v>166</v>
      </c>
      <c r="W78" s="177" t="s">
        <v>166</v>
      </c>
      <c r="X78" s="177" t="s">
        <v>166</v>
      </c>
      <c r="Y78" s="178"/>
      <c r="Z78" s="66"/>
      <c r="AA78" s="66"/>
      <c r="AB78" s="66"/>
      <c r="AC78" s="66"/>
      <c r="AD78" s="66"/>
      <c r="AE78" s="66"/>
      <c r="AF78" s="66"/>
      <c r="AG78" s="66"/>
      <c r="AH78" s="66"/>
    </row>
    <row r="79">
      <c r="A79" s="174" t="s">
        <v>1664</v>
      </c>
      <c r="B79" s="175" t="str">
        <f>HYPERLINK("https://www.amd.com/en/technologies/cpu-cooler-solution","Wraith Stealth")</f>
        <v>Wraith Stealth</v>
      </c>
      <c r="C79" s="51" t="s">
        <v>1604</v>
      </c>
      <c r="D79" s="51">
        <v>92.0</v>
      </c>
      <c r="E79" s="48">
        <v>92.0</v>
      </c>
      <c r="F79" s="48">
        <v>51.0</v>
      </c>
      <c r="G79" s="48" t="s">
        <v>170</v>
      </c>
      <c r="H79" s="48" t="s">
        <v>164</v>
      </c>
      <c r="I79" s="48" t="s">
        <v>166</v>
      </c>
      <c r="J79" s="48">
        <v>65.0</v>
      </c>
      <c r="K79" s="50" t="s">
        <v>1605</v>
      </c>
      <c r="L79" s="51">
        <v>1.0</v>
      </c>
      <c r="M79" s="51" t="s">
        <v>1665</v>
      </c>
      <c r="N79" s="48" t="s">
        <v>170</v>
      </c>
      <c r="O79" s="49" t="s">
        <v>170</v>
      </c>
      <c r="P79" s="49" t="s">
        <v>170</v>
      </c>
      <c r="Q79" s="176" t="s">
        <v>170</v>
      </c>
      <c r="R79" s="63" t="s">
        <v>166</v>
      </c>
      <c r="S79" s="48" t="s">
        <v>174</v>
      </c>
      <c r="T79" s="48" t="s">
        <v>166</v>
      </c>
      <c r="U79" s="48" t="s">
        <v>166</v>
      </c>
      <c r="V79" s="48" t="s">
        <v>166</v>
      </c>
      <c r="W79" s="177" t="s">
        <v>166</v>
      </c>
      <c r="X79" s="177" t="s">
        <v>166</v>
      </c>
      <c r="Y79" s="183"/>
      <c r="Z79" s="66"/>
      <c r="AA79" s="66"/>
      <c r="AB79" s="66"/>
      <c r="AC79" s="66"/>
      <c r="AD79" s="66"/>
      <c r="AE79" s="66"/>
      <c r="AF79" s="66"/>
      <c r="AG79" s="66"/>
      <c r="AH79" s="66"/>
    </row>
    <row r="80">
      <c r="A80" s="191" t="s">
        <v>1704</v>
      </c>
      <c r="B80" s="175" t="s">
        <v>1705</v>
      </c>
      <c r="C80" s="51" t="s">
        <v>1604</v>
      </c>
      <c r="D80" s="51">
        <v>92.0</v>
      </c>
      <c r="E80" s="48">
        <v>92.0</v>
      </c>
      <c r="F80" s="48">
        <v>52.0</v>
      </c>
      <c r="G80" s="48" t="s">
        <v>170</v>
      </c>
      <c r="H80" s="48" t="s">
        <v>164</v>
      </c>
      <c r="I80" s="48">
        <v>4.0</v>
      </c>
      <c r="J80" s="48">
        <v>125.0</v>
      </c>
      <c r="K80" s="50" t="s">
        <v>1605</v>
      </c>
      <c r="L80" s="51">
        <v>1.0</v>
      </c>
      <c r="M80" s="51" t="s">
        <v>1632</v>
      </c>
      <c r="N80" s="48">
        <v>3300.0</v>
      </c>
      <c r="O80" s="49" t="s">
        <v>170</v>
      </c>
      <c r="P80" s="49" t="s">
        <v>170</v>
      </c>
      <c r="Q80" s="176" t="s">
        <v>170</v>
      </c>
      <c r="R80" s="63" t="s">
        <v>166</v>
      </c>
      <c r="S80" s="48" t="s">
        <v>174</v>
      </c>
      <c r="T80" s="48" t="s">
        <v>166</v>
      </c>
      <c r="U80" s="48" t="s">
        <v>174</v>
      </c>
      <c r="V80" s="48" t="s">
        <v>166</v>
      </c>
      <c r="W80" s="177" t="s">
        <v>166</v>
      </c>
      <c r="X80" s="177" t="s">
        <v>166</v>
      </c>
      <c r="Y80" s="178"/>
      <c r="Z80" s="66"/>
      <c r="AA80" s="66"/>
      <c r="AB80" s="66"/>
      <c r="AC80" s="66"/>
      <c r="AD80" s="66"/>
      <c r="AE80" s="66"/>
      <c r="AF80" s="66"/>
      <c r="AG80" s="66"/>
      <c r="AH80" s="66"/>
    </row>
    <row r="81">
      <c r="A81" s="174" t="s">
        <v>1706</v>
      </c>
      <c r="B81" s="192" t="s">
        <v>1707</v>
      </c>
      <c r="C81" s="51" t="s">
        <v>1604</v>
      </c>
      <c r="D81" s="51">
        <v>92.0</v>
      </c>
      <c r="E81" s="48">
        <v>92.0</v>
      </c>
      <c r="F81" s="48">
        <v>53.0</v>
      </c>
      <c r="G81" s="48">
        <v>431.0</v>
      </c>
      <c r="H81" s="48" t="s">
        <v>164</v>
      </c>
      <c r="I81" s="48">
        <v>4.0</v>
      </c>
      <c r="J81" s="48">
        <v>150.0</v>
      </c>
      <c r="K81" s="50" t="s">
        <v>1605</v>
      </c>
      <c r="L81" s="51">
        <v>1.0</v>
      </c>
      <c r="M81" s="51" t="s">
        <v>1632</v>
      </c>
      <c r="N81" s="48">
        <v>2950.0</v>
      </c>
      <c r="O81" s="49" t="s">
        <v>170</v>
      </c>
      <c r="P81" s="49" t="s">
        <v>170</v>
      </c>
      <c r="Q81" s="176" t="s">
        <v>170</v>
      </c>
      <c r="R81" s="63" t="s">
        <v>166</v>
      </c>
      <c r="S81" s="48" t="s">
        <v>174</v>
      </c>
      <c r="T81" s="48" t="s">
        <v>166</v>
      </c>
      <c r="U81" s="48" t="s">
        <v>174</v>
      </c>
      <c r="V81" s="48" t="s">
        <v>166</v>
      </c>
      <c r="W81" s="177" t="s">
        <v>174</v>
      </c>
      <c r="X81" s="177" t="s">
        <v>166</v>
      </c>
      <c r="Y81" s="178"/>
      <c r="Z81" s="66"/>
      <c r="AA81" s="66"/>
      <c r="AB81" s="66"/>
      <c r="AC81" s="66"/>
      <c r="AD81" s="66"/>
      <c r="AE81" s="66"/>
      <c r="AF81" s="66"/>
      <c r="AG81" s="66"/>
      <c r="AH81" s="66"/>
    </row>
    <row r="82">
      <c r="A82" s="174" t="s">
        <v>1708</v>
      </c>
      <c r="B82" s="175" t="s">
        <v>1709</v>
      </c>
      <c r="C82" s="51" t="s">
        <v>1604</v>
      </c>
      <c r="D82" s="51">
        <v>92.0</v>
      </c>
      <c r="E82" s="48">
        <v>93.0</v>
      </c>
      <c r="F82" s="48">
        <v>53.0</v>
      </c>
      <c r="G82" s="48" t="s">
        <v>170</v>
      </c>
      <c r="H82" s="48" t="s">
        <v>164</v>
      </c>
      <c r="I82" s="48">
        <v>5.0</v>
      </c>
      <c r="J82" s="48">
        <v>120.0</v>
      </c>
      <c r="K82" s="50" t="s">
        <v>1605</v>
      </c>
      <c r="L82" s="51">
        <v>1.0</v>
      </c>
      <c r="M82" s="51" t="s">
        <v>1632</v>
      </c>
      <c r="N82" s="48">
        <v>2700.0</v>
      </c>
      <c r="O82" s="49">
        <v>43.0</v>
      </c>
      <c r="P82" s="49">
        <v>1.33</v>
      </c>
      <c r="Q82" s="176">
        <v>22.0</v>
      </c>
      <c r="R82" s="63" t="s">
        <v>166</v>
      </c>
      <c r="S82" s="48" t="s">
        <v>174</v>
      </c>
      <c r="T82" s="48" t="s">
        <v>166</v>
      </c>
      <c r="U82" s="48" t="s">
        <v>174</v>
      </c>
      <c r="V82" s="48" t="s">
        <v>166</v>
      </c>
      <c r="W82" s="177" t="s">
        <v>174</v>
      </c>
      <c r="X82" s="177" t="s">
        <v>174</v>
      </c>
      <c r="Y82" s="178"/>
      <c r="Z82" s="66"/>
      <c r="AA82" s="66"/>
      <c r="AB82" s="66"/>
      <c r="AC82" s="66"/>
      <c r="AD82" s="66"/>
      <c r="AE82" s="66"/>
      <c r="AF82" s="66"/>
      <c r="AG82" s="66"/>
      <c r="AH82" s="66"/>
    </row>
    <row r="83">
      <c r="A83" s="174" t="s">
        <v>1634</v>
      </c>
      <c r="B83" s="175" t="s">
        <v>1710</v>
      </c>
      <c r="C83" s="51" t="s">
        <v>1604</v>
      </c>
      <c r="D83" s="51">
        <v>94.5</v>
      </c>
      <c r="E83" s="48">
        <v>95.0</v>
      </c>
      <c r="F83" s="48">
        <v>53.0</v>
      </c>
      <c r="G83" s="48">
        <v>320.0</v>
      </c>
      <c r="H83" s="48" t="s">
        <v>164</v>
      </c>
      <c r="I83" s="48">
        <v>4.0</v>
      </c>
      <c r="J83" s="48">
        <v>150.0</v>
      </c>
      <c r="K83" s="50" t="s">
        <v>1605</v>
      </c>
      <c r="L83" s="51">
        <v>1.0</v>
      </c>
      <c r="M83" s="51" t="s">
        <v>1632</v>
      </c>
      <c r="N83" s="48">
        <v>2700.0</v>
      </c>
      <c r="O83" s="49">
        <v>42.58</v>
      </c>
      <c r="P83" s="49">
        <v>1.33</v>
      </c>
      <c r="Q83" s="176">
        <v>22.4</v>
      </c>
      <c r="R83" s="63" t="s">
        <v>166</v>
      </c>
      <c r="S83" s="48" t="s">
        <v>174</v>
      </c>
      <c r="T83" s="48" t="s">
        <v>166</v>
      </c>
      <c r="U83" s="48" t="s">
        <v>174</v>
      </c>
      <c r="V83" s="48" t="s">
        <v>166</v>
      </c>
      <c r="W83" s="177" t="s">
        <v>174</v>
      </c>
      <c r="X83" s="177" t="s">
        <v>166</v>
      </c>
      <c r="Y83" s="178"/>
      <c r="Z83" s="66"/>
      <c r="AA83" s="66"/>
      <c r="AB83" s="66"/>
      <c r="AC83" s="66"/>
      <c r="AD83" s="66"/>
      <c r="AE83" s="66"/>
      <c r="AF83" s="66"/>
      <c r="AG83" s="66"/>
      <c r="AH83" s="66"/>
    </row>
    <row r="84">
      <c r="A84" s="174" t="s">
        <v>1634</v>
      </c>
      <c r="B84" s="175" t="s">
        <v>1711</v>
      </c>
      <c r="C84" s="51" t="s">
        <v>1604</v>
      </c>
      <c r="D84" s="51">
        <v>94.5</v>
      </c>
      <c r="E84" s="48">
        <v>95.0</v>
      </c>
      <c r="F84" s="48">
        <v>53.0</v>
      </c>
      <c r="G84" s="48">
        <v>330.0</v>
      </c>
      <c r="H84" s="48" t="s">
        <v>164</v>
      </c>
      <c r="I84" s="48">
        <v>4.0</v>
      </c>
      <c r="J84" s="48">
        <v>150.0</v>
      </c>
      <c r="K84" s="50" t="s">
        <v>1605</v>
      </c>
      <c r="L84" s="51">
        <v>1.0</v>
      </c>
      <c r="M84" s="51" t="s">
        <v>1632</v>
      </c>
      <c r="N84" s="48">
        <v>2700.0</v>
      </c>
      <c r="O84" s="49">
        <v>42.58</v>
      </c>
      <c r="P84" s="49">
        <v>1.33</v>
      </c>
      <c r="Q84" s="176">
        <v>22.4</v>
      </c>
      <c r="R84" s="63" t="s">
        <v>166</v>
      </c>
      <c r="S84" s="48" t="s">
        <v>174</v>
      </c>
      <c r="T84" s="48" t="s">
        <v>166</v>
      </c>
      <c r="U84" s="48" t="s">
        <v>174</v>
      </c>
      <c r="V84" s="48" t="s">
        <v>166</v>
      </c>
      <c r="W84" s="177" t="s">
        <v>174</v>
      </c>
      <c r="X84" s="177" t="s">
        <v>166</v>
      </c>
      <c r="Y84" s="178"/>
      <c r="Z84" s="66"/>
      <c r="AA84" s="66"/>
      <c r="AB84" s="66"/>
      <c r="AC84" s="66"/>
      <c r="AD84" s="66"/>
      <c r="AE84" s="66"/>
      <c r="AF84" s="66"/>
      <c r="AG84" s="66"/>
      <c r="AH84" s="66"/>
    </row>
    <row r="85">
      <c r="A85" s="174" t="s">
        <v>1634</v>
      </c>
      <c r="B85" s="175" t="s">
        <v>1712</v>
      </c>
      <c r="C85" s="51" t="s">
        <v>1604</v>
      </c>
      <c r="D85" s="51">
        <v>94.5</v>
      </c>
      <c r="E85" s="48">
        <v>95.0</v>
      </c>
      <c r="F85" s="48">
        <v>53.0</v>
      </c>
      <c r="G85" s="48">
        <v>540.0</v>
      </c>
      <c r="H85" s="48" t="s">
        <v>1617</v>
      </c>
      <c r="I85" s="48">
        <v>4.0</v>
      </c>
      <c r="J85" s="48">
        <v>150.0</v>
      </c>
      <c r="K85" s="50" t="s">
        <v>1605</v>
      </c>
      <c r="L85" s="51">
        <v>1.0</v>
      </c>
      <c r="M85" s="51" t="s">
        <v>1632</v>
      </c>
      <c r="N85" s="48">
        <v>2700.0</v>
      </c>
      <c r="O85" s="49">
        <v>42.58</v>
      </c>
      <c r="P85" s="49">
        <v>1.33</v>
      </c>
      <c r="Q85" s="176">
        <v>22.4</v>
      </c>
      <c r="R85" s="63" t="s">
        <v>166</v>
      </c>
      <c r="S85" s="48" t="s">
        <v>174</v>
      </c>
      <c r="T85" s="48" t="s">
        <v>166</v>
      </c>
      <c r="U85" s="48" t="s">
        <v>174</v>
      </c>
      <c r="V85" s="48" t="s">
        <v>166</v>
      </c>
      <c r="W85" s="177" t="s">
        <v>174</v>
      </c>
      <c r="X85" s="177" t="s">
        <v>166</v>
      </c>
      <c r="Y85" s="178"/>
      <c r="Z85" s="66"/>
      <c r="AA85" s="66"/>
      <c r="AB85" s="66"/>
      <c r="AC85" s="66"/>
      <c r="AD85" s="66"/>
      <c r="AE85" s="66"/>
      <c r="AF85" s="66"/>
      <c r="AG85" s="66"/>
      <c r="AH85" s="66"/>
    </row>
    <row r="86">
      <c r="A86" s="174" t="s">
        <v>1634</v>
      </c>
      <c r="B86" s="175" t="s">
        <v>1713</v>
      </c>
      <c r="C86" s="51" t="s">
        <v>1604</v>
      </c>
      <c r="D86" s="51">
        <v>94.5</v>
      </c>
      <c r="E86" s="48">
        <v>95.0</v>
      </c>
      <c r="F86" s="48">
        <v>53.0</v>
      </c>
      <c r="G86" s="48">
        <v>540.0</v>
      </c>
      <c r="H86" s="48" t="s">
        <v>1617</v>
      </c>
      <c r="I86" s="48">
        <v>4.0</v>
      </c>
      <c r="J86" s="48">
        <v>150.0</v>
      </c>
      <c r="K86" s="50" t="s">
        <v>1605</v>
      </c>
      <c r="L86" s="51">
        <v>1.0</v>
      </c>
      <c r="M86" s="51" t="s">
        <v>1632</v>
      </c>
      <c r="N86" s="48">
        <v>2700.0</v>
      </c>
      <c r="O86" s="49">
        <v>42.58</v>
      </c>
      <c r="P86" s="49">
        <v>1.33</v>
      </c>
      <c r="Q86" s="176">
        <v>22.4</v>
      </c>
      <c r="R86" s="63" t="s">
        <v>166</v>
      </c>
      <c r="S86" s="48" t="s">
        <v>174</v>
      </c>
      <c r="T86" s="48" t="s">
        <v>166</v>
      </c>
      <c r="U86" s="48" t="s">
        <v>174</v>
      </c>
      <c r="V86" s="48" t="s">
        <v>166</v>
      </c>
      <c r="W86" s="177" t="s">
        <v>174</v>
      </c>
      <c r="X86" s="177" t="s">
        <v>166</v>
      </c>
      <c r="Y86" s="178"/>
      <c r="Z86" s="66"/>
      <c r="AA86" s="66"/>
      <c r="AB86" s="66"/>
      <c r="AC86" s="66"/>
      <c r="AD86" s="66"/>
      <c r="AE86" s="66"/>
      <c r="AF86" s="66"/>
      <c r="AG86" s="66"/>
      <c r="AH86" s="66"/>
    </row>
    <row r="87">
      <c r="A87" s="174" t="s">
        <v>1634</v>
      </c>
      <c r="B87" s="175" t="s">
        <v>1714</v>
      </c>
      <c r="C87" s="51" t="s">
        <v>1604</v>
      </c>
      <c r="D87" s="51">
        <v>94.5</v>
      </c>
      <c r="E87" s="48">
        <v>95.0</v>
      </c>
      <c r="F87" s="48">
        <v>53.0</v>
      </c>
      <c r="G87" s="48">
        <v>360.0</v>
      </c>
      <c r="H87" s="48" t="s">
        <v>164</v>
      </c>
      <c r="I87" s="48">
        <v>4.0</v>
      </c>
      <c r="J87" s="48">
        <v>150.0</v>
      </c>
      <c r="K87" s="50" t="s">
        <v>1605</v>
      </c>
      <c r="L87" s="51">
        <v>1.0</v>
      </c>
      <c r="M87" s="51" t="s">
        <v>1632</v>
      </c>
      <c r="N87" s="48">
        <v>2700.0</v>
      </c>
      <c r="O87" s="49">
        <v>42.58</v>
      </c>
      <c r="P87" s="49">
        <v>1.33</v>
      </c>
      <c r="Q87" s="176">
        <v>22.4</v>
      </c>
      <c r="R87" s="63" t="s">
        <v>166</v>
      </c>
      <c r="S87" s="48" t="s">
        <v>174</v>
      </c>
      <c r="T87" s="48" t="s">
        <v>166</v>
      </c>
      <c r="U87" s="48" t="s">
        <v>174</v>
      </c>
      <c r="V87" s="48" t="s">
        <v>166</v>
      </c>
      <c r="W87" s="177" t="s">
        <v>174</v>
      </c>
      <c r="X87" s="177" t="s">
        <v>166</v>
      </c>
      <c r="Y87" s="178"/>
      <c r="Z87" s="66"/>
      <c r="AA87" s="66"/>
      <c r="AB87" s="66"/>
      <c r="AC87" s="66"/>
      <c r="AD87" s="66"/>
      <c r="AE87" s="66"/>
      <c r="AF87" s="66"/>
      <c r="AG87" s="66"/>
      <c r="AH87" s="66"/>
    </row>
    <row r="88">
      <c r="A88" s="179" t="s">
        <v>1618</v>
      </c>
      <c r="B88" s="180" t="s">
        <v>1715</v>
      </c>
      <c r="C88" s="51" t="s">
        <v>1604</v>
      </c>
      <c r="D88" s="51">
        <v>94.0</v>
      </c>
      <c r="E88" s="48">
        <v>100.0</v>
      </c>
      <c r="F88" s="48">
        <v>53.0</v>
      </c>
      <c r="G88" s="48">
        <v>410.0</v>
      </c>
      <c r="H88" s="48" t="s">
        <v>1617</v>
      </c>
      <c r="I88" s="48">
        <v>2.0</v>
      </c>
      <c r="J88" s="48">
        <v>100.0</v>
      </c>
      <c r="K88" s="50" t="s">
        <v>1605</v>
      </c>
      <c r="L88" s="51">
        <v>1.0</v>
      </c>
      <c r="M88" s="51" t="s">
        <v>1665</v>
      </c>
      <c r="N88" s="48">
        <v>2100.0</v>
      </c>
      <c r="O88" s="49" t="s">
        <v>170</v>
      </c>
      <c r="P88" s="49" t="s">
        <v>170</v>
      </c>
      <c r="Q88" s="176">
        <v>27.1</v>
      </c>
      <c r="R88" s="63" t="s">
        <v>166</v>
      </c>
      <c r="S88" s="48" t="s">
        <v>166</v>
      </c>
      <c r="T88" s="48" t="s">
        <v>166</v>
      </c>
      <c r="U88" s="48" t="s">
        <v>174</v>
      </c>
      <c r="V88" s="48" t="s">
        <v>166</v>
      </c>
      <c r="W88" s="177" t="s">
        <v>166</v>
      </c>
      <c r="X88" s="177" t="s">
        <v>166</v>
      </c>
      <c r="Y88" s="178"/>
      <c r="Z88" s="66"/>
      <c r="AA88" s="66"/>
      <c r="AB88" s="66"/>
      <c r="AC88" s="66"/>
      <c r="AD88" s="66"/>
      <c r="AE88" s="66"/>
      <c r="AF88" s="66"/>
      <c r="AG88" s="66"/>
      <c r="AH88" s="66"/>
    </row>
    <row r="89">
      <c r="A89" s="174" t="s">
        <v>209</v>
      </c>
      <c r="B89" s="175" t="s">
        <v>1716</v>
      </c>
      <c r="C89" s="51" t="s">
        <v>1604</v>
      </c>
      <c r="D89" s="51">
        <v>107.0</v>
      </c>
      <c r="E89" s="48">
        <v>82.0</v>
      </c>
      <c r="F89" s="48">
        <v>54.0</v>
      </c>
      <c r="G89" s="48" t="s">
        <v>170</v>
      </c>
      <c r="H89" s="48" t="s">
        <v>164</v>
      </c>
      <c r="I89" s="48">
        <v>2.0</v>
      </c>
      <c r="J89" s="48" t="s">
        <v>170</v>
      </c>
      <c r="K89" s="50" t="s">
        <v>1605</v>
      </c>
      <c r="L89" s="51">
        <v>1.0</v>
      </c>
      <c r="M89" s="51" t="s">
        <v>1717</v>
      </c>
      <c r="N89" s="48">
        <v>3000.0</v>
      </c>
      <c r="O89" s="49">
        <v>34.33</v>
      </c>
      <c r="P89" s="49" t="s">
        <v>170</v>
      </c>
      <c r="Q89" s="176">
        <v>33.0</v>
      </c>
      <c r="R89" s="63" t="s">
        <v>174</v>
      </c>
      <c r="S89" s="48" t="s">
        <v>174</v>
      </c>
      <c r="T89" s="48" t="s">
        <v>166</v>
      </c>
      <c r="U89" s="48" t="s">
        <v>166</v>
      </c>
      <c r="V89" s="48" t="s">
        <v>166</v>
      </c>
      <c r="W89" s="177" t="s">
        <v>166</v>
      </c>
      <c r="X89" s="177" t="s">
        <v>166</v>
      </c>
      <c r="Y89" s="178"/>
      <c r="Z89" s="66"/>
      <c r="AA89" s="66"/>
      <c r="AB89" s="66"/>
      <c r="AC89" s="66"/>
      <c r="AD89" s="66"/>
      <c r="AE89" s="66"/>
      <c r="AF89" s="66"/>
      <c r="AG89" s="66"/>
      <c r="AH89" s="66"/>
    </row>
    <row r="90">
      <c r="A90" s="174" t="s">
        <v>1611</v>
      </c>
      <c r="B90" s="175" t="str">
        <f>HYPERLINK("http://www.idcooling.com/Product/detail/id/19/name/IS-60","IS-60")</f>
        <v>IS-60</v>
      </c>
      <c r="C90" s="51" t="s">
        <v>1604</v>
      </c>
      <c r="D90" s="51">
        <v>120.0</v>
      </c>
      <c r="E90" s="48">
        <v>125.0</v>
      </c>
      <c r="F90" s="48">
        <v>55.0</v>
      </c>
      <c r="G90" s="48">
        <v>470.0</v>
      </c>
      <c r="H90" s="48" t="s">
        <v>164</v>
      </c>
      <c r="I90" s="48">
        <v>6.0</v>
      </c>
      <c r="J90" s="48">
        <v>130.0</v>
      </c>
      <c r="K90" s="50">
        <v>34.1</v>
      </c>
      <c r="L90" s="51">
        <v>1.0</v>
      </c>
      <c r="M90" s="51" t="s">
        <v>1675</v>
      </c>
      <c r="N90" s="48">
        <v>1600.0</v>
      </c>
      <c r="O90" s="49">
        <v>53.6</v>
      </c>
      <c r="P90" s="49">
        <v>1.36</v>
      </c>
      <c r="Q90" s="176">
        <v>30.2</v>
      </c>
      <c r="R90" s="63" t="s">
        <v>174</v>
      </c>
      <c r="S90" s="48" t="s">
        <v>174</v>
      </c>
      <c r="T90" s="48" t="s">
        <v>166</v>
      </c>
      <c r="U90" s="48" t="s">
        <v>174</v>
      </c>
      <c r="V90" s="48" t="s">
        <v>166</v>
      </c>
      <c r="W90" s="177" t="s">
        <v>166</v>
      </c>
      <c r="X90" s="177" t="s">
        <v>166</v>
      </c>
      <c r="Y90" s="178"/>
      <c r="Z90" s="66"/>
      <c r="AA90" s="66"/>
      <c r="AB90" s="66"/>
      <c r="AC90" s="66"/>
      <c r="AD90" s="66"/>
      <c r="AE90" s="66"/>
      <c r="AF90" s="66"/>
      <c r="AG90" s="66"/>
      <c r="AH90" s="66"/>
    </row>
    <row r="91">
      <c r="A91" s="174" t="s">
        <v>1611</v>
      </c>
      <c r="B91" s="175" t="s">
        <v>1718</v>
      </c>
      <c r="C91" s="51" t="s">
        <v>1604</v>
      </c>
      <c r="D91" s="51">
        <v>120.0</v>
      </c>
      <c r="E91" s="48">
        <v>125.0</v>
      </c>
      <c r="F91" s="48">
        <v>55.0</v>
      </c>
      <c r="G91" s="48">
        <v>470.0</v>
      </c>
      <c r="H91" s="48" t="s">
        <v>164</v>
      </c>
      <c r="I91" s="48">
        <v>6.0</v>
      </c>
      <c r="J91" s="48">
        <v>130.0</v>
      </c>
      <c r="K91" s="50">
        <v>34.1</v>
      </c>
      <c r="L91" s="51">
        <v>1.0</v>
      </c>
      <c r="M91" s="51" t="s">
        <v>1675</v>
      </c>
      <c r="N91" s="48">
        <v>2000.0</v>
      </c>
      <c r="O91" s="49">
        <v>54.6</v>
      </c>
      <c r="P91" s="49">
        <v>1.53</v>
      </c>
      <c r="Q91" s="176">
        <v>31.2</v>
      </c>
      <c r="R91" s="63" t="s">
        <v>166</v>
      </c>
      <c r="S91" s="48" t="s">
        <v>174</v>
      </c>
      <c r="T91" s="48" t="s">
        <v>166</v>
      </c>
      <c r="U91" s="48" t="s">
        <v>174</v>
      </c>
      <c r="V91" s="48" t="s">
        <v>166</v>
      </c>
      <c r="W91" s="177" t="s">
        <v>174</v>
      </c>
      <c r="X91" s="177" t="s">
        <v>166</v>
      </c>
      <c r="Y91" s="178"/>
      <c r="Z91" s="66"/>
      <c r="AA91" s="66"/>
      <c r="AB91" s="66"/>
      <c r="AC91" s="66"/>
      <c r="AD91" s="66"/>
      <c r="AE91" s="66"/>
      <c r="AF91" s="66"/>
      <c r="AG91" s="66"/>
      <c r="AH91" s="66"/>
    </row>
    <row r="92">
      <c r="A92" s="174" t="s">
        <v>1611</v>
      </c>
      <c r="B92" s="175" t="s">
        <v>1719</v>
      </c>
      <c r="C92" s="51" t="s">
        <v>1604</v>
      </c>
      <c r="D92" s="51">
        <v>120.0</v>
      </c>
      <c r="E92" s="48">
        <v>122.0</v>
      </c>
      <c r="F92" s="48">
        <v>57.0</v>
      </c>
      <c r="G92" s="48">
        <v>385.0</v>
      </c>
      <c r="H92" s="48" t="s">
        <v>164</v>
      </c>
      <c r="I92" s="48">
        <v>5.0</v>
      </c>
      <c r="J92" s="48">
        <v>130.0</v>
      </c>
      <c r="K92" s="50">
        <v>38.5</v>
      </c>
      <c r="L92" s="51">
        <v>1.0</v>
      </c>
      <c r="M92" s="51" t="s">
        <v>1675</v>
      </c>
      <c r="N92" s="48">
        <v>1600.0</v>
      </c>
      <c r="O92" s="49">
        <v>53.6</v>
      </c>
      <c r="P92" s="49">
        <v>1.36</v>
      </c>
      <c r="Q92" s="176">
        <v>30.2</v>
      </c>
      <c r="R92" s="63" t="s">
        <v>174</v>
      </c>
      <c r="S92" s="48" t="s">
        <v>174</v>
      </c>
      <c r="T92" s="48" t="s">
        <v>166</v>
      </c>
      <c r="U92" s="48" t="s">
        <v>174</v>
      </c>
      <c r="V92" s="48" t="s">
        <v>166</v>
      </c>
      <c r="W92" s="177" t="s">
        <v>166</v>
      </c>
      <c r="X92" s="177" t="s">
        <v>166</v>
      </c>
      <c r="Y92" s="178"/>
      <c r="Z92" s="66"/>
      <c r="AA92" s="66"/>
      <c r="AB92" s="66"/>
      <c r="AC92" s="66"/>
      <c r="AD92" s="66"/>
      <c r="AE92" s="66"/>
      <c r="AF92" s="66"/>
      <c r="AG92" s="66"/>
      <c r="AH92" s="66"/>
    </row>
    <row r="93">
      <c r="A93" s="174" t="s">
        <v>1611</v>
      </c>
      <c r="B93" s="175" t="s">
        <v>1720</v>
      </c>
      <c r="C93" s="51" t="s">
        <v>1604</v>
      </c>
      <c r="D93" s="51">
        <v>120.0</v>
      </c>
      <c r="E93" s="48">
        <v>122.0</v>
      </c>
      <c r="F93" s="48">
        <v>57.0</v>
      </c>
      <c r="G93" s="48">
        <v>385.0</v>
      </c>
      <c r="H93" s="48" t="s">
        <v>164</v>
      </c>
      <c r="I93" s="48">
        <v>5.0</v>
      </c>
      <c r="J93" s="48">
        <v>130.0</v>
      </c>
      <c r="K93" s="50" t="s">
        <v>1605</v>
      </c>
      <c r="L93" s="51">
        <v>1.0</v>
      </c>
      <c r="M93" s="51" t="s">
        <v>1675</v>
      </c>
      <c r="N93" s="48">
        <v>2000.0</v>
      </c>
      <c r="O93" s="49">
        <v>54.6</v>
      </c>
      <c r="P93" s="49">
        <v>1.53</v>
      </c>
      <c r="Q93" s="176">
        <v>31.2</v>
      </c>
      <c r="R93" s="63" t="s">
        <v>166</v>
      </c>
      <c r="S93" s="48" t="s">
        <v>174</v>
      </c>
      <c r="T93" s="48" t="s">
        <v>166</v>
      </c>
      <c r="U93" s="48" t="s">
        <v>174</v>
      </c>
      <c r="V93" s="48" t="s">
        <v>166</v>
      </c>
      <c r="W93" s="177" t="s">
        <v>174</v>
      </c>
      <c r="X93" s="177" t="s">
        <v>166</v>
      </c>
      <c r="Y93" s="178"/>
      <c r="Z93" s="66"/>
      <c r="AA93" s="66"/>
      <c r="AB93" s="66"/>
      <c r="AC93" s="66"/>
      <c r="AD93" s="66"/>
      <c r="AE93" s="66"/>
      <c r="AF93" s="66"/>
      <c r="AG93" s="66"/>
      <c r="AH93" s="66"/>
    </row>
    <row r="94">
      <c r="A94" s="174" t="s">
        <v>1611</v>
      </c>
      <c r="B94" s="175" t="s">
        <v>1721</v>
      </c>
      <c r="C94" s="51" t="s">
        <v>1604</v>
      </c>
      <c r="D94" s="51">
        <v>120.0</v>
      </c>
      <c r="E94" s="48">
        <v>120.0</v>
      </c>
      <c r="F94" s="48">
        <v>57.0</v>
      </c>
      <c r="G94" s="48">
        <v>500.0</v>
      </c>
      <c r="H94" s="48" t="s">
        <v>164</v>
      </c>
      <c r="I94" s="48">
        <v>5.0</v>
      </c>
      <c r="J94" s="48">
        <v>125.0</v>
      </c>
      <c r="K94" s="50">
        <v>33.0</v>
      </c>
      <c r="L94" s="51">
        <v>1.0</v>
      </c>
      <c r="M94" s="51" t="s">
        <v>1675</v>
      </c>
      <c r="N94" s="48">
        <v>2000.0</v>
      </c>
      <c r="O94" s="49">
        <v>54.6</v>
      </c>
      <c r="P94" s="49">
        <v>1.53</v>
      </c>
      <c r="Q94" s="176">
        <v>31.2</v>
      </c>
      <c r="R94" s="63" t="s">
        <v>166</v>
      </c>
      <c r="S94" s="48" t="s">
        <v>174</v>
      </c>
      <c r="T94" s="48" t="s">
        <v>166</v>
      </c>
      <c r="U94" s="48" t="s">
        <v>174</v>
      </c>
      <c r="V94" s="48" t="s">
        <v>166</v>
      </c>
      <c r="W94" s="177" t="s">
        <v>174</v>
      </c>
      <c r="X94" s="177" t="s">
        <v>166</v>
      </c>
      <c r="Y94" s="178"/>
      <c r="Z94" s="66"/>
      <c r="AA94" s="66"/>
      <c r="AB94" s="66"/>
      <c r="AC94" s="66"/>
      <c r="AD94" s="66"/>
      <c r="AE94" s="66"/>
      <c r="AF94" s="66"/>
      <c r="AG94" s="66"/>
      <c r="AH94" s="66"/>
    </row>
    <row r="95">
      <c r="A95" s="174" t="s">
        <v>1611</v>
      </c>
      <c r="B95" s="175" t="s">
        <v>1722</v>
      </c>
      <c r="C95" s="51" t="s">
        <v>1604</v>
      </c>
      <c r="D95" s="51">
        <v>120.0</v>
      </c>
      <c r="E95" s="48">
        <v>120.0</v>
      </c>
      <c r="F95" s="48">
        <v>57.0</v>
      </c>
      <c r="G95" s="48">
        <v>500.0</v>
      </c>
      <c r="H95" s="48" t="s">
        <v>164</v>
      </c>
      <c r="I95" s="48">
        <v>5.0</v>
      </c>
      <c r="J95" s="48">
        <v>125.0</v>
      </c>
      <c r="K95" s="50">
        <v>33.0</v>
      </c>
      <c r="L95" s="51">
        <v>1.0</v>
      </c>
      <c r="M95" s="51" t="s">
        <v>1675</v>
      </c>
      <c r="N95" s="48">
        <v>2000.0</v>
      </c>
      <c r="O95" s="49">
        <v>54.6</v>
      </c>
      <c r="P95" s="49">
        <v>1.53</v>
      </c>
      <c r="Q95" s="176">
        <v>31.2</v>
      </c>
      <c r="R95" s="63" t="s">
        <v>166</v>
      </c>
      <c r="S95" s="48" t="s">
        <v>174</v>
      </c>
      <c r="T95" s="48" t="s">
        <v>166</v>
      </c>
      <c r="U95" s="48" t="s">
        <v>174</v>
      </c>
      <c r="V95" s="48" t="s">
        <v>166</v>
      </c>
      <c r="W95" s="177" t="s">
        <v>174</v>
      </c>
      <c r="X95" s="177" t="s">
        <v>166</v>
      </c>
      <c r="Y95" s="178"/>
      <c r="Z95" s="66"/>
      <c r="AA95" s="66"/>
      <c r="AB95" s="66"/>
      <c r="AC95" s="66"/>
      <c r="AD95" s="66"/>
      <c r="AE95" s="66"/>
      <c r="AF95" s="66"/>
      <c r="AG95" s="66"/>
      <c r="AH95" s="66"/>
    </row>
    <row r="96">
      <c r="A96" s="174" t="s">
        <v>1611</v>
      </c>
      <c r="B96" s="175" t="s">
        <v>1723</v>
      </c>
      <c r="C96" s="51" t="s">
        <v>1604</v>
      </c>
      <c r="D96" s="51">
        <v>120.0</v>
      </c>
      <c r="E96" s="48">
        <v>120.0</v>
      </c>
      <c r="F96" s="48">
        <v>57.0</v>
      </c>
      <c r="G96" s="48">
        <v>500.0</v>
      </c>
      <c r="H96" s="48" t="s">
        <v>164</v>
      </c>
      <c r="I96" s="48">
        <v>5.0</v>
      </c>
      <c r="J96" s="48">
        <v>125.0</v>
      </c>
      <c r="K96" s="50">
        <v>33.0</v>
      </c>
      <c r="L96" s="51">
        <v>1.0</v>
      </c>
      <c r="M96" s="51" t="s">
        <v>1675</v>
      </c>
      <c r="N96" s="48">
        <v>2000.0</v>
      </c>
      <c r="O96" s="49">
        <v>54.6</v>
      </c>
      <c r="P96" s="49">
        <v>1.53</v>
      </c>
      <c r="Q96" s="176">
        <v>31.2</v>
      </c>
      <c r="R96" s="63" t="s">
        <v>166</v>
      </c>
      <c r="S96" s="48" t="s">
        <v>174</v>
      </c>
      <c r="T96" s="48" t="s">
        <v>166</v>
      </c>
      <c r="U96" s="48" t="s">
        <v>174</v>
      </c>
      <c r="V96" s="48" t="s">
        <v>166</v>
      </c>
      <c r="W96" s="177" t="s">
        <v>174</v>
      </c>
      <c r="X96" s="177" t="s">
        <v>166</v>
      </c>
      <c r="Y96" s="178"/>
      <c r="Z96" s="66"/>
      <c r="AA96" s="66"/>
      <c r="AB96" s="66"/>
      <c r="AC96" s="66"/>
      <c r="AD96" s="66"/>
      <c r="AE96" s="66"/>
      <c r="AF96" s="66"/>
      <c r="AG96" s="66"/>
      <c r="AH96" s="66"/>
    </row>
    <row r="97">
      <c r="A97" s="174" t="s">
        <v>1611</v>
      </c>
      <c r="B97" s="175" t="s">
        <v>1724</v>
      </c>
      <c r="C97" s="51" t="s">
        <v>1604</v>
      </c>
      <c r="D97" s="51">
        <v>120.0</v>
      </c>
      <c r="E97" s="48">
        <v>120.0</v>
      </c>
      <c r="F97" s="48">
        <v>57.0</v>
      </c>
      <c r="G97" s="48">
        <v>500.0</v>
      </c>
      <c r="H97" s="48" t="s">
        <v>164</v>
      </c>
      <c r="I97" s="48">
        <v>5.0</v>
      </c>
      <c r="J97" s="48">
        <v>125.0</v>
      </c>
      <c r="K97" s="50">
        <v>33.0</v>
      </c>
      <c r="L97" s="51">
        <v>1.0</v>
      </c>
      <c r="M97" s="51" t="s">
        <v>1675</v>
      </c>
      <c r="N97" s="48">
        <v>2000.0</v>
      </c>
      <c r="O97" s="49">
        <v>54.6</v>
      </c>
      <c r="P97" s="49">
        <v>1.53</v>
      </c>
      <c r="Q97" s="176">
        <v>31.2</v>
      </c>
      <c r="R97" s="63" t="s">
        <v>166</v>
      </c>
      <c r="S97" s="48" t="s">
        <v>174</v>
      </c>
      <c r="T97" s="48" t="s">
        <v>166</v>
      </c>
      <c r="U97" s="48" t="s">
        <v>174</v>
      </c>
      <c r="V97" s="48" t="s">
        <v>166</v>
      </c>
      <c r="W97" s="177" t="s">
        <v>174</v>
      </c>
      <c r="X97" s="177" t="s">
        <v>166</v>
      </c>
      <c r="Y97" s="178"/>
      <c r="Z97" s="66"/>
      <c r="AA97" s="66"/>
      <c r="AB97" s="66"/>
      <c r="AC97" s="66"/>
      <c r="AD97" s="66"/>
      <c r="AE97" s="66"/>
      <c r="AF97" s="66"/>
      <c r="AG97" s="66"/>
      <c r="AH97" s="66"/>
    </row>
    <row r="98">
      <c r="A98" s="174" t="s">
        <v>1387</v>
      </c>
      <c r="B98" s="175" t="str">
        <f>HYPERLINK("https://www.scytheus.com/aircooler-bigshuriken2","Big Shuriken 2 Rev. B")</f>
        <v>Big Shuriken 2 Rev. B</v>
      </c>
      <c r="C98" s="51" t="s">
        <v>1604</v>
      </c>
      <c r="D98" s="51">
        <v>125.0</v>
      </c>
      <c r="E98" s="48">
        <v>135.0</v>
      </c>
      <c r="F98" s="48">
        <v>58.0</v>
      </c>
      <c r="G98" s="48">
        <v>410.0</v>
      </c>
      <c r="H98" s="48" t="s">
        <v>164</v>
      </c>
      <c r="I98" s="48">
        <v>5.0</v>
      </c>
      <c r="J98" s="48" t="s">
        <v>170</v>
      </c>
      <c r="K98" s="50">
        <v>38.0</v>
      </c>
      <c r="L98" s="51">
        <v>1.0</v>
      </c>
      <c r="M98" s="51" t="s">
        <v>1725</v>
      </c>
      <c r="N98" s="48">
        <v>2000.0</v>
      </c>
      <c r="O98" s="49">
        <v>45.47</v>
      </c>
      <c r="P98" s="49">
        <v>1.35</v>
      </c>
      <c r="Q98" s="176">
        <v>33.67</v>
      </c>
      <c r="R98" s="63" t="s">
        <v>174</v>
      </c>
      <c r="S98" s="48" t="s">
        <v>166</v>
      </c>
      <c r="T98" s="48" t="s">
        <v>174</v>
      </c>
      <c r="U98" s="48" t="s">
        <v>174</v>
      </c>
      <c r="V98" s="48" t="s">
        <v>174</v>
      </c>
      <c r="W98" s="177" t="s">
        <v>166</v>
      </c>
      <c r="X98" s="177" t="s">
        <v>174</v>
      </c>
      <c r="Y98" s="183"/>
      <c r="Z98" s="66"/>
      <c r="AA98" s="66"/>
      <c r="AB98" s="66"/>
      <c r="AC98" s="66"/>
      <c r="AD98" s="66"/>
      <c r="AE98" s="66"/>
      <c r="AF98" s="66"/>
      <c r="AG98" s="66"/>
      <c r="AH98" s="66"/>
    </row>
    <row r="99">
      <c r="A99" s="174" t="s">
        <v>1387</v>
      </c>
      <c r="B99" s="175" t="str">
        <f>HYPERLINK("https://www.scytheus.com/shuriken2", "Shuriken 2")</f>
        <v>Shuriken 2</v>
      </c>
      <c r="C99" s="51" t="s">
        <v>1604</v>
      </c>
      <c r="D99" s="51">
        <v>94.0</v>
      </c>
      <c r="E99" s="48">
        <v>93.0</v>
      </c>
      <c r="F99" s="48">
        <v>58.0</v>
      </c>
      <c r="G99" s="48">
        <v>350.0</v>
      </c>
      <c r="H99" s="48" t="s">
        <v>164</v>
      </c>
      <c r="I99" s="48">
        <v>4.0</v>
      </c>
      <c r="J99" s="48">
        <v>100.0</v>
      </c>
      <c r="K99" s="50" t="s">
        <v>1605</v>
      </c>
      <c r="L99" s="51">
        <v>1.0</v>
      </c>
      <c r="M99" s="51" t="s">
        <v>1632</v>
      </c>
      <c r="N99" s="48">
        <v>2500.0</v>
      </c>
      <c r="O99" s="49">
        <v>41.3</v>
      </c>
      <c r="P99" s="49" t="s">
        <v>170</v>
      </c>
      <c r="Q99" s="176">
        <v>23.2</v>
      </c>
      <c r="R99" s="63" t="s">
        <v>166</v>
      </c>
      <c r="S99" s="48" t="s">
        <v>174</v>
      </c>
      <c r="T99" s="48" t="s">
        <v>166</v>
      </c>
      <c r="U99" s="48" t="s">
        <v>174</v>
      </c>
      <c r="V99" s="48" t="s">
        <v>166</v>
      </c>
      <c r="W99" s="177" t="s">
        <v>174</v>
      </c>
      <c r="X99" s="177" t="s">
        <v>166</v>
      </c>
      <c r="Y99" s="183"/>
      <c r="Z99" s="66"/>
      <c r="AA99" s="66"/>
      <c r="AB99" s="66"/>
      <c r="AC99" s="66"/>
      <c r="AD99" s="66"/>
      <c r="AE99" s="66"/>
      <c r="AF99" s="66"/>
      <c r="AG99" s="66"/>
      <c r="AH99" s="66"/>
    </row>
    <row r="100">
      <c r="A100" s="174" t="s">
        <v>209</v>
      </c>
      <c r="B100" s="175" t="str">
        <f>HYPERLINK("https://silverstonetek.com/product.php?pid=505&amp;area=en","AR06")</f>
        <v>AR06</v>
      </c>
      <c r="C100" s="51" t="s">
        <v>1604</v>
      </c>
      <c r="D100" s="51">
        <v>92.0</v>
      </c>
      <c r="E100" s="48">
        <v>105.0</v>
      </c>
      <c r="F100" s="48">
        <v>58.0</v>
      </c>
      <c r="G100" s="48">
        <v>263.0</v>
      </c>
      <c r="H100" s="48" t="s">
        <v>164</v>
      </c>
      <c r="I100" s="48">
        <v>4.0</v>
      </c>
      <c r="J100" s="48">
        <v>95.0</v>
      </c>
      <c r="K100" s="50" t="s">
        <v>1605</v>
      </c>
      <c r="L100" s="51">
        <v>1.0</v>
      </c>
      <c r="M100" s="51" t="s">
        <v>1632</v>
      </c>
      <c r="N100" s="48">
        <v>2500.0</v>
      </c>
      <c r="O100" s="49">
        <v>40.2</v>
      </c>
      <c r="P100" s="49" t="s">
        <v>170</v>
      </c>
      <c r="Q100" s="176">
        <v>28.3</v>
      </c>
      <c r="R100" s="63" t="s">
        <v>174</v>
      </c>
      <c r="S100" s="48" t="s">
        <v>166</v>
      </c>
      <c r="T100" s="48" t="s">
        <v>166</v>
      </c>
      <c r="U100" s="48" t="s">
        <v>174</v>
      </c>
      <c r="V100" s="48" t="s">
        <v>166</v>
      </c>
      <c r="W100" s="177" t="s">
        <v>166</v>
      </c>
      <c r="X100" s="177" t="s">
        <v>166</v>
      </c>
      <c r="Y100" s="183"/>
      <c r="Z100" s="66"/>
      <c r="AA100" s="66"/>
      <c r="AB100" s="66"/>
      <c r="AC100" s="66"/>
      <c r="AD100" s="66"/>
      <c r="AE100" s="66"/>
      <c r="AF100" s="66"/>
      <c r="AG100" s="66"/>
      <c r="AH100" s="66"/>
    </row>
    <row r="101">
      <c r="A101" s="174" t="s">
        <v>1634</v>
      </c>
      <c r="B101" s="175" t="str">
        <f>HYPERLINK("http://thermalright.com/product/axp-100-full-copper/","AXP-100-Full Copper")</f>
        <v>AXP-100-Full Copper</v>
      </c>
      <c r="C101" s="51" t="s">
        <v>1604</v>
      </c>
      <c r="D101" s="51">
        <v>121.0</v>
      </c>
      <c r="E101" s="48">
        <v>108.0</v>
      </c>
      <c r="F101" s="48">
        <v>58.0</v>
      </c>
      <c r="G101" s="48">
        <v>640.0</v>
      </c>
      <c r="H101" s="48" t="s">
        <v>1617</v>
      </c>
      <c r="I101" s="48">
        <v>6.0</v>
      </c>
      <c r="J101" s="48">
        <v>180.0</v>
      </c>
      <c r="K101" s="50">
        <v>35.0</v>
      </c>
      <c r="L101" s="51">
        <v>1.0</v>
      </c>
      <c r="M101" s="51" t="s">
        <v>1726</v>
      </c>
      <c r="N101" s="48">
        <v>2500.0</v>
      </c>
      <c r="O101" s="49">
        <v>44.5</v>
      </c>
      <c r="P101" s="49">
        <v>1.6</v>
      </c>
      <c r="Q101" s="176">
        <v>30.0</v>
      </c>
      <c r="R101" s="63" t="s">
        <v>166</v>
      </c>
      <c r="S101" s="48" t="s">
        <v>174</v>
      </c>
      <c r="T101" s="48" t="s">
        <v>174</v>
      </c>
      <c r="U101" s="48" t="s">
        <v>174</v>
      </c>
      <c r="V101" s="48" t="s">
        <v>174</v>
      </c>
      <c r="W101" s="177" t="s">
        <v>174</v>
      </c>
      <c r="X101" s="177" t="s">
        <v>174</v>
      </c>
      <c r="Y101" s="178"/>
      <c r="Z101" s="66"/>
      <c r="AA101" s="66"/>
      <c r="AB101" s="66"/>
      <c r="AC101" s="66"/>
      <c r="AD101" s="66"/>
      <c r="AE101" s="66"/>
      <c r="AF101" s="66"/>
      <c r="AG101" s="66"/>
      <c r="AH101" s="66"/>
    </row>
    <row r="102">
      <c r="A102" s="174" t="s">
        <v>1625</v>
      </c>
      <c r="B102" s="175" t="s">
        <v>1727</v>
      </c>
      <c r="C102" s="51" t="s">
        <v>1604</v>
      </c>
      <c r="D102" s="51">
        <v>114.0</v>
      </c>
      <c r="E102" s="48">
        <v>105.0</v>
      </c>
      <c r="F102" s="48">
        <v>59.0</v>
      </c>
      <c r="G102" s="48">
        <v>325.0</v>
      </c>
      <c r="H102" s="48" t="s">
        <v>164</v>
      </c>
      <c r="I102" s="48">
        <v>4.0</v>
      </c>
      <c r="J102" s="48" t="s">
        <v>170</v>
      </c>
      <c r="K102" s="50" t="s">
        <v>170</v>
      </c>
      <c r="L102" s="51">
        <v>1.0</v>
      </c>
      <c r="M102" s="51" t="s">
        <v>1728</v>
      </c>
      <c r="N102" s="48">
        <v>2200.0</v>
      </c>
      <c r="O102" s="49">
        <v>30.39</v>
      </c>
      <c r="P102" s="49">
        <v>1.47</v>
      </c>
      <c r="Q102" s="176">
        <v>31.67</v>
      </c>
      <c r="R102" s="63" t="s">
        <v>174</v>
      </c>
      <c r="S102" s="48" t="s">
        <v>174</v>
      </c>
      <c r="T102" s="48" t="s">
        <v>174</v>
      </c>
      <c r="U102" s="48" t="s">
        <v>174</v>
      </c>
      <c r="V102" s="48" t="s">
        <v>174</v>
      </c>
      <c r="W102" s="177" t="s">
        <v>166</v>
      </c>
      <c r="X102" s="177" t="s">
        <v>166</v>
      </c>
      <c r="Y102" s="178"/>
      <c r="Z102" s="66"/>
      <c r="AA102" s="66"/>
      <c r="AB102" s="66"/>
      <c r="AC102" s="66"/>
      <c r="AD102" s="66"/>
      <c r="AE102" s="66"/>
      <c r="AF102" s="66"/>
      <c r="AG102" s="66"/>
      <c r="AH102" s="66"/>
    </row>
    <row r="103">
      <c r="A103" s="174" t="s">
        <v>1532</v>
      </c>
      <c r="B103" s="175" t="str">
        <f>HYPERLINK("https://www.coolermaster.com/catalog/coolers/standard-cooler/i70c/","I70C")</f>
        <v>I70C</v>
      </c>
      <c r="C103" s="51" t="s">
        <v>1604</v>
      </c>
      <c r="D103" s="51">
        <v>120.0</v>
      </c>
      <c r="E103" s="48">
        <v>120.0</v>
      </c>
      <c r="F103" s="48">
        <v>60.0</v>
      </c>
      <c r="G103" s="48">
        <v>430.0</v>
      </c>
      <c r="H103" s="48" t="s">
        <v>164</v>
      </c>
      <c r="I103" s="48" t="s">
        <v>166</v>
      </c>
      <c r="J103" s="48" t="s">
        <v>170</v>
      </c>
      <c r="K103" s="50" t="s">
        <v>1605</v>
      </c>
      <c r="L103" s="51">
        <v>1.0</v>
      </c>
      <c r="M103" s="51" t="s">
        <v>1729</v>
      </c>
      <c r="N103" s="48">
        <v>1800.0</v>
      </c>
      <c r="O103" s="49">
        <v>37.0</v>
      </c>
      <c r="P103" s="49">
        <v>1.33</v>
      </c>
      <c r="Q103" s="176">
        <v>28.0</v>
      </c>
      <c r="R103" s="63" t="s">
        <v>166</v>
      </c>
      <c r="S103" s="48" t="s">
        <v>166</v>
      </c>
      <c r="T103" s="48" t="s">
        <v>166</v>
      </c>
      <c r="U103" s="48" t="s">
        <v>174</v>
      </c>
      <c r="V103" s="48" t="s">
        <v>166</v>
      </c>
      <c r="W103" s="177" t="s">
        <v>166</v>
      </c>
      <c r="X103" s="177" t="s">
        <v>166</v>
      </c>
      <c r="Y103" s="178"/>
      <c r="Z103" s="66"/>
      <c r="AA103" s="66"/>
      <c r="AB103" s="66"/>
      <c r="AC103" s="66"/>
      <c r="AD103" s="66"/>
      <c r="AE103" s="66"/>
      <c r="AF103" s="66"/>
      <c r="AG103" s="66"/>
      <c r="AH103" s="66"/>
    </row>
    <row r="104">
      <c r="A104" s="174" t="s">
        <v>1662</v>
      </c>
      <c r="B104" s="175" t="str">
        <f>HYPERLINK("https://www.alpenfoehn.de/en/products/cpu-cooler/black-ridge-en","Blackridge (High profile/Dual fan mode)")</f>
        <v>Blackridge (High profile/Dual fan mode)</v>
      </c>
      <c r="C104" s="51" t="s">
        <v>1604</v>
      </c>
      <c r="D104" s="51">
        <v>140.0</v>
      </c>
      <c r="E104" s="48">
        <v>120.0</v>
      </c>
      <c r="F104" s="48">
        <v>62.0</v>
      </c>
      <c r="G104" s="48">
        <v>438.0</v>
      </c>
      <c r="H104" s="48" t="s">
        <v>164</v>
      </c>
      <c r="I104" s="48">
        <v>6.0</v>
      </c>
      <c r="J104" s="48">
        <v>95.0</v>
      </c>
      <c r="K104" s="50">
        <v>33.0</v>
      </c>
      <c r="L104" s="51">
        <v>2.0</v>
      </c>
      <c r="M104" s="51" t="s">
        <v>1730</v>
      </c>
      <c r="N104" s="48">
        <v>2800.0</v>
      </c>
      <c r="O104" s="49">
        <v>47.1</v>
      </c>
      <c r="P104" s="49" t="s">
        <v>170</v>
      </c>
      <c r="Q104" s="176">
        <v>37.6</v>
      </c>
      <c r="R104" s="63" t="s">
        <v>166</v>
      </c>
      <c r="S104" s="48" t="s">
        <v>174</v>
      </c>
      <c r="T104" s="48" t="s">
        <v>166</v>
      </c>
      <c r="U104" s="48" t="s">
        <v>174</v>
      </c>
      <c r="V104" s="48" t="s">
        <v>166</v>
      </c>
      <c r="W104" s="177" t="s">
        <v>174</v>
      </c>
      <c r="X104" s="177" t="s">
        <v>166</v>
      </c>
      <c r="Y104" s="183" t="s">
        <v>1676</v>
      </c>
      <c r="Z104" s="66"/>
      <c r="AA104" s="66"/>
      <c r="AB104" s="66"/>
      <c r="AC104" s="66"/>
      <c r="AD104" s="66"/>
      <c r="AE104" s="66"/>
      <c r="AF104" s="66"/>
      <c r="AG104" s="66"/>
      <c r="AH104" s="66"/>
    </row>
    <row r="105">
      <c r="A105" s="174" t="s">
        <v>1630</v>
      </c>
      <c r="B105" s="175" t="s">
        <v>1731</v>
      </c>
      <c r="C105" s="51" t="s">
        <v>1604</v>
      </c>
      <c r="D105" s="51">
        <v>120.0</v>
      </c>
      <c r="E105" s="48">
        <v>120.0</v>
      </c>
      <c r="F105" s="48">
        <v>63.0</v>
      </c>
      <c r="G105" s="48">
        <v>500.0</v>
      </c>
      <c r="H105" s="48" t="s">
        <v>164</v>
      </c>
      <c r="I105" s="48">
        <v>6.0</v>
      </c>
      <c r="J105" s="48">
        <v>200.0</v>
      </c>
      <c r="K105" s="50" t="s">
        <v>1605</v>
      </c>
      <c r="L105" s="51">
        <v>1.0</v>
      </c>
      <c r="M105" s="51" t="s">
        <v>1675</v>
      </c>
      <c r="N105" s="48">
        <v>1800.0</v>
      </c>
      <c r="O105" s="49">
        <v>62.0</v>
      </c>
      <c r="P105" s="49">
        <v>2.0</v>
      </c>
      <c r="Q105" s="176">
        <v>29.7</v>
      </c>
      <c r="R105" s="63" t="s">
        <v>166</v>
      </c>
      <c r="S105" s="48" t="s">
        <v>174</v>
      </c>
      <c r="T105" s="48" t="s">
        <v>166</v>
      </c>
      <c r="U105" s="48" t="s">
        <v>174</v>
      </c>
      <c r="V105" s="48" t="s">
        <v>166</v>
      </c>
      <c r="W105" s="177" t="s">
        <v>174</v>
      </c>
      <c r="X105" s="177" t="s">
        <v>166</v>
      </c>
      <c r="Y105" s="183"/>
      <c r="Z105" s="66"/>
      <c r="AA105" s="66"/>
      <c r="AB105" s="66"/>
      <c r="AC105" s="66"/>
      <c r="AD105" s="66"/>
      <c r="AE105" s="66"/>
      <c r="AF105" s="66"/>
      <c r="AG105" s="66"/>
      <c r="AH105" s="66"/>
    </row>
    <row r="106">
      <c r="A106" s="174" t="s">
        <v>1630</v>
      </c>
      <c r="B106" s="175" t="s">
        <v>1732</v>
      </c>
      <c r="C106" s="51" t="s">
        <v>1604</v>
      </c>
      <c r="D106" s="51">
        <v>120.0</v>
      </c>
      <c r="E106" s="48">
        <v>120.0</v>
      </c>
      <c r="F106" s="48">
        <v>63.0</v>
      </c>
      <c r="G106" s="48">
        <v>500.0</v>
      </c>
      <c r="H106" s="48" t="s">
        <v>164</v>
      </c>
      <c r="I106" s="48">
        <v>6.0</v>
      </c>
      <c r="J106" s="48">
        <v>200.0</v>
      </c>
      <c r="K106" s="50" t="s">
        <v>1605</v>
      </c>
      <c r="L106" s="51">
        <v>1.0</v>
      </c>
      <c r="M106" s="51" t="s">
        <v>1675</v>
      </c>
      <c r="N106" s="48">
        <v>1800.0</v>
      </c>
      <c r="O106" s="49">
        <v>62.0</v>
      </c>
      <c r="P106" s="49">
        <v>2.0</v>
      </c>
      <c r="Q106" s="176">
        <v>29.7</v>
      </c>
      <c r="R106" s="63" t="s">
        <v>166</v>
      </c>
      <c r="S106" s="48" t="s">
        <v>174</v>
      </c>
      <c r="T106" s="48" t="s">
        <v>166</v>
      </c>
      <c r="U106" s="48" t="s">
        <v>174</v>
      </c>
      <c r="V106" s="48" t="s">
        <v>166</v>
      </c>
      <c r="W106" s="177" t="s">
        <v>174</v>
      </c>
      <c r="X106" s="177" t="s">
        <v>166</v>
      </c>
      <c r="Y106" s="183"/>
      <c r="Z106" s="66"/>
      <c r="AA106" s="66"/>
      <c r="AB106" s="66"/>
      <c r="AC106" s="66"/>
      <c r="AD106" s="66"/>
      <c r="AE106" s="66"/>
      <c r="AF106" s="66"/>
      <c r="AG106" s="66"/>
      <c r="AH106" s="66"/>
    </row>
    <row r="107">
      <c r="A107" s="174" t="s">
        <v>1611</v>
      </c>
      <c r="B107" s="175" t="s">
        <v>1733</v>
      </c>
      <c r="C107" s="51" t="s">
        <v>1604</v>
      </c>
      <c r="D107" s="51">
        <v>120.0</v>
      </c>
      <c r="E107" s="48">
        <v>122.0</v>
      </c>
      <c r="F107" s="48">
        <v>64.0</v>
      </c>
      <c r="G107" s="48">
        <v>650.0</v>
      </c>
      <c r="H107" s="48" t="s">
        <v>164</v>
      </c>
      <c r="I107" s="48">
        <v>6.0</v>
      </c>
      <c r="J107" s="48">
        <v>130.0</v>
      </c>
      <c r="K107" s="50" t="s">
        <v>1605</v>
      </c>
      <c r="L107" s="51">
        <v>2.0</v>
      </c>
      <c r="M107" s="51" t="s">
        <v>1730</v>
      </c>
      <c r="N107" s="48">
        <v>2000.0</v>
      </c>
      <c r="O107" s="49">
        <v>54.6</v>
      </c>
      <c r="P107" s="49" t="s">
        <v>170</v>
      </c>
      <c r="Q107" s="176">
        <v>31.2</v>
      </c>
      <c r="R107" s="63" t="s">
        <v>166</v>
      </c>
      <c r="S107" s="48" t="s">
        <v>174</v>
      </c>
      <c r="T107" s="48" t="s">
        <v>166</v>
      </c>
      <c r="U107" s="48" t="s">
        <v>174</v>
      </c>
      <c r="V107" s="48" t="s">
        <v>166</v>
      </c>
      <c r="W107" s="177" t="s">
        <v>174</v>
      </c>
      <c r="X107" s="177" t="s">
        <v>166</v>
      </c>
      <c r="Y107" s="183"/>
      <c r="Z107" s="66"/>
      <c r="AA107" s="66"/>
      <c r="AB107" s="66"/>
      <c r="AC107" s="66"/>
      <c r="AD107" s="66"/>
      <c r="AE107" s="66"/>
      <c r="AF107" s="66"/>
      <c r="AG107" s="66"/>
      <c r="AH107" s="66"/>
    </row>
    <row r="108">
      <c r="A108" s="174" t="s">
        <v>1611</v>
      </c>
      <c r="B108" s="175" t="s">
        <v>1734</v>
      </c>
      <c r="C108" s="51" t="s">
        <v>1604</v>
      </c>
      <c r="D108" s="51">
        <v>120.0</v>
      </c>
      <c r="E108" s="48">
        <v>122.0</v>
      </c>
      <c r="F108" s="48">
        <v>64.0</v>
      </c>
      <c r="G108" s="48">
        <v>650.0</v>
      </c>
      <c r="H108" s="48" t="s">
        <v>164</v>
      </c>
      <c r="I108" s="48">
        <v>6.0</v>
      </c>
      <c r="J108" s="48">
        <v>130.0</v>
      </c>
      <c r="K108" s="50" t="s">
        <v>1605</v>
      </c>
      <c r="L108" s="51">
        <v>2.0</v>
      </c>
      <c r="M108" s="51" t="s">
        <v>1730</v>
      </c>
      <c r="N108" s="48">
        <v>2000.0</v>
      </c>
      <c r="O108" s="49">
        <v>54.6</v>
      </c>
      <c r="P108" s="49" t="s">
        <v>170</v>
      </c>
      <c r="Q108" s="176">
        <v>31.2</v>
      </c>
      <c r="R108" s="63" t="s">
        <v>166</v>
      </c>
      <c r="S108" s="48" t="s">
        <v>174</v>
      </c>
      <c r="T108" s="48" t="s">
        <v>166</v>
      </c>
      <c r="U108" s="48" t="s">
        <v>174</v>
      </c>
      <c r="V108" s="48" t="s">
        <v>166</v>
      </c>
      <c r="W108" s="177" t="s">
        <v>166</v>
      </c>
      <c r="X108" s="177" t="s">
        <v>166</v>
      </c>
      <c r="Y108" s="183"/>
      <c r="Z108" s="66"/>
      <c r="AA108" s="66"/>
      <c r="AB108" s="66"/>
      <c r="AC108" s="66"/>
      <c r="AD108" s="66"/>
      <c r="AE108" s="66"/>
      <c r="AF108" s="66"/>
      <c r="AG108" s="66"/>
      <c r="AH108" s="66"/>
    </row>
    <row r="109">
      <c r="A109" s="174" t="s">
        <v>1735</v>
      </c>
      <c r="B109" s="175" t="s">
        <v>1736</v>
      </c>
      <c r="C109" s="51" t="s">
        <v>1604</v>
      </c>
      <c r="D109" s="51">
        <v>98.6</v>
      </c>
      <c r="E109" s="48">
        <v>121.0</v>
      </c>
      <c r="F109" s="48">
        <v>65.0</v>
      </c>
      <c r="G109" s="48">
        <v>275.5</v>
      </c>
      <c r="H109" s="48" t="s">
        <v>164</v>
      </c>
      <c r="I109" s="48" t="s">
        <v>166</v>
      </c>
      <c r="J109" s="48" t="s">
        <v>170</v>
      </c>
      <c r="K109" s="50" t="s">
        <v>1605</v>
      </c>
      <c r="L109" s="51">
        <v>1.0</v>
      </c>
      <c r="M109" s="51" t="s">
        <v>1665</v>
      </c>
      <c r="N109" s="48">
        <v>2000.0</v>
      </c>
      <c r="O109" s="49" t="s">
        <v>170</v>
      </c>
      <c r="P109" s="49" t="s">
        <v>170</v>
      </c>
      <c r="Q109" s="176">
        <v>35.8</v>
      </c>
      <c r="R109" s="63" t="s">
        <v>166</v>
      </c>
      <c r="S109" s="48" t="s">
        <v>174</v>
      </c>
      <c r="T109" s="48" t="s">
        <v>166</v>
      </c>
      <c r="U109" s="48" t="s">
        <v>166</v>
      </c>
      <c r="V109" s="48" t="s">
        <v>166</v>
      </c>
      <c r="W109" s="177" t="s">
        <v>166</v>
      </c>
      <c r="X109" s="177" t="s">
        <v>166</v>
      </c>
      <c r="Y109" s="178"/>
      <c r="Z109" s="66"/>
      <c r="AA109" s="66"/>
      <c r="AB109" s="66"/>
      <c r="AC109" s="66"/>
      <c r="AD109" s="66"/>
      <c r="AE109" s="66"/>
      <c r="AF109" s="66"/>
      <c r="AG109" s="66"/>
      <c r="AH109" s="66"/>
    </row>
    <row r="110">
      <c r="A110" s="174" t="s">
        <v>1735</v>
      </c>
      <c r="B110" s="175" t="s">
        <v>1737</v>
      </c>
      <c r="C110" s="51" t="s">
        <v>1604</v>
      </c>
      <c r="D110" s="51">
        <v>98.6</v>
      </c>
      <c r="E110" s="48">
        <v>121.0</v>
      </c>
      <c r="F110" s="48">
        <v>65.0</v>
      </c>
      <c r="G110" s="48">
        <v>275.5</v>
      </c>
      <c r="H110" s="48" t="s">
        <v>164</v>
      </c>
      <c r="I110" s="48" t="s">
        <v>166</v>
      </c>
      <c r="J110" s="48" t="s">
        <v>170</v>
      </c>
      <c r="K110" s="50" t="s">
        <v>1605</v>
      </c>
      <c r="L110" s="51">
        <v>1.0</v>
      </c>
      <c r="M110" s="51" t="s">
        <v>1665</v>
      </c>
      <c r="N110" s="48">
        <v>2700.0</v>
      </c>
      <c r="O110" s="49" t="s">
        <v>170</v>
      </c>
      <c r="P110" s="49" t="s">
        <v>170</v>
      </c>
      <c r="Q110" s="176">
        <v>35.8</v>
      </c>
      <c r="R110" s="63" t="s">
        <v>166</v>
      </c>
      <c r="S110" s="48" t="s">
        <v>174</v>
      </c>
      <c r="T110" s="48" t="s">
        <v>166</v>
      </c>
      <c r="U110" s="48" t="s">
        <v>166</v>
      </c>
      <c r="V110" s="48" t="s">
        <v>166</v>
      </c>
      <c r="W110" s="177" t="s">
        <v>166</v>
      </c>
      <c r="X110" s="177" t="s">
        <v>166</v>
      </c>
      <c r="Y110" s="178"/>
      <c r="Z110" s="66"/>
      <c r="AA110" s="66"/>
      <c r="AB110" s="66"/>
      <c r="AC110" s="66"/>
      <c r="AD110" s="66"/>
      <c r="AE110" s="66"/>
      <c r="AF110" s="66"/>
      <c r="AG110" s="66"/>
      <c r="AH110" s="66"/>
    </row>
    <row r="111">
      <c r="A111" s="174" t="s">
        <v>1639</v>
      </c>
      <c r="B111" s="175" t="str">
        <f>HYPERLINK("https://noctua.at/en/nh-l9x65","NH-L9x65")</f>
        <v>NH-L9x65</v>
      </c>
      <c r="C111" s="51" t="s">
        <v>1604</v>
      </c>
      <c r="D111" s="51">
        <v>95.0</v>
      </c>
      <c r="E111" s="48">
        <v>95.0</v>
      </c>
      <c r="F111" s="48">
        <v>65.0</v>
      </c>
      <c r="G111" s="48">
        <v>413.0</v>
      </c>
      <c r="H111" s="48" t="s">
        <v>164</v>
      </c>
      <c r="I111" s="48">
        <v>4.0</v>
      </c>
      <c r="J111" s="182" t="s">
        <v>214</v>
      </c>
      <c r="K111" s="50" t="s">
        <v>1605</v>
      </c>
      <c r="L111" s="51">
        <v>1.0</v>
      </c>
      <c r="M111" s="51" t="s">
        <v>1640</v>
      </c>
      <c r="N111" s="48">
        <v>2500.0</v>
      </c>
      <c r="O111" s="49">
        <v>33.9</v>
      </c>
      <c r="P111" s="49">
        <v>2.11</v>
      </c>
      <c r="Q111" s="176">
        <v>23.6</v>
      </c>
      <c r="R111" s="63" t="s">
        <v>174</v>
      </c>
      <c r="S111" s="48" t="s">
        <v>174</v>
      </c>
      <c r="T111" s="48" t="s">
        <v>166</v>
      </c>
      <c r="U111" s="48" t="s">
        <v>174</v>
      </c>
      <c r="V111" s="48" t="s">
        <v>166</v>
      </c>
      <c r="W111" s="177" t="s">
        <v>174</v>
      </c>
      <c r="X111" s="177" t="s">
        <v>174</v>
      </c>
      <c r="Y111" s="178"/>
      <c r="Z111" s="66"/>
      <c r="AA111" s="66"/>
      <c r="AB111" s="66"/>
      <c r="AC111" s="66"/>
      <c r="AD111" s="66"/>
      <c r="AE111" s="66"/>
      <c r="AF111" s="66"/>
      <c r="AG111" s="66"/>
      <c r="AH111" s="66"/>
    </row>
    <row r="112">
      <c r="A112" s="174" t="s">
        <v>1639</v>
      </c>
      <c r="B112" s="175" t="s">
        <v>1738</v>
      </c>
      <c r="C112" s="51" t="s">
        <v>1604</v>
      </c>
      <c r="D112" s="51">
        <v>95.0</v>
      </c>
      <c r="E112" s="48">
        <v>95.0</v>
      </c>
      <c r="F112" s="48">
        <v>65.0</v>
      </c>
      <c r="G112" s="48">
        <v>413.0</v>
      </c>
      <c r="H112" s="48" t="s">
        <v>164</v>
      </c>
      <c r="I112" s="48">
        <v>4.0</v>
      </c>
      <c r="J112" s="182" t="s">
        <v>214</v>
      </c>
      <c r="K112" s="50" t="s">
        <v>1605</v>
      </c>
      <c r="L112" s="51">
        <v>1.0</v>
      </c>
      <c r="M112" s="51" t="s">
        <v>1640</v>
      </c>
      <c r="N112" s="48">
        <v>2500.0</v>
      </c>
      <c r="O112" s="49">
        <v>33.9</v>
      </c>
      <c r="P112" s="49">
        <v>2.11</v>
      </c>
      <c r="Q112" s="176">
        <v>23.6</v>
      </c>
      <c r="R112" s="63" t="s">
        <v>166</v>
      </c>
      <c r="S112" s="48" t="s">
        <v>174</v>
      </c>
      <c r="T112" s="48" t="s">
        <v>166</v>
      </c>
      <c r="U112" s="48" t="s">
        <v>174</v>
      </c>
      <c r="V112" s="48" t="s">
        <v>166</v>
      </c>
      <c r="W112" s="177" t="s">
        <v>174</v>
      </c>
      <c r="X112" s="177" t="s">
        <v>166</v>
      </c>
      <c r="Y112" s="178"/>
      <c r="Z112" s="66"/>
      <c r="AA112" s="66"/>
      <c r="AB112" s="66"/>
      <c r="AC112" s="66"/>
      <c r="AD112" s="66"/>
      <c r="AE112" s="66"/>
      <c r="AF112" s="66"/>
      <c r="AG112" s="66"/>
      <c r="AH112" s="66"/>
    </row>
    <row r="113">
      <c r="A113" s="174" t="s">
        <v>1634</v>
      </c>
      <c r="B113" s="175" t="str">
        <f>HYPERLINK("http://thermalright.com/product/axp-100-c65/","AXP-100 C65")</f>
        <v>AXP-100 C65</v>
      </c>
      <c r="C113" s="51" t="s">
        <v>1604</v>
      </c>
      <c r="D113" s="51">
        <v>121.0</v>
      </c>
      <c r="E113" s="48">
        <v>108.0</v>
      </c>
      <c r="F113" s="48">
        <v>65.0</v>
      </c>
      <c r="G113" s="48">
        <v>660.0</v>
      </c>
      <c r="H113" s="48" t="s">
        <v>1617</v>
      </c>
      <c r="I113" s="48">
        <v>6.0</v>
      </c>
      <c r="J113" s="48">
        <v>180.0</v>
      </c>
      <c r="K113" s="50">
        <v>34.0</v>
      </c>
      <c r="L113" s="51">
        <v>1.0</v>
      </c>
      <c r="M113" s="51" t="s">
        <v>1726</v>
      </c>
      <c r="N113" s="48">
        <v>2500.0</v>
      </c>
      <c r="O113" s="49">
        <v>44.5</v>
      </c>
      <c r="P113" s="49">
        <v>1.6</v>
      </c>
      <c r="Q113" s="176">
        <v>30.0</v>
      </c>
      <c r="R113" s="63" t="s">
        <v>166</v>
      </c>
      <c r="S113" s="48" t="s">
        <v>174</v>
      </c>
      <c r="T113" s="48" t="s">
        <v>174</v>
      </c>
      <c r="U113" s="48" t="s">
        <v>174</v>
      </c>
      <c r="V113" s="48" t="s">
        <v>174</v>
      </c>
      <c r="W113" s="177" t="s">
        <v>174</v>
      </c>
      <c r="X113" s="177" t="s">
        <v>174</v>
      </c>
      <c r="Y113" s="178"/>
      <c r="Z113" s="66"/>
      <c r="AA113" s="66"/>
      <c r="AB113" s="66"/>
      <c r="AC113" s="66"/>
      <c r="AD113" s="66"/>
      <c r="AE113" s="66"/>
      <c r="AF113" s="66"/>
      <c r="AG113" s="66"/>
      <c r="AH113" s="66"/>
    </row>
    <row r="114">
      <c r="A114" s="174" t="s">
        <v>1634</v>
      </c>
      <c r="B114" s="175" t="str">
        <f>HYPERLINK("http://thermalright.com/product/axp-100h-muscle/","AXP-100H Muscle")</f>
        <v>AXP-100H Muscle</v>
      </c>
      <c r="C114" s="51" t="s">
        <v>1604</v>
      </c>
      <c r="D114" s="51">
        <v>119.0</v>
      </c>
      <c r="E114" s="48">
        <v>105.0</v>
      </c>
      <c r="F114" s="48">
        <v>65.0</v>
      </c>
      <c r="G114" s="48">
        <v>350.0</v>
      </c>
      <c r="H114" s="48" t="s">
        <v>164</v>
      </c>
      <c r="I114" s="48">
        <v>6.0</v>
      </c>
      <c r="J114" s="48">
        <v>180.0</v>
      </c>
      <c r="K114" s="50">
        <v>34.5</v>
      </c>
      <c r="L114" s="51">
        <v>1.0</v>
      </c>
      <c r="M114" s="51" t="s">
        <v>1726</v>
      </c>
      <c r="N114" s="48">
        <v>2500.0</v>
      </c>
      <c r="O114" s="49">
        <v>44.5</v>
      </c>
      <c r="P114" s="49">
        <v>1.6</v>
      </c>
      <c r="Q114" s="176">
        <v>30.0</v>
      </c>
      <c r="R114" s="63" t="s">
        <v>174</v>
      </c>
      <c r="S114" s="48" t="s">
        <v>174</v>
      </c>
      <c r="T114" s="48" t="s">
        <v>174</v>
      </c>
      <c r="U114" s="48" t="s">
        <v>174</v>
      </c>
      <c r="V114" s="48" t="s">
        <v>174</v>
      </c>
      <c r="W114" s="177" t="s">
        <v>174</v>
      </c>
      <c r="X114" s="177" t="s">
        <v>166</v>
      </c>
      <c r="Y114" s="178"/>
      <c r="Z114" s="66"/>
      <c r="AA114" s="66"/>
      <c r="AB114" s="66"/>
      <c r="AC114" s="66"/>
      <c r="AD114" s="66"/>
      <c r="AE114" s="66"/>
      <c r="AF114" s="66"/>
      <c r="AG114" s="66"/>
      <c r="AH114" s="66"/>
    </row>
    <row r="115">
      <c r="A115" s="174" t="s">
        <v>1634</v>
      </c>
      <c r="B115" s="175" t="str">
        <f>HYPERLINK("http://thermalright.com/product/axp-100rh/","AXP-100RH")</f>
        <v>AXP-100RH</v>
      </c>
      <c r="C115" s="51" t="s">
        <v>1604</v>
      </c>
      <c r="D115" s="51">
        <v>121.0</v>
      </c>
      <c r="E115" s="48">
        <v>105.0</v>
      </c>
      <c r="F115" s="48">
        <v>65.0</v>
      </c>
      <c r="G115" s="48">
        <v>360.0</v>
      </c>
      <c r="H115" s="48" t="s">
        <v>164</v>
      </c>
      <c r="I115" s="48">
        <v>6.0</v>
      </c>
      <c r="J115" s="48">
        <v>180.0</v>
      </c>
      <c r="K115" s="50">
        <v>34.15</v>
      </c>
      <c r="L115" s="51">
        <v>1.0</v>
      </c>
      <c r="M115" s="51" t="s">
        <v>1726</v>
      </c>
      <c r="N115" s="48">
        <v>2500.0</v>
      </c>
      <c r="O115" s="49">
        <v>44.5</v>
      </c>
      <c r="P115" s="49">
        <v>1.6</v>
      </c>
      <c r="Q115" s="176">
        <v>30.0</v>
      </c>
      <c r="R115" s="63" t="s">
        <v>174</v>
      </c>
      <c r="S115" s="48" t="s">
        <v>174</v>
      </c>
      <c r="T115" s="48" t="s">
        <v>174</v>
      </c>
      <c r="U115" s="48" t="s">
        <v>174</v>
      </c>
      <c r="V115" s="48" t="s">
        <v>174</v>
      </c>
      <c r="W115" s="177" t="s">
        <v>174</v>
      </c>
      <c r="X115" s="177" t="s">
        <v>174</v>
      </c>
      <c r="Y115" s="178"/>
      <c r="Z115" s="66"/>
      <c r="AA115" s="66"/>
      <c r="AB115" s="66"/>
      <c r="AC115" s="66"/>
      <c r="AD115" s="66"/>
      <c r="AE115" s="66"/>
      <c r="AF115" s="66"/>
      <c r="AG115" s="66"/>
      <c r="AH115" s="66"/>
    </row>
    <row r="116">
      <c r="A116" s="174" t="s">
        <v>1630</v>
      </c>
      <c r="B116" s="175" t="s">
        <v>1739</v>
      </c>
      <c r="C116" s="51" t="s">
        <v>1604</v>
      </c>
      <c r="D116" s="51">
        <v>120.0</v>
      </c>
      <c r="E116" s="48">
        <v>120.0</v>
      </c>
      <c r="F116" s="48">
        <v>66.0</v>
      </c>
      <c r="G116" s="48" t="s">
        <v>170</v>
      </c>
      <c r="H116" s="48" t="s">
        <v>164</v>
      </c>
      <c r="I116" s="48">
        <v>6.0</v>
      </c>
      <c r="J116" s="181" t="s">
        <v>170</v>
      </c>
      <c r="K116" s="50" t="s">
        <v>1605</v>
      </c>
      <c r="L116" s="51">
        <v>1.0</v>
      </c>
      <c r="M116" s="51" t="s">
        <v>1675</v>
      </c>
      <c r="N116" s="48">
        <v>1800.0</v>
      </c>
      <c r="O116" s="49">
        <v>61.51</v>
      </c>
      <c r="P116" s="49">
        <v>1.71</v>
      </c>
      <c r="Q116" s="176">
        <v>37.2</v>
      </c>
      <c r="R116" s="63" t="s">
        <v>166</v>
      </c>
      <c r="S116" s="48" t="s">
        <v>174</v>
      </c>
      <c r="T116" s="48" t="s">
        <v>166</v>
      </c>
      <c r="U116" s="48" t="s">
        <v>174</v>
      </c>
      <c r="V116" s="48" t="s">
        <v>166</v>
      </c>
      <c r="W116" s="177" t="s">
        <v>174</v>
      </c>
      <c r="X116" s="177" t="s">
        <v>166</v>
      </c>
      <c r="Y116" s="178"/>
      <c r="Z116" s="66"/>
      <c r="AA116" s="66"/>
      <c r="AB116" s="66"/>
      <c r="AC116" s="66"/>
      <c r="AD116" s="66"/>
      <c r="AE116" s="66"/>
      <c r="AF116" s="66"/>
      <c r="AG116" s="66"/>
      <c r="AH116" s="66"/>
    </row>
    <row r="117">
      <c r="A117" s="174" t="s">
        <v>1630</v>
      </c>
      <c r="B117" s="175" t="s">
        <v>1740</v>
      </c>
      <c r="C117" s="51" t="s">
        <v>1604</v>
      </c>
      <c r="D117" s="51">
        <v>120.0</v>
      </c>
      <c r="E117" s="48">
        <v>120.0</v>
      </c>
      <c r="F117" s="48">
        <v>66.0</v>
      </c>
      <c r="G117" s="48" t="s">
        <v>170</v>
      </c>
      <c r="H117" s="48" t="s">
        <v>164</v>
      </c>
      <c r="I117" s="48">
        <v>6.0</v>
      </c>
      <c r="J117" s="181" t="s">
        <v>170</v>
      </c>
      <c r="K117" s="50" t="s">
        <v>1605</v>
      </c>
      <c r="L117" s="51">
        <v>1.0</v>
      </c>
      <c r="M117" s="51" t="s">
        <v>1675</v>
      </c>
      <c r="N117" s="48">
        <v>1800.0</v>
      </c>
      <c r="O117" s="49">
        <v>61.51</v>
      </c>
      <c r="P117" s="49">
        <v>1.71</v>
      </c>
      <c r="Q117" s="176">
        <v>37.2</v>
      </c>
      <c r="R117" s="63" t="s">
        <v>166</v>
      </c>
      <c r="S117" s="48" t="s">
        <v>174</v>
      </c>
      <c r="T117" s="48" t="s">
        <v>166</v>
      </c>
      <c r="U117" s="48" t="s">
        <v>174</v>
      </c>
      <c r="V117" s="48" t="s">
        <v>166</v>
      </c>
      <c r="W117" s="177" t="s">
        <v>174</v>
      </c>
      <c r="X117" s="177" t="s">
        <v>166</v>
      </c>
      <c r="Y117" s="178"/>
      <c r="Z117" s="66"/>
      <c r="AA117" s="66"/>
      <c r="AB117" s="66"/>
      <c r="AC117" s="66"/>
      <c r="AD117" s="66"/>
      <c r="AE117" s="66"/>
      <c r="AF117" s="66"/>
      <c r="AG117" s="66"/>
      <c r="AH117" s="66"/>
    </row>
    <row r="118">
      <c r="A118" s="174" t="s">
        <v>1639</v>
      </c>
      <c r="B118" s="175" t="str">
        <f>HYPERLINK("https://noctua.at/en/nh-l12","NH-L12 (Low profile mode)")</f>
        <v>NH-L12 (Low profile mode)</v>
      </c>
      <c r="C118" s="51" t="s">
        <v>1604</v>
      </c>
      <c r="D118" s="51">
        <v>150.0</v>
      </c>
      <c r="E118" s="48">
        <v>128.0</v>
      </c>
      <c r="F118" s="48">
        <v>66.0</v>
      </c>
      <c r="G118" s="48">
        <v>680.0</v>
      </c>
      <c r="H118" s="48" t="s">
        <v>164</v>
      </c>
      <c r="I118" s="48">
        <v>4.0</v>
      </c>
      <c r="J118" s="182" t="s">
        <v>214</v>
      </c>
      <c r="K118" s="50">
        <v>48.0</v>
      </c>
      <c r="L118" s="51">
        <v>1.0</v>
      </c>
      <c r="M118" s="51" t="s">
        <v>1665</v>
      </c>
      <c r="N118" s="48">
        <v>1600.0</v>
      </c>
      <c r="O118" s="49">
        <v>37.9</v>
      </c>
      <c r="P118" s="49">
        <v>1.61</v>
      </c>
      <c r="Q118" s="176">
        <v>17.6</v>
      </c>
      <c r="R118" s="63" t="s">
        <v>174</v>
      </c>
      <c r="S118" s="48" t="s">
        <v>174</v>
      </c>
      <c r="T118" s="48" t="s">
        <v>174</v>
      </c>
      <c r="U118" s="48" t="s">
        <v>174</v>
      </c>
      <c r="V118" s="48" t="s">
        <v>174</v>
      </c>
      <c r="W118" s="177" t="s">
        <v>174</v>
      </c>
      <c r="X118" s="177" t="s">
        <v>174</v>
      </c>
      <c r="Y118" s="178"/>
      <c r="Z118" s="66"/>
      <c r="AA118" s="66"/>
      <c r="AB118" s="66"/>
      <c r="AC118" s="66"/>
      <c r="AD118" s="66"/>
      <c r="AE118" s="66"/>
      <c r="AF118" s="66"/>
      <c r="AG118" s="66"/>
      <c r="AH118" s="66"/>
    </row>
    <row r="119">
      <c r="A119" s="174" t="s">
        <v>1639</v>
      </c>
      <c r="B119" s="175" t="s">
        <v>1741</v>
      </c>
      <c r="C119" s="51" t="s">
        <v>1604</v>
      </c>
      <c r="D119" s="51">
        <v>150.0</v>
      </c>
      <c r="E119" s="48">
        <v>128.0</v>
      </c>
      <c r="F119" s="48">
        <v>66.0</v>
      </c>
      <c r="G119" s="48">
        <v>500.0</v>
      </c>
      <c r="H119" s="48" t="s">
        <v>164</v>
      </c>
      <c r="I119" s="48">
        <v>4.0</v>
      </c>
      <c r="J119" s="182" t="s">
        <v>214</v>
      </c>
      <c r="K119" s="50">
        <v>48.0</v>
      </c>
      <c r="L119" s="51">
        <v>1.0</v>
      </c>
      <c r="M119" s="51" t="s">
        <v>1665</v>
      </c>
      <c r="N119" s="48">
        <v>1600.0</v>
      </c>
      <c r="O119" s="49">
        <v>37.9</v>
      </c>
      <c r="P119" s="49">
        <v>1.61</v>
      </c>
      <c r="Q119" s="176">
        <v>17.6</v>
      </c>
      <c r="R119" s="63" t="s">
        <v>174</v>
      </c>
      <c r="S119" s="48" t="s">
        <v>174</v>
      </c>
      <c r="T119" s="48" t="s">
        <v>166</v>
      </c>
      <c r="U119" s="48" t="s">
        <v>174</v>
      </c>
      <c r="V119" s="48" t="s">
        <v>166</v>
      </c>
      <c r="W119" s="177" t="s">
        <v>174</v>
      </c>
      <c r="X119" s="177" t="s">
        <v>174</v>
      </c>
      <c r="Y119" s="178"/>
      <c r="Z119" s="66"/>
      <c r="AA119" s="66"/>
      <c r="AB119" s="66"/>
      <c r="AC119" s="66"/>
      <c r="AD119" s="66"/>
      <c r="AE119" s="66"/>
      <c r="AF119" s="66"/>
      <c r="AG119" s="66"/>
      <c r="AH119" s="66"/>
    </row>
    <row r="120">
      <c r="A120" s="174" t="s">
        <v>209</v>
      </c>
      <c r="B120" s="193" t="s">
        <v>1742</v>
      </c>
      <c r="C120" s="51" t="s">
        <v>1743</v>
      </c>
      <c r="D120" s="51">
        <v>71.0</v>
      </c>
      <c r="E120" s="48">
        <v>102.0</v>
      </c>
      <c r="F120" s="48">
        <v>66.0</v>
      </c>
      <c r="G120" s="48">
        <v>295.0</v>
      </c>
      <c r="H120" s="48" t="s">
        <v>164</v>
      </c>
      <c r="I120" s="48">
        <v>3.0</v>
      </c>
      <c r="J120" s="48" t="s">
        <v>170</v>
      </c>
      <c r="K120" s="50" t="s">
        <v>1605</v>
      </c>
      <c r="L120" s="51">
        <v>1.0</v>
      </c>
      <c r="M120" s="51" t="s">
        <v>1744</v>
      </c>
      <c r="N120" s="48">
        <v>5000.0</v>
      </c>
      <c r="O120" s="49">
        <v>27.9</v>
      </c>
      <c r="P120" s="49">
        <v>4.83</v>
      </c>
      <c r="Q120" s="176">
        <v>42.5</v>
      </c>
      <c r="R120" s="63" t="s">
        <v>166</v>
      </c>
      <c r="S120" s="48" t="s">
        <v>174</v>
      </c>
      <c r="T120" s="48" t="s">
        <v>166</v>
      </c>
      <c r="U120" s="48" t="s">
        <v>166</v>
      </c>
      <c r="V120" s="48" t="s">
        <v>166</v>
      </c>
      <c r="W120" s="177" t="s">
        <v>166</v>
      </c>
      <c r="X120" s="177" t="s">
        <v>166</v>
      </c>
      <c r="Y120" s="178"/>
      <c r="Z120" s="66"/>
      <c r="AA120" s="66"/>
      <c r="AB120" s="66"/>
      <c r="AC120" s="66"/>
      <c r="AD120" s="66"/>
      <c r="AE120" s="66"/>
      <c r="AF120" s="66"/>
      <c r="AG120" s="66"/>
      <c r="AH120" s="66"/>
    </row>
    <row r="121">
      <c r="A121" s="174" t="s">
        <v>1706</v>
      </c>
      <c r="B121" s="193" t="s">
        <v>1745</v>
      </c>
      <c r="C121" s="51" t="s">
        <v>1604</v>
      </c>
      <c r="D121" s="51">
        <v>122.0</v>
      </c>
      <c r="E121" s="48">
        <v>120.0</v>
      </c>
      <c r="F121" s="48">
        <v>67.0</v>
      </c>
      <c r="G121" s="48">
        <v>628.0</v>
      </c>
      <c r="H121" s="48" t="s">
        <v>164</v>
      </c>
      <c r="I121" s="48">
        <v>6.0</v>
      </c>
      <c r="J121" s="48">
        <v>180.0</v>
      </c>
      <c r="K121" s="50">
        <v>40.0</v>
      </c>
      <c r="L121" s="51">
        <v>1.0</v>
      </c>
      <c r="M121" s="51" t="s">
        <v>1675</v>
      </c>
      <c r="N121" s="48">
        <v>1850.0</v>
      </c>
      <c r="O121" s="49">
        <v>60.94</v>
      </c>
      <c r="P121" s="49">
        <v>2.61</v>
      </c>
      <c r="Q121" s="176">
        <v>24.2</v>
      </c>
      <c r="R121" s="63" t="s">
        <v>166</v>
      </c>
      <c r="S121" s="48" t="s">
        <v>174</v>
      </c>
      <c r="T121" s="48" t="s">
        <v>166</v>
      </c>
      <c r="U121" s="48" t="s">
        <v>174</v>
      </c>
      <c r="V121" s="48" t="s">
        <v>166</v>
      </c>
      <c r="W121" s="177" t="s">
        <v>174</v>
      </c>
      <c r="X121" s="177" t="s">
        <v>166</v>
      </c>
      <c r="Y121" s="178"/>
      <c r="Z121" s="66"/>
      <c r="AA121" s="66"/>
      <c r="AB121" s="66"/>
      <c r="AC121" s="66"/>
      <c r="AD121" s="66"/>
      <c r="AE121" s="66"/>
      <c r="AF121" s="66"/>
      <c r="AG121" s="66"/>
      <c r="AH121" s="66"/>
    </row>
    <row r="122">
      <c r="A122" s="174" t="s">
        <v>1611</v>
      </c>
      <c r="B122" s="175" t="s">
        <v>1746</v>
      </c>
      <c r="C122" s="51" t="s">
        <v>1604</v>
      </c>
      <c r="D122" s="51">
        <v>120.0</v>
      </c>
      <c r="E122" s="48">
        <v>120.0</v>
      </c>
      <c r="F122" s="48">
        <v>67.0</v>
      </c>
      <c r="G122" s="48">
        <v>500.0</v>
      </c>
      <c r="H122" s="48" t="s">
        <v>164</v>
      </c>
      <c r="I122" s="48">
        <v>6.0</v>
      </c>
      <c r="J122" s="48">
        <v>150.0</v>
      </c>
      <c r="K122" s="50" t="s">
        <v>1605</v>
      </c>
      <c r="L122" s="51">
        <v>1.0</v>
      </c>
      <c r="M122" s="51" t="s">
        <v>1675</v>
      </c>
      <c r="N122" s="48">
        <v>2200.0</v>
      </c>
      <c r="O122" s="49">
        <v>67.58</v>
      </c>
      <c r="P122" s="49">
        <v>1.54</v>
      </c>
      <c r="Q122" s="176">
        <v>35.2</v>
      </c>
      <c r="R122" s="63" t="s">
        <v>166</v>
      </c>
      <c r="S122" s="48" t="s">
        <v>174</v>
      </c>
      <c r="T122" s="48" t="s">
        <v>166</v>
      </c>
      <c r="U122" s="48" t="s">
        <v>174</v>
      </c>
      <c r="V122" s="48" t="s">
        <v>166</v>
      </c>
      <c r="W122" s="177" t="s">
        <v>174</v>
      </c>
      <c r="X122" s="177" t="s">
        <v>166</v>
      </c>
      <c r="Y122" s="178"/>
      <c r="Z122" s="66"/>
      <c r="AA122" s="66"/>
      <c r="AB122" s="66"/>
      <c r="AC122" s="66"/>
      <c r="AD122" s="66"/>
      <c r="AE122" s="66"/>
      <c r="AF122" s="66"/>
      <c r="AG122" s="66"/>
      <c r="AH122" s="66"/>
    </row>
    <row r="123">
      <c r="A123" s="174" t="s">
        <v>1611</v>
      </c>
      <c r="B123" s="175" t="s">
        <v>1747</v>
      </c>
      <c r="C123" s="51" t="s">
        <v>1604</v>
      </c>
      <c r="D123" s="51">
        <v>120.0</v>
      </c>
      <c r="E123" s="48">
        <v>120.0</v>
      </c>
      <c r="F123" s="48">
        <v>67.0</v>
      </c>
      <c r="G123" s="48">
        <v>500.0</v>
      </c>
      <c r="H123" s="48" t="s">
        <v>164</v>
      </c>
      <c r="I123" s="48">
        <v>6.0</v>
      </c>
      <c r="J123" s="48">
        <v>150.0</v>
      </c>
      <c r="K123" s="50" t="s">
        <v>1605</v>
      </c>
      <c r="L123" s="51">
        <v>1.0</v>
      </c>
      <c r="M123" s="51" t="s">
        <v>1675</v>
      </c>
      <c r="N123" s="48">
        <v>2200.0</v>
      </c>
      <c r="O123" s="49">
        <v>67.58</v>
      </c>
      <c r="P123" s="49">
        <v>1.54</v>
      </c>
      <c r="Q123" s="176">
        <v>35.2</v>
      </c>
      <c r="R123" s="63" t="s">
        <v>166</v>
      </c>
      <c r="S123" s="48" t="s">
        <v>174</v>
      </c>
      <c r="T123" s="48" t="s">
        <v>166</v>
      </c>
      <c r="U123" s="48" t="s">
        <v>174</v>
      </c>
      <c r="V123" s="48" t="s">
        <v>166</v>
      </c>
      <c r="W123" s="177" t="s">
        <v>174</v>
      </c>
      <c r="X123" s="177" t="s">
        <v>166</v>
      </c>
      <c r="Y123" s="178"/>
      <c r="Z123" s="66"/>
      <c r="AA123" s="66"/>
      <c r="AB123" s="66"/>
      <c r="AC123" s="66"/>
      <c r="AD123" s="66"/>
      <c r="AE123" s="66"/>
      <c r="AF123" s="66"/>
      <c r="AG123" s="66"/>
      <c r="AH123" s="66"/>
    </row>
    <row r="124">
      <c r="A124" s="174" t="s">
        <v>1387</v>
      </c>
      <c r="B124" s="175" t="s">
        <v>1748</v>
      </c>
      <c r="C124" s="51" t="s">
        <v>1604</v>
      </c>
      <c r="D124" s="51">
        <v>122.0</v>
      </c>
      <c r="E124" s="48">
        <v>122.0</v>
      </c>
      <c r="F124" s="48">
        <v>67.0</v>
      </c>
      <c r="G124" s="48">
        <v>490.0</v>
      </c>
      <c r="H124" s="48" t="s">
        <v>164</v>
      </c>
      <c r="I124" s="48">
        <v>5.0</v>
      </c>
      <c r="J124" s="48" t="s">
        <v>170</v>
      </c>
      <c r="K124" s="50" t="s">
        <v>1605</v>
      </c>
      <c r="L124" s="51">
        <v>1.0</v>
      </c>
      <c r="M124" s="51" t="s">
        <v>1675</v>
      </c>
      <c r="N124" s="48">
        <v>1800.0</v>
      </c>
      <c r="O124" s="49">
        <v>48.0</v>
      </c>
      <c r="P124" s="49">
        <v>1.36</v>
      </c>
      <c r="Q124" s="176">
        <v>27.8</v>
      </c>
      <c r="R124" s="63" t="s">
        <v>174</v>
      </c>
      <c r="S124" s="48" t="s">
        <v>174</v>
      </c>
      <c r="T124" s="48" t="s">
        <v>166</v>
      </c>
      <c r="U124" s="48" t="s">
        <v>174</v>
      </c>
      <c r="V124" s="48" t="s">
        <v>166</v>
      </c>
      <c r="W124" s="177" t="s">
        <v>174</v>
      </c>
      <c r="X124" s="177" t="s">
        <v>174</v>
      </c>
      <c r="Y124" s="178"/>
      <c r="Z124" s="66"/>
      <c r="AA124" s="66"/>
      <c r="AB124" s="66"/>
      <c r="AC124" s="66"/>
      <c r="AD124" s="66"/>
      <c r="AE124" s="66"/>
      <c r="AF124" s="66"/>
      <c r="AG124" s="66"/>
      <c r="AH124" s="66"/>
    </row>
    <row r="125">
      <c r="A125" s="174" t="s">
        <v>1634</v>
      </c>
      <c r="B125" s="175" t="s">
        <v>1749</v>
      </c>
      <c r="C125" s="51" t="s">
        <v>1604</v>
      </c>
      <c r="D125" s="51">
        <v>123.5</v>
      </c>
      <c r="E125" s="48">
        <v>120.0</v>
      </c>
      <c r="F125" s="48">
        <v>67.0</v>
      </c>
      <c r="G125" s="48">
        <v>490.0</v>
      </c>
      <c r="H125" s="48" t="s">
        <v>164</v>
      </c>
      <c r="I125" s="48">
        <v>6.0</v>
      </c>
      <c r="J125" s="48">
        <v>165.0</v>
      </c>
      <c r="K125" s="50" t="s">
        <v>1605</v>
      </c>
      <c r="L125" s="51">
        <v>1.0</v>
      </c>
      <c r="M125" s="51" t="s">
        <v>1675</v>
      </c>
      <c r="N125" s="48">
        <v>1800.0</v>
      </c>
      <c r="O125" s="49">
        <v>59.0</v>
      </c>
      <c r="P125" s="49">
        <v>1.36</v>
      </c>
      <c r="Q125" s="176">
        <v>26.1</v>
      </c>
      <c r="R125" s="63" t="s">
        <v>166</v>
      </c>
      <c r="S125" s="48" t="s">
        <v>174</v>
      </c>
      <c r="T125" s="48" t="s">
        <v>166</v>
      </c>
      <c r="U125" s="48" t="s">
        <v>174</v>
      </c>
      <c r="V125" s="48" t="s">
        <v>166</v>
      </c>
      <c r="W125" s="177" t="s">
        <v>174</v>
      </c>
      <c r="X125" s="177" t="s">
        <v>174</v>
      </c>
      <c r="Y125" s="178"/>
      <c r="Z125" s="66"/>
      <c r="AA125" s="66"/>
      <c r="AB125" s="66"/>
      <c r="AC125" s="66"/>
      <c r="AD125" s="66"/>
      <c r="AE125" s="66"/>
      <c r="AF125" s="66"/>
      <c r="AG125" s="66"/>
      <c r="AH125" s="66"/>
    </row>
    <row r="126">
      <c r="A126" s="174" t="s">
        <v>1634</v>
      </c>
      <c r="B126" s="175" t="s">
        <v>1750</v>
      </c>
      <c r="C126" s="51" t="s">
        <v>1604</v>
      </c>
      <c r="D126" s="51">
        <v>123.5</v>
      </c>
      <c r="E126" s="48">
        <v>120.0</v>
      </c>
      <c r="F126" s="48">
        <v>67.0</v>
      </c>
      <c r="G126" s="48">
        <v>490.0</v>
      </c>
      <c r="H126" s="48" t="s">
        <v>164</v>
      </c>
      <c r="I126" s="48">
        <v>6.0</v>
      </c>
      <c r="J126" s="48">
        <v>165.0</v>
      </c>
      <c r="K126" s="50" t="s">
        <v>1605</v>
      </c>
      <c r="L126" s="51">
        <v>1.0</v>
      </c>
      <c r="M126" s="51" t="s">
        <v>1675</v>
      </c>
      <c r="N126" s="48">
        <v>1800.0</v>
      </c>
      <c r="O126" s="49">
        <v>59.0</v>
      </c>
      <c r="P126" s="49">
        <v>1.36</v>
      </c>
      <c r="Q126" s="176">
        <v>26.1</v>
      </c>
      <c r="R126" s="63" t="s">
        <v>166</v>
      </c>
      <c r="S126" s="48" t="s">
        <v>174</v>
      </c>
      <c r="T126" s="48" t="s">
        <v>166</v>
      </c>
      <c r="U126" s="48" t="s">
        <v>174</v>
      </c>
      <c r="V126" s="48" t="s">
        <v>166</v>
      </c>
      <c r="W126" s="177" t="s">
        <v>174</v>
      </c>
      <c r="X126" s="177" t="s">
        <v>174</v>
      </c>
      <c r="Y126" s="178"/>
      <c r="Z126" s="66"/>
      <c r="AA126" s="66"/>
      <c r="AB126" s="66"/>
      <c r="AC126" s="66"/>
      <c r="AD126" s="66"/>
      <c r="AE126" s="66"/>
      <c r="AF126" s="66"/>
      <c r="AG126" s="66"/>
      <c r="AH126" s="66"/>
    </row>
    <row r="127">
      <c r="A127" s="174" t="s">
        <v>1634</v>
      </c>
      <c r="B127" s="175" t="s">
        <v>1751</v>
      </c>
      <c r="C127" s="51" t="s">
        <v>1604</v>
      </c>
      <c r="D127" s="51">
        <v>123.5</v>
      </c>
      <c r="E127" s="48">
        <v>120.0</v>
      </c>
      <c r="F127" s="48">
        <v>67.0</v>
      </c>
      <c r="G127" s="48">
        <v>490.0</v>
      </c>
      <c r="H127" s="48" t="s">
        <v>164</v>
      </c>
      <c r="I127" s="48">
        <v>6.0</v>
      </c>
      <c r="J127" s="48">
        <v>165.0</v>
      </c>
      <c r="K127" s="50" t="s">
        <v>1605</v>
      </c>
      <c r="L127" s="51">
        <v>1.0</v>
      </c>
      <c r="M127" s="51" t="s">
        <v>1675</v>
      </c>
      <c r="N127" s="48">
        <v>1800.0</v>
      </c>
      <c r="O127" s="49">
        <v>59.0</v>
      </c>
      <c r="P127" s="49">
        <v>1.36</v>
      </c>
      <c r="Q127" s="176">
        <v>26.1</v>
      </c>
      <c r="R127" s="63" t="s">
        <v>166</v>
      </c>
      <c r="S127" s="48" t="s">
        <v>174</v>
      </c>
      <c r="T127" s="48" t="s">
        <v>166</v>
      </c>
      <c r="U127" s="48" t="s">
        <v>174</v>
      </c>
      <c r="V127" s="48" t="s">
        <v>166</v>
      </c>
      <c r="W127" s="177" t="s">
        <v>174</v>
      </c>
      <c r="X127" s="177" t="s">
        <v>174</v>
      </c>
      <c r="Y127" s="178"/>
      <c r="Z127" s="66"/>
      <c r="AA127" s="66"/>
      <c r="AB127" s="66"/>
      <c r="AC127" s="66"/>
      <c r="AD127" s="66"/>
      <c r="AE127" s="66"/>
      <c r="AF127" s="66"/>
      <c r="AG127" s="66"/>
      <c r="AH127" s="66"/>
    </row>
    <row r="128">
      <c r="A128" s="174" t="s">
        <v>1661</v>
      </c>
      <c r="B128" s="175" t="str">
        <f>HYPERLINK("https://www.raijintek.com/en/products_detail.php?ProductID=9","Pallas")</f>
        <v>Pallas</v>
      </c>
      <c r="C128" s="51" t="s">
        <v>1604</v>
      </c>
      <c r="D128" s="51">
        <v>150.0</v>
      </c>
      <c r="E128" s="48">
        <v>153.0</v>
      </c>
      <c r="F128" s="48">
        <v>68.0</v>
      </c>
      <c r="G128" s="48">
        <v>420.0</v>
      </c>
      <c r="H128" s="48" t="s">
        <v>164</v>
      </c>
      <c r="I128" s="48">
        <v>6.0</v>
      </c>
      <c r="J128" s="48" t="s">
        <v>170</v>
      </c>
      <c r="K128" s="50">
        <v>39.0</v>
      </c>
      <c r="L128" s="51">
        <v>1.0</v>
      </c>
      <c r="M128" s="51" t="s">
        <v>1752</v>
      </c>
      <c r="N128" s="48">
        <v>1400.0</v>
      </c>
      <c r="O128" s="49">
        <v>56.55</v>
      </c>
      <c r="P128" s="49">
        <v>1.24</v>
      </c>
      <c r="Q128" s="176">
        <v>28.0</v>
      </c>
      <c r="R128" s="63" t="s">
        <v>174</v>
      </c>
      <c r="S128" s="48" t="s">
        <v>174</v>
      </c>
      <c r="T128" s="48" t="s">
        <v>174</v>
      </c>
      <c r="U128" s="48" t="s">
        <v>174</v>
      </c>
      <c r="V128" s="48" t="s">
        <v>174</v>
      </c>
      <c r="W128" s="177" t="s">
        <v>174</v>
      </c>
      <c r="X128" s="177" t="s">
        <v>174</v>
      </c>
      <c r="Y128" s="178"/>
      <c r="Z128" s="66"/>
      <c r="AA128" s="66"/>
      <c r="AB128" s="66"/>
      <c r="AC128" s="66"/>
      <c r="AD128" s="66"/>
      <c r="AE128" s="66"/>
      <c r="AF128" s="66"/>
      <c r="AG128" s="66"/>
      <c r="AH128" s="66"/>
    </row>
    <row r="129">
      <c r="A129" s="174" t="s">
        <v>1661</v>
      </c>
      <c r="B129" s="175" t="str">
        <f>HYPERLINK("https://www.raijintek.com/en/products_detail.php?ProductID=100","Pallas 120 (RGB)")</f>
        <v>Pallas 120 (RGB)</v>
      </c>
      <c r="C129" s="51" t="s">
        <v>1604</v>
      </c>
      <c r="D129" s="51">
        <v>146.8</v>
      </c>
      <c r="E129" s="48">
        <v>130.0</v>
      </c>
      <c r="F129" s="48">
        <v>68.0</v>
      </c>
      <c r="G129" s="48">
        <v>550.0</v>
      </c>
      <c r="H129" s="48" t="s">
        <v>164</v>
      </c>
      <c r="I129" s="48">
        <v>6.0</v>
      </c>
      <c r="J129" s="48" t="s">
        <v>170</v>
      </c>
      <c r="K129" s="50">
        <v>39.0</v>
      </c>
      <c r="L129" s="51">
        <v>1.0</v>
      </c>
      <c r="M129" s="51" t="s">
        <v>1753</v>
      </c>
      <c r="N129" s="48">
        <v>1400.0</v>
      </c>
      <c r="O129" s="49">
        <v>41.71</v>
      </c>
      <c r="P129" s="49">
        <v>0.67</v>
      </c>
      <c r="Q129" s="176">
        <v>28.43</v>
      </c>
      <c r="R129" s="63" t="s">
        <v>174</v>
      </c>
      <c r="S129" s="48" t="s">
        <v>174</v>
      </c>
      <c r="T129" s="48" t="s">
        <v>174</v>
      </c>
      <c r="U129" s="48" t="s">
        <v>174</v>
      </c>
      <c r="V129" s="48" t="s">
        <v>174</v>
      </c>
      <c r="W129" s="177" t="s">
        <v>166</v>
      </c>
      <c r="X129" s="177" t="s">
        <v>174</v>
      </c>
      <c r="Y129" s="178"/>
      <c r="Z129" s="66"/>
      <c r="AA129" s="66"/>
      <c r="AB129" s="66"/>
      <c r="AC129" s="66"/>
      <c r="AD129" s="66"/>
      <c r="AE129" s="66"/>
      <c r="AF129" s="66"/>
      <c r="AG129" s="66"/>
      <c r="AH129" s="66"/>
    </row>
    <row r="130">
      <c r="A130" s="174" t="s">
        <v>1735</v>
      </c>
      <c r="B130" s="175" t="str">
        <f>HYPERLINK("https://www.arctic.ac/worldwide_en/alpine-12-passive.html","Alpine 12 Passive")</f>
        <v>Alpine 12 Passive</v>
      </c>
      <c r="C130" s="51" t="s">
        <v>1604</v>
      </c>
      <c r="D130" s="51">
        <v>95.0</v>
      </c>
      <c r="E130" s="48">
        <v>95.0</v>
      </c>
      <c r="F130" s="48">
        <v>69.0</v>
      </c>
      <c r="G130" s="48">
        <v>508.0</v>
      </c>
      <c r="H130" s="48" t="s">
        <v>164</v>
      </c>
      <c r="I130" s="48" t="s">
        <v>166</v>
      </c>
      <c r="J130" s="48">
        <v>47.0</v>
      </c>
      <c r="K130" s="50" t="s">
        <v>1605</v>
      </c>
      <c r="L130" s="51">
        <v>1.0</v>
      </c>
      <c r="M130" s="51" t="s">
        <v>166</v>
      </c>
      <c r="N130" s="48" t="s">
        <v>166</v>
      </c>
      <c r="O130" s="49" t="s">
        <v>166</v>
      </c>
      <c r="P130" s="49" t="s">
        <v>166</v>
      </c>
      <c r="Q130" s="176" t="s">
        <v>166</v>
      </c>
      <c r="R130" s="63" t="s">
        <v>166</v>
      </c>
      <c r="S130" s="48" t="s">
        <v>166</v>
      </c>
      <c r="T130" s="48" t="s">
        <v>166</v>
      </c>
      <c r="U130" s="48" t="s">
        <v>174</v>
      </c>
      <c r="V130" s="48" t="s">
        <v>166</v>
      </c>
      <c r="W130" s="177" t="s">
        <v>166</v>
      </c>
      <c r="X130" s="177" t="s">
        <v>166</v>
      </c>
      <c r="Y130" s="183" t="s">
        <v>1754</v>
      </c>
      <c r="Z130" s="66"/>
      <c r="AA130" s="66"/>
      <c r="AB130" s="66"/>
      <c r="AC130" s="66"/>
      <c r="AD130" s="66"/>
      <c r="AE130" s="66"/>
      <c r="AF130" s="66"/>
      <c r="AG130" s="66"/>
      <c r="AH130" s="66"/>
    </row>
    <row r="131">
      <c r="A131" s="174" t="s">
        <v>1688</v>
      </c>
      <c r="B131" s="175" t="s">
        <v>1755</v>
      </c>
      <c r="C131" s="51" t="s">
        <v>1604</v>
      </c>
      <c r="D131" s="51">
        <v>103.0</v>
      </c>
      <c r="E131" s="48">
        <v>103.0</v>
      </c>
      <c r="F131" s="48">
        <v>69.0</v>
      </c>
      <c r="G131" s="48">
        <v>450.0</v>
      </c>
      <c r="H131" s="48" t="s">
        <v>164</v>
      </c>
      <c r="I131" s="48" t="s">
        <v>166</v>
      </c>
      <c r="J131" s="48">
        <v>65.0</v>
      </c>
      <c r="K131" s="50" t="s">
        <v>1605</v>
      </c>
      <c r="L131" s="51">
        <v>1.0</v>
      </c>
      <c r="M131" s="51" t="s">
        <v>1665</v>
      </c>
      <c r="N131" s="48">
        <v>3000.0</v>
      </c>
      <c r="O131" s="49" t="s">
        <v>170</v>
      </c>
      <c r="P131" s="49" t="s">
        <v>170</v>
      </c>
      <c r="Q131" s="176">
        <v>36.0</v>
      </c>
      <c r="R131" s="63" t="s">
        <v>166</v>
      </c>
      <c r="S131" s="48" t="s">
        <v>166</v>
      </c>
      <c r="T131" s="48" t="s">
        <v>166</v>
      </c>
      <c r="U131" s="48" t="s">
        <v>166</v>
      </c>
      <c r="V131" s="48" t="s">
        <v>166</v>
      </c>
      <c r="W131" s="177" t="s">
        <v>174</v>
      </c>
      <c r="X131" s="177" t="s">
        <v>166</v>
      </c>
      <c r="Y131" s="178"/>
      <c r="Z131" s="66"/>
      <c r="AA131" s="66"/>
      <c r="AB131" s="66"/>
      <c r="AC131" s="66"/>
      <c r="AD131" s="66"/>
      <c r="AE131" s="66"/>
      <c r="AF131" s="66"/>
      <c r="AG131" s="66"/>
      <c r="AH131" s="66"/>
    </row>
    <row r="132">
      <c r="A132" s="174" t="s">
        <v>1387</v>
      </c>
      <c r="B132" s="175" t="s">
        <v>1756</v>
      </c>
      <c r="C132" s="51" t="s">
        <v>1604</v>
      </c>
      <c r="D132" s="51">
        <v>122.0</v>
      </c>
      <c r="E132" s="48">
        <v>122.0</v>
      </c>
      <c r="F132" s="48">
        <v>69.0</v>
      </c>
      <c r="G132" s="48">
        <v>475.0</v>
      </c>
      <c r="H132" s="48" t="s">
        <v>164</v>
      </c>
      <c r="I132" s="48">
        <v>5.0</v>
      </c>
      <c r="J132" s="48" t="s">
        <v>170</v>
      </c>
      <c r="K132" s="50" t="s">
        <v>1605</v>
      </c>
      <c r="L132" s="51">
        <v>1.0</v>
      </c>
      <c r="M132" s="51" t="s">
        <v>1757</v>
      </c>
      <c r="N132" s="48">
        <v>1800.0</v>
      </c>
      <c r="O132" s="49">
        <v>50.79</v>
      </c>
      <c r="P132" s="49">
        <v>1.35</v>
      </c>
      <c r="Q132" s="176">
        <v>30.4</v>
      </c>
      <c r="R132" s="63" t="s">
        <v>174</v>
      </c>
      <c r="S132" s="48" t="s">
        <v>174</v>
      </c>
      <c r="T132" s="48" t="s">
        <v>174</v>
      </c>
      <c r="U132" s="48" t="s">
        <v>174</v>
      </c>
      <c r="V132" s="48" t="s">
        <v>174</v>
      </c>
      <c r="W132" s="177" t="s">
        <v>174</v>
      </c>
      <c r="X132" s="177" t="s">
        <v>174</v>
      </c>
      <c r="Y132" s="178"/>
      <c r="Z132" s="66"/>
      <c r="AA132" s="66"/>
      <c r="AB132" s="66"/>
      <c r="AC132" s="66"/>
      <c r="AD132" s="66"/>
      <c r="AE132" s="66"/>
      <c r="AF132" s="66"/>
      <c r="AG132" s="66"/>
      <c r="AH132" s="66"/>
    </row>
    <row r="133">
      <c r="A133" s="174" t="s">
        <v>1387</v>
      </c>
      <c r="B133" s="175" t="s">
        <v>1758</v>
      </c>
      <c r="C133" s="51" t="s">
        <v>1604</v>
      </c>
      <c r="D133" s="51">
        <v>122.0</v>
      </c>
      <c r="E133" s="48">
        <v>122.0</v>
      </c>
      <c r="F133" s="48">
        <v>69.0</v>
      </c>
      <c r="G133" s="48">
        <v>475.0</v>
      </c>
      <c r="H133" s="48" t="s">
        <v>164</v>
      </c>
      <c r="I133" s="48">
        <v>5.0</v>
      </c>
      <c r="J133" s="48" t="s">
        <v>170</v>
      </c>
      <c r="K133" s="50" t="s">
        <v>1605</v>
      </c>
      <c r="L133" s="51">
        <v>1.0</v>
      </c>
      <c r="M133" s="51" t="s">
        <v>1757</v>
      </c>
      <c r="N133" s="48">
        <v>1800.0</v>
      </c>
      <c r="O133" s="49">
        <v>50.79</v>
      </c>
      <c r="P133" s="49">
        <v>1.35</v>
      </c>
      <c r="Q133" s="176">
        <v>30.4</v>
      </c>
      <c r="R133" s="63" t="s">
        <v>174</v>
      </c>
      <c r="S133" s="48" t="s">
        <v>174</v>
      </c>
      <c r="T133" s="48" t="s">
        <v>174</v>
      </c>
      <c r="U133" s="48" t="s">
        <v>174</v>
      </c>
      <c r="V133" s="48" t="s">
        <v>174</v>
      </c>
      <c r="W133" s="177" t="s">
        <v>174</v>
      </c>
      <c r="X133" s="177" t="s">
        <v>174</v>
      </c>
      <c r="Y133" s="183"/>
      <c r="Z133" s="66"/>
      <c r="AA133" s="66"/>
      <c r="AB133" s="66"/>
      <c r="AC133" s="66"/>
      <c r="AD133" s="66"/>
      <c r="AE133" s="66"/>
      <c r="AF133" s="66"/>
      <c r="AG133" s="66"/>
      <c r="AH133" s="66"/>
    </row>
    <row r="134">
      <c r="A134" s="174" t="s">
        <v>1664</v>
      </c>
      <c r="B134" s="175" t="str">
        <f>HYPERLINK("https://www.amd.com/en/technologies/cpu-cooler-solution","Wraith Spire")</f>
        <v>Wraith Spire</v>
      </c>
      <c r="C134" s="51" t="s">
        <v>1604</v>
      </c>
      <c r="D134" s="51" t="s">
        <v>170</v>
      </c>
      <c r="E134" s="48" t="s">
        <v>170</v>
      </c>
      <c r="F134" s="48">
        <v>70.0</v>
      </c>
      <c r="G134" s="48" t="s">
        <v>170</v>
      </c>
      <c r="H134" s="48" t="s">
        <v>164</v>
      </c>
      <c r="I134" s="48" t="s">
        <v>166</v>
      </c>
      <c r="J134" s="48" t="s">
        <v>170</v>
      </c>
      <c r="K134" s="50" t="s">
        <v>1605</v>
      </c>
      <c r="L134" s="51">
        <v>1.0</v>
      </c>
      <c r="M134" s="51" t="s">
        <v>1665</v>
      </c>
      <c r="N134" s="48" t="s">
        <v>170</v>
      </c>
      <c r="O134" s="49" t="s">
        <v>170</v>
      </c>
      <c r="P134" s="49" t="s">
        <v>170</v>
      </c>
      <c r="Q134" s="176" t="s">
        <v>170</v>
      </c>
      <c r="R134" s="63" t="s">
        <v>166</v>
      </c>
      <c r="S134" s="48" t="s">
        <v>174</v>
      </c>
      <c r="T134" s="48" t="s">
        <v>166</v>
      </c>
      <c r="U134" s="48" t="s">
        <v>166</v>
      </c>
      <c r="V134" s="48" t="s">
        <v>166</v>
      </c>
      <c r="W134" s="177" t="s">
        <v>166</v>
      </c>
      <c r="X134" s="177" t="s">
        <v>166</v>
      </c>
      <c r="Y134" s="183"/>
      <c r="Z134" s="66"/>
      <c r="AA134" s="66"/>
      <c r="AB134" s="66"/>
      <c r="AC134" s="66"/>
      <c r="AD134" s="66"/>
      <c r="AE134" s="66"/>
      <c r="AF134" s="66"/>
      <c r="AG134" s="66"/>
      <c r="AH134" s="66"/>
    </row>
    <row r="135">
      <c r="A135" s="174" t="s">
        <v>1735</v>
      </c>
      <c r="B135" s="175" t="str">
        <f>HYPERLINK("https://www.arctic.ac/worldwide_en/alpine-am4-passive.html","Alpine AM4 Passive")</f>
        <v>Alpine AM4 Passive</v>
      </c>
      <c r="C135" s="51" t="s">
        <v>1604</v>
      </c>
      <c r="D135" s="51">
        <v>99.0</v>
      </c>
      <c r="E135" s="48">
        <v>99.0</v>
      </c>
      <c r="F135" s="48">
        <v>70.0</v>
      </c>
      <c r="G135" s="48">
        <v>557.0</v>
      </c>
      <c r="H135" s="48" t="s">
        <v>164</v>
      </c>
      <c r="I135" s="48" t="s">
        <v>166</v>
      </c>
      <c r="J135" s="48">
        <v>47.0</v>
      </c>
      <c r="K135" s="50" t="s">
        <v>1605</v>
      </c>
      <c r="L135" s="51">
        <v>1.0</v>
      </c>
      <c r="M135" s="51" t="s">
        <v>166</v>
      </c>
      <c r="N135" s="48" t="s">
        <v>166</v>
      </c>
      <c r="O135" s="49" t="s">
        <v>166</v>
      </c>
      <c r="P135" s="49" t="s">
        <v>166</v>
      </c>
      <c r="Q135" s="176" t="s">
        <v>166</v>
      </c>
      <c r="R135" s="63" t="s">
        <v>166</v>
      </c>
      <c r="S135" s="48" t="s">
        <v>174</v>
      </c>
      <c r="T135" s="48" t="s">
        <v>166</v>
      </c>
      <c r="U135" s="48" t="s">
        <v>166</v>
      </c>
      <c r="V135" s="48" t="s">
        <v>166</v>
      </c>
      <c r="W135" s="177" t="s">
        <v>166</v>
      </c>
      <c r="X135" s="177" t="s">
        <v>166</v>
      </c>
      <c r="Y135" s="183" t="s">
        <v>1754</v>
      </c>
      <c r="Z135" s="66"/>
      <c r="AA135" s="66"/>
      <c r="AB135" s="66"/>
      <c r="AC135" s="66"/>
      <c r="AD135" s="66"/>
      <c r="AE135" s="66"/>
      <c r="AF135" s="66"/>
      <c r="AG135" s="66"/>
      <c r="AH135" s="66"/>
    </row>
    <row r="136">
      <c r="A136" s="174" t="s">
        <v>1639</v>
      </c>
      <c r="B136" s="175" t="str">
        <f>HYPERLINK("https://noctua.at/en/nh-l12s","NH-L12S (Low profile mode)")</f>
        <v>NH-L12S (Low profile mode)</v>
      </c>
      <c r="C136" s="51" t="s">
        <v>1604</v>
      </c>
      <c r="D136" s="51">
        <v>146.0</v>
      </c>
      <c r="E136" s="48">
        <v>128.0</v>
      </c>
      <c r="F136" s="48">
        <v>70.0</v>
      </c>
      <c r="G136" s="48">
        <v>520.0</v>
      </c>
      <c r="H136" s="48" t="s">
        <v>164</v>
      </c>
      <c r="I136" s="48">
        <v>4.0</v>
      </c>
      <c r="J136" s="182" t="s">
        <v>214</v>
      </c>
      <c r="K136" s="50">
        <v>35.0</v>
      </c>
      <c r="L136" s="51">
        <v>1.0</v>
      </c>
      <c r="M136" s="51" t="s">
        <v>1675</v>
      </c>
      <c r="N136" s="48">
        <v>1850.0</v>
      </c>
      <c r="O136" s="49">
        <v>55.5</v>
      </c>
      <c r="P136" s="49">
        <v>1.53</v>
      </c>
      <c r="Q136" s="176">
        <v>23.9</v>
      </c>
      <c r="R136" s="63" t="s">
        <v>174</v>
      </c>
      <c r="S136" s="48" t="s">
        <v>174</v>
      </c>
      <c r="T136" s="48" t="s">
        <v>166</v>
      </c>
      <c r="U136" s="48" t="s">
        <v>174</v>
      </c>
      <c r="V136" s="48" t="s">
        <v>166</v>
      </c>
      <c r="W136" s="177" t="s">
        <v>174</v>
      </c>
      <c r="X136" s="177" t="s">
        <v>174</v>
      </c>
      <c r="Y136" s="183"/>
      <c r="Z136" s="66"/>
      <c r="AA136" s="66"/>
      <c r="AB136" s="66"/>
      <c r="AC136" s="66"/>
      <c r="AD136" s="66"/>
      <c r="AE136" s="66"/>
      <c r="AF136" s="66"/>
      <c r="AG136" s="66"/>
      <c r="AH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row>
  </sheetData>
  <autoFilter ref="$A$1:$Y$136"/>
  <customSheetViews>
    <customSheetView guid="{6CF37CC9-C0F4-44B7-9AFD-045D1E8E0DF6}" filter="1" showAutoFilter="1">
      <autoFilter ref="$A$1:$Y$136">
        <filterColumn colId="20">
          <filters>
            <filter val="Y"/>
          </filters>
        </filterColumn>
      </autoFilter>
    </customSheetView>
    <customSheetView guid="{6890B77D-197E-478A-9A61-D2A76B50FDCE}" filter="1" showAutoFilter="1">
      <autoFilter ref="$A$1:$Y$136">
        <sortState ref="A1:Y136">
          <sortCondition ref="A1:A136"/>
          <sortCondition ref="B1:B136"/>
        </sortState>
      </autoFilter>
    </customSheetView>
    <customSheetView guid="{32E58935-3C9F-4EB8-B58C-95B79BB01CE7}" filter="1" showAutoFilter="1">
      <autoFilter ref="$A$1:$Y$136">
        <filterColumn colId="18">
          <filters>
            <filter val="Y"/>
          </filters>
        </filterColumn>
      </autoFilter>
    </customSheetView>
    <customSheetView guid="{B52520E3-7F03-4B40-B137-27B7AA3F60F7}" filter="1" showAutoFilter="1">
      <autoFilter ref="$A$1:$Y$136">
        <filterColumn colId="22">
          <filters>
            <filter val="Y"/>
          </filters>
        </filterColumn>
      </autoFilter>
    </customSheetView>
  </customSheetViews>
  <conditionalFormatting sqref="F2:F136">
    <cfRule type="colorScale" priority="1">
      <colorScale>
        <cfvo type="min"/>
        <cfvo type="percentile" val="50"/>
        <cfvo type="max"/>
        <color rgb="FFE67C73"/>
        <color rgb="FFFFD666"/>
        <color rgb="FF57BB8A"/>
      </colorScale>
    </cfRule>
  </conditionalFormatting>
  <conditionalFormatting sqref="J2:J136">
    <cfRule type="colorScale" priority="2">
      <colorScale>
        <cfvo type="min"/>
        <cfvo type="percentile" val="50"/>
        <cfvo type="max"/>
        <color rgb="FFE67C73"/>
        <color rgb="FFFFD666"/>
        <color rgb="FF57BB8A"/>
      </colorScale>
    </cfRule>
  </conditionalFormatting>
  <conditionalFormatting sqref="N2:N136">
    <cfRule type="colorScale" priority="3">
      <colorScale>
        <cfvo type="min"/>
        <cfvo type="percentile" val="50"/>
        <cfvo type="max"/>
        <color rgb="FF57BB8A"/>
        <color rgb="FFFFD666"/>
        <color rgb="FFE67C73"/>
      </colorScale>
    </cfRule>
  </conditionalFormatting>
  <conditionalFormatting sqref="O2:O136">
    <cfRule type="colorScale" priority="4">
      <colorScale>
        <cfvo type="min"/>
        <cfvo type="percentile" val="50"/>
        <cfvo type="max"/>
        <color rgb="FFE67C73"/>
        <color rgb="FFFFD666"/>
        <color rgb="FF57BB8A"/>
      </colorScale>
    </cfRule>
  </conditionalFormatting>
  <conditionalFormatting sqref="P2:P136">
    <cfRule type="colorScale" priority="5">
      <colorScale>
        <cfvo type="min"/>
        <cfvo type="percentile" val="50"/>
        <cfvo type="max"/>
        <color rgb="FFE67C73"/>
        <color rgb="FFFFD666"/>
        <color rgb="FF57BB8A"/>
      </colorScale>
    </cfRule>
  </conditionalFormatting>
  <conditionalFormatting sqref="Q2:Q136">
    <cfRule type="colorScale" priority="6">
      <colorScale>
        <cfvo type="min"/>
        <cfvo type="percentile" val="50"/>
        <cfvo type="max"/>
        <color rgb="FF57BB8A"/>
        <color rgb="FFFFD666"/>
        <color rgb="FFE67C73"/>
      </colorScale>
    </cfRule>
  </conditionalFormatting>
  <conditionalFormatting sqref="K2:K136">
    <cfRule type="colorScale" priority="7">
      <colorScale>
        <cfvo type="formula" val="33"/>
        <cfvo type="percentile" val="50"/>
        <cfvo type="max"/>
        <color rgb="FFE67C73"/>
        <color rgb="FFFFD666"/>
        <color rgb="FF57BB8A"/>
      </colorScale>
    </cfRule>
  </conditionalFormatting>
  <conditionalFormatting sqref="K2:K136">
    <cfRule type="cellIs" dxfId="3" priority="8" operator="equal">
      <formula>"No limit"</formula>
    </cfRule>
  </conditionalFormatting>
  <conditionalFormatting sqref="R2:X136">
    <cfRule type="cellIs" dxfId="3" priority="9" operator="equal">
      <formula>"Y"</formula>
    </cfRule>
  </conditionalFormatting>
  <hyperlinks>
    <hyperlink r:id="rId2" ref="A2"/>
    <hyperlink r:id="rId3" ref="A3"/>
    <hyperlink r:id="rId4" ref="B3"/>
    <hyperlink r:id="rId5" ref="A4"/>
    <hyperlink r:id="rId6" ref="A5"/>
    <hyperlink r:id="rId7" ref="A6"/>
    <hyperlink r:id="rId8" ref="B6"/>
    <hyperlink r:id="rId9" ref="A7"/>
    <hyperlink r:id="rId10" ref="A8"/>
    <hyperlink r:id="rId11" location="none" ref="B8"/>
    <hyperlink r:id="rId12" ref="A10"/>
    <hyperlink r:id="rId13" ref="A11"/>
    <hyperlink r:id="rId14" ref="B11"/>
    <hyperlink r:id="rId15" ref="A12"/>
    <hyperlink r:id="rId16" ref="B12"/>
    <hyperlink r:id="rId17" ref="A13"/>
    <hyperlink r:id="rId18" ref="B13"/>
    <hyperlink r:id="rId19" ref="A14"/>
    <hyperlink r:id="rId20" ref="B14"/>
    <hyperlink r:id="rId21" ref="A15"/>
    <hyperlink r:id="rId22" ref="A16"/>
    <hyperlink r:id="rId23" ref="B16"/>
    <hyperlink r:id="rId24" ref="A17"/>
    <hyperlink r:id="rId25" ref="B17"/>
    <hyperlink r:id="rId26" ref="A18"/>
    <hyperlink r:id="rId27" ref="B18"/>
    <hyperlink r:id="rId28" ref="A19"/>
    <hyperlink r:id="rId29" ref="B19"/>
    <hyperlink r:id="rId30" ref="A20"/>
    <hyperlink r:id="rId31" ref="B20"/>
    <hyperlink r:id="rId32" ref="A21"/>
    <hyperlink r:id="rId33" ref="B21"/>
    <hyperlink r:id="rId34" ref="A22"/>
    <hyperlink r:id="rId35" ref="B22"/>
    <hyperlink r:id="rId36" ref="A23"/>
    <hyperlink r:id="rId37" ref="J23"/>
    <hyperlink r:id="rId38" ref="A24"/>
    <hyperlink r:id="rId39" ref="B24"/>
    <hyperlink r:id="rId40" ref="J24"/>
    <hyperlink r:id="rId41" ref="A25"/>
    <hyperlink r:id="rId42" ref="B25"/>
    <hyperlink r:id="rId43" ref="J25"/>
    <hyperlink r:id="rId44" ref="A26"/>
    <hyperlink r:id="rId45" ref="B26"/>
    <hyperlink r:id="rId46" ref="J26"/>
    <hyperlink r:id="rId47" ref="A27"/>
    <hyperlink r:id="rId48" ref="B27"/>
    <hyperlink r:id="rId49" ref="J27"/>
    <hyperlink r:id="rId50" ref="A28"/>
    <hyperlink r:id="rId51" ref="B28"/>
    <hyperlink r:id="rId52" ref="J28"/>
    <hyperlink r:id="rId53" ref="A29"/>
    <hyperlink r:id="rId54" ref="B29"/>
    <hyperlink r:id="rId55" ref="J29"/>
    <hyperlink r:id="rId56" ref="A30"/>
    <hyperlink r:id="rId57" ref="B30"/>
    <hyperlink r:id="rId58" ref="J30"/>
    <hyperlink r:id="rId59" ref="A31"/>
    <hyperlink r:id="rId60" ref="B31"/>
    <hyperlink r:id="rId61" ref="J31"/>
    <hyperlink r:id="rId62" ref="A32"/>
    <hyperlink r:id="rId63" ref="A33"/>
    <hyperlink r:id="rId64" ref="B33"/>
    <hyperlink r:id="rId65" ref="A34"/>
    <hyperlink r:id="rId66" ref="B34"/>
    <hyperlink r:id="rId67" ref="A35"/>
    <hyperlink r:id="rId68" ref="B35"/>
    <hyperlink r:id="rId69" ref="A36"/>
    <hyperlink r:id="rId70" ref="B36"/>
    <hyperlink r:id="rId71" ref="A37"/>
    <hyperlink r:id="rId72" ref="A38"/>
    <hyperlink r:id="rId73" ref="B38"/>
    <hyperlink r:id="rId74" ref="A39"/>
    <hyperlink r:id="rId75" ref="B39"/>
    <hyperlink r:id="rId76" ref="A40"/>
    <hyperlink r:id="rId77" ref="A41"/>
    <hyperlink r:id="rId78" ref="B41"/>
    <hyperlink r:id="rId79" ref="A42"/>
    <hyperlink r:id="rId80" ref="A43"/>
    <hyperlink r:id="rId81" ref="B43"/>
    <hyperlink r:id="rId82" ref="A44"/>
    <hyperlink r:id="rId83" ref="A45"/>
    <hyperlink r:id="rId84" ref="B45"/>
    <hyperlink r:id="rId85" ref="A46"/>
    <hyperlink r:id="rId86" ref="A47"/>
    <hyperlink r:id="rId87" ref="B47"/>
    <hyperlink r:id="rId88" ref="A48"/>
    <hyperlink r:id="rId89" ref="A49"/>
    <hyperlink r:id="rId90" ref="B49"/>
    <hyperlink r:id="rId91" ref="A50"/>
    <hyperlink r:id="rId92" ref="B50"/>
    <hyperlink r:id="rId93" ref="A51"/>
    <hyperlink r:id="rId94" ref="B51"/>
    <hyperlink r:id="rId95" ref="A52"/>
    <hyperlink r:id="rId96" ref="A53"/>
    <hyperlink r:id="rId97" ref="B53"/>
    <hyperlink r:id="rId98" ref="Y53"/>
    <hyperlink r:id="rId99" ref="A54"/>
    <hyperlink r:id="rId100" ref="B54"/>
    <hyperlink r:id="rId101" ref="A55"/>
    <hyperlink r:id="rId102" ref="B55"/>
    <hyperlink r:id="rId103" ref="A56"/>
    <hyperlink r:id="rId104" ref="B56"/>
    <hyperlink r:id="rId105" ref="A57"/>
    <hyperlink r:id="rId106" ref="A58"/>
    <hyperlink r:id="rId107" ref="A59"/>
    <hyperlink r:id="rId108" ref="B59"/>
    <hyperlink r:id="rId109" ref="Y59"/>
    <hyperlink r:id="rId110" ref="A60"/>
    <hyperlink r:id="rId111" ref="B60"/>
    <hyperlink r:id="rId112" ref="A61"/>
    <hyperlink r:id="rId113" ref="B61"/>
    <hyperlink r:id="rId114" ref="A62"/>
    <hyperlink r:id="rId115" ref="B62"/>
    <hyperlink r:id="rId116" ref="A63"/>
    <hyperlink r:id="rId117" ref="B63"/>
    <hyperlink r:id="rId118" ref="A64"/>
    <hyperlink r:id="rId119" ref="B64"/>
    <hyperlink r:id="rId120" ref="A65"/>
    <hyperlink r:id="rId121" ref="A66"/>
    <hyperlink r:id="rId122" ref="A67"/>
    <hyperlink r:id="rId123" ref="B67"/>
    <hyperlink r:id="rId124" ref="A68"/>
    <hyperlink r:id="rId125" ref="B68"/>
    <hyperlink r:id="rId126" ref="A69"/>
    <hyperlink r:id="rId127" ref="B69"/>
    <hyperlink r:id="rId128" ref="A70"/>
    <hyperlink r:id="rId129" ref="B70"/>
    <hyperlink r:id="rId130" ref="A71"/>
    <hyperlink r:id="rId131" ref="B71"/>
    <hyperlink r:id="rId132" ref="A72"/>
    <hyperlink r:id="rId133" ref="B72"/>
    <hyperlink r:id="rId134" ref="A73"/>
    <hyperlink r:id="rId135" ref="B73"/>
    <hyperlink r:id="rId136" ref="A74"/>
    <hyperlink r:id="rId137" ref="B74"/>
    <hyperlink r:id="rId138" ref="A75"/>
    <hyperlink r:id="rId139" ref="B75"/>
    <hyperlink r:id="rId140" ref="A76"/>
    <hyperlink r:id="rId141" ref="B76"/>
    <hyperlink r:id="rId142" ref="A77"/>
    <hyperlink r:id="rId143" ref="B77"/>
    <hyperlink r:id="rId144" ref="A78"/>
    <hyperlink r:id="rId145" ref="A79"/>
    <hyperlink r:id="rId146" ref="B80"/>
    <hyperlink r:id="rId147" ref="A81"/>
    <hyperlink r:id="rId148" ref="A82"/>
    <hyperlink r:id="rId149" ref="B82"/>
    <hyperlink r:id="rId150" ref="A83"/>
    <hyperlink r:id="rId151" ref="B83"/>
    <hyperlink r:id="rId152" ref="A84"/>
    <hyperlink r:id="rId153" ref="B84"/>
    <hyperlink r:id="rId154" ref="A85"/>
    <hyperlink r:id="rId155" ref="B85"/>
    <hyperlink r:id="rId156" ref="A86"/>
    <hyperlink r:id="rId157" ref="B86"/>
    <hyperlink r:id="rId158" ref="A87"/>
    <hyperlink r:id="rId159" ref="B87"/>
    <hyperlink r:id="rId160" ref="A89"/>
    <hyperlink r:id="rId161" ref="B89"/>
    <hyperlink r:id="rId162" ref="A90"/>
    <hyperlink r:id="rId163" ref="A91"/>
    <hyperlink r:id="rId164" ref="B91"/>
    <hyperlink r:id="rId165" ref="A92"/>
    <hyperlink r:id="rId166" ref="B92"/>
    <hyperlink r:id="rId167" ref="A93"/>
    <hyperlink r:id="rId168" ref="B93"/>
    <hyperlink r:id="rId169" ref="A94"/>
    <hyperlink r:id="rId170" ref="B94"/>
    <hyperlink r:id="rId171" ref="A95"/>
    <hyperlink r:id="rId172" ref="B95"/>
    <hyperlink r:id="rId173" ref="A96"/>
    <hyperlink r:id="rId174" ref="B96"/>
    <hyperlink r:id="rId175" ref="A97"/>
    <hyperlink r:id="rId176" ref="B97"/>
    <hyperlink r:id="rId177" ref="A98"/>
    <hyperlink r:id="rId178" ref="A99"/>
    <hyperlink r:id="rId179" ref="A100"/>
    <hyperlink r:id="rId180" ref="A101"/>
    <hyperlink r:id="rId181" ref="A102"/>
    <hyperlink r:id="rId182" ref="B102"/>
    <hyperlink r:id="rId183" ref="A103"/>
    <hyperlink r:id="rId184" ref="A104"/>
    <hyperlink r:id="rId185" ref="A105"/>
    <hyperlink r:id="rId186" ref="B105"/>
    <hyperlink r:id="rId187" ref="A106"/>
    <hyperlink r:id="rId188" ref="B106"/>
    <hyperlink r:id="rId189" ref="A107"/>
    <hyperlink r:id="rId190" ref="B107"/>
    <hyperlink r:id="rId191" ref="A108"/>
    <hyperlink r:id="rId192" ref="B108"/>
    <hyperlink r:id="rId193" ref="A109"/>
    <hyperlink r:id="rId194" ref="B109"/>
    <hyperlink r:id="rId195" ref="A110"/>
    <hyperlink r:id="rId196" ref="B110"/>
    <hyperlink r:id="rId197" ref="A111"/>
    <hyperlink r:id="rId198" ref="J111"/>
    <hyperlink r:id="rId199" ref="A112"/>
    <hyperlink r:id="rId200" ref="B112"/>
    <hyperlink r:id="rId201" ref="J112"/>
    <hyperlink r:id="rId202" ref="A113"/>
    <hyperlink r:id="rId203" ref="A114"/>
    <hyperlink r:id="rId204" ref="A115"/>
    <hyperlink r:id="rId205" ref="A116"/>
    <hyperlink r:id="rId206" ref="B116"/>
    <hyperlink r:id="rId207" ref="A117"/>
    <hyperlink r:id="rId208" ref="B117"/>
    <hyperlink r:id="rId209" ref="A118"/>
    <hyperlink r:id="rId210" ref="J118"/>
    <hyperlink r:id="rId211" ref="A119"/>
    <hyperlink r:id="rId212" ref="B119"/>
    <hyperlink r:id="rId213" ref="J119"/>
    <hyperlink r:id="rId214" ref="A120"/>
    <hyperlink r:id="rId215" ref="B120"/>
    <hyperlink r:id="rId216" ref="A121"/>
    <hyperlink r:id="rId217" ref="B121"/>
    <hyperlink r:id="rId218" ref="A122"/>
    <hyperlink r:id="rId219" ref="B122"/>
    <hyperlink r:id="rId220" ref="A123"/>
    <hyperlink r:id="rId221" ref="B123"/>
    <hyperlink r:id="rId222" ref="A124"/>
    <hyperlink r:id="rId223" ref="B124"/>
    <hyperlink r:id="rId224" ref="A125"/>
    <hyperlink r:id="rId225" ref="B125"/>
    <hyperlink r:id="rId226" ref="A126"/>
    <hyperlink r:id="rId227" ref="B126"/>
    <hyperlink r:id="rId228" ref="A127"/>
    <hyperlink r:id="rId229" ref="B127"/>
    <hyperlink r:id="rId230" ref="A128"/>
    <hyperlink r:id="rId231" ref="A129"/>
    <hyperlink r:id="rId232" ref="A130"/>
    <hyperlink r:id="rId233" ref="A131"/>
    <hyperlink r:id="rId234" ref="B131"/>
    <hyperlink r:id="rId235" ref="A132"/>
    <hyperlink r:id="rId236" ref="B132"/>
    <hyperlink r:id="rId237" ref="A133"/>
    <hyperlink r:id="rId238" ref="B133"/>
    <hyperlink r:id="rId239" ref="A134"/>
    <hyperlink r:id="rId240" ref="A135"/>
    <hyperlink r:id="rId241" ref="A136"/>
    <hyperlink r:id="rId242" ref="J136"/>
  </hyperlinks>
  <drawing r:id="rId243"/>
  <legacyDrawing r:id="rId24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75"/>
    <col customWidth="1" min="2" max="2" width="26.75"/>
    <col customWidth="1" min="3" max="3" width="10.38"/>
    <col customWidth="1" min="4" max="7" width="5.63"/>
    <col customWidth="1" min="8" max="8" width="6.38"/>
    <col customWidth="1" min="9" max="10" width="5.63"/>
    <col customWidth="1" min="11" max="11" width="7.0"/>
    <col customWidth="1" min="12" max="12" width="5.63"/>
    <col customWidth="1" min="13" max="13" width="11.63"/>
    <col customWidth="1" min="14" max="25" width="5.63"/>
    <col customWidth="1" min="26" max="26" width="25.5"/>
  </cols>
  <sheetData>
    <row r="1" ht="97.5" customHeight="1">
      <c r="A1" s="44" t="s">
        <v>1579</v>
      </c>
      <c r="B1" s="166" t="s">
        <v>1580</v>
      </c>
      <c r="C1" s="167" t="s">
        <v>1581</v>
      </c>
      <c r="D1" s="43" t="s">
        <v>1582</v>
      </c>
      <c r="E1" s="168" t="s">
        <v>1583</v>
      </c>
      <c r="F1" s="168" t="s">
        <v>1584</v>
      </c>
      <c r="G1" s="168" t="s">
        <v>1585</v>
      </c>
      <c r="H1" s="168" t="s">
        <v>1586</v>
      </c>
      <c r="I1" s="168" t="s">
        <v>1587</v>
      </c>
      <c r="J1" s="168" t="s">
        <v>1588</v>
      </c>
      <c r="K1" s="169" t="s">
        <v>1589</v>
      </c>
      <c r="L1" s="43" t="s">
        <v>25</v>
      </c>
      <c r="M1" s="167" t="s">
        <v>1590</v>
      </c>
      <c r="N1" s="168" t="s">
        <v>1591</v>
      </c>
      <c r="O1" s="168" t="s">
        <v>1592</v>
      </c>
      <c r="P1" s="168" t="s">
        <v>1593</v>
      </c>
      <c r="Q1" s="170" t="s">
        <v>1594</v>
      </c>
      <c r="R1" s="171" t="s">
        <v>1595</v>
      </c>
      <c r="S1" s="168" t="s">
        <v>1596</v>
      </c>
      <c r="T1" s="168" t="s">
        <v>1597</v>
      </c>
      <c r="U1" s="168" t="s">
        <v>1598</v>
      </c>
      <c r="V1" s="168" t="s">
        <v>1599</v>
      </c>
      <c r="W1" s="170" t="s">
        <v>1600</v>
      </c>
      <c r="X1" s="170" t="s">
        <v>1601</v>
      </c>
      <c r="Y1" s="194" t="s">
        <v>1759</v>
      </c>
      <c r="Z1" s="172" t="s">
        <v>1602</v>
      </c>
      <c r="AA1" s="173"/>
      <c r="AB1" s="173"/>
      <c r="AC1" s="173"/>
      <c r="AD1" s="173"/>
      <c r="AE1" s="173"/>
      <c r="AF1" s="173"/>
      <c r="AG1" s="173"/>
      <c r="AH1" s="173"/>
      <c r="AI1" s="173"/>
    </row>
    <row r="2">
      <c r="A2" s="174" t="s">
        <v>1634</v>
      </c>
      <c r="B2" s="175" t="s">
        <v>1760</v>
      </c>
      <c r="C2" s="51" t="s">
        <v>1604</v>
      </c>
      <c r="D2" s="51">
        <v>150.0</v>
      </c>
      <c r="E2" s="48">
        <v>139.5</v>
      </c>
      <c r="F2" s="48">
        <v>73.0</v>
      </c>
      <c r="G2" s="48">
        <v>520.0</v>
      </c>
      <c r="H2" s="48" t="s">
        <v>164</v>
      </c>
      <c r="I2" s="48">
        <v>6.0</v>
      </c>
      <c r="J2" s="48" t="s">
        <v>170</v>
      </c>
      <c r="K2" s="50">
        <v>39.0</v>
      </c>
      <c r="L2" s="51">
        <v>1.0</v>
      </c>
      <c r="M2" s="51" t="s">
        <v>1752</v>
      </c>
      <c r="N2" s="48">
        <v>1300.0</v>
      </c>
      <c r="O2" s="49">
        <v>64.52</v>
      </c>
      <c r="P2" s="49" t="s">
        <v>170</v>
      </c>
      <c r="Q2" s="176">
        <v>30.6</v>
      </c>
      <c r="R2" s="63" t="s">
        <v>174</v>
      </c>
      <c r="S2" s="48" t="s">
        <v>174</v>
      </c>
      <c r="T2" s="48" t="s">
        <v>174</v>
      </c>
      <c r="U2" s="48" t="s">
        <v>174</v>
      </c>
      <c r="V2" s="48" t="s">
        <v>174</v>
      </c>
      <c r="W2" s="177" t="s">
        <v>170</v>
      </c>
      <c r="X2" s="177" t="s">
        <v>166</v>
      </c>
      <c r="Y2" s="195"/>
      <c r="Z2" s="183"/>
      <c r="AA2" s="66"/>
      <c r="AB2" s="66"/>
      <c r="AC2" s="66"/>
      <c r="AD2" s="66"/>
      <c r="AE2" s="66"/>
      <c r="AF2" s="66"/>
      <c r="AG2" s="66"/>
      <c r="AH2" s="66"/>
      <c r="AI2" s="66"/>
    </row>
    <row r="3">
      <c r="A3" s="174" t="s">
        <v>1634</v>
      </c>
      <c r="B3" s="175" t="s">
        <v>1761</v>
      </c>
      <c r="C3" s="51" t="s">
        <v>1604</v>
      </c>
      <c r="D3" s="51">
        <v>153.0</v>
      </c>
      <c r="E3" s="48">
        <v>140.0</v>
      </c>
      <c r="F3" s="48">
        <v>73.0</v>
      </c>
      <c r="G3" s="48">
        <v>565.0</v>
      </c>
      <c r="H3" s="48" t="s">
        <v>164</v>
      </c>
      <c r="I3" s="48">
        <v>6.0</v>
      </c>
      <c r="J3" s="48" t="s">
        <v>170</v>
      </c>
      <c r="K3" s="50">
        <v>36.0</v>
      </c>
      <c r="L3" s="51">
        <v>1.0</v>
      </c>
      <c r="M3" s="51" t="s">
        <v>1752</v>
      </c>
      <c r="N3" s="48">
        <v>1300.0</v>
      </c>
      <c r="O3" s="49">
        <v>64.52</v>
      </c>
      <c r="P3" s="49" t="s">
        <v>170</v>
      </c>
      <c r="Q3" s="176">
        <v>30.6</v>
      </c>
      <c r="R3" s="63" t="s">
        <v>174</v>
      </c>
      <c r="S3" s="48" t="s">
        <v>174</v>
      </c>
      <c r="T3" s="48" t="s">
        <v>174</v>
      </c>
      <c r="U3" s="48" t="s">
        <v>174</v>
      </c>
      <c r="V3" s="48" t="s">
        <v>174</v>
      </c>
      <c r="W3" s="177" t="s">
        <v>170</v>
      </c>
      <c r="X3" s="177" t="s">
        <v>174</v>
      </c>
      <c r="Y3" s="195"/>
      <c r="Z3" s="183"/>
      <c r="AA3" s="66"/>
      <c r="AB3" s="66"/>
      <c r="AC3" s="66"/>
      <c r="AD3" s="66"/>
      <c r="AE3" s="66"/>
      <c r="AF3" s="66"/>
      <c r="AG3" s="66"/>
      <c r="AH3" s="66"/>
      <c r="AI3" s="66"/>
    </row>
    <row r="4">
      <c r="A4" s="174" t="s">
        <v>1486</v>
      </c>
      <c r="B4" s="175" t="s">
        <v>1434</v>
      </c>
      <c r="C4" s="51" t="s">
        <v>1604</v>
      </c>
      <c r="D4" s="51">
        <v>144.5</v>
      </c>
      <c r="E4" s="48">
        <v>140.0</v>
      </c>
      <c r="F4" s="48">
        <v>74.0</v>
      </c>
      <c r="G4" s="48">
        <v>628.0</v>
      </c>
      <c r="H4" s="48" t="s">
        <v>164</v>
      </c>
      <c r="I4" s="48">
        <v>6.0</v>
      </c>
      <c r="J4" s="48">
        <v>140.0</v>
      </c>
      <c r="K4" s="50">
        <v>42.0</v>
      </c>
      <c r="L4" s="51">
        <v>1.0</v>
      </c>
      <c r="M4" s="51" t="s">
        <v>1762</v>
      </c>
      <c r="N4" s="48">
        <v>1300.0</v>
      </c>
      <c r="O4" s="49">
        <v>65.0</v>
      </c>
      <c r="P4" s="49">
        <v>1.49</v>
      </c>
      <c r="Q4" s="176">
        <v>24.0</v>
      </c>
      <c r="R4" s="63" t="s">
        <v>174</v>
      </c>
      <c r="S4" s="48" t="s">
        <v>174</v>
      </c>
      <c r="T4" s="48" t="s">
        <v>166</v>
      </c>
      <c r="U4" s="48" t="s">
        <v>174</v>
      </c>
      <c r="V4" s="48" t="s">
        <v>166</v>
      </c>
      <c r="W4" s="177" t="s">
        <v>170</v>
      </c>
      <c r="X4" s="177" t="s">
        <v>174</v>
      </c>
      <c r="Y4" s="195"/>
      <c r="Z4" s="183"/>
      <c r="AA4" s="66"/>
      <c r="AB4" s="66"/>
      <c r="AC4" s="66"/>
      <c r="AD4" s="66"/>
      <c r="AE4" s="66"/>
      <c r="AF4" s="66"/>
      <c r="AG4" s="66"/>
      <c r="AH4" s="66"/>
      <c r="AI4" s="66"/>
    </row>
    <row r="5">
      <c r="A5" s="174" t="s">
        <v>1666</v>
      </c>
      <c r="B5" s="175" t="s">
        <v>1763</v>
      </c>
      <c r="C5" s="51" t="s">
        <v>1604</v>
      </c>
      <c r="D5" s="51">
        <v>134.0</v>
      </c>
      <c r="E5" s="48">
        <v>122.0</v>
      </c>
      <c r="F5" s="48">
        <v>75.0</v>
      </c>
      <c r="G5" s="48">
        <v>390.0</v>
      </c>
      <c r="H5" s="48" t="s">
        <v>164</v>
      </c>
      <c r="I5" s="48">
        <v>4.0</v>
      </c>
      <c r="J5" s="48">
        <v>130.0</v>
      </c>
      <c r="K5" s="50">
        <v>34.7</v>
      </c>
      <c r="L5" s="51">
        <v>1.0</v>
      </c>
      <c r="M5" s="51" t="s">
        <v>1729</v>
      </c>
      <c r="N5" s="48">
        <v>1500.0</v>
      </c>
      <c r="O5" s="49" t="s">
        <v>170</v>
      </c>
      <c r="P5" s="49" t="s">
        <v>170</v>
      </c>
      <c r="Q5" s="176">
        <v>25.5</v>
      </c>
      <c r="R5" s="63" t="s">
        <v>166</v>
      </c>
      <c r="S5" s="48" t="s">
        <v>174</v>
      </c>
      <c r="T5" s="48" t="s">
        <v>166</v>
      </c>
      <c r="U5" s="48" t="s">
        <v>174</v>
      </c>
      <c r="V5" s="48" t="s">
        <v>166</v>
      </c>
      <c r="W5" s="177" t="s">
        <v>174</v>
      </c>
      <c r="X5" s="177" t="s">
        <v>174</v>
      </c>
      <c r="Y5" s="195"/>
      <c r="Z5" s="183"/>
      <c r="AA5" s="66"/>
      <c r="AB5" s="66"/>
      <c r="AC5" s="66"/>
      <c r="AD5" s="66"/>
      <c r="AE5" s="66"/>
      <c r="AF5" s="66"/>
      <c r="AG5" s="66"/>
      <c r="AH5" s="66"/>
      <c r="AI5" s="66"/>
    </row>
    <row r="6">
      <c r="A6" s="174" t="s">
        <v>1611</v>
      </c>
      <c r="B6" s="175" t="s">
        <v>1764</v>
      </c>
      <c r="C6" s="51" t="s">
        <v>1604</v>
      </c>
      <c r="D6" s="51">
        <v>122.0</v>
      </c>
      <c r="E6" s="48">
        <v>120.0</v>
      </c>
      <c r="F6" s="48">
        <v>77.0</v>
      </c>
      <c r="G6" s="48">
        <v>600.0</v>
      </c>
      <c r="H6" s="48" t="s">
        <v>164</v>
      </c>
      <c r="I6" s="48">
        <v>5.0</v>
      </c>
      <c r="J6" s="48">
        <v>130.0</v>
      </c>
      <c r="K6" s="50" t="s">
        <v>170</v>
      </c>
      <c r="L6" s="51">
        <v>1.0</v>
      </c>
      <c r="M6" s="51" t="s">
        <v>1729</v>
      </c>
      <c r="N6" s="48">
        <v>2000.0</v>
      </c>
      <c r="O6" s="49">
        <v>56.5</v>
      </c>
      <c r="P6" s="49" t="s">
        <v>170</v>
      </c>
      <c r="Q6" s="176">
        <v>31.5</v>
      </c>
      <c r="R6" s="63" t="s">
        <v>166</v>
      </c>
      <c r="S6" s="48" t="s">
        <v>174</v>
      </c>
      <c r="T6" s="48" t="s">
        <v>166</v>
      </c>
      <c r="U6" s="48" t="s">
        <v>174</v>
      </c>
      <c r="V6" s="48" t="s">
        <v>166</v>
      </c>
      <c r="W6" s="177" t="s">
        <v>170</v>
      </c>
      <c r="X6" s="177" t="s">
        <v>166</v>
      </c>
      <c r="Y6" s="195"/>
      <c r="Z6" s="183"/>
      <c r="AA6" s="66"/>
      <c r="AB6" s="66"/>
      <c r="AC6" s="66"/>
      <c r="AD6" s="66"/>
      <c r="AE6" s="66"/>
      <c r="AF6" s="66"/>
      <c r="AG6" s="66"/>
      <c r="AH6" s="66"/>
      <c r="AI6" s="66"/>
    </row>
    <row r="7">
      <c r="A7" s="174" t="s">
        <v>1639</v>
      </c>
      <c r="B7" s="175" t="s">
        <v>1765</v>
      </c>
      <c r="C7" s="51" t="s">
        <v>1604</v>
      </c>
      <c r="D7" s="51">
        <v>131.0</v>
      </c>
      <c r="E7" s="48">
        <v>128.0</v>
      </c>
      <c r="F7" s="48">
        <v>77.0</v>
      </c>
      <c r="G7" s="48">
        <v>520.0</v>
      </c>
      <c r="H7" s="48" t="s">
        <v>164</v>
      </c>
      <c r="I7" s="48">
        <v>6.0</v>
      </c>
      <c r="J7" s="182" t="s">
        <v>214</v>
      </c>
      <c r="K7" s="50">
        <v>44.0</v>
      </c>
      <c r="L7" s="51">
        <v>1.0</v>
      </c>
      <c r="M7" s="51" t="s">
        <v>1675</v>
      </c>
      <c r="N7" s="48">
        <v>1850.0</v>
      </c>
      <c r="O7" s="49">
        <v>55.5</v>
      </c>
      <c r="P7" s="49">
        <v>1.53</v>
      </c>
      <c r="Q7" s="176">
        <v>23.9</v>
      </c>
      <c r="R7" s="63" t="s">
        <v>166</v>
      </c>
      <c r="S7" s="48" t="s">
        <v>174</v>
      </c>
      <c r="T7" s="48" t="s">
        <v>166</v>
      </c>
      <c r="U7" s="48" t="s">
        <v>174</v>
      </c>
      <c r="V7" s="48" t="s">
        <v>166</v>
      </c>
      <c r="W7" s="177" t="s">
        <v>174</v>
      </c>
      <c r="X7" s="177" t="s">
        <v>166</v>
      </c>
      <c r="Y7" s="195"/>
      <c r="Z7" s="183"/>
      <c r="AA7" s="66"/>
      <c r="AB7" s="66"/>
      <c r="AC7" s="66"/>
      <c r="AD7" s="66"/>
      <c r="AE7" s="66"/>
      <c r="AF7" s="66"/>
      <c r="AG7" s="66"/>
      <c r="AH7" s="66"/>
      <c r="AI7" s="66"/>
    </row>
    <row r="8">
      <c r="A8" s="174" t="s">
        <v>1634</v>
      </c>
      <c r="B8" s="175" t="s">
        <v>1766</v>
      </c>
      <c r="C8" s="51" t="s">
        <v>1604</v>
      </c>
      <c r="D8" s="51">
        <v>108.0</v>
      </c>
      <c r="E8" s="48">
        <v>120.0</v>
      </c>
      <c r="F8" s="48">
        <v>100.0</v>
      </c>
      <c r="G8" s="48">
        <v>640.0</v>
      </c>
      <c r="H8" s="48" t="s">
        <v>164</v>
      </c>
      <c r="I8" s="48">
        <v>6.0</v>
      </c>
      <c r="J8" s="48" t="s">
        <v>170</v>
      </c>
      <c r="K8" s="50" t="s">
        <v>170</v>
      </c>
      <c r="L8" s="51">
        <v>1.0</v>
      </c>
      <c r="M8" s="51" t="s">
        <v>1729</v>
      </c>
      <c r="N8" s="48">
        <v>2000.0</v>
      </c>
      <c r="O8" s="49">
        <v>72.37</v>
      </c>
      <c r="P8" s="49">
        <v>2.87</v>
      </c>
      <c r="Q8" s="176">
        <v>27.7</v>
      </c>
      <c r="R8" s="63" t="s">
        <v>166</v>
      </c>
      <c r="S8" s="48" t="s">
        <v>174</v>
      </c>
      <c r="T8" s="48" t="s">
        <v>166</v>
      </c>
      <c r="U8" s="48" t="s">
        <v>174</v>
      </c>
      <c r="V8" s="48" t="s">
        <v>166</v>
      </c>
      <c r="W8" s="177" t="s">
        <v>174</v>
      </c>
      <c r="X8" s="177" t="s">
        <v>174</v>
      </c>
      <c r="Y8" s="195"/>
      <c r="Z8" s="183"/>
      <c r="AA8" s="66"/>
      <c r="AB8" s="66"/>
      <c r="AC8" s="66"/>
      <c r="AD8" s="66"/>
      <c r="AE8" s="66"/>
      <c r="AF8" s="66"/>
      <c r="AG8" s="66"/>
      <c r="AH8" s="66"/>
      <c r="AI8" s="66"/>
    </row>
    <row r="9">
      <c r="A9" s="174" t="s">
        <v>1634</v>
      </c>
      <c r="B9" s="175" t="s">
        <v>1767</v>
      </c>
      <c r="C9" s="51" t="s">
        <v>1604</v>
      </c>
      <c r="D9" s="51">
        <v>108.0</v>
      </c>
      <c r="E9" s="48">
        <v>120.0</v>
      </c>
      <c r="F9" s="48">
        <v>100.0</v>
      </c>
      <c r="G9" s="48">
        <v>640.0</v>
      </c>
      <c r="H9" s="48" t="s">
        <v>164</v>
      </c>
      <c r="I9" s="48">
        <v>6.0</v>
      </c>
      <c r="J9" s="48" t="s">
        <v>170</v>
      </c>
      <c r="K9" s="50" t="s">
        <v>170</v>
      </c>
      <c r="L9" s="51">
        <v>1.0</v>
      </c>
      <c r="M9" s="51" t="s">
        <v>1729</v>
      </c>
      <c r="N9" s="48">
        <v>2000.0</v>
      </c>
      <c r="O9" s="49">
        <v>72.37</v>
      </c>
      <c r="P9" s="49">
        <v>2.87</v>
      </c>
      <c r="Q9" s="176">
        <v>27.7</v>
      </c>
      <c r="R9" s="63" t="s">
        <v>166</v>
      </c>
      <c r="S9" s="48" t="s">
        <v>174</v>
      </c>
      <c r="T9" s="48" t="s">
        <v>166</v>
      </c>
      <c r="U9" s="48" t="s">
        <v>174</v>
      </c>
      <c r="V9" s="48" t="s">
        <v>166</v>
      </c>
      <c r="W9" s="177" t="s">
        <v>174</v>
      </c>
      <c r="X9" s="177" t="s">
        <v>174</v>
      </c>
      <c r="Y9" s="195"/>
      <c r="Z9" s="183"/>
      <c r="AA9" s="66"/>
      <c r="AB9" s="66"/>
      <c r="AC9" s="66"/>
      <c r="AD9" s="66"/>
      <c r="AE9" s="66"/>
      <c r="AF9" s="66"/>
      <c r="AG9" s="66"/>
      <c r="AH9" s="66"/>
      <c r="AI9" s="66"/>
    </row>
    <row r="10">
      <c r="A10" s="174" t="s">
        <v>1634</v>
      </c>
      <c r="B10" s="175" t="s">
        <v>1768</v>
      </c>
      <c r="C10" s="51" t="s">
        <v>1604</v>
      </c>
      <c r="D10" s="51">
        <v>108.0</v>
      </c>
      <c r="E10" s="48">
        <v>120.0</v>
      </c>
      <c r="F10" s="48">
        <v>100.0</v>
      </c>
      <c r="G10" s="48">
        <v>640.0</v>
      </c>
      <c r="H10" s="48" t="s">
        <v>164</v>
      </c>
      <c r="I10" s="48">
        <v>6.0</v>
      </c>
      <c r="J10" s="48" t="s">
        <v>170</v>
      </c>
      <c r="K10" s="50" t="s">
        <v>170</v>
      </c>
      <c r="L10" s="51">
        <v>1.0</v>
      </c>
      <c r="M10" s="51" t="s">
        <v>1729</v>
      </c>
      <c r="N10" s="48">
        <v>2000.0</v>
      </c>
      <c r="O10" s="49">
        <v>72.37</v>
      </c>
      <c r="P10" s="49">
        <v>2.87</v>
      </c>
      <c r="Q10" s="176">
        <v>27.7</v>
      </c>
      <c r="R10" s="63" t="s">
        <v>166</v>
      </c>
      <c r="S10" s="48" t="s">
        <v>174</v>
      </c>
      <c r="T10" s="48" t="s">
        <v>166</v>
      </c>
      <c r="U10" s="48" t="s">
        <v>174</v>
      </c>
      <c r="V10" s="48" t="s">
        <v>166</v>
      </c>
      <c r="W10" s="177" t="s">
        <v>174</v>
      </c>
      <c r="X10" s="177" t="s">
        <v>174</v>
      </c>
      <c r="Y10" s="195"/>
      <c r="Z10" s="183"/>
      <c r="AA10" s="66"/>
      <c r="AB10" s="66"/>
      <c r="AC10" s="66"/>
      <c r="AD10" s="66"/>
      <c r="AE10" s="66"/>
      <c r="AF10" s="66"/>
      <c r="AG10" s="66"/>
      <c r="AH10" s="66"/>
      <c r="AI10" s="66"/>
    </row>
    <row r="11">
      <c r="A11" s="174" t="s">
        <v>1611</v>
      </c>
      <c r="B11" s="175" t="s">
        <v>1769</v>
      </c>
      <c r="C11" s="51" t="s">
        <v>1770</v>
      </c>
      <c r="D11" s="51">
        <v>98.0</v>
      </c>
      <c r="E11" s="48">
        <v>100.0</v>
      </c>
      <c r="F11" s="48">
        <v>110.0</v>
      </c>
      <c r="G11" s="48">
        <v>480.0</v>
      </c>
      <c r="H11" s="48" t="s">
        <v>164</v>
      </c>
      <c r="I11" s="48">
        <v>4.0</v>
      </c>
      <c r="J11" s="48">
        <v>150.0</v>
      </c>
      <c r="K11" s="50" t="s">
        <v>1605</v>
      </c>
      <c r="L11" s="51">
        <v>1.0</v>
      </c>
      <c r="M11" s="51" t="s">
        <v>1665</v>
      </c>
      <c r="N11" s="48">
        <v>2200.0</v>
      </c>
      <c r="O11" s="49">
        <v>45.8</v>
      </c>
      <c r="P11" s="49" t="s">
        <v>170</v>
      </c>
      <c r="Q11" s="176">
        <v>25.8</v>
      </c>
      <c r="R11" s="63" t="s">
        <v>166</v>
      </c>
      <c r="S11" s="48" t="s">
        <v>174</v>
      </c>
      <c r="T11" s="48" t="s">
        <v>166</v>
      </c>
      <c r="U11" s="48" t="s">
        <v>174</v>
      </c>
      <c r="V11" s="48" t="s">
        <v>166</v>
      </c>
      <c r="W11" s="177" t="s">
        <v>174</v>
      </c>
      <c r="X11" s="177" t="s">
        <v>174</v>
      </c>
      <c r="Y11" s="195"/>
      <c r="Z11" s="183"/>
      <c r="AA11" s="66"/>
      <c r="AB11" s="66"/>
      <c r="AC11" s="66"/>
      <c r="AD11" s="66"/>
      <c r="AE11" s="66"/>
      <c r="AF11" s="66"/>
      <c r="AG11" s="66"/>
      <c r="AH11" s="66"/>
      <c r="AI11" s="66"/>
    </row>
    <row r="12">
      <c r="A12" s="174" t="s">
        <v>1639</v>
      </c>
      <c r="B12" s="175" t="s">
        <v>1771</v>
      </c>
      <c r="C12" s="51" t="s">
        <v>1770</v>
      </c>
      <c r="D12" s="51">
        <v>95.0</v>
      </c>
      <c r="E12" s="48">
        <v>95.0</v>
      </c>
      <c r="F12" s="48">
        <v>110.0</v>
      </c>
      <c r="G12" s="48">
        <v>531.0</v>
      </c>
      <c r="H12" s="48" t="s">
        <v>164</v>
      </c>
      <c r="I12" s="48">
        <v>4.0</v>
      </c>
      <c r="J12" s="182" t="s">
        <v>214</v>
      </c>
      <c r="K12" s="50" t="s">
        <v>1605</v>
      </c>
      <c r="L12" s="51">
        <v>1.0</v>
      </c>
      <c r="M12" s="51" t="s">
        <v>1665</v>
      </c>
      <c r="N12" s="48">
        <v>2000.0</v>
      </c>
      <c r="O12" s="49">
        <f t="shared" ref="O12:O13" si="1">78.9*0.589</f>
        <v>46.4721</v>
      </c>
      <c r="P12" s="49">
        <v>2.28</v>
      </c>
      <c r="Q12" s="176">
        <v>22.8</v>
      </c>
      <c r="R12" s="63" t="s">
        <v>174</v>
      </c>
      <c r="S12" s="48" t="s">
        <v>174</v>
      </c>
      <c r="T12" s="48" t="s">
        <v>166</v>
      </c>
      <c r="U12" s="48" t="s">
        <v>174</v>
      </c>
      <c r="V12" s="48" t="s">
        <v>166</v>
      </c>
      <c r="W12" s="177" t="s">
        <v>174</v>
      </c>
      <c r="X12" s="177" t="s">
        <v>174</v>
      </c>
      <c r="Y12" s="195"/>
      <c r="Z12" s="183"/>
      <c r="AA12" s="66"/>
      <c r="AB12" s="66"/>
      <c r="AC12" s="66"/>
      <c r="AD12" s="66"/>
      <c r="AE12" s="66"/>
      <c r="AF12" s="66"/>
      <c r="AG12" s="66"/>
      <c r="AH12" s="66"/>
      <c r="AI12" s="66"/>
    </row>
    <row r="13">
      <c r="A13" s="174" t="s">
        <v>1639</v>
      </c>
      <c r="B13" s="193" t="s">
        <v>1772</v>
      </c>
      <c r="C13" s="51" t="s">
        <v>1770</v>
      </c>
      <c r="D13" s="51">
        <v>95.0</v>
      </c>
      <c r="E13" s="48">
        <v>95.0</v>
      </c>
      <c r="F13" s="48">
        <v>110.0</v>
      </c>
      <c r="G13" s="48">
        <v>531.0</v>
      </c>
      <c r="H13" s="48" t="s">
        <v>164</v>
      </c>
      <c r="I13" s="48">
        <v>4.0</v>
      </c>
      <c r="J13" s="182" t="s">
        <v>214</v>
      </c>
      <c r="K13" s="50" t="s">
        <v>1605</v>
      </c>
      <c r="L13" s="51">
        <v>1.0</v>
      </c>
      <c r="M13" s="51" t="s">
        <v>1665</v>
      </c>
      <c r="N13" s="48">
        <v>2000.0</v>
      </c>
      <c r="O13" s="49">
        <f t="shared" si="1"/>
        <v>46.4721</v>
      </c>
      <c r="P13" s="49">
        <v>2.28</v>
      </c>
      <c r="Q13" s="176">
        <v>22.8</v>
      </c>
      <c r="R13" s="63" t="s">
        <v>166</v>
      </c>
      <c r="S13" s="48" t="s">
        <v>174</v>
      </c>
      <c r="T13" s="48" t="s">
        <v>166</v>
      </c>
      <c r="U13" s="48" t="s">
        <v>174</v>
      </c>
      <c r="V13" s="48" t="s">
        <v>166</v>
      </c>
      <c r="W13" s="177" t="s">
        <v>174</v>
      </c>
      <c r="X13" s="177" t="s">
        <v>166</v>
      </c>
      <c r="Y13" s="195"/>
      <c r="Z13" s="183"/>
      <c r="AA13" s="66"/>
      <c r="AB13" s="66"/>
      <c r="AC13" s="66"/>
      <c r="AD13" s="66"/>
      <c r="AE13" s="66"/>
      <c r="AF13" s="66"/>
      <c r="AG13" s="66"/>
      <c r="AH13" s="66"/>
      <c r="AI13" s="66"/>
    </row>
    <row r="14">
      <c r="A14" s="174" t="s">
        <v>1634</v>
      </c>
      <c r="B14" s="193" t="s">
        <v>1773</v>
      </c>
      <c r="C14" s="51" t="s">
        <v>1770</v>
      </c>
      <c r="D14" s="51">
        <v>94.0</v>
      </c>
      <c r="E14" s="48">
        <v>94.0</v>
      </c>
      <c r="F14" s="48">
        <v>110.0</v>
      </c>
      <c r="G14" s="48" t="s">
        <v>170</v>
      </c>
      <c r="H14" s="48" t="s">
        <v>164</v>
      </c>
      <c r="I14" s="48">
        <v>4.0</v>
      </c>
      <c r="J14" s="48">
        <v>185.0</v>
      </c>
      <c r="K14" s="50" t="s">
        <v>1605</v>
      </c>
      <c r="L14" s="51">
        <v>1.0</v>
      </c>
      <c r="M14" s="51" t="s">
        <v>1665</v>
      </c>
      <c r="N14" s="48">
        <v>2200.0</v>
      </c>
      <c r="O14" s="49">
        <v>32.77</v>
      </c>
      <c r="P14" s="49">
        <v>1.98</v>
      </c>
      <c r="Q14" s="176">
        <v>23.85</v>
      </c>
      <c r="R14" s="63" t="s">
        <v>166</v>
      </c>
      <c r="S14" s="48" t="s">
        <v>174</v>
      </c>
      <c r="T14" s="48" t="s">
        <v>166</v>
      </c>
      <c r="U14" s="48" t="s">
        <v>174</v>
      </c>
      <c r="V14" s="48" t="s">
        <v>166</v>
      </c>
      <c r="W14" s="177" t="s">
        <v>174</v>
      </c>
      <c r="X14" s="177" t="s">
        <v>166</v>
      </c>
      <c r="Y14" s="195"/>
      <c r="Z14" s="183"/>
      <c r="AA14" s="66"/>
      <c r="AB14" s="66"/>
      <c r="AC14" s="66"/>
      <c r="AD14" s="66"/>
      <c r="AE14" s="66"/>
      <c r="AF14" s="66"/>
      <c r="AG14" s="66"/>
      <c r="AH14" s="66"/>
      <c r="AI14" s="66"/>
    </row>
    <row r="15">
      <c r="A15" s="174" t="s">
        <v>1634</v>
      </c>
      <c r="B15" s="193" t="s">
        <v>1774</v>
      </c>
      <c r="C15" s="51" t="s">
        <v>1770</v>
      </c>
      <c r="D15" s="51">
        <v>94.0</v>
      </c>
      <c r="E15" s="48">
        <v>94.0</v>
      </c>
      <c r="F15" s="48">
        <v>110.0</v>
      </c>
      <c r="G15" s="48">
        <v>505.0</v>
      </c>
      <c r="H15" s="48" t="s">
        <v>164</v>
      </c>
      <c r="I15" s="48">
        <v>5.0</v>
      </c>
      <c r="J15" s="48">
        <v>200.0</v>
      </c>
      <c r="K15" s="50" t="s">
        <v>1605</v>
      </c>
      <c r="L15" s="51">
        <v>1.0</v>
      </c>
      <c r="M15" s="51" t="s">
        <v>1775</v>
      </c>
      <c r="N15" s="48">
        <v>2500.0</v>
      </c>
      <c r="O15" s="49">
        <v>54.0</v>
      </c>
      <c r="P15" s="49">
        <v>2.24</v>
      </c>
      <c r="Q15" s="176">
        <v>23.0</v>
      </c>
      <c r="R15" s="63" t="s">
        <v>166</v>
      </c>
      <c r="S15" s="48" t="s">
        <v>174</v>
      </c>
      <c r="T15" s="48" t="s">
        <v>166</v>
      </c>
      <c r="U15" s="48" t="s">
        <v>174</v>
      </c>
      <c r="V15" s="48" t="s">
        <v>166</v>
      </c>
      <c r="W15" s="177" t="s">
        <v>174</v>
      </c>
      <c r="X15" s="177" t="s">
        <v>174</v>
      </c>
      <c r="Y15" s="195"/>
      <c r="Z15" s="183"/>
      <c r="AA15" s="66"/>
      <c r="AB15" s="66"/>
      <c r="AC15" s="66"/>
      <c r="AD15" s="66"/>
      <c r="AE15" s="66"/>
      <c r="AF15" s="66"/>
      <c r="AG15" s="66"/>
      <c r="AH15" s="66"/>
      <c r="AI15" s="66"/>
    </row>
    <row r="16">
      <c r="A16" s="174" t="s">
        <v>1634</v>
      </c>
      <c r="B16" s="193" t="s">
        <v>1776</v>
      </c>
      <c r="C16" s="51" t="s">
        <v>1770</v>
      </c>
      <c r="D16" s="51">
        <v>94.0</v>
      </c>
      <c r="E16" s="48">
        <v>94.0</v>
      </c>
      <c r="F16" s="48">
        <v>110.0</v>
      </c>
      <c r="G16" s="48">
        <v>505.0</v>
      </c>
      <c r="H16" s="48" t="s">
        <v>164</v>
      </c>
      <c r="I16" s="48">
        <v>5.0</v>
      </c>
      <c r="J16" s="48">
        <v>200.0</v>
      </c>
      <c r="K16" s="50" t="s">
        <v>1605</v>
      </c>
      <c r="L16" s="51">
        <v>1.0</v>
      </c>
      <c r="M16" s="51" t="s">
        <v>1775</v>
      </c>
      <c r="N16" s="48">
        <v>2500.0</v>
      </c>
      <c r="O16" s="49">
        <v>54.0</v>
      </c>
      <c r="P16" s="49">
        <v>2.24</v>
      </c>
      <c r="Q16" s="176">
        <v>23.0</v>
      </c>
      <c r="R16" s="63" t="s">
        <v>166</v>
      </c>
      <c r="S16" s="48" t="s">
        <v>174</v>
      </c>
      <c r="T16" s="48" t="s">
        <v>166</v>
      </c>
      <c r="U16" s="48" t="s">
        <v>174</v>
      </c>
      <c r="V16" s="48" t="s">
        <v>166</v>
      </c>
      <c r="W16" s="177" t="s">
        <v>174</v>
      </c>
      <c r="X16" s="177" t="s">
        <v>174</v>
      </c>
      <c r="Y16" s="195"/>
      <c r="Z16" s="183"/>
      <c r="AA16" s="66"/>
      <c r="AB16" s="66"/>
      <c r="AC16" s="66"/>
      <c r="AD16" s="66"/>
      <c r="AE16" s="66"/>
      <c r="AF16" s="66"/>
      <c r="AG16" s="66"/>
      <c r="AH16" s="66"/>
      <c r="AI16" s="66"/>
    </row>
    <row r="17">
      <c r="A17" s="174" t="s">
        <v>1666</v>
      </c>
      <c r="B17" s="175" t="s">
        <v>1777</v>
      </c>
      <c r="C17" s="51" t="s">
        <v>1604</v>
      </c>
      <c r="D17" s="51">
        <v>165.0</v>
      </c>
      <c r="E17" s="48">
        <v>137.0</v>
      </c>
      <c r="F17" s="48">
        <v>112.0</v>
      </c>
      <c r="G17" s="48">
        <v>680.0</v>
      </c>
      <c r="H17" s="48" t="s">
        <v>164</v>
      </c>
      <c r="I17" s="48">
        <v>5.0</v>
      </c>
      <c r="J17" s="48">
        <v>160.0</v>
      </c>
      <c r="K17" s="50">
        <v>48.5</v>
      </c>
      <c r="L17" s="51">
        <v>1.0</v>
      </c>
      <c r="M17" s="51" t="s">
        <v>1778</v>
      </c>
      <c r="N17" s="48">
        <v>1400.0</v>
      </c>
      <c r="O17" s="49">
        <v>67.8</v>
      </c>
      <c r="P17" s="49">
        <v>2.1</v>
      </c>
      <c r="Q17" s="176">
        <v>24.4</v>
      </c>
      <c r="R17" s="63" t="s">
        <v>174</v>
      </c>
      <c r="S17" s="48" t="s">
        <v>174</v>
      </c>
      <c r="T17" s="48" t="s">
        <v>174</v>
      </c>
      <c r="U17" s="48" t="s">
        <v>174</v>
      </c>
      <c r="V17" s="48" t="s">
        <v>174</v>
      </c>
      <c r="W17" s="177" t="s">
        <v>170</v>
      </c>
      <c r="X17" s="177" t="s">
        <v>174</v>
      </c>
      <c r="Y17" s="195"/>
      <c r="Z17" s="183"/>
      <c r="AA17" s="66"/>
      <c r="AB17" s="66"/>
      <c r="AC17" s="66"/>
      <c r="AD17" s="66"/>
      <c r="AE17" s="66"/>
      <c r="AF17" s="66"/>
      <c r="AG17" s="66"/>
      <c r="AH17" s="66"/>
      <c r="AI17" s="66"/>
    </row>
    <row r="18">
      <c r="A18" s="174" t="s">
        <v>1603</v>
      </c>
      <c r="B18" s="175" t="s">
        <v>1779</v>
      </c>
      <c r="C18" s="51" t="s">
        <v>1604</v>
      </c>
      <c r="D18" s="51">
        <v>137.7</v>
      </c>
      <c r="E18" s="48">
        <v>123.6</v>
      </c>
      <c r="F18" s="48">
        <v>114.1</v>
      </c>
      <c r="G18" s="48" t="s">
        <v>170</v>
      </c>
      <c r="H18" s="48" t="s">
        <v>164</v>
      </c>
      <c r="I18" s="48">
        <v>4.0</v>
      </c>
      <c r="J18" s="48">
        <v>140.0</v>
      </c>
      <c r="K18" s="50" t="s">
        <v>170</v>
      </c>
      <c r="L18" s="51">
        <v>1.0</v>
      </c>
      <c r="M18" s="51" t="s">
        <v>1729</v>
      </c>
      <c r="N18" s="48">
        <v>2000.0</v>
      </c>
      <c r="O18" s="49">
        <v>58.35</v>
      </c>
      <c r="P18" s="49">
        <v>2.41</v>
      </c>
      <c r="Q18" s="176">
        <v>23.6</v>
      </c>
      <c r="R18" s="63" t="s">
        <v>174</v>
      </c>
      <c r="S18" s="48" t="s">
        <v>174</v>
      </c>
      <c r="T18" s="48" t="s">
        <v>166</v>
      </c>
      <c r="U18" s="48" t="s">
        <v>174</v>
      </c>
      <c r="V18" s="48" t="s">
        <v>166</v>
      </c>
      <c r="W18" s="177" t="s">
        <v>174</v>
      </c>
      <c r="X18" s="177" t="s">
        <v>166</v>
      </c>
      <c r="Y18" s="195"/>
      <c r="Z18" s="183"/>
      <c r="AA18" s="66"/>
      <c r="AB18" s="66"/>
      <c r="AC18" s="66"/>
      <c r="AD18" s="66"/>
      <c r="AE18" s="66"/>
      <c r="AF18" s="66"/>
      <c r="AG18" s="66"/>
      <c r="AH18" s="66"/>
      <c r="AI18" s="66"/>
    </row>
    <row r="19">
      <c r="A19" s="174" t="s">
        <v>1639</v>
      </c>
      <c r="B19" s="175" t="s">
        <v>1780</v>
      </c>
      <c r="C19" s="51" t="s">
        <v>1604</v>
      </c>
      <c r="D19" s="51">
        <v>163.0</v>
      </c>
      <c r="E19" s="48">
        <v>140.0</v>
      </c>
      <c r="F19" s="48">
        <v>115.0</v>
      </c>
      <c r="G19" s="48">
        <v>1015.0</v>
      </c>
      <c r="H19" s="48" t="s">
        <v>164</v>
      </c>
      <c r="I19" s="48">
        <v>7.0</v>
      </c>
      <c r="J19" s="182" t="s">
        <v>214</v>
      </c>
      <c r="K19" s="50">
        <v>45.0</v>
      </c>
      <c r="L19" s="51">
        <v>1.0</v>
      </c>
      <c r="M19" s="51" t="s">
        <v>1781</v>
      </c>
      <c r="N19" s="48">
        <v>1500.0</v>
      </c>
      <c r="O19" s="49">
        <f>140.2*0.589</f>
        <v>82.5778</v>
      </c>
      <c r="P19" s="49">
        <v>2.08</v>
      </c>
      <c r="Q19" s="176">
        <v>24.6</v>
      </c>
      <c r="R19" s="63" t="s">
        <v>174</v>
      </c>
      <c r="S19" s="48" t="s">
        <v>174</v>
      </c>
      <c r="T19" s="48" t="s">
        <v>166</v>
      </c>
      <c r="U19" s="48" t="s">
        <v>174</v>
      </c>
      <c r="V19" s="48" t="s">
        <v>166</v>
      </c>
      <c r="W19" s="177" t="s">
        <v>174</v>
      </c>
      <c r="X19" s="177" t="s">
        <v>174</v>
      </c>
      <c r="Y19" s="195"/>
      <c r="Z19" s="183"/>
      <c r="AA19" s="66"/>
      <c r="AB19" s="66"/>
      <c r="AC19" s="66"/>
      <c r="AD19" s="66"/>
      <c r="AE19" s="66"/>
      <c r="AF19" s="66"/>
      <c r="AG19" s="66"/>
      <c r="AH19" s="66"/>
      <c r="AI19" s="66"/>
    </row>
    <row r="20">
      <c r="A20" s="174" t="s">
        <v>1634</v>
      </c>
      <c r="B20" s="175" t="s">
        <v>1782</v>
      </c>
      <c r="C20" s="51" t="s">
        <v>1743</v>
      </c>
      <c r="D20" s="51">
        <v>77.0</v>
      </c>
      <c r="E20" s="48">
        <v>94.0</v>
      </c>
      <c r="F20" s="48">
        <v>118.0</v>
      </c>
      <c r="G20" s="48">
        <v>445.0</v>
      </c>
      <c r="H20" s="48" t="s">
        <v>164</v>
      </c>
      <c r="I20" s="48">
        <v>4.0</v>
      </c>
      <c r="J20" s="48">
        <v>165.0</v>
      </c>
      <c r="K20" s="50" t="s">
        <v>1605</v>
      </c>
      <c r="L20" s="51">
        <v>1.0</v>
      </c>
      <c r="M20" s="51" t="s">
        <v>1665</v>
      </c>
      <c r="N20" s="48">
        <v>2400.0</v>
      </c>
      <c r="O20" s="49">
        <v>43.0</v>
      </c>
      <c r="P20" s="49">
        <v>1.51</v>
      </c>
      <c r="Q20" s="176">
        <v>27.3</v>
      </c>
      <c r="R20" s="63" t="s">
        <v>166</v>
      </c>
      <c r="S20" s="48" t="s">
        <v>174</v>
      </c>
      <c r="T20" s="48" t="s">
        <v>166</v>
      </c>
      <c r="U20" s="48" t="s">
        <v>174</v>
      </c>
      <c r="V20" s="48" t="s">
        <v>166</v>
      </c>
      <c r="W20" s="177" t="s">
        <v>174</v>
      </c>
      <c r="X20" s="177" t="s">
        <v>166</v>
      </c>
      <c r="Y20" s="195"/>
      <c r="Z20" s="183"/>
      <c r="AA20" s="66"/>
      <c r="AB20" s="66"/>
      <c r="AC20" s="66"/>
      <c r="AD20" s="66"/>
      <c r="AE20" s="66"/>
      <c r="AF20" s="66"/>
      <c r="AG20" s="66"/>
      <c r="AH20" s="66"/>
      <c r="AI20" s="66"/>
    </row>
    <row r="21">
      <c r="A21" s="174" t="s">
        <v>1634</v>
      </c>
      <c r="B21" s="175" t="s">
        <v>1783</v>
      </c>
      <c r="C21" s="51" t="s">
        <v>1743</v>
      </c>
      <c r="D21" s="51">
        <v>77.0</v>
      </c>
      <c r="E21" s="48">
        <v>94.0</v>
      </c>
      <c r="F21" s="48">
        <v>118.0</v>
      </c>
      <c r="G21" s="48">
        <v>470.0</v>
      </c>
      <c r="H21" s="48" t="s">
        <v>164</v>
      </c>
      <c r="I21" s="48">
        <v>4.0</v>
      </c>
      <c r="J21" s="48">
        <v>165.0</v>
      </c>
      <c r="K21" s="50" t="s">
        <v>1605</v>
      </c>
      <c r="L21" s="51">
        <v>1.0</v>
      </c>
      <c r="M21" s="51" t="s">
        <v>1665</v>
      </c>
      <c r="N21" s="48">
        <v>2200.0</v>
      </c>
      <c r="O21" s="49">
        <v>32.77</v>
      </c>
      <c r="P21" s="49">
        <v>1.98</v>
      </c>
      <c r="Q21" s="176">
        <v>23.85</v>
      </c>
      <c r="R21" s="63" t="s">
        <v>166</v>
      </c>
      <c r="S21" s="48" t="s">
        <v>174</v>
      </c>
      <c r="T21" s="48" t="s">
        <v>166</v>
      </c>
      <c r="U21" s="48" t="s">
        <v>174</v>
      </c>
      <c r="V21" s="48" t="s">
        <v>166</v>
      </c>
      <c r="W21" s="177" t="s">
        <v>174</v>
      </c>
      <c r="X21" s="177" t="s">
        <v>166</v>
      </c>
      <c r="Y21" s="195"/>
      <c r="Z21" s="183"/>
      <c r="AA21" s="66"/>
      <c r="AB21" s="66"/>
      <c r="AC21" s="66"/>
      <c r="AD21" s="66"/>
      <c r="AE21" s="66"/>
      <c r="AF21" s="66"/>
      <c r="AG21" s="66"/>
      <c r="AH21" s="66"/>
      <c r="AI21" s="66"/>
    </row>
    <row r="22">
      <c r="A22" s="174" t="s">
        <v>1634</v>
      </c>
      <c r="B22" s="175" t="s">
        <v>1784</v>
      </c>
      <c r="C22" s="51" t="s">
        <v>1743</v>
      </c>
      <c r="D22" s="51">
        <v>77.0</v>
      </c>
      <c r="E22" s="48">
        <v>94.0</v>
      </c>
      <c r="F22" s="48">
        <v>118.0</v>
      </c>
      <c r="G22" s="48">
        <v>470.0</v>
      </c>
      <c r="H22" s="48" t="s">
        <v>164</v>
      </c>
      <c r="I22" s="48">
        <v>4.0</v>
      </c>
      <c r="J22" s="48">
        <v>165.0</v>
      </c>
      <c r="K22" s="50" t="s">
        <v>1605</v>
      </c>
      <c r="L22" s="51">
        <v>1.0</v>
      </c>
      <c r="M22" s="51" t="s">
        <v>1665</v>
      </c>
      <c r="N22" s="48">
        <v>2200.0</v>
      </c>
      <c r="O22" s="49">
        <v>32.77</v>
      </c>
      <c r="P22" s="49">
        <v>1.98</v>
      </c>
      <c r="Q22" s="176">
        <v>23.85</v>
      </c>
      <c r="R22" s="63" t="s">
        <v>166</v>
      </c>
      <c r="S22" s="48" t="s">
        <v>174</v>
      </c>
      <c r="T22" s="48" t="s">
        <v>166</v>
      </c>
      <c r="U22" s="48" t="s">
        <v>174</v>
      </c>
      <c r="V22" s="48" t="s">
        <v>166</v>
      </c>
      <c r="W22" s="177" t="s">
        <v>174</v>
      </c>
      <c r="X22" s="177" t="s">
        <v>166</v>
      </c>
      <c r="Y22" s="195"/>
      <c r="Z22" s="183"/>
      <c r="AA22" s="66"/>
      <c r="AB22" s="66"/>
      <c r="AC22" s="66"/>
      <c r="AD22" s="66"/>
      <c r="AE22" s="66"/>
      <c r="AF22" s="66"/>
      <c r="AG22" s="66"/>
      <c r="AH22" s="66"/>
      <c r="AI22" s="66"/>
    </row>
    <row r="23">
      <c r="A23" s="174" t="s">
        <v>1611</v>
      </c>
      <c r="B23" s="175" t="s">
        <v>1785</v>
      </c>
      <c r="C23" s="51" t="s">
        <v>1743</v>
      </c>
      <c r="D23" s="51">
        <v>78.0</v>
      </c>
      <c r="E23" s="48">
        <v>93.0</v>
      </c>
      <c r="F23" s="48">
        <v>123.0</v>
      </c>
      <c r="G23" s="48">
        <v>580.0</v>
      </c>
      <c r="H23" s="48" t="s">
        <v>164</v>
      </c>
      <c r="I23" s="48">
        <v>4.0</v>
      </c>
      <c r="J23" s="48">
        <v>180.0</v>
      </c>
      <c r="K23" s="50" t="s">
        <v>1605</v>
      </c>
      <c r="L23" s="51">
        <v>1.0</v>
      </c>
      <c r="M23" s="51" t="s">
        <v>1665</v>
      </c>
      <c r="N23" s="48">
        <v>2000.0</v>
      </c>
      <c r="O23" s="49">
        <v>45.8</v>
      </c>
      <c r="P23" s="49">
        <v>1.94</v>
      </c>
      <c r="Q23" s="176">
        <v>25.8</v>
      </c>
      <c r="R23" s="63" t="s">
        <v>166</v>
      </c>
      <c r="S23" s="48" t="s">
        <v>174</v>
      </c>
      <c r="T23" s="48" t="s">
        <v>166</v>
      </c>
      <c r="U23" s="48" t="s">
        <v>174</v>
      </c>
      <c r="V23" s="48" t="s">
        <v>166</v>
      </c>
      <c r="W23" s="177" t="s">
        <v>174</v>
      </c>
      <c r="X23" s="177" t="s">
        <v>166</v>
      </c>
      <c r="Y23" s="195"/>
      <c r="Z23" s="183"/>
      <c r="AA23" s="66"/>
      <c r="AB23" s="66"/>
      <c r="AC23" s="66"/>
      <c r="AD23" s="66"/>
      <c r="AE23" s="66"/>
      <c r="AF23" s="66"/>
      <c r="AG23" s="66"/>
      <c r="AH23" s="66"/>
      <c r="AI23" s="66"/>
    </row>
    <row r="24">
      <c r="A24" s="174" t="s">
        <v>1630</v>
      </c>
      <c r="B24" s="175" t="s">
        <v>1786</v>
      </c>
      <c r="C24" s="51" t="s">
        <v>1743</v>
      </c>
      <c r="D24" s="51">
        <v>92.0</v>
      </c>
      <c r="E24" s="48">
        <v>92.0</v>
      </c>
      <c r="F24" s="48">
        <v>125.0</v>
      </c>
      <c r="G24" s="48">
        <v>610.0</v>
      </c>
      <c r="H24" s="48" t="s">
        <v>164</v>
      </c>
      <c r="I24" s="48">
        <v>6.0</v>
      </c>
      <c r="J24" s="48">
        <v>210.0</v>
      </c>
      <c r="K24" s="50" t="s">
        <v>1605</v>
      </c>
      <c r="L24" s="51">
        <v>1.0</v>
      </c>
      <c r="M24" s="51" t="s">
        <v>1665</v>
      </c>
      <c r="N24" s="48">
        <v>2300.0</v>
      </c>
      <c r="O24" s="49">
        <v>45.52</v>
      </c>
      <c r="P24" s="49">
        <v>2.73</v>
      </c>
      <c r="Q24" s="176">
        <v>31.6</v>
      </c>
      <c r="R24" s="63" t="s">
        <v>166</v>
      </c>
      <c r="S24" s="48" t="s">
        <v>174</v>
      </c>
      <c r="T24" s="48" t="s">
        <v>166</v>
      </c>
      <c r="U24" s="48" t="s">
        <v>174</v>
      </c>
      <c r="V24" s="48" t="s">
        <v>166</v>
      </c>
      <c r="W24" s="177" t="s">
        <v>174</v>
      </c>
      <c r="X24" s="177" t="s">
        <v>174</v>
      </c>
      <c r="Y24" s="195"/>
      <c r="Z24" s="183"/>
      <c r="AA24" s="66"/>
      <c r="AB24" s="66"/>
      <c r="AC24" s="66"/>
      <c r="AD24" s="66"/>
      <c r="AE24" s="66"/>
      <c r="AF24" s="66"/>
      <c r="AG24" s="66"/>
      <c r="AH24" s="66"/>
      <c r="AI24" s="66"/>
    </row>
    <row r="25">
      <c r="A25" s="174" t="s">
        <v>1630</v>
      </c>
      <c r="B25" s="175" t="s">
        <v>1787</v>
      </c>
      <c r="C25" s="51" t="s">
        <v>1743</v>
      </c>
      <c r="D25" s="51">
        <v>92.0</v>
      </c>
      <c r="E25" s="48">
        <v>92.0</v>
      </c>
      <c r="F25" s="48">
        <v>125.0</v>
      </c>
      <c r="G25" s="48">
        <v>610.0</v>
      </c>
      <c r="H25" s="48" t="s">
        <v>164</v>
      </c>
      <c r="I25" s="48">
        <v>6.0</v>
      </c>
      <c r="J25" s="48">
        <v>210.0</v>
      </c>
      <c r="K25" s="50" t="s">
        <v>1605</v>
      </c>
      <c r="L25" s="51">
        <v>1.0</v>
      </c>
      <c r="M25" s="51" t="s">
        <v>1665</v>
      </c>
      <c r="N25" s="48">
        <v>2300.0</v>
      </c>
      <c r="O25" s="49">
        <v>45.52</v>
      </c>
      <c r="P25" s="49">
        <v>2.73</v>
      </c>
      <c r="Q25" s="176">
        <v>31.6</v>
      </c>
      <c r="R25" s="63" t="s">
        <v>166</v>
      </c>
      <c r="S25" s="48" t="s">
        <v>174</v>
      </c>
      <c r="T25" s="48" t="s">
        <v>166</v>
      </c>
      <c r="U25" s="48" t="s">
        <v>174</v>
      </c>
      <c r="V25" s="48" t="s">
        <v>166</v>
      </c>
      <c r="W25" s="177" t="s">
        <v>174</v>
      </c>
      <c r="X25" s="177" t="s">
        <v>174</v>
      </c>
      <c r="Y25" s="195"/>
      <c r="Z25" s="183"/>
      <c r="AA25" s="66"/>
      <c r="AB25" s="66"/>
      <c r="AC25" s="66"/>
      <c r="AD25" s="66"/>
      <c r="AE25" s="66"/>
      <c r="AF25" s="66"/>
      <c r="AG25" s="66"/>
      <c r="AH25" s="66"/>
      <c r="AI25" s="66"/>
    </row>
    <row r="26">
      <c r="A26" s="174" t="s">
        <v>1639</v>
      </c>
      <c r="B26" s="175" t="s">
        <v>1788</v>
      </c>
      <c r="C26" s="51" t="s">
        <v>1743</v>
      </c>
      <c r="D26" s="51">
        <v>95.0</v>
      </c>
      <c r="E26" s="48">
        <v>95.0</v>
      </c>
      <c r="F26" s="48">
        <v>125.0</v>
      </c>
      <c r="G26" s="48">
        <v>618.0</v>
      </c>
      <c r="H26" s="48" t="s">
        <v>164</v>
      </c>
      <c r="I26" s="48">
        <v>5.0</v>
      </c>
      <c r="J26" s="182" t="s">
        <v>214</v>
      </c>
      <c r="K26" s="50" t="s">
        <v>1605</v>
      </c>
      <c r="L26" s="51">
        <v>1.0</v>
      </c>
      <c r="M26" s="51" t="s">
        <v>1665</v>
      </c>
      <c r="N26" s="48">
        <v>2000.0</v>
      </c>
      <c r="O26" s="49">
        <f t="shared" ref="O26:O27" si="2">78.9*0.589</f>
        <v>46.4721</v>
      </c>
      <c r="P26" s="49">
        <v>2.28</v>
      </c>
      <c r="Q26" s="176">
        <v>22.8</v>
      </c>
      <c r="R26" s="63" t="s">
        <v>174</v>
      </c>
      <c r="S26" s="48" t="s">
        <v>174</v>
      </c>
      <c r="T26" s="48" t="s">
        <v>166</v>
      </c>
      <c r="U26" s="48" t="s">
        <v>174</v>
      </c>
      <c r="V26" s="48" t="s">
        <v>166</v>
      </c>
      <c r="W26" s="177" t="s">
        <v>174</v>
      </c>
      <c r="X26" s="177" t="s">
        <v>174</v>
      </c>
      <c r="Y26" s="195"/>
      <c r="Z26" s="183"/>
      <c r="AA26" s="66"/>
      <c r="AB26" s="66"/>
      <c r="AC26" s="66"/>
      <c r="AD26" s="66"/>
      <c r="AE26" s="66"/>
      <c r="AF26" s="66"/>
      <c r="AG26" s="66"/>
      <c r="AH26" s="66"/>
      <c r="AI26" s="66"/>
    </row>
    <row r="27">
      <c r="A27" s="174" t="s">
        <v>1639</v>
      </c>
      <c r="B27" s="175" t="s">
        <v>1789</v>
      </c>
      <c r="C27" s="51" t="s">
        <v>1743</v>
      </c>
      <c r="D27" s="51">
        <v>95.0</v>
      </c>
      <c r="E27" s="48">
        <v>95.0</v>
      </c>
      <c r="F27" s="48">
        <v>125.0</v>
      </c>
      <c r="G27" s="48">
        <v>618.0</v>
      </c>
      <c r="H27" s="48" t="s">
        <v>164</v>
      </c>
      <c r="I27" s="48">
        <v>5.0</v>
      </c>
      <c r="J27" s="182" t="s">
        <v>214</v>
      </c>
      <c r="K27" s="50" t="s">
        <v>1605</v>
      </c>
      <c r="L27" s="51">
        <v>1.0</v>
      </c>
      <c r="M27" s="51" t="s">
        <v>1665</v>
      </c>
      <c r="N27" s="48">
        <v>2000.0</v>
      </c>
      <c r="O27" s="49">
        <f t="shared" si="2"/>
        <v>46.4721</v>
      </c>
      <c r="P27" s="49">
        <v>2.28</v>
      </c>
      <c r="Q27" s="176">
        <v>22.8</v>
      </c>
      <c r="R27" s="63" t="s">
        <v>174</v>
      </c>
      <c r="S27" s="48" t="s">
        <v>174</v>
      </c>
      <c r="T27" s="48" t="s">
        <v>166</v>
      </c>
      <c r="U27" s="48" t="s">
        <v>174</v>
      </c>
      <c r="V27" s="48" t="s">
        <v>166</v>
      </c>
      <c r="W27" s="177" t="s">
        <v>174</v>
      </c>
      <c r="X27" s="177" t="s">
        <v>174</v>
      </c>
      <c r="Y27" s="195"/>
      <c r="Z27" s="183"/>
      <c r="AA27" s="66"/>
      <c r="AB27" s="66"/>
      <c r="AC27" s="66"/>
      <c r="AD27" s="66"/>
      <c r="AE27" s="66"/>
      <c r="AF27" s="66"/>
      <c r="AG27" s="66"/>
      <c r="AH27" s="66"/>
      <c r="AI27" s="66"/>
    </row>
    <row r="28">
      <c r="A28" s="174" t="s">
        <v>1634</v>
      </c>
      <c r="B28" s="175" t="s">
        <v>1790</v>
      </c>
      <c r="C28" s="51" t="s">
        <v>1743</v>
      </c>
      <c r="D28" s="51">
        <v>77.0</v>
      </c>
      <c r="E28" s="48">
        <v>94.0</v>
      </c>
      <c r="F28" s="48">
        <v>125.0</v>
      </c>
      <c r="G28" s="48">
        <v>530.0</v>
      </c>
      <c r="H28" s="48" t="s">
        <v>164</v>
      </c>
      <c r="I28" s="48">
        <v>5.0</v>
      </c>
      <c r="J28" s="48">
        <v>200.0</v>
      </c>
      <c r="K28" s="50" t="s">
        <v>1605</v>
      </c>
      <c r="L28" s="51">
        <v>1.0</v>
      </c>
      <c r="M28" s="51" t="s">
        <v>1665</v>
      </c>
      <c r="N28" s="48">
        <v>2500.0</v>
      </c>
      <c r="O28" s="49">
        <v>44.0</v>
      </c>
      <c r="P28" s="49">
        <v>1.43</v>
      </c>
      <c r="Q28" s="176">
        <v>27.3</v>
      </c>
      <c r="R28" s="63" t="s">
        <v>166</v>
      </c>
      <c r="S28" s="48" t="s">
        <v>174</v>
      </c>
      <c r="T28" s="48" t="s">
        <v>166</v>
      </c>
      <c r="U28" s="48" t="s">
        <v>174</v>
      </c>
      <c r="V28" s="48" t="s">
        <v>166</v>
      </c>
      <c r="W28" s="177" t="s">
        <v>170</v>
      </c>
      <c r="X28" s="177" t="s">
        <v>174</v>
      </c>
      <c r="Y28" s="195"/>
      <c r="Z28" s="183"/>
      <c r="AA28" s="66"/>
      <c r="AB28" s="66"/>
      <c r="AC28" s="66"/>
      <c r="AD28" s="66"/>
      <c r="AE28" s="66"/>
      <c r="AF28" s="66"/>
      <c r="AG28" s="66"/>
      <c r="AH28" s="66"/>
      <c r="AI28" s="66"/>
    </row>
    <row r="29">
      <c r="A29" s="174" t="s">
        <v>1611</v>
      </c>
      <c r="B29" s="175" t="s">
        <v>1791</v>
      </c>
      <c r="C29" s="51" t="s">
        <v>1743</v>
      </c>
      <c r="D29" s="51">
        <v>86.6</v>
      </c>
      <c r="E29" s="48">
        <v>103.7</v>
      </c>
      <c r="F29" s="48">
        <v>126.0</v>
      </c>
      <c r="G29" s="48">
        <v>650.0</v>
      </c>
      <c r="H29" s="48" t="s">
        <v>164</v>
      </c>
      <c r="I29" s="48">
        <v>4.0</v>
      </c>
      <c r="J29" s="48">
        <v>150.0</v>
      </c>
      <c r="K29" s="50" t="s">
        <v>1605</v>
      </c>
      <c r="L29" s="51">
        <v>1.0</v>
      </c>
      <c r="M29" s="51" t="s">
        <v>1665</v>
      </c>
      <c r="N29" s="48">
        <v>2200.0</v>
      </c>
      <c r="O29" s="49">
        <v>45.8</v>
      </c>
      <c r="P29" s="49" t="s">
        <v>170</v>
      </c>
      <c r="Q29" s="176">
        <v>25.8</v>
      </c>
      <c r="R29" s="63" t="s">
        <v>166</v>
      </c>
      <c r="S29" s="48" t="s">
        <v>174</v>
      </c>
      <c r="T29" s="48" t="s">
        <v>166</v>
      </c>
      <c r="U29" s="48" t="s">
        <v>174</v>
      </c>
      <c r="V29" s="48" t="s">
        <v>166</v>
      </c>
      <c r="W29" s="177" t="s">
        <v>174</v>
      </c>
      <c r="X29" s="177" t="s">
        <v>174</v>
      </c>
      <c r="Y29" s="195"/>
      <c r="Z29" s="183"/>
      <c r="AA29" s="66"/>
      <c r="AB29" s="66"/>
      <c r="AC29" s="66"/>
      <c r="AD29" s="66"/>
      <c r="AE29" s="66"/>
      <c r="AF29" s="66"/>
      <c r="AG29" s="66"/>
      <c r="AH29" s="66"/>
      <c r="AI29" s="66"/>
    </row>
    <row r="30">
      <c r="A30" s="174" t="s">
        <v>1630</v>
      </c>
      <c r="B30" s="175" t="s">
        <v>1792</v>
      </c>
      <c r="C30" s="51" t="s">
        <v>1743</v>
      </c>
      <c r="D30" s="51">
        <v>78.0</v>
      </c>
      <c r="E30" s="48">
        <v>93.0</v>
      </c>
      <c r="F30" s="48">
        <v>126.0</v>
      </c>
      <c r="G30" s="48">
        <v>450.0</v>
      </c>
      <c r="H30" s="48" t="s">
        <v>164</v>
      </c>
      <c r="I30" s="48">
        <v>4.0</v>
      </c>
      <c r="J30" s="48" t="s">
        <v>170</v>
      </c>
      <c r="K30" s="50" t="s">
        <v>1605</v>
      </c>
      <c r="L30" s="51">
        <v>1.0</v>
      </c>
      <c r="M30" s="51" t="s">
        <v>1665</v>
      </c>
      <c r="N30" s="48">
        <v>2300.0</v>
      </c>
      <c r="O30" s="49">
        <v>36.0</v>
      </c>
      <c r="P30" s="49" t="s">
        <v>170</v>
      </c>
      <c r="Q30" s="176">
        <v>30.5</v>
      </c>
      <c r="R30" s="63" t="s">
        <v>166</v>
      </c>
      <c r="S30" s="48" t="s">
        <v>174</v>
      </c>
      <c r="T30" s="48" t="s">
        <v>166</v>
      </c>
      <c r="U30" s="48" t="s">
        <v>174</v>
      </c>
      <c r="V30" s="48" t="s">
        <v>166</v>
      </c>
      <c r="W30" s="177" t="s">
        <v>174</v>
      </c>
      <c r="X30" s="177" t="s">
        <v>166</v>
      </c>
      <c r="Y30" s="195"/>
      <c r="Z30" s="183"/>
      <c r="AA30" s="66"/>
      <c r="AB30" s="66"/>
      <c r="AC30" s="66"/>
      <c r="AD30" s="66"/>
      <c r="AE30" s="66"/>
      <c r="AF30" s="66"/>
      <c r="AG30" s="66"/>
      <c r="AH30" s="66"/>
      <c r="AI30" s="66"/>
    </row>
    <row r="31">
      <c r="A31" s="174" t="s">
        <v>1630</v>
      </c>
      <c r="B31" s="175" t="s">
        <v>1793</v>
      </c>
      <c r="C31" s="51" t="s">
        <v>1743</v>
      </c>
      <c r="D31" s="51">
        <v>78.0</v>
      </c>
      <c r="E31" s="48">
        <v>93.0</v>
      </c>
      <c r="F31" s="48">
        <v>126.0</v>
      </c>
      <c r="G31" s="48">
        <v>450.0</v>
      </c>
      <c r="H31" s="48" t="s">
        <v>164</v>
      </c>
      <c r="I31" s="48">
        <v>4.0</v>
      </c>
      <c r="J31" s="48" t="s">
        <v>170</v>
      </c>
      <c r="K31" s="50" t="s">
        <v>1605</v>
      </c>
      <c r="L31" s="51">
        <v>1.0</v>
      </c>
      <c r="M31" s="51" t="s">
        <v>1665</v>
      </c>
      <c r="N31" s="48">
        <v>2300.0</v>
      </c>
      <c r="O31" s="49">
        <v>36.0</v>
      </c>
      <c r="P31" s="49" t="s">
        <v>170</v>
      </c>
      <c r="Q31" s="176">
        <v>30.5</v>
      </c>
      <c r="R31" s="63" t="s">
        <v>166</v>
      </c>
      <c r="S31" s="48" t="s">
        <v>174</v>
      </c>
      <c r="T31" s="48" t="s">
        <v>166</v>
      </c>
      <c r="U31" s="48" t="s">
        <v>174</v>
      </c>
      <c r="V31" s="48" t="s">
        <v>166</v>
      </c>
      <c r="W31" s="177" t="s">
        <v>174</v>
      </c>
      <c r="X31" s="177" t="s">
        <v>166</v>
      </c>
      <c r="Y31" s="195"/>
      <c r="Z31" s="183"/>
      <c r="AA31" s="66"/>
      <c r="AB31" s="66"/>
      <c r="AC31" s="66"/>
      <c r="AD31" s="66"/>
      <c r="AE31" s="66"/>
      <c r="AF31" s="66"/>
      <c r="AG31" s="66"/>
      <c r="AH31" s="66"/>
      <c r="AI31" s="66"/>
    </row>
    <row r="32">
      <c r="A32" s="174" t="s">
        <v>1630</v>
      </c>
      <c r="B32" s="175" t="s">
        <v>1794</v>
      </c>
      <c r="C32" s="51" t="s">
        <v>1743</v>
      </c>
      <c r="D32" s="51">
        <v>78.0</v>
      </c>
      <c r="E32" s="48">
        <v>93.0</v>
      </c>
      <c r="F32" s="48">
        <v>126.0</v>
      </c>
      <c r="G32" s="48">
        <v>450.0</v>
      </c>
      <c r="H32" s="48" t="s">
        <v>164</v>
      </c>
      <c r="I32" s="48">
        <v>4.0</v>
      </c>
      <c r="J32" s="48" t="s">
        <v>170</v>
      </c>
      <c r="K32" s="50" t="s">
        <v>1605</v>
      </c>
      <c r="L32" s="51">
        <v>1.0</v>
      </c>
      <c r="M32" s="51" t="s">
        <v>1665</v>
      </c>
      <c r="N32" s="48">
        <v>2300.0</v>
      </c>
      <c r="O32" s="49">
        <v>36.0</v>
      </c>
      <c r="P32" s="49" t="s">
        <v>170</v>
      </c>
      <c r="Q32" s="176">
        <v>30.5</v>
      </c>
      <c r="R32" s="63" t="s">
        <v>166</v>
      </c>
      <c r="S32" s="48" t="s">
        <v>174</v>
      </c>
      <c r="T32" s="48" t="s">
        <v>166</v>
      </c>
      <c r="U32" s="48" t="s">
        <v>174</v>
      </c>
      <c r="V32" s="48" t="s">
        <v>166</v>
      </c>
      <c r="W32" s="177" t="s">
        <v>174</v>
      </c>
      <c r="X32" s="177" t="s">
        <v>166</v>
      </c>
      <c r="Y32" s="195"/>
      <c r="Z32" s="183"/>
      <c r="AA32" s="66"/>
      <c r="AB32" s="66"/>
      <c r="AC32" s="66"/>
      <c r="AD32" s="66"/>
      <c r="AE32" s="66"/>
      <c r="AF32" s="66"/>
      <c r="AG32" s="66"/>
      <c r="AH32" s="66"/>
      <c r="AI32" s="66"/>
    </row>
    <row r="33">
      <c r="A33" s="174" t="s">
        <v>1630</v>
      </c>
      <c r="B33" s="175" t="s">
        <v>1795</v>
      </c>
      <c r="C33" s="51" t="s">
        <v>1743</v>
      </c>
      <c r="D33" s="51">
        <v>78.0</v>
      </c>
      <c r="E33" s="48">
        <v>93.0</v>
      </c>
      <c r="F33" s="48">
        <v>126.0</v>
      </c>
      <c r="G33" s="48">
        <v>450.0</v>
      </c>
      <c r="H33" s="48" t="s">
        <v>164</v>
      </c>
      <c r="I33" s="48">
        <v>4.0</v>
      </c>
      <c r="J33" s="48" t="s">
        <v>170</v>
      </c>
      <c r="K33" s="50" t="s">
        <v>1605</v>
      </c>
      <c r="L33" s="51">
        <v>1.0</v>
      </c>
      <c r="M33" s="51" t="s">
        <v>1665</v>
      </c>
      <c r="N33" s="48">
        <v>2300.0</v>
      </c>
      <c r="O33" s="49">
        <v>36.0</v>
      </c>
      <c r="P33" s="49" t="s">
        <v>170</v>
      </c>
      <c r="Q33" s="176">
        <v>30.5</v>
      </c>
      <c r="R33" s="63" t="s">
        <v>166</v>
      </c>
      <c r="S33" s="48" t="s">
        <v>174</v>
      </c>
      <c r="T33" s="48" t="s">
        <v>166</v>
      </c>
      <c r="U33" s="48" t="s">
        <v>174</v>
      </c>
      <c r="V33" s="48" t="s">
        <v>166</v>
      </c>
      <c r="W33" s="177" t="s">
        <v>174</v>
      </c>
      <c r="X33" s="177" t="s">
        <v>166</v>
      </c>
      <c r="Y33" s="195"/>
      <c r="Z33" s="183"/>
      <c r="AA33" s="66"/>
      <c r="AB33" s="66"/>
      <c r="AC33" s="66"/>
      <c r="AD33" s="66"/>
      <c r="AE33" s="66"/>
      <c r="AF33" s="66"/>
      <c r="AG33" s="66"/>
      <c r="AH33" s="66"/>
      <c r="AI33" s="66"/>
    </row>
    <row r="34">
      <c r="A34" s="174" t="s">
        <v>1630</v>
      </c>
      <c r="B34" s="175" t="s">
        <v>1796</v>
      </c>
      <c r="C34" s="51" t="s">
        <v>1743</v>
      </c>
      <c r="D34" s="51">
        <v>67.0</v>
      </c>
      <c r="E34" s="48">
        <v>93.0</v>
      </c>
      <c r="F34" s="48">
        <v>128.0</v>
      </c>
      <c r="G34" s="48">
        <v>310.0</v>
      </c>
      <c r="H34" s="48" t="s">
        <v>164</v>
      </c>
      <c r="I34" s="48">
        <v>2.0</v>
      </c>
      <c r="J34" s="48" t="s">
        <v>170</v>
      </c>
      <c r="K34" s="50" t="s">
        <v>1605</v>
      </c>
      <c r="L34" s="51">
        <v>1.0</v>
      </c>
      <c r="M34" s="51" t="s">
        <v>1665</v>
      </c>
      <c r="N34" s="48">
        <v>2300.0</v>
      </c>
      <c r="O34" s="49">
        <v>36.0</v>
      </c>
      <c r="P34" s="49" t="s">
        <v>170</v>
      </c>
      <c r="Q34" s="176">
        <v>30.5</v>
      </c>
      <c r="R34" s="63" t="s">
        <v>166</v>
      </c>
      <c r="S34" s="48" t="s">
        <v>174</v>
      </c>
      <c r="T34" s="48" t="s">
        <v>166</v>
      </c>
      <c r="U34" s="48" t="s">
        <v>174</v>
      </c>
      <c r="V34" s="48" t="s">
        <v>166</v>
      </c>
      <c r="W34" s="177" t="s">
        <v>174</v>
      </c>
      <c r="X34" s="177" t="s">
        <v>166</v>
      </c>
      <c r="Y34" s="195"/>
      <c r="Z34" s="183"/>
      <c r="AA34" s="66"/>
      <c r="AB34" s="66"/>
      <c r="AC34" s="66"/>
      <c r="AD34" s="66"/>
      <c r="AE34" s="66"/>
      <c r="AF34" s="66"/>
      <c r="AG34" s="66"/>
      <c r="AH34" s="66"/>
      <c r="AI34" s="66"/>
    </row>
    <row r="35">
      <c r="A35" s="174" t="s">
        <v>1630</v>
      </c>
      <c r="B35" s="175" t="s">
        <v>1797</v>
      </c>
      <c r="C35" s="51" t="s">
        <v>1743</v>
      </c>
      <c r="D35" s="51">
        <v>63.0</v>
      </c>
      <c r="E35" s="48">
        <v>93.0</v>
      </c>
      <c r="F35" s="48">
        <v>128.0</v>
      </c>
      <c r="G35" s="48">
        <v>350.0</v>
      </c>
      <c r="H35" s="48" t="s">
        <v>164</v>
      </c>
      <c r="I35" s="48">
        <v>2.0</v>
      </c>
      <c r="J35" s="48" t="s">
        <v>170</v>
      </c>
      <c r="K35" s="50" t="s">
        <v>1605</v>
      </c>
      <c r="L35" s="51">
        <v>1.0</v>
      </c>
      <c r="M35" s="51" t="s">
        <v>1665</v>
      </c>
      <c r="N35" s="48">
        <v>2000.0</v>
      </c>
      <c r="O35" s="49">
        <v>36.0</v>
      </c>
      <c r="P35" s="49" t="s">
        <v>170</v>
      </c>
      <c r="Q35" s="176">
        <v>26.5</v>
      </c>
      <c r="R35" s="63" t="s">
        <v>166</v>
      </c>
      <c r="S35" s="48" t="s">
        <v>174</v>
      </c>
      <c r="T35" s="48" t="s">
        <v>166</v>
      </c>
      <c r="U35" s="48" t="s">
        <v>174</v>
      </c>
      <c r="V35" s="48" t="s">
        <v>166</v>
      </c>
      <c r="W35" s="177" t="s">
        <v>174</v>
      </c>
      <c r="X35" s="177" t="s">
        <v>166</v>
      </c>
      <c r="Y35" s="195"/>
      <c r="Z35" s="183"/>
      <c r="AA35" s="66"/>
      <c r="AB35" s="66"/>
      <c r="AC35" s="66"/>
      <c r="AD35" s="66"/>
      <c r="AE35" s="66"/>
      <c r="AF35" s="66"/>
      <c r="AG35" s="66"/>
      <c r="AH35" s="66"/>
      <c r="AI35" s="66"/>
    </row>
    <row r="36">
      <c r="A36" s="174" t="s">
        <v>1630</v>
      </c>
      <c r="B36" s="175" t="s">
        <v>1798</v>
      </c>
      <c r="C36" s="51" t="s">
        <v>1743</v>
      </c>
      <c r="D36" s="51">
        <v>63.0</v>
      </c>
      <c r="E36" s="48">
        <v>93.0</v>
      </c>
      <c r="F36" s="48">
        <v>128.0</v>
      </c>
      <c r="G36" s="48">
        <v>380.0</v>
      </c>
      <c r="H36" s="48" t="s">
        <v>164</v>
      </c>
      <c r="I36" s="48">
        <v>3.0</v>
      </c>
      <c r="J36" s="48" t="s">
        <v>170</v>
      </c>
      <c r="K36" s="50" t="s">
        <v>1605</v>
      </c>
      <c r="L36" s="51">
        <v>1.0</v>
      </c>
      <c r="M36" s="51" t="s">
        <v>1665</v>
      </c>
      <c r="N36" s="48">
        <v>2300.0</v>
      </c>
      <c r="O36" s="49">
        <v>36.0</v>
      </c>
      <c r="P36" s="49" t="s">
        <v>170</v>
      </c>
      <c r="Q36" s="176">
        <v>30.5</v>
      </c>
      <c r="R36" s="63" t="s">
        <v>166</v>
      </c>
      <c r="S36" s="48" t="s">
        <v>174</v>
      </c>
      <c r="T36" s="48" t="s">
        <v>166</v>
      </c>
      <c r="U36" s="48" t="s">
        <v>174</v>
      </c>
      <c r="V36" s="48" t="s">
        <v>166</v>
      </c>
      <c r="W36" s="177" t="s">
        <v>174</v>
      </c>
      <c r="X36" s="177" t="s">
        <v>166</v>
      </c>
      <c r="Y36" s="195"/>
      <c r="Z36" s="183"/>
      <c r="AA36" s="66"/>
      <c r="AB36" s="66"/>
      <c r="AC36" s="66"/>
      <c r="AD36" s="66"/>
      <c r="AE36" s="66"/>
      <c r="AF36" s="66"/>
      <c r="AG36" s="66"/>
      <c r="AH36" s="66"/>
      <c r="AI36" s="66"/>
    </row>
    <row r="37">
      <c r="A37" s="174" t="s">
        <v>1630</v>
      </c>
      <c r="B37" s="175" t="s">
        <v>1799</v>
      </c>
      <c r="C37" s="51" t="s">
        <v>1743</v>
      </c>
      <c r="D37" s="51">
        <v>70.0</v>
      </c>
      <c r="E37" s="48">
        <v>92.0</v>
      </c>
      <c r="F37" s="48">
        <v>130.0</v>
      </c>
      <c r="G37" s="48">
        <v>341.0</v>
      </c>
      <c r="H37" s="48" t="s">
        <v>164</v>
      </c>
      <c r="I37" s="48">
        <v>4.0</v>
      </c>
      <c r="J37" s="48">
        <v>180.0</v>
      </c>
      <c r="K37" s="50" t="s">
        <v>1605</v>
      </c>
      <c r="L37" s="51">
        <v>1.0</v>
      </c>
      <c r="M37" s="51" t="s">
        <v>1665</v>
      </c>
      <c r="N37" s="48">
        <v>2200.0</v>
      </c>
      <c r="O37" s="49">
        <v>38.2</v>
      </c>
      <c r="P37" s="49">
        <v>2.0</v>
      </c>
      <c r="Q37" s="176">
        <v>33.8</v>
      </c>
      <c r="R37" s="63" t="s">
        <v>166</v>
      </c>
      <c r="S37" s="48" t="s">
        <v>174</v>
      </c>
      <c r="T37" s="48" t="s">
        <v>166</v>
      </c>
      <c r="U37" s="48" t="s">
        <v>174</v>
      </c>
      <c r="V37" s="48" t="s">
        <v>166</v>
      </c>
      <c r="W37" s="177" t="s">
        <v>174</v>
      </c>
      <c r="X37" s="177" t="s">
        <v>166</v>
      </c>
      <c r="Y37" s="195"/>
      <c r="Z37" s="183"/>
      <c r="AA37" s="66"/>
      <c r="AB37" s="66"/>
      <c r="AC37" s="66"/>
      <c r="AD37" s="66"/>
      <c r="AE37" s="66"/>
      <c r="AF37" s="66"/>
      <c r="AG37" s="66"/>
      <c r="AH37" s="66"/>
      <c r="AI37" s="66"/>
    </row>
    <row r="38">
      <c r="A38" s="174" t="s">
        <v>1630</v>
      </c>
      <c r="B38" s="175" t="s">
        <v>1800</v>
      </c>
      <c r="C38" s="51" t="s">
        <v>1743</v>
      </c>
      <c r="D38" s="51">
        <v>70.0</v>
      </c>
      <c r="E38" s="48">
        <v>92.0</v>
      </c>
      <c r="F38" s="48">
        <v>130.0</v>
      </c>
      <c r="G38" s="48">
        <v>341.0</v>
      </c>
      <c r="H38" s="48" t="s">
        <v>164</v>
      </c>
      <c r="I38" s="48">
        <v>4.0</v>
      </c>
      <c r="J38" s="48">
        <v>180.0</v>
      </c>
      <c r="K38" s="50" t="s">
        <v>1605</v>
      </c>
      <c r="L38" s="51">
        <v>1.0</v>
      </c>
      <c r="M38" s="51" t="s">
        <v>1665</v>
      </c>
      <c r="N38" s="48">
        <v>2200.0</v>
      </c>
      <c r="O38" s="49">
        <v>38.2</v>
      </c>
      <c r="P38" s="49">
        <v>2.0</v>
      </c>
      <c r="Q38" s="176">
        <v>33.8</v>
      </c>
      <c r="R38" s="63" t="s">
        <v>166</v>
      </c>
      <c r="S38" s="48" t="s">
        <v>174</v>
      </c>
      <c r="T38" s="48" t="s">
        <v>166</v>
      </c>
      <c r="U38" s="48" t="s">
        <v>174</v>
      </c>
      <c r="V38" s="48" t="s">
        <v>166</v>
      </c>
      <c r="W38" s="177" t="s">
        <v>174</v>
      </c>
      <c r="X38" s="177" t="s">
        <v>166</v>
      </c>
      <c r="Y38" s="195"/>
      <c r="Z38" s="183"/>
      <c r="AA38" s="66"/>
      <c r="AB38" s="66"/>
      <c r="AC38" s="66"/>
      <c r="AD38" s="66"/>
      <c r="AE38" s="66"/>
      <c r="AF38" s="66"/>
      <c r="AG38" s="66"/>
      <c r="AH38" s="66"/>
      <c r="AI38" s="66"/>
    </row>
    <row r="39">
      <c r="A39" s="174" t="s">
        <v>1630</v>
      </c>
      <c r="B39" s="175" t="s">
        <v>1801</v>
      </c>
      <c r="C39" s="51" t="s">
        <v>1743</v>
      </c>
      <c r="D39" s="51">
        <v>70.0</v>
      </c>
      <c r="E39" s="48">
        <v>92.0</v>
      </c>
      <c r="F39" s="48">
        <v>130.0</v>
      </c>
      <c r="G39" s="48">
        <v>341.0</v>
      </c>
      <c r="H39" s="48" t="s">
        <v>164</v>
      </c>
      <c r="I39" s="48">
        <v>4.0</v>
      </c>
      <c r="J39" s="48">
        <v>180.0</v>
      </c>
      <c r="K39" s="50" t="s">
        <v>1605</v>
      </c>
      <c r="L39" s="51">
        <v>1.0</v>
      </c>
      <c r="M39" s="51" t="s">
        <v>1665</v>
      </c>
      <c r="N39" s="48">
        <v>2200.0</v>
      </c>
      <c r="O39" s="49">
        <v>38.2</v>
      </c>
      <c r="P39" s="49">
        <v>2.0</v>
      </c>
      <c r="Q39" s="176">
        <v>33.8</v>
      </c>
      <c r="R39" s="63" t="s">
        <v>166</v>
      </c>
      <c r="S39" s="48" t="s">
        <v>174</v>
      </c>
      <c r="T39" s="48" t="s">
        <v>166</v>
      </c>
      <c r="U39" s="48" t="s">
        <v>174</v>
      </c>
      <c r="V39" s="48" t="s">
        <v>166</v>
      </c>
      <c r="W39" s="177" t="s">
        <v>174</v>
      </c>
      <c r="X39" s="177" t="s">
        <v>166</v>
      </c>
      <c r="Y39" s="195"/>
      <c r="Z39" s="183"/>
      <c r="AA39" s="66"/>
      <c r="AB39" s="66"/>
      <c r="AC39" s="66"/>
      <c r="AD39" s="66"/>
      <c r="AE39" s="66"/>
      <c r="AF39" s="66"/>
      <c r="AG39" s="66"/>
      <c r="AH39" s="66"/>
      <c r="AI39" s="66"/>
    </row>
    <row r="40">
      <c r="A40" s="174" t="s">
        <v>1666</v>
      </c>
      <c r="B40" s="180" t="s">
        <v>1802</v>
      </c>
      <c r="C40" s="51" t="s">
        <v>1604</v>
      </c>
      <c r="D40" s="51">
        <v>162.6</v>
      </c>
      <c r="E40" s="48">
        <v>140.0</v>
      </c>
      <c r="F40" s="48">
        <v>130.8</v>
      </c>
      <c r="G40" s="48">
        <v>810.0</v>
      </c>
      <c r="H40" s="48" t="s">
        <v>164</v>
      </c>
      <c r="I40" s="48">
        <v>6.0</v>
      </c>
      <c r="J40" s="48">
        <v>220.0</v>
      </c>
      <c r="K40" s="50">
        <v>49.2</v>
      </c>
      <c r="L40" s="51">
        <v>2.0</v>
      </c>
      <c r="M40" s="51" t="s">
        <v>1778</v>
      </c>
      <c r="N40" s="48">
        <v>1400.0</v>
      </c>
      <c r="O40" s="49" t="s">
        <v>170</v>
      </c>
      <c r="P40" s="49" t="s">
        <v>170</v>
      </c>
      <c r="Q40" s="176">
        <v>26.7</v>
      </c>
      <c r="R40" s="63" t="s">
        <v>174</v>
      </c>
      <c r="S40" s="48" t="s">
        <v>174</v>
      </c>
      <c r="T40" s="48" t="s">
        <v>174</v>
      </c>
      <c r="U40" s="48" t="s">
        <v>174</v>
      </c>
      <c r="V40" s="48" t="s">
        <v>174</v>
      </c>
      <c r="W40" s="177" t="s">
        <v>170</v>
      </c>
      <c r="X40" s="177" t="s">
        <v>174</v>
      </c>
      <c r="Y40" s="195"/>
      <c r="Z40" s="183"/>
      <c r="AA40" s="66"/>
      <c r="AB40" s="66"/>
      <c r="AC40" s="66"/>
      <c r="AD40" s="66"/>
      <c r="AE40" s="66"/>
      <c r="AF40" s="66"/>
      <c r="AG40" s="66"/>
      <c r="AH40" s="66"/>
      <c r="AI40" s="66"/>
    </row>
    <row r="41">
      <c r="A41" s="174" t="s">
        <v>1634</v>
      </c>
      <c r="B41" s="175" t="s">
        <v>1803</v>
      </c>
      <c r="C41" s="51" t="s">
        <v>1770</v>
      </c>
      <c r="D41" s="51">
        <v>101.0</v>
      </c>
      <c r="E41" s="48">
        <v>130.0</v>
      </c>
      <c r="F41" s="48">
        <v>132.0</v>
      </c>
      <c r="G41" s="48">
        <v>730.0</v>
      </c>
      <c r="H41" s="48" t="s">
        <v>164</v>
      </c>
      <c r="I41" s="48">
        <v>6.0</v>
      </c>
      <c r="J41" s="48">
        <v>240.0</v>
      </c>
      <c r="K41" s="50" t="s">
        <v>1605</v>
      </c>
      <c r="L41" s="51">
        <v>1.0</v>
      </c>
      <c r="M41" s="51" t="s">
        <v>1804</v>
      </c>
      <c r="N41" s="48">
        <v>1500.0</v>
      </c>
      <c r="O41" s="49">
        <v>84.97</v>
      </c>
      <c r="P41" s="49" t="s">
        <v>170</v>
      </c>
      <c r="Q41" s="176">
        <v>23.0</v>
      </c>
      <c r="R41" s="63" t="s">
        <v>166</v>
      </c>
      <c r="S41" s="48" t="s">
        <v>174</v>
      </c>
      <c r="T41" s="48" t="s">
        <v>174</v>
      </c>
      <c r="U41" s="48" t="s">
        <v>174</v>
      </c>
      <c r="V41" s="48" t="s">
        <v>174</v>
      </c>
      <c r="W41" s="177" t="s">
        <v>174</v>
      </c>
      <c r="X41" s="177" t="s">
        <v>174</v>
      </c>
      <c r="Y41" s="195"/>
      <c r="Z41" s="183"/>
      <c r="AA41" s="66"/>
      <c r="AB41" s="66"/>
      <c r="AC41" s="66"/>
      <c r="AD41" s="66"/>
      <c r="AE41" s="66"/>
      <c r="AF41" s="66"/>
      <c r="AG41" s="66"/>
      <c r="AH41" s="66"/>
      <c r="AI41" s="66"/>
    </row>
    <row r="42">
      <c r="A42" s="174" t="s">
        <v>1706</v>
      </c>
      <c r="B42" s="175" t="s">
        <v>1805</v>
      </c>
      <c r="C42" s="51" t="s">
        <v>1743</v>
      </c>
      <c r="D42" s="51">
        <v>66.0</v>
      </c>
      <c r="E42" s="48">
        <v>94.0</v>
      </c>
      <c r="F42" s="48">
        <v>133.0</v>
      </c>
      <c r="G42" s="48">
        <v>304.0</v>
      </c>
      <c r="H42" s="48" t="s">
        <v>164</v>
      </c>
      <c r="I42" s="48">
        <v>2.0</v>
      </c>
      <c r="J42" s="48">
        <v>100.0</v>
      </c>
      <c r="K42" s="50" t="s">
        <v>1605</v>
      </c>
      <c r="L42" s="51">
        <v>1.0</v>
      </c>
      <c r="M42" s="51" t="s">
        <v>1665</v>
      </c>
      <c r="N42" s="48">
        <v>3050.0</v>
      </c>
      <c r="O42" s="49">
        <v>36.75</v>
      </c>
      <c r="P42" s="49">
        <v>2.89</v>
      </c>
      <c r="Q42" s="176">
        <v>30.5</v>
      </c>
      <c r="R42" s="63" t="s">
        <v>166</v>
      </c>
      <c r="S42" s="48" t="s">
        <v>174</v>
      </c>
      <c r="T42" s="48" t="s">
        <v>166</v>
      </c>
      <c r="U42" s="48" t="s">
        <v>174</v>
      </c>
      <c r="V42" s="48" t="s">
        <v>166</v>
      </c>
      <c r="W42" s="177" t="s">
        <v>174</v>
      </c>
      <c r="X42" s="177" t="s">
        <v>166</v>
      </c>
      <c r="Y42" s="195"/>
      <c r="Z42" s="183"/>
      <c r="AA42" s="66"/>
      <c r="AB42" s="66"/>
      <c r="AC42" s="66"/>
      <c r="AD42" s="66"/>
      <c r="AE42" s="66"/>
      <c r="AF42" s="66"/>
      <c r="AG42" s="66"/>
      <c r="AH42" s="66"/>
      <c r="AI42" s="66"/>
    </row>
    <row r="43">
      <c r="A43" s="174" t="s">
        <v>1706</v>
      </c>
      <c r="B43" s="175" t="s">
        <v>1806</v>
      </c>
      <c r="C43" s="51" t="s">
        <v>1743</v>
      </c>
      <c r="D43" s="51">
        <v>71.0</v>
      </c>
      <c r="E43" s="48">
        <v>94.0</v>
      </c>
      <c r="F43" s="48">
        <v>133.0</v>
      </c>
      <c r="G43" s="48">
        <v>350.0</v>
      </c>
      <c r="H43" s="48" t="s">
        <v>164</v>
      </c>
      <c r="I43" s="48">
        <v>3.0</v>
      </c>
      <c r="J43" s="48">
        <v>150.0</v>
      </c>
      <c r="K43" s="50" t="s">
        <v>1605</v>
      </c>
      <c r="L43" s="51">
        <v>1.0</v>
      </c>
      <c r="M43" s="51" t="s">
        <v>1665</v>
      </c>
      <c r="N43" s="48">
        <v>3050.0</v>
      </c>
      <c r="O43" s="49">
        <v>36.75</v>
      </c>
      <c r="P43" s="49">
        <v>2.89</v>
      </c>
      <c r="Q43" s="176">
        <v>30.5</v>
      </c>
      <c r="R43" s="63" t="s">
        <v>166</v>
      </c>
      <c r="S43" s="48" t="s">
        <v>174</v>
      </c>
      <c r="T43" s="48" t="s">
        <v>166</v>
      </c>
      <c r="U43" s="48" t="s">
        <v>174</v>
      </c>
      <c r="V43" s="48" t="s">
        <v>166</v>
      </c>
      <c r="W43" s="177" t="s">
        <v>174</v>
      </c>
      <c r="X43" s="177" t="s">
        <v>166</v>
      </c>
      <c r="Y43" s="195"/>
      <c r="Z43" s="183"/>
      <c r="AA43" s="66"/>
      <c r="AB43" s="66"/>
      <c r="AC43" s="66"/>
      <c r="AD43" s="66"/>
      <c r="AE43" s="66"/>
      <c r="AF43" s="66"/>
      <c r="AG43" s="66"/>
      <c r="AH43" s="66"/>
      <c r="AI43" s="66"/>
    </row>
    <row r="44">
      <c r="A44" s="174" t="s">
        <v>1666</v>
      </c>
      <c r="B44" s="175" t="s">
        <v>1807</v>
      </c>
      <c r="C44" s="51" t="s">
        <v>1604</v>
      </c>
      <c r="D44" s="51">
        <v>164.0</v>
      </c>
      <c r="E44" s="48">
        <v>140.0</v>
      </c>
      <c r="F44" s="48">
        <v>134.0</v>
      </c>
      <c r="G44" s="48">
        <v>945.0</v>
      </c>
      <c r="H44" s="48" t="s">
        <v>164</v>
      </c>
      <c r="I44" s="48">
        <v>6.0</v>
      </c>
      <c r="J44" s="48">
        <v>230.0</v>
      </c>
      <c r="K44" s="50">
        <v>49.0</v>
      </c>
      <c r="L44" s="51">
        <v>2.0</v>
      </c>
      <c r="M44" s="51" t="s">
        <v>1808</v>
      </c>
      <c r="N44" s="48">
        <v>1400.0</v>
      </c>
      <c r="O44" s="49" t="s">
        <v>170</v>
      </c>
      <c r="P44" s="49" t="s">
        <v>170</v>
      </c>
      <c r="Q44" s="176">
        <v>27.1</v>
      </c>
      <c r="R44" s="63" t="s">
        <v>174</v>
      </c>
      <c r="S44" s="48" t="s">
        <v>174</v>
      </c>
      <c r="T44" s="48" t="s">
        <v>166</v>
      </c>
      <c r="U44" s="48" t="s">
        <v>174</v>
      </c>
      <c r="V44" s="48" t="s">
        <v>166</v>
      </c>
      <c r="W44" s="177" t="s">
        <v>174</v>
      </c>
      <c r="X44" s="177" t="s">
        <v>174</v>
      </c>
      <c r="Y44" s="195"/>
      <c r="Z44" s="183"/>
      <c r="AA44" s="66"/>
      <c r="AB44" s="66"/>
      <c r="AC44" s="66"/>
      <c r="AD44" s="66"/>
      <c r="AE44" s="66"/>
      <c r="AF44" s="66"/>
      <c r="AG44" s="66"/>
      <c r="AH44" s="66"/>
      <c r="AI44" s="66"/>
    </row>
    <row r="45">
      <c r="A45" s="174" t="s">
        <v>1611</v>
      </c>
      <c r="B45" s="175" t="s">
        <v>1809</v>
      </c>
      <c r="C45" s="51" t="s">
        <v>1743</v>
      </c>
      <c r="D45" s="51">
        <v>76.0</v>
      </c>
      <c r="E45" s="48">
        <v>120.0</v>
      </c>
      <c r="F45" s="48">
        <v>134.0</v>
      </c>
      <c r="G45" s="48">
        <v>690.0</v>
      </c>
      <c r="H45" s="48" t="s">
        <v>164</v>
      </c>
      <c r="I45" s="48">
        <v>4.0</v>
      </c>
      <c r="J45" s="48">
        <v>180.0</v>
      </c>
      <c r="K45" s="50" t="s">
        <v>1605</v>
      </c>
      <c r="L45" s="51">
        <v>1.0</v>
      </c>
      <c r="M45" s="51" t="s">
        <v>1729</v>
      </c>
      <c r="N45" s="48">
        <v>1600.0</v>
      </c>
      <c r="O45" s="49">
        <v>69.8</v>
      </c>
      <c r="P45" s="49">
        <v>1.99</v>
      </c>
      <c r="Q45" s="176">
        <v>31.5</v>
      </c>
      <c r="R45" s="63" t="s">
        <v>166</v>
      </c>
      <c r="S45" s="48" t="s">
        <v>174</v>
      </c>
      <c r="T45" s="48" t="s">
        <v>166</v>
      </c>
      <c r="U45" s="48" t="s">
        <v>174</v>
      </c>
      <c r="V45" s="48" t="s">
        <v>166</v>
      </c>
      <c r="W45" s="177" t="s">
        <v>174</v>
      </c>
      <c r="X45" s="177" t="s">
        <v>166</v>
      </c>
      <c r="Y45" s="195"/>
      <c r="Z45" s="183"/>
      <c r="AA45" s="130"/>
      <c r="AB45" s="130"/>
      <c r="AC45" s="130"/>
      <c r="AD45" s="130"/>
      <c r="AE45" s="130"/>
      <c r="AF45" s="130"/>
      <c r="AG45" s="130"/>
      <c r="AH45" s="130"/>
      <c r="AI45" s="130"/>
    </row>
    <row r="46">
      <c r="A46" s="174" t="s">
        <v>1666</v>
      </c>
      <c r="B46" s="175" t="s">
        <v>1810</v>
      </c>
      <c r="C46" s="51" t="s">
        <v>1743</v>
      </c>
      <c r="D46" s="51">
        <v>82.0</v>
      </c>
      <c r="E46" s="48">
        <v>97.0</v>
      </c>
      <c r="F46" s="48">
        <v>135.0</v>
      </c>
      <c r="G46" s="48">
        <v>380.0</v>
      </c>
      <c r="H46" s="48" t="s">
        <v>164</v>
      </c>
      <c r="I46" s="48">
        <v>3.0</v>
      </c>
      <c r="J46" s="48">
        <v>130.0</v>
      </c>
      <c r="K46" s="50" t="s">
        <v>1605</v>
      </c>
      <c r="L46" s="51">
        <v>1.0</v>
      </c>
      <c r="M46" s="51" t="s">
        <v>1665</v>
      </c>
      <c r="N46" s="48">
        <v>2000.0</v>
      </c>
      <c r="O46" s="49" t="s">
        <v>170</v>
      </c>
      <c r="P46" s="49" t="s">
        <v>170</v>
      </c>
      <c r="Q46" s="176">
        <v>25.4</v>
      </c>
      <c r="R46" s="63" t="s">
        <v>166</v>
      </c>
      <c r="S46" s="48" t="s">
        <v>174</v>
      </c>
      <c r="T46" s="48" t="s">
        <v>166</v>
      </c>
      <c r="U46" s="48" t="s">
        <v>174</v>
      </c>
      <c r="V46" s="48" t="s">
        <v>166</v>
      </c>
      <c r="W46" s="177" t="s">
        <v>174</v>
      </c>
      <c r="X46" s="177" t="s">
        <v>166</v>
      </c>
      <c r="Y46" s="195"/>
      <c r="Z46" s="183"/>
      <c r="AA46" s="130"/>
      <c r="AB46" s="130"/>
      <c r="AC46" s="130"/>
      <c r="AD46" s="130"/>
      <c r="AE46" s="130"/>
      <c r="AF46" s="130"/>
      <c r="AG46" s="130"/>
      <c r="AH46" s="130"/>
      <c r="AI46" s="130"/>
    </row>
    <row r="47">
      <c r="A47" s="174" t="s">
        <v>1611</v>
      </c>
      <c r="B47" s="175" t="s">
        <v>1811</v>
      </c>
      <c r="C47" s="51" t="s">
        <v>1770</v>
      </c>
      <c r="D47" s="51">
        <v>110.0</v>
      </c>
      <c r="E47" s="48">
        <v>120.0</v>
      </c>
      <c r="F47" s="48">
        <v>135.0</v>
      </c>
      <c r="G47" s="48">
        <v>760.0</v>
      </c>
      <c r="H47" s="48" t="s">
        <v>164</v>
      </c>
      <c r="I47" s="48">
        <v>7.0</v>
      </c>
      <c r="J47" s="48">
        <v>220.0</v>
      </c>
      <c r="K47" s="50">
        <v>52.0</v>
      </c>
      <c r="L47" s="51">
        <v>1.0</v>
      </c>
      <c r="M47" s="51" t="s">
        <v>1729</v>
      </c>
      <c r="N47" s="48">
        <v>1800.0</v>
      </c>
      <c r="O47" s="49">
        <v>76.16</v>
      </c>
      <c r="P47" s="49">
        <v>2.16</v>
      </c>
      <c r="Q47" s="176">
        <v>35.2</v>
      </c>
      <c r="R47" s="63" t="s">
        <v>166</v>
      </c>
      <c r="S47" s="48" t="s">
        <v>174</v>
      </c>
      <c r="T47" s="48" t="s">
        <v>166</v>
      </c>
      <c r="U47" s="48" t="s">
        <v>174</v>
      </c>
      <c r="V47" s="48" t="s">
        <v>166</v>
      </c>
      <c r="W47" s="177" t="s">
        <v>174</v>
      </c>
      <c r="X47" s="177" t="s">
        <v>174</v>
      </c>
      <c r="Y47" s="195"/>
      <c r="Z47" s="183"/>
      <c r="AA47" s="130"/>
      <c r="AB47" s="130"/>
      <c r="AC47" s="130"/>
      <c r="AD47" s="130"/>
      <c r="AE47" s="130"/>
      <c r="AF47" s="130"/>
      <c r="AG47" s="130"/>
      <c r="AH47" s="130"/>
      <c r="AI47" s="130"/>
    </row>
    <row r="48">
      <c r="A48" s="174" t="s">
        <v>1611</v>
      </c>
      <c r="B48" s="175" t="s">
        <v>1812</v>
      </c>
      <c r="C48" s="51" t="s">
        <v>1770</v>
      </c>
      <c r="D48" s="51">
        <v>110.0</v>
      </c>
      <c r="E48" s="48">
        <v>120.0</v>
      </c>
      <c r="F48" s="48">
        <v>135.0</v>
      </c>
      <c r="G48" s="48">
        <v>760.0</v>
      </c>
      <c r="H48" s="48" t="s">
        <v>164</v>
      </c>
      <c r="I48" s="48">
        <v>7.0</v>
      </c>
      <c r="J48" s="48">
        <v>220.0</v>
      </c>
      <c r="K48" s="50">
        <v>52.0</v>
      </c>
      <c r="L48" s="51">
        <v>1.0</v>
      </c>
      <c r="M48" s="51" t="s">
        <v>1729</v>
      </c>
      <c r="N48" s="48">
        <v>1800.0</v>
      </c>
      <c r="O48" s="49">
        <v>76.16</v>
      </c>
      <c r="P48" s="49">
        <v>2.16</v>
      </c>
      <c r="Q48" s="176">
        <v>35.2</v>
      </c>
      <c r="R48" s="63" t="s">
        <v>166</v>
      </c>
      <c r="S48" s="48" t="s">
        <v>174</v>
      </c>
      <c r="T48" s="48" t="s">
        <v>166</v>
      </c>
      <c r="U48" s="48" t="s">
        <v>174</v>
      </c>
      <c r="V48" s="48" t="s">
        <v>166</v>
      </c>
      <c r="W48" s="177" t="s">
        <v>174</v>
      </c>
      <c r="X48" s="177" t="s">
        <v>174</v>
      </c>
      <c r="Y48" s="195"/>
      <c r="Z48" s="183"/>
      <c r="AA48" s="130"/>
      <c r="AB48" s="130"/>
      <c r="AC48" s="130"/>
      <c r="AD48" s="130"/>
      <c r="AE48" s="130"/>
      <c r="AF48" s="130"/>
      <c r="AG48" s="130"/>
      <c r="AH48" s="130"/>
      <c r="AI48" s="130"/>
    </row>
    <row r="49">
      <c r="A49" s="174" t="s">
        <v>1630</v>
      </c>
      <c r="B49" s="175" t="s">
        <v>1813</v>
      </c>
      <c r="C49" s="51" t="s">
        <v>1770</v>
      </c>
      <c r="D49" s="51">
        <v>98.0</v>
      </c>
      <c r="E49" s="48">
        <v>92.0</v>
      </c>
      <c r="F49" s="48">
        <v>135.0</v>
      </c>
      <c r="G49" s="48">
        <v>820.0</v>
      </c>
      <c r="H49" s="48" t="s">
        <v>164</v>
      </c>
      <c r="I49" s="48">
        <v>6.0</v>
      </c>
      <c r="J49" s="48" t="s">
        <v>170</v>
      </c>
      <c r="K49" s="50" t="s">
        <v>1605</v>
      </c>
      <c r="L49" s="51">
        <v>1.0</v>
      </c>
      <c r="M49" s="51" t="s">
        <v>1665</v>
      </c>
      <c r="N49" s="48">
        <v>2000.0</v>
      </c>
      <c r="O49" s="49">
        <v>38.0</v>
      </c>
      <c r="P49" s="49" t="s">
        <v>170</v>
      </c>
      <c r="Q49" s="176">
        <v>28.5</v>
      </c>
      <c r="R49" s="63" t="s">
        <v>174</v>
      </c>
      <c r="S49" s="48" t="s">
        <v>174</v>
      </c>
      <c r="T49" s="48" t="s">
        <v>166</v>
      </c>
      <c r="U49" s="48" t="s">
        <v>174</v>
      </c>
      <c r="V49" s="48" t="s">
        <v>166</v>
      </c>
      <c r="W49" s="177" t="s">
        <v>174</v>
      </c>
      <c r="X49" s="177" t="s">
        <v>166</v>
      </c>
      <c r="Y49" s="195"/>
      <c r="Z49" s="183"/>
      <c r="AA49" s="130"/>
      <c r="AB49" s="130"/>
      <c r="AC49" s="130"/>
      <c r="AD49" s="130"/>
      <c r="AE49" s="130"/>
      <c r="AF49" s="130"/>
      <c r="AG49" s="130"/>
      <c r="AH49" s="130"/>
      <c r="AI49" s="130"/>
    </row>
    <row r="50">
      <c r="A50" s="174" t="s">
        <v>1634</v>
      </c>
      <c r="B50" s="175" t="s">
        <v>1814</v>
      </c>
      <c r="C50" s="51" t="s">
        <v>1743</v>
      </c>
      <c r="D50" s="51">
        <v>71.0</v>
      </c>
      <c r="E50" s="48">
        <v>120.0</v>
      </c>
      <c r="F50" s="48">
        <v>135.0</v>
      </c>
      <c r="G50" s="48">
        <v>980.0</v>
      </c>
      <c r="H50" s="48" t="s">
        <v>164</v>
      </c>
      <c r="I50" s="48">
        <v>5.0</v>
      </c>
      <c r="J50" s="48">
        <v>180.0</v>
      </c>
      <c r="K50" s="50" t="s">
        <v>1605</v>
      </c>
      <c r="L50" s="51">
        <v>1.0</v>
      </c>
      <c r="M50" s="51" t="s">
        <v>1729</v>
      </c>
      <c r="N50" s="48">
        <v>1500.0</v>
      </c>
      <c r="O50" s="49">
        <v>64.87</v>
      </c>
      <c r="P50" s="49">
        <v>1.53</v>
      </c>
      <c r="Q50" s="176">
        <v>25.2</v>
      </c>
      <c r="R50" s="63" t="s">
        <v>166</v>
      </c>
      <c r="S50" s="48" t="s">
        <v>174</v>
      </c>
      <c r="T50" s="48" t="s">
        <v>166</v>
      </c>
      <c r="U50" s="48" t="s">
        <v>174</v>
      </c>
      <c r="V50" s="48" t="s">
        <v>166</v>
      </c>
      <c r="W50" s="177" t="s">
        <v>174</v>
      </c>
      <c r="X50" s="177" t="s">
        <v>174</v>
      </c>
      <c r="Y50" s="195"/>
      <c r="Z50" s="183"/>
      <c r="AA50" s="130"/>
      <c r="AB50" s="130"/>
      <c r="AC50" s="130"/>
      <c r="AD50" s="130"/>
      <c r="AE50" s="130"/>
      <c r="AF50" s="130"/>
      <c r="AG50" s="130"/>
      <c r="AH50" s="130"/>
      <c r="AI50" s="130"/>
    </row>
    <row r="51">
      <c r="A51" s="174" t="s">
        <v>1634</v>
      </c>
      <c r="B51" s="175" t="s">
        <v>1815</v>
      </c>
      <c r="C51" s="51" t="s">
        <v>1743</v>
      </c>
      <c r="D51" s="51">
        <v>71.0</v>
      </c>
      <c r="E51" s="48">
        <v>120.0</v>
      </c>
      <c r="F51" s="48">
        <v>135.0</v>
      </c>
      <c r="G51" s="48">
        <v>980.0</v>
      </c>
      <c r="H51" s="48" t="s">
        <v>164</v>
      </c>
      <c r="I51" s="48">
        <v>5.0</v>
      </c>
      <c r="J51" s="48">
        <v>180.0</v>
      </c>
      <c r="K51" s="50" t="s">
        <v>1605</v>
      </c>
      <c r="L51" s="51">
        <v>1.0</v>
      </c>
      <c r="M51" s="51" t="s">
        <v>1729</v>
      </c>
      <c r="N51" s="48">
        <v>1500.0</v>
      </c>
      <c r="O51" s="49">
        <v>64.87</v>
      </c>
      <c r="P51" s="49">
        <v>1.53</v>
      </c>
      <c r="Q51" s="176">
        <v>25.2</v>
      </c>
      <c r="R51" s="63" t="s">
        <v>166</v>
      </c>
      <c r="S51" s="48" t="s">
        <v>174</v>
      </c>
      <c r="T51" s="48" t="s">
        <v>166</v>
      </c>
      <c r="U51" s="48" t="s">
        <v>174</v>
      </c>
      <c r="V51" s="48" t="s">
        <v>166</v>
      </c>
      <c r="W51" s="177" t="s">
        <v>174</v>
      </c>
      <c r="X51" s="177" t="s">
        <v>166</v>
      </c>
      <c r="Y51" s="195"/>
      <c r="Z51" s="183"/>
      <c r="AA51" s="66"/>
      <c r="AB51" s="66"/>
      <c r="AC51" s="66"/>
      <c r="AD51" s="66"/>
      <c r="AE51" s="66"/>
      <c r="AF51" s="66"/>
      <c r="AG51" s="66"/>
      <c r="AH51" s="66"/>
      <c r="AI51" s="66"/>
    </row>
    <row r="52">
      <c r="A52" s="174" t="s">
        <v>1634</v>
      </c>
      <c r="B52" s="175" t="s">
        <v>1816</v>
      </c>
      <c r="C52" s="51" t="s">
        <v>1743</v>
      </c>
      <c r="D52" s="51">
        <v>71.0</v>
      </c>
      <c r="E52" s="48">
        <v>120.0</v>
      </c>
      <c r="F52" s="48">
        <v>135.0</v>
      </c>
      <c r="G52" s="48">
        <v>630.0</v>
      </c>
      <c r="H52" s="48" t="s">
        <v>164</v>
      </c>
      <c r="I52" s="48">
        <v>5.0</v>
      </c>
      <c r="J52" s="48" t="s">
        <v>170</v>
      </c>
      <c r="K52" s="50" t="s">
        <v>1605</v>
      </c>
      <c r="L52" s="51">
        <v>1.0</v>
      </c>
      <c r="M52" s="51" t="s">
        <v>1729</v>
      </c>
      <c r="N52" s="48">
        <v>1500.0</v>
      </c>
      <c r="O52" s="49">
        <v>64.87</v>
      </c>
      <c r="P52" s="49">
        <v>1.53</v>
      </c>
      <c r="Q52" s="176">
        <v>25.6</v>
      </c>
      <c r="R52" s="63" t="s">
        <v>166</v>
      </c>
      <c r="S52" s="48" t="s">
        <v>174</v>
      </c>
      <c r="T52" s="48" t="s">
        <v>166</v>
      </c>
      <c r="U52" s="48" t="s">
        <v>174</v>
      </c>
      <c r="V52" s="48" t="s">
        <v>166</v>
      </c>
      <c r="W52" s="177" t="s">
        <v>174</v>
      </c>
      <c r="X52" s="177" t="s">
        <v>166</v>
      </c>
      <c r="Y52" s="195"/>
      <c r="Z52" s="183"/>
      <c r="AA52" s="66"/>
      <c r="AB52" s="66"/>
      <c r="AC52" s="66"/>
      <c r="AD52" s="66"/>
      <c r="AE52" s="66"/>
      <c r="AF52" s="66"/>
      <c r="AG52" s="66"/>
      <c r="AH52" s="66"/>
      <c r="AI52" s="66"/>
    </row>
    <row r="53">
      <c r="A53" s="174" t="s">
        <v>1634</v>
      </c>
      <c r="B53" s="175" t="s">
        <v>1817</v>
      </c>
      <c r="C53" s="51" t="s">
        <v>1770</v>
      </c>
      <c r="D53" s="51">
        <v>110.0</v>
      </c>
      <c r="E53" s="48">
        <v>125.0</v>
      </c>
      <c r="F53" s="48">
        <v>135.0</v>
      </c>
      <c r="G53" s="48">
        <v>820.0</v>
      </c>
      <c r="H53" s="48" t="s">
        <v>164</v>
      </c>
      <c r="I53" s="48">
        <v>6.0</v>
      </c>
      <c r="J53" s="48">
        <v>200.0</v>
      </c>
      <c r="K53" s="50">
        <v>63.0</v>
      </c>
      <c r="L53" s="51">
        <v>1.0</v>
      </c>
      <c r="M53" s="51" t="s">
        <v>1729</v>
      </c>
      <c r="N53" s="48">
        <v>1500.0</v>
      </c>
      <c r="O53" s="49">
        <v>66.87</v>
      </c>
      <c r="P53" s="49">
        <v>1.53</v>
      </c>
      <c r="Q53" s="176">
        <v>25.6</v>
      </c>
      <c r="R53" s="63" t="s">
        <v>166</v>
      </c>
      <c r="S53" s="48" t="s">
        <v>174</v>
      </c>
      <c r="T53" s="48" t="s">
        <v>166</v>
      </c>
      <c r="U53" s="48" t="s">
        <v>174</v>
      </c>
      <c r="V53" s="48" t="s">
        <v>166</v>
      </c>
      <c r="W53" s="177" t="s">
        <v>174</v>
      </c>
      <c r="X53" s="177" t="s">
        <v>174</v>
      </c>
      <c r="Y53" s="195"/>
      <c r="Z53" s="183"/>
      <c r="AA53" s="66"/>
      <c r="AB53" s="66"/>
      <c r="AC53" s="66"/>
      <c r="AD53" s="66"/>
      <c r="AE53" s="66"/>
      <c r="AF53" s="66"/>
      <c r="AG53" s="66"/>
      <c r="AH53" s="66"/>
      <c r="AI53" s="66"/>
    </row>
    <row r="54">
      <c r="A54" s="174" t="s">
        <v>1634</v>
      </c>
      <c r="B54" s="175" t="s">
        <v>1818</v>
      </c>
      <c r="C54" s="51" t="s">
        <v>1770</v>
      </c>
      <c r="D54" s="51">
        <v>110.0</v>
      </c>
      <c r="E54" s="48">
        <v>125.0</v>
      </c>
      <c r="F54" s="48">
        <v>135.0</v>
      </c>
      <c r="G54" s="48">
        <v>820.0</v>
      </c>
      <c r="H54" s="48" t="s">
        <v>164</v>
      </c>
      <c r="I54" s="48">
        <v>6.0</v>
      </c>
      <c r="J54" s="48">
        <v>200.0</v>
      </c>
      <c r="K54" s="50">
        <v>63.0</v>
      </c>
      <c r="L54" s="51">
        <v>1.0</v>
      </c>
      <c r="M54" s="51" t="s">
        <v>1729</v>
      </c>
      <c r="N54" s="48">
        <v>1500.0</v>
      </c>
      <c r="O54" s="49">
        <v>66.87</v>
      </c>
      <c r="P54" s="49">
        <v>1.53</v>
      </c>
      <c r="Q54" s="176">
        <v>25.6</v>
      </c>
      <c r="R54" s="63" t="s">
        <v>166</v>
      </c>
      <c r="S54" s="48" t="s">
        <v>174</v>
      </c>
      <c r="T54" s="48" t="s">
        <v>166</v>
      </c>
      <c r="U54" s="48" t="s">
        <v>174</v>
      </c>
      <c r="V54" s="48" t="s">
        <v>166</v>
      </c>
      <c r="W54" s="177" t="s">
        <v>174</v>
      </c>
      <c r="X54" s="177" t="s">
        <v>174</v>
      </c>
      <c r="Y54" s="195"/>
      <c r="Z54" s="183"/>
      <c r="AA54" s="66"/>
      <c r="AB54" s="66"/>
      <c r="AC54" s="66"/>
      <c r="AD54" s="66"/>
      <c r="AE54" s="66"/>
      <c r="AF54" s="66"/>
      <c r="AG54" s="66"/>
      <c r="AH54" s="66"/>
      <c r="AI54" s="66"/>
    </row>
    <row r="55">
      <c r="A55" s="174" t="s">
        <v>1634</v>
      </c>
      <c r="B55" s="175" t="s">
        <v>1819</v>
      </c>
      <c r="C55" s="51" t="s">
        <v>1770</v>
      </c>
      <c r="D55" s="51">
        <v>94.0</v>
      </c>
      <c r="E55" s="48">
        <v>120.0</v>
      </c>
      <c r="F55" s="48">
        <v>135.0</v>
      </c>
      <c r="G55" s="48">
        <v>740.0</v>
      </c>
      <c r="H55" s="48" t="s">
        <v>164</v>
      </c>
      <c r="I55" s="48">
        <v>6.0</v>
      </c>
      <c r="J55" s="48">
        <v>220.0</v>
      </c>
      <c r="K55" s="50" t="s">
        <v>1605</v>
      </c>
      <c r="L55" s="51">
        <v>1.0</v>
      </c>
      <c r="M55" s="51" t="s">
        <v>1729</v>
      </c>
      <c r="N55" s="48">
        <v>1850.0</v>
      </c>
      <c r="O55" s="49">
        <v>82.0</v>
      </c>
      <c r="P55" s="49">
        <v>2.1</v>
      </c>
      <c r="Q55" s="176">
        <v>29.6</v>
      </c>
      <c r="R55" s="63" t="s">
        <v>166</v>
      </c>
      <c r="S55" s="48" t="s">
        <v>174</v>
      </c>
      <c r="T55" s="48" t="s">
        <v>166</v>
      </c>
      <c r="U55" s="48" t="s">
        <v>174</v>
      </c>
      <c r="V55" s="48" t="s">
        <v>166</v>
      </c>
      <c r="W55" s="177" t="s">
        <v>174</v>
      </c>
      <c r="X55" s="177" t="s">
        <v>174</v>
      </c>
      <c r="Y55" s="195"/>
      <c r="Z55" s="183"/>
      <c r="AA55" s="66"/>
      <c r="AB55" s="66"/>
      <c r="AC55" s="66"/>
      <c r="AD55" s="66"/>
      <c r="AE55" s="66"/>
      <c r="AF55" s="66"/>
      <c r="AG55" s="66"/>
      <c r="AH55" s="66"/>
      <c r="AI55" s="66"/>
    </row>
    <row r="56">
      <c r="A56" s="174" t="s">
        <v>1634</v>
      </c>
      <c r="B56" s="175" t="s">
        <v>1820</v>
      </c>
      <c r="C56" s="51" t="s">
        <v>1770</v>
      </c>
      <c r="D56" s="51">
        <v>94.0</v>
      </c>
      <c r="E56" s="48">
        <v>120.0</v>
      </c>
      <c r="F56" s="48">
        <v>135.0</v>
      </c>
      <c r="G56" s="48">
        <v>740.0</v>
      </c>
      <c r="H56" s="48" t="s">
        <v>164</v>
      </c>
      <c r="I56" s="48">
        <v>6.0</v>
      </c>
      <c r="J56" s="48">
        <v>220.0</v>
      </c>
      <c r="K56" s="50" t="s">
        <v>1605</v>
      </c>
      <c r="L56" s="51">
        <v>1.0</v>
      </c>
      <c r="M56" s="51" t="s">
        <v>1729</v>
      </c>
      <c r="N56" s="48">
        <v>1850.0</v>
      </c>
      <c r="O56" s="49">
        <v>82.0</v>
      </c>
      <c r="P56" s="49">
        <v>2.1</v>
      </c>
      <c r="Q56" s="176">
        <v>29.6</v>
      </c>
      <c r="R56" s="63" t="s">
        <v>166</v>
      </c>
      <c r="S56" s="48" t="s">
        <v>174</v>
      </c>
      <c r="T56" s="48" t="s">
        <v>166</v>
      </c>
      <c r="U56" s="48" t="s">
        <v>174</v>
      </c>
      <c r="V56" s="48" t="s">
        <v>166</v>
      </c>
      <c r="W56" s="177" t="s">
        <v>174</v>
      </c>
      <c r="X56" s="177" t="s">
        <v>174</v>
      </c>
      <c r="Y56" s="195"/>
      <c r="Z56" s="183"/>
      <c r="AA56" s="66"/>
      <c r="AB56" s="66"/>
      <c r="AC56" s="66"/>
      <c r="AD56" s="66"/>
      <c r="AE56" s="66"/>
      <c r="AF56" s="66"/>
      <c r="AG56" s="66"/>
      <c r="AH56" s="66"/>
      <c r="AI56" s="66"/>
    </row>
    <row r="57">
      <c r="A57" s="174" t="s">
        <v>1634</v>
      </c>
      <c r="B57" s="175" t="s">
        <v>1821</v>
      </c>
      <c r="C57" s="51" t="s">
        <v>1770</v>
      </c>
      <c r="D57" s="51">
        <v>94.0</v>
      </c>
      <c r="E57" s="48">
        <v>120.0</v>
      </c>
      <c r="F57" s="48">
        <v>135.0</v>
      </c>
      <c r="G57" s="48">
        <v>740.0</v>
      </c>
      <c r="H57" s="48" t="s">
        <v>164</v>
      </c>
      <c r="I57" s="48">
        <v>6.0</v>
      </c>
      <c r="J57" s="48">
        <v>220.0</v>
      </c>
      <c r="K57" s="50" t="s">
        <v>1605</v>
      </c>
      <c r="L57" s="51">
        <v>1.0</v>
      </c>
      <c r="M57" s="51" t="s">
        <v>1729</v>
      </c>
      <c r="N57" s="48">
        <v>1850.0</v>
      </c>
      <c r="O57" s="49">
        <v>82.0</v>
      </c>
      <c r="P57" s="49">
        <v>2.1</v>
      </c>
      <c r="Q57" s="176">
        <v>29.6</v>
      </c>
      <c r="R57" s="63" t="s">
        <v>166</v>
      </c>
      <c r="S57" s="48" t="s">
        <v>174</v>
      </c>
      <c r="T57" s="48" t="s">
        <v>166</v>
      </c>
      <c r="U57" s="48" t="s">
        <v>174</v>
      </c>
      <c r="V57" s="48" t="s">
        <v>166</v>
      </c>
      <c r="W57" s="177" t="s">
        <v>174</v>
      </c>
      <c r="X57" s="177" t="s">
        <v>174</v>
      </c>
      <c r="Y57" s="195"/>
      <c r="Z57" s="183"/>
      <c r="AA57" s="66"/>
      <c r="AB57" s="66"/>
      <c r="AC57" s="66"/>
      <c r="AD57" s="66"/>
      <c r="AE57" s="66"/>
      <c r="AF57" s="66"/>
      <c r="AG57" s="66"/>
      <c r="AH57" s="66"/>
      <c r="AI57" s="66"/>
    </row>
    <row r="58">
      <c r="A58" s="174" t="s">
        <v>1639</v>
      </c>
      <c r="B58" s="175" t="s">
        <v>1822</v>
      </c>
      <c r="C58" s="51" t="s">
        <v>1770</v>
      </c>
      <c r="D58" s="51">
        <v>113.0</v>
      </c>
      <c r="E58" s="48">
        <v>125.0</v>
      </c>
      <c r="F58" s="48">
        <v>145.0</v>
      </c>
      <c r="G58" s="48">
        <v>890.0</v>
      </c>
      <c r="H58" s="48" t="s">
        <v>164</v>
      </c>
      <c r="I58" s="48">
        <v>5.0</v>
      </c>
      <c r="J58" s="182" t="s">
        <v>214</v>
      </c>
      <c r="K58" s="50" t="s">
        <v>1605</v>
      </c>
      <c r="L58" s="51">
        <v>1.0</v>
      </c>
      <c r="M58" s="51" t="s">
        <v>1729</v>
      </c>
      <c r="N58" s="48">
        <v>2000.0</v>
      </c>
      <c r="O58" s="49">
        <v>60.09</v>
      </c>
      <c r="P58" s="49">
        <v>2.34</v>
      </c>
      <c r="Q58" s="176">
        <v>22.6</v>
      </c>
      <c r="R58" s="63" t="s">
        <v>166</v>
      </c>
      <c r="S58" s="48" t="s">
        <v>174</v>
      </c>
      <c r="T58" s="48" t="s">
        <v>166</v>
      </c>
      <c r="U58" s="48" t="s">
        <v>174</v>
      </c>
      <c r="V58" s="48" t="s">
        <v>166</v>
      </c>
      <c r="W58" s="177" t="s">
        <v>174</v>
      </c>
      <c r="X58" s="177" t="s">
        <v>174</v>
      </c>
      <c r="Y58" s="195"/>
      <c r="Z58" s="183"/>
      <c r="AA58" s="66"/>
      <c r="AB58" s="66"/>
      <c r="AC58" s="66"/>
      <c r="AD58" s="66"/>
      <c r="AE58" s="66"/>
      <c r="AF58" s="66"/>
      <c r="AG58" s="66"/>
      <c r="AH58" s="66"/>
      <c r="AI58" s="66"/>
    </row>
    <row r="59">
      <c r="A59" s="174" t="s">
        <v>1639</v>
      </c>
      <c r="B59" s="196" t="s">
        <v>1823</v>
      </c>
      <c r="C59" s="51" t="s">
        <v>1770</v>
      </c>
      <c r="D59" s="51">
        <v>113.0</v>
      </c>
      <c r="E59" s="48">
        <v>125.0</v>
      </c>
      <c r="F59" s="48">
        <v>145.0</v>
      </c>
      <c r="G59" s="48">
        <v>890.0</v>
      </c>
      <c r="H59" s="48" t="s">
        <v>164</v>
      </c>
      <c r="I59" s="48">
        <v>5.0</v>
      </c>
      <c r="J59" s="182" t="s">
        <v>214</v>
      </c>
      <c r="K59" s="50" t="s">
        <v>1605</v>
      </c>
      <c r="L59" s="51">
        <v>1.0</v>
      </c>
      <c r="M59" s="51" t="s">
        <v>1729</v>
      </c>
      <c r="N59" s="48">
        <v>2000.0</v>
      </c>
      <c r="O59" s="49">
        <v>60.09</v>
      </c>
      <c r="P59" s="49">
        <v>2.34</v>
      </c>
      <c r="Q59" s="176">
        <v>22.6</v>
      </c>
      <c r="R59" s="63" t="s">
        <v>166</v>
      </c>
      <c r="S59" s="48" t="s">
        <v>174</v>
      </c>
      <c r="T59" s="48" t="s">
        <v>166</v>
      </c>
      <c r="U59" s="48" t="s">
        <v>174</v>
      </c>
      <c r="V59" s="48" t="s">
        <v>166</v>
      </c>
      <c r="W59" s="177" t="s">
        <v>174</v>
      </c>
      <c r="X59" s="177" t="s">
        <v>166</v>
      </c>
      <c r="Y59" s="197" t="s">
        <v>214</v>
      </c>
      <c r="Z59" s="183"/>
      <c r="AA59" s="66"/>
      <c r="AB59" s="66"/>
      <c r="AC59" s="66"/>
      <c r="AD59" s="66"/>
      <c r="AE59" s="66"/>
      <c r="AF59" s="66"/>
      <c r="AG59" s="66"/>
      <c r="AH59" s="66"/>
      <c r="AI59" s="66"/>
    </row>
    <row r="60">
      <c r="A60" s="174" t="s">
        <v>1634</v>
      </c>
      <c r="B60" s="196" t="s">
        <v>1824</v>
      </c>
      <c r="C60" s="51" t="s">
        <v>1743</v>
      </c>
      <c r="D60" s="51">
        <v>71.0</v>
      </c>
      <c r="E60" s="48">
        <v>120.0</v>
      </c>
      <c r="F60" s="48">
        <v>148.0</v>
      </c>
      <c r="G60" s="48">
        <v>630.0</v>
      </c>
      <c r="H60" s="48" t="s">
        <v>164</v>
      </c>
      <c r="I60" s="48">
        <v>4.0</v>
      </c>
      <c r="J60" s="48">
        <v>225.0</v>
      </c>
      <c r="K60" s="50" t="s">
        <v>1605</v>
      </c>
      <c r="L60" s="51">
        <v>1.0</v>
      </c>
      <c r="M60" s="51" t="s">
        <v>1729</v>
      </c>
      <c r="N60" s="48">
        <v>1550.0</v>
      </c>
      <c r="O60" s="49">
        <v>66.17</v>
      </c>
      <c r="P60" s="49">
        <v>1.53</v>
      </c>
      <c r="Q60" s="176">
        <v>25.6</v>
      </c>
      <c r="R60" s="63" t="s">
        <v>166</v>
      </c>
      <c r="S60" s="48" t="s">
        <v>174</v>
      </c>
      <c r="T60" s="48" t="s">
        <v>166</v>
      </c>
      <c r="U60" s="48" t="s">
        <v>174</v>
      </c>
      <c r="V60" s="48" t="s">
        <v>166</v>
      </c>
      <c r="W60" s="177" t="s">
        <v>174</v>
      </c>
      <c r="X60" s="177" t="s">
        <v>166</v>
      </c>
      <c r="Y60" s="195"/>
      <c r="Z60" s="183"/>
      <c r="AA60" s="66"/>
      <c r="AB60" s="66"/>
      <c r="AC60" s="66"/>
      <c r="AD60" s="66"/>
      <c r="AE60" s="66"/>
      <c r="AF60" s="66"/>
      <c r="AG60" s="66"/>
      <c r="AH60" s="66"/>
      <c r="AI60" s="66"/>
    </row>
    <row r="61">
      <c r="A61" s="174" t="s">
        <v>1825</v>
      </c>
      <c r="B61" s="175" t="s">
        <v>1826</v>
      </c>
      <c r="C61" s="51" t="s">
        <v>1743</v>
      </c>
      <c r="D61" s="51">
        <v>75.0</v>
      </c>
      <c r="E61" s="48">
        <v>128.0</v>
      </c>
      <c r="F61" s="48">
        <v>148.0</v>
      </c>
      <c r="G61" s="48">
        <v>761.0</v>
      </c>
      <c r="H61" s="48" t="s">
        <v>164</v>
      </c>
      <c r="I61" s="48">
        <v>5.0</v>
      </c>
      <c r="J61" s="48" t="s">
        <v>170</v>
      </c>
      <c r="K61" s="50" t="s">
        <v>1605</v>
      </c>
      <c r="L61" s="51">
        <v>1.0</v>
      </c>
      <c r="M61" s="51" t="s">
        <v>1729</v>
      </c>
      <c r="N61" s="48">
        <v>1700.0</v>
      </c>
      <c r="O61" s="49">
        <v>52.0</v>
      </c>
      <c r="P61" s="49">
        <v>3.61</v>
      </c>
      <c r="Q61" s="176">
        <v>30.8</v>
      </c>
      <c r="R61" s="63" t="s">
        <v>166</v>
      </c>
      <c r="S61" s="48" t="s">
        <v>174</v>
      </c>
      <c r="T61" s="48" t="s">
        <v>166</v>
      </c>
      <c r="U61" s="48" t="s">
        <v>174</v>
      </c>
      <c r="V61" s="48" t="s">
        <v>166</v>
      </c>
      <c r="W61" s="177" t="s">
        <v>174</v>
      </c>
      <c r="X61" s="177" t="s">
        <v>166</v>
      </c>
      <c r="Y61" s="195"/>
      <c r="Z61" s="183"/>
      <c r="AA61" s="66"/>
      <c r="AB61" s="66"/>
      <c r="AC61" s="66"/>
      <c r="AD61" s="66"/>
      <c r="AE61" s="66"/>
      <c r="AF61" s="66"/>
      <c r="AG61" s="66"/>
      <c r="AH61" s="66"/>
      <c r="AI61" s="66"/>
    </row>
    <row r="62">
      <c r="A62" s="174" t="s">
        <v>1706</v>
      </c>
      <c r="B62" s="175" t="s">
        <v>1827</v>
      </c>
      <c r="C62" s="51" t="s">
        <v>1743</v>
      </c>
      <c r="D62" s="51">
        <v>72.0</v>
      </c>
      <c r="E62" s="48">
        <v>125.0</v>
      </c>
      <c r="F62" s="48">
        <v>150.0</v>
      </c>
      <c r="G62" s="48">
        <v>614.0</v>
      </c>
      <c r="H62" s="48" t="s">
        <v>164</v>
      </c>
      <c r="I62" s="48">
        <v>4.0</v>
      </c>
      <c r="J62" s="48">
        <v>220.0</v>
      </c>
      <c r="K62" s="50" t="s">
        <v>1605</v>
      </c>
      <c r="L62" s="51">
        <v>1.0</v>
      </c>
      <c r="M62" s="51" t="s">
        <v>1729</v>
      </c>
      <c r="N62" s="48">
        <v>2000.0</v>
      </c>
      <c r="O62" s="49">
        <v>75.89</v>
      </c>
      <c r="P62" s="49">
        <v>2.53</v>
      </c>
      <c r="Q62" s="176">
        <v>31.6</v>
      </c>
      <c r="R62" s="63" t="s">
        <v>166</v>
      </c>
      <c r="S62" s="48" t="s">
        <v>174</v>
      </c>
      <c r="T62" s="48" t="s">
        <v>166</v>
      </c>
      <c r="U62" s="48" t="s">
        <v>174</v>
      </c>
      <c r="V62" s="48" t="s">
        <v>166</v>
      </c>
      <c r="W62" s="177" t="s">
        <v>174</v>
      </c>
      <c r="X62" s="177" t="s">
        <v>166</v>
      </c>
      <c r="Y62" s="195"/>
      <c r="Z62" s="183"/>
      <c r="AA62" s="66"/>
      <c r="AB62" s="66"/>
      <c r="AC62" s="66"/>
      <c r="AD62" s="66"/>
      <c r="AE62" s="66"/>
      <c r="AF62" s="66"/>
      <c r="AG62" s="66"/>
      <c r="AH62" s="66"/>
      <c r="AI62" s="66"/>
    </row>
    <row r="63">
      <c r="A63" s="174" t="s">
        <v>1706</v>
      </c>
      <c r="B63" s="175" t="s">
        <v>1828</v>
      </c>
      <c r="C63" s="51" t="s">
        <v>1743</v>
      </c>
      <c r="D63" s="51">
        <v>72.0</v>
      </c>
      <c r="E63" s="48">
        <v>125.0</v>
      </c>
      <c r="F63" s="48">
        <v>150.0</v>
      </c>
      <c r="G63" s="48">
        <v>614.0</v>
      </c>
      <c r="H63" s="48" t="s">
        <v>164</v>
      </c>
      <c r="I63" s="48">
        <v>4.0</v>
      </c>
      <c r="J63" s="48">
        <v>220.0</v>
      </c>
      <c r="K63" s="50" t="s">
        <v>1605</v>
      </c>
      <c r="L63" s="51">
        <v>1.0</v>
      </c>
      <c r="M63" s="51" t="s">
        <v>1729</v>
      </c>
      <c r="N63" s="48">
        <v>2000.0</v>
      </c>
      <c r="O63" s="49">
        <v>75.89</v>
      </c>
      <c r="P63" s="49">
        <v>2.53</v>
      </c>
      <c r="Q63" s="176">
        <v>31.6</v>
      </c>
      <c r="R63" s="63" t="s">
        <v>166</v>
      </c>
      <c r="S63" s="48" t="s">
        <v>174</v>
      </c>
      <c r="T63" s="48" t="s">
        <v>166</v>
      </c>
      <c r="U63" s="48" t="s">
        <v>174</v>
      </c>
      <c r="V63" s="48" t="s">
        <v>166</v>
      </c>
      <c r="W63" s="177" t="s">
        <v>174</v>
      </c>
      <c r="X63" s="177" t="s">
        <v>166</v>
      </c>
      <c r="Y63" s="195"/>
      <c r="Z63" s="183"/>
      <c r="AA63" s="66"/>
      <c r="AB63" s="66"/>
      <c r="AC63" s="66"/>
      <c r="AD63" s="66"/>
      <c r="AE63" s="66"/>
      <c r="AF63" s="66"/>
      <c r="AG63" s="66"/>
      <c r="AH63" s="66"/>
      <c r="AI63" s="66"/>
    </row>
    <row r="64">
      <c r="A64" s="174" t="s">
        <v>1706</v>
      </c>
      <c r="B64" s="175" t="s">
        <v>1829</v>
      </c>
      <c r="C64" s="51" t="s">
        <v>1743</v>
      </c>
      <c r="D64" s="51">
        <v>72.0</v>
      </c>
      <c r="E64" s="48">
        <v>125.0</v>
      </c>
      <c r="F64" s="48">
        <v>150.0</v>
      </c>
      <c r="G64" s="48">
        <v>614.0</v>
      </c>
      <c r="H64" s="48" t="s">
        <v>164</v>
      </c>
      <c r="I64" s="48">
        <v>4.0</v>
      </c>
      <c r="J64" s="48">
        <v>220.0</v>
      </c>
      <c r="K64" s="50" t="s">
        <v>1605</v>
      </c>
      <c r="L64" s="51">
        <v>1.0</v>
      </c>
      <c r="M64" s="51" t="s">
        <v>1729</v>
      </c>
      <c r="N64" s="48">
        <v>2000.0</v>
      </c>
      <c r="O64" s="49">
        <v>75.89</v>
      </c>
      <c r="P64" s="49">
        <v>2.53</v>
      </c>
      <c r="Q64" s="176">
        <v>31.6</v>
      </c>
      <c r="R64" s="63" t="s">
        <v>166</v>
      </c>
      <c r="S64" s="48" t="s">
        <v>174</v>
      </c>
      <c r="T64" s="48" t="s">
        <v>166</v>
      </c>
      <c r="U64" s="48" t="s">
        <v>174</v>
      </c>
      <c r="V64" s="48" t="s">
        <v>166</v>
      </c>
      <c r="W64" s="177" t="s">
        <v>174</v>
      </c>
      <c r="X64" s="177" t="s">
        <v>166</v>
      </c>
      <c r="Y64" s="195"/>
      <c r="Z64" s="183"/>
      <c r="AA64" s="66"/>
      <c r="AB64" s="66"/>
      <c r="AC64" s="66"/>
      <c r="AD64" s="66"/>
      <c r="AE64" s="66"/>
      <c r="AF64" s="66"/>
      <c r="AG64" s="66"/>
      <c r="AH64" s="66"/>
      <c r="AI64" s="66"/>
    </row>
    <row r="65">
      <c r="A65" s="174" t="s">
        <v>1706</v>
      </c>
      <c r="B65" s="175" t="s">
        <v>1830</v>
      </c>
      <c r="C65" s="51" t="s">
        <v>1743</v>
      </c>
      <c r="D65" s="51">
        <v>72.0</v>
      </c>
      <c r="E65" s="48">
        <v>125.0</v>
      </c>
      <c r="F65" s="48">
        <v>150.0</v>
      </c>
      <c r="G65" s="48">
        <v>614.0</v>
      </c>
      <c r="H65" s="48" t="s">
        <v>164</v>
      </c>
      <c r="I65" s="48">
        <v>4.0</v>
      </c>
      <c r="J65" s="48">
        <v>220.0</v>
      </c>
      <c r="K65" s="50" t="s">
        <v>1605</v>
      </c>
      <c r="L65" s="51">
        <v>1.0</v>
      </c>
      <c r="M65" s="51" t="s">
        <v>1729</v>
      </c>
      <c r="N65" s="48">
        <v>2000.0</v>
      </c>
      <c r="O65" s="49">
        <v>75.89</v>
      </c>
      <c r="P65" s="49">
        <v>2.53</v>
      </c>
      <c r="Q65" s="176">
        <v>31.6</v>
      </c>
      <c r="R65" s="63" t="s">
        <v>166</v>
      </c>
      <c r="S65" s="48" t="s">
        <v>174</v>
      </c>
      <c r="T65" s="48" t="s">
        <v>166</v>
      </c>
      <c r="U65" s="48" t="s">
        <v>174</v>
      </c>
      <c r="V65" s="48" t="s">
        <v>166</v>
      </c>
      <c r="W65" s="177" t="s">
        <v>174</v>
      </c>
      <c r="X65" s="177" t="s">
        <v>166</v>
      </c>
      <c r="Y65" s="195"/>
      <c r="Z65" s="183"/>
      <c r="AA65" s="66"/>
      <c r="AB65" s="66"/>
      <c r="AC65" s="66"/>
      <c r="AD65" s="66"/>
      <c r="AE65" s="66"/>
      <c r="AF65" s="66"/>
      <c r="AG65" s="66"/>
      <c r="AH65" s="66"/>
      <c r="AI65" s="66"/>
    </row>
    <row r="66">
      <c r="A66" s="174" t="s">
        <v>1706</v>
      </c>
      <c r="B66" s="175" t="s">
        <v>1831</v>
      </c>
      <c r="C66" s="51" t="s">
        <v>1743</v>
      </c>
      <c r="D66" s="51">
        <v>97.0</v>
      </c>
      <c r="E66" s="48">
        <v>125.0</v>
      </c>
      <c r="F66" s="48">
        <v>150.0</v>
      </c>
      <c r="G66" s="48">
        <v>748.0</v>
      </c>
      <c r="H66" s="48" t="s">
        <v>164</v>
      </c>
      <c r="I66" s="48">
        <v>4.0</v>
      </c>
      <c r="J66" s="48">
        <v>220.0</v>
      </c>
      <c r="K66" s="50" t="s">
        <v>1605</v>
      </c>
      <c r="L66" s="51">
        <v>2.0</v>
      </c>
      <c r="M66" s="51" t="s">
        <v>1729</v>
      </c>
      <c r="N66" s="48">
        <v>2000.0</v>
      </c>
      <c r="O66" s="49">
        <v>75.89</v>
      </c>
      <c r="P66" s="49">
        <v>2.53</v>
      </c>
      <c r="Q66" s="176">
        <v>31.6</v>
      </c>
      <c r="R66" s="63" t="s">
        <v>166</v>
      </c>
      <c r="S66" s="48" t="s">
        <v>174</v>
      </c>
      <c r="T66" s="48" t="s">
        <v>166</v>
      </c>
      <c r="U66" s="48" t="s">
        <v>174</v>
      </c>
      <c r="V66" s="48" t="s">
        <v>166</v>
      </c>
      <c r="W66" s="177" t="s">
        <v>174</v>
      </c>
      <c r="X66" s="177" t="s">
        <v>166</v>
      </c>
      <c r="Y66" s="195"/>
      <c r="Z66" s="183"/>
      <c r="AA66" s="66"/>
      <c r="AB66" s="66"/>
      <c r="AC66" s="66"/>
      <c r="AD66" s="66"/>
      <c r="AE66" s="66"/>
      <c r="AF66" s="66"/>
      <c r="AG66" s="66"/>
      <c r="AH66" s="66"/>
      <c r="AI66" s="66"/>
    </row>
    <row r="67">
      <c r="A67" s="174" t="s">
        <v>1611</v>
      </c>
      <c r="B67" s="175" t="s">
        <v>1832</v>
      </c>
      <c r="C67" s="51" t="s">
        <v>1743</v>
      </c>
      <c r="D67" s="51">
        <v>108.0</v>
      </c>
      <c r="E67" s="48">
        <v>128.0</v>
      </c>
      <c r="F67" s="48">
        <v>151.0</v>
      </c>
      <c r="G67" s="48">
        <v>960.0</v>
      </c>
      <c r="H67" s="48" t="s">
        <v>164</v>
      </c>
      <c r="I67" s="48">
        <v>5.0</v>
      </c>
      <c r="J67" s="48">
        <v>220.0</v>
      </c>
      <c r="K67" s="50" t="s">
        <v>1605</v>
      </c>
      <c r="L67" s="51">
        <v>2.0</v>
      </c>
      <c r="M67" s="51" t="s">
        <v>1729</v>
      </c>
      <c r="N67" s="48">
        <v>1800.0</v>
      </c>
      <c r="O67" s="49">
        <v>76.16</v>
      </c>
      <c r="P67" s="49">
        <v>2.16</v>
      </c>
      <c r="Q67" s="176">
        <v>35.2</v>
      </c>
      <c r="R67" s="63" t="s">
        <v>166</v>
      </c>
      <c r="S67" s="48" t="s">
        <v>174</v>
      </c>
      <c r="T67" s="48" t="s">
        <v>166</v>
      </c>
      <c r="U67" s="48" t="s">
        <v>174</v>
      </c>
      <c r="V67" s="48" t="s">
        <v>166</v>
      </c>
      <c r="W67" s="177" t="s">
        <v>174</v>
      </c>
      <c r="X67" s="177" t="s">
        <v>174</v>
      </c>
      <c r="Y67" s="195"/>
      <c r="Z67" s="183"/>
      <c r="AA67" s="66"/>
      <c r="AB67" s="66"/>
      <c r="AC67" s="66"/>
      <c r="AD67" s="66"/>
      <c r="AE67" s="66"/>
      <c r="AF67" s="66"/>
      <c r="AG67" s="66"/>
      <c r="AH67" s="66"/>
      <c r="AI67" s="66"/>
    </row>
    <row r="68">
      <c r="A68" s="174" t="s">
        <v>1611</v>
      </c>
      <c r="B68" s="175" t="s">
        <v>1833</v>
      </c>
      <c r="C68" s="51" t="s">
        <v>1743</v>
      </c>
      <c r="D68" s="51">
        <v>75.0</v>
      </c>
      <c r="E68" s="48">
        <v>120.0</v>
      </c>
      <c r="F68" s="48">
        <v>151.0</v>
      </c>
      <c r="G68" s="48">
        <v>650.0</v>
      </c>
      <c r="H68" s="48" t="s">
        <v>164</v>
      </c>
      <c r="I68" s="48">
        <v>4.0</v>
      </c>
      <c r="J68" s="48">
        <v>220.0</v>
      </c>
      <c r="K68" s="50" t="s">
        <v>1605</v>
      </c>
      <c r="L68" s="51">
        <v>1.0</v>
      </c>
      <c r="M68" s="51" t="s">
        <v>1729</v>
      </c>
      <c r="N68" s="48">
        <v>1500.0</v>
      </c>
      <c r="O68" s="49">
        <v>70.0</v>
      </c>
      <c r="P68" s="49">
        <v>2.15</v>
      </c>
      <c r="Q68" s="176">
        <v>28.9</v>
      </c>
      <c r="R68" s="63" t="s">
        <v>166</v>
      </c>
      <c r="S68" s="48" t="s">
        <v>174</v>
      </c>
      <c r="T68" s="48" t="s">
        <v>166</v>
      </c>
      <c r="U68" s="48" t="s">
        <v>174</v>
      </c>
      <c r="V68" s="48" t="s">
        <v>166</v>
      </c>
      <c r="W68" s="177" t="s">
        <v>174</v>
      </c>
      <c r="X68" s="177" t="s">
        <v>166</v>
      </c>
      <c r="Y68" s="195"/>
      <c r="Z68" s="183"/>
      <c r="AA68" s="66"/>
      <c r="AB68" s="66"/>
      <c r="AC68" s="66"/>
      <c r="AD68" s="66"/>
      <c r="AE68" s="66"/>
      <c r="AF68" s="66"/>
      <c r="AG68" s="66"/>
      <c r="AH68" s="66"/>
      <c r="AI68" s="66"/>
    </row>
    <row r="69">
      <c r="A69" s="174" t="s">
        <v>1611</v>
      </c>
      <c r="B69" s="175" t="s">
        <v>1834</v>
      </c>
      <c r="C69" s="51" t="s">
        <v>1743</v>
      </c>
      <c r="D69" s="51">
        <v>75.0</v>
      </c>
      <c r="E69" s="48">
        <v>120.0</v>
      </c>
      <c r="F69" s="48">
        <v>151.0</v>
      </c>
      <c r="G69" s="48">
        <v>650.0</v>
      </c>
      <c r="H69" s="48" t="s">
        <v>164</v>
      </c>
      <c r="I69" s="48">
        <v>4.0</v>
      </c>
      <c r="J69" s="48">
        <v>220.0</v>
      </c>
      <c r="K69" s="50" t="s">
        <v>1605</v>
      </c>
      <c r="L69" s="51">
        <v>1.0</v>
      </c>
      <c r="M69" s="51" t="s">
        <v>1729</v>
      </c>
      <c r="N69" s="48">
        <v>1500.0</v>
      </c>
      <c r="O69" s="49">
        <v>70.0</v>
      </c>
      <c r="P69" s="49">
        <v>2.15</v>
      </c>
      <c r="Q69" s="176">
        <v>28.9</v>
      </c>
      <c r="R69" s="63" t="s">
        <v>166</v>
      </c>
      <c r="S69" s="48" t="s">
        <v>174</v>
      </c>
      <c r="T69" s="48" t="s">
        <v>166</v>
      </c>
      <c r="U69" s="48" t="s">
        <v>174</v>
      </c>
      <c r="V69" s="48" t="s">
        <v>166</v>
      </c>
      <c r="W69" s="177" t="s">
        <v>174</v>
      </c>
      <c r="X69" s="177" t="s">
        <v>166</v>
      </c>
      <c r="Y69" s="195"/>
      <c r="Z69" s="183"/>
      <c r="AA69" s="66"/>
      <c r="AB69" s="66"/>
      <c r="AC69" s="66"/>
      <c r="AD69" s="66"/>
      <c r="AE69" s="66"/>
      <c r="AF69" s="66"/>
      <c r="AG69" s="66"/>
      <c r="AH69" s="66"/>
      <c r="AI69" s="66"/>
    </row>
    <row r="70">
      <c r="A70" s="174" t="s">
        <v>1611</v>
      </c>
      <c r="B70" s="175" t="s">
        <v>1835</v>
      </c>
      <c r="C70" s="198" t="s">
        <v>1743</v>
      </c>
      <c r="D70" s="199">
        <v>75.0</v>
      </c>
      <c r="E70" s="199">
        <v>120.0</v>
      </c>
      <c r="F70" s="200">
        <v>151.0</v>
      </c>
      <c r="G70" s="199">
        <v>650.0</v>
      </c>
      <c r="H70" s="199" t="s">
        <v>164</v>
      </c>
      <c r="I70" s="199">
        <v>4.0</v>
      </c>
      <c r="J70" s="201">
        <v>220.0</v>
      </c>
      <c r="K70" s="202" t="s">
        <v>1605</v>
      </c>
      <c r="L70" s="199">
        <v>1.0</v>
      </c>
      <c r="M70" s="199" t="s">
        <v>1729</v>
      </c>
      <c r="N70" s="203">
        <v>1500.0</v>
      </c>
      <c r="O70" s="204">
        <v>70.0</v>
      </c>
      <c r="P70" s="205">
        <v>2.15</v>
      </c>
      <c r="Q70" s="206">
        <v>28.9</v>
      </c>
      <c r="R70" s="199" t="s">
        <v>166</v>
      </c>
      <c r="S70" s="207" t="s">
        <v>174</v>
      </c>
      <c r="T70" s="199" t="s">
        <v>166</v>
      </c>
      <c r="U70" s="207" t="s">
        <v>174</v>
      </c>
      <c r="V70" s="199" t="s">
        <v>166</v>
      </c>
      <c r="W70" s="207" t="s">
        <v>174</v>
      </c>
      <c r="X70" s="208" t="s">
        <v>166</v>
      </c>
      <c r="Y70" s="195"/>
      <c r="Z70" s="183"/>
      <c r="AA70" s="66"/>
      <c r="AB70" s="66"/>
      <c r="AC70" s="66"/>
      <c r="AD70" s="66"/>
      <c r="AE70" s="66"/>
      <c r="AF70" s="66"/>
      <c r="AG70" s="66"/>
      <c r="AH70" s="66"/>
      <c r="AI70" s="66"/>
    </row>
    <row r="71">
      <c r="A71" s="174" t="s">
        <v>1611</v>
      </c>
      <c r="B71" s="175" t="s">
        <v>1836</v>
      </c>
      <c r="C71" s="198" t="s">
        <v>1743</v>
      </c>
      <c r="D71" s="199">
        <v>75.0</v>
      </c>
      <c r="E71" s="199">
        <v>120.0</v>
      </c>
      <c r="F71" s="200">
        <v>151.0</v>
      </c>
      <c r="G71" s="199">
        <v>650.0</v>
      </c>
      <c r="H71" s="199" t="s">
        <v>164</v>
      </c>
      <c r="I71" s="199">
        <v>4.0</v>
      </c>
      <c r="J71" s="201">
        <v>220.0</v>
      </c>
      <c r="K71" s="202" t="s">
        <v>1605</v>
      </c>
      <c r="L71" s="199">
        <v>1.0</v>
      </c>
      <c r="M71" s="199" t="s">
        <v>1729</v>
      </c>
      <c r="N71" s="203">
        <v>1500.0</v>
      </c>
      <c r="O71" s="204">
        <v>70.0</v>
      </c>
      <c r="P71" s="205">
        <v>2.15</v>
      </c>
      <c r="Q71" s="206">
        <v>28.9</v>
      </c>
      <c r="R71" s="199" t="s">
        <v>166</v>
      </c>
      <c r="S71" s="207" t="s">
        <v>174</v>
      </c>
      <c r="T71" s="199" t="s">
        <v>166</v>
      </c>
      <c r="U71" s="207" t="s">
        <v>174</v>
      </c>
      <c r="V71" s="199" t="s">
        <v>166</v>
      </c>
      <c r="W71" s="207" t="s">
        <v>174</v>
      </c>
      <c r="X71" s="208" t="s">
        <v>166</v>
      </c>
      <c r="Y71" s="195"/>
      <c r="Z71" s="183"/>
      <c r="AA71" s="66"/>
      <c r="AB71" s="66"/>
      <c r="AC71" s="66"/>
      <c r="AD71" s="66"/>
      <c r="AE71" s="66"/>
      <c r="AF71" s="66"/>
      <c r="AG71" s="66"/>
      <c r="AH71" s="66"/>
      <c r="AI71" s="66"/>
    </row>
    <row r="72">
      <c r="A72" s="174" t="s">
        <v>1611</v>
      </c>
      <c r="B72" s="175" t="s">
        <v>1837</v>
      </c>
      <c r="C72" s="198" t="s">
        <v>1743</v>
      </c>
      <c r="D72" s="199">
        <v>75.0</v>
      </c>
      <c r="E72" s="199">
        <v>120.0</v>
      </c>
      <c r="F72" s="200">
        <v>151.0</v>
      </c>
      <c r="G72" s="199">
        <v>650.0</v>
      </c>
      <c r="H72" s="199" t="s">
        <v>164</v>
      </c>
      <c r="I72" s="199">
        <v>4.0</v>
      </c>
      <c r="J72" s="201">
        <v>220.0</v>
      </c>
      <c r="K72" s="202" t="s">
        <v>1605</v>
      </c>
      <c r="L72" s="199">
        <v>1.0</v>
      </c>
      <c r="M72" s="199" t="s">
        <v>1729</v>
      </c>
      <c r="N72" s="203">
        <v>1500.0</v>
      </c>
      <c r="O72" s="204">
        <v>70.0</v>
      </c>
      <c r="P72" s="205">
        <v>2.15</v>
      </c>
      <c r="Q72" s="206">
        <v>28.9</v>
      </c>
      <c r="R72" s="199" t="s">
        <v>166</v>
      </c>
      <c r="S72" s="207" t="s">
        <v>174</v>
      </c>
      <c r="T72" s="199" t="s">
        <v>166</v>
      </c>
      <c r="U72" s="207" t="s">
        <v>174</v>
      </c>
      <c r="V72" s="199" t="s">
        <v>166</v>
      </c>
      <c r="W72" s="207" t="s">
        <v>174</v>
      </c>
      <c r="X72" s="208" t="s">
        <v>166</v>
      </c>
      <c r="Y72" s="195"/>
      <c r="Z72" s="183"/>
      <c r="AA72" s="66"/>
      <c r="AB72" s="66"/>
      <c r="AC72" s="66"/>
      <c r="AD72" s="66"/>
      <c r="AE72" s="66"/>
      <c r="AF72" s="66"/>
      <c r="AG72" s="66"/>
      <c r="AH72" s="66"/>
      <c r="AI72" s="66"/>
    </row>
    <row r="73">
      <c r="A73" s="174" t="s">
        <v>1532</v>
      </c>
      <c r="B73" s="175" t="s">
        <v>1838</v>
      </c>
      <c r="C73" s="51" t="s">
        <v>1743</v>
      </c>
      <c r="D73" s="51">
        <v>74.0</v>
      </c>
      <c r="E73" s="51">
        <v>125.0</v>
      </c>
      <c r="F73" s="51">
        <v>152.0</v>
      </c>
      <c r="G73" s="51" t="s">
        <v>170</v>
      </c>
      <c r="H73" s="199" t="s">
        <v>164</v>
      </c>
      <c r="I73" s="51">
        <v>4.0</v>
      </c>
      <c r="J73" s="51" t="s">
        <v>170</v>
      </c>
      <c r="K73" s="202" t="s">
        <v>1605</v>
      </c>
      <c r="L73" s="51">
        <v>1.0</v>
      </c>
      <c r="M73" s="199" t="s">
        <v>1729</v>
      </c>
      <c r="N73" s="51">
        <v>2500.0</v>
      </c>
      <c r="O73" s="81">
        <v>70.7</v>
      </c>
      <c r="P73" s="81">
        <v>3.61</v>
      </c>
      <c r="Q73" s="209">
        <v>32.8</v>
      </c>
      <c r="R73" s="51" t="s">
        <v>166</v>
      </c>
      <c r="S73" s="210" t="s">
        <v>174</v>
      </c>
      <c r="T73" s="211" t="s">
        <v>166</v>
      </c>
      <c r="U73" s="210" t="s">
        <v>174</v>
      </c>
      <c r="V73" s="211" t="s">
        <v>166</v>
      </c>
      <c r="W73" s="210" t="s">
        <v>174</v>
      </c>
      <c r="X73" s="212" t="s">
        <v>166</v>
      </c>
      <c r="Y73" s="195"/>
      <c r="Z73" s="183"/>
      <c r="AA73" s="66"/>
      <c r="AB73" s="66"/>
      <c r="AC73" s="66"/>
      <c r="AD73" s="66"/>
      <c r="AE73" s="66"/>
      <c r="AF73" s="66"/>
      <c r="AG73" s="66"/>
      <c r="AH73" s="66"/>
      <c r="AI73" s="66"/>
    </row>
    <row r="74">
      <c r="A74" s="174" t="s">
        <v>1532</v>
      </c>
      <c r="B74" s="175" t="s">
        <v>1839</v>
      </c>
      <c r="C74" s="51" t="s">
        <v>1743</v>
      </c>
      <c r="D74" s="51">
        <v>103.0</v>
      </c>
      <c r="E74" s="51">
        <v>125.0</v>
      </c>
      <c r="F74" s="51">
        <v>152.0</v>
      </c>
      <c r="G74" s="51" t="s">
        <v>170</v>
      </c>
      <c r="H74" s="199" t="s">
        <v>164</v>
      </c>
      <c r="I74" s="51">
        <v>4.0</v>
      </c>
      <c r="J74" s="51" t="s">
        <v>170</v>
      </c>
      <c r="K74" s="202" t="s">
        <v>1605</v>
      </c>
      <c r="L74" s="51">
        <v>2.0</v>
      </c>
      <c r="M74" s="199" t="s">
        <v>1729</v>
      </c>
      <c r="N74" s="51">
        <v>2500.0</v>
      </c>
      <c r="O74" s="81">
        <v>70.7</v>
      </c>
      <c r="P74" s="81">
        <v>3.61</v>
      </c>
      <c r="Q74" s="209">
        <v>32.8</v>
      </c>
      <c r="R74" s="51" t="s">
        <v>166</v>
      </c>
      <c r="S74" s="210" t="s">
        <v>174</v>
      </c>
      <c r="T74" s="211" t="s">
        <v>166</v>
      </c>
      <c r="U74" s="210" t="s">
        <v>174</v>
      </c>
      <c r="V74" s="211" t="s">
        <v>166</v>
      </c>
      <c r="W74" s="210" t="s">
        <v>174</v>
      </c>
      <c r="X74" s="212" t="s">
        <v>166</v>
      </c>
      <c r="Y74" s="195"/>
      <c r="Z74" s="183"/>
      <c r="AA74" s="66"/>
      <c r="AB74" s="66"/>
      <c r="AC74" s="66"/>
      <c r="AD74" s="66"/>
      <c r="AE74" s="66"/>
      <c r="AF74" s="66"/>
      <c r="AG74" s="66"/>
      <c r="AH74" s="66"/>
      <c r="AI74" s="66"/>
    </row>
    <row r="75">
      <c r="A75" s="174" t="s">
        <v>1532</v>
      </c>
      <c r="B75" s="175" t="s">
        <v>1840</v>
      </c>
      <c r="C75" s="51" t="s">
        <v>1743</v>
      </c>
      <c r="D75" s="51">
        <v>73.0</v>
      </c>
      <c r="E75" s="51">
        <v>124.0</v>
      </c>
      <c r="F75" s="51">
        <v>152.0</v>
      </c>
      <c r="G75" s="51">
        <v>650.0</v>
      </c>
      <c r="H75" s="48" t="s">
        <v>164</v>
      </c>
      <c r="I75" s="51">
        <v>4.0</v>
      </c>
      <c r="J75" s="51" t="s">
        <v>170</v>
      </c>
      <c r="K75" s="50" t="s">
        <v>1605</v>
      </c>
      <c r="L75" s="51">
        <v>1.0</v>
      </c>
      <c r="M75" s="51" t="s">
        <v>1729</v>
      </c>
      <c r="N75" s="51">
        <v>1750.0</v>
      </c>
      <c r="O75" s="81">
        <v>71.93</v>
      </c>
      <c r="P75" s="81">
        <v>1.86</v>
      </c>
      <c r="Q75" s="209">
        <v>27.2</v>
      </c>
      <c r="R75" s="51" t="s">
        <v>166</v>
      </c>
      <c r="S75" s="207" t="s">
        <v>174</v>
      </c>
      <c r="T75" s="199" t="s">
        <v>166</v>
      </c>
      <c r="U75" s="207" t="s">
        <v>174</v>
      </c>
      <c r="V75" s="199" t="s">
        <v>166</v>
      </c>
      <c r="W75" s="207" t="s">
        <v>174</v>
      </c>
      <c r="X75" s="208" t="s">
        <v>166</v>
      </c>
      <c r="Y75" s="195"/>
      <c r="Z75" s="183"/>
      <c r="AA75" s="66"/>
      <c r="AB75" s="66"/>
      <c r="AC75" s="66"/>
      <c r="AD75" s="66"/>
      <c r="AE75" s="66"/>
      <c r="AF75" s="66"/>
      <c r="AG75" s="66"/>
      <c r="AH75" s="66"/>
      <c r="AI75" s="66"/>
    </row>
    <row r="76">
      <c r="A76" s="174" t="s">
        <v>1611</v>
      </c>
      <c r="B76" s="175" t="s">
        <v>1841</v>
      </c>
      <c r="C76" s="51" t="s">
        <v>1743</v>
      </c>
      <c r="D76" s="51">
        <v>73.0</v>
      </c>
      <c r="E76" s="51">
        <v>120.0</v>
      </c>
      <c r="F76" s="51">
        <v>152.0</v>
      </c>
      <c r="G76" s="51">
        <v>720.0</v>
      </c>
      <c r="H76" s="48" t="s">
        <v>164</v>
      </c>
      <c r="I76" s="51">
        <v>4.0</v>
      </c>
      <c r="J76" s="51">
        <v>220.0</v>
      </c>
      <c r="K76" s="50" t="s">
        <v>1605</v>
      </c>
      <c r="L76" s="51">
        <v>1.0</v>
      </c>
      <c r="M76" s="51" t="s">
        <v>1729</v>
      </c>
      <c r="N76" s="51">
        <v>2000.0</v>
      </c>
      <c r="O76" s="81">
        <v>78.25</v>
      </c>
      <c r="P76" s="81">
        <v>2.68</v>
      </c>
      <c r="Q76" s="209">
        <v>29.85</v>
      </c>
      <c r="R76" s="51" t="s">
        <v>166</v>
      </c>
      <c r="S76" s="207" t="s">
        <v>174</v>
      </c>
      <c r="T76" s="199" t="s">
        <v>166</v>
      </c>
      <c r="U76" s="207" t="s">
        <v>174</v>
      </c>
      <c r="V76" s="199" t="s">
        <v>166</v>
      </c>
      <c r="W76" s="207" t="s">
        <v>174</v>
      </c>
      <c r="X76" s="208" t="s">
        <v>166</v>
      </c>
      <c r="Y76" s="195"/>
      <c r="Z76" s="183"/>
      <c r="AA76" s="66"/>
      <c r="AB76" s="66"/>
      <c r="AC76" s="66"/>
      <c r="AD76" s="66"/>
      <c r="AE76" s="66"/>
      <c r="AF76" s="66"/>
      <c r="AG76" s="66"/>
      <c r="AH76" s="66"/>
      <c r="AI76" s="66"/>
    </row>
    <row r="77">
      <c r="A77" s="174" t="s">
        <v>1611</v>
      </c>
      <c r="B77" s="175" t="s">
        <v>1842</v>
      </c>
      <c r="C77" s="51" t="s">
        <v>1743</v>
      </c>
      <c r="D77" s="51">
        <v>75.0</v>
      </c>
      <c r="E77" s="51">
        <v>120.0</v>
      </c>
      <c r="F77" s="51">
        <v>152.0</v>
      </c>
      <c r="G77" s="51">
        <v>730.0</v>
      </c>
      <c r="H77" s="48" t="s">
        <v>164</v>
      </c>
      <c r="I77" s="51">
        <v>4.0</v>
      </c>
      <c r="J77" s="51">
        <v>230.0</v>
      </c>
      <c r="K77" s="50" t="s">
        <v>1605</v>
      </c>
      <c r="L77" s="51">
        <v>1.0</v>
      </c>
      <c r="M77" s="51" t="s">
        <v>1843</v>
      </c>
      <c r="N77" s="51">
        <v>2000.0</v>
      </c>
      <c r="O77" s="81">
        <v>78.0</v>
      </c>
      <c r="P77" s="81">
        <v>2.68</v>
      </c>
      <c r="Q77" s="209">
        <v>29.9</v>
      </c>
      <c r="R77" s="51" t="s">
        <v>166</v>
      </c>
      <c r="S77" s="207" t="s">
        <v>174</v>
      </c>
      <c r="T77" s="199" t="s">
        <v>166</v>
      </c>
      <c r="U77" s="207" t="s">
        <v>174</v>
      </c>
      <c r="V77" s="199" t="s">
        <v>166</v>
      </c>
      <c r="W77" s="207" t="s">
        <v>174</v>
      </c>
      <c r="X77" s="208" t="s">
        <v>166</v>
      </c>
      <c r="Y77" s="195"/>
      <c r="Z77" s="183"/>
      <c r="AA77" s="66"/>
      <c r="AB77" s="66"/>
      <c r="AC77" s="66"/>
      <c r="AD77" s="66"/>
      <c r="AE77" s="66"/>
      <c r="AF77" s="66"/>
      <c r="AG77" s="66"/>
      <c r="AH77" s="66"/>
      <c r="AI77" s="66"/>
    </row>
    <row r="78">
      <c r="A78" s="174" t="s">
        <v>1611</v>
      </c>
      <c r="B78" s="175" t="s">
        <v>1844</v>
      </c>
      <c r="C78" s="51" t="s">
        <v>1743</v>
      </c>
      <c r="D78" s="51">
        <v>75.0</v>
      </c>
      <c r="E78" s="51">
        <v>120.0</v>
      </c>
      <c r="F78" s="51">
        <v>152.0</v>
      </c>
      <c r="G78" s="51">
        <v>730.0</v>
      </c>
      <c r="H78" s="48" t="s">
        <v>164</v>
      </c>
      <c r="I78" s="51">
        <v>4.0</v>
      </c>
      <c r="J78" s="51">
        <v>230.0</v>
      </c>
      <c r="K78" s="50" t="s">
        <v>1605</v>
      </c>
      <c r="L78" s="51">
        <v>1.0</v>
      </c>
      <c r="M78" s="51" t="s">
        <v>1843</v>
      </c>
      <c r="N78" s="51">
        <v>2000.0</v>
      </c>
      <c r="O78" s="81">
        <v>78.0</v>
      </c>
      <c r="P78" s="81">
        <v>2.68</v>
      </c>
      <c r="Q78" s="209">
        <v>29.9</v>
      </c>
      <c r="R78" s="51" t="s">
        <v>166</v>
      </c>
      <c r="S78" s="207" t="s">
        <v>174</v>
      </c>
      <c r="T78" s="199" t="s">
        <v>166</v>
      </c>
      <c r="U78" s="207" t="s">
        <v>174</v>
      </c>
      <c r="V78" s="199" t="s">
        <v>166</v>
      </c>
      <c r="W78" s="207" t="s">
        <v>174</v>
      </c>
      <c r="X78" s="208" t="s">
        <v>166</v>
      </c>
      <c r="Y78" s="195"/>
      <c r="Z78" s="183"/>
      <c r="AA78" s="66"/>
      <c r="AB78" s="66"/>
      <c r="AC78" s="66"/>
      <c r="AD78" s="66"/>
      <c r="AE78" s="66"/>
      <c r="AF78" s="66"/>
      <c r="AG78" s="66"/>
      <c r="AH78" s="66"/>
      <c r="AI78" s="66"/>
    </row>
    <row r="79">
      <c r="A79" s="174" t="s">
        <v>1611</v>
      </c>
      <c r="B79" s="175" t="s">
        <v>1845</v>
      </c>
      <c r="C79" s="51" t="s">
        <v>1743</v>
      </c>
      <c r="D79" s="51">
        <v>75.0</v>
      </c>
      <c r="E79" s="48">
        <v>120.0</v>
      </c>
      <c r="F79" s="48">
        <v>153.0</v>
      </c>
      <c r="G79" s="51">
        <v>830.0</v>
      </c>
      <c r="H79" s="48" t="s">
        <v>164</v>
      </c>
      <c r="I79" s="51">
        <v>4.0</v>
      </c>
      <c r="J79" s="51">
        <v>180.0</v>
      </c>
      <c r="K79" s="50" t="s">
        <v>1605</v>
      </c>
      <c r="L79" s="51">
        <v>1.0</v>
      </c>
      <c r="M79" s="51" t="s">
        <v>1729</v>
      </c>
      <c r="N79" s="48">
        <v>1800.0</v>
      </c>
      <c r="O79" s="49">
        <v>76.16</v>
      </c>
      <c r="P79" s="49">
        <v>2.16</v>
      </c>
      <c r="Q79" s="176">
        <v>35.2</v>
      </c>
      <c r="R79" s="63" t="s">
        <v>166</v>
      </c>
      <c r="S79" s="48" t="s">
        <v>174</v>
      </c>
      <c r="T79" s="48" t="s">
        <v>166</v>
      </c>
      <c r="U79" s="48" t="s">
        <v>174</v>
      </c>
      <c r="V79" s="48" t="s">
        <v>166</v>
      </c>
      <c r="W79" s="177" t="s">
        <v>174</v>
      </c>
      <c r="X79" s="177" t="s">
        <v>174</v>
      </c>
      <c r="Y79" s="195"/>
      <c r="Z79" s="183"/>
      <c r="AA79" s="66"/>
      <c r="AB79" s="66"/>
      <c r="AC79" s="66"/>
      <c r="AD79" s="66"/>
      <c r="AE79" s="66"/>
      <c r="AF79" s="66"/>
      <c r="AG79" s="66"/>
      <c r="AH79" s="66"/>
      <c r="AI79" s="66"/>
    </row>
    <row r="80">
      <c r="A80" s="174" t="s">
        <v>1630</v>
      </c>
      <c r="B80" s="175" t="s">
        <v>1846</v>
      </c>
      <c r="C80" s="51" t="s">
        <v>1743</v>
      </c>
      <c r="D80" s="51">
        <v>75.0</v>
      </c>
      <c r="E80" s="48">
        <v>120.0</v>
      </c>
      <c r="F80" s="48">
        <v>153.0</v>
      </c>
      <c r="G80" s="48">
        <v>620.0</v>
      </c>
      <c r="H80" s="48" t="s">
        <v>164</v>
      </c>
      <c r="I80" s="48">
        <v>4.0</v>
      </c>
      <c r="J80" s="48">
        <v>250.0</v>
      </c>
      <c r="K80" s="50" t="s">
        <v>1605</v>
      </c>
      <c r="L80" s="51">
        <v>1.0</v>
      </c>
      <c r="M80" s="51" t="s">
        <v>1729</v>
      </c>
      <c r="N80" s="48">
        <v>1850.0</v>
      </c>
      <c r="O80" s="49">
        <v>81.27</v>
      </c>
      <c r="P80" s="49">
        <v>2.23</v>
      </c>
      <c r="Q80" s="176">
        <v>36.8</v>
      </c>
      <c r="R80" s="63" t="s">
        <v>166</v>
      </c>
      <c r="S80" s="48" t="s">
        <v>174</v>
      </c>
      <c r="T80" s="48" t="s">
        <v>166</v>
      </c>
      <c r="U80" s="48" t="s">
        <v>174</v>
      </c>
      <c r="V80" s="48" t="s">
        <v>166</v>
      </c>
      <c r="W80" s="177" t="s">
        <v>174</v>
      </c>
      <c r="X80" s="177" t="s">
        <v>166</v>
      </c>
      <c r="Y80" s="195"/>
      <c r="Z80" s="183"/>
      <c r="AA80" s="66"/>
      <c r="AB80" s="66"/>
      <c r="AC80" s="66"/>
      <c r="AD80" s="66"/>
      <c r="AE80" s="66"/>
      <c r="AF80" s="66"/>
      <c r="AG80" s="66"/>
      <c r="AH80" s="66"/>
      <c r="AI80" s="66"/>
    </row>
    <row r="81">
      <c r="A81" s="174" t="s">
        <v>1630</v>
      </c>
      <c r="B81" s="175" t="s">
        <v>1847</v>
      </c>
      <c r="C81" s="51" t="s">
        <v>1743</v>
      </c>
      <c r="D81" s="51">
        <v>75.0</v>
      </c>
      <c r="E81" s="48">
        <v>120.0</v>
      </c>
      <c r="F81" s="48">
        <v>153.0</v>
      </c>
      <c r="G81" s="48">
        <v>620.0</v>
      </c>
      <c r="H81" s="48" t="s">
        <v>164</v>
      </c>
      <c r="I81" s="48">
        <v>4.0</v>
      </c>
      <c r="J81" s="48">
        <v>250.0</v>
      </c>
      <c r="K81" s="50" t="s">
        <v>1605</v>
      </c>
      <c r="L81" s="51">
        <v>1.0</v>
      </c>
      <c r="M81" s="51" t="s">
        <v>1729</v>
      </c>
      <c r="N81" s="48">
        <v>1850.0</v>
      </c>
      <c r="O81" s="49">
        <v>81.27</v>
      </c>
      <c r="P81" s="49">
        <v>2.23</v>
      </c>
      <c r="Q81" s="176">
        <v>36.8</v>
      </c>
      <c r="R81" s="63" t="s">
        <v>166</v>
      </c>
      <c r="S81" s="48" t="s">
        <v>174</v>
      </c>
      <c r="T81" s="48" t="s">
        <v>166</v>
      </c>
      <c r="U81" s="48" t="s">
        <v>174</v>
      </c>
      <c r="V81" s="48" t="s">
        <v>166</v>
      </c>
      <c r="W81" s="177" t="s">
        <v>174</v>
      </c>
      <c r="X81" s="177" t="s">
        <v>166</v>
      </c>
      <c r="Y81" s="195"/>
      <c r="Z81" s="183"/>
      <c r="AA81" s="66"/>
      <c r="AB81" s="66"/>
      <c r="AC81" s="66"/>
      <c r="AD81" s="66"/>
      <c r="AE81" s="66"/>
      <c r="AF81" s="66"/>
      <c r="AG81" s="66"/>
      <c r="AH81" s="66"/>
      <c r="AI81" s="66"/>
    </row>
    <row r="82">
      <c r="A82" s="174" t="s">
        <v>1630</v>
      </c>
      <c r="B82" s="175" t="s">
        <v>1848</v>
      </c>
      <c r="C82" s="51" t="s">
        <v>1743</v>
      </c>
      <c r="D82" s="51">
        <v>75.0</v>
      </c>
      <c r="E82" s="48">
        <v>120.0</v>
      </c>
      <c r="F82" s="48">
        <v>153.0</v>
      </c>
      <c r="G82" s="48">
        <v>670.0</v>
      </c>
      <c r="H82" s="48" t="s">
        <v>164</v>
      </c>
      <c r="I82" s="48">
        <v>5.0</v>
      </c>
      <c r="J82" s="48">
        <v>265.0</v>
      </c>
      <c r="K82" s="50" t="s">
        <v>1605</v>
      </c>
      <c r="L82" s="51">
        <v>1.0</v>
      </c>
      <c r="M82" s="51" t="s">
        <v>1729</v>
      </c>
      <c r="N82" s="48">
        <v>1850.0</v>
      </c>
      <c r="O82" s="49">
        <v>81.27</v>
      </c>
      <c r="P82" s="49">
        <v>2.23</v>
      </c>
      <c r="Q82" s="176">
        <v>36.8</v>
      </c>
      <c r="R82" s="63" t="s">
        <v>166</v>
      </c>
      <c r="S82" s="48" t="s">
        <v>174</v>
      </c>
      <c r="T82" s="48" t="s">
        <v>166</v>
      </c>
      <c r="U82" s="48" t="s">
        <v>174</v>
      </c>
      <c r="V82" s="48" t="s">
        <v>166</v>
      </c>
      <c r="W82" s="177" t="s">
        <v>174</v>
      </c>
      <c r="X82" s="177" t="s">
        <v>166</v>
      </c>
      <c r="Y82" s="195"/>
      <c r="Z82" s="183"/>
      <c r="AA82" s="66"/>
      <c r="AB82" s="66"/>
      <c r="AC82" s="66"/>
      <c r="AD82" s="66"/>
      <c r="AE82" s="66"/>
      <c r="AF82" s="66"/>
      <c r="AG82" s="66"/>
      <c r="AH82" s="66"/>
      <c r="AI82" s="66"/>
    </row>
    <row r="83">
      <c r="A83" s="174" t="s">
        <v>1630</v>
      </c>
      <c r="B83" s="175" t="s">
        <v>1849</v>
      </c>
      <c r="C83" s="51" t="s">
        <v>1743</v>
      </c>
      <c r="D83" s="51">
        <v>75.0</v>
      </c>
      <c r="E83" s="48">
        <v>120.0</v>
      </c>
      <c r="F83" s="48">
        <v>153.0</v>
      </c>
      <c r="G83" s="48">
        <v>670.0</v>
      </c>
      <c r="H83" s="48" t="s">
        <v>164</v>
      </c>
      <c r="I83" s="48">
        <v>5.0</v>
      </c>
      <c r="J83" s="48">
        <v>265.0</v>
      </c>
      <c r="K83" s="50" t="s">
        <v>1605</v>
      </c>
      <c r="L83" s="51">
        <v>1.0</v>
      </c>
      <c r="M83" s="51" t="s">
        <v>1729</v>
      </c>
      <c r="N83" s="48">
        <v>1850.0</v>
      </c>
      <c r="O83" s="49">
        <v>81.27</v>
      </c>
      <c r="P83" s="49">
        <v>2.23</v>
      </c>
      <c r="Q83" s="176">
        <v>36.8</v>
      </c>
      <c r="R83" s="63" t="s">
        <v>166</v>
      </c>
      <c r="S83" s="48" t="s">
        <v>174</v>
      </c>
      <c r="T83" s="48" t="s">
        <v>166</v>
      </c>
      <c r="U83" s="48" t="s">
        <v>174</v>
      </c>
      <c r="V83" s="48" t="s">
        <v>166</v>
      </c>
      <c r="W83" s="177" t="s">
        <v>174</v>
      </c>
      <c r="X83" s="177" t="s">
        <v>166</v>
      </c>
      <c r="Y83" s="195"/>
      <c r="Z83" s="183"/>
      <c r="AA83" s="66"/>
      <c r="AB83" s="66"/>
      <c r="AC83" s="66"/>
      <c r="AD83" s="66"/>
      <c r="AE83" s="66"/>
      <c r="AF83" s="66"/>
      <c r="AG83" s="66"/>
      <c r="AH83" s="66"/>
      <c r="AI83" s="66"/>
    </row>
    <row r="84">
      <c r="A84" s="174" t="s">
        <v>1427</v>
      </c>
      <c r="B84" s="175" t="s">
        <v>1850</v>
      </c>
      <c r="C84" s="51" t="s">
        <v>1770</v>
      </c>
      <c r="D84" s="51">
        <v>133.5</v>
      </c>
      <c r="E84" s="48">
        <v>121.4</v>
      </c>
      <c r="F84" s="48">
        <v>153.0</v>
      </c>
      <c r="G84" s="48">
        <v>1530.0</v>
      </c>
      <c r="H84" s="48" t="s">
        <v>164</v>
      </c>
      <c r="I84" s="48">
        <v>6.0</v>
      </c>
      <c r="J84" s="48">
        <v>270.0</v>
      </c>
      <c r="K84" s="50">
        <v>38.0</v>
      </c>
      <c r="L84" s="51">
        <v>2.0</v>
      </c>
      <c r="M84" s="51" t="s">
        <v>1729</v>
      </c>
      <c r="N84" s="48">
        <v>1950.0</v>
      </c>
      <c r="O84" s="49">
        <v>69.0</v>
      </c>
      <c r="P84" s="49">
        <v>2.82</v>
      </c>
      <c r="Q84" s="176">
        <v>26.0</v>
      </c>
      <c r="R84" s="63" t="s">
        <v>166</v>
      </c>
      <c r="S84" s="48" t="s">
        <v>174</v>
      </c>
      <c r="T84" s="48" t="s">
        <v>166</v>
      </c>
      <c r="U84" s="48" t="s">
        <v>174</v>
      </c>
      <c r="V84" s="48" t="s">
        <v>166</v>
      </c>
      <c r="W84" s="177" t="s">
        <v>174</v>
      </c>
      <c r="X84" s="177" t="s">
        <v>166</v>
      </c>
      <c r="Y84" s="195"/>
      <c r="Z84" s="183"/>
      <c r="AA84" s="66"/>
      <c r="AB84" s="66"/>
      <c r="AC84" s="66"/>
      <c r="AD84" s="66"/>
      <c r="AE84" s="66"/>
      <c r="AF84" s="66"/>
      <c r="AG84" s="66"/>
      <c r="AH84" s="66"/>
      <c r="AI84" s="66"/>
    </row>
    <row r="85">
      <c r="A85" s="174" t="s">
        <v>1532</v>
      </c>
      <c r="B85" s="175" t="s">
        <v>1851</v>
      </c>
      <c r="C85" s="51" t="s">
        <v>1743</v>
      </c>
      <c r="D85" s="51">
        <v>73.0</v>
      </c>
      <c r="E85" s="48">
        <v>124.0</v>
      </c>
      <c r="F85" s="48">
        <v>154.0</v>
      </c>
      <c r="G85" s="48">
        <v>690.0</v>
      </c>
      <c r="H85" s="48" t="s">
        <v>164</v>
      </c>
      <c r="I85" s="48">
        <v>4.0</v>
      </c>
      <c r="J85" s="48" t="s">
        <v>170</v>
      </c>
      <c r="K85" s="50" t="s">
        <v>1605</v>
      </c>
      <c r="L85" s="51">
        <v>1.0</v>
      </c>
      <c r="M85" s="51" t="s">
        <v>1729</v>
      </c>
      <c r="N85" s="48">
        <v>2050.0</v>
      </c>
      <c r="O85" s="49">
        <v>51.88</v>
      </c>
      <c r="P85" s="49">
        <v>2.89</v>
      </c>
      <c r="Q85" s="176">
        <v>27.0</v>
      </c>
      <c r="R85" s="63" t="s">
        <v>166</v>
      </c>
      <c r="S85" s="48" t="s">
        <v>174</v>
      </c>
      <c r="T85" s="48" t="s">
        <v>166</v>
      </c>
      <c r="U85" s="48" t="s">
        <v>174</v>
      </c>
      <c r="V85" s="48" t="s">
        <v>166</v>
      </c>
      <c r="W85" s="177" t="s">
        <v>174</v>
      </c>
      <c r="X85" s="177" t="s">
        <v>166</v>
      </c>
      <c r="Y85" s="195"/>
      <c r="Z85" s="183"/>
      <c r="AA85" s="66"/>
      <c r="AB85" s="66"/>
      <c r="AC85" s="66"/>
      <c r="AD85" s="66"/>
      <c r="AE85" s="66"/>
      <c r="AF85" s="66"/>
      <c r="AG85" s="66"/>
      <c r="AH85" s="66"/>
      <c r="AI85" s="66"/>
    </row>
    <row r="86">
      <c r="A86" s="174" t="s">
        <v>1532</v>
      </c>
      <c r="B86" s="175" t="s">
        <v>1852</v>
      </c>
      <c r="C86" s="51" t="s">
        <v>1743</v>
      </c>
      <c r="D86" s="51">
        <v>73.0</v>
      </c>
      <c r="E86" s="48">
        <v>124.0</v>
      </c>
      <c r="F86" s="48">
        <v>154.0</v>
      </c>
      <c r="G86" s="48">
        <v>690.0</v>
      </c>
      <c r="H86" s="48" t="s">
        <v>164</v>
      </c>
      <c r="I86" s="48">
        <v>4.0</v>
      </c>
      <c r="J86" s="48" t="s">
        <v>170</v>
      </c>
      <c r="K86" s="50" t="s">
        <v>1605</v>
      </c>
      <c r="L86" s="51">
        <v>1.0</v>
      </c>
      <c r="M86" s="51" t="s">
        <v>1729</v>
      </c>
      <c r="N86" s="48">
        <v>2050.0</v>
      </c>
      <c r="O86" s="49">
        <v>51.88</v>
      </c>
      <c r="P86" s="49">
        <v>2.89</v>
      </c>
      <c r="Q86" s="176">
        <v>27.0</v>
      </c>
      <c r="R86" s="63" t="s">
        <v>166</v>
      </c>
      <c r="S86" s="48" t="s">
        <v>174</v>
      </c>
      <c r="T86" s="48" t="s">
        <v>166</v>
      </c>
      <c r="U86" s="48" t="s">
        <v>174</v>
      </c>
      <c r="V86" s="48" t="s">
        <v>166</v>
      </c>
      <c r="W86" s="177" t="s">
        <v>174</v>
      </c>
      <c r="X86" s="177" t="s">
        <v>166</v>
      </c>
      <c r="Y86" s="195"/>
      <c r="Z86" s="183"/>
      <c r="AA86" s="66"/>
      <c r="AB86" s="66"/>
      <c r="AC86" s="66"/>
      <c r="AD86" s="66"/>
      <c r="AE86" s="66"/>
      <c r="AF86" s="66"/>
      <c r="AG86" s="66"/>
      <c r="AH86" s="66"/>
      <c r="AI86" s="66"/>
    </row>
    <row r="87">
      <c r="A87" s="174" t="s">
        <v>1611</v>
      </c>
      <c r="B87" s="175" t="s">
        <v>1853</v>
      </c>
      <c r="C87" s="51" t="s">
        <v>1770</v>
      </c>
      <c r="D87" s="51">
        <v>140.0</v>
      </c>
      <c r="E87" s="48">
        <v>120.0</v>
      </c>
      <c r="F87" s="48">
        <v>154.0</v>
      </c>
      <c r="G87" s="48">
        <v>1190.0</v>
      </c>
      <c r="H87" s="48" t="s">
        <v>164</v>
      </c>
      <c r="I87" s="48">
        <v>6.0</v>
      </c>
      <c r="J87" s="48">
        <v>270.0</v>
      </c>
      <c r="K87" s="50">
        <v>39.0</v>
      </c>
      <c r="L87" s="51">
        <v>2.0</v>
      </c>
      <c r="M87" s="51" t="s">
        <v>1729</v>
      </c>
      <c r="N87" s="48">
        <v>2000.0</v>
      </c>
      <c r="O87" s="49">
        <v>78.25</v>
      </c>
      <c r="P87" s="49">
        <v>2.68</v>
      </c>
      <c r="Q87" s="176">
        <v>29.85</v>
      </c>
      <c r="R87" s="63" t="s">
        <v>166</v>
      </c>
      <c r="S87" s="48" t="s">
        <v>174</v>
      </c>
      <c r="T87" s="48" t="s">
        <v>166</v>
      </c>
      <c r="U87" s="48" t="s">
        <v>174</v>
      </c>
      <c r="V87" s="48" t="s">
        <v>166</v>
      </c>
      <c r="W87" s="177" t="s">
        <v>174</v>
      </c>
      <c r="X87" s="177" t="s">
        <v>166</v>
      </c>
      <c r="Y87" s="195"/>
      <c r="Z87" s="183"/>
      <c r="AA87" s="66"/>
      <c r="AB87" s="66"/>
      <c r="AC87" s="66"/>
      <c r="AD87" s="66"/>
      <c r="AE87" s="66"/>
      <c r="AF87" s="66"/>
      <c r="AG87" s="66"/>
      <c r="AH87" s="66"/>
      <c r="AI87" s="66"/>
    </row>
    <row r="88">
      <c r="A88" s="174" t="s">
        <v>1611</v>
      </c>
      <c r="B88" s="175" t="s">
        <v>1854</v>
      </c>
      <c r="C88" s="51" t="s">
        <v>1770</v>
      </c>
      <c r="D88" s="51">
        <v>142.0</v>
      </c>
      <c r="E88" s="48">
        <v>120.0</v>
      </c>
      <c r="F88" s="48">
        <v>154.0</v>
      </c>
      <c r="G88" s="48">
        <v>1200.0</v>
      </c>
      <c r="H88" s="48" t="s">
        <v>164</v>
      </c>
      <c r="I88" s="48">
        <v>6.0</v>
      </c>
      <c r="J88" s="48">
        <v>270.0</v>
      </c>
      <c r="K88" s="50">
        <v>39.0</v>
      </c>
      <c r="L88" s="51">
        <v>2.0</v>
      </c>
      <c r="M88" s="51" t="s">
        <v>1843</v>
      </c>
      <c r="N88" s="48">
        <v>2000.0</v>
      </c>
      <c r="O88" s="49">
        <v>78.0</v>
      </c>
      <c r="P88" s="49">
        <v>2.68</v>
      </c>
      <c r="Q88" s="176">
        <v>29.9</v>
      </c>
      <c r="R88" s="63" t="s">
        <v>166</v>
      </c>
      <c r="S88" s="48" t="s">
        <v>174</v>
      </c>
      <c r="T88" s="48" t="s">
        <v>166</v>
      </c>
      <c r="U88" s="48" t="s">
        <v>174</v>
      </c>
      <c r="V88" s="48" t="s">
        <v>166</v>
      </c>
      <c r="W88" s="177" t="s">
        <v>174</v>
      </c>
      <c r="X88" s="177" t="s">
        <v>166</v>
      </c>
      <c r="Y88" s="195"/>
      <c r="Z88" s="183"/>
      <c r="AA88" s="66"/>
      <c r="AB88" s="66"/>
      <c r="AC88" s="66"/>
      <c r="AD88" s="66"/>
      <c r="AE88" s="66"/>
      <c r="AF88" s="66"/>
      <c r="AG88" s="66"/>
      <c r="AH88" s="66"/>
      <c r="AI88" s="66"/>
    </row>
    <row r="89">
      <c r="A89" s="174" t="s">
        <v>1611</v>
      </c>
      <c r="B89" s="175" t="s">
        <v>1855</v>
      </c>
      <c r="C89" s="51" t="s">
        <v>1770</v>
      </c>
      <c r="D89" s="51">
        <v>142.0</v>
      </c>
      <c r="E89" s="48">
        <v>120.0</v>
      </c>
      <c r="F89" s="48">
        <v>154.0</v>
      </c>
      <c r="G89" s="48">
        <v>1200.0</v>
      </c>
      <c r="H89" s="48" t="s">
        <v>164</v>
      </c>
      <c r="I89" s="48">
        <v>6.0</v>
      </c>
      <c r="J89" s="48">
        <v>270.0</v>
      </c>
      <c r="K89" s="50">
        <v>39.0</v>
      </c>
      <c r="L89" s="51">
        <v>2.0</v>
      </c>
      <c r="M89" s="51" t="s">
        <v>1843</v>
      </c>
      <c r="N89" s="48">
        <v>2000.0</v>
      </c>
      <c r="O89" s="49">
        <v>78.0</v>
      </c>
      <c r="P89" s="49">
        <v>2.68</v>
      </c>
      <c r="Q89" s="176">
        <v>29.9</v>
      </c>
      <c r="R89" s="63" t="s">
        <v>166</v>
      </c>
      <c r="S89" s="48" t="s">
        <v>174</v>
      </c>
      <c r="T89" s="48" t="s">
        <v>166</v>
      </c>
      <c r="U89" s="48" t="s">
        <v>174</v>
      </c>
      <c r="V89" s="48" t="s">
        <v>166</v>
      </c>
      <c r="W89" s="177" t="s">
        <v>174</v>
      </c>
      <c r="X89" s="177" t="s">
        <v>166</v>
      </c>
      <c r="Y89" s="195"/>
      <c r="Z89" s="183"/>
      <c r="AA89" s="66"/>
      <c r="AB89" s="66"/>
      <c r="AC89" s="66"/>
      <c r="AD89" s="66"/>
      <c r="AE89" s="66"/>
      <c r="AF89" s="66"/>
      <c r="AG89" s="66"/>
      <c r="AH89" s="66"/>
      <c r="AI89" s="66"/>
    </row>
    <row r="90">
      <c r="A90" s="174" t="s">
        <v>1611</v>
      </c>
      <c r="B90" s="175" t="s">
        <v>1856</v>
      </c>
      <c r="C90" s="51" t="s">
        <v>1770</v>
      </c>
      <c r="D90" s="51">
        <v>110.0</v>
      </c>
      <c r="E90" s="48">
        <v>120.0</v>
      </c>
      <c r="F90" s="48">
        <v>154.0</v>
      </c>
      <c r="G90" s="48">
        <v>1300.0</v>
      </c>
      <c r="H90" s="48" t="s">
        <v>164</v>
      </c>
      <c r="I90" s="48">
        <v>7.0</v>
      </c>
      <c r="J90" s="48">
        <v>280.0</v>
      </c>
      <c r="K90" s="50">
        <v>39.0</v>
      </c>
      <c r="L90" s="51">
        <v>2.0</v>
      </c>
      <c r="M90" s="51" t="s">
        <v>1729</v>
      </c>
      <c r="N90" s="48">
        <v>1800.0</v>
      </c>
      <c r="O90" s="49">
        <v>82.5</v>
      </c>
      <c r="P90" s="49">
        <v>2.55</v>
      </c>
      <c r="Q90" s="176">
        <v>35.2</v>
      </c>
      <c r="R90" s="63" t="s">
        <v>166</v>
      </c>
      <c r="S90" s="48" t="s">
        <v>174</v>
      </c>
      <c r="T90" s="48" t="s">
        <v>166</v>
      </c>
      <c r="U90" s="48" t="s">
        <v>174</v>
      </c>
      <c r="V90" s="48" t="s">
        <v>166</v>
      </c>
      <c r="W90" s="177" t="s">
        <v>174</v>
      </c>
      <c r="X90" s="177" t="s">
        <v>174</v>
      </c>
      <c r="Y90" s="195"/>
      <c r="Z90" s="183"/>
      <c r="AA90" s="66"/>
      <c r="AB90" s="66"/>
      <c r="AC90" s="66"/>
      <c r="AD90" s="66"/>
      <c r="AE90" s="66"/>
      <c r="AF90" s="66"/>
      <c r="AG90" s="66"/>
      <c r="AH90" s="66"/>
      <c r="AI90" s="66"/>
    </row>
    <row r="91">
      <c r="A91" s="174" t="s">
        <v>1611</v>
      </c>
      <c r="B91" s="175" t="s">
        <v>1857</v>
      </c>
      <c r="C91" s="51" t="s">
        <v>1743</v>
      </c>
      <c r="D91" s="51">
        <v>73.0</v>
      </c>
      <c r="E91" s="48">
        <v>120.0</v>
      </c>
      <c r="F91" s="48">
        <v>154.0</v>
      </c>
      <c r="G91" s="48">
        <v>810.0</v>
      </c>
      <c r="H91" s="48" t="s">
        <v>164</v>
      </c>
      <c r="I91" s="48">
        <v>4.0</v>
      </c>
      <c r="J91" s="48">
        <v>180.0</v>
      </c>
      <c r="K91" s="50" t="s">
        <v>1605</v>
      </c>
      <c r="L91" s="51">
        <v>1.0</v>
      </c>
      <c r="M91" s="51" t="s">
        <v>1729</v>
      </c>
      <c r="N91" s="48">
        <v>1800.0</v>
      </c>
      <c r="O91" s="49">
        <v>76.16</v>
      </c>
      <c r="P91" s="49">
        <v>2.16</v>
      </c>
      <c r="Q91" s="176">
        <v>32.5</v>
      </c>
      <c r="R91" s="63" t="s">
        <v>166</v>
      </c>
      <c r="S91" s="48" t="s">
        <v>174</v>
      </c>
      <c r="T91" s="48" t="s">
        <v>166</v>
      </c>
      <c r="U91" s="48" t="s">
        <v>174</v>
      </c>
      <c r="V91" s="48" t="s">
        <v>166</v>
      </c>
      <c r="W91" s="177" t="s">
        <v>174</v>
      </c>
      <c r="X91" s="177" t="s">
        <v>174</v>
      </c>
      <c r="Y91" s="195"/>
      <c r="Z91" s="183"/>
      <c r="AA91" s="66"/>
      <c r="AB91" s="66"/>
      <c r="AC91" s="66"/>
      <c r="AD91" s="66"/>
      <c r="AE91" s="66"/>
      <c r="AF91" s="66"/>
      <c r="AG91" s="66"/>
      <c r="AH91" s="66"/>
      <c r="AI91" s="66"/>
    </row>
    <row r="92">
      <c r="A92" s="174" t="s">
        <v>1611</v>
      </c>
      <c r="B92" s="175" t="s">
        <v>1858</v>
      </c>
      <c r="C92" s="51" t="s">
        <v>1743</v>
      </c>
      <c r="D92" s="51">
        <v>108.0</v>
      </c>
      <c r="E92" s="48">
        <v>125.0</v>
      </c>
      <c r="F92" s="48">
        <v>154.0</v>
      </c>
      <c r="G92" s="48">
        <v>950.0</v>
      </c>
      <c r="H92" s="48" t="s">
        <v>164</v>
      </c>
      <c r="I92" s="48">
        <v>5.0</v>
      </c>
      <c r="J92" s="48">
        <v>220.0</v>
      </c>
      <c r="K92" s="50" t="s">
        <v>1605</v>
      </c>
      <c r="L92" s="51">
        <v>2.0</v>
      </c>
      <c r="M92" s="51" t="s">
        <v>1729</v>
      </c>
      <c r="N92" s="48">
        <v>1800.0</v>
      </c>
      <c r="O92" s="49">
        <v>76.16</v>
      </c>
      <c r="P92" s="49">
        <v>2.16</v>
      </c>
      <c r="Q92" s="176">
        <v>35.2</v>
      </c>
      <c r="R92" s="63" t="s">
        <v>166</v>
      </c>
      <c r="S92" s="48" t="s">
        <v>174</v>
      </c>
      <c r="T92" s="48" t="s">
        <v>166</v>
      </c>
      <c r="U92" s="48" t="s">
        <v>174</v>
      </c>
      <c r="V92" s="48" t="s">
        <v>166</v>
      </c>
      <c r="W92" s="177" t="s">
        <v>174</v>
      </c>
      <c r="X92" s="177" t="s">
        <v>174</v>
      </c>
      <c r="Y92" s="195"/>
      <c r="Z92" s="183"/>
      <c r="AA92" s="66"/>
      <c r="AB92" s="66"/>
      <c r="AC92" s="66"/>
      <c r="AD92" s="66"/>
      <c r="AE92" s="66"/>
      <c r="AF92" s="66"/>
      <c r="AG92" s="66"/>
      <c r="AH92" s="66"/>
      <c r="AI92" s="66"/>
    </row>
    <row r="93">
      <c r="A93" s="174" t="s">
        <v>1611</v>
      </c>
      <c r="B93" s="175" t="s">
        <v>1859</v>
      </c>
      <c r="C93" s="51" t="s">
        <v>1743</v>
      </c>
      <c r="D93" s="51">
        <v>108.0</v>
      </c>
      <c r="E93" s="48">
        <v>125.0</v>
      </c>
      <c r="F93" s="48">
        <v>154.0</v>
      </c>
      <c r="G93" s="48">
        <v>950.0</v>
      </c>
      <c r="H93" s="48" t="s">
        <v>164</v>
      </c>
      <c r="I93" s="48">
        <v>5.0</v>
      </c>
      <c r="J93" s="48">
        <v>220.0</v>
      </c>
      <c r="K93" s="50" t="s">
        <v>1605</v>
      </c>
      <c r="L93" s="51">
        <v>2.0</v>
      </c>
      <c r="M93" s="51" t="s">
        <v>1729</v>
      </c>
      <c r="N93" s="48">
        <v>1800.0</v>
      </c>
      <c r="O93" s="49">
        <v>76.16</v>
      </c>
      <c r="P93" s="49">
        <v>2.16</v>
      </c>
      <c r="Q93" s="176">
        <v>35.2</v>
      </c>
      <c r="R93" s="63" t="s">
        <v>166</v>
      </c>
      <c r="S93" s="48" t="s">
        <v>174</v>
      </c>
      <c r="T93" s="48" t="s">
        <v>166</v>
      </c>
      <c r="U93" s="48" t="s">
        <v>174</v>
      </c>
      <c r="V93" s="48" t="s">
        <v>166</v>
      </c>
      <c r="W93" s="177" t="s">
        <v>174</v>
      </c>
      <c r="X93" s="177" t="s">
        <v>174</v>
      </c>
      <c r="Y93" s="195"/>
      <c r="Z93" s="183"/>
      <c r="AA93" s="66"/>
      <c r="AB93" s="66"/>
      <c r="AC93" s="66"/>
      <c r="AD93" s="66"/>
      <c r="AE93" s="66"/>
      <c r="AF93" s="66"/>
      <c r="AG93" s="66"/>
      <c r="AH93" s="66"/>
      <c r="AI93" s="66"/>
    </row>
    <row r="94">
      <c r="A94" s="174" t="s">
        <v>1611</v>
      </c>
      <c r="B94" s="175" t="s">
        <v>1860</v>
      </c>
      <c r="C94" s="51" t="s">
        <v>1743</v>
      </c>
      <c r="D94" s="51">
        <v>106.0</v>
      </c>
      <c r="E94" s="48">
        <v>129.0</v>
      </c>
      <c r="F94" s="48">
        <v>154.0</v>
      </c>
      <c r="G94" s="48">
        <v>1300.0</v>
      </c>
      <c r="H94" s="48" t="s">
        <v>164</v>
      </c>
      <c r="I94" s="48">
        <v>6.0</v>
      </c>
      <c r="J94" s="48">
        <v>250.0</v>
      </c>
      <c r="K94" s="50" t="s">
        <v>1605</v>
      </c>
      <c r="L94" s="51">
        <v>1.0</v>
      </c>
      <c r="M94" s="51" t="s">
        <v>1729</v>
      </c>
      <c r="N94" s="48">
        <v>1500.0</v>
      </c>
      <c r="O94" s="49">
        <v>68.2</v>
      </c>
      <c r="P94" s="49">
        <v>1.87</v>
      </c>
      <c r="Q94" s="176">
        <v>30.5</v>
      </c>
      <c r="R94" s="63" t="s">
        <v>166</v>
      </c>
      <c r="S94" s="48" t="s">
        <v>174</v>
      </c>
      <c r="T94" s="48" t="s">
        <v>166</v>
      </c>
      <c r="U94" s="48" t="s">
        <v>174</v>
      </c>
      <c r="V94" s="48" t="s">
        <v>166</v>
      </c>
      <c r="W94" s="177" t="s">
        <v>174</v>
      </c>
      <c r="X94" s="177" t="s">
        <v>174</v>
      </c>
      <c r="Y94" s="195"/>
      <c r="Z94" s="183"/>
      <c r="AA94" s="66"/>
      <c r="AB94" s="66"/>
      <c r="AC94" s="66"/>
      <c r="AD94" s="66"/>
      <c r="AE94" s="66"/>
      <c r="AF94" s="66"/>
      <c r="AG94" s="66"/>
      <c r="AH94" s="66"/>
      <c r="AI94" s="66"/>
    </row>
    <row r="95">
      <c r="A95" s="174" t="s">
        <v>1611</v>
      </c>
      <c r="B95" s="175" t="s">
        <v>1861</v>
      </c>
      <c r="C95" s="51" t="s">
        <v>1743</v>
      </c>
      <c r="D95" s="51">
        <v>106.0</v>
      </c>
      <c r="E95" s="48">
        <v>129.0</v>
      </c>
      <c r="F95" s="48">
        <v>154.0</v>
      </c>
      <c r="G95" s="48">
        <v>1300.0</v>
      </c>
      <c r="H95" s="48" t="s">
        <v>164</v>
      </c>
      <c r="I95" s="48">
        <v>6.0</v>
      </c>
      <c r="J95" s="48">
        <v>250.0</v>
      </c>
      <c r="K95" s="50" t="s">
        <v>1605</v>
      </c>
      <c r="L95" s="51">
        <v>1.0</v>
      </c>
      <c r="M95" s="51" t="s">
        <v>1729</v>
      </c>
      <c r="N95" s="48">
        <v>1500.0</v>
      </c>
      <c r="O95" s="49">
        <v>68.2</v>
      </c>
      <c r="P95" s="49">
        <v>1.87</v>
      </c>
      <c r="Q95" s="176">
        <v>30.5</v>
      </c>
      <c r="R95" s="63" t="s">
        <v>166</v>
      </c>
      <c r="S95" s="48" t="s">
        <v>174</v>
      </c>
      <c r="T95" s="48" t="s">
        <v>166</v>
      </c>
      <c r="U95" s="48" t="s">
        <v>174</v>
      </c>
      <c r="V95" s="48" t="s">
        <v>166</v>
      </c>
      <c r="W95" s="177" t="s">
        <v>174</v>
      </c>
      <c r="X95" s="177" t="s">
        <v>174</v>
      </c>
      <c r="Y95" s="195"/>
      <c r="Z95" s="183"/>
      <c r="AA95" s="66"/>
      <c r="AB95" s="66"/>
      <c r="AC95" s="66"/>
      <c r="AD95" s="66"/>
      <c r="AE95" s="66"/>
      <c r="AF95" s="66"/>
      <c r="AG95" s="66"/>
      <c r="AH95" s="66"/>
      <c r="AI95" s="66"/>
    </row>
    <row r="96">
      <c r="A96" s="174" t="s">
        <v>1611</v>
      </c>
      <c r="B96" s="175" t="s">
        <v>1862</v>
      </c>
      <c r="C96" s="51" t="s">
        <v>1743</v>
      </c>
      <c r="D96" s="51">
        <v>106.0</v>
      </c>
      <c r="E96" s="48">
        <v>129.0</v>
      </c>
      <c r="F96" s="48">
        <v>154.0</v>
      </c>
      <c r="G96" s="48">
        <v>1300.0</v>
      </c>
      <c r="H96" s="48" t="s">
        <v>164</v>
      </c>
      <c r="I96" s="48">
        <v>6.0</v>
      </c>
      <c r="J96" s="48">
        <v>250.0</v>
      </c>
      <c r="K96" s="50" t="s">
        <v>1605</v>
      </c>
      <c r="L96" s="51">
        <v>1.0</v>
      </c>
      <c r="M96" s="51" t="s">
        <v>1729</v>
      </c>
      <c r="N96" s="48">
        <v>1800.0</v>
      </c>
      <c r="O96" s="49">
        <v>76.16</v>
      </c>
      <c r="P96" s="49">
        <v>2.16</v>
      </c>
      <c r="Q96" s="176">
        <v>35.2</v>
      </c>
      <c r="R96" s="63" t="s">
        <v>166</v>
      </c>
      <c r="S96" s="48" t="s">
        <v>174</v>
      </c>
      <c r="T96" s="48" t="s">
        <v>166</v>
      </c>
      <c r="U96" s="48" t="s">
        <v>174</v>
      </c>
      <c r="V96" s="48" t="s">
        <v>166</v>
      </c>
      <c r="W96" s="177" t="s">
        <v>174</v>
      </c>
      <c r="X96" s="177" t="s">
        <v>174</v>
      </c>
      <c r="Y96" s="195"/>
      <c r="Z96" s="183"/>
      <c r="AA96" s="66"/>
      <c r="AB96" s="66"/>
      <c r="AC96" s="66"/>
      <c r="AD96" s="66"/>
      <c r="AE96" s="66"/>
      <c r="AF96" s="66"/>
      <c r="AG96" s="66"/>
      <c r="AH96" s="66"/>
      <c r="AI96" s="66"/>
    </row>
    <row r="97">
      <c r="A97" s="174" t="s">
        <v>1611</v>
      </c>
      <c r="B97" s="175" t="s">
        <v>1863</v>
      </c>
      <c r="C97" s="51" t="s">
        <v>1743</v>
      </c>
      <c r="D97" s="51">
        <v>106.0</v>
      </c>
      <c r="E97" s="48">
        <v>129.0</v>
      </c>
      <c r="F97" s="48">
        <v>154.0</v>
      </c>
      <c r="G97" s="48">
        <v>1300.0</v>
      </c>
      <c r="H97" s="48" t="s">
        <v>164</v>
      </c>
      <c r="I97" s="48">
        <v>6.0</v>
      </c>
      <c r="J97" s="48">
        <v>250.0</v>
      </c>
      <c r="K97" s="50" t="s">
        <v>1605</v>
      </c>
      <c r="L97" s="51">
        <v>1.0</v>
      </c>
      <c r="M97" s="51" t="s">
        <v>1729</v>
      </c>
      <c r="N97" s="48">
        <v>1800.0</v>
      </c>
      <c r="O97" s="49">
        <v>76.16</v>
      </c>
      <c r="P97" s="49">
        <v>2.16</v>
      </c>
      <c r="Q97" s="176">
        <v>35.2</v>
      </c>
      <c r="R97" s="63" t="s">
        <v>166</v>
      </c>
      <c r="S97" s="48" t="s">
        <v>174</v>
      </c>
      <c r="T97" s="48" t="s">
        <v>166</v>
      </c>
      <c r="U97" s="48" t="s">
        <v>174</v>
      </c>
      <c r="V97" s="48" t="s">
        <v>166</v>
      </c>
      <c r="W97" s="177" t="s">
        <v>174</v>
      </c>
      <c r="X97" s="177" t="s">
        <v>174</v>
      </c>
      <c r="Y97" s="195"/>
      <c r="Z97" s="183"/>
      <c r="AA97" s="66"/>
      <c r="AB97" s="66"/>
      <c r="AC97" s="66"/>
      <c r="AD97" s="66"/>
      <c r="AE97" s="66"/>
      <c r="AF97" s="66"/>
      <c r="AG97" s="66"/>
      <c r="AH97" s="66"/>
      <c r="AI97" s="66"/>
    </row>
    <row r="98">
      <c r="A98" s="174" t="s">
        <v>1630</v>
      </c>
      <c r="B98" s="175" t="s">
        <v>1864</v>
      </c>
      <c r="C98" s="51" t="s">
        <v>1743</v>
      </c>
      <c r="D98" s="51">
        <v>71.0</v>
      </c>
      <c r="E98" s="48">
        <v>120.0</v>
      </c>
      <c r="F98" s="48">
        <v>154.0</v>
      </c>
      <c r="G98" s="48">
        <v>554.0</v>
      </c>
      <c r="H98" s="48" t="s">
        <v>164</v>
      </c>
      <c r="I98" s="48">
        <v>4.0</v>
      </c>
      <c r="J98" s="48">
        <v>220.0</v>
      </c>
      <c r="K98" s="50" t="s">
        <v>1605</v>
      </c>
      <c r="L98" s="51">
        <v>1.0</v>
      </c>
      <c r="M98" s="51" t="s">
        <v>1729</v>
      </c>
      <c r="N98" s="48">
        <v>1500.0</v>
      </c>
      <c r="O98" s="49">
        <v>59.48</v>
      </c>
      <c r="P98" s="49">
        <v>1.81</v>
      </c>
      <c r="Q98" s="176">
        <v>32.0</v>
      </c>
      <c r="R98" s="63" t="s">
        <v>166</v>
      </c>
      <c r="S98" s="48" t="s">
        <v>174</v>
      </c>
      <c r="T98" s="48" t="s">
        <v>166</v>
      </c>
      <c r="U98" s="48" t="s">
        <v>174</v>
      </c>
      <c r="V98" s="48" t="s">
        <v>166</v>
      </c>
      <c r="W98" s="177" t="s">
        <v>174</v>
      </c>
      <c r="X98" s="177" t="s">
        <v>166</v>
      </c>
      <c r="Y98" s="195"/>
      <c r="Z98" s="183"/>
      <c r="AA98" s="66"/>
      <c r="AB98" s="66"/>
      <c r="AC98" s="66"/>
      <c r="AD98" s="66"/>
      <c r="AE98" s="66"/>
      <c r="AF98" s="66"/>
      <c r="AG98" s="66"/>
      <c r="AH98" s="66"/>
      <c r="AI98" s="66"/>
    </row>
    <row r="99">
      <c r="A99" s="174" t="s">
        <v>1630</v>
      </c>
      <c r="B99" s="175" t="s">
        <v>1865</v>
      </c>
      <c r="C99" s="51" t="s">
        <v>1743</v>
      </c>
      <c r="D99" s="51">
        <v>71.0</v>
      </c>
      <c r="E99" s="48">
        <v>120.0</v>
      </c>
      <c r="F99" s="48">
        <v>154.0</v>
      </c>
      <c r="G99" s="48">
        <v>554.0</v>
      </c>
      <c r="H99" s="48" t="s">
        <v>164</v>
      </c>
      <c r="I99" s="48">
        <v>4.0</v>
      </c>
      <c r="J99" s="48">
        <v>220.0</v>
      </c>
      <c r="K99" s="50" t="s">
        <v>1605</v>
      </c>
      <c r="L99" s="51">
        <v>1.0</v>
      </c>
      <c r="M99" s="51" t="s">
        <v>1729</v>
      </c>
      <c r="N99" s="48">
        <v>1500.0</v>
      </c>
      <c r="O99" s="49">
        <v>59.48</v>
      </c>
      <c r="P99" s="49">
        <v>1.81</v>
      </c>
      <c r="Q99" s="176">
        <v>32.0</v>
      </c>
      <c r="R99" s="63" t="s">
        <v>166</v>
      </c>
      <c r="S99" s="48" t="s">
        <v>174</v>
      </c>
      <c r="T99" s="48" t="s">
        <v>166</v>
      </c>
      <c r="U99" s="48" t="s">
        <v>174</v>
      </c>
      <c r="V99" s="48" t="s">
        <v>166</v>
      </c>
      <c r="W99" s="177" t="s">
        <v>174</v>
      </c>
      <c r="X99" s="177" t="s">
        <v>166</v>
      </c>
      <c r="Y99" s="195"/>
      <c r="Z99" s="183"/>
      <c r="AA99" s="66"/>
      <c r="AB99" s="66"/>
      <c r="AC99" s="66"/>
      <c r="AD99" s="66"/>
      <c r="AE99" s="66"/>
      <c r="AF99" s="66"/>
      <c r="AG99" s="66"/>
      <c r="AH99" s="66"/>
      <c r="AI99" s="66"/>
    </row>
    <row r="100">
      <c r="A100" s="174" t="s">
        <v>1630</v>
      </c>
      <c r="B100" s="175" t="s">
        <v>1866</v>
      </c>
      <c r="C100" s="51" t="s">
        <v>1743</v>
      </c>
      <c r="D100" s="51">
        <v>71.0</v>
      </c>
      <c r="E100" s="48">
        <v>120.0</v>
      </c>
      <c r="F100" s="48">
        <v>154.0</v>
      </c>
      <c r="G100" s="48">
        <v>554.0</v>
      </c>
      <c r="H100" s="48" t="s">
        <v>164</v>
      </c>
      <c r="I100" s="48">
        <v>4.0</v>
      </c>
      <c r="J100" s="48">
        <v>220.0</v>
      </c>
      <c r="K100" s="50" t="s">
        <v>1605</v>
      </c>
      <c r="L100" s="51">
        <v>1.0</v>
      </c>
      <c r="M100" s="51" t="s">
        <v>1729</v>
      </c>
      <c r="N100" s="48">
        <v>1500.0</v>
      </c>
      <c r="O100" s="49">
        <v>59.48</v>
      </c>
      <c r="P100" s="49">
        <v>1.81</v>
      </c>
      <c r="Q100" s="176">
        <v>32.0</v>
      </c>
      <c r="R100" s="63" t="s">
        <v>166</v>
      </c>
      <c r="S100" s="48" t="s">
        <v>174</v>
      </c>
      <c r="T100" s="48" t="s">
        <v>166</v>
      </c>
      <c r="U100" s="48" t="s">
        <v>174</v>
      </c>
      <c r="V100" s="48" t="s">
        <v>166</v>
      </c>
      <c r="W100" s="177" t="s">
        <v>174</v>
      </c>
      <c r="X100" s="177" t="s">
        <v>166</v>
      </c>
      <c r="Y100" s="195"/>
      <c r="Z100" s="183"/>
      <c r="AA100" s="66"/>
      <c r="AB100" s="66"/>
      <c r="AC100" s="66"/>
      <c r="AD100" s="66"/>
      <c r="AE100" s="66"/>
      <c r="AF100" s="66"/>
      <c r="AG100" s="66"/>
      <c r="AH100" s="66"/>
      <c r="AI100" s="66"/>
    </row>
    <row r="101">
      <c r="A101" s="174" t="s">
        <v>1085</v>
      </c>
      <c r="B101" s="175" t="s">
        <v>1867</v>
      </c>
      <c r="C101" s="51" t="s">
        <v>1743</v>
      </c>
      <c r="D101" s="51">
        <v>75.0</v>
      </c>
      <c r="E101" s="48">
        <v>120.0</v>
      </c>
      <c r="F101" s="48">
        <v>154.0</v>
      </c>
      <c r="G101" s="48" t="s">
        <v>170</v>
      </c>
      <c r="H101" s="48" t="s">
        <v>164</v>
      </c>
      <c r="I101" s="48">
        <v>5.0</v>
      </c>
      <c r="J101" s="48">
        <v>260.0</v>
      </c>
      <c r="K101" s="50" t="s">
        <v>1605</v>
      </c>
      <c r="L101" s="51">
        <v>1.0</v>
      </c>
      <c r="M101" s="51" t="s">
        <v>1729</v>
      </c>
      <c r="N101" s="48">
        <v>2000.0</v>
      </c>
      <c r="O101" s="49">
        <v>84.26</v>
      </c>
      <c r="P101" s="49">
        <v>2.67</v>
      </c>
      <c r="Q101" s="176">
        <v>35.7</v>
      </c>
      <c r="R101" s="63" t="s">
        <v>166</v>
      </c>
      <c r="S101" s="48" t="s">
        <v>174</v>
      </c>
      <c r="T101" s="48" t="s">
        <v>166</v>
      </c>
      <c r="U101" s="48" t="s">
        <v>174</v>
      </c>
      <c r="V101" s="48" t="s">
        <v>166</v>
      </c>
      <c r="W101" s="177" t="s">
        <v>174</v>
      </c>
      <c r="X101" s="177" t="s">
        <v>174</v>
      </c>
      <c r="Y101" s="195"/>
      <c r="Z101" s="183"/>
      <c r="AA101" s="66"/>
      <c r="AB101" s="66"/>
      <c r="AC101" s="66"/>
      <c r="AD101" s="66"/>
      <c r="AE101" s="66"/>
      <c r="AF101" s="66"/>
      <c r="AG101" s="66"/>
      <c r="AH101" s="66"/>
      <c r="AI101" s="66"/>
    </row>
    <row r="102">
      <c r="A102" s="174" t="s">
        <v>1387</v>
      </c>
      <c r="B102" s="175" t="s">
        <v>1868</v>
      </c>
      <c r="C102" s="51" t="s">
        <v>1770</v>
      </c>
      <c r="D102" s="51">
        <v>138.0</v>
      </c>
      <c r="E102" s="48">
        <v>128.0</v>
      </c>
      <c r="F102" s="48">
        <v>154.0</v>
      </c>
      <c r="G102" s="48">
        <v>1095.0</v>
      </c>
      <c r="H102" s="48" t="s">
        <v>164</v>
      </c>
      <c r="I102" s="48">
        <v>6.0</v>
      </c>
      <c r="J102" s="48" t="s">
        <v>170</v>
      </c>
      <c r="K102" s="50" t="s">
        <v>1605</v>
      </c>
      <c r="L102" s="51">
        <v>2.0</v>
      </c>
      <c r="M102" s="51" t="s">
        <v>1869</v>
      </c>
      <c r="N102" s="48">
        <v>1500.0</v>
      </c>
      <c r="O102" s="49">
        <v>67.62</v>
      </c>
      <c r="P102" s="49">
        <v>1.5</v>
      </c>
      <c r="Q102" s="176">
        <v>28.6</v>
      </c>
      <c r="R102" s="63" t="s">
        <v>166</v>
      </c>
      <c r="S102" s="48" t="s">
        <v>174</v>
      </c>
      <c r="T102" s="48" t="s">
        <v>166</v>
      </c>
      <c r="U102" s="48" t="s">
        <v>174</v>
      </c>
      <c r="V102" s="48" t="s">
        <v>166</v>
      </c>
      <c r="W102" s="177" t="s">
        <v>174</v>
      </c>
      <c r="X102" s="177" t="s">
        <v>174</v>
      </c>
      <c r="Y102" s="195"/>
      <c r="Z102" s="183"/>
      <c r="AA102" s="66"/>
      <c r="AB102" s="66"/>
      <c r="AC102" s="66"/>
      <c r="AD102" s="66"/>
      <c r="AE102" s="66"/>
      <c r="AF102" s="66"/>
      <c r="AG102" s="66"/>
      <c r="AH102" s="66"/>
      <c r="AI102" s="66"/>
    </row>
    <row r="103">
      <c r="A103" s="174" t="s">
        <v>1387</v>
      </c>
      <c r="B103" s="175" t="s">
        <v>1870</v>
      </c>
      <c r="C103" s="51" t="s">
        <v>1743</v>
      </c>
      <c r="D103" s="51">
        <v>106.0</v>
      </c>
      <c r="E103" s="48">
        <v>132.0</v>
      </c>
      <c r="F103" s="48">
        <v>154.0</v>
      </c>
      <c r="G103" s="48">
        <v>1013.0</v>
      </c>
      <c r="H103" s="48" t="s">
        <v>164</v>
      </c>
      <c r="I103" s="48">
        <v>6.0</v>
      </c>
      <c r="J103" s="48" t="s">
        <v>170</v>
      </c>
      <c r="K103" s="50" t="s">
        <v>1605</v>
      </c>
      <c r="L103" s="51">
        <v>1.0</v>
      </c>
      <c r="M103" s="51" t="s">
        <v>1871</v>
      </c>
      <c r="N103" s="48">
        <v>2000.0</v>
      </c>
      <c r="O103" s="49">
        <v>60.29</v>
      </c>
      <c r="P103" s="49">
        <v>2.54</v>
      </c>
      <c r="Q103" s="176">
        <v>26.88</v>
      </c>
      <c r="R103" s="63" t="s">
        <v>166</v>
      </c>
      <c r="S103" s="48" t="s">
        <v>174</v>
      </c>
      <c r="T103" s="48" t="s">
        <v>166</v>
      </c>
      <c r="U103" s="48" t="s">
        <v>174</v>
      </c>
      <c r="V103" s="48" t="s">
        <v>166</v>
      </c>
      <c r="W103" s="177" t="s">
        <v>174</v>
      </c>
      <c r="X103" s="177" t="s">
        <v>174</v>
      </c>
      <c r="Y103" s="195"/>
      <c r="Z103" s="183"/>
      <c r="AA103" s="66"/>
      <c r="AB103" s="66"/>
      <c r="AC103" s="66"/>
      <c r="AD103" s="66"/>
      <c r="AE103" s="66"/>
      <c r="AF103" s="66"/>
      <c r="AG103" s="66"/>
      <c r="AH103" s="66"/>
      <c r="AI103" s="66"/>
    </row>
    <row r="104">
      <c r="A104" s="174" t="s">
        <v>1387</v>
      </c>
      <c r="B104" s="175" t="s">
        <v>1872</v>
      </c>
      <c r="C104" s="51" t="s">
        <v>1743</v>
      </c>
      <c r="D104" s="51">
        <v>132.0</v>
      </c>
      <c r="E104" s="48">
        <v>132.0</v>
      </c>
      <c r="F104" s="48">
        <v>154.0</v>
      </c>
      <c r="G104" s="48">
        <v>1197.0</v>
      </c>
      <c r="H104" s="48" t="s">
        <v>164</v>
      </c>
      <c r="I104" s="48">
        <v>6.0</v>
      </c>
      <c r="J104" s="48" t="s">
        <v>170</v>
      </c>
      <c r="K104" s="50" t="s">
        <v>1605</v>
      </c>
      <c r="L104" s="51">
        <v>2.0</v>
      </c>
      <c r="M104" s="51" t="s">
        <v>1871</v>
      </c>
      <c r="N104" s="48">
        <v>2000.0</v>
      </c>
      <c r="O104" s="49">
        <v>60.29</v>
      </c>
      <c r="P104" s="49">
        <v>2.54</v>
      </c>
      <c r="Q104" s="176">
        <v>26.88</v>
      </c>
      <c r="R104" s="63" t="s">
        <v>166</v>
      </c>
      <c r="S104" s="48" t="s">
        <v>174</v>
      </c>
      <c r="T104" s="48" t="s">
        <v>166</v>
      </c>
      <c r="U104" s="48" t="s">
        <v>174</v>
      </c>
      <c r="V104" s="48" t="s">
        <v>166</v>
      </c>
      <c r="W104" s="177" t="s">
        <v>174</v>
      </c>
      <c r="X104" s="177" t="s">
        <v>174</v>
      </c>
      <c r="Y104" s="195"/>
      <c r="Z104" s="183"/>
      <c r="AA104" s="66"/>
      <c r="AB104" s="66"/>
      <c r="AC104" s="66"/>
      <c r="AD104" s="66"/>
      <c r="AE104" s="66"/>
      <c r="AF104" s="66"/>
      <c r="AG104" s="66"/>
      <c r="AH104" s="66"/>
      <c r="AI104" s="66"/>
    </row>
    <row r="105">
      <c r="A105" s="174" t="s">
        <v>1634</v>
      </c>
      <c r="B105" s="175" t="s">
        <v>1873</v>
      </c>
      <c r="C105" s="51" t="s">
        <v>1743</v>
      </c>
      <c r="D105" s="51">
        <v>98.0</v>
      </c>
      <c r="E105" s="48">
        <v>120.0</v>
      </c>
      <c r="F105" s="48">
        <v>154.0</v>
      </c>
      <c r="G105" s="48">
        <v>740.0</v>
      </c>
      <c r="H105" s="48" t="s">
        <v>164</v>
      </c>
      <c r="I105" s="48">
        <v>4.0</v>
      </c>
      <c r="J105" s="48" t="s">
        <v>170</v>
      </c>
      <c r="K105" s="50" t="s">
        <v>1605</v>
      </c>
      <c r="L105" s="51">
        <v>2.0</v>
      </c>
      <c r="M105" s="51" t="s">
        <v>1729</v>
      </c>
      <c r="N105" s="48">
        <v>1500.0</v>
      </c>
      <c r="O105" s="49">
        <v>66.17</v>
      </c>
      <c r="P105" s="49">
        <v>1.53</v>
      </c>
      <c r="Q105" s="176">
        <v>25.6</v>
      </c>
      <c r="R105" s="63" t="s">
        <v>166</v>
      </c>
      <c r="S105" s="48" t="s">
        <v>174</v>
      </c>
      <c r="T105" s="48" t="s">
        <v>166</v>
      </c>
      <c r="U105" s="48" t="s">
        <v>174</v>
      </c>
      <c r="V105" s="48" t="s">
        <v>166</v>
      </c>
      <c r="W105" s="177" t="s">
        <v>174</v>
      </c>
      <c r="X105" s="177" t="s">
        <v>166</v>
      </c>
      <c r="Y105" s="195"/>
      <c r="Z105" s="183"/>
      <c r="AA105" s="66"/>
      <c r="AB105" s="66"/>
      <c r="AC105" s="66"/>
      <c r="AD105" s="66"/>
      <c r="AE105" s="66"/>
      <c r="AF105" s="66"/>
      <c r="AG105" s="66"/>
      <c r="AH105" s="66"/>
      <c r="AI105" s="66"/>
    </row>
    <row r="106">
      <c r="A106" s="174" t="s">
        <v>1634</v>
      </c>
      <c r="B106" s="175" t="s">
        <v>1874</v>
      </c>
      <c r="C106" s="51" t="s">
        <v>1743</v>
      </c>
      <c r="D106" s="51">
        <v>73.0</v>
      </c>
      <c r="E106" s="48">
        <v>120.0</v>
      </c>
      <c r="F106" s="48">
        <v>154.0</v>
      </c>
      <c r="G106" s="48">
        <v>620.0</v>
      </c>
      <c r="H106" s="48" t="s">
        <v>164</v>
      </c>
      <c r="I106" s="48">
        <v>4.0</v>
      </c>
      <c r="J106" s="48" t="s">
        <v>170</v>
      </c>
      <c r="K106" s="50" t="s">
        <v>1605</v>
      </c>
      <c r="L106" s="51">
        <v>1.0</v>
      </c>
      <c r="M106" s="51" t="s">
        <v>1729</v>
      </c>
      <c r="N106" s="48">
        <v>1500.0</v>
      </c>
      <c r="O106" s="49">
        <v>66.17</v>
      </c>
      <c r="P106" s="49">
        <v>1.53</v>
      </c>
      <c r="Q106" s="176">
        <v>25.6</v>
      </c>
      <c r="R106" s="63" t="s">
        <v>166</v>
      </c>
      <c r="S106" s="48" t="s">
        <v>174</v>
      </c>
      <c r="T106" s="48" t="s">
        <v>166</v>
      </c>
      <c r="U106" s="48" t="s">
        <v>174</v>
      </c>
      <c r="V106" s="48" t="s">
        <v>166</v>
      </c>
      <c r="W106" s="177" t="s">
        <v>174</v>
      </c>
      <c r="X106" s="177" t="s">
        <v>166</v>
      </c>
      <c r="Y106" s="195"/>
      <c r="Z106" s="183"/>
      <c r="AA106" s="66"/>
      <c r="AB106" s="66"/>
      <c r="AC106" s="66"/>
      <c r="AD106" s="66"/>
      <c r="AE106" s="66"/>
      <c r="AF106" s="66"/>
      <c r="AG106" s="66"/>
      <c r="AH106" s="66"/>
      <c r="AI106" s="66"/>
    </row>
    <row r="107">
      <c r="A107" s="174" t="s">
        <v>1634</v>
      </c>
      <c r="B107" s="175" t="s">
        <v>1875</v>
      </c>
      <c r="C107" s="51" t="s">
        <v>1770</v>
      </c>
      <c r="D107" s="51">
        <v>134.0</v>
      </c>
      <c r="E107" s="48">
        <v>125.0</v>
      </c>
      <c r="F107" s="48">
        <v>154.0</v>
      </c>
      <c r="G107" s="48">
        <v>1075.0</v>
      </c>
      <c r="H107" s="48" t="s">
        <v>164</v>
      </c>
      <c r="I107" s="48">
        <v>6.0</v>
      </c>
      <c r="J107" s="48">
        <v>265.0</v>
      </c>
      <c r="K107" s="50">
        <v>39.0</v>
      </c>
      <c r="L107" s="51">
        <v>2.0</v>
      </c>
      <c r="M107" s="51" t="s">
        <v>1729</v>
      </c>
      <c r="N107" s="48">
        <v>1850.0</v>
      </c>
      <c r="O107" s="49">
        <v>82.0</v>
      </c>
      <c r="P107" s="49">
        <v>2.1</v>
      </c>
      <c r="Q107" s="176">
        <v>29.6</v>
      </c>
      <c r="R107" s="63" t="s">
        <v>166</v>
      </c>
      <c r="S107" s="48" t="s">
        <v>174</v>
      </c>
      <c r="T107" s="48" t="s">
        <v>166</v>
      </c>
      <c r="U107" s="48" t="s">
        <v>174</v>
      </c>
      <c r="V107" s="48" t="s">
        <v>166</v>
      </c>
      <c r="W107" s="177" t="s">
        <v>174</v>
      </c>
      <c r="X107" s="177" t="s">
        <v>174</v>
      </c>
      <c r="Y107" s="195"/>
      <c r="Z107" s="183"/>
      <c r="AA107" s="66"/>
      <c r="AB107" s="66"/>
      <c r="AC107" s="66"/>
      <c r="AD107" s="66"/>
      <c r="AE107" s="66"/>
      <c r="AF107" s="66"/>
      <c r="AG107" s="66"/>
      <c r="AH107" s="66"/>
      <c r="AI107" s="66"/>
    </row>
    <row r="108">
      <c r="A108" s="174" t="s">
        <v>1634</v>
      </c>
      <c r="B108" s="175" t="s">
        <v>1876</v>
      </c>
      <c r="C108" s="51" t="s">
        <v>1770</v>
      </c>
      <c r="D108" s="51">
        <v>135.0</v>
      </c>
      <c r="E108" s="48">
        <v>125.0</v>
      </c>
      <c r="F108" s="48">
        <v>154.0</v>
      </c>
      <c r="G108" s="48">
        <v>1035.0</v>
      </c>
      <c r="H108" s="48" t="s">
        <v>164</v>
      </c>
      <c r="I108" s="48">
        <v>7.0</v>
      </c>
      <c r="J108" s="48">
        <v>280.0</v>
      </c>
      <c r="K108" s="50">
        <v>39.0</v>
      </c>
      <c r="L108" s="51">
        <v>2.0</v>
      </c>
      <c r="M108" s="51" t="s">
        <v>1729</v>
      </c>
      <c r="N108" s="48">
        <v>1500.0</v>
      </c>
      <c r="O108" s="49">
        <v>66.17</v>
      </c>
      <c r="P108" s="49">
        <v>1.53</v>
      </c>
      <c r="Q108" s="176">
        <v>25.6</v>
      </c>
      <c r="R108" s="63" t="s">
        <v>166</v>
      </c>
      <c r="S108" s="48" t="s">
        <v>174</v>
      </c>
      <c r="T108" s="48" t="s">
        <v>166</v>
      </c>
      <c r="U108" s="48" t="s">
        <v>174</v>
      </c>
      <c r="V108" s="48" t="s">
        <v>166</v>
      </c>
      <c r="W108" s="177" t="s">
        <v>174</v>
      </c>
      <c r="X108" s="177" t="s">
        <v>166</v>
      </c>
      <c r="Y108" s="195"/>
      <c r="Z108" s="183"/>
      <c r="AA108" s="66"/>
      <c r="AB108" s="66"/>
      <c r="AC108" s="66"/>
      <c r="AD108" s="66"/>
      <c r="AE108" s="66"/>
      <c r="AF108" s="66"/>
      <c r="AG108" s="66"/>
      <c r="AH108" s="66"/>
      <c r="AI108" s="66"/>
    </row>
    <row r="109">
      <c r="A109" s="174" t="s">
        <v>1634</v>
      </c>
      <c r="B109" s="175" t="s">
        <v>1877</v>
      </c>
      <c r="C109" s="51" t="s">
        <v>1770</v>
      </c>
      <c r="D109" s="51">
        <v>135.0</v>
      </c>
      <c r="E109" s="48">
        <v>125.0</v>
      </c>
      <c r="F109" s="48">
        <v>154.0</v>
      </c>
      <c r="G109" s="48">
        <v>1035.0</v>
      </c>
      <c r="H109" s="48" t="s">
        <v>164</v>
      </c>
      <c r="I109" s="48">
        <v>7.0</v>
      </c>
      <c r="J109" s="48">
        <v>280.0</v>
      </c>
      <c r="K109" s="50">
        <v>39.0</v>
      </c>
      <c r="L109" s="51">
        <v>2.0</v>
      </c>
      <c r="M109" s="51" t="s">
        <v>1729</v>
      </c>
      <c r="N109" s="48">
        <v>1500.0</v>
      </c>
      <c r="O109" s="49">
        <v>66.17</v>
      </c>
      <c r="P109" s="49">
        <v>1.53</v>
      </c>
      <c r="Q109" s="176">
        <v>25.6</v>
      </c>
      <c r="R109" s="63" t="s">
        <v>166</v>
      </c>
      <c r="S109" s="48" t="s">
        <v>174</v>
      </c>
      <c r="T109" s="48" t="s">
        <v>166</v>
      </c>
      <c r="U109" s="48" t="s">
        <v>174</v>
      </c>
      <c r="V109" s="48" t="s">
        <v>166</v>
      </c>
      <c r="W109" s="177" t="s">
        <v>174</v>
      </c>
      <c r="X109" s="177" t="s">
        <v>166</v>
      </c>
      <c r="Y109" s="195"/>
      <c r="Z109" s="183"/>
      <c r="AA109" s="66"/>
      <c r="AB109" s="66"/>
      <c r="AC109" s="66"/>
      <c r="AD109" s="66"/>
      <c r="AE109" s="66"/>
      <c r="AF109" s="66"/>
      <c r="AG109" s="66"/>
      <c r="AH109" s="66"/>
      <c r="AI109" s="66"/>
    </row>
    <row r="110">
      <c r="A110" s="174" t="s">
        <v>1085</v>
      </c>
      <c r="B110" s="175" t="s">
        <v>1878</v>
      </c>
      <c r="C110" s="51" t="s">
        <v>1743</v>
      </c>
      <c r="D110" s="51">
        <v>75.0</v>
      </c>
      <c r="E110" s="48">
        <v>120.0</v>
      </c>
      <c r="F110" s="48">
        <v>154.5</v>
      </c>
      <c r="G110" s="48" t="s">
        <v>170</v>
      </c>
      <c r="H110" s="48" t="s">
        <v>164</v>
      </c>
      <c r="I110" s="48">
        <v>4.0</v>
      </c>
      <c r="J110" s="48">
        <v>255.0</v>
      </c>
      <c r="K110" s="50" t="s">
        <v>1605</v>
      </c>
      <c r="L110" s="51">
        <v>1.0</v>
      </c>
      <c r="M110" s="51" t="s">
        <v>1729</v>
      </c>
      <c r="N110" s="48">
        <v>2000.0</v>
      </c>
      <c r="O110" s="49">
        <v>84.26</v>
      </c>
      <c r="P110" s="49">
        <v>2.67</v>
      </c>
      <c r="Q110" s="176">
        <v>35.7</v>
      </c>
      <c r="R110" s="63" t="s">
        <v>166</v>
      </c>
      <c r="S110" s="48" t="s">
        <v>174</v>
      </c>
      <c r="T110" s="48" t="s">
        <v>166</v>
      </c>
      <c r="U110" s="48" t="s">
        <v>174</v>
      </c>
      <c r="V110" s="48" t="s">
        <v>166</v>
      </c>
      <c r="W110" s="177" t="s">
        <v>174</v>
      </c>
      <c r="X110" s="177" t="s">
        <v>166</v>
      </c>
      <c r="Y110" s="195"/>
      <c r="Z110" s="183"/>
      <c r="AA110" s="66"/>
      <c r="AB110" s="66"/>
      <c r="AC110" s="66"/>
      <c r="AD110" s="66"/>
      <c r="AE110" s="66"/>
      <c r="AF110" s="66"/>
      <c r="AG110" s="66"/>
      <c r="AH110" s="66"/>
      <c r="AI110" s="66"/>
    </row>
    <row r="111">
      <c r="A111" s="174" t="s">
        <v>1387</v>
      </c>
      <c r="B111" s="175" t="s">
        <v>1879</v>
      </c>
      <c r="C111" s="51" t="s">
        <v>1743</v>
      </c>
      <c r="D111" s="51">
        <v>109.5</v>
      </c>
      <c r="E111" s="48">
        <v>136.0</v>
      </c>
      <c r="F111" s="48">
        <v>154.5</v>
      </c>
      <c r="G111" s="48">
        <v>920.0</v>
      </c>
      <c r="H111" s="48" t="s">
        <v>164</v>
      </c>
      <c r="I111" s="48">
        <v>6.0</v>
      </c>
      <c r="J111" s="48" t="s">
        <v>170</v>
      </c>
      <c r="K111" s="50" t="s">
        <v>1605</v>
      </c>
      <c r="L111" s="51">
        <v>1.0</v>
      </c>
      <c r="M111" s="51" t="s">
        <v>1871</v>
      </c>
      <c r="N111" s="48">
        <v>1800.0</v>
      </c>
      <c r="O111" s="49">
        <v>51.68</v>
      </c>
      <c r="P111" s="49">
        <v>1.74</v>
      </c>
      <c r="Q111" s="176">
        <v>22.9</v>
      </c>
      <c r="R111" s="63" t="s">
        <v>174</v>
      </c>
      <c r="S111" s="48" t="s">
        <v>174</v>
      </c>
      <c r="T111" s="48" t="s">
        <v>166</v>
      </c>
      <c r="U111" s="48" t="s">
        <v>174</v>
      </c>
      <c r="V111" s="48" t="s">
        <v>166</v>
      </c>
      <c r="W111" s="177" t="s">
        <v>174</v>
      </c>
      <c r="X111" s="177" t="s">
        <v>174</v>
      </c>
      <c r="Y111" s="195"/>
      <c r="Z111" s="183"/>
      <c r="AA111" s="66"/>
      <c r="AB111" s="66"/>
      <c r="AC111" s="66"/>
      <c r="AD111" s="66"/>
      <c r="AE111" s="66"/>
      <c r="AF111" s="66"/>
      <c r="AG111" s="66"/>
      <c r="AH111" s="66"/>
      <c r="AI111" s="66"/>
    </row>
    <row r="112">
      <c r="A112" s="174" t="s">
        <v>1387</v>
      </c>
      <c r="B112" s="175" t="s">
        <v>1880</v>
      </c>
      <c r="C112" s="51" t="s">
        <v>1743</v>
      </c>
      <c r="D112" s="51">
        <v>110.0</v>
      </c>
      <c r="E112" s="48">
        <v>130.0</v>
      </c>
      <c r="F112" s="48">
        <v>154.5</v>
      </c>
      <c r="G112" s="48">
        <v>890.0</v>
      </c>
      <c r="H112" s="48" t="s">
        <v>164</v>
      </c>
      <c r="I112" s="48">
        <v>6.0</v>
      </c>
      <c r="J112" s="48" t="s">
        <v>170</v>
      </c>
      <c r="K112" s="50" t="s">
        <v>1605</v>
      </c>
      <c r="L112" s="51">
        <v>1.0</v>
      </c>
      <c r="M112" s="51" t="s">
        <v>1843</v>
      </c>
      <c r="N112" s="48">
        <v>1200.0</v>
      </c>
      <c r="O112" s="49">
        <v>51.17</v>
      </c>
      <c r="P112" s="49">
        <v>1.05</v>
      </c>
      <c r="Q112" s="176">
        <v>24.9</v>
      </c>
      <c r="R112" s="63" t="s">
        <v>174</v>
      </c>
      <c r="S112" s="48" t="s">
        <v>174</v>
      </c>
      <c r="T112" s="48" t="s">
        <v>174</v>
      </c>
      <c r="U112" s="48" t="s">
        <v>174</v>
      </c>
      <c r="V112" s="48" t="s">
        <v>174</v>
      </c>
      <c r="W112" s="177" t="s">
        <v>174</v>
      </c>
      <c r="X112" s="177" t="s">
        <v>174</v>
      </c>
      <c r="Y112" s="195"/>
      <c r="Z112" s="183"/>
      <c r="AA112" s="66"/>
      <c r="AB112" s="66"/>
      <c r="AC112" s="66"/>
      <c r="AD112" s="66"/>
      <c r="AE112" s="66"/>
      <c r="AF112" s="66"/>
      <c r="AG112" s="66"/>
      <c r="AH112" s="66"/>
      <c r="AI112" s="66"/>
    </row>
    <row r="113">
      <c r="A113" s="174" t="s">
        <v>1387</v>
      </c>
      <c r="B113" s="175" t="s">
        <v>1881</v>
      </c>
      <c r="C113" s="51" t="s">
        <v>1743</v>
      </c>
      <c r="D113" s="51">
        <v>109.5</v>
      </c>
      <c r="E113" s="48">
        <v>136.0</v>
      </c>
      <c r="F113" s="48">
        <v>154.5</v>
      </c>
      <c r="G113" s="48">
        <v>890.0</v>
      </c>
      <c r="H113" s="48" t="s">
        <v>164</v>
      </c>
      <c r="I113" s="48">
        <v>6.0</v>
      </c>
      <c r="J113" s="48" t="s">
        <v>170</v>
      </c>
      <c r="K113" s="50" t="s">
        <v>1605</v>
      </c>
      <c r="L113" s="51">
        <v>1.0</v>
      </c>
      <c r="M113" s="51" t="s">
        <v>1871</v>
      </c>
      <c r="N113" s="48">
        <v>1500.0</v>
      </c>
      <c r="O113" s="49">
        <v>67.62</v>
      </c>
      <c r="P113" s="49">
        <v>1.5</v>
      </c>
      <c r="Q113" s="176">
        <v>28.6</v>
      </c>
      <c r="R113" s="63" t="s">
        <v>174</v>
      </c>
      <c r="S113" s="48" t="s">
        <v>174</v>
      </c>
      <c r="T113" s="48" t="s">
        <v>166</v>
      </c>
      <c r="U113" s="48" t="s">
        <v>174</v>
      </c>
      <c r="V113" s="48" t="s">
        <v>166</v>
      </c>
      <c r="W113" s="177" t="s">
        <v>174</v>
      </c>
      <c r="X113" s="177" t="s">
        <v>174</v>
      </c>
      <c r="Y113" s="195"/>
      <c r="Z113" s="183"/>
      <c r="AA113" s="66"/>
      <c r="AB113" s="66"/>
      <c r="AC113" s="66"/>
      <c r="AD113" s="66"/>
      <c r="AE113" s="66"/>
      <c r="AF113" s="66"/>
      <c r="AG113" s="66"/>
      <c r="AH113" s="66"/>
      <c r="AI113" s="66"/>
    </row>
    <row r="114">
      <c r="A114" s="174" t="s">
        <v>1387</v>
      </c>
      <c r="B114" s="175" t="s">
        <v>1882</v>
      </c>
      <c r="C114" s="51" t="s">
        <v>1743</v>
      </c>
      <c r="D114" s="51">
        <v>109.5</v>
      </c>
      <c r="E114" s="48">
        <v>136.0</v>
      </c>
      <c r="F114" s="48">
        <v>154.5</v>
      </c>
      <c r="G114" s="48">
        <v>900.0</v>
      </c>
      <c r="H114" s="48" t="s">
        <v>164</v>
      </c>
      <c r="I114" s="48">
        <v>6.0</v>
      </c>
      <c r="J114" s="48" t="s">
        <v>170</v>
      </c>
      <c r="K114" s="50" t="s">
        <v>1605</v>
      </c>
      <c r="L114" s="51">
        <v>1.0</v>
      </c>
      <c r="M114" s="51" t="s">
        <v>1871</v>
      </c>
      <c r="N114" s="48">
        <v>1500.0</v>
      </c>
      <c r="O114" s="49">
        <v>67.62</v>
      </c>
      <c r="P114" s="49">
        <v>1.5</v>
      </c>
      <c r="Q114" s="176">
        <v>28.6</v>
      </c>
      <c r="R114" s="63" t="s">
        <v>174</v>
      </c>
      <c r="S114" s="48" t="s">
        <v>174</v>
      </c>
      <c r="T114" s="48" t="s">
        <v>166</v>
      </c>
      <c r="U114" s="48" t="s">
        <v>174</v>
      </c>
      <c r="V114" s="48" t="s">
        <v>166</v>
      </c>
      <c r="W114" s="177" t="s">
        <v>174</v>
      </c>
      <c r="X114" s="177" t="s">
        <v>174</v>
      </c>
      <c r="Y114" s="195"/>
      <c r="Z114" s="183"/>
      <c r="AA114" s="66"/>
      <c r="AB114" s="66"/>
      <c r="AC114" s="66"/>
      <c r="AD114" s="66"/>
      <c r="AE114" s="66"/>
      <c r="AF114" s="66"/>
      <c r="AG114" s="66"/>
      <c r="AH114" s="66"/>
      <c r="AI114" s="66"/>
    </row>
    <row r="115">
      <c r="A115" s="174" t="s">
        <v>1387</v>
      </c>
      <c r="B115" s="175" t="s">
        <v>1883</v>
      </c>
      <c r="C115" s="51" t="s">
        <v>1770</v>
      </c>
      <c r="D115" s="51">
        <v>137.0</v>
      </c>
      <c r="E115" s="48">
        <v>131.0</v>
      </c>
      <c r="F115" s="48">
        <v>154.5</v>
      </c>
      <c r="G115" s="48">
        <v>1000.0</v>
      </c>
      <c r="H115" s="48" t="s">
        <v>164</v>
      </c>
      <c r="I115" s="48">
        <v>6.0</v>
      </c>
      <c r="J115" s="48" t="s">
        <v>170</v>
      </c>
      <c r="K115" s="50" t="s">
        <v>1605</v>
      </c>
      <c r="L115" s="51">
        <v>2.0</v>
      </c>
      <c r="M115" s="51" t="s">
        <v>1884</v>
      </c>
      <c r="N115" s="48">
        <v>1200.0</v>
      </c>
      <c r="O115" s="49">
        <v>51.17</v>
      </c>
      <c r="P115" s="49">
        <v>1.05</v>
      </c>
      <c r="Q115" s="176">
        <v>24.9</v>
      </c>
      <c r="R115" s="63" t="s">
        <v>174</v>
      </c>
      <c r="S115" s="48" t="s">
        <v>174</v>
      </c>
      <c r="T115" s="48" t="s">
        <v>174</v>
      </c>
      <c r="U115" s="48" t="s">
        <v>174</v>
      </c>
      <c r="V115" s="48" t="s">
        <v>174</v>
      </c>
      <c r="W115" s="177" t="s">
        <v>174</v>
      </c>
      <c r="X115" s="177" t="s">
        <v>174</v>
      </c>
      <c r="Y115" s="195"/>
      <c r="Z115" s="183"/>
      <c r="AA115" s="66"/>
      <c r="AB115" s="66"/>
      <c r="AC115" s="66"/>
      <c r="AD115" s="66"/>
      <c r="AE115" s="66"/>
      <c r="AF115" s="66"/>
      <c r="AG115" s="66"/>
      <c r="AH115" s="66"/>
      <c r="AI115" s="66"/>
    </row>
    <row r="116">
      <c r="A116" s="174" t="s">
        <v>1387</v>
      </c>
      <c r="B116" s="175" t="s">
        <v>1885</v>
      </c>
      <c r="C116" s="51" t="s">
        <v>1770</v>
      </c>
      <c r="D116" s="51">
        <v>137.0</v>
      </c>
      <c r="E116" s="48">
        <v>129.0</v>
      </c>
      <c r="F116" s="48">
        <v>154.5</v>
      </c>
      <c r="G116" s="48">
        <v>1000.0</v>
      </c>
      <c r="H116" s="48" t="s">
        <v>164</v>
      </c>
      <c r="I116" s="48">
        <v>6.0</v>
      </c>
      <c r="J116" s="48" t="s">
        <v>170</v>
      </c>
      <c r="K116" s="50" t="s">
        <v>1605</v>
      </c>
      <c r="L116" s="51">
        <v>2.0</v>
      </c>
      <c r="M116" s="51" t="s">
        <v>1869</v>
      </c>
      <c r="N116" s="48">
        <v>1500.0</v>
      </c>
      <c r="O116" s="49">
        <v>67.62</v>
      </c>
      <c r="P116" s="49">
        <v>1.5</v>
      </c>
      <c r="Q116" s="176">
        <v>28.6</v>
      </c>
      <c r="R116" s="63" t="s">
        <v>174</v>
      </c>
      <c r="S116" s="48" t="s">
        <v>174</v>
      </c>
      <c r="T116" s="48" t="s">
        <v>166</v>
      </c>
      <c r="U116" s="48" t="s">
        <v>174</v>
      </c>
      <c r="V116" s="48" t="s">
        <v>166</v>
      </c>
      <c r="W116" s="177" t="s">
        <v>174</v>
      </c>
      <c r="X116" s="177" t="s">
        <v>174</v>
      </c>
      <c r="Y116" s="195"/>
      <c r="Z116" s="183"/>
      <c r="AA116" s="66"/>
      <c r="AB116" s="66"/>
      <c r="AC116" s="66"/>
      <c r="AD116" s="66"/>
      <c r="AE116" s="66"/>
      <c r="AF116" s="66"/>
      <c r="AG116" s="66"/>
      <c r="AH116" s="66"/>
      <c r="AI116" s="66"/>
    </row>
    <row r="117">
      <c r="A117" s="174" t="s">
        <v>1666</v>
      </c>
      <c r="B117" s="175" t="s">
        <v>1886</v>
      </c>
      <c r="C117" s="51" t="s">
        <v>1743</v>
      </c>
      <c r="D117" s="51">
        <v>87.0</v>
      </c>
      <c r="E117" s="48">
        <v>121.0</v>
      </c>
      <c r="F117" s="48">
        <v>155.0</v>
      </c>
      <c r="G117" s="48">
        <v>580.0</v>
      </c>
      <c r="H117" s="48" t="s">
        <v>164</v>
      </c>
      <c r="I117" s="48">
        <v>4.0</v>
      </c>
      <c r="J117" s="48">
        <v>150.0</v>
      </c>
      <c r="K117" s="50" t="s">
        <v>1605</v>
      </c>
      <c r="L117" s="51">
        <v>1.0</v>
      </c>
      <c r="M117" s="51" t="s">
        <v>1729</v>
      </c>
      <c r="N117" s="48">
        <v>1500.0</v>
      </c>
      <c r="O117" s="49" t="s">
        <v>170</v>
      </c>
      <c r="P117" s="49" t="s">
        <v>170</v>
      </c>
      <c r="Q117" s="176">
        <v>26.8</v>
      </c>
      <c r="R117" s="63" t="s">
        <v>166</v>
      </c>
      <c r="S117" s="48" t="s">
        <v>174</v>
      </c>
      <c r="T117" s="48" t="s">
        <v>166</v>
      </c>
      <c r="U117" s="48" t="s">
        <v>174</v>
      </c>
      <c r="V117" s="48" t="s">
        <v>166</v>
      </c>
      <c r="W117" s="177" t="s">
        <v>174</v>
      </c>
      <c r="X117" s="177" t="s">
        <v>174</v>
      </c>
      <c r="Y117" s="195"/>
      <c r="Z117" s="183"/>
      <c r="AA117" s="66"/>
      <c r="AB117" s="66"/>
      <c r="AC117" s="66"/>
      <c r="AD117" s="66"/>
      <c r="AE117" s="66"/>
      <c r="AF117" s="66"/>
      <c r="AG117" s="66"/>
      <c r="AH117" s="66"/>
      <c r="AI117" s="66"/>
    </row>
    <row r="118">
      <c r="A118" s="174" t="s">
        <v>1666</v>
      </c>
      <c r="B118" s="175" t="s">
        <v>1887</v>
      </c>
      <c r="C118" s="51" t="s">
        <v>1743</v>
      </c>
      <c r="D118" s="51">
        <v>87.0</v>
      </c>
      <c r="E118" s="48">
        <v>121.0</v>
      </c>
      <c r="F118" s="48">
        <v>155.0</v>
      </c>
      <c r="G118" s="48">
        <v>580.0</v>
      </c>
      <c r="H118" s="48" t="s">
        <v>164</v>
      </c>
      <c r="I118" s="48">
        <v>4.0</v>
      </c>
      <c r="J118" s="48">
        <v>150.0</v>
      </c>
      <c r="K118" s="50" t="s">
        <v>1605</v>
      </c>
      <c r="L118" s="51">
        <v>1.0</v>
      </c>
      <c r="M118" s="51" t="s">
        <v>1729</v>
      </c>
      <c r="N118" s="48">
        <v>1500.0</v>
      </c>
      <c r="O118" s="49" t="s">
        <v>170</v>
      </c>
      <c r="P118" s="49" t="s">
        <v>170</v>
      </c>
      <c r="Q118" s="176">
        <v>26.8</v>
      </c>
      <c r="R118" s="63" t="s">
        <v>166</v>
      </c>
      <c r="S118" s="48" t="s">
        <v>174</v>
      </c>
      <c r="T118" s="48" t="s">
        <v>166</v>
      </c>
      <c r="U118" s="48" t="s">
        <v>174</v>
      </c>
      <c r="V118" s="48" t="s">
        <v>166</v>
      </c>
      <c r="W118" s="177" t="s">
        <v>174</v>
      </c>
      <c r="X118" s="177" t="s">
        <v>174</v>
      </c>
      <c r="Y118" s="195"/>
      <c r="Z118" s="183"/>
      <c r="AA118" s="66"/>
      <c r="AB118" s="66"/>
      <c r="AC118" s="66"/>
      <c r="AD118" s="66"/>
      <c r="AE118" s="66"/>
      <c r="AF118" s="66"/>
      <c r="AG118" s="66"/>
      <c r="AH118" s="66"/>
      <c r="AI118" s="66"/>
    </row>
    <row r="119">
      <c r="A119" s="174" t="s">
        <v>1666</v>
      </c>
      <c r="B119" s="175" t="s">
        <v>1888</v>
      </c>
      <c r="C119" s="51" t="s">
        <v>1743</v>
      </c>
      <c r="D119" s="51">
        <v>87.0</v>
      </c>
      <c r="E119" s="48">
        <v>121.0</v>
      </c>
      <c r="F119" s="48">
        <v>155.0</v>
      </c>
      <c r="G119" s="48">
        <v>685.0</v>
      </c>
      <c r="H119" s="48" t="s">
        <v>164</v>
      </c>
      <c r="I119" s="48">
        <v>4.0</v>
      </c>
      <c r="J119" s="48">
        <v>150.0</v>
      </c>
      <c r="K119" s="50" t="s">
        <v>1605</v>
      </c>
      <c r="L119" s="51">
        <v>1.0</v>
      </c>
      <c r="M119" s="51" t="s">
        <v>1729</v>
      </c>
      <c r="N119" s="48">
        <v>2000.0</v>
      </c>
      <c r="O119" s="49" t="s">
        <v>170</v>
      </c>
      <c r="P119" s="49" t="s">
        <v>170</v>
      </c>
      <c r="Q119" s="176">
        <v>24.4</v>
      </c>
      <c r="R119" s="63" t="s">
        <v>166</v>
      </c>
      <c r="S119" s="48" t="s">
        <v>174</v>
      </c>
      <c r="T119" s="48" t="s">
        <v>166</v>
      </c>
      <c r="U119" s="48" t="s">
        <v>174</v>
      </c>
      <c r="V119" s="48" t="s">
        <v>166</v>
      </c>
      <c r="W119" s="177" t="s">
        <v>174</v>
      </c>
      <c r="X119" s="177" t="s">
        <v>174</v>
      </c>
      <c r="Y119" s="197" t="s">
        <v>214</v>
      </c>
      <c r="Z119" s="183"/>
      <c r="AA119" s="66"/>
      <c r="AB119" s="66"/>
      <c r="AC119" s="66"/>
      <c r="AD119" s="66"/>
      <c r="AE119" s="66"/>
      <c r="AF119" s="66"/>
      <c r="AG119" s="66"/>
      <c r="AH119" s="66"/>
      <c r="AI119" s="66"/>
    </row>
    <row r="120">
      <c r="A120" s="174" t="s">
        <v>1532</v>
      </c>
      <c r="B120" s="175" t="s">
        <v>1889</v>
      </c>
      <c r="C120" s="51" t="s">
        <v>1743</v>
      </c>
      <c r="D120" s="51">
        <v>80.0</v>
      </c>
      <c r="E120" s="48">
        <v>120.0</v>
      </c>
      <c r="F120" s="48">
        <v>155.0</v>
      </c>
      <c r="G120" s="48">
        <v>760.0</v>
      </c>
      <c r="H120" s="48" t="s">
        <v>164</v>
      </c>
      <c r="I120" s="48">
        <v>4.0</v>
      </c>
      <c r="J120" s="48" t="s">
        <v>170</v>
      </c>
      <c r="K120" s="50" t="s">
        <v>1605</v>
      </c>
      <c r="L120" s="51">
        <v>1.0</v>
      </c>
      <c r="M120" s="51" t="s">
        <v>1729</v>
      </c>
      <c r="N120" s="48">
        <v>1800.0</v>
      </c>
      <c r="O120" s="49">
        <v>62.0</v>
      </c>
      <c r="P120" s="49">
        <v>2.52</v>
      </c>
      <c r="Q120" s="176">
        <v>27.0</v>
      </c>
      <c r="R120" s="63" t="s">
        <v>174</v>
      </c>
      <c r="S120" s="48" t="s">
        <v>174</v>
      </c>
      <c r="T120" s="48" t="s">
        <v>174</v>
      </c>
      <c r="U120" s="48" t="s">
        <v>174</v>
      </c>
      <c r="V120" s="48" t="s">
        <v>174</v>
      </c>
      <c r="W120" s="177" t="s">
        <v>174</v>
      </c>
      <c r="X120" s="177" t="s">
        <v>174</v>
      </c>
      <c r="Y120" s="195"/>
      <c r="Z120" s="183"/>
      <c r="AA120" s="66"/>
      <c r="AB120" s="66"/>
      <c r="AC120" s="66"/>
      <c r="AD120" s="66"/>
      <c r="AE120" s="66"/>
      <c r="AF120" s="66"/>
      <c r="AG120" s="66"/>
      <c r="AH120" s="66"/>
      <c r="AI120" s="66"/>
    </row>
    <row r="121">
      <c r="A121" s="174" t="s">
        <v>1706</v>
      </c>
      <c r="B121" s="175" t="s">
        <v>1890</v>
      </c>
      <c r="C121" s="51" t="s">
        <v>1743</v>
      </c>
      <c r="D121" s="51">
        <v>73.0</v>
      </c>
      <c r="E121" s="48">
        <v>127.0</v>
      </c>
      <c r="F121" s="48">
        <v>155.0</v>
      </c>
      <c r="G121" s="48">
        <v>661.0</v>
      </c>
      <c r="H121" s="48" t="s">
        <v>164</v>
      </c>
      <c r="I121" s="48">
        <v>4.0</v>
      </c>
      <c r="J121" s="48">
        <v>220.0</v>
      </c>
      <c r="K121" s="50" t="s">
        <v>1605</v>
      </c>
      <c r="L121" s="51">
        <v>1.0</v>
      </c>
      <c r="M121" s="51" t="s">
        <v>1729</v>
      </c>
      <c r="N121" s="48">
        <v>1850.0</v>
      </c>
      <c r="O121" s="49">
        <v>66.47</v>
      </c>
      <c r="P121" s="49">
        <v>2.04</v>
      </c>
      <c r="Q121" s="176">
        <v>29.0</v>
      </c>
      <c r="R121" s="63" t="s">
        <v>166</v>
      </c>
      <c r="S121" s="48" t="s">
        <v>174</v>
      </c>
      <c r="T121" s="48" t="s">
        <v>166</v>
      </c>
      <c r="U121" s="48" t="s">
        <v>174</v>
      </c>
      <c r="V121" s="48" t="s">
        <v>166</v>
      </c>
      <c r="W121" s="177" t="s">
        <v>174</v>
      </c>
      <c r="X121" s="177" t="s">
        <v>166</v>
      </c>
      <c r="Y121" s="197" t="s">
        <v>214</v>
      </c>
      <c r="Z121" s="183"/>
      <c r="AA121" s="66"/>
      <c r="AB121" s="66"/>
      <c r="AC121" s="66"/>
      <c r="AD121" s="66"/>
      <c r="AE121" s="66"/>
      <c r="AF121" s="66"/>
      <c r="AG121" s="66"/>
      <c r="AH121" s="66"/>
      <c r="AI121" s="66"/>
    </row>
    <row r="122">
      <c r="A122" s="174" t="s">
        <v>1706</v>
      </c>
      <c r="B122" s="175" t="s">
        <v>1891</v>
      </c>
      <c r="C122" s="51" t="s">
        <v>1743</v>
      </c>
      <c r="D122" s="51">
        <v>73.0</v>
      </c>
      <c r="E122" s="48">
        <v>127.0</v>
      </c>
      <c r="F122" s="48">
        <v>155.0</v>
      </c>
      <c r="G122" s="48">
        <v>661.0</v>
      </c>
      <c r="H122" s="48" t="s">
        <v>164</v>
      </c>
      <c r="I122" s="48">
        <v>4.0</v>
      </c>
      <c r="J122" s="48">
        <v>220.0</v>
      </c>
      <c r="K122" s="50" t="s">
        <v>1605</v>
      </c>
      <c r="L122" s="51">
        <v>1.0</v>
      </c>
      <c r="M122" s="51" t="s">
        <v>1729</v>
      </c>
      <c r="N122" s="48">
        <v>1850.0</v>
      </c>
      <c r="O122" s="49">
        <v>66.47</v>
      </c>
      <c r="P122" s="49">
        <v>2.04</v>
      </c>
      <c r="Q122" s="176">
        <v>29.0</v>
      </c>
      <c r="R122" s="63" t="s">
        <v>166</v>
      </c>
      <c r="S122" s="48" t="s">
        <v>174</v>
      </c>
      <c r="T122" s="48" t="s">
        <v>166</v>
      </c>
      <c r="U122" s="48" t="s">
        <v>174</v>
      </c>
      <c r="V122" s="48" t="s">
        <v>166</v>
      </c>
      <c r="W122" s="177" t="s">
        <v>174</v>
      </c>
      <c r="X122" s="177" t="s">
        <v>166</v>
      </c>
      <c r="Y122" s="195"/>
      <c r="Z122" s="183"/>
      <c r="AA122" s="66"/>
      <c r="AB122" s="66"/>
      <c r="AC122" s="66"/>
      <c r="AD122" s="66"/>
      <c r="AE122" s="66"/>
      <c r="AF122" s="66"/>
      <c r="AG122" s="66"/>
      <c r="AH122" s="66"/>
      <c r="AI122" s="66"/>
    </row>
    <row r="123">
      <c r="A123" s="174" t="s">
        <v>1706</v>
      </c>
      <c r="B123" s="175" t="s">
        <v>1892</v>
      </c>
      <c r="C123" s="51" t="s">
        <v>1743</v>
      </c>
      <c r="D123" s="51">
        <v>101.0</v>
      </c>
      <c r="E123" s="48">
        <v>127.0</v>
      </c>
      <c r="F123" s="48">
        <v>155.0</v>
      </c>
      <c r="G123" s="48">
        <v>802.0</v>
      </c>
      <c r="H123" s="48" t="s">
        <v>164</v>
      </c>
      <c r="I123" s="48">
        <v>4.0</v>
      </c>
      <c r="J123" s="48">
        <v>220.0</v>
      </c>
      <c r="K123" s="50" t="s">
        <v>1605</v>
      </c>
      <c r="L123" s="51">
        <v>2.0</v>
      </c>
      <c r="M123" s="51" t="s">
        <v>1729</v>
      </c>
      <c r="N123" s="48">
        <v>1850.0</v>
      </c>
      <c r="O123" s="49">
        <v>66.47</v>
      </c>
      <c r="P123" s="49">
        <v>2.04</v>
      </c>
      <c r="Q123" s="176">
        <v>29.0</v>
      </c>
      <c r="R123" s="63" t="s">
        <v>166</v>
      </c>
      <c r="S123" s="48" t="s">
        <v>174</v>
      </c>
      <c r="T123" s="48" t="s">
        <v>166</v>
      </c>
      <c r="U123" s="48" t="s">
        <v>174</v>
      </c>
      <c r="V123" s="48" t="s">
        <v>166</v>
      </c>
      <c r="W123" s="177" t="s">
        <v>174</v>
      </c>
      <c r="X123" s="177" t="s">
        <v>166</v>
      </c>
      <c r="Y123" s="195"/>
      <c r="Z123" s="183"/>
      <c r="AA123" s="66"/>
      <c r="AB123" s="66"/>
      <c r="AC123" s="66"/>
      <c r="AD123" s="66"/>
      <c r="AE123" s="66"/>
      <c r="AF123" s="66"/>
      <c r="AG123" s="66"/>
      <c r="AH123" s="66"/>
      <c r="AI123" s="66"/>
    </row>
    <row r="124">
      <c r="A124" s="174" t="s">
        <v>1706</v>
      </c>
      <c r="B124" s="175" t="s">
        <v>1893</v>
      </c>
      <c r="C124" s="51" t="s">
        <v>1743</v>
      </c>
      <c r="D124" s="51">
        <v>84.0</v>
      </c>
      <c r="E124" s="48">
        <v>125.0</v>
      </c>
      <c r="F124" s="48">
        <v>155.0</v>
      </c>
      <c r="G124" s="48">
        <v>861.0</v>
      </c>
      <c r="H124" s="48" t="s">
        <v>164</v>
      </c>
      <c r="I124" s="48">
        <v>5.0</v>
      </c>
      <c r="J124" s="48">
        <v>240.0</v>
      </c>
      <c r="K124" s="50" t="s">
        <v>1605</v>
      </c>
      <c r="L124" s="51">
        <v>1.0</v>
      </c>
      <c r="M124" s="51" t="s">
        <v>1729</v>
      </c>
      <c r="N124" s="48">
        <v>1850.0</v>
      </c>
      <c r="O124" s="49">
        <v>67.88</v>
      </c>
      <c r="P124" s="49">
        <v>2.04</v>
      </c>
      <c r="Q124" s="176">
        <v>29.4</v>
      </c>
      <c r="R124" s="63" t="s">
        <v>166</v>
      </c>
      <c r="S124" s="48" t="s">
        <v>174</v>
      </c>
      <c r="T124" s="48" t="s">
        <v>166</v>
      </c>
      <c r="U124" s="48" t="s">
        <v>174</v>
      </c>
      <c r="V124" s="48" t="s">
        <v>166</v>
      </c>
      <c r="W124" s="177" t="s">
        <v>174</v>
      </c>
      <c r="X124" s="177" t="s">
        <v>166</v>
      </c>
      <c r="Y124" s="195"/>
      <c r="Z124" s="183"/>
      <c r="AA124" s="66"/>
      <c r="AB124" s="66"/>
      <c r="AC124" s="66"/>
      <c r="AD124" s="66"/>
      <c r="AE124" s="66"/>
      <c r="AF124" s="66"/>
      <c r="AG124" s="66"/>
      <c r="AH124" s="66"/>
      <c r="AI124" s="66"/>
    </row>
    <row r="125">
      <c r="A125" s="174" t="s">
        <v>1706</v>
      </c>
      <c r="B125" s="175" t="s">
        <v>1894</v>
      </c>
      <c r="C125" s="51" t="s">
        <v>1743</v>
      </c>
      <c r="D125" s="51">
        <v>84.0</v>
      </c>
      <c r="E125" s="48">
        <v>125.0</v>
      </c>
      <c r="F125" s="48">
        <v>155.0</v>
      </c>
      <c r="G125" s="48">
        <v>861.0</v>
      </c>
      <c r="H125" s="48" t="s">
        <v>164</v>
      </c>
      <c r="I125" s="48">
        <v>5.0</v>
      </c>
      <c r="J125" s="48">
        <v>240.0</v>
      </c>
      <c r="K125" s="50" t="s">
        <v>1605</v>
      </c>
      <c r="L125" s="51">
        <v>1.0</v>
      </c>
      <c r="M125" s="51" t="s">
        <v>1729</v>
      </c>
      <c r="N125" s="48">
        <v>1850.0</v>
      </c>
      <c r="O125" s="49">
        <v>67.88</v>
      </c>
      <c r="P125" s="49">
        <v>2.04</v>
      </c>
      <c r="Q125" s="176">
        <v>29.4</v>
      </c>
      <c r="R125" s="63" t="s">
        <v>166</v>
      </c>
      <c r="S125" s="48" t="s">
        <v>174</v>
      </c>
      <c r="T125" s="48" t="s">
        <v>166</v>
      </c>
      <c r="U125" s="48" t="s">
        <v>174</v>
      </c>
      <c r="V125" s="48" t="s">
        <v>166</v>
      </c>
      <c r="W125" s="177" t="s">
        <v>174</v>
      </c>
      <c r="X125" s="177" t="s">
        <v>166</v>
      </c>
      <c r="Y125" s="195"/>
      <c r="Z125" s="183"/>
      <c r="AA125" s="66"/>
      <c r="AB125" s="66"/>
      <c r="AC125" s="66"/>
      <c r="AD125" s="66"/>
      <c r="AE125" s="66"/>
      <c r="AF125" s="66"/>
      <c r="AG125" s="66"/>
      <c r="AH125" s="66"/>
      <c r="AI125" s="66"/>
    </row>
    <row r="126">
      <c r="A126" s="174" t="s">
        <v>1706</v>
      </c>
      <c r="B126" s="175" t="s">
        <v>1895</v>
      </c>
      <c r="C126" s="51" t="s">
        <v>1743</v>
      </c>
      <c r="D126" s="51">
        <v>84.0</v>
      </c>
      <c r="E126" s="48">
        <v>125.0</v>
      </c>
      <c r="F126" s="48">
        <v>155.0</v>
      </c>
      <c r="G126" s="48">
        <v>861.0</v>
      </c>
      <c r="H126" s="48" t="s">
        <v>164</v>
      </c>
      <c r="I126" s="48">
        <v>5.0</v>
      </c>
      <c r="J126" s="48">
        <v>240.0</v>
      </c>
      <c r="K126" s="50" t="s">
        <v>1605</v>
      </c>
      <c r="L126" s="51">
        <v>1.0</v>
      </c>
      <c r="M126" s="51" t="s">
        <v>1729</v>
      </c>
      <c r="N126" s="48">
        <v>1850.0</v>
      </c>
      <c r="O126" s="49">
        <v>67.88</v>
      </c>
      <c r="P126" s="49">
        <v>2.04</v>
      </c>
      <c r="Q126" s="176">
        <v>29.4</v>
      </c>
      <c r="R126" s="63" t="s">
        <v>166</v>
      </c>
      <c r="S126" s="48" t="s">
        <v>174</v>
      </c>
      <c r="T126" s="48" t="s">
        <v>166</v>
      </c>
      <c r="U126" s="48" t="s">
        <v>174</v>
      </c>
      <c r="V126" s="48" t="s">
        <v>166</v>
      </c>
      <c r="W126" s="177" t="s">
        <v>174</v>
      </c>
      <c r="X126" s="177" t="s">
        <v>166</v>
      </c>
      <c r="Y126" s="195"/>
      <c r="Z126" s="183"/>
      <c r="AA126" s="66"/>
      <c r="AB126" s="66"/>
      <c r="AC126" s="66"/>
      <c r="AD126" s="66"/>
      <c r="AE126" s="66"/>
      <c r="AF126" s="66"/>
      <c r="AG126" s="66"/>
      <c r="AH126" s="66"/>
      <c r="AI126" s="66"/>
    </row>
    <row r="127">
      <c r="A127" s="174" t="s">
        <v>1611</v>
      </c>
      <c r="B127" s="175" t="s">
        <v>1896</v>
      </c>
      <c r="C127" s="51" t="s">
        <v>1743</v>
      </c>
      <c r="D127" s="51">
        <v>92.0</v>
      </c>
      <c r="E127" s="48">
        <v>120.0</v>
      </c>
      <c r="F127" s="48">
        <v>155.0</v>
      </c>
      <c r="G127" s="48">
        <v>925.0</v>
      </c>
      <c r="H127" s="48" t="s">
        <v>164</v>
      </c>
      <c r="I127" s="48">
        <v>6.0</v>
      </c>
      <c r="J127" s="48">
        <v>250.0</v>
      </c>
      <c r="K127" s="50" t="s">
        <v>1605</v>
      </c>
      <c r="L127" s="51">
        <v>1.0</v>
      </c>
      <c r="M127" s="51" t="s">
        <v>1729</v>
      </c>
      <c r="N127" s="48">
        <v>2000.0</v>
      </c>
      <c r="O127" s="49">
        <v>78.25</v>
      </c>
      <c r="P127" s="49">
        <v>2.68</v>
      </c>
      <c r="Q127" s="176">
        <v>29.85</v>
      </c>
      <c r="R127" s="63" t="s">
        <v>166</v>
      </c>
      <c r="S127" s="48" t="s">
        <v>174</v>
      </c>
      <c r="T127" s="48" t="s">
        <v>166</v>
      </c>
      <c r="U127" s="48" t="s">
        <v>174</v>
      </c>
      <c r="V127" s="48" t="s">
        <v>166</v>
      </c>
      <c r="W127" s="177" t="s">
        <v>174</v>
      </c>
      <c r="X127" s="177" t="s">
        <v>174</v>
      </c>
      <c r="Y127" s="195"/>
      <c r="Z127" s="183"/>
      <c r="AA127" s="66"/>
      <c r="AB127" s="66"/>
      <c r="AC127" s="66"/>
      <c r="AD127" s="66"/>
      <c r="AE127" s="66"/>
      <c r="AF127" s="66"/>
      <c r="AG127" s="66"/>
      <c r="AH127" s="66"/>
      <c r="AI127" s="66"/>
    </row>
    <row r="128">
      <c r="A128" s="174" t="s">
        <v>1611</v>
      </c>
      <c r="B128" s="175" t="s">
        <v>1897</v>
      </c>
      <c r="C128" s="51" t="s">
        <v>1743</v>
      </c>
      <c r="D128" s="51">
        <v>94.0</v>
      </c>
      <c r="E128" s="48">
        <v>120.0</v>
      </c>
      <c r="F128" s="48">
        <v>155.0</v>
      </c>
      <c r="G128" s="48">
        <v>940.0</v>
      </c>
      <c r="H128" s="48" t="s">
        <v>164</v>
      </c>
      <c r="I128" s="48">
        <v>6.0</v>
      </c>
      <c r="J128" s="48">
        <v>250.0</v>
      </c>
      <c r="K128" s="50" t="s">
        <v>1605</v>
      </c>
      <c r="L128" s="51">
        <v>1.0</v>
      </c>
      <c r="M128" s="51" t="s">
        <v>1843</v>
      </c>
      <c r="N128" s="48">
        <v>2000.0</v>
      </c>
      <c r="O128" s="49">
        <v>78.0</v>
      </c>
      <c r="P128" s="49">
        <v>2.68</v>
      </c>
      <c r="Q128" s="176">
        <v>29.9</v>
      </c>
      <c r="R128" s="63" t="s">
        <v>166</v>
      </c>
      <c r="S128" s="48" t="s">
        <v>174</v>
      </c>
      <c r="T128" s="48" t="s">
        <v>166</v>
      </c>
      <c r="U128" s="48" t="s">
        <v>174</v>
      </c>
      <c r="V128" s="48" t="s">
        <v>166</v>
      </c>
      <c r="W128" s="177" t="s">
        <v>174</v>
      </c>
      <c r="X128" s="177" t="s">
        <v>174</v>
      </c>
      <c r="Y128" s="195"/>
      <c r="Z128" s="183"/>
      <c r="AA128" s="66"/>
      <c r="AB128" s="66"/>
      <c r="AC128" s="66"/>
      <c r="AD128" s="66"/>
      <c r="AE128" s="66"/>
      <c r="AF128" s="66"/>
      <c r="AG128" s="66"/>
      <c r="AH128" s="66"/>
      <c r="AI128" s="66"/>
    </row>
    <row r="129">
      <c r="A129" s="174" t="s">
        <v>1611</v>
      </c>
      <c r="B129" s="175" t="s">
        <v>1898</v>
      </c>
      <c r="C129" s="51" t="s">
        <v>1743</v>
      </c>
      <c r="D129" s="51">
        <v>94.0</v>
      </c>
      <c r="E129" s="48">
        <v>120.0</v>
      </c>
      <c r="F129" s="48">
        <v>155.0</v>
      </c>
      <c r="G129" s="48">
        <v>940.0</v>
      </c>
      <c r="H129" s="48" t="s">
        <v>164</v>
      </c>
      <c r="I129" s="48">
        <v>6.0</v>
      </c>
      <c r="J129" s="48">
        <v>250.0</v>
      </c>
      <c r="K129" s="50" t="s">
        <v>1605</v>
      </c>
      <c r="L129" s="51">
        <v>1.0</v>
      </c>
      <c r="M129" s="51" t="s">
        <v>1843</v>
      </c>
      <c r="N129" s="48">
        <v>2000.0</v>
      </c>
      <c r="O129" s="49">
        <v>78.0</v>
      </c>
      <c r="P129" s="49">
        <v>2.68</v>
      </c>
      <c r="Q129" s="176">
        <v>29.9</v>
      </c>
      <c r="R129" s="63" t="s">
        <v>166</v>
      </c>
      <c r="S129" s="48" t="s">
        <v>174</v>
      </c>
      <c r="T129" s="48" t="s">
        <v>166</v>
      </c>
      <c r="U129" s="48" t="s">
        <v>174</v>
      </c>
      <c r="V129" s="48" t="s">
        <v>166</v>
      </c>
      <c r="W129" s="177" t="s">
        <v>174</v>
      </c>
      <c r="X129" s="177" t="s">
        <v>174</v>
      </c>
      <c r="Y129" s="195"/>
      <c r="Z129" s="183"/>
      <c r="AA129" s="66"/>
      <c r="AB129" s="66"/>
      <c r="AC129" s="66"/>
      <c r="AD129" s="66"/>
      <c r="AE129" s="66"/>
      <c r="AF129" s="66"/>
      <c r="AG129" s="66"/>
      <c r="AH129" s="66"/>
      <c r="AI129" s="66"/>
    </row>
    <row r="130">
      <c r="A130" s="174" t="s">
        <v>1085</v>
      </c>
      <c r="B130" s="175" t="s">
        <v>1899</v>
      </c>
      <c r="C130" s="51" t="s">
        <v>1770</v>
      </c>
      <c r="D130" s="51">
        <v>137.4</v>
      </c>
      <c r="E130" s="48">
        <v>125.2</v>
      </c>
      <c r="F130" s="48">
        <v>155.0</v>
      </c>
      <c r="G130" s="48" t="s">
        <v>170</v>
      </c>
      <c r="H130" s="48" t="s">
        <v>164</v>
      </c>
      <c r="I130" s="48">
        <v>6.0</v>
      </c>
      <c r="J130" s="48">
        <v>280.0</v>
      </c>
      <c r="K130" s="50">
        <v>38.0</v>
      </c>
      <c r="L130" s="51">
        <v>2.0</v>
      </c>
      <c r="M130" s="51" t="s">
        <v>1729</v>
      </c>
      <c r="N130" s="48">
        <v>2000.0</v>
      </c>
      <c r="O130" s="49">
        <v>84.26</v>
      </c>
      <c r="P130" s="49">
        <v>2.67</v>
      </c>
      <c r="Q130" s="176">
        <v>35.7</v>
      </c>
      <c r="R130" s="63" t="s">
        <v>166</v>
      </c>
      <c r="S130" s="48" t="s">
        <v>174</v>
      </c>
      <c r="T130" s="48" t="s">
        <v>166</v>
      </c>
      <c r="U130" s="48" t="s">
        <v>174</v>
      </c>
      <c r="V130" s="48" t="s">
        <v>166</v>
      </c>
      <c r="W130" s="177" t="s">
        <v>174</v>
      </c>
      <c r="X130" s="177" t="s">
        <v>174</v>
      </c>
      <c r="Y130" s="195"/>
      <c r="Z130" s="183"/>
      <c r="AA130" s="66"/>
      <c r="AB130" s="66"/>
      <c r="AC130" s="66"/>
      <c r="AD130" s="66"/>
      <c r="AE130" s="66"/>
      <c r="AF130" s="66"/>
      <c r="AG130" s="66"/>
      <c r="AH130" s="66"/>
      <c r="AI130" s="66"/>
    </row>
    <row r="131">
      <c r="A131" s="174" t="s">
        <v>1634</v>
      </c>
      <c r="B131" s="175" t="s">
        <v>1900</v>
      </c>
      <c r="C131" s="51" t="s">
        <v>1770</v>
      </c>
      <c r="D131" s="51">
        <v>135.0</v>
      </c>
      <c r="E131" s="48">
        <v>125.0</v>
      </c>
      <c r="F131" s="48">
        <v>155.0</v>
      </c>
      <c r="G131" s="48">
        <v>970.0</v>
      </c>
      <c r="H131" s="48" t="s">
        <v>164</v>
      </c>
      <c r="I131" s="48">
        <v>6.0</v>
      </c>
      <c r="J131" s="48">
        <v>265.0</v>
      </c>
      <c r="K131" s="50">
        <v>40.0</v>
      </c>
      <c r="L131" s="51">
        <v>2.0</v>
      </c>
      <c r="M131" s="51" t="s">
        <v>1729</v>
      </c>
      <c r="N131" s="48">
        <v>1550.0</v>
      </c>
      <c r="O131" s="49">
        <v>66.17</v>
      </c>
      <c r="P131" s="49">
        <v>1.53</v>
      </c>
      <c r="Q131" s="176">
        <v>25.6</v>
      </c>
      <c r="R131" s="63" t="s">
        <v>166</v>
      </c>
      <c r="S131" s="48" t="s">
        <v>174</v>
      </c>
      <c r="T131" s="48" t="s">
        <v>166</v>
      </c>
      <c r="U131" s="48" t="s">
        <v>174</v>
      </c>
      <c r="V131" s="48" t="s">
        <v>166</v>
      </c>
      <c r="W131" s="177" t="s">
        <v>174</v>
      </c>
      <c r="X131" s="177" t="s">
        <v>166</v>
      </c>
      <c r="Y131" s="195"/>
      <c r="Z131" s="183"/>
      <c r="AA131" s="66"/>
      <c r="AB131" s="66"/>
      <c r="AC131" s="66"/>
      <c r="AD131" s="66"/>
      <c r="AE131" s="66"/>
      <c r="AF131" s="66"/>
      <c r="AG131" s="66"/>
      <c r="AH131" s="66"/>
      <c r="AI131" s="66"/>
    </row>
    <row r="132">
      <c r="A132" s="174" t="s">
        <v>1634</v>
      </c>
      <c r="B132" s="213" t="s">
        <v>1901</v>
      </c>
      <c r="C132" s="51" t="s">
        <v>1770</v>
      </c>
      <c r="D132" s="51">
        <v>135.0</v>
      </c>
      <c r="E132" s="48">
        <v>125.0</v>
      </c>
      <c r="F132" s="48">
        <v>155.0</v>
      </c>
      <c r="G132" s="48">
        <v>970.0</v>
      </c>
      <c r="H132" s="48" t="s">
        <v>164</v>
      </c>
      <c r="I132" s="48">
        <v>6.0</v>
      </c>
      <c r="J132" s="48">
        <v>265.0</v>
      </c>
      <c r="K132" s="50">
        <v>40.0</v>
      </c>
      <c r="L132" s="51">
        <v>2.0</v>
      </c>
      <c r="M132" s="51" t="s">
        <v>1729</v>
      </c>
      <c r="N132" s="48">
        <v>1550.0</v>
      </c>
      <c r="O132" s="49">
        <v>66.17</v>
      </c>
      <c r="P132" s="49">
        <v>1.53</v>
      </c>
      <c r="Q132" s="176">
        <v>25.6</v>
      </c>
      <c r="R132" s="63" t="s">
        <v>166</v>
      </c>
      <c r="S132" s="48" t="s">
        <v>174</v>
      </c>
      <c r="T132" s="48" t="s">
        <v>166</v>
      </c>
      <c r="U132" s="48" t="s">
        <v>174</v>
      </c>
      <c r="V132" s="48" t="s">
        <v>166</v>
      </c>
      <c r="W132" s="177" t="s">
        <v>174</v>
      </c>
      <c r="X132" s="177" t="s">
        <v>166</v>
      </c>
      <c r="Y132" s="195"/>
      <c r="Z132" s="183"/>
      <c r="AA132" s="66"/>
      <c r="AB132" s="66"/>
      <c r="AC132" s="66"/>
      <c r="AD132" s="66"/>
      <c r="AE132" s="66"/>
      <c r="AF132" s="66"/>
      <c r="AG132" s="66"/>
      <c r="AH132" s="66"/>
      <c r="AI132" s="66"/>
    </row>
    <row r="133">
      <c r="A133" s="174" t="s">
        <v>1706</v>
      </c>
      <c r="B133" s="175" t="s">
        <v>1902</v>
      </c>
      <c r="C133" s="51" t="s">
        <v>1743</v>
      </c>
      <c r="D133" s="51">
        <v>73.0</v>
      </c>
      <c r="E133" s="48">
        <v>126.0</v>
      </c>
      <c r="F133" s="48">
        <v>156.0</v>
      </c>
      <c r="G133" s="48">
        <v>695.0</v>
      </c>
      <c r="H133" s="48" t="s">
        <v>164</v>
      </c>
      <c r="I133" s="48">
        <v>4.0</v>
      </c>
      <c r="J133" s="48">
        <v>220.0</v>
      </c>
      <c r="K133" s="50" t="s">
        <v>1605</v>
      </c>
      <c r="L133" s="51">
        <v>1.0</v>
      </c>
      <c r="M133" s="51" t="s">
        <v>1729</v>
      </c>
      <c r="N133" s="48">
        <v>1850.0</v>
      </c>
      <c r="O133" s="49">
        <v>68.99</v>
      </c>
      <c r="P133" s="49">
        <v>2.19</v>
      </c>
      <c r="Q133" s="176">
        <v>28.0</v>
      </c>
      <c r="R133" s="63" t="s">
        <v>166</v>
      </c>
      <c r="S133" s="48" t="s">
        <v>174</v>
      </c>
      <c r="T133" s="48" t="s">
        <v>166</v>
      </c>
      <c r="U133" s="48" t="s">
        <v>174</v>
      </c>
      <c r="V133" s="48" t="s">
        <v>166</v>
      </c>
      <c r="W133" s="177" t="s">
        <v>174</v>
      </c>
      <c r="X133" s="177" t="s">
        <v>166</v>
      </c>
      <c r="Y133" s="195"/>
      <c r="Z133" s="183"/>
      <c r="AA133" s="66"/>
      <c r="AB133" s="66"/>
      <c r="AC133" s="66"/>
      <c r="AD133" s="66"/>
      <c r="AE133" s="66"/>
      <c r="AF133" s="66"/>
      <c r="AG133" s="66"/>
      <c r="AH133" s="66"/>
      <c r="AI133" s="66"/>
    </row>
    <row r="134">
      <c r="A134" s="174" t="s">
        <v>1611</v>
      </c>
      <c r="B134" s="175" t="s">
        <v>1903</v>
      </c>
      <c r="C134" s="51" t="s">
        <v>1770</v>
      </c>
      <c r="D134" s="51">
        <v>136.0</v>
      </c>
      <c r="E134" s="48">
        <v>120.0</v>
      </c>
      <c r="F134" s="48">
        <v>156.0</v>
      </c>
      <c r="G134" s="48">
        <v>1100.0</v>
      </c>
      <c r="H134" s="48" t="s">
        <v>164</v>
      </c>
      <c r="I134" s="48">
        <v>6.0</v>
      </c>
      <c r="J134" s="48">
        <v>250.0</v>
      </c>
      <c r="K134" s="50">
        <v>41.0</v>
      </c>
      <c r="L134" s="51">
        <v>2.0</v>
      </c>
      <c r="M134" s="51" t="s">
        <v>1729</v>
      </c>
      <c r="N134" s="48">
        <v>1800.0</v>
      </c>
      <c r="O134" s="49">
        <v>76.16</v>
      </c>
      <c r="P134" s="49">
        <v>2.16</v>
      </c>
      <c r="Q134" s="176">
        <v>35.2</v>
      </c>
      <c r="R134" s="63" t="s">
        <v>166</v>
      </c>
      <c r="S134" s="48" t="s">
        <v>174</v>
      </c>
      <c r="T134" s="48" t="s">
        <v>166</v>
      </c>
      <c r="U134" s="48" t="s">
        <v>174</v>
      </c>
      <c r="V134" s="48" t="s">
        <v>166</v>
      </c>
      <c r="W134" s="177" t="s">
        <v>174</v>
      </c>
      <c r="X134" s="177" t="s">
        <v>174</v>
      </c>
      <c r="Y134" s="195"/>
      <c r="Z134" s="183"/>
      <c r="AA134" s="66"/>
      <c r="AB134" s="66"/>
      <c r="AC134" s="66"/>
      <c r="AD134" s="66"/>
      <c r="AE134" s="66"/>
      <c r="AF134" s="66"/>
      <c r="AG134" s="66"/>
      <c r="AH134" s="66"/>
      <c r="AI134" s="66"/>
    </row>
    <row r="135">
      <c r="A135" s="174" t="s">
        <v>1634</v>
      </c>
      <c r="B135" s="175" t="s">
        <v>1904</v>
      </c>
      <c r="C135" s="51" t="s">
        <v>1743</v>
      </c>
      <c r="D135" s="51">
        <v>73.0</v>
      </c>
      <c r="E135" s="48">
        <v>120.0</v>
      </c>
      <c r="F135" s="48">
        <v>156.0</v>
      </c>
      <c r="G135" s="48">
        <v>700.0</v>
      </c>
      <c r="H135" s="48" t="s">
        <v>164</v>
      </c>
      <c r="I135" s="48">
        <v>4.0</v>
      </c>
      <c r="J135" s="48" t="s">
        <v>170</v>
      </c>
      <c r="K135" s="50" t="s">
        <v>1605</v>
      </c>
      <c r="L135" s="51">
        <v>1.0</v>
      </c>
      <c r="M135" s="51" t="s">
        <v>1729</v>
      </c>
      <c r="N135" s="48">
        <v>2000.0</v>
      </c>
      <c r="O135" s="49">
        <v>68.9</v>
      </c>
      <c r="P135" s="49">
        <v>2.21</v>
      </c>
      <c r="Q135" s="176">
        <v>28.2</v>
      </c>
      <c r="R135" s="63" t="s">
        <v>166</v>
      </c>
      <c r="S135" s="48" t="s">
        <v>174</v>
      </c>
      <c r="T135" s="48" t="s">
        <v>166</v>
      </c>
      <c r="U135" s="48" t="s">
        <v>174</v>
      </c>
      <c r="V135" s="48" t="s">
        <v>166</v>
      </c>
      <c r="W135" s="177" t="s">
        <v>174</v>
      </c>
      <c r="X135" s="177" t="s">
        <v>166</v>
      </c>
      <c r="Y135" s="195"/>
      <c r="Z135" s="183"/>
      <c r="AA135" s="66"/>
      <c r="AB135" s="66"/>
      <c r="AC135" s="66"/>
      <c r="AD135" s="66"/>
      <c r="AE135" s="66"/>
      <c r="AF135" s="66"/>
      <c r="AG135" s="66"/>
      <c r="AH135" s="66"/>
      <c r="AI135" s="66"/>
    </row>
    <row r="136">
      <c r="A136" s="174" t="s">
        <v>1634</v>
      </c>
      <c r="B136" s="175" t="s">
        <v>1905</v>
      </c>
      <c r="C136" s="51" t="s">
        <v>1743</v>
      </c>
      <c r="D136" s="51">
        <v>102.0</v>
      </c>
      <c r="E136" s="48">
        <v>124.0</v>
      </c>
      <c r="F136" s="48">
        <v>156.0</v>
      </c>
      <c r="G136" s="48" t="s">
        <v>170</v>
      </c>
      <c r="H136" s="48" t="s">
        <v>164</v>
      </c>
      <c r="I136" s="48">
        <v>6.0</v>
      </c>
      <c r="J136" s="48">
        <v>245.0</v>
      </c>
      <c r="K136" s="50" t="s">
        <v>1605</v>
      </c>
      <c r="L136" s="51">
        <v>2.0</v>
      </c>
      <c r="M136" s="51" t="s">
        <v>1729</v>
      </c>
      <c r="N136" s="48">
        <v>1500.0</v>
      </c>
      <c r="O136" s="49">
        <v>66.17</v>
      </c>
      <c r="P136" s="49">
        <v>1.53</v>
      </c>
      <c r="Q136" s="176">
        <v>25.6</v>
      </c>
      <c r="R136" s="63" t="s">
        <v>166</v>
      </c>
      <c r="S136" s="48" t="s">
        <v>174</v>
      </c>
      <c r="T136" s="48" t="s">
        <v>166</v>
      </c>
      <c r="U136" s="48" t="s">
        <v>174</v>
      </c>
      <c r="V136" s="48" t="s">
        <v>166</v>
      </c>
      <c r="W136" s="177" t="s">
        <v>174</v>
      </c>
      <c r="X136" s="177" t="s">
        <v>166</v>
      </c>
      <c r="Y136" s="195"/>
      <c r="Z136" s="183"/>
      <c r="AA136" s="66"/>
      <c r="AB136" s="66"/>
      <c r="AC136" s="66"/>
      <c r="AD136" s="66"/>
      <c r="AE136" s="66"/>
      <c r="AF136" s="66"/>
      <c r="AG136" s="66"/>
      <c r="AH136" s="66"/>
      <c r="AI136" s="66"/>
    </row>
    <row r="137">
      <c r="A137" s="174" t="s">
        <v>1532</v>
      </c>
      <c r="B137" s="175" t="s">
        <v>1906</v>
      </c>
      <c r="C137" s="51" t="s">
        <v>1770</v>
      </c>
      <c r="D137" s="51">
        <v>137.0</v>
      </c>
      <c r="E137" s="48">
        <v>125.0</v>
      </c>
      <c r="F137" s="48">
        <v>157.0</v>
      </c>
      <c r="G137" s="48">
        <v>1260.0</v>
      </c>
      <c r="H137" s="48" t="s">
        <v>164</v>
      </c>
      <c r="I137" s="48">
        <v>6.0</v>
      </c>
      <c r="J137" s="48" t="s">
        <v>170</v>
      </c>
      <c r="K137" s="50">
        <v>40.0</v>
      </c>
      <c r="L137" s="51">
        <v>2.0</v>
      </c>
      <c r="M137" s="51" t="s">
        <v>1729</v>
      </c>
      <c r="N137" s="48">
        <v>2050.0</v>
      </c>
      <c r="O137" s="49">
        <v>51.88</v>
      </c>
      <c r="P137" s="49">
        <v>2.89</v>
      </c>
      <c r="Q137" s="176">
        <v>27.0</v>
      </c>
      <c r="R137" s="63" t="s">
        <v>166</v>
      </c>
      <c r="S137" s="48" t="s">
        <v>174</v>
      </c>
      <c r="T137" s="48" t="s">
        <v>166</v>
      </c>
      <c r="U137" s="48" t="s">
        <v>174</v>
      </c>
      <c r="V137" s="48" t="s">
        <v>166</v>
      </c>
      <c r="W137" s="177" t="s">
        <v>174</v>
      </c>
      <c r="X137" s="177" t="s">
        <v>166</v>
      </c>
      <c r="Y137" s="195"/>
      <c r="Z137" s="183"/>
      <c r="AA137" s="66"/>
      <c r="AB137" s="66"/>
      <c r="AC137" s="66"/>
      <c r="AD137" s="66"/>
      <c r="AE137" s="66"/>
      <c r="AF137" s="66"/>
      <c r="AG137" s="66"/>
      <c r="AH137" s="66"/>
      <c r="AI137" s="66"/>
    </row>
    <row r="138">
      <c r="A138" s="174" t="s">
        <v>1532</v>
      </c>
      <c r="B138" s="175" t="s">
        <v>1907</v>
      </c>
      <c r="C138" s="51" t="s">
        <v>1770</v>
      </c>
      <c r="D138" s="51">
        <v>137.0</v>
      </c>
      <c r="E138" s="48">
        <v>125.0</v>
      </c>
      <c r="F138" s="48">
        <v>157.0</v>
      </c>
      <c r="G138" s="48">
        <v>1260.0</v>
      </c>
      <c r="H138" s="48" t="s">
        <v>164</v>
      </c>
      <c r="I138" s="48">
        <v>6.0</v>
      </c>
      <c r="J138" s="48" t="s">
        <v>170</v>
      </c>
      <c r="K138" s="50">
        <v>40.0</v>
      </c>
      <c r="L138" s="51">
        <v>2.0</v>
      </c>
      <c r="M138" s="51" t="s">
        <v>1729</v>
      </c>
      <c r="N138" s="48">
        <v>2050.0</v>
      </c>
      <c r="O138" s="49">
        <v>51.88</v>
      </c>
      <c r="P138" s="49">
        <v>2.89</v>
      </c>
      <c r="Q138" s="176">
        <v>27.0</v>
      </c>
      <c r="R138" s="63" t="s">
        <v>166</v>
      </c>
      <c r="S138" s="48" t="s">
        <v>174</v>
      </c>
      <c r="T138" s="48" t="s">
        <v>166</v>
      </c>
      <c r="U138" s="48" t="s">
        <v>174</v>
      </c>
      <c r="V138" s="48" t="s">
        <v>166</v>
      </c>
      <c r="W138" s="177" t="s">
        <v>174</v>
      </c>
      <c r="X138" s="177" t="s">
        <v>166</v>
      </c>
      <c r="Y138" s="195"/>
      <c r="Z138" s="183"/>
      <c r="AA138" s="66"/>
      <c r="AB138" s="66"/>
      <c r="AC138" s="66"/>
      <c r="AD138" s="66"/>
      <c r="AE138" s="66"/>
      <c r="AF138" s="66"/>
      <c r="AG138" s="66"/>
      <c r="AH138" s="66"/>
      <c r="AI138" s="66"/>
    </row>
    <row r="139">
      <c r="A139" s="174" t="s">
        <v>1706</v>
      </c>
      <c r="B139" s="175" t="s">
        <v>1908</v>
      </c>
      <c r="C139" s="51" t="s">
        <v>1770</v>
      </c>
      <c r="D139" s="51">
        <v>136.0</v>
      </c>
      <c r="E139" s="48">
        <v>129.0</v>
      </c>
      <c r="F139" s="48">
        <v>157.0</v>
      </c>
      <c r="G139" s="48">
        <v>1300.0</v>
      </c>
      <c r="H139" s="48" t="s">
        <v>164</v>
      </c>
      <c r="I139" s="48">
        <v>6.0</v>
      </c>
      <c r="J139" s="48">
        <v>260.0</v>
      </c>
      <c r="K139" s="50">
        <v>42.0</v>
      </c>
      <c r="L139" s="51">
        <v>2.0</v>
      </c>
      <c r="M139" s="51" t="s">
        <v>1729</v>
      </c>
      <c r="N139" s="48">
        <v>1850.0</v>
      </c>
      <c r="O139" s="49">
        <v>67.88</v>
      </c>
      <c r="P139" s="49">
        <v>2.04</v>
      </c>
      <c r="Q139" s="176">
        <v>29.4</v>
      </c>
      <c r="R139" s="63" t="s">
        <v>166</v>
      </c>
      <c r="S139" s="48" t="s">
        <v>174</v>
      </c>
      <c r="T139" s="48" t="s">
        <v>166</v>
      </c>
      <c r="U139" s="48" t="s">
        <v>174</v>
      </c>
      <c r="V139" s="48" t="s">
        <v>166</v>
      </c>
      <c r="W139" s="177" t="s">
        <v>174</v>
      </c>
      <c r="X139" s="177" t="s">
        <v>174</v>
      </c>
      <c r="Y139" s="195"/>
      <c r="Z139" s="183"/>
      <c r="AA139" s="66"/>
      <c r="AB139" s="66"/>
      <c r="AC139" s="66"/>
      <c r="AD139" s="66"/>
      <c r="AE139" s="66"/>
      <c r="AF139" s="66"/>
      <c r="AG139" s="66"/>
      <c r="AH139" s="66"/>
      <c r="AI139" s="66"/>
    </row>
    <row r="140">
      <c r="A140" s="174" t="s">
        <v>1706</v>
      </c>
      <c r="B140" s="175" t="s">
        <v>1909</v>
      </c>
      <c r="C140" s="51" t="s">
        <v>1770</v>
      </c>
      <c r="D140" s="51">
        <v>136.0</v>
      </c>
      <c r="E140" s="48">
        <v>129.0</v>
      </c>
      <c r="F140" s="48">
        <v>157.0</v>
      </c>
      <c r="G140" s="48">
        <v>1300.0</v>
      </c>
      <c r="H140" s="48" t="s">
        <v>164</v>
      </c>
      <c r="I140" s="48">
        <v>6.0</v>
      </c>
      <c r="J140" s="48">
        <v>260.0</v>
      </c>
      <c r="K140" s="50">
        <v>42.0</v>
      </c>
      <c r="L140" s="51">
        <v>2.0</v>
      </c>
      <c r="M140" s="51" t="s">
        <v>1729</v>
      </c>
      <c r="N140" s="48">
        <v>1850.0</v>
      </c>
      <c r="O140" s="49">
        <v>67.88</v>
      </c>
      <c r="P140" s="49">
        <v>2.04</v>
      </c>
      <c r="Q140" s="176">
        <v>29.4</v>
      </c>
      <c r="R140" s="63" t="s">
        <v>166</v>
      </c>
      <c r="S140" s="48" t="s">
        <v>174</v>
      </c>
      <c r="T140" s="48" t="s">
        <v>166</v>
      </c>
      <c r="U140" s="48" t="s">
        <v>174</v>
      </c>
      <c r="V140" s="48" t="s">
        <v>166</v>
      </c>
      <c r="W140" s="177" t="s">
        <v>174</v>
      </c>
      <c r="X140" s="177" t="s">
        <v>174</v>
      </c>
      <c r="Y140" s="195"/>
      <c r="Z140" s="183"/>
      <c r="AA140" s="66"/>
      <c r="AB140" s="66"/>
      <c r="AC140" s="66"/>
      <c r="AD140" s="66"/>
      <c r="AE140" s="66"/>
      <c r="AF140" s="66"/>
      <c r="AG140" s="66"/>
      <c r="AH140" s="66"/>
      <c r="AI140" s="66"/>
    </row>
    <row r="141">
      <c r="A141" s="174" t="s">
        <v>1706</v>
      </c>
      <c r="B141" s="175" t="s">
        <v>1910</v>
      </c>
      <c r="C141" s="51" t="s">
        <v>1770</v>
      </c>
      <c r="D141" s="51">
        <v>136.0</v>
      </c>
      <c r="E141" s="48">
        <v>129.0</v>
      </c>
      <c r="F141" s="48">
        <v>157.0</v>
      </c>
      <c r="G141" s="48">
        <v>1300.0</v>
      </c>
      <c r="H141" s="48" t="s">
        <v>164</v>
      </c>
      <c r="I141" s="48">
        <v>6.0</v>
      </c>
      <c r="J141" s="48">
        <v>260.0</v>
      </c>
      <c r="K141" s="50">
        <v>42.0</v>
      </c>
      <c r="L141" s="51">
        <v>2.0</v>
      </c>
      <c r="M141" s="51" t="s">
        <v>1729</v>
      </c>
      <c r="N141" s="48">
        <v>1850.0</v>
      </c>
      <c r="O141" s="49">
        <v>67.88</v>
      </c>
      <c r="P141" s="49">
        <v>2.04</v>
      </c>
      <c r="Q141" s="176">
        <v>29.4</v>
      </c>
      <c r="R141" s="63" t="s">
        <v>166</v>
      </c>
      <c r="S141" s="48" t="s">
        <v>174</v>
      </c>
      <c r="T141" s="48" t="s">
        <v>166</v>
      </c>
      <c r="U141" s="48" t="s">
        <v>174</v>
      </c>
      <c r="V141" s="48" t="s">
        <v>166</v>
      </c>
      <c r="W141" s="177" t="s">
        <v>174</v>
      </c>
      <c r="X141" s="177" t="s">
        <v>174</v>
      </c>
      <c r="Y141" s="195"/>
      <c r="Z141" s="183"/>
      <c r="AA141" s="66"/>
      <c r="AB141" s="66"/>
      <c r="AC141" s="66"/>
      <c r="AD141" s="66"/>
      <c r="AE141" s="66"/>
      <c r="AF141" s="66"/>
      <c r="AG141" s="66"/>
      <c r="AH141" s="66"/>
      <c r="AI141" s="66"/>
    </row>
    <row r="142">
      <c r="A142" s="174" t="s">
        <v>1611</v>
      </c>
      <c r="B142" s="175" t="s">
        <v>1911</v>
      </c>
      <c r="C142" s="51" t="s">
        <v>1770</v>
      </c>
      <c r="D142" s="51">
        <v>144.0</v>
      </c>
      <c r="E142" s="48">
        <v>122.0</v>
      </c>
      <c r="F142" s="48">
        <v>157.0</v>
      </c>
      <c r="G142" s="48">
        <v>1300.0</v>
      </c>
      <c r="H142" s="48" t="s">
        <v>164</v>
      </c>
      <c r="I142" s="48">
        <v>7.0</v>
      </c>
      <c r="J142" s="48">
        <v>280.0</v>
      </c>
      <c r="K142" s="50">
        <v>42.0</v>
      </c>
      <c r="L142" s="51">
        <v>2.0</v>
      </c>
      <c r="M142" s="51" t="s">
        <v>1729</v>
      </c>
      <c r="N142" s="48">
        <v>1800.0</v>
      </c>
      <c r="O142" s="49">
        <v>76.16</v>
      </c>
      <c r="P142" s="49">
        <v>2.16</v>
      </c>
      <c r="Q142" s="176">
        <v>35.2</v>
      </c>
      <c r="R142" s="63" t="s">
        <v>166</v>
      </c>
      <c r="S142" s="48" t="s">
        <v>174</v>
      </c>
      <c r="T142" s="48" t="s">
        <v>166</v>
      </c>
      <c r="U142" s="48" t="s">
        <v>174</v>
      </c>
      <c r="V142" s="48" t="s">
        <v>166</v>
      </c>
      <c r="W142" s="177" t="s">
        <v>174</v>
      </c>
      <c r="X142" s="177" t="s">
        <v>174</v>
      </c>
      <c r="Y142" s="195"/>
      <c r="Z142" s="183"/>
      <c r="AA142" s="66"/>
      <c r="AB142" s="66"/>
      <c r="AC142" s="66"/>
      <c r="AD142" s="66"/>
      <c r="AE142" s="66"/>
      <c r="AF142" s="66"/>
      <c r="AG142" s="66"/>
      <c r="AH142" s="66"/>
      <c r="AI142" s="66"/>
    </row>
    <row r="143">
      <c r="A143" s="174" t="s">
        <v>1634</v>
      </c>
      <c r="B143" s="175" t="s">
        <v>1912</v>
      </c>
      <c r="C143" s="51" t="s">
        <v>1770</v>
      </c>
      <c r="D143" s="51">
        <v>135.0</v>
      </c>
      <c r="E143" s="48">
        <v>125.0</v>
      </c>
      <c r="F143" s="48">
        <v>157.0</v>
      </c>
      <c r="G143" s="48">
        <v>1020.0</v>
      </c>
      <c r="H143" s="48" t="s">
        <v>164</v>
      </c>
      <c r="I143" s="48">
        <v>6.0</v>
      </c>
      <c r="J143" s="48">
        <v>245.0</v>
      </c>
      <c r="K143" s="50">
        <v>42.0</v>
      </c>
      <c r="L143" s="51">
        <v>2.0</v>
      </c>
      <c r="M143" s="51" t="s">
        <v>1729</v>
      </c>
      <c r="N143" s="48">
        <v>1550.0</v>
      </c>
      <c r="O143" s="49">
        <v>66.17</v>
      </c>
      <c r="P143" s="49">
        <v>1.53</v>
      </c>
      <c r="Q143" s="176">
        <v>25.6</v>
      </c>
      <c r="R143" s="63" t="s">
        <v>166</v>
      </c>
      <c r="S143" s="48" t="s">
        <v>174</v>
      </c>
      <c r="T143" s="48" t="s">
        <v>166</v>
      </c>
      <c r="U143" s="48" t="s">
        <v>174</v>
      </c>
      <c r="V143" s="48" t="s">
        <v>166</v>
      </c>
      <c r="W143" s="177" t="s">
        <v>174</v>
      </c>
      <c r="X143" s="177" t="s">
        <v>174</v>
      </c>
      <c r="Y143" s="195"/>
      <c r="Z143" s="183"/>
      <c r="AA143" s="66"/>
      <c r="AB143" s="66"/>
      <c r="AC143" s="66"/>
      <c r="AD143" s="66"/>
      <c r="AE143" s="66"/>
      <c r="AF143" s="66"/>
      <c r="AG143" s="66"/>
      <c r="AH143" s="66"/>
      <c r="AI143" s="66"/>
    </row>
    <row r="144">
      <c r="A144" s="174" t="s">
        <v>1634</v>
      </c>
      <c r="B144" s="213" t="s">
        <v>1913</v>
      </c>
      <c r="C144" s="51" t="s">
        <v>1770</v>
      </c>
      <c r="D144" s="51">
        <v>135.0</v>
      </c>
      <c r="E144" s="48">
        <v>125.0</v>
      </c>
      <c r="F144" s="48">
        <v>157.0</v>
      </c>
      <c r="G144" s="48">
        <v>1020.0</v>
      </c>
      <c r="H144" s="48" t="s">
        <v>164</v>
      </c>
      <c r="I144" s="48">
        <v>6.0</v>
      </c>
      <c r="J144" s="48">
        <v>245.0</v>
      </c>
      <c r="K144" s="50">
        <v>42.0</v>
      </c>
      <c r="L144" s="51">
        <v>2.0</v>
      </c>
      <c r="M144" s="51" t="s">
        <v>1729</v>
      </c>
      <c r="N144" s="48">
        <v>1550.0</v>
      </c>
      <c r="O144" s="49">
        <v>66.17</v>
      </c>
      <c r="P144" s="49">
        <v>1.53</v>
      </c>
      <c r="Q144" s="176">
        <v>25.6</v>
      </c>
      <c r="R144" s="63" t="s">
        <v>166</v>
      </c>
      <c r="S144" s="48" t="s">
        <v>174</v>
      </c>
      <c r="T144" s="48" t="s">
        <v>166</v>
      </c>
      <c r="U144" s="48" t="s">
        <v>174</v>
      </c>
      <c r="V144" s="48" t="s">
        <v>166</v>
      </c>
      <c r="W144" s="177" t="s">
        <v>174</v>
      </c>
      <c r="X144" s="177" t="s">
        <v>174</v>
      </c>
      <c r="Y144" s="195"/>
      <c r="Z144" s="183"/>
      <c r="AA144" s="66"/>
      <c r="AB144" s="66"/>
      <c r="AC144" s="66"/>
      <c r="AD144" s="66"/>
      <c r="AE144" s="66"/>
      <c r="AF144" s="66"/>
      <c r="AG144" s="66"/>
      <c r="AH144" s="66"/>
      <c r="AI144" s="66"/>
    </row>
    <row r="145">
      <c r="A145" s="174" t="s">
        <v>1634</v>
      </c>
      <c r="B145" s="196" t="s">
        <v>1914</v>
      </c>
      <c r="C145" s="51" t="s">
        <v>1770</v>
      </c>
      <c r="D145" s="51">
        <v>135.0</v>
      </c>
      <c r="E145" s="48">
        <v>125.0</v>
      </c>
      <c r="F145" s="48">
        <v>157.0</v>
      </c>
      <c r="G145" s="48">
        <v>1250.0</v>
      </c>
      <c r="H145" s="48" t="s">
        <v>164</v>
      </c>
      <c r="I145" s="48">
        <v>7.0</v>
      </c>
      <c r="J145" s="48">
        <v>280.0</v>
      </c>
      <c r="K145" s="50">
        <v>42.0</v>
      </c>
      <c r="L145" s="51">
        <v>2.0</v>
      </c>
      <c r="M145" s="51" t="s">
        <v>1729</v>
      </c>
      <c r="N145" s="48">
        <v>2150.0</v>
      </c>
      <c r="O145" s="49">
        <v>69.0</v>
      </c>
      <c r="P145" s="49">
        <v>2.87</v>
      </c>
      <c r="Q145" s="176">
        <v>27.0</v>
      </c>
      <c r="R145" s="63" t="s">
        <v>166</v>
      </c>
      <c r="S145" s="48" t="s">
        <v>174</v>
      </c>
      <c r="T145" s="48" t="s">
        <v>166</v>
      </c>
      <c r="U145" s="48" t="s">
        <v>174</v>
      </c>
      <c r="V145" s="48" t="s">
        <v>166</v>
      </c>
      <c r="W145" s="177" t="s">
        <v>174</v>
      </c>
      <c r="X145" s="177" t="s">
        <v>174</v>
      </c>
      <c r="Y145" s="195"/>
      <c r="Z145" s="183"/>
      <c r="AA145" s="66"/>
      <c r="AB145" s="66"/>
      <c r="AC145" s="66"/>
      <c r="AD145" s="66"/>
      <c r="AE145" s="66"/>
      <c r="AF145" s="66"/>
      <c r="AG145" s="66"/>
      <c r="AH145" s="66"/>
      <c r="AI145" s="66"/>
    </row>
    <row r="146">
      <c r="A146" s="174" t="s">
        <v>1634</v>
      </c>
      <c r="B146" s="196" t="s">
        <v>1915</v>
      </c>
      <c r="C146" s="51" t="s">
        <v>1743</v>
      </c>
      <c r="D146" s="51">
        <v>115.2</v>
      </c>
      <c r="E146" s="48">
        <v>132.0</v>
      </c>
      <c r="F146" s="48">
        <v>157.0</v>
      </c>
      <c r="G146" s="48">
        <v>1070.0</v>
      </c>
      <c r="H146" s="48" t="s">
        <v>164</v>
      </c>
      <c r="I146" s="48">
        <v>6.0</v>
      </c>
      <c r="J146" s="48" t="s">
        <v>170</v>
      </c>
      <c r="K146" s="50" t="s">
        <v>1605</v>
      </c>
      <c r="L146" s="51">
        <v>2.0</v>
      </c>
      <c r="M146" s="51" t="s">
        <v>1916</v>
      </c>
      <c r="N146" s="48">
        <v>2150.0</v>
      </c>
      <c r="O146" s="49">
        <v>69.0</v>
      </c>
      <c r="P146" s="49">
        <v>2.87</v>
      </c>
      <c r="Q146" s="176">
        <v>28.1</v>
      </c>
      <c r="R146" s="63" t="s">
        <v>166</v>
      </c>
      <c r="S146" s="48" t="s">
        <v>174</v>
      </c>
      <c r="T146" s="48" t="s">
        <v>166</v>
      </c>
      <c r="U146" s="48" t="s">
        <v>174</v>
      </c>
      <c r="V146" s="48" t="s">
        <v>166</v>
      </c>
      <c r="W146" s="177" t="s">
        <v>174</v>
      </c>
      <c r="X146" s="177" t="s">
        <v>174</v>
      </c>
      <c r="Y146" s="195"/>
      <c r="Z146" s="183"/>
      <c r="AA146" s="66"/>
      <c r="AB146" s="66"/>
      <c r="AC146" s="66"/>
      <c r="AD146" s="66"/>
      <c r="AE146" s="66"/>
      <c r="AF146" s="66"/>
      <c r="AG146" s="66"/>
      <c r="AH146" s="66"/>
      <c r="AI146" s="66"/>
    </row>
    <row r="147">
      <c r="A147" s="174" t="s">
        <v>1634</v>
      </c>
      <c r="B147" s="196" t="s">
        <v>1917</v>
      </c>
      <c r="C147" s="51" t="s">
        <v>1743</v>
      </c>
      <c r="D147" s="51">
        <v>115.2</v>
      </c>
      <c r="E147" s="48">
        <v>132.0</v>
      </c>
      <c r="F147" s="48">
        <v>157.0</v>
      </c>
      <c r="G147" s="48">
        <v>1070.0</v>
      </c>
      <c r="H147" s="48" t="s">
        <v>164</v>
      </c>
      <c r="I147" s="48">
        <v>6.0</v>
      </c>
      <c r="J147" s="48" t="s">
        <v>170</v>
      </c>
      <c r="K147" s="50" t="s">
        <v>1605</v>
      </c>
      <c r="L147" s="51">
        <v>2.0</v>
      </c>
      <c r="M147" s="51" t="s">
        <v>1916</v>
      </c>
      <c r="N147" s="48">
        <v>2150.0</v>
      </c>
      <c r="O147" s="49">
        <v>69.0</v>
      </c>
      <c r="P147" s="49">
        <v>2.87</v>
      </c>
      <c r="Q147" s="176">
        <v>28.1</v>
      </c>
      <c r="R147" s="63" t="s">
        <v>166</v>
      </c>
      <c r="S147" s="48" t="s">
        <v>174</v>
      </c>
      <c r="T147" s="48" t="s">
        <v>166</v>
      </c>
      <c r="U147" s="48" t="s">
        <v>174</v>
      </c>
      <c r="V147" s="48" t="s">
        <v>166</v>
      </c>
      <c r="W147" s="177" t="s">
        <v>174</v>
      </c>
      <c r="X147" s="177" t="s">
        <v>174</v>
      </c>
      <c r="Y147" s="195"/>
      <c r="Z147" s="183"/>
      <c r="AA147" s="66"/>
      <c r="AB147" s="66"/>
      <c r="AC147" s="66"/>
      <c r="AD147" s="66"/>
      <c r="AE147" s="66"/>
      <c r="AF147" s="66"/>
      <c r="AG147" s="66"/>
      <c r="AH147" s="66"/>
      <c r="AI147" s="66"/>
    </row>
    <row r="148">
      <c r="A148" s="174" t="s">
        <v>1532</v>
      </c>
      <c r="B148" s="175" t="s">
        <v>1918</v>
      </c>
      <c r="C148" s="51" t="s">
        <v>1743</v>
      </c>
      <c r="D148" s="51">
        <v>112.2</v>
      </c>
      <c r="E148" s="48">
        <v>129.0</v>
      </c>
      <c r="F148" s="48">
        <v>158.0</v>
      </c>
      <c r="G148" s="48">
        <v>1190.0</v>
      </c>
      <c r="H148" s="48" t="s">
        <v>164</v>
      </c>
      <c r="I148" s="48">
        <v>6.0</v>
      </c>
      <c r="J148" s="48" t="s">
        <v>170</v>
      </c>
      <c r="K148" s="50" t="s">
        <v>1605</v>
      </c>
      <c r="L148" s="51">
        <v>2.0</v>
      </c>
      <c r="M148" s="51" t="s">
        <v>1729</v>
      </c>
      <c r="N148" s="48">
        <v>1800.0</v>
      </c>
      <c r="O148" s="49">
        <v>62.0</v>
      </c>
      <c r="P148" s="49">
        <v>2.5</v>
      </c>
      <c r="Q148" s="176">
        <v>27.0</v>
      </c>
      <c r="R148" s="63" t="s">
        <v>174</v>
      </c>
      <c r="S148" s="48" t="s">
        <v>174</v>
      </c>
      <c r="T148" s="48" t="s">
        <v>166</v>
      </c>
      <c r="U148" s="48" t="s">
        <v>174</v>
      </c>
      <c r="V148" s="48" t="s">
        <v>166</v>
      </c>
      <c r="W148" s="177" t="s">
        <v>174</v>
      </c>
      <c r="X148" s="177" t="s">
        <v>174</v>
      </c>
      <c r="Y148" s="195"/>
      <c r="Z148" s="183"/>
      <c r="AA148" s="66"/>
      <c r="AB148" s="66"/>
      <c r="AC148" s="66"/>
      <c r="AD148" s="66"/>
      <c r="AE148" s="66"/>
      <c r="AF148" s="66"/>
      <c r="AG148" s="66"/>
      <c r="AH148" s="66"/>
      <c r="AI148" s="66"/>
    </row>
    <row r="149">
      <c r="A149" s="174" t="s">
        <v>1532</v>
      </c>
      <c r="B149" s="175" t="s">
        <v>1919</v>
      </c>
      <c r="C149" s="51" t="s">
        <v>1743</v>
      </c>
      <c r="D149" s="51">
        <v>112.2</v>
      </c>
      <c r="E149" s="48">
        <v>129.0</v>
      </c>
      <c r="F149" s="48">
        <v>158.0</v>
      </c>
      <c r="G149" s="48">
        <v>1190.0</v>
      </c>
      <c r="H149" s="48" t="s">
        <v>164</v>
      </c>
      <c r="I149" s="48">
        <v>6.0</v>
      </c>
      <c r="J149" s="48" t="s">
        <v>170</v>
      </c>
      <c r="K149" s="50" t="s">
        <v>1605</v>
      </c>
      <c r="L149" s="51">
        <v>2.0</v>
      </c>
      <c r="M149" s="51" t="s">
        <v>1729</v>
      </c>
      <c r="N149" s="48">
        <v>1800.0</v>
      </c>
      <c r="O149" s="49">
        <v>62.0</v>
      </c>
      <c r="P149" s="49">
        <v>2.5</v>
      </c>
      <c r="Q149" s="176">
        <v>27.0</v>
      </c>
      <c r="R149" s="63" t="s">
        <v>174</v>
      </c>
      <c r="S149" s="48" t="s">
        <v>174</v>
      </c>
      <c r="T149" s="48" t="s">
        <v>166</v>
      </c>
      <c r="U149" s="48" t="s">
        <v>174</v>
      </c>
      <c r="V149" s="48" t="s">
        <v>166</v>
      </c>
      <c r="W149" s="177" t="s">
        <v>174</v>
      </c>
      <c r="X149" s="177" t="s">
        <v>174</v>
      </c>
      <c r="Y149" s="195"/>
      <c r="Z149" s="183"/>
      <c r="AA149" s="66"/>
      <c r="AB149" s="66"/>
      <c r="AC149" s="66"/>
      <c r="AD149" s="66"/>
      <c r="AE149" s="66"/>
      <c r="AF149" s="66"/>
      <c r="AG149" s="66"/>
      <c r="AH149" s="66"/>
      <c r="AI149" s="66"/>
    </row>
    <row r="150">
      <c r="A150" s="174" t="s">
        <v>1706</v>
      </c>
      <c r="B150" s="175" t="s">
        <v>1920</v>
      </c>
      <c r="C150" s="51" t="s">
        <v>1743</v>
      </c>
      <c r="D150" s="51">
        <v>118.0</v>
      </c>
      <c r="E150" s="48">
        <v>129.0</v>
      </c>
      <c r="F150" s="48">
        <v>158.0</v>
      </c>
      <c r="G150" s="48">
        <v>1040.0</v>
      </c>
      <c r="H150" s="48" t="s">
        <v>164</v>
      </c>
      <c r="I150" s="48">
        <v>5.0</v>
      </c>
      <c r="J150" s="48">
        <v>240.0</v>
      </c>
      <c r="K150" s="50" t="s">
        <v>1605</v>
      </c>
      <c r="L150" s="51">
        <v>1.0</v>
      </c>
      <c r="M150" s="51" t="s">
        <v>1729</v>
      </c>
      <c r="N150" s="48">
        <v>1850.0</v>
      </c>
      <c r="O150" s="49">
        <v>68.99</v>
      </c>
      <c r="P150" s="49">
        <v>2.19</v>
      </c>
      <c r="Q150" s="176">
        <v>31.5</v>
      </c>
      <c r="R150" s="63" t="s">
        <v>166</v>
      </c>
      <c r="S150" s="48" t="s">
        <v>174</v>
      </c>
      <c r="T150" s="48" t="s">
        <v>166</v>
      </c>
      <c r="U150" s="48" t="s">
        <v>174</v>
      </c>
      <c r="V150" s="48" t="s">
        <v>166</v>
      </c>
      <c r="W150" s="177" t="s">
        <v>174</v>
      </c>
      <c r="X150" s="177" t="s">
        <v>174</v>
      </c>
      <c r="Y150" s="195"/>
      <c r="Z150" s="183"/>
      <c r="AA150" s="66"/>
      <c r="AB150" s="66"/>
      <c r="AC150" s="66"/>
      <c r="AD150" s="66"/>
      <c r="AE150" s="66"/>
      <c r="AF150" s="66"/>
      <c r="AG150" s="66"/>
      <c r="AH150" s="66"/>
      <c r="AI150" s="66"/>
    </row>
    <row r="151">
      <c r="A151" s="174" t="s">
        <v>1706</v>
      </c>
      <c r="B151" s="175" t="s">
        <v>1921</v>
      </c>
      <c r="C151" s="51" t="s">
        <v>1743</v>
      </c>
      <c r="D151" s="51">
        <v>117.0</v>
      </c>
      <c r="E151" s="48">
        <v>127.0</v>
      </c>
      <c r="F151" s="48">
        <v>158.0</v>
      </c>
      <c r="G151" s="48">
        <v>1040.0</v>
      </c>
      <c r="H151" s="48" t="s">
        <v>164</v>
      </c>
      <c r="I151" s="48">
        <v>5.0</v>
      </c>
      <c r="J151" s="48">
        <v>240.0</v>
      </c>
      <c r="K151" s="50" t="s">
        <v>1605</v>
      </c>
      <c r="L151" s="51">
        <v>1.0</v>
      </c>
      <c r="M151" s="51" t="s">
        <v>1729</v>
      </c>
      <c r="N151" s="48">
        <v>1850.0</v>
      </c>
      <c r="O151" s="49">
        <v>68.99</v>
      </c>
      <c r="P151" s="49">
        <v>2.19</v>
      </c>
      <c r="Q151" s="176">
        <v>31.5</v>
      </c>
      <c r="R151" s="63" t="s">
        <v>166</v>
      </c>
      <c r="S151" s="48" t="s">
        <v>174</v>
      </c>
      <c r="T151" s="48" t="s">
        <v>166</v>
      </c>
      <c r="U151" s="48" t="s">
        <v>174</v>
      </c>
      <c r="V151" s="48" t="s">
        <v>166</v>
      </c>
      <c r="W151" s="177" t="s">
        <v>174</v>
      </c>
      <c r="X151" s="177" t="s">
        <v>174</v>
      </c>
      <c r="Y151" s="195"/>
      <c r="Z151" s="183"/>
      <c r="AA151" s="66"/>
      <c r="AB151" s="66"/>
      <c r="AC151" s="66"/>
      <c r="AD151" s="66"/>
      <c r="AE151" s="66"/>
      <c r="AF151" s="66"/>
      <c r="AG151" s="66"/>
      <c r="AH151" s="66"/>
      <c r="AI151" s="66"/>
    </row>
    <row r="152">
      <c r="A152" s="174" t="s">
        <v>1427</v>
      </c>
      <c r="B152" s="175" t="s">
        <v>1922</v>
      </c>
      <c r="C152" s="51" t="s">
        <v>1770</v>
      </c>
      <c r="D152" s="51">
        <v>133.6</v>
      </c>
      <c r="E152" s="48">
        <v>124.0</v>
      </c>
      <c r="F152" s="48">
        <v>158.0</v>
      </c>
      <c r="G152" s="48">
        <v>1600.0</v>
      </c>
      <c r="H152" s="48" t="s">
        <v>164</v>
      </c>
      <c r="I152" s="48">
        <v>6.0</v>
      </c>
      <c r="J152" s="48">
        <v>270.0</v>
      </c>
      <c r="K152" s="50">
        <v>38.0</v>
      </c>
      <c r="L152" s="51">
        <v>2.0</v>
      </c>
      <c r="M152" s="51" t="s">
        <v>1729</v>
      </c>
      <c r="N152" s="48">
        <v>1950.0</v>
      </c>
      <c r="O152" s="49">
        <v>69.0</v>
      </c>
      <c r="P152" s="49">
        <v>2.82</v>
      </c>
      <c r="Q152" s="176">
        <v>26.0</v>
      </c>
      <c r="R152" s="63" t="s">
        <v>166</v>
      </c>
      <c r="S152" s="48" t="s">
        <v>174</v>
      </c>
      <c r="T152" s="48" t="s">
        <v>166</v>
      </c>
      <c r="U152" s="48" t="s">
        <v>174</v>
      </c>
      <c r="V152" s="48" t="s">
        <v>166</v>
      </c>
      <c r="W152" s="177" t="s">
        <v>174</v>
      </c>
      <c r="X152" s="177" t="s">
        <v>166</v>
      </c>
      <c r="Y152" s="195"/>
      <c r="Z152" s="183"/>
      <c r="AA152" s="66"/>
      <c r="AB152" s="66"/>
      <c r="AC152" s="66"/>
      <c r="AD152" s="66"/>
      <c r="AE152" s="66"/>
      <c r="AF152" s="66"/>
      <c r="AG152" s="66"/>
      <c r="AH152" s="66"/>
      <c r="AI152" s="66"/>
    </row>
    <row r="153">
      <c r="A153" s="174" t="s">
        <v>1639</v>
      </c>
      <c r="B153" s="175" t="s">
        <v>1923</v>
      </c>
      <c r="C153" s="51" t="s">
        <v>1743</v>
      </c>
      <c r="D153" s="51">
        <v>71.0</v>
      </c>
      <c r="E153" s="48">
        <v>125.0</v>
      </c>
      <c r="F153" s="48">
        <v>158.0</v>
      </c>
      <c r="G153" s="48">
        <v>710.0</v>
      </c>
      <c r="H153" s="48" t="s">
        <v>164</v>
      </c>
      <c r="I153" s="48">
        <v>4.0</v>
      </c>
      <c r="J153" s="182" t="s">
        <v>214</v>
      </c>
      <c r="K153" s="50" t="s">
        <v>1605</v>
      </c>
      <c r="L153" s="51">
        <v>1.0</v>
      </c>
      <c r="M153" s="51" t="s">
        <v>1729</v>
      </c>
      <c r="N153" s="48">
        <v>1700.0</v>
      </c>
      <c r="O153" s="49">
        <v>70.7978</v>
      </c>
      <c r="P153" s="49">
        <v>2.83</v>
      </c>
      <c r="Q153" s="176">
        <v>25.1</v>
      </c>
      <c r="R153" s="63" t="s">
        <v>166</v>
      </c>
      <c r="S153" s="48" t="s">
        <v>174</v>
      </c>
      <c r="T153" s="48" t="s">
        <v>166</v>
      </c>
      <c r="U153" s="48" t="s">
        <v>174</v>
      </c>
      <c r="V153" s="48" t="s">
        <v>166</v>
      </c>
      <c r="W153" s="177" t="s">
        <v>174</v>
      </c>
      <c r="X153" s="177" t="s">
        <v>174</v>
      </c>
      <c r="Y153" s="195"/>
      <c r="Z153" s="183"/>
      <c r="AA153" s="66"/>
      <c r="AB153" s="66"/>
      <c r="AC153" s="66"/>
      <c r="AD153" s="66"/>
      <c r="AE153" s="66"/>
      <c r="AF153" s="66"/>
      <c r="AG153" s="66"/>
      <c r="AH153" s="66"/>
      <c r="AI153" s="66"/>
    </row>
    <row r="154">
      <c r="A154" s="174" t="s">
        <v>1639</v>
      </c>
      <c r="B154" s="175" t="s">
        <v>1924</v>
      </c>
      <c r="C154" s="51" t="s">
        <v>1743</v>
      </c>
      <c r="D154" s="51">
        <v>71.0</v>
      </c>
      <c r="E154" s="48">
        <v>125.0</v>
      </c>
      <c r="F154" s="48">
        <v>158.0</v>
      </c>
      <c r="G154" s="48">
        <v>755.0</v>
      </c>
      <c r="H154" s="48" t="s">
        <v>164</v>
      </c>
      <c r="I154" s="48">
        <v>5.0</v>
      </c>
      <c r="J154" s="182" t="s">
        <v>214</v>
      </c>
      <c r="K154" s="50" t="s">
        <v>1605</v>
      </c>
      <c r="L154" s="51">
        <v>1.0</v>
      </c>
      <c r="M154" s="51" t="s">
        <v>1729</v>
      </c>
      <c r="N154" s="48">
        <v>1500.0</v>
      </c>
      <c r="O154" s="49">
        <v>54.97</v>
      </c>
      <c r="P154" s="49">
        <v>2.61</v>
      </c>
      <c r="Q154" s="176">
        <v>22.4</v>
      </c>
      <c r="R154" s="63" t="s">
        <v>174</v>
      </c>
      <c r="S154" s="48" t="s">
        <v>174</v>
      </c>
      <c r="T154" s="48" t="s">
        <v>166</v>
      </c>
      <c r="U154" s="48" t="s">
        <v>174</v>
      </c>
      <c r="V154" s="48" t="s">
        <v>166</v>
      </c>
      <c r="W154" s="177" t="s">
        <v>174</v>
      </c>
      <c r="X154" s="177" t="s">
        <v>174</v>
      </c>
      <c r="Y154" s="195"/>
      <c r="Z154" s="183"/>
      <c r="AA154" s="66"/>
      <c r="AB154" s="66"/>
      <c r="AC154" s="66"/>
      <c r="AD154" s="66"/>
      <c r="AE154" s="66"/>
      <c r="AF154" s="66"/>
      <c r="AG154" s="66"/>
      <c r="AH154" s="66"/>
      <c r="AI154" s="66"/>
    </row>
    <row r="155">
      <c r="A155" s="174" t="s">
        <v>1639</v>
      </c>
      <c r="B155" s="175" t="s">
        <v>1925</v>
      </c>
      <c r="C155" s="51" t="s">
        <v>1743</v>
      </c>
      <c r="D155" s="51">
        <v>112.0</v>
      </c>
      <c r="E155" s="48">
        <v>125.0</v>
      </c>
      <c r="F155" s="48">
        <v>158.0</v>
      </c>
      <c r="G155" s="48">
        <v>1220.0</v>
      </c>
      <c r="H155" s="48" t="s">
        <v>164</v>
      </c>
      <c r="I155" s="48">
        <v>7.0</v>
      </c>
      <c r="J155" s="182" t="s">
        <v>214</v>
      </c>
      <c r="K155" s="50" t="s">
        <v>1605</v>
      </c>
      <c r="L155" s="51">
        <v>2.0</v>
      </c>
      <c r="M155" s="51" t="s">
        <v>1729</v>
      </c>
      <c r="N155" s="48">
        <v>2000.0</v>
      </c>
      <c r="O155" s="49">
        <v>60.09</v>
      </c>
      <c r="P155" s="49">
        <v>2.34</v>
      </c>
      <c r="Q155" s="176">
        <v>22.6</v>
      </c>
      <c r="R155" s="63" t="s">
        <v>174</v>
      </c>
      <c r="S155" s="48" t="s">
        <v>174</v>
      </c>
      <c r="T155" s="48" t="s">
        <v>166</v>
      </c>
      <c r="U155" s="48" t="s">
        <v>174</v>
      </c>
      <c r="V155" s="48" t="s">
        <v>166</v>
      </c>
      <c r="W155" s="177" t="s">
        <v>174</v>
      </c>
      <c r="X155" s="177" t="s">
        <v>174</v>
      </c>
      <c r="Y155" s="195"/>
      <c r="Z155" s="183"/>
      <c r="AA155" s="66"/>
      <c r="AB155" s="66"/>
      <c r="AC155" s="66"/>
      <c r="AD155" s="66"/>
      <c r="AE155" s="66"/>
      <c r="AF155" s="66"/>
      <c r="AG155" s="66"/>
      <c r="AH155" s="66"/>
      <c r="AI155" s="66"/>
    </row>
    <row r="156">
      <c r="A156" s="174" t="s">
        <v>1735</v>
      </c>
      <c r="B156" s="175" t="s">
        <v>1926</v>
      </c>
      <c r="C156" s="51" t="s">
        <v>1743</v>
      </c>
      <c r="D156" s="51">
        <v>104.0</v>
      </c>
      <c r="E156" s="48">
        <v>126.0</v>
      </c>
      <c r="F156" s="48">
        <v>159.0</v>
      </c>
      <c r="G156" s="48">
        <v>890.0</v>
      </c>
      <c r="H156" s="48" t="s">
        <v>164</v>
      </c>
      <c r="I156" s="48">
        <v>4.0</v>
      </c>
      <c r="J156" s="48">
        <v>250.0</v>
      </c>
      <c r="K156" s="50" t="s">
        <v>1605</v>
      </c>
      <c r="L156" s="51">
        <v>2.0</v>
      </c>
      <c r="M156" s="51" t="s">
        <v>1729</v>
      </c>
      <c r="N156" s="48">
        <v>1800.0</v>
      </c>
      <c r="O156" s="49">
        <v>56.3</v>
      </c>
      <c r="P156" s="49">
        <v>2.2</v>
      </c>
      <c r="Q156" s="176">
        <v>23.5</v>
      </c>
      <c r="R156" s="63" t="s">
        <v>166</v>
      </c>
      <c r="S156" s="48" t="s">
        <v>174</v>
      </c>
      <c r="T156" s="48" t="s">
        <v>166</v>
      </c>
      <c r="U156" s="48" t="s">
        <v>166</v>
      </c>
      <c r="V156" s="48" t="s">
        <v>166</v>
      </c>
      <c r="W156" s="177" t="s">
        <v>174</v>
      </c>
      <c r="X156" s="177" t="s">
        <v>166</v>
      </c>
      <c r="Y156" s="195"/>
      <c r="Z156" s="183"/>
      <c r="AA156" s="66"/>
      <c r="AB156" s="66"/>
      <c r="AC156" s="66"/>
      <c r="AD156" s="66"/>
      <c r="AE156" s="66"/>
      <c r="AF156" s="66"/>
      <c r="AG156" s="66"/>
      <c r="AH156" s="66"/>
      <c r="AI156" s="66"/>
    </row>
    <row r="157">
      <c r="A157" s="174" t="s">
        <v>1735</v>
      </c>
      <c r="B157" s="175" t="s">
        <v>1927</v>
      </c>
      <c r="C157" s="51" t="s">
        <v>1743</v>
      </c>
      <c r="D157" s="51">
        <v>104.0</v>
      </c>
      <c r="E157" s="48">
        <v>126.0</v>
      </c>
      <c r="F157" s="48">
        <v>159.0</v>
      </c>
      <c r="G157" s="48">
        <v>917.0</v>
      </c>
      <c r="H157" s="48" t="s">
        <v>164</v>
      </c>
      <c r="I157" s="48">
        <v>4.0</v>
      </c>
      <c r="J157" s="48">
        <v>245.0</v>
      </c>
      <c r="K157" s="50" t="s">
        <v>1605</v>
      </c>
      <c r="L157" s="198">
        <v>2.0</v>
      </c>
      <c r="M157" s="199" t="s">
        <v>1729</v>
      </c>
      <c r="N157" s="48">
        <v>2000.0</v>
      </c>
      <c r="O157" s="49">
        <v>48.8</v>
      </c>
      <c r="P157" s="49">
        <v>1.85</v>
      </c>
      <c r="Q157" s="176">
        <v>23.5</v>
      </c>
      <c r="R157" s="63" t="s">
        <v>166</v>
      </c>
      <c r="S157" s="48" t="s">
        <v>174</v>
      </c>
      <c r="T157" s="48" t="s">
        <v>166</v>
      </c>
      <c r="U157" s="48" t="s">
        <v>166</v>
      </c>
      <c r="V157" s="48" t="s">
        <v>166</v>
      </c>
      <c r="W157" s="177" t="s">
        <v>174</v>
      </c>
      <c r="X157" s="177" t="s">
        <v>166</v>
      </c>
      <c r="Y157" s="195"/>
      <c r="Z157" s="183"/>
      <c r="AA157" s="66"/>
      <c r="AB157" s="66"/>
      <c r="AC157" s="66"/>
      <c r="AD157" s="66"/>
      <c r="AE157" s="66"/>
      <c r="AF157" s="66"/>
      <c r="AG157" s="66"/>
      <c r="AH157" s="66"/>
      <c r="AI157" s="66"/>
    </row>
    <row r="158">
      <c r="A158" s="174" t="s">
        <v>1735</v>
      </c>
      <c r="B158" s="175" t="s">
        <v>1928</v>
      </c>
      <c r="C158" s="51" t="s">
        <v>1743</v>
      </c>
      <c r="D158" s="51">
        <v>104.0</v>
      </c>
      <c r="E158" s="48">
        <v>126.0</v>
      </c>
      <c r="F158" s="48">
        <v>159.0</v>
      </c>
      <c r="G158" s="48">
        <v>917.0</v>
      </c>
      <c r="H158" s="48" t="s">
        <v>164</v>
      </c>
      <c r="I158" s="48">
        <v>4.0</v>
      </c>
      <c r="J158" s="48">
        <v>245.0</v>
      </c>
      <c r="K158" s="50" t="s">
        <v>1605</v>
      </c>
      <c r="L158" s="198">
        <v>2.0</v>
      </c>
      <c r="M158" s="199" t="s">
        <v>1729</v>
      </c>
      <c r="N158" s="48">
        <v>2000.0</v>
      </c>
      <c r="O158" s="49">
        <v>48.8</v>
      </c>
      <c r="P158" s="49">
        <v>1.85</v>
      </c>
      <c r="Q158" s="176">
        <v>23.5</v>
      </c>
      <c r="R158" s="63" t="s">
        <v>166</v>
      </c>
      <c r="S158" s="48" t="s">
        <v>174</v>
      </c>
      <c r="T158" s="48" t="s">
        <v>166</v>
      </c>
      <c r="U158" s="48" t="s">
        <v>166</v>
      </c>
      <c r="V158" s="48" t="s">
        <v>166</v>
      </c>
      <c r="W158" s="177" t="s">
        <v>174</v>
      </c>
      <c r="X158" s="177" t="s">
        <v>166</v>
      </c>
      <c r="Y158" s="195"/>
      <c r="Z158" s="183"/>
      <c r="AA158" s="66"/>
      <c r="AB158" s="66"/>
      <c r="AC158" s="66"/>
      <c r="AD158" s="66"/>
      <c r="AE158" s="66"/>
      <c r="AF158" s="66"/>
      <c r="AG158" s="66"/>
      <c r="AH158" s="66"/>
      <c r="AI158" s="66"/>
    </row>
    <row r="159">
      <c r="A159" s="174" t="s">
        <v>1735</v>
      </c>
      <c r="B159" s="175" t="s">
        <v>1929</v>
      </c>
      <c r="C159" s="51" t="s">
        <v>1743</v>
      </c>
      <c r="D159" s="51">
        <v>104.0</v>
      </c>
      <c r="E159" s="48">
        <v>126.0</v>
      </c>
      <c r="F159" s="48">
        <v>159.0</v>
      </c>
      <c r="G159" s="48">
        <v>890.0</v>
      </c>
      <c r="H159" s="48" t="s">
        <v>164</v>
      </c>
      <c r="I159" s="48">
        <v>4.0</v>
      </c>
      <c r="J159" s="48">
        <v>250.0</v>
      </c>
      <c r="K159" s="50" t="s">
        <v>1605</v>
      </c>
      <c r="L159" s="51">
        <v>2.0</v>
      </c>
      <c r="M159" s="51" t="s">
        <v>1729</v>
      </c>
      <c r="N159" s="48">
        <v>1800.0</v>
      </c>
      <c r="O159" s="49">
        <v>56.3</v>
      </c>
      <c r="P159" s="49">
        <v>2.2</v>
      </c>
      <c r="Q159" s="176">
        <v>23.5</v>
      </c>
      <c r="R159" s="63" t="s">
        <v>166</v>
      </c>
      <c r="S159" s="48" t="s">
        <v>174</v>
      </c>
      <c r="T159" s="48" t="s">
        <v>166</v>
      </c>
      <c r="U159" s="48" t="s">
        <v>166</v>
      </c>
      <c r="V159" s="48" t="s">
        <v>166</v>
      </c>
      <c r="W159" s="177" t="s">
        <v>174</v>
      </c>
      <c r="X159" s="177" t="s">
        <v>166</v>
      </c>
      <c r="Y159" s="195"/>
      <c r="Z159" s="183"/>
      <c r="AA159" s="66"/>
      <c r="AB159" s="66"/>
      <c r="AC159" s="66"/>
      <c r="AD159" s="66"/>
      <c r="AE159" s="66"/>
      <c r="AF159" s="66"/>
      <c r="AG159" s="66"/>
      <c r="AH159" s="66"/>
      <c r="AI159" s="66"/>
    </row>
    <row r="160">
      <c r="A160" s="174" t="s">
        <v>1735</v>
      </c>
      <c r="B160" s="175" t="s">
        <v>1930</v>
      </c>
      <c r="C160" s="51" t="s">
        <v>1743</v>
      </c>
      <c r="D160" s="51">
        <v>104.0</v>
      </c>
      <c r="E160" s="48">
        <v>126.0</v>
      </c>
      <c r="F160" s="48">
        <v>159.0</v>
      </c>
      <c r="G160" s="48">
        <v>890.0</v>
      </c>
      <c r="H160" s="48" t="s">
        <v>164</v>
      </c>
      <c r="I160" s="48">
        <v>4.0</v>
      </c>
      <c r="J160" s="48">
        <v>250.0</v>
      </c>
      <c r="K160" s="50" t="s">
        <v>1605</v>
      </c>
      <c r="L160" s="51">
        <v>2.0</v>
      </c>
      <c r="M160" s="51" t="s">
        <v>1729</v>
      </c>
      <c r="N160" s="48">
        <v>1800.0</v>
      </c>
      <c r="O160" s="49">
        <v>56.3</v>
      </c>
      <c r="P160" s="49">
        <v>2.2</v>
      </c>
      <c r="Q160" s="176">
        <v>23.5</v>
      </c>
      <c r="R160" s="63" t="s">
        <v>166</v>
      </c>
      <c r="S160" s="48" t="s">
        <v>174</v>
      </c>
      <c r="T160" s="48" t="s">
        <v>166</v>
      </c>
      <c r="U160" s="48" t="s">
        <v>166</v>
      </c>
      <c r="V160" s="48" t="s">
        <v>166</v>
      </c>
      <c r="W160" s="177" t="s">
        <v>174</v>
      </c>
      <c r="X160" s="177" t="s">
        <v>166</v>
      </c>
      <c r="Y160" s="195"/>
      <c r="Z160" s="183"/>
      <c r="AA160" s="66"/>
      <c r="AB160" s="66"/>
      <c r="AC160" s="66"/>
      <c r="AD160" s="66"/>
      <c r="AE160" s="66"/>
      <c r="AF160" s="66"/>
      <c r="AG160" s="66"/>
      <c r="AH160" s="66"/>
      <c r="AI160" s="66"/>
    </row>
    <row r="161">
      <c r="A161" s="174" t="s">
        <v>1666</v>
      </c>
      <c r="B161" s="175" t="s">
        <v>1931</v>
      </c>
      <c r="C161" s="51" t="s">
        <v>1743</v>
      </c>
      <c r="D161" s="51">
        <v>96.0</v>
      </c>
      <c r="E161" s="48">
        <v>136.0</v>
      </c>
      <c r="F161" s="48">
        <v>159.0</v>
      </c>
      <c r="G161" s="48">
        <v>920.0</v>
      </c>
      <c r="H161" s="48" t="s">
        <v>164</v>
      </c>
      <c r="I161" s="48">
        <v>6.0</v>
      </c>
      <c r="J161" s="48">
        <v>200.0</v>
      </c>
      <c r="K161" s="50" t="s">
        <v>1605</v>
      </c>
      <c r="L161" s="51">
        <v>1.0</v>
      </c>
      <c r="M161" s="51" t="s">
        <v>1778</v>
      </c>
      <c r="N161" s="48">
        <v>1400.0</v>
      </c>
      <c r="O161" s="49" t="s">
        <v>170</v>
      </c>
      <c r="P161" s="49" t="s">
        <v>170</v>
      </c>
      <c r="Q161" s="176">
        <v>21.4</v>
      </c>
      <c r="R161" s="63" t="s">
        <v>166</v>
      </c>
      <c r="S161" s="48" t="s">
        <v>174</v>
      </c>
      <c r="T161" s="48" t="s">
        <v>166</v>
      </c>
      <c r="U161" s="48" t="s">
        <v>174</v>
      </c>
      <c r="V161" s="48" t="s">
        <v>166</v>
      </c>
      <c r="W161" s="177" t="s">
        <v>174</v>
      </c>
      <c r="X161" s="177" t="s">
        <v>174</v>
      </c>
      <c r="Y161" s="195"/>
      <c r="Z161" s="183"/>
      <c r="AA161" s="66"/>
      <c r="AB161" s="66"/>
      <c r="AC161" s="66"/>
      <c r="AD161" s="66"/>
      <c r="AE161" s="66"/>
      <c r="AF161" s="66"/>
      <c r="AG161" s="66"/>
      <c r="AH161" s="66"/>
      <c r="AI161" s="66"/>
    </row>
    <row r="162">
      <c r="A162" s="174" t="s">
        <v>1666</v>
      </c>
      <c r="B162" s="175" t="s">
        <v>1932</v>
      </c>
      <c r="C162" s="51" t="s">
        <v>1743</v>
      </c>
      <c r="D162" s="51">
        <v>72.0</v>
      </c>
      <c r="E162" s="48">
        <v>127.0</v>
      </c>
      <c r="F162" s="48">
        <v>159.0</v>
      </c>
      <c r="G162" s="48">
        <v>620.0</v>
      </c>
      <c r="H162" s="48" t="s">
        <v>164</v>
      </c>
      <c r="I162" s="48">
        <v>4.0</v>
      </c>
      <c r="J162" s="48">
        <v>180.0</v>
      </c>
      <c r="K162" s="50" t="s">
        <v>1605</v>
      </c>
      <c r="L162" s="51">
        <v>1.0</v>
      </c>
      <c r="M162" s="51" t="s">
        <v>1933</v>
      </c>
      <c r="N162" s="48">
        <v>1500.0</v>
      </c>
      <c r="O162" s="49" t="s">
        <v>170</v>
      </c>
      <c r="P162" s="49" t="s">
        <v>170</v>
      </c>
      <c r="Q162" s="176">
        <v>23.6</v>
      </c>
      <c r="R162" s="63" t="s">
        <v>166</v>
      </c>
      <c r="S162" s="48" t="s">
        <v>174</v>
      </c>
      <c r="T162" s="48" t="s">
        <v>166</v>
      </c>
      <c r="U162" s="48" t="s">
        <v>174</v>
      </c>
      <c r="V162" s="48" t="s">
        <v>166</v>
      </c>
      <c r="W162" s="177" t="s">
        <v>174</v>
      </c>
      <c r="X162" s="177" t="s">
        <v>174</v>
      </c>
      <c r="Y162" s="195"/>
      <c r="Z162" s="183"/>
      <c r="AA162" s="66"/>
      <c r="AB162" s="66"/>
      <c r="AC162" s="66"/>
      <c r="AD162" s="66"/>
      <c r="AE162" s="66"/>
      <c r="AF162" s="66"/>
      <c r="AG162" s="66"/>
      <c r="AH162" s="66"/>
      <c r="AI162" s="66"/>
    </row>
    <row r="163">
      <c r="A163" s="174" t="s">
        <v>1532</v>
      </c>
      <c r="B163" s="175" t="s">
        <v>1934</v>
      </c>
      <c r="C163" s="51" t="s">
        <v>1770</v>
      </c>
      <c r="D163" s="51">
        <v>153.2</v>
      </c>
      <c r="E163" s="48">
        <v>144.9</v>
      </c>
      <c r="F163" s="48">
        <v>160.0</v>
      </c>
      <c r="G163" s="48">
        <v>1620.0</v>
      </c>
      <c r="H163" s="48" t="s">
        <v>164</v>
      </c>
      <c r="I163" s="48">
        <v>6.0</v>
      </c>
      <c r="J163" s="48" t="s">
        <v>170</v>
      </c>
      <c r="K163" s="50">
        <v>40.0</v>
      </c>
      <c r="L163" s="51">
        <v>2.0</v>
      </c>
      <c r="M163" s="51" t="s">
        <v>1935</v>
      </c>
      <c r="N163" s="48">
        <v>1800.0</v>
      </c>
      <c r="O163" s="49">
        <v>62.0</v>
      </c>
      <c r="P163" s="49">
        <v>2.5</v>
      </c>
      <c r="Q163" s="176">
        <v>27.0</v>
      </c>
      <c r="R163" s="63" t="s">
        <v>174</v>
      </c>
      <c r="S163" s="48" t="s">
        <v>174</v>
      </c>
      <c r="T163" s="48" t="s">
        <v>166</v>
      </c>
      <c r="U163" s="48" t="s">
        <v>174</v>
      </c>
      <c r="V163" s="48" t="s">
        <v>166</v>
      </c>
      <c r="W163" s="177" t="s">
        <v>174</v>
      </c>
      <c r="X163" s="177" t="s">
        <v>174</v>
      </c>
      <c r="Y163" s="195"/>
      <c r="Z163" s="183"/>
      <c r="AA163" s="66"/>
      <c r="AB163" s="66"/>
      <c r="AC163" s="66"/>
      <c r="AD163" s="66"/>
      <c r="AE163" s="66"/>
      <c r="AF163" s="66"/>
      <c r="AG163" s="66"/>
      <c r="AH163" s="66"/>
      <c r="AI163" s="66"/>
    </row>
    <row r="164">
      <c r="A164" s="174" t="s">
        <v>1706</v>
      </c>
      <c r="B164" s="175" t="s">
        <v>1936</v>
      </c>
      <c r="C164" s="51" t="s">
        <v>1743</v>
      </c>
      <c r="D164" s="51">
        <v>117.0</v>
      </c>
      <c r="E164" s="48">
        <v>127.0</v>
      </c>
      <c r="F164" s="48">
        <v>160.0</v>
      </c>
      <c r="G164" s="48">
        <v>1291.0</v>
      </c>
      <c r="H164" s="48" t="s">
        <v>164</v>
      </c>
      <c r="I164" s="48">
        <v>5.0</v>
      </c>
      <c r="J164" s="48">
        <v>240.0</v>
      </c>
      <c r="K164" s="50" t="s">
        <v>1605</v>
      </c>
      <c r="L164" s="51">
        <v>1.0</v>
      </c>
      <c r="M164" s="51" t="s">
        <v>1729</v>
      </c>
      <c r="N164" s="48">
        <v>1850.0</v>
      </c>
      <c r="O164" s="49">
        <v>68.99</v>
      </c>
      <c r="P164" s="49">
        <v>2.19</v>
      </c>
      <c r="Q164" s="176">
        <v>28.0</v>
      </c>
      <c r="R164" s="63" t="s">
        <v>166</v>
      </c>
      <c r="S164" s="48" t="s">
        <v>174</v>
      </c>
      <c r="T164" s="48" t="s">
        <v>166</v>
      </c>
      <c r="U164" s="48" t="s">
        <v>174</v>
      </c>
      <c r="V164" s="48" t="s">
        <v>166</v>
      </c>
      <c r="W164" s="177" t="s">
        <v>174</v>
      </c>
      <c r="X164" s="177" t="s">
        <v>174</v>
      </c>
      <c r="Y164" s="195"/>
      <c r="Z164" s="183"/>
      <c r="AA164" s="66"/>
      <c r="AB164" s="66"/>
      <c r="AC164" s="66"/>
      <c r="AD164" s="66"/>
      <c r="AE164" s="66"/>
      <c r="AF164" s="66"/>
      <c r="AG164" s="66"/>
      <c r="AH164" s="66"/>
      <c r="AI164" s="66"/>
    </row>
    <row r="165">
      <c r="A165" s="174" t="s">
        <v>1706</v>
      </c>
      <c r="B165" s="175" t="s">
        <v>1937</v>
      </c>
      <c r="C165" s="51" t="s">
        <v>1743</v>
      </c>
      <c r="D165" s="51">
        <v>84.0</v>
      </c>
      <c r="E165" s="48">
        <v>125.0</v>
      </c>
      <c r="F165" s="48">
        <v>160.0</v>
      </c>
      <c r="G165" s="48">
        <v>904.0</v>
      </c>
      <c r="H165" s="48" t="s">
        <v>164</v>
      </c>
      <c r="I165" s="48">
        <v>5.0</v>
      </c>
      <c r="J165" s="48">
        <v>240.0</v>
      </c>
      <c r="K165" s="50" t="s">
        <v>1605</v>
      </c>
      <c r="L165" s="51">
        <v>1.0</v>
      </c>
      <c r="M165" s="51" t="s">
        <v>1729</v>
      </c>
      <c r="N165" s="48">
        <v>1850.0</v>
      </c>
      <c r="O165" s="49">
        <v>68.99</v>
      </c>
      <c r="P165" s="49">
        <v>2.19</v>
      </c>
      <c r="Q165" s="176">
        <v>28.0</v>
      </c>
      <c r="R165" s="63" t="s">
        <v>166</v>
      </c>
      <c r="S165" s="48" t="s">
        <v>174</v>
      </c>
      <c r="T165" s="48" t="s">
        <v>166</v>
      </c>
      <c r="U165" s="48" t="s">
        <v>174</v>
      </c>
      <c r="V165" s="48" t="s">
        <v>166</v>
      </c>
      <c r="W165" s="177" t="s">
        <v>174</v>
      </c>
      <c r="X165" s="177" t="s">
        <v>166</v>
      </c>
      <c r="Y165" s="195"/>
      <c r="Z165" s="183"/>
      <c r="AA165" s="66"/>
      <c r="AB165" s="66"/>
      <c r="AC165" s="66"/>
      <c r="AD165" s="66"/>
      <c r="AE165" s="66"/>
      <c r="AF165" s="66"/>
      <c r="AG165" s="66"/>
      <c r="AH165" s="66"/>
      <c r="AI165" s="66"/>
    </row>
    <row r="166">
      <c r="A166" s="174" t="s">
        <v>1706</v>
      </c>
      <c r="B166" s="175" t="s">
        <v>1938</v>
      </c>
      <c r="C166" s="51" t="s">
        <v>1770</v>
      </c>
      <c r="D166" s="51">
        <v>138.0</v>
      </c>
      <c r="E166" s="48">
        <v>129.0</v>
      </c>
      <c r="F166" s="48">
        <v>160.0</v>
      </c>
      <c r="G166" s="48">
        <v>1456.0</v>
      </c>
      <c r="H166" s="48" t="s">
        <v>164</v>
      </c>
      <c r="I166" s="48">
        <v>6.0</v>
      </c>
      <c r="J166" s="48">
        <v>260.0</v>
      </c>
      <c r="K166" s="50">
        <v>45.0</v>
      </c>
      <c r="L166" s="51">
        <v>2.0</v>
      </c>
      <c r="M166" s="51" t="s">
        <v>1729</v>
      </c>
      <c r="N166" s="48">
        <v>1850.0</v>
      </c>
      <c r="O166" s="49">
        <v>68.99</v>
      </c>
      <c r="P166" s="49">
        <v>2.19</v>
      </c>
      <c r="Q166" s="176">
        <v>28.0</v>
      </c>
      <c r="R166" s="63" t="s">
        <v>166</v>
      </c>
      <c r="S166" s="48" t="s">
        <v>174</v>
      </c>
      <c r="T166" s="48" t="s">
        <v>166</v>
      </c>
      <c r="U166" s="48" t="s">
        <v>174</v>
      </c>
      <c r="V166" s="48" t="s">
        <v>166</v>
      </c>
      <c r="W166" s="177" t="s">
        <v>174</v>
      </c>
      <c r="X166" s="177" t="s">
        <v>174</v>
      </c>
      <c r="Y166" s="195"/>
      <c r="Z166" s="183"/>
      <c r="AA166" s="66"/>
      <c r="AB166" s="66"/>
      <c r="AC166" s="66"/>
      <c r="AD166" s="66"/>
      <c r="AE166" s="66"/>
      <c r="AF166" s="66"/>
      <c r="AG166" s="66"/>
      <c r="AH166" s="66"/>
      <c r="AI166" s="66"/>
    </row>
    <row r="167">
      <c r="A167" s="174" t="s">
        <v>1706</v>
      </c>
      <c r="B167" s="175" t="s">
        <v>1939</v>
      </c>
      <c r="C167" s="51" t="s">
        <v>1770</v>
      </c>
      <c r="D167" s="51">
        <v>138.0</v>
      </c>
      <c r="E167" s="48">
        <v>129.0</v>
      </c>
      <c r="F167" s="48">
        <v>160.0</v>
      </c>
      <c r="G167" s="48">
        <v>1456.0</v>
      </c>
      <c r="H167" s="48" t="s">
        <v>164</v>
      </c>
      <c r="I167" s="48">
        <v>6.0</v>
      </c>
      <c r="J167" s="48">
        <v>260.0</v>
      </c>
      <c r="K167" s="50">
        <v>45.0</v>
      </c>
      <c r="L167" s="51">
        <v>2.0</v>
      </c>
      <c r="M167" s="51" t="s">
        <v>1729</v>
      </c>
      <c r="N167" s="48">
        <v>1850.0</v>
      </c>
      <c r="O167" s="49">
        <v>68.99</v>
      </c>
      <c r="P167" s="49">
        <v>2.19</v>
      </c>
      <c r="Q167" s="176">
        <v>28.0</v>
      </c>
      <c r="R167" s="63" t="s">
        <v>166</v>
      </c>
      <c r="S167" s="48" t="s">
        <v>174</v>
      </c>
      <c r="T167" s="48" t="s">
        <v>166</v>
      </c>
      <c r="U167" s="48" t="s">
        <v>174</v>
      </c>
      <c r="V167" s="48" t="s">
        <v>166</v>
      </c>
      <c r="W167" s="177" t="s">
        <v>174</v>
      </c>
      <c r="X167" s="177" t="s">
        <v>174</v>
      </c>
      <c r="Y167" s="195"/>
      <c r="Z167" s="183"/>
      <c r="AA167" s="66"/>
      <c r="AB167" s="66"/>
      <c r="AC167" s="66"/>
      <c r="AD167" s="66"/>
      <c r="AE167" s="66"/>
      <c r="AF167" s="66"/>
      <c r="AG167" s="66"/>
      <c r="AH167" s="66"/>
      <c r="AI167" s="66"/>
    </row>
    <row r="168">
      <c r="A168" s="174" t="s">
        <v>1630</v>
      </c>
      <c r="B168" s="175" t="s">
        <v>1940</v>
      </c>
      <c r="C168" s="51" t="s">
        <v>1770</v>
      </c>
      <c r="D168" s="51">
        <v>132.0</v>
      </c>
      <c r="E168" s="48">
        <v>120.0</v>
      </c>
      <c r="F168" s="48">
        <v>160.0</v>
      </c>
      <c r="G168" s="48">
        <v>1061.0</v>
      </c>
      <c r="H168" s="48" t="s">
        <v>164</v>
      </c>
      <c r="I168" s="48">
        <v>7.0</v>
      </c>
      <c r="J168" s="48">
        <v>260.0</v>
      </c>
      <c r="K168" s="50">
        <v>45.0</v>
      </c>
      <c r="L168" s="51">
        <v>2.0</v>
      </c>
      <c r="M168" s="51" t="s">
        <v>1729</v>
      </c>
      <c r="N168" s="48">
        <v>1500.0</v>
      </c>
      <c r="O168" s="49">
        <v>59.48</v>
      </c>
      <c r="P168" s="49">
        <v>1.61</v>
      </c>
      <c r="Q168" s="176">
        <v>32.0</v>
      </c>
      <c r="R168" s="63" t="s">
        <v>166</v>
      </c>
      <c r="S168" s="48" t="s">
        <v>174</v>
      </c>
      <c r="T168" s="48" t="s">
        <v>166</v>
      </c>
      <c r="U168" s="48" t="s">
        <v>174</v>
      </c>
      <c r="V168" s="48" t="s">
        <v>166</v>
      </c>
      <c r="W168" s="177" t="s">
        <v>174</v>
      </c>
      <c r="X168" s="177" t="s">
        <v>174</v>
      </c>
      <c r="Y168" s="195"/>
      <c r="Z168" s="183"/>
      <c r="AA168" s="66"/>
      <c r="AB168" s="66"/>
      <c r="AC168" s="66"/>
      <c r="AD168" s="66"/>
      <c r="AE168" s="66"/>
      <c r="AF168" s="66"/>
      <c r="AG168" s="66"/>
      <c r="AH168" s="66"/>
      <c r="AI168" s="66"/>
    </row>
    <row r="169">
      <c r="A169" s="174" t="s">
        <v>1630</v>
      </c>
      <c r="B169" s="175" t="s">
        <v>1941</v>
      </c>
      <c r="C169" s="51" t="s">
        <v>1770</v>
      </c>
      <c r="D169" s="51">
        <v>132.0</v>
      </c>
      <c r="E169" s="48">
        <v>120.0</v>
      </c>
      <c r="F169" s="48">
        <v>160.0</v>
      </c>
      <c r="G169" s="48">
        <v>1061.0</v>
      </c>
      <c r="H169" s="48" t="s">
        <v>164</v>
      </c>
      <c r="I169" s="48">
        <v>7.0</v>
      </c>
      <c r="J169" s="48">
        <v>260.0</v>
      </c>
      <c r="K169" s="50">
        <v>45.0</v>
      </c>
      <c r="L169" s="51">
        <v>2.0</v>
      </c>
      <c r="M169" s="51" t="s">
        <v>1729</v>
      </c>
      <c r="N169" s="48">
        <v>1500.0</v>
      </c>
      <c r="O169" s="49">
        <v>59.48</v>
      </c>
      <c r="P169" s="49">
        <v>1.61</v>
      </c>
      <c r="Q169" s="176">
        <v>32.0</v>
      </c>
      <c r="R169" s="63" t="s">
        <v>166</v>
      </c>
      <c r="S169" s="48" t="s">
        <v>174</v>
      </c>
      <c r="T169" s="48" t="s">
        <v>166</v>
      </c>
      <c r="U169" s="48" t="s">
        <v>174</v>
      </c>
      <c r="V169" s="48" t="s">
        <v>166</v>
      </c>
      <c r="W169" s="177" t="s">
        <v>174</v>
      </c>
      <c r="X169" s="177" t="s">
        <v>174</v>
      </c>
      <c r="Y169" s="195"/>
      <c r="Z169" s="183"/>
      <c r="AA169" s="66"/>
      <c r="AB169" s="66"/>
      <c r="AC169" s="66"/>
      <c r="AD169" s="66"/>
      <c r="AE169" s="66"/>
      <c r="AF169" s="66"/>
      <c r="AG169" s="66"/>
      <c r="AH169" s="66"/>
      <c r="AI169" s="66"/>
    </row>
    <row r="170">
      <c r="A170" s="174" t="s">
        <v>1630</v>
      </c>
      <c r="B170" s="175" t="s">
        <v>1942</v>
      </c>
      <c r="C170" s="51" t="s">
        <v>1770</v>
      </c>
      <c r="D170" s="51">
        <v>132.0</v>
      </c>
      <c r="E170" s="48">
        <v>120.0</v>
      </c>
      <c r="F170" s="48">
        <v>160.0</v>
      </c>
      <c r="G170" s="48">
        <v>1061.0</v>
      </c>
      <c r="H170" s="48" t="s">
        <v>164</v>
      </c>
      <c r="I170" s="48">
        <v>7.0</v>
      </c>
      <c r="J170" s="48">
        <v>260.0</v>
      </c>
      <c r="K170" s="50">
        <v>45.0</v>
      </c>
      <c r="L170" s="51">
        <v>2.0</v>
      </c>
      <c r="M170" s="51" t="s">
        <v>1729</v>
      </c>
      <c r="N170" s="48">
        <v>1500.0</v>
      </c>
      <c r="O170" s="49">
        <v>59.48</v>
      </c>
      <c r="P170" s="49">
        <v>1.61</v>
      </c>
      <c r="Q170" s="176">
        <v>32.0</v>
      </c>
      <c r="R170" s="63" t="s">
        <v>166</v>
      </c>
      <c r="S170" s="48" t="s">
        <v>174</v>
      </c>
      <c r="T170" s="48" t="s">
        <v>166</v>
      </c>
      <c r="U170" s="48" t="s">
        <v>174</v>
      </c>
      <c r="V170" s="48" t="s">
        <v>166</v>
      </c>
      <c r="W170" s="177" t="s">
        <v>174</v>
      </c>
      <c r="X170" s="177" t="s">
        <v>174</v>
      </c>
      <c r="Y170" s="195"/>
      <c r="Z170" s="183"/>
      <c r="AA170" s="66"/>
      <c r="AB170" s="66"/>
      <c r="AC170" s="66"/>
      <c r="AD170" s="66"/>
      <c r="AE170" s="66"/>
      <c r="AF170" s="66"/>
      <c r="AG170" s="66"/>
      <c r="AH170" s="66"/>
      <c r="AI170" s="66"/>
    </row>
    <row r="171">
      <c r="A171" s="174" t="s">
        <v>1630</v>
      </c>
      <c r="B171" s="175" t="s">
        <v>1943</v>
      </c>
      <c r="C171" s="51" t="s">
        <v>1770</v>
      </c>
      <c r="D171" s="51">
        <v>155.0</v>
      </c>
      <c r="E171" s="48">
        <v>140.0</v>
      </c>
      <c r="F171" s="48">
        <v>160.0</v>
      </c>
      <c r="G171" s="48">
        <v>1280.0</v>
      </c>
      <c r="H171" s="48" t="s">
        <v>164</v>
      </c>
      <c r="I171" s="48">
        <v>7.0</v>
      </c>
      <c r="J171" s="48">
        <v>280.0</v>
      </c>
      <c r="K171" s="50">
        <v>45.0</v>
      </c>
      <c r="L171" s="51">
        <v>2.0</v>
      </c>
      <c r="M171" s="51" t="s">
        <v>1781</v>
      </c>
      <c r="N171" s="48">
        <v>1800.0</v>
      </c>
      <c r="O171" s="49">
        <v>90.2</v>
      </c>
      <c r="P171" s="49">
        <v>2.74</v>
      </c>
      <c r="Q171" s="176">
        <v>38.0</v>
      </c>
      <c r="R171" s="63" t="s">
        <v>166</v>
      </c>
      <c r="S171" s="48" t="s">
        <v>174</v>
      </c>
      <c r="T171" s="48" t="s">
        <v>166</v>
      </c>
      <c r="U171" s="48" t="s">
        <v>174</v>
      </c>
      <c r="V171" s="48" t="s">
        <v>166</v>
      </c>
      <c r="W171" s="177" t="s">
        <v>174</v>
      </c>
      <c r="X171" s="177" t="s">
        <v>174</v>
      </c>
      <c r="Y171" s="195"/>
      <c r="Z171" s="183"/>
      <c r="AA171" s="66"/>
      <c r="AB171" s="66"/>
      <c r="AC171" s="66"/>
      <c r="AD171" s="66"/>
      <c r="AE171" s="66"/>
      <c r="AF171" s="66"/>
      <c r="AG171" s="66"/>
      <c r="AH171" s="66"/>
      <c r="AI171" s="66"/>
    </row>
    <row r="172">
      <c r="A172" s="174" t="s">
        <v>1639</v>
      </c>
      <c r="B172" s="175" t="s">
        <v>1944</v>
      </c>
      <c r="C172" s="51" t="s">
        <v>1770</v>
      </c>
      <c r="D172" s="51">
        <v>135.0</v>
      </c>
      <c r="E172" s="48">
        <v>150.0</v>
      </c>
      <c r="F172" s="48">
        <v>160.0</v>
      </c>
      <c r="G172" s="48">
        <v>1150.0</v>
      </c>
      <c r="H172" s="48" t="s">
        <v>164</v>
      </c>
      <c r="I172" s="48">
        <v>6.0</v>
      </c>
      <c r="J172" s="182" t="s">
        <v>214</v>
      </c>
      <c r="K172" s="50">
        <v>66.0</v>
      </c>
      <c r="L172" s="51">
        <v>1.0</v>
      </c>
      <c r="M172" s="51" t="s">
        <v>1945</v>
      </c>
      <c r="N172" s="48">
        <v>1500.0</v>
      </c>
      <c r="O172" s="49">
        <v>82.57779999999998</v>
      </c>
      <c r="P172" s="49">
        <v>1.51</v>
      </c>
      <c r="Q172" s="176">
        <v>24.6</v>
      </c>
      <c r="R172" s="63" t="s">
        <v>166</v>
      </c>
      <c r="S172" s="48" t="s">
        <v>174</v>
      </c>
      <c r="T172" s="48" t="s">
        <v>166</v>
      </c>
      <c r="U172" s="48" t="s">
        <v>174</v>
      </c>
      <c r="V172" s="48" t="s">
        <v>166</v>
      </c>
      <c r="W172" s="177" t="s">
        <v>174</v>
      </c>
      <c r="X172" s="177" t="s">
        <v>174</v>
      </c>
      <c r="Y172" s="195"/>
      <c r="Z172" s="183"/>
      <c r="AA172" s="66"/>
      <c r="AB172" s="66"/>
      <c r="AC172" s="66"/>
      <c r="AD172" s="66"/>
      <c r="AE172" s="66"/>
      <c r="AF172" s="66"/>
      <c r="AG172" s="66"/>
      <c r="AH172" s="66"/>
      <c r="AI172" s="66"/>
    </row>
    <row r="173">
      <c r="A173" s="174" t="s">
        <v>1639</v>
      </c>
      <c r="B173" s="175" t="s">
        <v>1946</v>
      </c>
      <c r="C173" s="51" t="s">
        <v>1770</v>
      </c>
      <c r="D173" s="51">
        <v>135.0</v>
      </c>
      <c r="E173" s="48">
        <v>150.0</v>
      </c>
      <c r="F173" s="48">
        <v>160.0</v>
      </c>
      <c r="G173" s="48">
        <v>1150.0</v>
      </c>
      <c r="H173" s="48" t="s">
        <v>164</v>
      </c>
      <c r="I173" s="48">
        <v>6.0</v>
      </c>
      <c r="J173" s="182" t="s">
        <v>214</v>
      </c>
      <c r="K173" s="50">
        <v>66.0</v>
      </c>
      <c r="L173" s="51">
        <v>1.0</v>
      </c>
      <c r="M173" s="51" t="s">
        <v>1945</v>
      </c>
      <c r="N173" s="48">
        <v>1500.0</v>
      </c>
      <c r="O173" s="49">
        <v>82.57779999999998</v>
      </c>
      <c r="P173" s="49">
        <v>1.51</v>
      </c>
      <c r="Q173" s="176">
        <v>24.6</v>
      </c>
      <c r="R173" s="63" t="s">
        <v>166</v>
      </c>
      <c r="S173" s="48" t="s">
        <v>174</v>
      </c>
      <c r="T173" s="48" t="s">
        <v>166</v>
      </c>
      <c r="U173" s="48" t="s">
        <v>174</v>
      </c>
      <c r="V173" s="48" t="s">
        <v>166</v>
      </c>
      <c r="W173" s="177" t="s">
        <v>174</v>
      </c>
      <c r="X173" s="177" t="s">
        <v>174</v>
      </c>
      <c r="Y173" s="195"/>
      <c r="Z173" s="183"/>
      <c r="AA173" s="66"/>
      <c r="AB173" s="66"/>
      <c r="AC173" s="66"/>
      <c r="AD173" s="66"/>
      <c r="AE173" s="66"/>
      <c r="AF173" s="66"/>
      <c r="AG173" s="66"/>
      <c r="AH173" s="66"/>
      <c r="AI173" s="66"/>
    </row>
    <row r="174">
      <c r="A174" s="174" t="s">
        <v>1634</v>
      </c>
      <c r="B174" s="175" t="s">
        <v>1947</v>
      </c>
      <c r="C174" s="51" t="s">
        <v>1770</v>
      </c>
      <c r="D174" s="51">
        <v>146.0</v>
      </c>
      <c r="E174" s="48">
        <v>140.0</v>
      </c>
      <c r="F174" s="48">
        <v>160.0</v>
      </c>
      <c r="G174" s="48">
        <v>1340.0</v>
      </c>
      <c r="H174" s="48" t="s">
        <v>164</v>
      </c>
      <c r="I174" s="48">
        <v>5.0</v>
      </c>
      <c r="J174" s="48">
        <v>275.0</v>
      </c>
      <c r="K174" s="50">
        <v>43.0</v>
      </c>
      <c r="L174" s="51">
        <v>2.0</v>
      </c>
      <c r="M174" s="51" t="s">
        <v>1948</v>
      </c>
      <c r="N174" s="48">
        <v>1800.0</v>
      </c>
      <c r="O174" s="49">
        <v>95.5</v>
      </c>
      <c r="P174" s="49">
        <v>2.25</v>
      </c>
      <c r="Q174" s="176">
        <v>30.2</v>
      </c>
      <c r="R174" s="63" t="s">
        <v>166</v>
      </c>
      <c r="S174" s="48" t="s">
        <v>174</v>
      </c>
      <c r="T174" s="48" t="s">
        <v>166</v>
      </c>
      <c r="U174" s="48" t="s">
        <v>174</v>
      </c>
      <c r="V174" s="48" t="s">
        <v>166</v>
      </c>
      <c r="W174" s="177" t="s">
        <v>174</v>
      </c>
      <c r="X174" s="177" t="s">
        <v>174</v>
      </c>
      <c r="Y174" s="195"/>
      <c r="Z174" s="183"/>
      <c r="AA174" s="66"/>
      <c r="AB174" s="66"/>
      <c r="AC174" s="66"/>
      <c r="AD174" s="66"/>
      <c r="AE174" s="66"/>
      <c r="AF174" s="66"/>
      <c r="AG174" s="66"/>
      <c r="AH174" s="66"/>
      <c r="AI174" s="66"/>
    </row>
    <row r="175">
      <c r="A175" s="174" t="s">
        <v>1634</v>
      </c>
      <c r="B175" s="196" t="s">
        <v>1949</v>
      </c>
      <c r="C175" s="51" t="s">
        <v>1770</v>
      </c>
      <c r="D175" s="51">
        <v>146.0</v>
      </c>
      <c r="E175" s="48">
        <v>140.0</v>
      </c>
      <c r="F175" s="48">
        <v>160.0</v>
      </c>
      <c r="G175" s="48">
        <v>1340.0</v>
      </c>
      <c r="H175" s="48" t="s">
        <v>164</v>
      </c>
      <c r="I175" s="48">
        <v>5.0</v>
      </c>
      <c r="J175" s="48">
        <v>275.0</v>
      </c>
      <c r="K175" s="50">
        <v>43.0</v>
      </c>
      <c r="L175" s="51">
        <v>2.0</v>
      </c>
      <c r="M175" s="51" t="s">
        <v>1948</v>
      </c>
      <c r="N175" s="48">
        <v>1800.0</v>
      </c>
      <c r="O175" s="49">
        <v>95.5</v>
      </c>
      <c r="P175" s="49">
        <v>2.25</v>
      </c>
      <c r="Q175" s="176">
        <v>30.2</v>
      </c>
      <c r="R175" s="63" t="s">
        <v>166</v>
      </c>
      <c r="S175" s="48" t="s">
        <v>174</v>
      </c>
      <c r="T175" s="48" t="s">
        <v>166</v>
      </c>
      <c r="U175" s="48" t="s">
        <v>174</v>
      </c>
      <c r="V175" s="48" t="s">
        <v>166</v>
      </c>
      <c r="W175" s="177" t="s">
        <v>174</v>
      </c>
      <c r="X175" s="177" t="s">
        <v>174</v>
      </c>
      <c r="Y175" s="195"/>
      <c r="Z175" s="183"/>
      <c r="AA175" s="66"/>
      <c r="AB175" s="66"/>
      <c r="AC175" s="66"/>
      <c r="AD175" s="66"/>
      <c r="AE175" s="66"/>
      <c r="AF175" s="66"/>
      <c r="AG175" s="66"/>
      <c r="AH175" s="66"/>
      <c r="AI175" s="66"/>
    </row>
    <row r="176">
      <c r="A176" s="174" t="s">
        <v>1634</v>
      </c>
      <c r="B176" s="196" t="s">
        <v>1950</v>
      </c>
      <c r="C176" s="51" t="s">
        <v>1770</v>
      </c>
      <c r="D176" s="51">
        <v>146.0</v>
      </c>
      <c r="E176" s="48">
        <v>140.0</v>
      </c>
      <c r="F176" s="48">
        <v>160.0</v>
      </c>
      <c r="G176" s="48">
        <v>1280.0</v>
      </c>
      <c r="H176" s="48" t="s">
        <v>164</v>
      </c>
      <c r="I176" s="48">
        <v>4.0</v>
      </c>
      <c r="J176" s="48">
        <v>255.0</v>
      </c>
      <c r="K176" s="50">
        <v>43.0</v>
      </c>
      <c r="L176" s="51">
        <v>2.0</v>
      </c>
      <c r="M176" s="51" t="s">
        <v>1948</v>
      </c>
      <c r="N176" s="48">
        <v>1500.0</v>
      </c>
      <c r="O176" s="49">
        <v>77.8</v>
      </c>
      <c r="P176" s="49">
        <v>2.09</v>
      </c>
      <c r="Q176" s="176">
        <v>25.6</v>
      </c>
      <c r="R176" s="63" t="s">
        <v>166</v>
      </c>
      <c r="S176" s="48" t="s">
        <v>174</v>
      </c>
      <c r="T176" s="48" t="s">
        <v>166</v>
      </c>
      <c r="U176" s="48" t="s">
        <v>174</v>
      </c>
      <c r="V176" s="48" t="s">
        <v>166</v>
      </c>
      <c r="W176" s="177" t="s">
        <v>174</v>
      </c>
      <c r="X176" s="177" t="s">
        <v>174</v>
      </c>
      <c r="Y176" s="195"/>
      <c r="Z176" s="183"/>
      <c r="AA176" s="66"/>
      <c r="AB176" s="66"/>
      <c r="AC176" s="66"/>
      <c r="AD176" s="66"/>
      <c r="AE176" s="66"/>
      <c r="AF176" s="66"/>
      <c r="AG176" s="66"/>
      <c r="AH176" s="66"/>
      <c r="AI176" s="66"/>
    </row>
    <row r="177">
      <c r="A177" s="174" t="s">
        <v>1634</v>
      </c>
      <c r="B177" s="213" t="s">
        <v>1951</v>
      </c>
      <c r="C177" s="51" t="s">
        <v>1770</v>
      </c>
      <c r="D177" s="51">
        <v>146.0</v>
      </c>
      <c r="E177" s="48">
        <v>140.0</v>
      </c>
      <c r="F177" s="48">
        <v>160.0</v>
      </c>
      <c r="G177" s="48">
        <v>1280.0</v>
      </c>
      <c r="H177" s="48" t="s">
        <v>164</v>
      </c>
      <c r="I177" s="48">
        <v>4.0</v>
      </c>
      <c r="J177" s="48">
        <v>255.0</v>
      </c>
      <c r="K177" s="50">
        <v>43.0</v>
      </c>
      <c r="L177" s="51">
        <v>2.0</v>
      </c>
      <c r="M177" s="51" t="s">
        <v>1948</v>
      </c>
      <c r="N177" s="48">
        <v>1500.0</v>
      </c>
      <c r="O177" s="49">
        <v>77.8</v>
      </c>
      <c r="P177" s="49">
        <v>2.09</v>
      </c>
      <c r="Q177" s="176">
        <v>25.6</v>
      </c>
      <c r="R177" s="63" t="s">
        <v>166</v>
      </c>
      <c r="S177" s="48" t="s">
        <v>174</v>
      </c>
      <c r="T177" s="48" t="s">
        <v>166</v>
      </c>
      <c r="U177" s="48" t="s">
        <v>174</v>
      </c>
      <c r="V177" s="48" t="s">
        <v>166</v>
      </c>
      <c r="W177" s="177" t="s">
        <v>174</v>
      </c>
      <c r="X177" s="177" t="s">
        <v>174</v>
      </c>
      <c r="Y177" s="195"/>
      <c r="Z177" s="183"/>
      <c r="AA177" s="66"/>
      <c r="AB177" s="66"/>
      <c r="AC177" s="66"/>
      <c r="AD177" s="66"/>
      <c r="AE177" s="66"/>
      <c r="AF177" s="66"/>
      <c r="AG177" s="66"/>
      <c r="AH177" s="66"/>
      <c r="AI177" s="66"/>
    </row>
    <row r="178">
      <c r="A178" s="174" t="s">
        <v>1666</v>
      </c>
      <c r="B178" s="213" t="s">
        <v>1952</v>
      </c>
      <c r="C178" s="51" t="s">
        <v>1743</v>
      </c>
      <c r="D178" s="51">
        <v>101.0</v>
      </c>
      <c r="E178" s="48">
        <v>136.0</v>
      </c>
      <c r="F178" s="48">
        <v>161.0</v>
      </c>
      <c r="G178" s="48">
        <v>1030.0</v>
      </c>
      <c r="H178" s="48" t="s">
        <v>164</v>
      </c>
      <c r="I178" s="48">
        <v>6.0</v>
      </c>
      <c r="J178" s="48">
        <v>210.0</v>
      </c>
      <c r="K178" s="50" t="s">
        <v>1605</v>
      </c>
      <c r="L178" s="51">
        <v>1.0</v>
      </c>
      <c r="M178" s="51" t="s">
        <v>1729</v>
      </c>
      <c r="N178" s="48">
        <v>2100.0</v>
      </c>
      <c r="O178" s="49">
        <v>55.0</v>
      </c>
      <c r="P178" s="49">
        <v>2.73</v>
      </c>
      <c r="Q178" s="176">
        <v>29.8</v>
      </c>
      <c r="R178" s="63" t="s">
        <v>166</v>
      </c>
      <c r="S178" s="48" t="s">
        <v>174</v>
      </c>
      <c r="T178" s="48" t="s">
        <v>166</v>
      </c>
      <c r="U178" s="48" t="s">
        <v>174</v>
      </c>
      <c r="V178" s="48" t="s">
        <v>166</v>
      </c>
      <c r="W178" s="177" t="s">
        <v>174</v>
      </c>
      <c r="X178" s="177" t="s">
        <v>174</v>
      </c>
      <c r="Y178" s="195"/>
      <c r="Z178" s="183"/>
      <c r="AA178" s="66"/>
      <c r="AB178" s="66"/>
      <c r="AC178" s="66"/>
      <c r="AD178" s="66"/>
      <c r="AE178" s="66"/>
      <c r="AF178" s="66"/>
      <c r="AG178" s="66"/>
      <c r="AH178" s="66"/>
      <c r="AI178" s="66"/>
    </row>
    <row r="179">
      <c r="A179" s="174" t="s">
        <v>1666</v>
      </c>
      <c r="B179" s="213" t="s">
        <v>1953</v>
      </c>
      <c r="C179" s="51" t="s">
        <v>1743</v>
      </c>
      <c r="D179" s="51">
        <v>74.0</v>
      </c>
      <c r="E179" s="48">
        <v>137.0</v>
      </c>
      <c r="F179" s="48">
        <v>161.0</v>
      </c>
      <c r="G179" s="48">
        <v>690.0</v>
      </c>
      <c r="H179" s="48" t="s">
        <v>164</v>
      </c>
      <c r="I179" s="48">
        <v>4.0</v>
      </c>
      <c r="J179" s="48">
        <v>160.0</v>
      </c>
      <c r="K179" s="50" t="s">
        <v>1605</v>
      </c>
      <c r="L179" s="51">
        <v>1.0</v>
      </c>
      <c r="M179" s="51" t="s">
        <v>1778</v>
      </c>
      <c r="N179" s="48">
        <v>1400.0</v>
      </c>
      <c r="O179" s="49" t="s">
        <v>170</v>
      </c>
      <c r="P179" s="49" t="s">
        <v>170</v>
      </c>
      <c r="Q179" s="176">
        <v>23.7</v>
      </c>
      <c r="R179" s="63" t="s">
        <v>166</v>
      </c>
      <c r="S179" s="48" t="s">
        <v>174</v>
      </c>
      <c r="T179" s="48" t="s">
        <v>166</v>
      </c>
      <c r="U179" s="48" t="s">
        <v>174</v>
      </c>
      <c r="V179" s="48" t="s">
        <v>166</v>
      </c>
      <c r="W179" s="177" t="s">
        <v>174</v>
      </c>
      <c r="X179" s="177" t="s">
        <v>174</v>
      </c>
      <c r="Y179" s="195"/>
      <c r="Z179" s="183"/>
      <c r="AA179" s="66"/>
      <c r="AB179" s="66"/>
      <c r="AC179" s="66"/>
      <c r="AD179" s="66"/>
      <c r="AE179" s="66"/>
      <c r="AF179" s="66"/>
      <c r="AG179" s="66"/>
      <c r="AH179" s="66"/>
      <c r="AI179" s="66"/>
    </row>
    <row r="180">
      <c r="A180" s="174" t="s">
        <v>1706</v>
      </c>
      <c r="B180" s="213" t="s">
        <v>1954</v>
      </c>
      <c r="C180" s="51" t="s">
        <v>1770</v>
      </c>
      <c r="D180" s="51">
        <v>138.0</v>
      </c>
      <c r="E180" s="48">
        <v>129.0</v>
      </c>
      <c r="F180" s="48">
        <v>162.0</v>
      </c>
      <c r="G180" s="48">
        <v>1486.0</v>
      </c>
      <c r="H180" s="48" t="s">
        <v>164</v>
      </c>
      <c r="I180" s="48">
        <v>6.0</v>
      </c>
      <c r="J180" s="48">
        <v>260.0</v>
      </c>
      <c r="K180" s="50">
        <v>47.0</v>
      </c>
      <c r="L180" s="51">
        <v>2.0</v>
      </c>
      <c r="M180" s="51" t="s">
        <v>1729</v>
      </c>
      <c r="N180" s="48">
        <v>1850.0</v>
      </c>
      <c r="O180" s="49">
        <v>68.99</v>
      </c>
      <c r="P180" s="49">
        <v>2.19</v>
      </c>
      <c r="Q180" s="176">
        <v>28.0</v>
      </c>
      <c r="R180" s="63" t="s">
        <v>166</v>
      </c>
      <c r="S180" s="48" t="s">
        <v>174</v>
      </c>
      <c r="T180" s="48" t="s">
        <v>166</v>
      </c>
      <c r="U180" s="48" t="s">
        <v>174</v>
      </c>
      <c r="V180" s="48" t="s">
        <v>166</v>
      </c>
      <c r="W180" s="177" t="s">
        <v>174</v>
      </c>
      <c r="X180" s="177" t="s">
        <v>174</v>
      </c>
      <c r="Y180" s="195"/>
      <c r="Z180" s="183"/>
      <c r="AA180" s="66"/>
      <c r="AB180" s="66"/>
      <c r="AC180" s="66"/>
      <c r="AD180" s="66"/>
      <c r="AE180" s="66"/>
      <c r="AF180" s="66"/>
      <c r="AG180" s="66"/>
      <c r="AH180" s="66"/>
      <c r="AI180" s="66"/>
    </row>
    <row r="181">
      <c r="A181" s="174" t="s">
        <v>1630</v>
      </c>
      <c r="B181" s="213" t="s">
        <v>1955</v>
      </c>
      <c r="C181" s="51" t="s">
        <v>1743</v>
      </c>
      <c r="D181" s="51">
        <v>105.0</v>
      </c>
      <c r="E181" s="48">
        <v>120.0</v>
      </c>
      <c r="F181" s="48">
        <v>162.0</v>
      </c>
      <c r="G181" s="48">
        <v>1035.0</v>
      </c>
      <c r="H181" s="48" t="s">
        <v>164</v>
      </c>
      <c r="I181" s="48">
        <v>6.0</v>
      </c>
      <c r="J181" s="48">
        <v>240.0</v>
      </c>
      <c r="K181" s="50" t="s">
        <v>1605</v>
      </c>
      <c r="L181" s="51">
        <v>1.0</v>
      </c>
      <c r="M181" s="51" t="s">
        <v>1729</v>
      </c>
      <c r="N181" s="48">
        <v>1800.0</v>
      </c>
      <c r="O181" s="49">
        <v>83.04</v>
      </c>
      <c r="P181" s="49">
        <v>2.68</v>
      </c>
      <c r="Q181" s="176">
        <v>37.6</v>
      </c>
      <c r="R181" s="63" t="s">
        <v>166</v>
      </c>
      <c r="S181" s="48" t="s">
        <v>174</v>
      </c>
      <c r="T181" s="48" t="s">
        <v>166</v>
      </c>
      <c r="U181" s="48" t="s">
        <v>174</v>
      </c>
      <c r="V181" s="48" t="s">
        <v>166</v>
      </c>
      <c r="W181" s="177" t="s">
        <v>174</v>
      </c>
      <c r="X181" s="177" t="s">
        <v>174</v>
      </c>
      <c r="Y181" s="195"/>
      <c r="Z181" s="183"/>
      <c r="AA181" s="66"/>
      <c r="AB181" s="66"/>
      <c r="AC181" s="66"/>
      <c r="AD181" s="66"/>
      <c r="AE181" s="66"/>
      <c r="AF181" s="66"/>
      <c r="AG181" s="66"/>
      <c r="AH181" s="66"/>
      <c r="AI181" s="66"/>
    </row>
    <row r="182">
      <c r="A182" s="174" t="s">
        <v>1630</v>
      </c>
      <c r="B182" s="213" t="s">
        <v>1956</v>
      </c>
      <c r="C182" s="51" t="s">
        <v>1743</v>
      </c>
      <c r="D182" s="51">
        <v>105.0</v>
      </c>
      <c r="E182" s="48">
        <v>120.0</v>
      </c>
      <c r="F182" s="48">
        <v>162.0</v>
      </c>
      <c r="G182" s="48">
        <v>1035.0</v>
      </c>
      <c r="H182" s="48" t="s">
        <v>164</v>
      </c>
      <c r="I182" s="48">
        <v>6.0</v>
      </c>
      <c r="J182" s="48">
        <v>240.0</v>
      </c>
      <c r="K182" s="50" t="s">
        <v>1605</v>
      </c>
      <c r="L182" s="51">
        <v>1.0</v>
      </c>
      <c r="M182" s="51" t="s">
        <v>1729</v>
      </c>
      <c r="N182" s="48">
        <v>1800.0</v>
      </c>
      <c r="O182" s="49">
        <v>83.04</v>
      </c>
      <c r="P182" s="49">
        <v>2.68</v>
      </c>
      <c r="Q182" s="176">
        <v>37.6</v>
      </c>
      <c r="R182" s="63" t="s">
        <v>166</v>
      </c>
      <c r="S182" s="48" t="s">
        <v>174</v>
      </c>
      <c r="T182" s="48" t="s">
        <v>166</v>
      </c>
      <c r="U182" s="48" t="s">
        <v>174</v>
      </c>
      <c r="V182" s="48" t="s">
        <v>166</v>
      </c>
      <c r="W182" s="177" t="s">
        <v>174</v>
      </c>
      <c r="X182" s="177" t="s">
        <v>174</v>
      </c>
      <c r="Y182" s="195"/>
      <c r="Z182" s="183"/>
      <c r="AA182" s="66"/>
      <c r="AB182" s="66"/>
      <c r="AC182" s="66"/>
      <c r="AD182" s="66"/>
      <c r="AE182" s="66"/>
      <c r="AF182" s="66"/>
      <c r="AG182" s="66"/>
      <c r="AH182" s="66"/>
      <c r="AI182" s="66"/>
    </row>
    <row r="183">
      <c r="A183" s="174" t="s">
        <v>1630</v>
      </c>
      <c r="B183" s="213" t="s">
        <v>1957</v>
      </c>
      <c r="C183" s="51" t="s">
        <v>1743</v>
      </c>
      <c r="D183" s="51">
        <v>121.0</v>
      </c>
      <c r="E183" s="48">
        <v>144.0</v>
      </c>
      <c r="F183" s="48">
        <v>162.0</v>
      </c>
      <c r="G183" s="48">
        <v>1150.0</v>
      </c>
      <c r="H183" s="48" t="s">
        <v>164</v>
      </c>
      <c r="I183" s="48">
        <v>6.0</v>
      </c>
      <c r="J183" s="48">
        <v>250.0</v>
      </c>
      <c r="K183" s="50" t="s">
        <v>1605</v>
      </c>
      <c r="L183" s="51">
        <v>1.0</v>
      </c>
      <c r="M183" s="51" t="s">
        <v>1781</v>
      </c>
      <c r="N183" s="48">
        <v>1800.0</v>
      </c>
      <c r="O183" s="49">
        <v>90.2</v>
      </c>
      <c r="P183" s="49">
        <v>2.74</v>
      </c>
      <c r="Q183" s="176">
        <v>38.0</v>
      </c>
      <c r="R183" s="63" t="s">
        <v>166</v>
      </c>
      <c r="S183" s="48" t="s">
        <v>174</v>
      </c>
      <c r="T183" s="48" t="s">
        <v>166</v>
      </c>
      <c r="U183" s="48" t="s">
        <v>174</v>
      </c>
      <c r="V183" s="48" t="s">
        <v>166</v>
      </c>
      <c r="W183" s="177" t="s">
        <v>174</v>
      </c>
      <c r="X183" s="177" t="s">
        <v>174</v>
      </c>
      <c r="Y183" s="195"/>
      <c r="Z183" s="183"/>
      <c r="AA183" s="66"/>
      <c r="AB183" s="66"/>
      <c r="AC183" s="66"/>
      <c r="AD183" s="66"/>
      <c r="AE183" s="66"/>
      <c r="AF183" s="66"/>
      <c r="AG183" s="66"/>
      <c r="AH183" s="66"/>
      <c r="AI183" s="66"/>
    </row>
    <row r="184">
      <c r="A184" s="174" t="s">
        <v>1666</v>
      </c>
      <c r="B184" s="213" t="s">
        <v>1958</v>
      </c>
      <c r="C184" s="51" t="s">
        <v>1770</v>
      </c>
      <c r="D184" s="51">
        <v>146.0</v>
      </c>
      <c r="E184" s="48">
        <v>136.0</v>
      </c>
      <c r="F184" s="48">
        <v>163.0</v>
      </c>
      <c r="G184" s="48">
        <v>1130.0</v>
      </c>
      <c r="H184" s="48" t="s">
        <v>164</v>
      </c>
      <c r="I184" s="48">
        <v>7.0</v>
      </c>
      <c r="J184" s="48">
        <v>250.0</v>
      </c>
      <c r="K184" s="50">
        <v>40.0</v>
      </c>
      <c r="L184" s="51">
        <v>2.0</v>
      </c>
      <c r="M184" s="51" t="s">
        <v>1959</v>
      </c>
      <c r="N184" s="48">
        <v>1500.0</v>
      </c>
      <c r="O184" s="49" t="s">
        <v>170</v>
      </c>
      <c r="P184" s="49" t="s">
        <v>170</v>
      </c>
      <c r="Q184" s="176">
        <v>24.3</v>
      </c>
      <c r="R184" s="63" t="s">
        <v>166</v>
      </c>
      <c r="S184" s="48" t="s">
        <v>174</v>
      </c>
      <c r="T184" s="48" t="s">
        <v>166</v>
      </c>
      <c r="U184" s="48" t="s">
        <v>174</v>
      </c>
      <c r="V184" s="48" t="s">
        <v>166</v>
      </c>
      <c r="W184" s="177" t="s">
        <v>174</v>
      </c>
      <c r="X184" s="177" t="s">
        <v>174</v>
      </c>
      <c r="Y184" s="195"/>
      <c r="Z184" s="183"/>
      <c r="AA184" s="66"/>
      <c r="AB184" s="66"/>
      <c r="AC184" s="66"/>
      <c r="AD184" s="66"/>
      <c r="AE184" s="66"/>
      <c r="AF184" s="66"/>
      <c r="AG184" s="66"/>
      <c r="AH184" s="66"/>
      <c r="AI184" s="66"/>
    </row>
    <row r="185">
      <c r="A185" s="174" t="s">
        <v>1666</v>
      </c>
      <c r="B185" s="213" t="s">
        <v>1960</v>
      </c>
      <c r="C185" s="51" t="s">
        <v>1743</v>
      </c>
      <c r="D185" s="51">
        <v>121.0</v>
      </c>
      <c r="E185" s="48">
        <v>130.0</v>
      </c>
      <c r="F185" s="48">
        <v>163.0</v>
      </c>
      <c r="G185" s="48">
        <v>710.0</v>
      </c>
      <c r="H185" s="48" t="s">
        <v>164</v>
      </c>
      <c r="I185" s="48">
        <v>5.0</v>
      </c>
      <c r="J185" s="48">
        <v>190.0</v>
      </c>
      <c r="K185" s="50" t="s">
        <v>1605</v>
      </c>
      <c r="L185" s="51">
        <v>1.0</v>
      </c>
      <c r="M185" s="51" t="s">
        <v>1729</v>
      </c>
      <c r="N185" s="48">
        <v>1600.0</v>
      </c>
      <c r="O185" s="49" t="s">
        <v>170</v>
      </c>
      <c r="P185" s="49" t="s">
        <v>170</v>
      </c>
      <c r="Q185" s="176">
        <v>24.4</v>
      </c>
      <c r="R185" s="63" t="s">
        <v>166</v>
      </c>
      <c r="S185" s="48" t="s">
        <v>174</v>
      </c>
      <c r="T185" s="48" t="s">
        <v>166</v>
      </c>
      <c r="U185" s="48" t="s">
        <v>174</v>
      </c>
      <c r="V185" s="48" t="s">
        <v>166</v>
      </c>
      <c r="W185" s="177" t="s">
        <v>174</v>
      </c>
      <c r="X185" s="177" t="s">
        <v>174</v>
      </c>
      <c r="Y185" s="195"/>
      <c r="Z185" s="183"/>
      <c r="AA185" s="66"/>
      <c r="AB185" s="66"/>
      <c r="AC185" s="66"/>
      <c r="AD185" s="66"/>
      <c r="AE185" s="66"/>
      <c r="AF185" s="66"/>
      <c r="AG185" s="66"/>
      <c r="AH185" s="66"/>
      <c r="AI185" s="66"/>
    </row>
    <row r="186">
      <c r="A186" s="174" t="s">
        <v>1666</v>
      </c>
      <c r="B186" s="213" t="s">
        <v>1961</v>
      </c>
      <c r="C186" s="51" t="s">
        <v>1743</v>
      </c>
      <c r="D186" s="51">
        <v>121.0</v>
      </c>
      <c r="E186" s="48">
        <v>130.0</v>
      </c>
      <c r="F186" s="48">
        <v>163.0</v>
      </c>
      <c r="G186" s="48">
        <v>710.0</v>
      </c>
      <c r="H186" s="48" t="s">
        <v>164</v>
      </c>
      <c r="I186" s="48">
        <v>5.0</v>
      </c>
      <c r="J186" s="48">
        <v>190.0</v>
      </c>
      <c r="K186" s="50" t="s">
        <v>1605</v>
      </c>
      <c r="L186" s="51">
        <v>1.0</v>
      </c>
      <c r="M186" s="51" t="s">
        <v>1729</v>
      </c>
      <c r="N186" s="48">
        <v>1600.0</v>
      </c>
      <c r="O186" s="49" t="s">
        <v>170</v>
      </c>
      <c r="P186" s="49" t="s">
        <v>170</v>
      </c>
      <c r="Q186" s="176">
        <v>24.4</v>
      </c>
      <c r="R186" s="63" t="s">
        <v>166</v>
      </c>
      <c r="S186" s="48" t="s">
        <v>174</v>
      </c>
      <c r="T186" s="48" t="s">
        <v>166</v>
      </c>
      <c r="U186" s="48" t="s">
        <v>174</v>
      </c>
      <c r="V186" s="48" t="s">
        <v>166</v>
      </c>
      <c r="W186" s="177" t="s">
        <v>174</v>
      </c>
      <c r="X186" s="177" t="s">
        <v>174</v>
      </c>
      <c r="Y186" s="195"/>
      <c r="Z186" s="183"/>
      <c r="AA186" s="66"/>
      <c r="AB186" s="66"/>
      <c r="AC186" s="66"/>
      <c r="AD186" s="66"/>
      <c r="AE186" s="66"/>
      <c r="AF186" s="66"/>
      <c r="AG186" s="66"/>
      <c r="AH186" s="66"/>
      <c r="AI186" s="66"/>
    </row>
    <row r="187">
      <c r="A187" s="174" t="s">
        <v>1611</v>
      </c>
      <c r="B187" s="213" t="s">
        <v>1962</v>
      </c>
      <c r="C187" s="51" t="s">
        <v>1770</v>
      </c>
      <c r="D187" s="51">
        <v>153.0</v>
      </c>
      <c r="E187" s="48">
        <v>140.0</v>
      </c>
      <c r="F187" s="48">
        <v>163.0</v>
      </c>
      <c r="G187" s="48">
        <v>1300.0</v>
      </c>
      <c r="H187" s="48" t="s">
        <v>164</v>
      </c>
      <c r="I187" s="48">
        <v>7.0</v>
      </c>
      <c r="J187" s="48">
        <v>300.0</v>
      </c>
      <c r="K187" s="50">
        <v>28.0</v>
      </c>
      <c r="L187" s="51">
        <v>2.0</v>
      </c>
      <c r="M187" s="51" t="s">
        <v>1781</v>
      </c>
      <c r="N187" s="48">
        <v>2000.0</v>
      </c>
      <c r="O187" s="49">
        <v>98.6</v>
      </c>
      <c r="P187" s="49">
        <v>2.26</v>
      </c>
      <c r="Q187" s="176">
        <v>33.5</v>
      </c>
      <c r="R187" s="63" t="s">
        <v>166</v>
      </c>
      <c r="S187" s="48" t="s">
        <v>174</v>
      </c>
      <c r="T187" s="48" t="s">
        <v>166</v>
      </c>
      <c r="U187" s="48" t="s">
        <v>174</v>
      </c>
      <c r="V187" s="48" t="s">
        <v>166</v>
      </c>
      <c r="W187" s="177" t="s">
        <v>174</v>
      </c>
      <c r="X187" s="177" t="s">
        <v>174</v>
      </c>
      <c r="Y187" s="214"/>
      <c r="Z187" s="183"/>
      <c r="AA187" s="66"/>
      <c r="AB187" s="66"/>
      <c r="AC187" s="66"/>
      <c r="AD187" s="66"/>
      <c r="AE187" s="66"/>
      <c r="AF187" s="66"/>
      <c r="AG187" s="66"/>
      <c r="AH187" s="66"/>
      <c r="AI187" s="66"/>
    </row>
    <row r="188">
      <c r="A188" s="174" t="s">
        <v>1706</v>
      </c>
      <c r="B188" s="213" t="s">
        <v>1963</v>
      </c>
      <c r="C188" s="51" t="s">
        <v>1770</v>
      </c>
      <c r="D188" s="51">
        <v>147.0</v>
      </c>
      <c r="E188" s="48">
        <v>116.0</v>
      </c>
      <c r="F188" s="48">
        <v>164.0</v>
      </c>
      <c r="G188" s="48">
        <v>1380.0</v>
      </c>
      <c r="H188" s="48" t="s">
        <v>164</v>
      </c>
      <c r="I188" s="48">
        <v>7.0</v>
      </c>
      <c r="J188" s="48" t="s">
        <v>170</v>
      </c>
      <c r="K188" s="50" t="s">
        <v>1605</v>
      </c>
      <c r="L188" s="51">
        <v>1.0</v>
      </c>
      <c r="M188" s="51" t="s">
        <v>1781</v>
      </c>
      <c r="N188" s="48">
        <v>1800.0</v>
      </c>
      <c r="O188" s="49">
        <v>61.25</v>
      </c>
      <c r="P188" s="49">
        <v>3.76</v>
      </c>
      <c r="Q188" s="176">
        <v>29.3</v>
      </c>
      <c r="R188" s="63" t="s">
        <v>166</v>
      </c>
      <c r="S188" s="48" t="s">
        <v>174</v>
      </c>
      <c r="T188" s="48" t="s">
        <v>166</v>
      </c>
      <c r="U188" s="48" t="s">
        <v>174</v>
      </c>
      <c r="V188" s="48" t="s">
        <v>166</v>
      </c>
      <c r="W188" s="177" t="s">
        <v>174</v>
      </c>
      <c r="X188" s="177" t="s">
        <v>174</v>
      </c>
      <c r="Y188" s="214"/>
      <c r="Z188" s="183"/>
      <c r="AA188" s="66"/>
      <c r="AB188" s="66"/>
      <c r="AC188" s="66"/>
      <c r="AD188" s="66"/>
      <c r="AE188" s="66"/>
      <c r="AF188" s="66"/>
      <c r="AG188" s="66"/>
      <c r="AH188" s="66"/>
      <c r="AI188" s="66"/>
    </row>
    <row r="189">
      <c r="A189" s="174" t="s">
        <v>1706</v>
      </c>
      <c r="B189" s="213" t="s">
        <v>1964</v>
      </c>
      <c r="C189" s="51" t="s">
        <v>1770</v>
      </c>
      <c r="D189" s="51">
        <v>147.0</v>
      </c>
      <c r="E189" s="48">
        <v>144.0</v>
      </c>
      <c r="F189" s="48">
        <v>164.0</v>
      </c>
      <c r="G189" s="48">
        <v>1575.0</v>
      </c>
      <c r="H189" s="48" t="s">
        <v>164</v>
      </c>
      <c r="I189" s="48">
        <v>7.0</v>
      </c>
      <c r="J189" s="48">
        <v>280.0</v>
      </c>
      <c r="K189" s="50" t="s">
        <v>1605</v>
      </c>
      <c r="L189" s="51">
        <v>2.0</v>
      </c>
      <c r="M189" s="51" t="s">
        <v>1935</v>
      </c>
      <c r="N189" s="48">
        <v>1700.0</v>
      </c>
      <c r="O189" s="49">
        <v>79.1</v>
      </c>
      <c r="P189" s="49">
        <v>2.44</v>
      </c>
      <c r="Q189" s="176">
        <v>29.3</v>
      </c>
      <c r="R189" s="63" t="s">
        <v>166</v>
      </c>
      <c r="S189" s="48" t="s">
        <v>174</v>
      </c>
      <c r="T189" s="48" t="s">
        <v>166</v>
      </c>
      <c r="U189" s="48" t="s">
        <v>174</v>
      </c>
      <c r="V189" s="48" t="s">
        <v>166</v>
      </c>
      <c r="W189" s="177" t="s">
        <v>174</v>
      </c>
      <c r="X189" s="177" t="s">
        <v>174</v>
      </c>
      <c r="Y189" s="197" t="s">
        <v>214</v>
      </c>
      <c r="Z189" s="183"/>
      <c r="AA189" s="66"/>
      <c r="AB189" s="66"/>
      <c r="AC189" s="66"/>
      <c r="AD189" s="66"/>
      <c r="AE189" s="66"/>
      <c r="AF189" s="66"/>
      <c r="AG189" s="66"/>
      <c r="AH189" s="66"/>
      <c r="AI189" s="66"/>
    </row>
    <row r="190">
      <c r="A190" s="174" t="s">
        <v>1480</v>
      </c>
      <c r="B190" s="213" t="s">
        <v>1965</v>
      </c>
      <c r="C190" s="51" t="s">
        <v>1770</v>
      </c>
      <c r="D190" s="51">
        <v>155.0</v>
      </c>
      <c r="E190" s="48">
        <v>153.0</v>
      </c>
      <c r="F190" s="48">
        <v>164.8</v>
      </c>
      <c r="G190" s="48">
        <v>1590.0</v>
      </c>
      <c r="H190" s="48" t="s">
        <v>164</v>
      </c>
      <c r="I190" s="48">
        <v>6.0</v>
      </c>
      <c r="J190" s="48" t="s">
        <v>170</v>
      </c>
      <c r="K190" s="50">
        <v>29.8</v>
      </c>
      <c r="L190" s="51">
        <v>2.0</v>
      </c>
      <c r="M190" s="51" t="s">
        <v>1781</v>
      </c>
      <c r="N190" s="48">
        <v>1600.0</v>
      </c>
      <c r="O190" s="49">
        <v>84.5</v>
      </c>
      <c r="P190" s="49">
        <v>1.73</v>
      </c>
      <c r="Q190" s="176">
        <v>33.9</v>
      </c>
      <c r="R190" s="63" t="s">
        <v>166</v>
      </c>
      <c r="S190" s="48" t="s">
        <v>174</v>
      </c>
      <c r="T190" s="48" t="s">
        <v>166</v>
      </c>
      <c r="U190" s="48" t="s">
        <v>174</v>
      </c>
      <c r="V190" s="48" t="s">
        <v>166</v>
      </c>
      <c r="W190" s="177" t="s">
        <v>174</v>
      </c>
      <c r="X190" s="177" t="s">
        <v>166</v>
      </c>
      <c r="Y190" s="197" t="s">
        <v>214</v>
      </c>
      <c r="Z190" s="183"/>
      <c r="AA190" s="66"/>
      <c r="AB190" s="66"/>
      <c r="AC190" s="66"/>
      <c r="AD190" s="66"/>
      <c r="AE190" s="66"/>
      <c r="AF190" s="66"/>
      <c r="AG190" s="66"/>
      <c r="AH190" s="66"/>
      <c r="AI190" s="66"/>
    </row>
    <row r="191">
      <c r="A191" s="174" t="s">
        <v>1706</v>
      </c>
      <c r="B191" s="213" t="s">
        <v>1966</v>
      </c>
      <c r="C191" s="51" t="s">
        <v>1770</v>
      </c>
      <c r="D191" s="51">
        <v>161.0</v>
      </c>
      <c r="E191" s="48">
        <v>140.0</v>
      </c>
      <c r="F191" s="48">
        <v>165.0</v>
      </c>
      <c r="G191" s="48">
        <v>1464.0</v>
      </c>
      <c r="H191" s="48" t="s">
        <v>164</v>
      </c>
      <c r="I191" s="48">
        <v>7.0</v>
      </c>
      <c r="J191" s="48">
        <v>280.0</v>
      </c>
      <c r="K191" s="50">
        <v>30.0</v>
      </c>
      <c r="L191" s="51">
        <v>2.0</v>
      </c>
      <c r="M191" s="51" t="s">
        <v>1781</v>
      </c>
      <c r="N191" s="48">
        <v>1400.0</v>
      </c>
      <c r="O191" s="49">
        <v>90.37</v>
      </c>
      <c r="P191" s="49">
        <v>1.79</v>
      </c>
      <c r="Q191" s="176">
        <v>29.5</v>
      </c>
      <c r="R191" s="63" t="s">
        <v>166</v>
      </c>
      <c r="S191" s="48" t="s">
        <v>174</v>
      </c>
      <c r="T191" s="48" t="s">
        <v>166</v>
      </c>
      <c r="U191" s="48" t="s">
        <v>174</v>
      </c>
      <c r="V191" s="48" t="s">
        <v>166</v>
      </c>
      <c r="W191" s="177" t="s">
        <v>174</v>
      </c>
      <c r="X191" s="177" t="s">
        <v>174</v>
      </c>
      <c r="Y191" s="195"/>
      <c r="Z191" s="183"/>
      <c r="AA191" s="66"/>
      <c r="AB191" s="66"/>
      <c r="AC191" s="66"/>
      <c r="AD191" s="66"/>
      <c r="AE191" s="66"/>
      <c r="AF191" s="66"/>
      <c r="AG191" s="66"/>
      <c r="AH191" s="66"/>
      <c r="AI191" s="66"/>
    </row>
    <row r="192">
      <c r="A192" s="174" t="s">
        <v>1639</v>
      </c>
      <c r="B192" s="213" t="s">
        <v>1967</v>
      </c>
      <c r="C192" s="51" t="s">
        <v>1770</v>
      </c>
      <c r="D192" s="51">
        <v>161.0</v>
      </c>
      <c r="E192" s="48">
        <v>150.0</v>
      </c>
      <c r="F192" s="48">
        <v>165.0</v>
      </c>
      <c r="G192" s="48">
        <v>1320.0</v>
      </c>
      <c r="H192" s="48" t="s">
        <v>164</v>
      </c>
      <c r="I192" s="48">
        <v>6.0</v>
      </c>
      <c r="J192" s="182" t="s">
        <v>214</v>
      </c>
      <c r="K192" s="50">
        <v>32.0</v>
      </c>
      <c r="L192" s="51">
        <v>2.0</v>
      </c>
      <c r="M192" s="51" t="s">
        <v>1945</v>
      </c>
      <c r="N192" s="48">
        <v>1500.0</v>
      </c>
      <c r="O192" s="49">
        <v>82.57779999999998</v>
      </c>
      <c r="P192" s="49">
        <v>1.51</v>
      </c>
      <c r="Q192" s="176">
        <v>24.6</v>
      </c>
      <c r="R192" s="63" t="s">
        <v>166</v>
      </c>
      <c r="S192" s="48" t="s">
        <v>174</v>
      </c>
      <c r="T192" s="48" t="s">
        <v>166</v>
      </c>
      <c r="U192" s="48" t="s">
        <v>174</v>
      </c>
      <c r="V192" s="48" t="s">
        <v>166</v>
      </c>
      <c r="W192" s="177" t="s">
        <v>174</v>
      </c>
      <c r="X192" s="177" t="s">
        <v>174</v>
      </c>
      <c r="Y192" s="195"/>
      <c r="Z192" s="183"/>
      <c r="AA192" s="66"/>
      <c r="AB192" s="66"/>
      <c r="AC192" s="66"/>
      <c r="AD192" s="66"/>
      <c r="AE192" s="66"/>
      <c r="AF192" s="66"/>
      <c r="AG192" s="66"/>
      <c r="AH192" s="66"/>
      <c r="AI192" s="66"/>
    </row>
    <row r="193">
      <c r="A193" s="174" t="s">
        <v>1639</v>
      </c>
      <c r="B193" s="213" t="s">
        <v>1968</v>
      </c>
      <c r="C193" s="51" t="s">
        <v>1770</v>
      </c>
      <c r="D193" s="51">
        <v>161.0</v>
      </c>
      <c r="E193" s="48">
        <v>150.0</v>
      </c>
      <c r="F193" s="48">
        <v>165.0</v>
      </c>
      <c r="G193" s="48">
        <v>1320.0</v>
      </c>
      <c r="H193" s="48" t="s">
        <v>164</v>
      </c>
      <c r="I193" s="48">
        <v>6.0</v>
      </c>
      <c r="J193" s="182" t="s">
        <v>214</v>
      </c>
      <c r="K193" s="50">
        <v>32.0</v>
      </c>
      <c r="L193" s="51">
        <v>2.0</v>
      </c>
      <c r="M193" s="51" t="s">
        <v>1945</v>
      </c>
      <c r="N193" s="48">
        <v>1500.0</v>
      </c>
      <c r="O193" s="49">
        <v>82.57779999999998</v>
      </c>
      <c r="P193" s="49">
        <v>1.51</v>
      </c>
      <c r="Q193" s="176">
        <v>24.6</v>
      </c>
      <c r="R193" s="63" t="s">
        <v>166</v>
      </c>
      <c r="S193" s="48" t="s">
        <v>174</v>
      </c>
      <c r="T193" s="48" t="s">
        <v>166</v>
      </c>
      <c r="U193" s="48" t="s">
        <v>174</v>
      </c>
      <c r="V193" s="48" t="s">
        <v>166</v>
      </c>
      <c r="W193" s="177" t="s">
        <v>174</v>
      </c>
      <c r="X193" s="177" t="s">
        <v>174</v>
      </c>
      <c r="Y193" s="195"/>
      <c r="Z193" s="183"/>
      <c r="AA193" s="66"/>
      <c r="AB193" s="66"/>
      <c r="AC193" s="66"/>
      <c r="AD193" s="66"/>
      <c r="AE193" s="66"/>
      <c r="AF193" s="66"/>
      <c r="AG193" s="66"/>
      <c r="AH193" s="66"/>
      <c r="AI193" s="66"/>
    </row>
    <row r="194">
      <c r="A194" s="174" t="s">
        <v>1639</v>
      </c>
      <c r="B194" s="213" t="s">
        <v>1969</v>
      </c>
      <c r="C194" s="51" t="s">
        <v>1743</v>
      </c>
      <c r="D194" s="51">
        <v>78.0</v>
      </c>
      <c r="E194" s="48">
        <v>150.0</v>
      </c>
      <c r="F194" s="48">
        <v>165.0</v>
      </c>
      <c r="G194" s="48">
        <v>935.0</v>
      </c>
      <c r="H194" s="48" t="s">
        <v>164</v>
      </c>
      <c r="I194" s="48">
        <v>6.0</v>
      </c>
      <c r="J194" s="182" t="s">
        <v>214</v>
      </c>
      <c r="K194" s="50" t="s">
        <v>1605</v>
      </c>
      <c r="L194" s="51">
        <v>1.0</v>
      </c>
      <c r="M194" s="51" t="s">
        <v>1945</v>
      </c>
      <c r="N194" s="48">
        <v>1500.0</v>
      </c>
      <c r="O194" s="49">
        <v>82.57779999999998</v>
      </c>
      <c r="P194" s="49">
        <v>1.51</v>
      </c>
      <c r="Q194" s="176">
        <v>24.6</v>
      </c>
      <c r="R194" s="63" t="s">
        <v>166</v>
      </c>
      <c r="S194" s="48" t="s">
        <v>174</v>
      </c>
      <c r="T194" s="48" t="s">
        <v>166</v>
      </c>
      <c r="U194" s="48" t="s">
        <v>174</v>
      </c>
      <c r="V194" s="48" t="s">
        <v>166</v>
      </c>
      <c r="W194" s="177" t="s">
        <v>174</v>
      </c>
      <c r="X194" s="177" t="s">
        <v>174</v>
      </c>
      <c r="Y194" s="195"/>
      <c r="Z194" s="183"/>
      <c r="AA194" s="66"/>
      <c r="AB194" s="66"/>
      <c r="AC194" s="66"/>
      <c r="AD194" s="66"/>
      <c r="AE194" s="66"/>
      <c r="AF194" s="66"/>
      <c r="AG194" s="66"/>
      <c r="AH194" s="66"/>
      <c r="AI194" s="66"/>
    </row>
    <row r="195">
      <c r="A195" s="174" t="s">
        <v>1532</v>
      </c>
      <c r="B195" s="213" t="s">
        <v>1970</v>
      </c>
      <c r="C195" s="51" t="s">
        <v>1770</v>
      </c>
      <c r="D195" s="51">
        <v>162.2</v>
      </c>
      <c r="E195" s="48">
        <v>150.6</v>
      </c>
      <c r="F195" s="48">
        <v>165.6</v>
      </c>
      <c r="G195" s="48">
        <v>1630.0</v>
      </c>
      <c r="H195" s="48" t="s">
        <v>164</v>
      </c>
      <c r="I195" s="48">
        <v>8.0</v>
      </c>
      <c r="J195" s="48" t="s">
        <v>170</v>
      </c>
      <c r="K195" s="50">
        <v>42.0</v>
      </c>
      <c r="L195" s="51">
        <v>2.0</v>
      </c>
      <c r="M195" s="51" t="s">
        <v>1971</v>
      </c>
      <c r="N195" s="48">
        <v>1950.0</v>
      </c>
      <c r="O195" s="49">
        <v>63.1</v>
      </c>
      <c r="P195" s="49">
        <v>2.69</v>
      </c>
      <c r="Q195" s="176">
        <v>22.6</v>
      </c>
      <c r="R195" s="63" t="s">
        <v>166</v>
      </c>
      <c r="S195" s="48" t="s">
        <v>174</v>
      </c>
      <c r="T195" s="48" t="s">
        <v>166</v>
      </c>
      <c r="U195" s="48" t="s">
        <v>174</v>
      </c>
      <c r="V195" s="48" t="s">
        <v>166</v>
      </c>
      <c r="W195" s="177" t="s">
        <v>174</v>
      </c>
      <c r="X195" s="177" t="s">
        <v>166</v>
      </c>
      <c r="Y195" s="197" t="s">
        <v>214</v>
      </c>
      <c r="Z195" s="183"/>
      <c r="AA195" s="66"/>
      <c r="AB195" s="66"/>
      <c r="AC195" s="66"/>
      <c r="AD195" s="66"/>
      <c r="AE195" s="66"/>
      <c r="AF195" s="66"/>
      <c r="AG195" s="66"/>
      <c r="AH195" s="66"/>
      <c r="AI195" s="66"/>
    </row>
    <row r="196">
      <c r="A196" s="174" t="s">
        <v>1666</v>
      </c>
      <c r="B196" s="213" t="s">
        <v>1972</v>
      </c>
      <c r="C196" s="51" t="s">
        <v>1770</v>
      </c>
      <c r="D196" s="51">
        <v>145.2</v>
      </c>
      <c r="E196" s="48">
        <v>136.0</v>
      </c>
      <c r="F196" s="48">
        <v>168.0</v>
      </c>
      <c r="G196" s="48">
        <v>1340.0</v>
      </c>
      <c r="H196" s="48" t="s">
        <v>164</v>
      </c>
      <c r="I196" s="48">
        <v>7.0</v>
      </c>
      <c r="J196" s="48">
        <v>280.0</v>
      </c>
      <c r="K196" s="50">
        <v>37.8</v>
      </c>
      <c r="L196" s="51">
        <v>2.0</v>
      </c>
      <c r="M196" s="51" t="s">
        <v>1973</v>
      </c>
      <c r="N196" s="48">
        <v>2000.0</v>
      </c>
      <c r="O196" s="49" t="s">
        <v>170</v>
      </c>
      <c r="P196" s="49" t="s">
        <v>170</v>
      </c>
      <c r="Q196" s="176">
        <v>25.8</v>
      </c>
      <c r="R196" s="63" t="s">
        <v>166</v>
      </c>
      <c r="S196" s="48" t="s">
        <v>174</v>
      </c>
      <c r="T196" s="48" t="s">
        <v>166</v>
      </c>
      <c r="U196" s="48" t="s">
        <v>174</v>
      </c>
      <c r="V196" s="48" t="s">
        <v>166</v>
      </c>
      <c r="W196" s="177" t="s">
        <v>174</v>
      </c>
      <c r="X196" s="177" t="s">
        <v>166</v>
      </c>
      <c r="Y196" s="197" t="s">
        <v>214</v>
      </c>
      <c r="Z196" s="183"/>
      <c r="AA196" s="66"/>
      <c r="AB196" s="66"/>
      <c r="AC196" s="66"/>
      <c r="AD196" s="66"/>
      <c r="AE196" s="66"/>
      <c r="AF196" s="66"/>
      <c r="AG196" s="66"/>
      <c r="AH196" s="66"/>
      <c r="AI196" s="66"/>
    </row>
    <row r="197">
      <c r="A197" s="174" t="s">
        <v>1666</v>
      </c>
      <c r="B197" s="213" t="s">
        <v>1974</v>
      </c>
      <c r="C197" s="51" t="s">
        <v>1770</v>
      </c>
      <c r="D197" s="51">
        <v>145.0</v>
      </c>
      <c r="E197" s="48">
        <v>136.0</v>
      </c>
      <c r="F197" s="48">
        <v>168.0</v>
      </c>
      <c r="G197" s="48">
        <v>1290.0</v>
      </c>
      <c r="H197" s="48" t="s">
        <v>164</v>
      </c>
      <c r="I197" s="48">
        <v>7.0</v>
      </c>
      <c r="J197" s="48">
        <v>270.0</v>
      </c>
      <c r="K197" s="50">
        <v>50.5</v>
      </c>
      <c r="L197" s="51">
        <v>2.0</v>
      </c>
      <c r="M197" s="51" t="s">
        <v>1975</v>
      </c>
      <c r="N197" s="48">
        <v>2000.0</v>
      </c>
      <c r="O197" s="49" t="s">
        <v>170</v>
      </c>
      <c r="P197" s="49" t="s">
        <v>170</v>
      </c>
      <c r="Q197" s="176">
        <v>23.3</v>
      </c>
      <c r="R197" s="63" t="s">
        <v>166</v>
      </c>
      <c r="S197" s="48" t="s">
        <v>174</v>
      </c>
      <c r="T197" s="48" t="s">
        <v>166</v>
      </c>
      <c r="U197" s="48" t="s">
        <v>174</v>
      </c>
      <c r="V197" s="48" t="s">
        <v>166</v>
      </c>
      <c r="W197" s="177" t="s">
        <v>174</v>
      </c>
      <c r="X197" s="177" t="s">
        <v>166</v>
      </c>
      <c r="Y197" s="197" t="s">
        <v>214</v>
      </c>
      <c r="Z197" s="183"/>
      <c r="AA197" s="66"/>
      <c r="AB197" s="66"/>
      <c r="AC197" s="66"/>
      <c r="AD197" s="66"/>
      <c r="AE197" s="66"/>
      <c r="AF197" s="66"/>
      <c r="AG197" s="66"/>
      <c r="AH197" s="66"/>
      <c r="AI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row>
  </sheetData>
  <autoFilter ref="$A$1:$Z$197">
    <sortState ref="A1:Z197">
      <sortCondition ref="F1:F197"/>
    </sortState>
  </autoFilter>
  <customSheetViews>
    <customSheetView guid="{6CF37CC9-C0F4-44B7-9AFD-045D1E8E0DF6}" filter="1" showAutoFilter="1">
      <autoFilter ref="$A$1:$Z$197">
        <filterColumn colId="20">
          <filters>
            <filter val="Y"/>
          </filters>
        </filterColumn>
      </autoFilter>
    </customSheetView>
    <customSheetView guid="{6890B77D-197E-478A-9A61-D2A76B50FDCE}" filter="1" showAutoFilter="1">
      <autoFilter ref="$A$1:$Z$197">
        <sortState ref="A1:Z197">
          <sortCondition ref="A1:A197"/>
          <sortCondition ref="B1:B197"/>
        </sortState>
      </autoFilter>
    </customSheetView>
    <customSheetView guid="{B52520E3-7F03-4B40-B137-27B7AA3F60F7}" filter="1" showAutoFilter="1">
      <autoFilter ref="$A$1:$Z$197">
        <filterColumn colId="22">
          <filters>
            <filter val="Y"/>
          </filters>
        </filterColumn>
      </autoFilter>
    </customSheetView>
    <customSheetView guid="{32E58935-3C9F-4EB8-B58C-95B79BB01CE7}" filter="1" showAutoFilter="1">
      <autoFilter ref="$A$1:$Z$197">
        <filterColumn colId="18">
          <filters>
            <filter val="Y"/>
          </filters>
        </filterColumn>
      </autoFilter>
    </customSheetView>
  </customSheetViews>
  <conditionalFormatting sqref="F2:F197">
    <cfRule type="colorScale" priority="1">
      <colorScale>
        <cfvo type="min"/>
        <cfvo type="percentile" val="50"/>
        <cfvo type="max"/>
        <color rgb="FFE67C73"/>
        <color rgb="FFFFD666"/>
        <color rgb="FF57BB8A"/>
      </colorScale>
    </cfRule>
  </conditionalFormatting>
  <conditionalFormatting sqref="J2:J197">
    <cfRule type="colorScale" priority="2">
      <colorScale>
        <cfvo type="min"/>
        <cfvo type="percentile" val="50"/>
        <cfvo type="max"/>
        <color rgb="FFE67C73"/>
        <color rgb="FFFFD666"/>
        <color rgb="FF57BB8A"/>
      </colorScale>
    </cfRule>
  </conditionalFormatting>
  <conditionalFormatting sqref="N2:N197">
    <cfRule type="colorScale" priority="3">
      <colorScale>
        <cfvo type="min"/>
        <cfvo type="percentile" val="50"/>
        <cfvo type="max"/>
        <color rgb="FF57BB8A"/>
        <color rgb="FFFFD666"/>
        <color rgb="FFE67C73"/>
      </colorScale>
    </cfRule>
  </conditionalFormatting>
  <conditionalFormatting sqref="O2:O197 N156:N173 N180 N183">
    <cfRule type="colorScale" priority="4">
      <colorScale>
        <cfvo type="min"/>
        <cfvo type="percentile" val="50"/>
        <cfvo type="max"/>
        <color rgb="FFE67C73"/>
        <color rgb="FFFFD666"/>
        <color rgb="FF57BB8A"/>
      </colorScale>
    </cfRule>
  </conditionalFormatting>
  <conditionalFormatting sqref="P2:P197 O156:O173 O180 O183">
    <cfRule type="colorScale" priority="5">
      <colorScale>
        <cfvo type="min"/>
        <cfvo type="percentile" val="50"/>
        <cfvo type="max"/>
        <color rgb="FFE67C73"/>
        <color rgb="FFFFD666"/>
        <color rgb="FF57BB8A"/>
      </colorScale>
    </cfRule>
  </conditionalFormatting>
  <conditionalFormatting sqref="Q2:Q197 P156:P173 P180 P183">
    <cfRule type="colorScale" priority="6">
      <colorScale>
        <cfvo type="min"/>
        <cfvo type="percentile" val="50"/>
        <cfvo type="max"/>
        <color rgb="FF57BB8A"/>
        <color rgb="FFFFD666"/>
        <color rgb="FFE67C73"/>
      </colorScale>
    </cfRule>
  </conditionalFormatting>
  <conditionalFormatting sqref="K2:K197">
    <cfRule type="colorScale" priority="7">
      <colorScale>
        <cfvo type="formula" val="33"/>
        <cfvo type="percentile" val="50"/>
        <cfvo type="max"/>
        <color rgb="FFE67C73"/>
        <color rgb="FFFFD666"/>
        <color rgb="FF57BB8A"/>
      </colorScale>
    </cfRule>
  </conditionalFormatting>
  <conditionalFormatting sqref="K2:K197">
    <cfRule type="cellIs" dxfId="3" priority="8" operator="equal">
      <formula>"No limit"</formula>
    </cfRule>
  </conditionalFormatting>
  <conditionalFormatting sqref="R2:X197">
    <cfRule type="cellIs" dxfId="3" priority="9" operator="equal">
      <formula>"Y"</formula>
    </cfRule>
  </conditionalFormatting>
  <hyperlinks>
    <hyperlink r:id="rId2" ref="A2"/>
    <hyperlink r:id="rId3" ref="B2"/>
    <hyperlink r:id="rId4" ref="A3"/>
    <hyperlink r:id="rId5" ref="B3"/>
    <hyperlink r:id="rId6" ref="A4"/>
    <hyperlink r:id="rId7" ref="B4"/>
    <hyperlink r:id="rId8" ref="A5"/>
    <hyperlink r:id="rId9" ref="B5"/>
    <hyperlink r:id="rId10" ref="A6"/>
    <hyperlink r:id="rId11" ref="B6"/>
    <hyperlink r:id="rId12" ref="A7"/>
    <hyperlink r:id="rId13" ref="B7"/>
    <hyperlink r:id="rId14" ref="J7"/>
    <hyperlink r:id="rId15" ref="A8"/>
    <hyperlink r:id="rId16" ref="B8"/>
    <hyperlink r:id="rId17" ref="A9"/>
    <hyperlink r:id="rId18" ref="B9"/>
    <hyperlink r:id="rId19" ref="A10"/>
    <hyperlink r:id="rId20" ref="B10"/>
    <hyperlink r:id="rId21" ref="A11"/>
    <hyperlink r:id="rId22" ref="B11"/>
    <hyperlink r:id="rId23" ref="A12"/>
    <hyperlink r:id="rId24" ref="B12"/>
    <hyperlink r:id="rId25" ref="J12"/>
    <hyperlink r:id="rId26" ref="A13"/>
    <hyperlink r:id="rId27" ref="B13"/>
    <hyperlink r:id="rId28" ref="J13"/>
    <hyperlink r:id="rId29" ref="A14"/>
    <hyperlink r:id="rId30" ref="B14"/>
    <hyperlink r:id="rId31" ref="A15"/>
    <hyperlink r:id="rId32" ref="B15"/>
    <hyperlink r:id="rId33" ref="A16"/>
    <hyperlink r:id="rId34" ref="B16"/>
    <hyperlink r:id="rId35" ref="A17"/>
    <hyperlink r:id="rId36" ref="B17"/>
    <hyperlink r:id="rId37" ref="A18"/>
    <hyperlink r:id="rId38" ref="B18"/>
    <hyperlink r:id="rId39" ref="A19"/>
    <hyperlink r:id="rId40" ref="B19"/>
    <hyperlink r:id="rId41" ref="J19"/>
    <hyperlink r:id="rId42" ref="A20"/>
    <hyperlink r:id="rId43" ref="B20"/>
    <hyperlink r:id="rId44" ref="A21"/>
    <hyperlink r:id="rId45" ref="B21"/>
    <hyperlink r:id="rId46" ref="A22"/>
    <hyperlink r:id="rId47" ref="B22"/>
    <hyperlink r:id="rId48" ref="A23"/>
    <hyperlink r:id="rId49" ref="B23"/>
    <hyperlink r:id="rId50" ref="A24"/>
    <hyperlink r:id="rId51" ref="B24"/>
    <hyperlink r:id="rId52" ref="A25"/>
    <hyperlink r:id="rId53" ref="B25"/>
    <hyperlink r:id="rId54" ref="A26"/>
    <hyperlink r:id="rId55" ref="B26"/>
    <hyperlink r:id="rId56" ref="J26"/>
    <hyperlink r:id="rId57" ref="A27"/>
    <hyperlink r:id="rId58" ref="B27"/>
    <hyperlink r:id="rId59" ref="J27"/>
    <hyperlink r:id="rId60" ref="A28"/>
    <hyperlink r:id="rId61" ref="B28"/>
    <hyperlink r:id="rId62" ref="A29"/>
    <hyperlink r:id="rId63" ref="B29"/>
    <hyperlink r:id="rId64" ref="A30"/>
    <hyperlink r:id="rId65" ref="B30"/>
    <hyperlink r:id="rId66" ref="A31"/>
    <hyperlink r:id="rId67" ref="B31"/>
    <hyperlink r:id="rId68" ref="A32"/>
    <hyperlink r:id="rId69" ref="B32"/>
    <hyperlink r:id="rId70" ref="A33"/>
    <hyperlink r:id="rId71" ref="B33"/>
    <hyperlink r:id="rId72" ref="A34"/>
    <hyperlink r:id="rId73" ref="B34"/>
    <hyperlink r:id="rId74" ref="A35"/>
    <hyperlink r:id="rId75" ref="B35"/>
    <hyperlink r:id="rId76" ref="A36"/>
    <hyperlink r:id="rId77" ref="B36"/>
    <hyperlink r:id="rId78" ref="A37"/>
    <hyperlink r:id="rId79" ref="B37"/>
    <hyperlink r:id="rId80" ref="A38"/>
    <hyperlink r:id="rId81" ref="B38"/>
    <hyperlink r:id="rId82" ref="A39"/>
    <hyperlink r:id="rId83" ref="B39"/>
    <hyperlink r:id="rId84" ref="A40"/>
    <hyperlink r:id="rId85" ref="A41"/>
    <hyperlink r:id="rId86" ref="B41"/>
    <hyperlink r:id="rId87" ref="A42"/>
    <hyperlink r:id="rId88" ref="B42"/>
    <hyperlink r:id="rId89" ref="A43"/>
    <hyperlink r:id="rId90" ref="B43"/>
    <hyperlink r:id="rId91" ref="A44"/>
    <hyperlink r:id="rId92" ref="B44"/>
    <hyperlink r:id="rId93" ref="A45"/>
    <hyperlink r:id="rId94" ref="B45"/>
    <hyperlink r:id="rId95" ref="A46"/>
    <hyperlink r:id="rId96" ref="B46"/>
    <hyperlink r:id="rId97" ref="A47"/>
    <hyperlink r:id="rId98" ref="B47"/>
    <hyperlink r:id="rId99" ref="A48"/>
    <hyperlink r:id="rId100" ref="B48"/>
    <hyperlink r:id="rId101" ref="A49"/>
    <hyperlink r:id="rId102" ref="B49"/>
    <hyperlink r:id="rId103" ref="A50"/>
    <hyperlink r:id="rId104" ref="B50"/>
    <hyperlink r:id="rId105" ref="A51"/>
    <hyperlink r:id="rId106" ref="B51"/>
    <hyperlink r:id="rId107" ref="A52"/>
    <hyperlink r:id="rId108" ref="B52"/>
    <hyperlink r:id="rId109" ref="A53"/>
    <hyperlink r:id="rId110" ref="B53"/>
    <hyperlink r:id="rId111" ref="A54"/>
    <hyperlink r:id="rId112" ref="B54"/>
    <hyperlink r:id="rId113" ref="A55"/>
    <hyperlink r:id="rId114" ref="B55"/>
    <hyperlink r:id="rId115" ref="A56"/>
    <hyperlink r:id="rId116" ref="B56"/>
    <hyperlink r:id="rId117" ref="A57"/>
    <hyperlink r:id="rId118" ref="B57"/>
    <hyperlink r:id="rId119" ref="A58"/>
    <hyperlink r:id="rId120" ref="B58"/>
    <hyperlink r:id="rId121" ref="J58"/>
    <hyperlink r:id="rId122" ref="A59"/>
    <hyperlink r:id="rId123" ref="B59"/>
    <hyperlink r:id="rId124" ref="J59"/>
    <hyperlink r:id="rId125" ref="Y59"/>
    <hyperlink r:id="rId126" ref="A60"/>
    <hyperlink r:id="rId127" ref="B60"/>
    <hyperlink r:id="rId128" ref="A61"/>
    <hyperlink r:id="rId129" ref="B61"/>
    <hyperlink r:id="rId130" ref="A62"/>
    <hyperlink r:id="rId131" ref="B62"/>
    <hyperlink r:id="rId132" ref="A63"/>
    <hyperlink r:id="rId133" ref="B63"/>
    <hyperlink r:id="rId134" ref="A64"/>
    <hyperlink r:id="rId135" ref="B64"/>
    <hyperlink r:id="rId136" ref="A65"/>
    <hyperlink r:id="rId137" ref="B65"/>
    <hyperlink r:id="rId138" ref="A66"/>
    <hyperlink r:id="rId139" ref="B66"/>
    <hyperlink r:id="rId140" ref="A67"/>
    <hyperlink r:id="rId141" ref="B67"/>
    <hyperlink r:id="rId142" ref="A68"/>
    <hyperlink r:id="rId143" ref="B68"/>
    <hyperlink r:id="rId144" ref="A69"/>
    <hyperlink r:id="rId145" ref="B69"/>
    <hyperlink r:id="rId146" ref="A70"/>
    <hyperlink r:id="rId147" ref="B70"/>
    <hyperlink r:id="rId148" ref="A71"/>
    <hyperlink r:id="rId149" ref="B71"/>
    <hyperlink r:id="rId150" ref="A72"/>
    <hyperlink r:id="rId151" ref="B72"/>
    <hyperlink r:id="rId152" ref="A73"/>
    <hyperlink r:id="rId153" ref="B73"/>
    <hyperlink r:id="rId154" ref="A74"/>
    <hyperlink r:id="rId155" ref="B74"/>
    <hyperlink r:id="rId156" ref="A75"/>
    <hyperlink r:id="rId157" ref="B75"/>
    <hyperlink r:id="rId158" ref="A76"/>
    <hyperlink r:id="rId159" ref="B76"/>
    <hyperlink r:id="rId160" ref="A77"/>
    <hyperlink r:id="rId161" ref="B77"/>
    <hyperlink r:id="rId162" ref="A78"/>
    <hyperlink r:id="rId163" ref="B78"/>
    <hyperlink r:id="rId164" ref="A79"/>
    <hyperlink r:id="rId165" ref="B79"/>
    <hyperlink r:id="rId166" ref="A80"/>
    <hyperlink r:id="rId167" ref="B80"/>
    <hyperlink r:id="rId168" ref="A81"/>
    <hyperlink r:id="rId169" ref="B81"/>
    <hyperlink r:id="rId170" ref="A82"/>
    <hyperlink r:id="rId171" ref="B82"/>
    <hyperlink r:id="rId172" ref="A83"/>
    <hyperlink r:id="rId173" ref="B83"/>
    <hyperlink r:id="rId174" ref="A84"/>
    <hyperlink r:id="rId175" ref="A85"/>
    <hyperlink r:id="rId176" ref="B85"/>
    <hyperlink r:id="rId177" ref="A86"/>
    <hyperlink r:id="rId178" ref="B86"/>
    <hyperlink r:id="rId179" ref="A87"/>
    <hyperlink r:id="rId180" ref="B87"/>
    <hyperlink r:id="rId181" ref="A88"/>
    <hyperlink r:id="rId182" ref="B88"/>
    <hyperlink r:id="rId183" ref="A89"/>
    <hyperlink r:id="rId184" ref="B89"/>
    <hyperlink r:id="rId185" ref="A90"/>
    <hyperlink r:id="rId186" ref="B90"/>
    <hyperlink r:id="rId187" ref="A91"/>
    <hyperlink r:id="rId188" ref="B91"/>
    <hyperlink r:id="rId189" ref="A92"/>
    <hyperlink r:id="rId190" ref="B92"/>
    <hyperlink r:id="rId191" ref="A93"/>
    <hyperlink r:id="rId192" ref="B93"/>
    <hyperlink r:id="rId193" ref="A94"/>
    <hyperlink r:id="rId194" ref="B94"/>
    <hyperlink r:id="rId195" ref="A95"/>
    <hyperlink r:id="rId196" ref="B95"/>
    <hyperlink r:id="rId197" ref="A96"/>
    <hyperlink r:id="rId198" ref="B96"/>
    <hyperlink r:id="rId199" ref="A97"/>
    <hyperlink r:id="rId200" ref="B97"/>
    <hyperlink r:id="rId201" ref="A98"/>
    <hyperlink r:id="rId202" ref="B98"/>
    <hyperlink r:id="rId203" ref="A99"/>
    <hyperlink r:id="rId204" ref="B99"/>
    <hyperlink r:id="rId205" ref="A100"/>
    <hyperlink r:id="rId206" ref="B100"/>
    <hyperlink r:id="rId207" ref="A101"/>
    <hyperlink r:id="rId208" ref="B101"/>
    <hyperlink r:id="rId209" ref="A102"/>
    <hyperlink r:id="rId210" ref="B102"/>
    <hyperlink r:id="rId211" ref="A103"/>
    <hyperlink r:id="rId212" ref="B103"/>
    <hyperlink r:id="rId213" ref="A104"/>
    <hyperlink r:id="rId214" ref="B104"/>
    <hyperlink r:id="rId215" ref="A105"/>
    <hyperlink r:id="rId216" ref="B105"/>
    <hyperlink r:id="rId217" ref="A106"/>
    <hyperlink r:id="rId218" ref="B106"/>
    <hyperlink r:id="rId219" ref="A107"/>
    <hyperlink r:id="rId220" ref="B107"/>
    <hyperlink r:id="rId221" ref="A108"/>
    <hyperlink r:id="rId222" ref="B108"/>
    <hyperlink r:id="rId223" ref="A109"/>
    <hyperlink r:id="rId224" ref="B109"/>
    <hyperlink r:id="rId225" ref="A110"/>
    <hyperlink r:id="rId226" ref="B110"/>
    <hyperlink r:id="rId227" ref="A111"/>
    <hyperlink r:id="rId228" ref="B111"/>
    <hyperlink r:id="rId229" ref="A112"/>
    <hyperlink r:id="rId230" ref="B112"/>
    <hyperlink r:id="rId231" ref="A113"/>
    <hyperlink r:id="rId232" ref="B113"/>
    <hyperlink r:id="rId233" ref="A114"/>
    <hyperlink r:id="rId234" ref="B114"/>
    <hyperlink r:id="rId235" ref="A115"/>
    <hyperlink r:id="rId236" ref="B115"/>
    <hyperlink r:id="rId237" ref="A116"/>
    <hyperlink r:id="rId238" ref="B116"/>
    <hyperlink r:id="rId239" ref="A117"/>
    <hyperlink r:id="rId240" ref="B117"/>
    <hyperlink r:id="rId241" ref="A118"/>
    <hyperlink r:id="rId242" ref="B118"/>
    <hyperlink r:id="rId243" ref="A119"/>
    <hyperlink r:id="rId244" ref="B119"/>
    <hyperlink r:id="rId245" ref="Y119"/>
    <hyperlink r:id="rId246" ref="A120"/>
    <hyperlink r:id="rId247" ref="B120"/>
    <hyperlink r:id="rId248" ref="A121"/>
    <hyperlink r:id="rId249" ref="B121"/>
    <hyperlink r:id="rId250" ref="Y121"/>
    <hyperlink r:id="rId251" ref="A122"/>
    <hyperlink r:id="rId252" ref="B122"/>
    <hyperlink r:id="rId253" ref="A123"/>
    <hyperlink r:id="rId254" ref="B123"/>
    <hyperlink r:id="rId255" ref="A124"/>
    <hyperlink r:id="rId256" ref="B124"/>
    <hyperlink r:id="rId257" ref="A125"/>
    <hyperlink r:id="rId258" ref="B125"/>
    <hyperlink r:id="rId259" ref="A126"/>
    <hyperlink r:id="rId260" ref="B126"/>
    <hyperlink r:id="rId261" ref="A127"/>
    <hyperlink r:id="rId262" ref="B127"/>
    <hyperlink r:id="rId263" ref="A128"/>
    <hyperlink r:id="rId264" ref="B128"/>
    <hyperlink r:id="rId265" ref="A129"/>
    <hyperlink r:id="rId266" ref="B129"/>
    <hyperlink r:id="rId267" ref="A130"/>
    <hyperlink r:id="rId268" ref="B130"/>
    <hyperlink r:id="rId269" ref="A131"/>
    <hyperlink r:id="rId270" ref="B131"/>
    <hyperlink r:id="rId271" ref="A132"/>
    <hyperlink r:id="rId272" ref="B132"/>
    <hyperlink r:id="rId273" ref="A133"/>
    <hyperlink r:id="rId274" ref="B133"/>
    <hyperlink r:id="rId275" ref="A134"/>
    <hyperlink r:id="rId276" ref="B134"/>
    <hyperlink r:id="rId277" ref="A135"/>
    <hyperlink r:id="rId278" ref="B135"/>
    <hyperlink r:id="rId279" ref="A136"/>
    <hyperlink r:id="rId280" ref="B136"/>
    <hyperlink r:id="rId281" ref="A137"/>
    <hyperlink r:id="rId282" ref="B137"/>
    <hyperlink r:id="rId283" ref="A138"/>
    <hyperlink r:id="rId284" ref="B138"/>
    <hyperlink r:id="rId285" ref="A139"/>
    <hyperlink r:id="rId286" ref="B139"/>
    <hyperlink r:id="rId287" ref="A140"/>
    <hyperlink r:id="rId288" ref="B140"/>
    <hyperlink r:id="rId289" ref="A141"/>
    <hyperlink r:id="rId290" ref="B141"/>
    <hyperlink r:id="rId291" ref="A142"/>
    <hyperlink r:id="rId292" ref="B142"/>
    <hyperlink r:id="rId293" ref="A143"/>
    <hyperlink r:id="rId294" ref="B143"/>
    <hyperlink r:id="rId295" ref="A144"/>
    <hyperlink r:id="rId296" ref="B144"/>
    <hyperlink r:id="rId297" ref="A145"/>
    <hyperlink r:id="rId298" ref="B145"/>
    <hyperlink r:id="rId299" ref="A146"/>
    <hyperlink r:id="rId300" ref="B146"/>
    <hyperlink r:id="rId301" ref="A147"/>
    <hyperlink r:id="rId302" ref="B147"/>
    <hyperlink r:id="rId303" ref="A148"/>
    <hyperlink r:id="rId304" ref="B148"/>
    <hyperlink r:id="rId305" ref="A149"/>
    <hyperlink r:id="rId306" ref="B149"/>
    <hyperlink r:id="rId307" ref="A150"/>
    <hyperlink r:id="rId308" ref="B150"/>
    <hyperlink r:id="rId309" ref="A151"/>
    <hyperlink r:id="rId310" ref="B151"/>
    <hyperlink r:id="rId311" ref="A152"/>
    <hyperlink r:id="rId312" ref="B152"/>
    <hyperlink r:id="rId313" ref="A153"/>
    <hyperlink r:id="rId314" ref="B153"/>
    <hyperlink r:id="rId315" ref="J153"/>
    <hyperlink r:id="rId316" ref="A154"/>
    <hyperlink r:id="rId317" ref="B154"/>
    <hyperlink r:id="rId318" ref="J154"/>
    <hyperlink r:id="rId319" ref="A155"/>
    <hyperlink r:id="rId320" ref="B155"/>
    <hyperlink r:id="rId321" ref="J155"/>
    <hyperlink r:id="rId322" ref="A156"/>
    <hyperlink r:id="rId323" ref="B156"/>
    <hyperlink r:id="rId324" ref="A157"/>
    <hyperlink r:id="rId325" ref="B157"/>
    <hyperlink r:id="rId326" ref="A158"/>
    <hyperlink r:id="rId327" ref="B158"/>
    <hyperlink r:id="rId328" ref="A159"/>
    <hyperlink r:id="rId329" ref="B159"/>
    <hyperlink r:id="rId330" ref="A160"/>
    <hyperlink r:id="rId331" ref="B160"/>
    <hyperlink r:id="rId332" ref="A161"/>
    <hyperlink r:id="rId333" ref="B161"/>
    <hyperlink r:id="rId334" ref="A162"/>
    <hyperlink r:id="rId335" ref="B162"/>
    <hyperlink r:id="rId336" ref="A163"/>
    <hyperlink r:id="rId337" ref="B163"/>
    <hyperlink r:id="rId338" ref="A164"/>
    <hyperlink r:id="rId339" ref="B164"/>
    <hyperlink r:id="rId340" ref="A165"/>
    <hyperlink r:id="rId341" ref="B165"/>
    <hyperlink r:id="rId342" ref="A166"/>
    <hyperlink r:id="rId343" ref="B166"/>
    <hyperlink r:id="rId344" ref="A167"/>
    <hyperlink r:id="rId345" ref="B167"/>
    <hyperlink r:id="rId346" ref="A168"/>
    <hyperlink r:id="rId347" ref="B168"/>
    <hyperlink r:id="rId348" ref="A169"/>
    <hyperlink r:id="rId349" ref="B169"/>
    <hyperlink r:id="rId350" ref="A170"/>
    <hyperlink r:id="rId351" ref="B170"/>
    <hyperlink r:id="rId352" ref="A171"/>
    <hyperlink r:id="rId353" ref="B171"/>
    <hyperlink r:id="rId354" ref="A172"/>
    <hyperlink r:id="rId355" ref="B172"/>
    <hyperlink r:id="rId356" ref="J172"/>
    <hyperlink r:id="rId357" ref="A173"/>
    <hyperlink r:id="rId358" ref="B173"/>
    <hyperlink r:id="rId359" ref="J173"/>
    <hyperlink r:id="rId360" ref="A174"/>
    <hyperlink r:id="rId361" ref="B174"/>
    <hyperlink r:id="rId362" ref="A175"/>
    <hyperlink r:id="rId363" ref="B175"/>
    <hyperlink r:id="rId364" ref="A176"/>
    <hyperlink r:id="rId365" ref="B176"/>
    <hyperlink r:id="rId366" ref="A177"/>
    <hyperlink r:id="rId367" ref="B177"/>
    <hyperlink r:id="rId368" ref="A178"/>
    <hyperlink r:id="rId369" ref="B178"/>
    <hyperlink r:id="rId370" ref="A179"/>
    <hyperlink r:id="rId371" ref="B179"/>
    <hyperlink r:id="rId372" ref="A180"/>
    <hyperlink r:id="rId373" ref="B180"/>
    <hyperlink r:id="rId374" ref="A181"/>
    <hyperlink r:id="rId375" ref="B181"/>
    <hyperlink r:id="rId376" ref="A182"/>
    <hyperlink r:id="rId377" ref="B182"/>
    <hyperlink r:id="rId378" ref="A183"/>
    <hyperlink r:id="rId379" ref="B183"/>
    <hyperlink r:id="rId380" ref="A184"/>
    <hyperlink r:id="rId381" ref="B184"/>
    <hyperlink r:id="rId382" ref="A185"/>
    <hyperlink r:id="rId383" ref="B185"/>
    <hyperlink r:id="rId384" ref="A186"/>
    <hyperlink r:id="rId385" ref="B186"/>
    <hyperlink r:id="rId386" ref="A187"/>
    <hyperlink r:id="rId387" ref="B187"/>
    <hyperlink r:id="rId388" ref="A188"/>
    <hyperlink r:id="rId389" ref="B188"/>
    <hyperlink r:id="rId390" ref="A189"/>
    <hyperlink r:id="rId391" ref="B189"/>
    <hyperlink r:id="rId392" ref="Y189"/>
    <hyperlink r:id="rId393" ref="A190"/>
    <hyperlink r:id="rId394" ref="B190"/>
    <hyperlink r:id="rId395" ref="Y190"/>
    <hyperlink r:id="rId396" ref="A191"/>
    <hyperlink r:id="rId397" ref="B191"/>
    <hyperlink r:id="rId398" ref="A192"/>
    <hyperlink r:id="rId399" ref="B192"/>
    <hyperlink r:id="rId400" ref="J192"/>
    <hyperlink r:id="rId401" ref="A193"/>
    <hyperlink r:id="rId402" ref="B193"/>
    <hyperlink r:id="rId403" ref="J193"/>
    <hyperlink r:id="rId404" ref="A194"/>
    <hyperlink r:id="rId405" ref="B194"/>
    <hyperlink r:id="rId406" ref="J194"/>
    <hyperlink r:id="rId407" ref="A195"/>
    <hyperlink r:id="rId408" ref="B195"/>
    <hyperlink r:id="rId409" ref="Y195"/>
    <hyperlink r:id="rId410" ref="A196"/>
    <hyperlink r:id="rId411" ref="B196"/>
    <hyperlink r:id="rId412" ref="Y196"/>
    <hyperlink r:id="rId413" ref="A197"/>
    <hyperlink r:id="rId414" ref="B197"/>
    <hyperlink r:id="rId415" ref="Y197"/>
  </hyperlinks>
  <drawing r:id="rId416"/>
  <legacyDrawing r:id="rId41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1.63"/>
    <col customWidth="1" min="2" max="2" width="34.63"/>
    <col customWidth="1" min="3" max="6" width="5.63"/>
    <col customWidth="1" min="7" max="7" width="6.38"/>
    <col customWidth="1" min="8" max="9" width="6.13"/>
    <col customWidth="1" min="10" max="14" width="5.63"/>
    <col customWidth="1" min="15" max="15" width="7.38"/>
    <col customWidth="1" min="16" max="32" width="5.63"/>
    <col customWidth="1" min="33" max="33" width="11.63"/>
    <col customWidth="1" min="34" max="34" width="5.63"/>
  </cols>
  <sheetData>
    <row r="1" ht="98.25" customHeight="1">
      <c r="A1" s="32" t="s">
        <v>1579</v>
      </c>
      <c r="B1" s="215" t="s">
        <v>1976</v>
      </c>
      <c r="C1" s="216" t="s">
        <v>1977</v>
      </c>
      <c r="D1" s="36" t="s">
        <v>1978</v>
      </c>
      <c r="E1" s="36" t="s">
        <v>1979</v>
      </c>
      <c r="F1" s="36" t="s">
        <v>1980</v>
      </c>
      <c r="G1" s="217" t="s">
        <v>1981</v>
      </c>
      <c r="H1" s="216" t="s">
        <v>1982</v>
      </c>
      <c r="I1" s="36" t="s">
        <v>1983</v>
      </c>
      <c r="J1" s="36" t="s">
        <v>1984</v>
      </c>
      <c r="K1" s="36" t="s">
        <v>1985</v>
      </c>
      <c r="L1" s="36" t="s">
        <v>1986</v>
      </c>
      <c r="M1" s="217" t="s">
        <v>1987</v>
      </c>
      <c r="N1" s="216" t="s">
        <v>25</v>
      </c>
      <c r="O1" s="36" t="s">
        <v>1590</v>
      </c>
      <c r="P1" s="36" t="s">
        <v>1988</v>
      </c>
      <c r="Q1" s="36" t="s">
        <v>1989</v>
      </c>
      <c r="R1" s="36" t="s">
        <v>1990</v>
      </c>
      <c r="S1" s="36" t="s">
        <v>1991</v>
      </c>
      <c r="T1" s="217" t="s">
        <v>1992</v>
      </c>
      <c r="U1" s="218" t="s">
        <v>1993</v>
      </c>
      <c r="V1" s="216" t="s">
        <v>1994</v>
      </c>
      <c r="W1" s="34" t="s">
        <v>1995</v>
      </c>
      <c r="X1" s="36" t="s">
        <v>1996</v>
      </c>
      <c r="Y1" s="217" t="s">
        <v>1997</v>
      </c>
      <c r="Z1" s="216" t="s">
        <v>1998</v>
      </c>
      <c r="AA1" s="36" t="s">
        <v>1596</v>
      </c>
      <c r="AB1" s="36" t="s">
        <v>1597</v>
      </c>
      <c r="AC1" s="36" t="s">
        <v>1598</v>
      </c>
      <c r="AD1" s="36" t="s">
        <v>1599</v>
      </c>
      <c r="AE1" s="36" t="s">
        <v>1600</v>
      </c>
      <c r="AF1" s="36" t="s">
        <v>1601</v>
      </c>
      <c r="AG1" s="36" t="s">
        <v>1999</v>
      </c>
      <c r="AH1" s="36" t="s">
        <v>1759</v>
      </c>
    </row>
    <row r="2">
      <c r="A2" s="219" t="s">
        <v>2000</v>
      </c>
      <c r="B2" s="220" t="s">
        <v>2001</v>
      </c>
      <c r="C2" s="221">
        <v>240.0</v>
      </c>
      <c r="D2" s="222">
        <v>272.0</v>
      </c>
      <c r="E2" s="222">
        <v>121.0</v>
      </c>
      <c r="F2" s="222">
        <v>27.0</v>
      </c>
      <c r="G2" s="223" t="s">
        <v>164</v>
      </c>
      <c r="H2" s="221">
        <v>86.0</v>
      </c>
      <c r="I2" s="222">
        <v>72.0</v>
      </c>
      <c r="J2" s="222">
        <v>36.0</v>
      </c>
      <c r="K2" s="222" t="s">
        <v>170</v>
      </c>
      <c r="L2" s="222" t="s">
        <v>44</v>
      </c>
      <c r="M2" s="223" t="s">
        <v>170</v>
      </c>
      <c r="N2" s="221">
        <v>2.0</v>
      </c>
      <c r="O2" s="222" t="s">
        <v>2002</v>
      </c>
      <c r="P2" s="222">
        <v>25.0</v>
      </c>
      <c r="Q2" s="222">
        <v>2000.0</v>
      </c>
      <c r="R2" s="224">
        <v>61.5</v>
      </c>
      <c r="S2" s="224">
        <v>1.42</v>
      </c>
      <c r="T2" s="225">
        <v>34.0</v>
      </c>
      <c r="U2" s="226">
        <v>52.0</v>
      </c>
      <c r="V2" s="227" t="s">
        <v>166</v>
      </c>
      <c r="W2" s="228" t="s">
        <v>174</v>
      </c>
      <c r="X2" s="222" t="s">
        <v>166</v>
      </c>
      <c r="Y2" s="223" t="s">
        <v>166</v>
      </c>
      <c r="Z2" s="221" t="s">
        <v>166</v>
      </c>
      <c r="AA2" s="222" t="s">
        <v>174</v>
      </c>
      <c r="AB2" s="222" t="s">
        <v>166</v>
      </c>
      <c r="AC2" s="222" t="s">
        <v>174</v>
      </c>
      <c r="AD2" s="222" t="s">
        <v>174</v>
      </c>
      <c r="AE2" s="222" t="s">
        <v>174</v>
      </c>
      <c r="AF2" s="222" t="s">
        <v>174</v>
      </c>
      <c r="AG2" s="229" t="s">
        <v>2003</v>
      </c>
      <c r="AH2" s="229"/>
    </row>
    <row r="3">
      <c r="A3" s="230" t="s">
        <v>2000</v>
      </c>
      <c r="B3" s="231" t="s">
        <v>2004</v>
      </c>
      <c r="C3" s="232">
        <v>360.0</v>
      </c>
      <c r="D3" s="233">
        <v>394.0</v>
      </c>
      <c r="E3" s="233">
        <v>120.0</v>
      </c>
      <c r="F3" s="233">
        <v>27.0</v>
      </c>
      <c r="G3" s="234" t="s">
        <v>164</v>
      </c>
      <c r="H3" s="232">
        <v>86.0</v>
      </c>
      <c r="I3" s="233">
        <v>72.0</v>
      </c>
      <c r="J3" s="233">
        <v>36.0</v>
      </c>
      <c r="K3" s="233" t="s">
        <v>170</v>
      </c>
      <c r="L3" s="233" t="s">
        <v>44</v>
      </c>
      <c r="M3" s="234">
        <v>400.0</v>
      </c>
      <c r="N3" s="232">
        <v>3.0</v>
      </c>
      <c r="O3" s="233" t="s">
        <v>2002</v>
      </c>
      <c r="P3" s="233">
        <v>25.0</v>
      </c>
      <c r="Q3" s="233">
        <v>2000.0</v>
      </c>
      <c r="R3" s="235">
        <v>61.5</v>
      </c>
      <c r="S3" s="235">
        <v>1.42</v>
      </c>
      <c r="T3" s="236">
        <v>34.0</v>
      </c>
      <c r="U3" s="237">
        <v>52.0</v>
      </c>
      <c r="V3" s="238" t="s">
        <v>166</v>
      </c>
      <c r="W3" s="239" t="s">
        <v>174</v>
      </c>
      <c r="X3" s="233" t="s">
        <v>166</v>
      </c>
      <c r="Y3" s="234" t="s">
        <v>166</v>
      </c>
      <c r="Z3" s="232" t="s">
        <v>166</v>
      </c>
      <c r="AA3" s="233" t="s">
        <v>174</v>
      </c>
      <c r="AB3" s="233" t="s">
        <v>166</v>
      </c>
      <c r="AC3" s="233" t="s">
        <v>174</v>
      </c>
      <c r="AD3" s="233" t="s">
        <v>174</v>
      </c>
      <c r="AE3" s="233" t="s">
        <v>174</v>
      </c>
      <c r="AF3" s="233" t="s">
        <v>174</v>
      </c>
      <c r="AG3" s="240" t="s">
        <v>2003</v>
      </c>
      <c r="AH3" s="240"/>
    </row>
    <row r="4">
      <c r="A4" s="219" t="s">
        <v>1451</v>
      </c>
      <c r="B4" s="220" t="s">
        <v>2005</v>
      </c>
      <c r="C4" s="221">
        <v>120.0</v>
      </c>
      <c r="D4" s="222">
        <v>154.0</v>
      </c>
      <c r="E4" s="222">
        <v>120.0</v>
      </c>
      <c r="F4" s="222">
        <v>27.0</v>
      </c>
      <c r="G4" s="223" t="s">
        <v>164</v>
      </c>
      <c r="H4" s="221">
        <v>70.0</v>
      </c>
      <c r="I4" s="222">
        <v>70.0</v>
      </c>
      <c r="J4" s="222">
        <v>61.5</v>
      </c>
      <c r="K4" s="222">
        <v>2300.0</v>
      </c>
      <c r="L4" s="222" t="s">
        <v>44</v>
      </c>
      <c r="M4" s="223" t="s">
        <v>170</v>
      </c>
      <c r="N4" s="221">
        <v>1.0</v>
      </c>
      <c r="O4" s="222" t="s">
        <v>2002</v>
      </c>
      <c r="P4" s="222">
        <v>25.0</v>
      </c>
      <c r="Q4" s="222">
        <v>1800.0</v>
      </c>
      <c r="R4" s="224">
        <v>72.2</v>
      </c>
      <c r="S4" s="224">
        <v>1.62</v>
      </c>
      <c r="T4" s="225">
        <v>26.8</v>
      </c>
      <c r="U4" s="226">
        <v>52.0</v>
      </c>
      <c r="V4" s="221" t="s">
        <v>166</v>
      </c>
      <c r="W4" s="241" t="s">
        <v>174</v>
      </c>
      <c r="X4" s="222" t="s">
        <v>166</v>
      </c>
      <c r="Y4" s="223" t="s">
        <v>174</v>
      </c>
      <c r="Z4" s="221" t="s">
        <v>174</v>
      </c>
      <c r="AA4" s="222" t="s">
        <v>174</v>
      </c>
      <c r="AB4" s="222" t="s">
        <v>174</v>
      </c>
      <c r="AC4" s="222" t="s">
        <v>174</v>
      </c>
      <c r="AD4" s="222" t="s">
        <v>166</v>
      </c>
      <c r="AE4" s="222" t="s">
        <v>170</v>
      </c>
      <c r="AF4" s="222" t="s">
        <v>174</v>
      </c>
      <c r="AG4" s="222" t="s">
        <v>170</v>
      </c>
      <c r="AH4" s="222"/>
    </row>
    <row r="5">
      <c r="A5" s="219" t="s">
        <v>1451</v>
      </c>
      <c r="B5" s="220" t="s">
        <v>2006</v>
      </c>
      <c r="C5" s="221">
        <v>240.0</v>
      </c>
      <c r="D5" s="222">
        <v>274.0</v>
      </c>
      <c r="E5" s="222">
        <v>120.0</v>
      </c>
      <c r="F5" s="222">
        <v>27.0</v>
      </c>
      <c r="G5" s="223" t="s">
        <v>164</v>
      </c>
      <c r="H5" s="221">
        <v>70.0</v>
      </c>
      <c r="I5" s="222">
        <v>70.0</v>
      </c>
      <c r="J5" s="222">
        <v>61.5</v>
      </c>
      <c r="K5" s="222">
        <v>2300.0</v>
      </c>
      <c r="L5" s="222" t="s">
        <v>44</v>
      </c>
      <c r="M5" s="223" t="s">
        <v>170</v>
      </c>
      <c r="N5" s="221">
        <v>2.0</v>
      </c>
      <c r="O5" s="222" t="s">
        <v>2002</v>
      </c>
      <c r="P5" s="222">
        <v>25.0</v>
      </c>
      <c r="Q5" s="222">
        <v>1800.0</v>
      </c>
      <c r="R5" s="224">
        <v>72.2</v>
      </c>
      <c r="S5" s="224">
        <v>1.62</v>
      </c>
      <c r="T5" s="225">
        <v>26.8</v>
      </c>
      <c r="U5" s="226">
        <v>52.0</v>
      </c>
      <c r="V5" s="227" t="s">
        <v>166</v>
      </c>
      <c r="W5" s="228" t="s">
        <v>174</v>
      </c>
      <c r="X5" s="222" t="s">
        <v>166</v>
      </c>
      <c r="Y5" s="223" t="s">
        <v>174</v>
      </c>
      <c r="Z5" s="221" t="s">
        <v>174</v>
      </c>
      <c r="AA5" s="222" t="s">
        <v>174</v>
      </c>
      <c r="AB5" s="222" t="s">
        <v>174</v>
      </c>
      <c r="AC5" s="222" t="s">
        <v>174</v>
      </c>
      <c r="AD5" s="222" t="s">
        <v>166</v>
      </c>
      <c r="AE5" s="222" t="s">
        <v>170</v>
      </c>
      <c r="AF5" s="222" t="s">
        <v>174</v>
      </c>
      <c r="AG5" s="222" t="s">
        <v>170</v>
      </c>
      <c r="AH5" s="222"/>
    </row>
    <row r="6">
      <c r="A6" s="219" t="s">
        <v>1451</v>
      </c>
      <c r="B6" s="220" t="s">
        <v>2007</v>
      </c>
      <c r="C6" s="221">
        <v>360.0</v>
      </c>
      <c r="D6" s="222">
        <v>394.0</v>
      </c>
      <c r="E6" s="222">
        <v>120.0</v>
      </c>
      <c r="F6" s="222">
        <v>27.0</v>
      </c>
      <c r="G6" s="223" t="s">
        <v>164</v>
      </c>
      <c r="H6" s="221">
        <v>70.0</v>
      </c>
      <c r="I6" s="222">
        <v>70.0</v>
      </c>
      <c r="J6" s="222">
        <v>61.5</v>
      </c>
      <c r="K6" s="222">
        <v>2300.0</v>
      </c>
      <c r="L6" s="222" t="s">
        <v>44</v>
      </c>
      <c r="M6" s="223" t="s">
        <v>170</v>
      </c>
      <c r="N6" s="221">
        <v>3.0</v>
      </c>
      <c r="O6" s="222" t="s">
        <v>2002</v>
      </c>
      <c r="P6" s="222">
        <v>25.0</v>
      </c>
      <c r="Q6" s="222">
        <v>1800.0</v>
      </c>
      <c r="R6" s="224">
        <v>72.2</v>
      </c>
      <c r="S6" s="224">
        <v>1.62</v>
      </c>
      <c r="T6" s="225">
        <v>26.8</v>
      </c>
      <c r="U6" s="226">
        <v>52.0</v>
      </c>
      <c r="V6" s="227" t="s">
        <v>166</v>
      </c>
      <c r="W6" s="228" t="s">
        <v>174</v>
      </c>
      <c r="X6" s="222" t="s">
        <v>166</v>
      </c>
      <c r="Y6" s="223" t="s">
        <v>174</v>
      </c>
      <c r="Z6" s="221" t="s">
        <v>174</v>
      </c>
      <c r="AA6" s="222" t="s">
        <v>174</v>
      </c>
      <c r="AB6" s="222" t="s">
        <v>174</v>
      </c>
      <c r="AC6" s="222" t="s">
        <v>174</v>
      </c>
      <c r="AD6" s="222" t="s">
        <v>166</v>
      </c>
      <c r="AE6" s="222" t="s">
        <v>170</v>
      </c>
      <c r="AF6" s="222" t="s">
        <v>174</v>
      </c>
      <c r="AG6" s="222" t="s">
        <v>170</v>
      </c>
      <c r="AH6" s="222"/>
    </row>
    <row r="7">
      <c r="A7" s="219" t="s">
        <v>1451</v>
      </c>
      <c r="B7" s="220" t="s">
        <v>2008</v>
      </c>
      <c r="C7" s="221">
        <v>240.0</v>
      </c>
      <c r="D7" s="222">
        <v>274.8</v>
      </c>
      <c r="E7" s="222">
        <v>120.5</v>
      </c>
      <c r="F7" s="222">
        <v>27.0</v>
      </c>
      <c r="G7" s="223" t="s">
        <v>164</v>
      </c>
      <c r="H7" s="221">
        <v>95.0</v>
      </c>
      <c r="I7" s="222">
        <v>80.5</v>
      </c>
      <c r="J7" s="222">
        <v>61.5</v>
      </c>
      <c r="K7" s="222">
        <v>2500.0</v>
      </c>
      <c r="L7" s="222" t="s">
        <v>44</v>
      </c>
      <c r="M7" s="223" t="s">
        <v>170</v>
      </c>
      <c r="N7" s="221">
        <v>2.0</v>
      </c>
      <c r="O7" s="222" t="s">
        <v>2002</v>
      </c>
      <c r="P7" s="222">
        <v>25.0</v>
      </c>
      <c r="Q7" s="222">
        <v>1800.0</v>
      </c>
      <c r="R7" s="224">
        <v>71.65</v>
      </c>
      <c r="S7" s="224">
        <v>1.34</v>
      </c>
      <c r="T7" s="225">
        <v>31.8</v>
      </c>
      <c r="U7" s="226">
        <v>52.0</v>
      </c>
      <c r="V7" s="227" t="s">
        <v>174</v>
      </c>
      <c r="W7" s="228" t="s">
        <v>166</v>
      </c>
      <c r="X7" s="222" t="s">
        <v>166</v>
      </c>
      <c r="Y7" s="223" t="s">
        <v>166</v>
      </c>
      <c r="Z7" s="221" t="s">
        <v>174</v>
      </c>
      <c r="AA7" s="222" t="s">
        <v>174</v>
      </c>
      <c r="AB7" s="222" t="s">
        <v>174</v>
      </c>
      <c r="AC7" s="222" t="s">
        <v>174</v>
      </c>
      <c r="AD7" s="222" t="s">
        <v>174</v>
      </c>
      <c r="AE7" s="222" t="s">
        <v>170</v>
      </c>
      <c r="AF7" s="222" t="s">
        <v>174</v>
      </c>
      <c r="AG7" s="222" t="s">
        <v>170</v>
      </c>
      <c r="AH7" s="222"/>
    </row>
    <row r="8">
      <c r="A8" s="219" t="s">
        <v>1451</v>
      </c>
      <c r="B8" s="220" t="s">
        <v>2009</v>
      </c>
      <c r="C8" s="221">
        <v>120.0</v>
      </c>
      <c r="D8" s="222">
        <v>176.0</v>
      </c>
      <c r="E8" s="222">
        <v>123.5</v>
      </c>
      <c r="F8" s="222">
        <v>27.0</v>
      </c>
      <c r="G8" s="223" t="s">
        <v>164</v>
      </c>
      <c r="H8" s="221" t="s">
        <v>170</v>
      </c>
      <c r="I8" s="222" t="s">
        <v>170</v>
      </c>
      <c r="J8" s="222" t="s">
        <v>170</v>
      </c>
      <c r="K8" s="222">
        <v>2800.0</v>
      </c>
      <c r="L8" s="222" t="s">
        <v>2010</v>
      </c>
      <c r="M8" s="223" t="s">
        <v>170</v>
      </c>
      <c r="N8" s="221">
        <v>1.0</v>
      </c>
      <c r="O8" s="222" t="s">
        <v>2002</v>
      </c>
      <c r="P8" s="222">
        <v>25.0</v>
      </c>
      <c r="Q8" s="222">
        <v>1800.0</v>
      </c>
      <c r="R8" s="224">
        <v>71.65</v>
      </c>
      <c r="S8" s="224">
        <v>1.34</v>
      </c>
      <c r="T8" s="225">
        <v>31.8</v>
      </c>
      <c r="U8" s="226">
        <v>52.0</v>
      </c>
      <c r="V8" s="227" t="s">
        <v>166</v>
      </c>
      <c r="W8" s="228" t="s">
        <v>174</v>
      </c>
      <c r="X8" s="222" t="s">
        <v>166</v>
      </c>
      <c r="Y8" s="223" t="s">
        <v>174</v>
      </c>
      <c r="Z8" s="221" t="s">
        <v>174</v>
      </c>
      <c r="AA8" s="222" t="s">
        <v>174</v>
      </c>
      <c r="AB8" s="222" t="s">
        <v>174</v>
      </c>
      <c r="AC8" s="222" t="s">
        <v>174</v>
      </c>
      <c r="AD8" s="222" t="s">
        <v>166</v>
      </c>
      <c r="AE8" s="222" t="s">
        <v>170</v>
      </c>
      <c r="AF8" s="222" t="s">
        <v>174</v>
      </c>
      <c r="AG8" s="222" t="s">
        <v>170</v>
      </c>
      <c r="AH8" s="222"/>
    </row>
    <row r="9">
      <c r="A9" s="219" t="s">
        <v>1451</v>
      </c>
      <c r="B9" s="220" t="s">
        <v>2011</v>
      </c>
      <c r="C9" s="221">
        <v>120.0</v>
      </c>
      <c r="D9" s="222">
        <v>176.0</v>
      </c>
      <c r="E9" s="222">
        <v>123.5</v>
      </c>
      <c r="F9" s="222">
        <v>27.0</v>
      </c>
      <c r="G9" s="223" t="s">
        <v>164</v>
      </c>
      <c r="H9" s="221" t="s">
        <v>170</v>
      </c>
      <c r="I9" s="222" t="s">
        <v>170</v>
      </c>
      <c r="J9" s="222" t="s">
        <v>170</v>
      </c>
      <c r="K9" s="222">
        <v>2800.0</v>
      </c>
      <c r="L9" s="222" t="s">
        <v>2010</v>
      </c>
      <c r="M9" s="223" t="s">
        <v>170</v>
      </c>
      <c r="N9" s="221">
        <v>1.0</v>
      </c>
      <c r="O9" s="222" t="s">
        <v>2002</v>
      </c>
      <c r="P9" s="222">
        <v>25.0</v>
      </c>
      <c r="Q9" s="222">
        <v>1800.0</v>
      </c>
      <c r="R9" s="224">
        <v>71.65</v>
      </c>
      <c r="S9" s="224">
        <v>1.34</v>
      </c>
      <c r="T9" s="225">
        <v>31.8</v>
      </c>
      <c r="U9" s="226">
        <v>52.0</v>
      </c>
      <c r="V9" s="227" t="s">
        <v>166</v>
      </c>
      <c r="W9" s="228" t="s">
        <v>174</v>
      </c>
      <c r="X9" s="222" t="s">
        <v>166</v>
      </c>
      <c r="Y9" s="223" t="s">
        <v>174</v>
      </c>
      <c r="Z9" s="221" t="s">
        <v>174</v>
      </c>
      <c r="AA9" s="222" t="s">
        <v>174</v>
      </c>
      <c r="AB9" s="222" t="s">
        <v>174</v>
      </c>
      <c r="AC9" s="222" t="s">
        <v>174</v>
      </c>
      <c r="AD9" s="222" t="s">
        <v>166</v>
      </c>
      <c r="AE9" s="222" t="s">
        <v>170</v>
      </c>
      <c r="AF9" s="222" t="s">
        <v>174</v>
      </c>
      <c r="AG9" s="222" t="s">
        <v>170</v>
      </c>
      <c r="AH9" s="222"/>
    </row>
    <row r="10">
      <c r="A10" s="219" t="s">
        <v>1451</v>
      </c>
      <c r="B10" s="220" t="s">
        <v>2012</v>
      </c>
      <c r="C10" s="221">
        <v>240.0</v>
      </c>
      <c r="D10" s="222">
        <v>296.0</v>
      </c>
      <c r="E10" s="222">
        <v>123.5</v>
      </c>
      <c r="F10" s="222">
        <v>27.0</v>
      </c>
      <c r="G10" s="223" t="s">
        <v>164</v>
      </c>
      <c r="H10" s="221" t="s">
        <v>170</v>
      </c>
      <c r="I10" s="222" t="s">
        <v>170</v>
      </c>
      <c r="J10" s="222" t="s">
        <v>170</v>
      </c>
      <c r="K10" s="222">
        <v>2800.0</v>
      </c>
      <c r="L10" s="222" t="s">
        <v>2010</v>
      </c>
      <c r="M10" s="223" t="s">
        <v>170</v>
      </c>
      <c r="N10" s="221">
        <v>2.0</v>
      </c>
      <c r="O10" s="222" t="s">
        <v>2002</v>
      </c>
      <c r="P10" s="222">
        <v>25.0</v>
      </c>
      <c r="Q10" s="222">
        <v>1800.0</v>
      </c>
      <c r="R10" s="224">
        <v>71.65</v>
      </c>
      <c r="S10" s="224">
        <v>1.34</v>
      </c>
      <c r="T10" s="225">
        <v>31.8</v>
      </c>
      <c r="U10" s="226">
        <v>52.0</v>
      </c>
      <c r="V10" s="227" t="s">
        <v>166</v>
      </c>
      <c r="W10" s="228" t="s">
        <v>174</v>
      </c>
      <c r="X10" s="222" t="s">
        <v>166</v>
      </c>
      <c r="Y10" s="223" t="s">
        <v>174</v>
      </c>
      <c r="Z10" s="221" t="s">
        <v>174</v>
      </c>
      <c r="AA10" s="222" t="s">
        <v>174</v>
      </c>
      <c r="AB10" s="222" t="s">
        <v>174</v>
      </c>
      <c r="AC10" s="222" t="s">
        <v>174</v>
      </c>
      <c r="AD10" s="222" t="s">
        <v>166</v>
      </c>
      <c r="AE10" s="222" t="s">
        <v>170</v>
      </c>
      <c r="AF10" s="222" t="s">
        <v>174</v>
      </c>
      <c r="AG10" s="222" t="s">
        <v>170</v>
      </c>
      <c r="AH10" s="222"/>
    </row>
    <row r="11">
      <c r="A11" s="230" t="s">
        <v>1451</v>
      </c>
      <c r="B11" s="231" t="s">
        <v>2013</v>
      </c>
      <c r="C11" s="232">
        <v>240.0</v>
      </c>
      <c r="D11" s="233">
        <v>296.0</v>
      </c>
      <c r="E11" s="233">
        <v>123.5</v>
      </c>
      <c r="F11" s="233">
        <v>27.0</v>
      </c>
      <c r="G11" s="234" t="s">
        <v>164</v>
      </c>
      <c r="H11" s="232" t="s">
        <v>170</v>
      </c>
      <c r="I11" s="233" t="s">
        <v>170</v>
      </c>
      <c r="J11" s="233" t="s">
        <v>170</v>
      </c>
      <c r="K11" s="233">
        <v>2800.0</v>
      </c>
      <c r="L11" s="233" t="s">
        <v>2010</v>
      </c>
      <c r="M11" s="234" t="s">
        <v>170</v>
      </c>
      <c r="N11" s="232">
        <v>2.0</v>
      </c>
      <c r="O11" s="233" t="s">
        <v>2002</v>
      </c>
      <c r="P11" s="233">
        <v>25.0</v>
      </c>
      <c r="Q11" s="233">
        <v>1800.0</v>
      </c>
      <c r="R11" s="235">
        <v>71.65</v>
      </c>
      <c r="S11" s="235">
        <v>1.34</v>
      </c>
      <c r="T11" s="236">
        <v>31.8</v>
      </c>
      <c r="U11" s="237">
        <v>52.0</v>
      </c>
      <c r="V11" s="238" t="s">
        <v>166</v>
      </c>
      <c r="W11" s="239" t="s">
        <v>174</v>
      </c>
      <c r="X11" s="233" t="s">
        <v>166</v>
      </c>
      <c r="Y11" s="234" t="s">
        <v>174</v>
      </c>
      <c r="Z11" s="232" t="s">
        <v>174</v>
      </c>
      <c r="AA11" s="233" t="s">
        <v>174</v>
      </c>
      <c r="AB11" s="233" t="s">
        <v>174</v>
      </c>
      <c r="AC11" s="233" t="s">
        <v>174</v>
      </c>
      <c r="AD11" s="233" t="s">
        <v>166</v>
      </c>
      <c r="AE11" s="233" t="s">
        <v>170</v>
      </c>
      <c r="AF11" s="233" t="s">
        <v>174</v>
      </c>
      <c r="AG11" s="233" t="s">
        <v>170</v>
      </c>
      <c r="AH11" s="233"/>
    </row>
    <row r="12">
      <c r="A12" s="242" t="s">
        <v>2014</v>
      </c>
      <c r="B12" s="220" t="s">
        <v>2015</v>
      </c>
      <c r="C12" s="221">
        <v>120.0</v>
      </c>
      <c r="D12" s="222">
        <v>153.0</v>
      </c>
      <c r="E12" s="222">
        <v>120.0</v>
      </c>
      <c r="F12" s="222">
        <v>38.0</v>
      </c>
      <c r="G12" s="223" t="s">
        <v>164</v>
      </c>
      <c r="H12" s="221">
        <v>70.2</v>
      </c>
      <c r="I12" s="222">
        <v>70.2</v>
      </c>
      <c r="J12" s="222">
        <v>46.0</v>
      </c>
      <c r="K12" s="222">
        <v>3500.0</v>
      </c>
      <c r="L12" s="222" t="s">
        <v>44</v>
      </c>
      <c r="M12" s="223">
        <v>350.0</v>
      </c>
      <c r="N12" s="221">
        <v>1.0</v>
      </c>
      <c r="O12" s="222" t="s">
        <v>2002</v>
      </c>
      <c r="P12" s="222">
        <v>25.0</v>
      </c>
      <c r="Q12" s="222">
        <v>2500.0</v>
      </c>
      <c r="R12" s="224">
        <v>62.8</v>
      </c>
      <c r="S12" s="224">
        <v>2.13</v>
      </c>
      <c r="T12" s="225">
        <v>34.3</v>
      </c>
      <c r="U12" s="226">
        <v>63.0</v>
      </c>
      <c r="V12" s="227" t="s">
        <v>166</v>
      </c>
      <c r="W12" s="228" t="s">
        <v>174</v>
      </c>
      <c r="X12" s="222" t="s">
        <v>166</v>
      </c>
      <c r="Y12" s="223" t="s">
        <v>166</v>
      </c>
      <c r="Z12" s="221" t="s">
        <v>166</v>
      </c>
      <c r="AA12" s="222" t="s">
        <v>174</v>
      </c>
      <c r="AB12" s="222" t="s">
        <v>166</v>
      </c>
      <c r="AC12" s="222" t="s">
        <v>174</v>
      </c>
      <c r="AD12" s="222" t="s">
        <v>166</v>
      </c>
      <c r="AE12" s="222" t="s">
        <v>174</v>
      </c>
      <c r="AF12" s="222" t="s">
        <v>174</v>
      </c>
      <c r="AG12" s="229" t="s">
        <v>2014</v>
      </c>
      <c r="AH12" s="229"/>
    </row>
    <row r="13">
      <c r="A13" s="242" t="s">
        <v>2014</v>
      </c>
      <c r="B13" s="220" t="s">
        <v>2016</v>
      </c>
      <c r="C13" s="221">
        <v>240.0</v>
      </c>
      <c r="D13" s="222">
        <v>279.0</v>
      </c>
      <c r="E13" s="222">
        <v>120.0</v>
      </c>
      <c r="F13" s="222">
        <v>38.0</v>
      </c>
      <c r="G13" s="223" t="s">
        <v>164</v>
      </c>
      <c r="H13" s="221">
        <v>70.2</v>
      </c>
      <c r="I13" s="222">
        <v>70.2</v>
      </c>
      <c r="J13" s="222">
        <v>46.0</v>
      </c>
      <c r="K13" s="222">
        <v>3500.0</v>
      </c>
      <c r="L13" s="222" t="s">
        <v>44</v>
      </c>
      <c r="M13" s="223">
        <v>400.0</v>
      </c>
      <c r="N13" s="221">
        <v>2.0</v>
      </c>
      <c r="O13" s="222" t="s">
        <v>2002</v>
      </c>
      <c r="P13" s="222">
        <v>25.0</v>
      </c>
      <c r="Q13" s="222">
        <v>2500.0</v>
      </c>
      <c r="R13" s="224">
        <v>62.8</v>
      </c>
      <c r="S13" s="224">
        <v>2.13</v>
      </c>
      <c r="T13" s="225">
        <v>34.3</v>
      </c>
      <c r="U13" s="226">
        <v>63.0</v>
      </c>
      <c r="V13" s="227" t="s">
        <v>166</v>
      </c>
      <c r="W13" s="228" t="s">
        <v>174</v>
      </c>
      <c r="X13" s="222" t="s">
        <v>166</v>
      </c>
      <c r="Y13" s="223" t="s">
        <v>166</v>
      </c>
      <c r="Z13" s="221" t="s">
        <v>166</v>
      </c>
      <c r="AA13" s="222" t="s">
        <v>174</v>
      </c>
      <c r="AB13" s="222" t="s">
        <v>166</v>
      </c>
      <c r="AC13" s="222" t="s">
        <v>174</v>
      </c>
      <c r="AD13" s="222" t="s">
        <v>166</v>
      </c>
      <c r="AE13" s="222" t="s">
        <v>174</v>
      </c>
      <c r="AF13" s="222" t="s">
        <v>174</v>
      </c>
      <c r="AG13" s="229" t="s">
        <v>2014</v>
      </c>
      <c r="AH13" s="229"/>
    </row>
    <row r="14">
      <c r="A14" s="242" t="s">
        <v>2014</v>
      </c>
      <c r="B14" s="220" t="s">
        <v>2017</v>
      </c>
      <c r="C14" s="221">
        <v>280.0</v>
      </c>
      <c r="D14" s="222">
        <v>315.0</v>
      </c>
      <c r="E14" s="222">
        <v>140.0</v>
      </c>
      <c r="F14" s="222">
        <v>38.0</v>
      </c>
      <c r="G14" s="223" t="s">
        <v>164</v>
      </c>
      <c r="H14" s="221">
        <v>70.2</v>
      </c>
      <c r="I14" s="222">
        <v>70.2</v>
      </c>
      <c r="J14" s="222">
        <v>46.0</v>
      </c>
      <c r="K14" s="222">
        <v>3500.0</v>
      </c>
      <c r="L14" s="222" t="s">
        <v>44</v>
      </c>
      <c r="M14" s="223">
        <v>400.0</v>
      </c>
      <c r="N14" s="221">
        <v>2.0</v>
      </c>
      <c r="O14" s="222" t="s">
        <v>2018</v>
      </c>
      <c r="P14" s="222">
        <v>25.0</v>
      </c>
      <c r="Q14" s="222">
        <v>2000.0</v>
      </c>
      <c r="R14" s="224">
        <v>92.3</v>
      </c>
      <c r="S14" s="224">
        <v>2.53</v>
      </c>
      <c r="T14" s="225">
        <v>36.0</v>
      </c>
      <c r="U14" s="226">
        <v>63.0</v>
      </c>
      <c r="V14" s="227" t="s">
        <v>166</v>
      </c>
      <c r="W14" s="228" t="s">
        <v>174</v>
      </c>
      <c r="X14" s="222" t="s">
        <v>166</v>
      </c>
      <c r="Y14" s="223" t="s">
        <v>166</v>
      </c>
      <c r="Z14" s="221" t="s">
        <v>166</v>
      </c>
      <c r="AA14" s="222" t="s">
        <v>174</v>
      </c>
      <c r="AB14" s="222" t="s">
        <v>166</v>
      </c>
      <c r="AC14" s="222" t="s">
        <v>174</v>
      </c>
      <c r="AD14" s="222" t="s">
        <v>166</v>
      </c>
      <c r="AE14" s="222" t="s">
        <v>174</v>
      </c>
      <c r="AF14" s="222" t="s">
        <v>174</v>
      </c>
      <c r="AG14" s="229" t="s">
        <v>2014</v>
      </c>
      <c r="AH14" s="229"/>
    </row>
    <row r="15">
      <c r="A15" s="242" t="s">
        <v>2014</v>
      </c>
      <c r="B15" s="220" t="s">
        <v>2019</v>
      </c>
      <c r="C15" s="221">
        <v>360.0</v>
      </c>
      <c r="D15" s="222">
        <v>397.0</v>
      </c>
      <c r="E15" s="222">
        <v>120.0</v>
      </c>
      <c r="F15" s="222">
        <v>38.0</v>
      </c>
      <c r="G15" s="223" t="s">
        <v>164</v>
      </c>
      <c r="H15" s="221">
        <v>70.2</v>
      </c>
      <c r="I15" s="222">
        <v>70.2</v>
      </c>
      <c r="J15" s="222">
        <v>46.0</v>
      </c>
      <c r="K15" s="222">
        <v>3500.0</v>
      </c>
      <c r="L15" s="222" t="s">
        <v>44</v>
      </c>
      <c r="M15" s="223">
        <v>400.0</v>
      </c>
      <c r="N15" s="221">
        <v>3.0</v>
      </c>
      <c r="O15" s="222" t="s">
        <v>2002</v>
      </c>
      <c r="P15" s="222">
        <v>25.0</v>
      </c>
      <c r="Q15" s="222">
        <v>2500.0</v>
      </c>
      <c r="R15" s="224">
        <v>62.8</v>
      </c>
      <c r="S15" s="224">
        <v>2.13</v>
      </c>
      <c r="T15" s="225">
        <v>34.3</v>
      </c>
      <c r="U15" s="226">
        <v>63.0</v>
      </c>
      <c r="V15" s="227" t="s">
        <v>166</v>
      </c>
      <c r="W15" s="228" t="s">
        <v>174</v>
      </c>
      <c r="X15" s="222" t="s">
        <v>166</v>
      </c>
      <c r="Y15" s="223" t="s">
        <v>166</v>
      </c>
      <c r="Z15" s="221" t="s">
        <v>166</v>
      </c>
      <c r="AA15" s="222" t="s">
        <v>174</v>
      </c>
      <c r="AB15" s="222" t="s">
        <v>166</v>
      </c>
      <c r="AC15" s="222" t="s">
        <v>174</v>
      </c>
      <c r="AD15" s="222" t="s">
        <v>166</v>
      </c>
      <c r="AE15" s="222" t="s">
        <v>174</v>
      </c>
      <c r="AF15" s="222" t="s">
        <v>174</v>
      </c>
      <c r="AG15" s="229" t="s">
        <v>2014</v>
      </c>
      <c r="AH15" s="229"/>
    </row>
    <row r="16">
      <c r="A16" s="242" t="s">
        <v>2014</v>
      </c>
      <c r="B16" s="220" t="s">
        <v>2020</v>
      </c>
      <c r="C16" s="221">
        <v>420.0</v>
      </c>
      <c r="D16" s="222">
        <v>460.0</v>
      </c>
      <c r="E16" s="222">
        <v>140.0</v>
      </c>
      <c r="F16" s="222">
        <v>38.0</v>
      </c>
      <c r="G16" s="223" t="s">
        <v>164</v>
      </c>
      <c r="H16" s="221">
        <v>70.2</v>
      </c>
      <c r="I16" s="222">
        <v>70.2</v>
      </c>
      <c r="J16" s="222">
        <v>46.0</v>
      </c>
      <c r="K16" s="222">
        <v>3500.0</v>
      </c>
      <c r="L16" s="222" t="s">
        <v>44</v>
      </c>
      <c r="M16" s="223">
        <v>400.0</v>
      </c>
      <c r="N16" s="221">
        <v>3.0</v>
      </c>
      <c r="O16" s="222" t="s">
        <v>2018</v>
      </c>
      <c r="P16" s="222">
        <v>25.0</v>
      </c>
      <c r="Q16" s="222">
        <v>2000.0</v>
      </c>
      <c r="R16" s="224">
        <v>92.3</v>
      </c>
      <c r="S16" s="224">
        <v>2.53</v>
      </c>
      <c r="T16" s="225">
        <v>36.0</v>
      </c>
      <c r="U16" s="226">
        <v>63.0</v>
      </c>
      <c r="V16" s="227" t="s">
        <v>166</v>
      </c>
      <c r="W16" s="228" t="s">
        <v>174</v>
      </c>
      <c r="X16" s="222" t="s">
        <v>166</v>
      </c>
      <c r="Y16" s="223" t="s">
        <v>166</v>
      </c>
      <c r="Z16" s="221" t="s">
        <v>166</v>
      </c>
      <c r="AA16" s="222" t="s">
        <v>174</v>
      </c>
      <c r="AB16" s="222" t="s">
        <v>166</v>
      </c>
      <c r="AC16" s="222" t="s">
        <v>174</v>
      </c>
      <c r="AD16" s="222" t="s">
        <v>166</v>
      </c>
      <c r="AE16" s="222" t="s">
        <v>174</v>
      </c>
      <c r="AF16" s="222" t="s">
        <v>174</v>
      </c>
      <c r="AG16" s="229" t="s">
        <v>2014</v>
      </c>
      <c r="AH16" s="229"/>
    </row>
    <row r="17">
      <c r="A17" s="242" t="s">
        <v>2014</v>
      </c>
      <c r="B17" s="243" t="s">
        <v>2021</v>
      </c>
      <c r="C17" s="221">
        <v>240.0</v>
      </c>
      <c r="D17" s="222">
        <v>279.0</v>
      </c>
      <c r="E17" s="222">
        <v>124.0</v>
      </c>
      <c r="F17" s="222">
        <v>30.0</v>
      </c>
      <c r="G17" s="223" t="s">
        <v>1617</v>
      </c>
      <c r="H17" s="221">
        <v>66.0</v>
      </c>
      <c r="I17" s="222">
        <v>66.0</v>
      </c>
      <c r="J17" s="222">
        <v>87.0</v>
      </c>
      <c r="K17" s="222">
        <v>2600.0</v>
      </c>
      <c r="L17" s="222" t="s">
        <v>44</v>
      </c>
      <c r="M17" s="223">
        <v>320.0</v>
      </c>
      <c r="N17" s="221">
        <v>2.0</v>
      </c>
      <c r="O17" s="222" t="s">
        <v>2002</v>
      </c>
      <c r="P17" s="222">
        <v>25.0</v>
      </c>
      <c r="Q17" s="222">
        <v>1700.0</v>
      </c>
      <c r="R17" s="224">
        <v>63.85</v>
      </c>
      <c r="S17" s="224">
        <v>1.66</v>
      </c>
      <c r="T17" s="225">
        <v>29.0</v>
      </c>
      <c r="U17" s="226">
        <v>55.0</v>
      </c>
      <c r="V17" s="227" t="s">
        <v>166</v>
      </c>
      <c r="W17" s="228" t="s">
        <v>166</v>
      </c>
      <c r="X17" s="222" t="s">
        <v>166</v>
      </c>
      <c r="Y17" s="223" t="s">
        <v>166</v>
      </c>
      <c r="Z17" s="221" t="s">
        <v>174</v>
      </c>
      <c r="AA17" s="222" t="s">
        <v>174</v>
      </c>
      <c r="AB17" s="222" t="s">
        <v>174</v>
      </c>
      <c r="AC17" s="222" t="s">
        <v>174</v>
      </c>
      <c r="AD17" s="222" t="s">
        <v>174</v>
      </c>
      <c r="AE17" s="222" t="s">
        <v>174</v>
      </c>
      <c r="AF17" s="222" t="s">
        <v>174</v>
      </c>
      <c r="AG17" s="229" t="s">
        <v>2014</v>
      </c>
      <c r="AH17" s="229"/>
    </row>
    <row r="18">
      <c r="A18" s="242" t="s">
        <v>2014</v>
      </c>
      <c r="B18" s="243" t="s">
        <v>2022</v>
      </c>
      <c r="C18" s="221">
        <v>280.0</v>
      </c>
      <c r="D18" s="222">
        <v>324.0</v>
      </c>
      <c r="E18" s="222">
        <v>144.0</v>
      </c>
      <c r="F18" s="222">
        <v>30.0</v>
      </c>
      <c r="G18" s="223" t="s">
        <v>1617</v>
      </c>
      <c r="H18" s="221">
        <v>66.0</v>
      </c>
      <c r="I18" s="222">
        <v>66.0</v>
      </c>
      <c r="J18" s="222">
        <v>87.0</v>
      </c>
      <c r="K18" s="222">
        <v>2600.0</v>
      </c>
      <c r="L18" s="222" t="s">
        <v>44</v>
      </c>
      <c r="M18" s="223">
        <v>320.0</v>
      </c>
      <c r="N18" s="221">
        <v>2.0</v>
      </c>
      <c r="O18" s="222" t="s">
        <v>2018</v>
      </c>
      <c r="P18" s="222">
        <v>25.0</v>
      </c>
      <c r="Q18" s="222">
        <v>1700.0</v>
      </c>
      <c r="R18" s="224">
        <v>63.85</v>
      </c>
      <c r="S18" s="224">
        <v>1.66</v>
      </c>
      <c r="T18" s="225">
        <v>29.0</v>
      </c>
      <c r="U18" s="226">
        <v>55.0</v>
      </c>
      <c r="V18" s="227" t="s">
        <v>166</v>
      </c>
      <c r="W18" s="228" t="s">
        <v>166</v>
      </c>
      <c r="X18" s="222" t="s">
        <v>166</v>
      </c>
      <c r="Y18" s="223" t="s">
        <v>166</v>
      </c>
      <c r="Z18" s="221" t="s">
        <v>174</v>
      </c>
      <c r="AA18" s="222" t="s">
        <v>174</v>
      </c>
      <c r="AB18" s="222" t="s">
        <v>174</v>
      </c>
      <c r="AC18" s="222" t="s">
        <v>174</v>
      </c>
      <c r="AD18" s="222" t="s">
        <v>174</v>
      </c>
      <c r="AE18" s="222" t="s">
        <v>174</v>
      </c>
      <c r="AF18" s="222" t="s">
        <v>174</v>
      </c>
      <c r="AG18" s="229" t="s">
        <v>2014</v>
      </c>
      <c r="AH18" s="229"/>
    </row>
    <row r="19">
      <c r="A19" s="242" t="s">
        <v>2014</v>
      </c>
      <c r="B19" s="220" t="s">
        <v>2023</v>
      </c>
      <c r="C19" s="221">
        <v>360.0</v>
      </c>
      <c r="D19" s="222">
        <v>397.0</v>
      </c>
      <c r="E19" s="222">
        <v>124.0</v>
      </c>
      <c r="F19" s="222">
        <v>30.0</v>
      </c>
      <c r="G19" s="223" t="s">
        <v>1617</v>
      </c>
      <c r="H19" s="221">
        <v>66.0</v>
      </c>
      <c r="I19" s="222">
        <v>66.0</v>
      </c>
      <c r="J19" s="222">
        <v>87.0</v>
      </c>
      <c r="K19" s="222">
        <v>2600.0</v>
      </c>
      <c r="L19" s="222" t="s">
        <v>44</v>
      </c>
      <c r="M19" s="223">
        <v>300.0</v>
      </c>
      <c r="N19" s="221">
        <v>3.0</v>
      </c>
      <c r="O19" s="222" t="s">
        <v>2002</v>
      </c>
      <c r="P19" s="222">
        <v>25.0</v>
      </c>
      <c r="Q19" s="222">
        <v>1700.0</v>
      </c>
      <c r="R19" s="224">
        <v>63.85</v>
      </c>
      <c r="S19" s="224">
        <v>1.66</v>
      </c>
      <c r="T19" s="225">
        <v>29.0</v>
      </c>
      <c r="U19" s="226">
        <v>55.0</v>
      </c>
      <c r="V19" s="227" t="s">
        <v>166</v>
      </c>
      <c r="W19" s="228" t="s">
        <v>166</v>
      </c>
      <c r="X19" s="222" t="s">
        <v>166</v>
      </c>
      <c r="Y19" s="223" t="s">
        <v>166</v>
      </c>
      <c r="Z19" s="221" t="s">
        <v>174</v>
      </c>
      <c r="AA19" s="222" t="s">
        <v>174</v>
      </c>
      <c r="AB19" s="222" t="s">
        <v>174</v>
      </c>
      <c r="AC19" s="222" t="s">
        <v>174</v>
      </c>
      <c r="AD19" s="222" t="s">
        <v>166</v>
      </c>
      <c r="AE19" s="222" t="s">
        <v>174</v>
      </c>
      <c r="AF19" s="222" t="s">
        <v>174</v>
      </c>
      <c r="AG19" s="229" t="s">
        <v>2014</v>
      </c>
      <c r="AH19" s="229"/>
    </row>
    <row r="20">
      <c r="A20" s="242" t="s">
        <v>2014</v>
      </c>
      <c r="B20" s="220" t="s">
        <v>2024</v>
      </c>
      <c r="C20" s="221">
        <v>420.0</v>
      </c>
      <c r="D20" s="222">
        <v>459.0</v>
      </c>
      <c r="E20" s="222">
        <v>144.0</v>
      </c>
      <c r="F20" s="222">
        <v>30.0</v>
      </c>
      <c r="G20" s="223" t="s">
        <v>1617</v>
      </c>
      <c r="H20" s="221">
        <v>66.0</v>
      </c>
      <c r="I20" s="222">
        <v>66.0</v>
      </c>
      <c r="J20" s="222">
        <v>87.0</v>
      </c>
      <c r="K20" s="222">
        <v>2600.0</v>
      </c>
      <c r="L20" s="222" t="s">
        <v>44</v>
      </c>
      <c r="M20" s="223">
        <v>300.0</v>
      </c>
      <c r="N20" s="221">
        <v>3.0</v>
      </c>
      <c r="O20" s="222" t="s">
        <v>2018</v>
      </c>
      <c r="P20" s="222">
        <v>25.0</v>
      </c>
      <c r="Q20" s="222">
        <v>1700.0</v>
      </c>
      <c r="R20" s="224">
        <v>63.85</v>
      </c>
      <c r="S20" s="224">
        <v>1.66</v>
      </c>
      <c r="T20" s="225">
        <v>29.0</v>
      </c>
      <c r="U20" s="226">
        <v>55.0</v>
      </c>
      <c r="V20" s="227" t="s">
        <v>166</v>
      </c>
      <c r="W20" s="228" t="s">
        <v>166</v>
      </c>
      <c r="X20" s="222" t="s">
        <v>166</v>
      </c>
      <c r="Y20" s="223" t="s">
        <v>166</v>
      </c>
      <c r="Z20" s="221" t="s">
        <v>174</v>
      </c>
      <c r="AA20" s="222" t="s">
        <v>174</v>
      </c>
      <c r="AB20" s="222" t="s">
        <v>174</v>
      </c>
      <c r="AC20" s="222" t="s">
        <v>174</v>
      </c>
      <c r="AD20" s="222" t="s">
        <v>166</v>
      </c>
      <c r="AE20" s="222" t="s">
        <v>174</v>
      </c>
      <c r="AF20" s="222" t="s">
        <v>174</v>
      </c>
      <c r="AG20" s="229" t="s">
        <v>2014</v>
      </c>
      <c r="AH20" s="229"/>
    </row>
    <row r="21">
      <c r="A21" s="242" t="s">
        <v>2014</v>
      </c>
      <c r="B21" s="220" t="s">
        <v>2025</v>
      </c>
      <c r="C21" s="221">
        <v>240.0</v>
      </c>
      <c r="D21" s="222">
        <v>278.0</v>
      </c>
      <c r="E21" s="222">
        <v>124.0</v>
      </c>
      <c r="F21" s="222">
        <v>30.0</v>
      </c>
      <c r="G21" s="223" t="s">
        <v>1617</v>
      </c>
      <c r="H21" s="221">
        <v>66.0</v>
      </c>
      <c r="I21" s="222">
        <v>66.0</v>
      </c>
      <c r="J21" s="222">
        <v>69.0</v>
      </c>
      <c r="K21" s="222">
        <v>2600.0</v>
      </c>
      <c r="L21" s="222" t="s">
        <v>44</v>
      </c>
      <c r="M21" s="223">
        <v>400.0</v>
      </c>
      <c r="N21" s="221">
        <v>2.0</v>
      </c>
      <c r="O21" s="222" t="s">
        <v>2002</v>
      </c>
      <c r="P21" s="222">
        <v>25.0</v>
      </c>
      <c r="Q21" s="222">
        <v>2000.0</v>
      </c>
      <c r="R21" s="224">
        <v>61.54</v>
      </c>
      <c r="S21" s="224">
        <v>2.0</v>
      </c>
      <c r="T21" s="225" t="s">
        <v>170</v>
      </c>
      <c r="U21" s="226">
        <v>55.0</v>
      </c>
      <c r="V21" s="227" t="s">
        <v>166</v>
      </c>
      <c r="W21" s="228" t="s">
        <v>174</v>
      </c>
      <c r="X21" s="222" t="s">
        <v>166</v>
      </c>
      <c r="Y21" s="223" t="s">
        <v>166</v>
      </c>
      <c r="Z21" s="221" t="s">
        <v>174</v>
      </c>
      <c r="AA21" s="222" t="s">
        <v>174</v>
      </c>
      <c r="AB21" s="222" t="s">
        <v>174</v>
      </c>
      <c r="AC21" s="222" t="s">
        <v>174</v>
      </c>
      <c r="AD21" s="222" t="s">
        <v>166</v>
      </c>
      <c r="AE21" s="222" t="s">
        <v>174</v>
      </c>
      <c r="AF21" s="222" t="s">
        <v>174</v>
      </c>
      <c r="AG21" s="229" t="s">
        <v>2014</v>
      </c>
      <c r="AH21" s="229"/>
    </row>
    <row r="22">
      <c r="A22" s="242" t="s">
        <v>2014</v>
      </c>
      <c r="B22" s="220" t="s">
        <v>2026</v>
      </c>
      <c r="C22" s="221">
        <v>280.0</v>
      </c>
      <c r="D22" s="222">
        <v>313.5</v>
      </c>
      <c r="E22" s="222">
        <v>144.0</v>
      </c>
      <c r="F22" s="222">
        <v>30.0</v>
      </c>
      <c r="G22" s="223" t="s">
        <v>1617</v>
      </c>
      <c r="H22" s="221">
        <v>66.0</v>
      </c>
      <c r="I22" s="222">
        <v>66.0</v>
      </c>
      <c r="J22" s="222">
        <v>69.0</v>
      </c>
      <c r="K22" s="222">
        <v>2600.0</v>
      </c>
      <c r="L22" s="222" t="s">
        <v>44</v>
      </c>
      <c r="M22" s="223">
        <v>400.0</v>
      </c>
      <c r="N22" s="221">
        <v>2.0</v>
      </c>
      <c r="O22" s="222" t="s">
        <v>2018</v>
      </c>
      <c r="P22" s="222">
        <v>25.0</v>
      </c>
      <c r="Q22" s="222">
        <v>1500.0</v>
      </c>
      <c r="R22" s="224">
        <v>71.0</v>
      </c>
      <c r="S22" s="224">
        <v>1.6</v>
      </c>
      <c r="T22" s="225" t="s">
        <v>170</v>
      </c>
      <c r="U22" s="226">
        <v>55.0</v>
      </c>
      <c r="V22" s="227" t="s">
        <v>166</v>
      </c>
      <c r="W22" s="228" t="s">
        <v>174</v>
      </c>
      <c r="X22" s="222" t="s">
        <v>166</v>
      </c>
      <c r="Y22" s="223" t="s">
        <v>166</v>
      </c>
      <c r="Z22" s="221" t="s">
        <v>174</v>
      </c>
      <c r="AA22" s="222" t="s">
        <v>174</v>
      </c>
      <c r="AB22" s="222" t="s">
        <v>174</v>
      </c>
      <c r="AC22" s="222" t="s">
        <v>174</v>
      </c>
      <c r="AD22" s="222" t="s">
        <v>166</v>
      </c>
      <c r="AE22" s="222" t="s">
        <v>174</v>
      </c>
      <c r="AF22" s="222" t="s">
        <v>174</v>
      </c>
      <c r="AG22" s="229" t="s">
        <v>2014</v>
      </c>
      <c r="AH22" s="229"/>
    </row>
    <row r="23">
      <c r="A23" s="242" t="s">
        <v>2014</v>
      </c>
      <c r="B23" s="220" t="s">
        <v>2027</v>
      </c>
      <c r="C23" s="221">
        <v>360.0</v>
      </c>
      <c r="D23" s="222">
        <v>397.0</v>
      </c>
      <c r="E23" s="222">
        <v>124.0</v>
      </c>
      <c r="F23" s="222">
        <v>30.0</v>
      </c>
      <c r="G23" s="223" t="s">
        <v>1617</v>
      </c>
      <c r="H23" s="221">
        <v>66.0</v>
      </c>
      <c r="I23" s="222">
        <v>66.0</v>
      </c>
      <c r="J23" s="222">
        <v>69.0</v>
      </c>
      <c r="K23" s="222">
        <v>2600.0</v>
      </c>
      <c r="L23" s="222" t="s">
        <v>44</v>
      </c>
      <c r="M23" s="223">
        <v>400.0</v>
      </c>
      <c r="N23" s="221">
        <v>3.0</v>
      </c>
      <c r="O23" s="222" t="s">
        <v>2002</v>
      </c>
      <c r="P23" s="222">
        <v>25.0</v>
      </c>
      <c r="Q23" s="222">
        <v>2000.0</v>
      </c>
      <c r="R23" s="224">
        <v>61.54</v>
      </c>
      <c r="S23" s="224">
        <v>2.0</v>
      </c>
      <c r="T23" s="225" t="s">
        <v>170</v>
      </c>
      <c r="U23" s="226">
        <v>55.0</v>
      </c>
      <c r="V23" s="227" t="s">
        <v>166</v>
      </c>
      <c r="W23" s="228" t="s">
        <v>174</v>
      </c>
      <c r="X23" s="222" t="s">
        <v>166</v>
      </c>
      <c r="Y23" s="223" t="s">
        <v>166</v>
      </c>
      <c r="Z23" s="221" t="s">
        <v>174</v>
      </c>
      <c r="AA23" s="222" t="s">
        <v>174</v>
      </c>
      <c r="AB23" s="222" t="s">
        <v>174</v>
      </c>
      <c r="AC23" s="222" t="s">
        <v>174</v>
      </c>
      <c r="AD23" s="222" t="s">
        <v>166</v>
      </c>
      <c r="AE23" s="222" t="s">
        <v>174</v>
      </c>
      <c r="AF23" s="222" t="s">
        <v>174</v>
      </c>
      <c r="AG23" s="229" t="s">
        <v>2014</v>
      </c>
      <c r="AH23" s="229"/>
    </row>
    <row r="24">
      <c r="A24" s="242" t="s">
        <v>2014</v>
      </c>
      <c r="B24" s="220" t="s">
        <v>2028</v>
      </c>
      <c r="C24" s="221">
        <v>420.0</v>
      </c>
      <c r="D24" s="222">
        <v>458.0</v>
      </c>
      <c r="E24" s="222">
        <v>144.0</v>
      </c>
      <c r="F24" s="222">
        <v>30.0</v>
      </c>
      <c r="G24" s="223" t="s">
        <v>1617</v>
      </c>
      <c r="H24" s="221">
        <v>66.0</v>
      </c>
      <c r="I24" s="222">
        <v>66.0</v>
      </c>
      <c r="J24" s="222">
        <v>69.0</v>
      </c>
      <c r="K24" s="222">
        <v>2600.0</v>
      </c>
      <c r="L24" s="222" t="s">
        <v>44</v>
      </c>
      <c r="M24" s="223">
        <v>400.0</v>
      </c>
      <c r="N24" s="221">
        <v>3.0</v>
      </c>
      <c r="O24" s="222" t="s">
        <v>2018</v>
      </c>
      <c r="P24" s="222">
        <v>25.0</v>
      </c>
      <c r="Q24" s="222">
        <v>1500.0</v>
      </c>
      <c r="R24" s="224">
        <v>71.0</v>
      </c>
      <c r="S24" s="224">
        <v>1.6</v>
      </c>
      <c r="T24" s="225" t="s">
        <v>170</v>
      </c>
      <c r="U24" s="226">
        <v>55.0</v>
      </c>
      <c r="V24" s="227" t="s">
        <v>166</v>
      </c>
      <c r="W24" s="228" t="s">
        <v>174</v>
      </c>
      <c r="X24" s="222" t="s">
        <v>166</v>
      </c>
      <c r="Y24" s="223" t="s">
        <v>166</v>
      </c>
      <c r="Z24" s="221" t="s">
        <v>174</v>
      </c>
      <c r="AA24" s="222" t="s">
        <v>174</v>
      </c>
      <c r="AB24" s="222" t="s">
        <v>174</v>
      </c>
      <c r="AC24" s="222" t="s">
        <v>174</v>
      </c>
      <c r="AD24" s="222" t="s">
        <v>166</v>
      </c>
      <c r="AE24" s="222" t="s">
        <v>174</v>
      </c>
      <c r="AF24" s="222" t="s">
        <v>174</v>
      </c>
      <c r="AG24" s="229" t="s">
        <v>2014</v>
      </c>
      <c r="AH24" s="229"/>
    </row>
    <row r="25">
      <c r="A25" s="242" t="s">
        <v>2014</v>
      </c>
      <c r="B25" s="220" t="s">
        <v>2029</v>
      </c>
      <c r="C25" s="221">
        <v>360.0</v>
      </c>
      <c r="D25" s="222">
        <v>391.5</v>
      </c>
      <c r="E25" s="222">
        <v>124.0</v>
      </c>
      <c r="F25" s="222">
        <v>30.0</v>
      </c>
      <c r="G25" s="223" t="s">
        <v>1617</v>
      </c>
      <c r="H25" s="221">
        <v>66.0</v>
      </c>
      <c r="I25" s="222">
        <v>66.0</v>
      </c>
      <c r="J25" s="222">
        <v>69.0</v>
      </c>
      <c r="K25" s="222">
        <v>2600.0</v>
      </c>
      <c r="L25" s="222" t="s">
        <v>44</v>
      </c>
      <c r="M25" s="223">
        <v>400.0</v>
      </c>
      <c r="N25" s="221">
        <v>3.0</v>
      </c>
      <c r="O25" s="222" t="s">
        <v>2002</v>
      </c>
      <c r="P25" s="222">
        <v>25.0</v>
      </c>
      <c r="Q25" s="222">
        <v>2500.0</v>
      </c>
      <c r="R25" s="224">
        <v>70.03</v>
      </c>
      <c r="S25" s="224">
        <v>3.17</v>
      </c>
      <c r="T25" s="225">
        <v>31.5</v>
      </c>
      <c r="U25" s="226">
        <v>55.0</v>
      </c>
      <c r="V25" s="227" t="s">
        <v>166</v>
      </c>
      <c r="W25" s="228" t="s">
        <v>174</v>
      </c>
      <c r="X25" s="222" t="s">
        <v>166</v>
      </c>
      <c r="Y25" s="223" t="s">
        <v>166</v>
      </c>
      <c r="Z25" s="221" t="s">
        <v>166</v>
      </c>
      <c r="AA25" s="222" t="s">
        <v>174</v>
      </c>
      <c r="AB25" s="222" t="s">
        <v>166</v>
      </c>
      <c r="AC25" s="222" t="s">
        <v>174</v>
      </c>
      <c r="AD25" s="222" t="s">
        <v>166</v>
      </c>
      <c r="AE25" s="222" t="s">
        <v>174</v>
      </c>
      <c r="AF25" s="222" t="s">
        <v>174</v>
      </c>
      <c r="AG25" s="229" t="s">
        <v>2014</v>
      </c>
      <c r="AH25" s="229"/>
    </row>
    <row r="26">
      <c r="A26" s="242" t="s">
        <v>2014</v>
      </c>
      <c r="B26" s="220" t="s">
        <v>2030</v>
      </c>
      <c r="C26" s="221">
        <v>240.0</v>
      </c>
      <c r="D26" s="222">
        <v>274.0</v>
      </c>
      <c r="E26" s="222">
        <v>120.0</v>
      </c>
      <c r="F26" s="222">
        <v>25.0</v>
      </c>
      <c r="G26" s="223" t="s">
        <v>1617</v>
      </c>
      <c r="H26" s="221">
        <v>69.0</v>
      </c>
      <c r="I26" s="222">
        <v>69.0</v>
      </c>
      <c r="J26" s="222">
        <v>45.0</v>
      </c>
      <c r="K26" s="222">
        <v>2600.0</v>
      </c>
      <c r="L26" s="222" t="s">
        <v>44</v>
      </c>
      <c r="M26" s="223">
        <v>400.0</v>
      </c>
      <c r="N26" s="221">
        <v>2.0</v>
      </c>
      <c r="O26" s="222" t="s">
        <v>2002</v>
      </c>
      <c r="P26" s="222">
        <v>25.0</v>
      </c>
      <c r="Q26" s="222">
        <v>2000.0</v>
      </c>
      <c r="R26" s="224">
        <v>61.54</v>
      </c>
      <c r="S26" s="224">
        <v>2.0</v>
      </c>
      <c r="T26" s="225" t="s">
        <v>170</v>
      </c>
      <c r="U26" s="226">
        <v>50.0</v>
      </c>
      <c r="V26" s="227" t="s">
        <v>166</v>
      </c>
      <c r="W26" s="228" t="s">
        <v>174</v>
      </c>
      <c r="X26" s="222" t="s">
        <v>166</v>
      </c>
      <c r="Y26" s="223" t="s">
        <v>166</v>
      </c>
      <c r="Z26" s="221" t="s">
        <v>174</v>
      </c>
      <c r="AA26" s="222" t="s">
        <v>174</v>
      </c>
      <c r="AB26" s="222" t="s">
        <v>174</v>
      </c>
      <c r="AC26" s="222" t="s">
        <v>174</v>
      </c>
      <c r="AD26" s="222" t="s">
        <v>166</v>
      </c>
      <c r="AE26" s="222" t="s">
        <v>174</v>
      </c>
      <c r="AF26" s="222" t="s">
        <v>174</v>
      </c>
      <c r="AG26" s="229" t="s">
        <v>2014</v>
      </c>
      <c r="AH26" s="229"/>
    </row>
    <row r="27">
      <c r="A27" s="242" t="s">
        <v>2014</v>
      </c>
      <c r="B27" s="220" t="s">
        <v>2031</v>
      </c>
      <c r="C27" s="221">
        <v>360.0</v>
      </c>
      <c r="D27" s="222">
        <v>390.0</v>
      </c>
      <c r="E27" s="222">
        <v>120.0</v>
      </c>
      <c r="F27" s="222">
        <v>25.0</v>
      </c>
      <c r="G27" s="223" t="s">
        <v>1617</v>
      </c>
      <c r="H27" s="221">
        <v>69.0</v>
      </c>
      <c r="I27" s="222">
        <v>69.0</v>
      </c>
      <c r="J27" s="222">
        <v>45.0</v>
      </c>
      <c r="K27" s="222">
        <v>2600.0</v>
      </c>
      <c r="L27" s="222" t="s">
        <v>44</v>
      </c>
      <c r="M27" s="223">
        <v>400.0</v>
      </c>
      <c r="N27" s="221">
        <v>3.0</v>
      </c>
      <c r="O27" s="222" t="s">
        <v>2002</v>
      </c>
      <c r="P27" s="222">
        <v>25.0</v>
      </c>
      <c r="Q27" s="222">
        <v>2000.0</v>
      </c>
      <c r="R27" s="224">
        <v>61.54</v>
      </c>
      <c r="S27" s="224">
        <v>2.0</v>
      </c>
      <c r="T27" s="225" t="s">
        <v>170</v>
      </c>
      <c r="U27" s="226">
        <v>50.0</v>
      </c>
      <c r="V27" s="227" t="s">
        <v>166</v>
      </c>
      <c r="W27" s="228" t="s">
        <v>174</v>
      </c>
      <c r="X27" s="222" t="s">
        <v>166</v>
      </c>
      <c r="Y27" s="223" t="s">
        <v>166</v>
      </c>
      <c r="Z27" s="221" t="s">
        <v>174</v>
      </c>
      <c r="AA27" s="222" t="s">
        <v>174</v>
      </c>
      <c r="AB27" s="222" t="s">
        <v>174</v>
      </c>
      <c r="AC27" s="222" t="s">
        <v>174</v>
      </c>
      <c r="AD27" s="222" t="s">
        <v>166</v>
      </c>
      <c r="AE27" s="222" t="s">
        <v>174</v>
      </c>
      <c r="AF27" s="222" t="s">
        <v>174</v>
      </c>
      <c r="AG27" s="229" t="s">
        <v>2014</v>
      </c>
      <c r="AH27" s="229"/>
    </row>
    <row r="28">
      <c r="A28" s="242" t="s">
        <v>2014</v>
      </c>
      <c r="B28" s="220" t="s">
        <v>2032</v>
      </c>
      <c r="C28" s="221">
        <v>92.0</v>
      </c>
      <c r="D28" s="222">
        <v>134.0</v>
      </c>
      <c r="E28" s="222">
        <v>92.0</v>
      </c>
      <c r="F28" s="222">
        <v>30.0</v>
      </c>
      <c r="G28" s="223" t="s">
        <v>1617</v>
      </c>
      <c r="H28" s="221">
        <v>69.0</v>
      </c>
      <c r="I28" s="222">
        <v>69.0</v>
      </c>
      <c r="J28" s="222">
        <v>39.0</v>
      </c>
      <c r="K28" s="222">
        <v>2600.0</v>
      </c>
      <c r="L28" s="222" t="s">
        <v>44</v>
      </c>
      <c r="M28" s="223">
        <v>250.0</v>
      </c>
      <c r="N28" s="221" t="s">
        <v>166</v>
      </c>
      <c r="O28" s="222" t="s">
        <v>166</v>
      </c>
      <c r="P28" s="222" t="s">
        <v>166</v>
      </c>
      <c r="Q28" s="222" t="s">
        <v>166</v>
      </c>
      <c r="R28" s="224" t="s">
        <v>166</v>
      </c>
      <c r="S28" s="224" t="s">
        <v>166</v>
      </c>
      <c r="T28" s="225" t="s">
        <v>166</v>
      </c>
      <c r="U28" s="226">
        <v>39.0</v>
      </c>
      <c r="V28" s="227" t="s">
        <v>166</v>
      </c>
      <c r="W28" s="228" t="s">
        <v>166</v>
      </c>
      <c r="X28" s="222" t="s">
        <v>166</v>
      </c>
      <c r="Y28" s="223" t="s">
        <v>166</v>
      </c>
      <c r="Z28" s="221" t="s">
        <v>174</v>
      </c>
      <c r="AA28" s="222" t="s">
        <v>174</v>
      </c>
      <c r="AB28" s="222" t="s">
        <v>174</v>
      </c>
      <c r="AC28" s="222" t="s">
        <v>174</v>
      </c>
      <c r="AD28" s="222" t="s">
        <v>174</v>
      </c>
      <c r="AE28" s="222" t="s">
        <v>174</v>
      </c>
      <c r="AF28" s="222" t="s">
        <v>174</v>
      </c>
      <c r="AG28" s="229" t="s">
        <v>2014</v>
      </c>
      <c r="AH28" s="229"/>
    </row>
    <row r="29">
      <c r="A29" s="242" t="s">
        <v>2014</v>
      </c>
      <c r="B29" s="244" t="s">
        <v>2033</v>
      </c>
      <c r="C29" s="221">
        <v>120.0</v>
      </c>
      <c r="D29" s="222">
        <v>150.0</v>
      </c>
      <c r="E29" s="222">
        <v>120.0</v>
      </c>
      <c r="F29" s="222">
        <v>25.0</v>
      </c>
      <c r="G29" s="223" t="s">
        <v>1617</v>
      </c>
      <c r="H29" s="221">
        <v>69.0</v>
      </c>
      <c r="I29" s="222">
        <v>69.0</v>
      </c>
      <c r="J29" s="222">
        <v>39.0</v>
      </c>
      <c r="K29" s="222">
        <v>2600.0</v>
      </c>
      <c r="L29" s="222" t="s">
        <v>44</v>
      </c>
      <c r="M29" s="223">
        <v>320.0</v>
      </c>
      <c r="N29" s="221">
        <v>2.0</v>
      </c>
      <c r="O29" s="222" t="s">
        <v>2002</v>
      </c>
      <c r="P29" s="222">
        <v>25.0</v>
      </c>
      <c r="Q29" s="222">
        <v>1700.0</v>
      </c>
      <c r="R29" s="224">
        <v>63.85</v>
      </c>
      <c r="S29" s="224">
        <v>1.66</v>
      </c>
      <c r="T29" s="225">
        <v>29.0</v>
      </c>
      <c r="U29" s="226">
        <v>50.0</v>
      </c>
      <c r="V29" s="227" t="s">
        <v>166</v>
      </c>
      <c r="W29" s="228" t="s">
        <v>166</v>
      </c>
      <c r="X29" s="222" t="s">
        <v>166</v>
      </c>
      <c r="Y29" s="223" t="s">
        <v>166</v>
      </c>
      <c r="Z29" s="221" t="s">
        <v>174</v>
      </c>
      <c r="AA29" s="222" t="s">
        <v>174</v>
      </c>
      <c r="AB29" s="222" t="s">
        <v>174</v>
      </c>
      <c r="AC29" s="222" t="s">
        <v>174</v>
      </c>
      <c r="AD29" s="222" t="s">
        <v>174</v>
      </c>
      <c r="AE29" s="222" t="s">
        <v>166</v>
      </c>
      <c r="AF29" s="222" t="s">
        <v>174</v>
      </c>
      <c r="AG29" s="229" t="s">
        <v>2014</v>
      </c>
      <c r="AH29" s="229"/>
    </row>
    <row r="30">
      <c r="A30" s="242" t="s">
        <v>2014</v>
      </c>
      <c r="B30" s="220" t="s">
        <v>2034</v>
      </c>
      <c r="C30" s="221">
        <v>240.0</v>
      </c>
      <c r="D30" s="222">
        <v>270.0</v>
      </c>
      <c r="E30" s="222">
        <v>120.0</v>
      </c>
      <c r="F30" s="222">
        <v>25.0</v>
      </c>
      <c r="G30" s="223" t="s">
        <v>1617</v>
      </c>
      <c r="H30" s="221">
        <v>69.0</v>
      </c>
      <c r="I30" s="222">
        <v>69.0</v>
      </c>
      <c r="J30" s="222">
        <v>39.0</v>
      </c>
      <c r="K30" s="222">
        <v>2600.0</v>
      </c>
      <c r="L30" s="222" t="s">
        <v>44</v>
      </c>
      <c r="M30" s="223">
        <v>320.0</v>
      </c>
      <c r="N30" s="221">
        <v>2.0</v>
      </c>
      <c r="O30" s="222" t="s">
        <v>2002</v>
      </c>
      <c r="P30" s="222">
        <v>25.0</v>
      </c>
      <c r="Q30" s="222">
        <v>1700.0</v>
      </c>
      <c r="R30" s="224">
        <v>63.85</v>
      </c>
      <c r="S30" s="224">
        <v>1.66</v>
      </c>
      <c r="T30" s="225">
        <v>29.0</v>
      </c>
      <c r="U30" s="226">
        <v>50.0</v>
      </c>
      <c r="V30" s="227" t="s">
        <v>166</v>
      </c>
      <c r="W30" s="228" t="s">
        <v>166</v>
      </c>
      <c r="X30" s="222" t="s">
        <v>166</v>
      </c>
      <c r="Y30" s="223" t="s">
        <v>166</v>
      </c>
      <c r="Z30" s="221" t="s">
        <v>174</v>
      </c>
      <c r="AA30" s="222" t="s">
        <v>174</v>
      </c>
      <c r="AB30" s="222" t="s">
        <v>174</v>
      </c>
      <c r="AC30" s="222" t="s">
        <v>174</v>
      </c>
      <c r="AD30" s="222" t="s">
        <v>174</v>
      </c>
      <c r="AE30" s="222" t="s">
        <v>174</v>
      </c>
      <c r="AF30" s="222" t="s">
        <v>174</v>
      </c>
      <c r="AG30" s="229" t="s">
        <v>2014</v>
      </c>
      <c r="AH30" s="229"/>
    </row>
    <row r="31">
      <c r="A31" s="242" t="s">
        <v>2014</v>
      </c>
      <c r="B31" s="220" t="s">
        <v>2035</v>
      </c>
      <c r="C31" s="221">
        <v>360.0</v>
      </c>
      <c r="D31" s="222">
        <v>390.0</v>
      </c>
      <c r="E31" s="222">
        <v>120.0</v>
      </c>
      <c r="F31" s="222">
        <v>25.0</v>
      </c>
      <c r="G31" s="223" t="s">
        <v>1617</v>
      </c>
      <c r="H31" s="221">
        <v>69.0</v>
      </c>
      <c r="I31" s="222">
        <v>69.0</v>
      </c>
      <c r="J31" s="222">
        <v>39.0</v>
      </c>
      <c r="K31" s="222">
        <v>2600.0</v>
      </c>
      <c r="L31" s="222" t="s">
        <v>44</v>
      </c>
      <c r="M31" s="223">
        <v>320.0</v>
      </c>
      <c r="N31" s="221">
        <v>3.0</v>
      </c>
      <c r="O31" s="222" t="s">
        <v>2002</v>
      </c>
      <c r="P31" s="222">
        <v>25.0</v>
      </c>
      <c r="Q31" s="222">
        <v>1700.0</v>
      </c>
      <c r="R31" s="224">
        <v>63.85</v>
      </c>
      <c r="S31" s="224">
        <v>1.66</v>
      </c>
      <c r="T31" s="225">
        <v>29.0</v>
      </c>
      <c r="U31" s="226">
        <v>50.0</v>
      </c>
      <c r="V31" s="227" t="s">
        <v>166</v>
      </c>
      <c r="W31" s="228" t="s">
        <v>166</v>
      </c>
      <c r="X31" s="222" t="s">
        <v>166</v>
      </c>
      <c r="Y31" s="223" t="s">
        <v>166</v>
      </c>
      <c r="Z31" s="221" t="s">
        <v>174</v>
      </c>
      <c r="AA31" s="222" t="s">
        <v>174</v>
      </c>
      <c r="AB31" s="222" t="s">
        <v>174</v>
      </c>
      <c r="AC31" s="222" t="s">
        <v>174</v>
      </c>
      <c r="AD31" s="222" t="s">
        <v>174</v>
      </c>
      <c r="AE31" s="222" t="s">
        <v>174</v>
      </c>
      <c r="AF31" s="222" t="s">
        <v>174</v>
      </c>
      <c r="AG31" s="229" t="s">
        <v>2014</v>
      </c>
      <c r="AH31" s="229"/>
    </row>
    <row r="32">
      <c r="A32" s="242" t="s">
        <v>2014</v>
      </c>
      <c r="B32" s="220" t="s">
        <v>2036</v>
      </c>
      <c r="C32" s="221">
        <v>360.0</v>
      </c>
      <c r="D32" s="222">
        <v>391.5</v>
      </c>
      <c r="E32" s="222">
        <v>124.0</v>
      </c>
      <c r="F32" s="222">
        <v>30.0</v>
      </c>
      <c r="G32" s="223" t="s">
        <v>1617</v>
      </c>
      <c r="H32" s="221">
        <v>69.0</v>
      </c>
      <c r="I32" s="222">
        <v>69.0</v>
      </c>
      <c r="J32" s="222">
        <v>45.0</v>
      </c>
      <c r="K32" s="222">
        <v>2600.0</v>
      </c>
      <c r="L32" s="222" t="s">
        <v>44</v>
      </c>
      <c r="M32" s="223">
        <v>400.0</v>
      </c>
      <c r="N32" s="221">
        <v>3.0</v>
      </c>
      <c r="O32" s="222" t="s">
        <v>2002</v>
      </c>
      <c r="P32" s="222">
        <v>25.0</v>
      </c>
      <c r="Q32" s="222">
        <v>2500.0</v>
      </c>
      <c r="R32" s="224">
        <v>70.03</v>
      </c>
      <c r="S32" s="224">
        <v>3.17</v>
      </c>
      <c r="T32" s="225">
        <v>31.5</v>
      </c>
      <c r="U32" s="226">
        <v>55.0</v>
      </c>
      <c r="V32" s="227" t="s">
        <v>166</v>
      </c>
      <c r="W32" s="228" t="s">
        <v>174</v>
      </c>
      <c r="X32" s="222" t="s">
        <v>166</v>
      </c>
      <c r="Y32" s="223" t="s">
        <v>166</v>
      </c>
      <c r="Z32" s="221" t="s">
        <v>166</v>
      </c>
      <c r="AA32" s="222" t="s">
        <v>174</v>
      </c>
      <c r="AB32" s="222" t="s">
        <v>166</v>
      </c>
      <c r="AC32" s="222" t="s">
        <v>174</v>
      </c>
      <c r="AD32" s="222" t="s">
        <v>166</v>
      </c>
      <c r="AE32" s="222" t="s">
        <v>174</v>
      </c>
      <c r="AF32" s="222" t="s">
        <v>174</v>
      </c>
      <c r="AG32" s="229" t="s">
        <v>2014</v>
      </c>
      <c r="AH32" s="229"/>
    </row>
    <row r="33">
      <c r="A33" s="242" t="s">
        <v>2014</v>
      </c>
      <c r="B33" s="220" t="s">
        <v>2037</v>
      </c>
      <c r="C33" s="221">
        <v>240.0</v>
      </c>
      <c r="D33" s="222">
        <v>279.0</v>
      </c>
      <c r="E33" s="222">
        <v>124.0</v>
      </c>
      <c r="F33" s="222">
        <v>30.0</v>
      </c>
      <c r="G33" s="223" t="s">
        <v>1617</v>
      </c>
      <c r="H33" s="221">
        <v>79.0</v>
      </c>
      <c r="I33" s="222">
        <v>64.0</v>
      </c>
      <c r="J33" s="222">
        <v>54.3</v>
      </c>
      <c r="K33" s="222">
        <v>2600.0</v>
      </c>
      <c r="L33" s="222" t="s">
        <v>44</v>
      </c>
      <c r="M33" s="223">
        <v>400.0</v>
      </c>
      <c r="N33" s="221">
        <v>2.0</v>
      </c>
      <c r="O33" s="222" t="s">
        <v>2002</v>
      </c>
      <c r="P33" s="222">
        <v>25.0</v>
      </c>
      <c r="Q33" s="222">
        <v>2500.0</v>
      </c>
      <c r="R33" s="224">
        <v>70.03</v>
      </c>
      <c r="S33" s="224">
        <v>3.17</v>
      </c>
      <c r="T33" s="225">
        <v>31.5</v>
      </c>
      <c r="U33" s="226">
        <v>55.0</v>
      </c>
      <c r="V33" s="227" t="s">
        <v>166</v>
      </c>
      <c r="W33" s="228" t="s">
        <v>174</v>
      </c>
      <c r="X33" s="222" t="s">
        <v>166</v>
      </c>
      <c r="Y33" s="223" t="s">
        <v>166</v>
      </c>
      <c r="Z33" s="221" t="s">
        <v>166</v>
      </c>
      <c r="AA33" s="222" t="s">
        <v>174</v>
      </c>
      <c r="AB33" s="222" t="s">
        <v>166</v>
      </c>
      <c r="AC33" s="222" t="s">
        <v>166</v>
      </c>
      <c r="AD33" s="222" t="s">
        <v>166</v>
      </c>
      <c r="AE33" s="222" t="s">
        <v>174</v>
      </c>
      <c r="AF33" s="222" t="s">
        <v>174</v>
      </c>
      <c r="AG33" s="229" t="s">
        <v>2014</v>
      </c>
      <c r="AH33" s="229"/>
    </row>
    <row r="34">
      <c r="A34" s="242" t="s">
        <v>2014</v>
      </c>
      <c r="B34" s="220" t="s">
        <v>2038</v>
      </c>
      <c r="C34" s="221">
        <v>280.0</v>
      </c>
      <c r="D34" s="222">
        <v>316.0</v>
      </c>
      <c r="E34" s="222">
        <v>144.0</v>
      </c>
      <c r="F34" s="222">
        <v>30.0</v>
      </c>
      <c r="G34" s="223" t="s">
        <v>1617</v>
      </c>
      <c r="H34" s="221">
        <v>79.0</v>
      </c>
      <c r="I34" s="222">
        <v>64.0</v>
      </c>
      <c r="J34" s="222">
        <v>54.3</v>
      </c>
      <c r="K34" s="222">
        <v>2600.0</v>
      </c>
      <c r="L34" s="222" t="s">
        <v>44</v>
      </c>
      <c r="M34" s="223">
        <v>400.0</v>
      </c>
      <c r="N34" s="221">
        <v>2.0</v>
      </c>
      <c r="O34" s="222" t="s">
        <v>2018</v>
      </c>
      <c r="P34" s="222">
        <v>25.0</v>
      </c>
      <c r="Q34" s="222">
        <v>2000.0</v>
      </c>
      <c r="R34" s="224">
        <v>90.76</v>
      </c>
      <c r="S34" s="224">
        <v>2.2</v>
      </c>
      <c r="T34" s="225" t="s">
        <v>170</v>
      </c>
      <c r="U34" s="226">
        <v>55.0</v>
      </c>
      <c r="V34" s="227" t="s">
        <v>166</v>
      </c>
      <c r="W34" s="228" t="s">
        <v>174</v>
      </c>
      <c r="X34" s="222" t="s">
        <v>166</v>
      </c>
      <c r="Y34" s="223" t="s">
        <v>166</v>
      </c>
      <c r="Z34" s="221" t="s">
        <v>166</v>
      </c>
      <c r="AA34" s="222" t="s">
        <v>174</v>
      </c>
      <c r="AB34" s="222" t="s">
        <v>166</v>
      </c>
      <c r="AC34" s="222" t="s">
        <v>166</v>
      </c>
      <c r="AD34" s="222" t="s">
        <v>166</v>
      </c>
      <c r="AE34" s="222" t="s">
        <v>174</v>
      </c>
      <c r="AF34" s="222" t="s">
        <v>174</v>
      </c>
      <c r="AG34" s="229" t="s">
        <v>2014</v>
      </c>
      <c r="AH34" s="229"/>
    </row>
    <row r="35">
      <c r="A35" s="242" t="s">
        <v>2014</v>
      </c>
      <c r="B35" s="220" t="s">
        <v>2039</v>
      </c>
      <c r="C35" s="221">
        <v>360.0</v>
      </c>
      <c r="D35" s="222">
        <v>390.0</v>
      </c>
      <c r="E35" s="222">
        <v>120.0</v>
      </c>
      <c r="F35" s="222">
        <v>30.0</v>
      </c>
      <c r="G35" s="223" t="s">
        <v>1617</v>
      </c>
      <c r="H35" s="221">
        <v>79.0</v>
      </c>
      <c r="I35" s="222">
        <v>64.0</v>
      </c>
      <c r="J35" s="222">
        <v>54.3</v>
      </c>
      <c r="K35" s="222">
        <v>2600.0</v>
      </c>
      <c r="L35" s="222" t="s">
        <v>44</v>
      </c>
      <c r="M35" s="223">
        <v>400.0</v>
      </c>
      <c r="N35" s="221">
        <v>3.0</v>
      </c>
      <c r="O35" s="222" t="s">
        <v>2002</v>
      </c>
      <c r="P35" s="222">
        <v>25.0</v>
      </c>
      <c r="Q35" s="222">
        <v>2500.0</v>
      </c>
      <c r="R35" s="224">
        <v>70.03</v>
      </c>
      <c r="S35" s="224">
        <v>3.17</v>
      </c>
      <c r="T35" s="225">
        <v>31.5</v>
      </c>
      <c r="U35" s="226">
        <v>55.0</v>
      </c>
      <c r="V35" s="227" t="s">
        <v>166</v>
      </c>
      <c r="W35" s="228" t="s">
        <v>174</v>
      </c>
      <c r="X35" s="222" t="s">
        <v>166</v>
      </c>
      <c r="Y35" s="223" t="s">
        <v>166</v>
      </c>
      <c r="Z35" s="221" t="s">
        <v>166</v>
      </c>
      <c r="AA35" s="222" t="s">
        <v>174</v>
      </c>
      <c r="AB35" s="222" t="s">
        <v>166</v>
      </c>
      <c r="AC35" s="222" t="s">
        <v>166</v>
      </c>
      <c r="AD35" s="222" t="s">
        <v>166</v>
      </c>
      <c r="AE35" s="222" t="s">
        <v>174</v>
      </c>
      <c r="AF35" s="222" t="s">
        <v>174</v>
      </c>
      <c r="AG35" s="229" t="s">
        <v>2014</v>
      </c>
      <c r="AH35" s="229"/>
    </row>
    <row r="36">
      <c r="A36" s="242" t="s">
        <v>2014</v>
      </c>
      <c r="B36" s="220" t="s">
        <v>2040</v>
      </c>
      <c r="C36" s="221">
        <v>420.0</v>
      </c>
      <c r="D36" s="222">
        <v>460.0</v>
      </c>
      <c r="E36" s="222">
        <v>144.0</v>
      </c>
      <c r="F36" s="222">
        <v>30.0</v>
      </c>
      <c r="G36" s="223" t="s">
        <v>1617</v>
      </c>
      <c r="H36" s="221">
        <v>79.0</v>
      </c>
      <c r="I36" s="222">
        <v>64.0</v>
      </c>
      <c r="J36" s="222">
        <v>54.3</v>
      </c>
      <c r="K36" s="222">
        <v>2600.0</v>
      </c>
      <c r="L36" s="222" t="s">
        <v>44</v>
      </c>
      <c r="M36" s="223">
        <v>400.0</v>
      </c>
      <c r="N36" s="221">
        <v>3.0</v>
      </c>
      <c r="O36" s="222" t="s">
        <v>2018</v>
      </c>
      <c r="P36" s="222">
        <v>25.0</v>
      </c>
      <c r="Q36" s="222">
        <v>2000.0</v>
      </c>
      <c r="R36" s="224">
        <v>90.76</v>
      </c>
      <c r="S36" s="224">
        <v>2.2</v>
      </c>
      <c r="T36" s="225" t="s">
        <v>170</v>
      </c>
      <c r="U36" s="226">
        <v>55.0</v>
      </c>
      <c r="V36" s="227" t="s">
        <v>166</v>
      </c>
      <c r="W36" s="228" t="s">
        <v>174</v>
      </c>
      <c r="X36" s="222" t="s">
        <v>166</v>
      </c>
      <c r="Y36" s="223" t="s">
        <v>166</v>
      </c>
      <c r="Z36" s="221" t="s">
        <v>166</v>
      </c>
      <c r="AA36" s="222" t="s">
        <v>174</v>
      </c>
      <c r="AB36" s="222" t="s">
        <v>166</v>
      </c>
      <c r="AC36" s="222" t="s">
        <v>166</v>
      </c>
      <c r="AD36" s="222" t="s">
        <v>166</v>
      </c>
      <c r="AE36" s="222" t="s">
        <v>174</v>
      </c>
      <c r="AF36" s="222" t="s">
        <v>174</v>
      </c>
      <c r="AG36" s="229" t="s">
        <v>2014</v>
      </c>
      <c r="AH36" s="229"/>
    </row>
    <row r="37">
      <c r="A37" s="245" t="s">
        <v>2014</v>
      </c>
      <c r="B37" s="231" t="s">
        <v>2041</v>
      </c>
      <c r="C37" s="232">
        <v>360.0</v>
      </c>
      <c r="D37" s="233">
        <v>391.5</v>
      </c>
      <c r="E37" s="233">
        <v>124.0</v>
      </c>
      <c r="F37" s="233">
        <v>30.0</v>
      </c>
      <c r="G37" s="234" t="s">
        <v>1617</v>
      </c>
      <c r="H37" s="232">
        <v>79.0</v>
      </c>
      <c r="I37" s="233">
        <v>64.0</v>
      </c>
      <c r="J37" s="233">
        <v>54.3</v>
      </c>
      <c r="K37" s="233">
        <v>2600.0</v>
      </c>
      <c r="L37" s="233" t="s">
        <v>44</v>
      </c>
      <c r="M37" s="234">
        <v>400.0</v>
      </c>
      <c r="N37" s="232">
        <v>3.0</v>
      </c>
      <c r="O37" s="233" t="s">
        <v>2002</v>
      </c>
      <c r="P37" s="233">
        <v>25.0</v>
      </c>
      <c r="Q37" s="233">
        <v>2500.0</v>
      </c>
      <c r="R37" s="235">
        <v>70.03</v>
      </c>
      <c r="S37" s="235">
        <v>3.17</v>
      </c>
      <c r="T37" s="236">
        <v>31.5</v>
      </c>
      <c r="U37" s="237">
        <v>55.0</v>
      </c>
      <c r="V37" s="238" t="s">
        <v>166</v>
      </c>
      <c r="W37" s="239" t="s">
        <v>174</v>
      </c>
      <c r="X37" s="233" t="s">
        <v>166</v>
      </c>
      <c r="Y37" s="234" t="s">
        <v>166</v>
      </c>
      <c r="Z37" s="232" t="s">
        <v>166</v>
      </c>
      <c r="AA37" s="233" t="s">
        <v>174</v>
      </c>
      <c r="AB37" s="233" t="s">
        <v>166</v>
      </c>
      <c r="AC37" s="233" t="s">
        <v>174</v>
      </c>
      <c r="AD37" s="233" t="s">
        <v>166</v>
      </c>
      <c r="AE37" s="233" t="s">
        <v>174</v>
      </c>
      <c r="AF37" s="233" t="s">
        <v>174</v>
      </c>
      <c r="AG37" s="240" t="s">
        <v>2014</v>
      </c>
      <c r="AH37" s="240"/>
    </row>
    <row r="38">
      <c r="A38" s="242" t="s">
        <v>2042</v>
      </c>
      <c r="B38" s="220" t="s">
        <v>2043</v>
      </c>
      <c r="C38" s="221">
        <v>120.0</v>
      </c>
      <c r="D38" s="222">
        <v>169.0</v>
      </c>
      <c r="E38" s="222">
        <v>120.0</v>
      </c>
      <c r="F38" s="222">
        <v>27.0</v>
      </c>
      <c r="G38" s="223" t="s">
        <v>164</v>
      </c>
      <c r="H38" s="221">
        <v>60.0</v>
      </c>
      <c r="I38" s="222">
        <v>60.0</v>
      </c>
      <c r="J38" s="222">
        <v>31.0</v>
      </c>
      <c r="K38" s="222" t="s">
        <v>170</v>
      </c>
      <c r="L38" s="222" t="s">
        <v>2010</v>
      </c>
      <c r="M38" s="223">
        <v>315.0</v>
      </c>
      <c r="N38" s="221">
        <v>1.0</v>
      </c>
      <c r="O38" s="222" t="s">
        <v>2002</v>
      </c>
      <c r="P38" s="222">
        <v>25.0</v>
      </c>
      <c r="Q38" s="222">
        <v>1800.0</v>
      </c>
      <c r="R38" s="224">
        <v>73.31</v>
      </c>
      <c r="S38" s="224">
        <v>2.25</v>
      </c>
      <c r="T38" s="225">
        <v>30.0</v>
      </c>
      <c r="U38" s="226">
        <v>52.0</v>
      </c>
      <c r="V38" s="221" t="s">
        <v>166</v>
      </c>
      <c r="W38" s="241" t="s">
        <v>166</v>
      </c>
      <c r="X38" s="222" t="s">
        <v>166</v>
      </c>
      <c r="Y38" s="223" t="s">
        <v>174</v>
      </c>
      <c r="Z38" s="221" t="s">
        <v>174</v>
      </c>
      <c r="AA38" s="222" t="s">
        <v>174</v>
      </c>
      <c r="AB38" s="222" t="s">
        <v>174</v>
      </c>
      <c r="AC38" s="222" t="s">
        <v>174</v>
      </c>
      <c r="AD38" s="222" t="s">
        <v>174</v>
      </c>
      <c r="AE38" s="222" t="s">
        <v>170</v>
      </c>
      <c r="AF38" s="222" t="s">
        <v>174</v>
      </c>
      <c r="AG38" s="222" t="s">
        <v>170</v>
      </c>
      <c r="AH38" s="222"/>
    </row>
    <row r="39">
      <c r="A39" s="219" t="s">
        <v>2042</v>
      </c>
      <c r="B39" s="220" t="s">
        <v>2044</v>
      </c>
      <c r="C39" s="221">
        <v>120.0</v>
      </c>
      <c r="D39" s="222">
        <v>169.0</v>
      </c>
      <c r="E39" s="222">
        <v>120.0</v>
      </c>
      <c r="F39" s="222">
        <v>27.0</v>
      </c>
      <c r="G39" s="223" t="s">
        <v>164</v>
      </c>
      <c r="H39" s="221">
        <v>60.0</v>
      </c>
      <c r="I39" s="222">
        <v>60.0</v>
      </c>
      <c r="J39" s="222">
        <v>31.0</v>
      </c>
      <c r="K39" s="222" t="s">
        <v>170</v>
      </c>
      <c r="L39" s="222" t="s">
        <v>2010</v>
      </c>
      <c r="M39" s="223">
        <v>315.0</v>
      </c>
      <c r="N39" s="221">
        <v>1.0</v>
      </c>
      <c r="O39" s="222" t="s">
        <v>2002</v>
      </c>
      <c r="P39" s="222">
        <v>25.0</v>
      </c>
      <c r="Q39" s="222">
        <v>2000.0</v>
      </c>
      <c r="R39" s="224">
        <v>77.0</v>
      </c>
      <c r="S39" s="224" t="s">
        <v>170</v>
      </c>
      <c r="T39" s="225">
        <v>36.0</v>
      </c>
      <c r="U39" s="226">
        <v>52.0</v>
      </c>
      <c r="V39" s="227" t="s">
        <v>174</v>
      </c>
      <c r="W39" s="228" t="s">
        <v>166</v>
      </c>
      <c r="X39" s="222" t="s">
        <v>166</v>
      </c>
      <c r="Y39" s="223" t="s">
        <v>174</v>
      </c>
      <c r="Z39" s="221" t="s">
        <v>174</v>
      </c>
      <c r="AA39" s="222" t="s">
        <v>174</v>
      </c>
      <c r="AB39" s="222" t="s">
        <v>166</v>
      </c>
      <c r="AC39" s="222" t="s">
        <v>174</v>
      </c>
      <c r="AD39" s="222" t="s">
        <v>174</v>
      </c>
      <c r="AE39" s="222" t="s">
        <v>170</v>
      </c>
      <c r="AF39" s="222" t="s">
        <v>174</v>
      </c>
      <c r="AG39" s="222" t="s">
        <v>170</v>
      </c>
      <c r="AH39" s="222"/>
    </row>
    <row r="40">
      <c r="A40" s="219" t="s">
        <v>2042</v>
      </c>
      <c r="B40" s="220" t="s">
        <v>2045</v>
      </c>
      <c r="C40" s="221">
        <v>240.0</v>
      </c>
      <c r="D40" s="222">
        <v>288.0</v>
      </c>
      <c r="E40" s="222">
        <v>120.0</v>
      </c>
      <c r="F40" s="222">
        <v>27.0</v>
      </c>
      <c r="G40" s="223" t="s">
        <v>164</v>
      </c>
      <c r="H40" s="221">
        <v>60.0</v>
      </c>
      <c r="I40" s="222">
        <v>60.0</v>
      </c>
      <c r="J40" s="222">
        <v>31.0</v>
      </c>
      <c r="K40" s="222" t="s">
        <v>170</v>
      </c>
      <c r="L40" s="222" t="s">
        <v>2010</v>
      </c>
      <c r="M40" s="223">
        <v>348.0</v>
      </c>
      <c r="N40" s="221">
        <v>2.0</v>
      </c>
      <c r="O40" s="222" t="s">
        <v>2002</v>
      </c>
      <c r="P40" s="222">
        <v>25.0</v>
      </c>
      <c r="Q40" s="222">
        <v>1800.0</v>
      </c>
      <c r="R40" s="224">
        <v>73.31</v>
      </c>
      <c r="S40" s="224">
        <v>2.25</v>
      </c>
      <c r="T40" s="225">
        <v>30.0</v>
      </c>
      <c r="U40" s="226">
        <v>52.0</v>
      </c>
      <c r="V40" s="227" t="s">
        <v>166</v>
      </c>
      <c r="W40" s="228" t="s">
        <v>166</v>
      </c>
      <c r="X40" s="222" t="s">
        <v>166</v>
      </c>
      <c r="Y40" s="223" t="s">
        <v>174</v>
      </c>
      <c r="Z40" s="221" t="s">
        <v>174</v>
      </c>
      <c r="AA40" s="222" t="s">
        <v>174</v>
      </c>
      <c r="AB40" s="222" t="s">
        <v>174</v>
      </c>
      <c r="AC40" s="222" t="s">
        <v>174</v>
      </c>
      <c r="AD40" s="222" t="s">
        <v>174</v>
      </c>
      <c r="AE40" s="222" t="s">
        <v>170</v>
      </c>
      <c r="AF40" s="222" t="s">
        <v>174</v>
      </c>
      <c r="AG40" s="222" t="s">
        <v>170</v>
      </c>
      <c r="AH40" s="222"/>
    </row>
    <row r="41">
      <c r="A41" s="219" t="s">
        <v>2042</v>
      </c>
      <c r="B41" s="220" t="s">
        <v>2046</v>
      </c>
      <c r="C41" s="221">
        <v>240.0</v>
      </c>
      <c r="D41" s="222">
        <v>288.0</v>
      </c>
      <c r="E41" s="222">
        <v>120.0</v>
      </c>
      <c r="F41" s="222">
        <v>27.0</v>
      </c>
      <c r="G41" s="223" t="s">
        <v>164</v>
      </c>
      <c r="H41" s="221">
        <v>60.0</v>
      </c>
      <c r="I41" s="222">
        <v>60.0</v>
      </c>
      <c r="J41" s="222">
        <v>31.0</v>
      </c>
      <c r="K41" s="222" t="s">
        <v>170</v>
      </c>
      <c r="L41" s="222" t="s">
        <v>2010</v>
      </c>
      <c r="M41" s="223">
        <v>348.0</v>
      </c>
      <c r="N41" s="221">
        <v>2.0</v>
      </c>
      <c r="O41" s="222" t="s">
        <v>2002</v>
      </c>
      <c r="P41" s="222">
        <v>25.0</v>
      </c>
      <c r="Q41" s="222">
        <v>2000.0</v>
      </c>
      <c r="R41" s="224">
        <v>77.0</v>
      </c>
      <c r="S41" s="224" t="s">
        <v>170</v>
      </c>
      <c r="T41" s="225">
        <v>36.0</v>
      </c>
      <c r="U41" s="226">
        <v>52.0</v>
      </c>
      <c r="V41" s="227" t="s">
        <v>174</v>
      </c>
      <c r="W41" s="228" t="s">
        <v>166</v>
      </c>
      <c r="X41" s="222" t="s">
        <v>166</v>
      </c>
      <c r="Y41" s="223" t="s">
        <v>174</v>
      </c>
      <c r="Z41" s="221" t="s">
        <v>174</v>
      </c>
      <c r="AA41" s="222" t="s">
        <v>174</v>
      </c>
      <c r="AB41" s="222" t="s">
        <v>166</v>
      </c>
      <c r="AC41" s="222" t="s">
        <v>174</v>
      </c>
      <c r="AD41" s="222" t="s">
        <v>174</v>
      </c>
      <c r="AE41" s="222" t="s">
        <v>170</v>
      </c>
      <c r="AF41" s="222" t="s">
        <v>174</v>
      </c>
      <c r="AG41" s="222" t="s">
        <v>170</v>
      </c>
      <c r="AH41" s="222"/>
    </row>
    <row r="42">
      <c r="A42" s="219" t="s">
        <v>2042</v>
      </c>
      <c r="B42" s="220" t="s">
        <v>2047</v>
      </c>
      <c r="C42" s="221">
        <v>120.0</v>
      </c>
      <c r="D42" s="222">
        <v>154.0</v>
      </c>
      <c r="E42" s="222">
        <v>119.0</v>
      </c>
      <c r="F42" s="222">
        <v>27.0</v>
      </c>
      <c r="G42" s="223" t="s">
        <v>164</v>
      </c>
      <c r="H42" s="221">
        <v>80.0</v>
      </c>
      <c r="I42" s="222">
        <v>80.0</v>
      </c>
      <c r="J42" s="222">
        <v>60.0</v>
      </c>
      <c r="K42" s="222" t="s">
        <v>170</v>
      </c>
      <c r="L42" s="222" t="s">
        <v>44</v>
      </c>
      <c r="M42" s="223" t="s">
        <v>170</v>
      </c>
      <c r="N42" s="221">
        <v>1.0</v>
      </c>
      <c r="O42" s="222" t="s">
        <v>2002</v>
      </c>
      <c r="P42" s="222">
        <v>25.0</v>
      </c>
      <c r="Q42" s="222">
        <v>1800.0</v>
      </c>
      <c r="R42" s="224">
        <v>73.31</v>
      </c>
      <c r="S42" s="224">
        <v>2.25</v>
      </c>
      <c r="T42" s="225">
        <v>30.0</v>
      </c>
      <c r="U42" s="226">
        <v>52.0</v>
      </c>
      <c r="V42" s="227" t="s">
        <v>166</v>
      </c>
      <c r="W42" s="228" t="s">
        <v>166</v>
      </c>
      <c r="X42" s="222" t="s">
        <v>166</v>
      </c>
      <c r="Y42" s="223" t="s">
        <v>174</v>
      </c>
      <c r="Z42" s="221" t="s">
        <v>174</v>
      </c>
      <c r="AA42" s="222" t="s">
        <v>174</v>
      </c>
      <c r="AB42" s="222" t="s">
        <v>174</v>
      </c>
      <c r="AC42" s="222" t="s">
        <v>174</v>
      </c>
      <c r="AD42" s="222" t="s">
        <v>174</v>
      </c>
      <c r="AE42" s="222" t="s">
        <v>170</v>
      </c>
      <c r="AF42" s="222" t="s">
        <v>174</v>
      </c>
      <c r="AG42" s="222" t="s">
        <v>170</v>
      </c>
      <c r="AH42" s="222"/>
    </row>
    <row r="43">
      <c r="A43" s="219" t="s">
        <v>2042</v>
      </c>
      <c r="B43" s="220" t="s">
        <v>2048</v>
      </c>
      <c r="C43" s="221">
        <v>120.0</v>
      </c>
      <c r="D43" s="222">
        <v>154.0</v>
      </c>
      <c r="E43" s="222">
        <v>119.0</v>
      </c>
      <c r="F43" s="222">
        <v>27.0</v>
      </c>
      <c r="G43" s="223" t="s">
        <v>164</v>
      </c>
      <c r="H43" s="221">
        <v>80.0</v>
      </c>
      <c r="I43" s="222">
        <v>80.0</v>
      </c>
      <c r="J43" s="222">
        <v>60.0</v>
      </c>
      <c r="K43" s="222" t="s">
        <v>170</v>
      </c>
      <c r="L43" s="222" t="s">
        <v>44</v>
      </c>
      <c r="M43" s="223" t="s">
        <v>170</v>
      </c>
      <c r="N43" s="221">
        <v>1.0</v>
      </c>
      <c r="O43" s="222" t="s">
        <v>2002</v>
      </c>
      <c r="P43" s="222">
        <v>25.0</v>
      </c>
      <c r="Q43" s="222">
        <v>1800.0</v>
      </c>
      <c r="R43" s="224">
        <v>73.31</v>
      </c>
      <c r="S43" s="224">
        <v>2.25</v>
      </c>
      <c r="T43" s="225">
        <v>30.0</v>
      </c>
      <c r="U43" s="226">
        <v>52.0</v>
      </c>
      <c r="V43" s="227" t="s">
        <v>174</v>
      </c>
      <c r="W43" s="228" t="s">
        <v>166</v>
      </c>
      <c r="X43" s="222" t="s">
        <v>166</v>
      </c>
      <c r="Y43" s="223" t="s">
        <v>174</v>
      </c>
      <c r="Z43" s="221" t="s">
        <v>174</v>
      </c>
      <c r="AA43" s="222" t="s">
        <v>174</v>
      </c>
      <c r="AB43" s="222" t="s">
        <v>174</v>
      </c>
      <c r="AC43" s="222" t="s">
        <v>174</v>
      </c>
      <c r="AD43" s="222" t="s">
        <v>174</v>
      </c>
      <c r="AE43" s="222" t="s">
        <v>170</v>
      </c>
      <c r="AF43" s="222" t="s">
        <v>174</v>
      </c>
      <c r="AG43" s="222" t="s">
        <v>170</v>
      </c>
      <c r="AH43" s="222"/>
    </row>
    <row r="44">
      <c r="A44" s="219" t="s">
        <v>2042</v>
      </c>
      <c r="B44" s="220" t="s">
        <v>2049</v>
      </c>
      <c r="C44" s="221">
        <v>240.0</v>
      </c>
      <c r="D44" s="222">
        <v>274.0</v>
      </c>
      <c r="E44" s="222">
        <v>119.0</v>
      </c>
      <c r="F44" s="222">
        <v>27.0</v>
      </c>
      <c r="G44" s="223" t="s">
        <v>164</v>
      </c>
      <c r="H44" s="221">
        <v>80.0</v>
      </c>
      <c r="I44" s="222">
        <v>80.0</v>
      </c>
      <c r="J44" s="222">
        <v>60.0</v>
      </c>
      <c r="K44" s="222" t="s">
        <v>170</v>
      </c>
      <c r="L44" s="222" t="s">
        <v>44</v>
      </c>
      <c r="M44" s="223" t="s">
        <v>170</v>
      </c>
      <c r="N44" s="221">
        <v>2.0</v>
      </c>
      <c r="O44" s="222" t="s">
        <v>2002</v>
      </c>
      <c r="P44" s="222">
        <v>25.0</v>
      </c>
      <c r="Q44" s="222">
        <v>1800.0</v>
      </c>
      <c r="R44" s="224">
        <v>73.31</v>
      </c>
      <c r="S44" s="224">
        <v>2.25</v>
      </c>
      <c r="T44" s="225">
        <v>30.0</v>
      </c>
      <c r="U44" s="226">
        <v>52.0</v>
      </c>
      <c r="V44" s="227" t="s">
        <v>166</v>
      </c>
      <c r="W44" s="228" t="s">
        <v>166</v>
      </c>
      <c r="X44" s="222" t="s">
        <v>166</v>
      </c>
      <c r="Y44" s="223" t="s">
        <v>174</v>
      </c>
      <c r="Z44" s="221" t="s">
        <v>174</v>
      </c>
      <c r="AA44" s="222" t="s">
        <v>174</v>
      </c>
      <c r="AB44" s="222" t="s">
        <v>174</v>
      </c>
      <c r="AC44" s="222" t="s">
        <v>174</v>
      </c>
      <c r="AD44" s="222" t="s">
        <v>174</v>
      </c>
      <c r="AE44" s="222" t="s">
        <v>170</v>
      </c>
      <c r="AF44" s="222" t="s">
        <v>174</v>
      </c>
      <c r="AG44" s="222" t="s">
        <v>170</v>
      </c>
      <c r="AH44" s="222"/>
    </row>
    <row r="45">
      <c r="A45" s="219" t="s">
        <v>2042</v>
      </c>
      <c r="B45" s="220" t="s">
        <v>2050</v>
      </c>
      <c r="C45" s="221">
        <v>240.0</v>
      </c>
      <c r="D45" s="222">
        <v>274.0</v>
      </c>
      <c r="E45" s="222">
        <v>119.0</v>
      </c>
      <c r="F45" s="222">
        <v>27.0</v>
      </c>
      <c r="G45" s="223" t="s">
        <v>164</v>
      </c>
      <c r="H45" s="221">
        <v>80.0</v>
      </c>
      <c r="I45" s="222">
        <v>80.0</v>
      </c>
      <c r="J45" s="222">
        <v>60.0</v>
      </c>
      <c r="K45" s="222" t="s">
        <v>170</v>
      </c>
      <c r="L45" s="222" t="s">
        <v>44</v>
      </c>
      <c r="M45" s="223" t="s">
        <v>170</v>
      </c>
      <c r="N45" s="221">
        <v>2.0</v>
      </c>
      <c r="O45" s="222" t="s">
        <v>2002</v>
      </c>
      <c r="P45" s="222">
        <v>25.0</v>
      </c>
      <c r="Q45" s="222">
        <v>1800.0</v>
      </c>
      <c r="R45" s="224">
        <v>73.31</v>
      </c>
      <c r="S45" s="224">
        <v>2.25</v>
      </c>
      <c r="T45" s="225">
        <v>30.0</v>
      </c>
      <c r="U45" s="226">
        <v>52.0</v>
      </c>
      <c r="V45" s="227" t="s">
        <v>174</v>
      </c>
      <c r="W45" s="228" t="s">
        <v>166</v>
      </c>
      <c r="X45" s="222" t="s">
        <v>166</v>
      </c>
      <c r="Y45" s="223" t="s">
        <v>174</v>
      </c>
      <c r="Z45" s="221" t="s">
        <v>174</v>
      </c>
      <c r="AA45" s="222" t="s">
        <v>174</v>
      </c>
      <c r="AB45" s="222" t="s">
        <v>174</v>
      </c>
      <c r="AC45" s="222" t="s">
        <v>174</v>
      </c>
      <c r="AD45" s="222" t="s">
        <v>174</v>
      </c>
      <c r="AE45" s="222" t="s">
        <v>170</v>
      </c>
      <c r="AF45" s="222" t="s">
        <v>174</v>
      </c>
      <c r="AG45" s="222" t="s">
        <v>170</v>
      </c>
      <c r="AH45" s="222"/>
    </row>
    <row r="46">
      <c r="A46" s="219" t="s">
        <v>2042</v>
      </c>
      <c r="B46" s="220" t="s">
        <v>2051</v>
      </c>
      <c r="C46" s="221">
        <v>120.0</v>
      </c>
      <c r="D46" s="222">
        <v>169.0</v>
      </c>
      <c r="E46" s="222">
        <v>120.0</v>
      </c>
      <c r="F46" s="222">
        <v>27.0</v>
      </c>
      <c r="G46" s="223" t="s">
        <v>164</v>
      </c>
      <c r="H46" s="221">
        <v>65.0</v>
      </c>
      <c r="I46" s="222">
        <v>65.0</v>
      </c>
      <c r="J46" s="222">
        <v>40.0</v>
      </c>
      <c r="K46" s="222" t="s">
        <v>170</v>
      </c>
      <c r="L46" s="222" t="s">
        <v>2010</v>
      </c>
      <c r="M46" s="223">
        <v>315.0</v>
      </c>
      <c r="N46" s="221">
        <v>1.0</v>
      </c>
      <c r="O46" s="222" t="s">
        <v>2002</v>
      </c>
      <c r="P46" s="222">
        <v>25.0</v>
      </c>
      <c r="Q46" s="222">
        <v>1600.0</v>
      </c>
      <c r="R46" s="224">
        <v>77.0</v>
      </c>
      <c r="S46" s="224" t="s">
        <v>170</v>
      </c>
      <c r="T46" s="225">
        <v>36.0</v>
      </c>
      <c r="U46" s="226">
        <v>52.0</v>
      </c>
      <c r="V46" s="227" t="s">
        <v>166</v>
      </c>
      <c r="W46" s="228" t="s">
        <v>174</v>
      </c>
      <c r="X46" s="222" t="s">
        <v>166</v>
      </c>
      <c r="Y46" s="223" t="s">
        <v>174</v>
      </c>
      <c r="Z46" s="221" t="s">
        <v>174</v>
      </c>
      <c r="AA46" s="222" t="s">
        <v>174</v>
      </c>
      <c r="AB46" s="222" t="s">
        <v>166</v>
      </c>
      <c r="AC46" s="222" t="s">
        <v>174</v>
      </c>
      <c r="AD46" s="222" t="s">
        <v>174</v>
      </c>
      <c r="AE46" s="222" t="s">
        <v>170</v>
      </c>
      <c r="AF46" s="222" t="s">
        <v>174</v>
      </c>
      <c r="AG46" s="222" t="s">
        <v>170</v>
      </c>
      <c r="AH46" s="222"/>
    </row>
    <row r="47">
      <c r="A47" s="219" t="s">
        <v>2042</v>
      </c>
      <c r="B47" s="220" t="s">
        <v>2052</v>
      </c>
      <c r="C47" s="221">
        <v>240.0</v>
      </c>
      <c r="D47" s="222">
        <v>287.0</v>
      </c>
      <c r="E47" s="222">
        <v>121.0</v>
      </c>
      <c r="F47" s="222">
        <v>27.0</v>
      </c>
      <c r="G47" s="223" t="s">
        <v>164</v>
      </c>
      <c r="H47" s="221">
        <v>65.0</v>
      </c>
      <c r="I47" s="222">
        <v>65.0</v>
      </c>
      <c r="J47" s="222">
        <v>40.0</v>
      </c>
      <c r="K47" s="222" t="s">
        <v>170</v>
      </c>
      <c r="L47" s="222" t="s">
        <v>2010</v>
      </c>
      <c r="M47" s="223">
        <v>348.0</v>
      </c>
      <c r="N47" s="221">
        <v>2.0</v>
      </c>
      <c r="O47" s="222" t="s">
        <v>2002</v>
      </c>
      <c r="P47" s="222">
        <v>25.0</v>
      </c>
      <c r="Q47" s="222">
        <v>1600.0</v>
      </c>
      <c r="R47" s="224">
        <v>77.0</v>
      </c>
      <c r="S47" s="224" t="s">
        <v>170</v>
      </c>
      <c r="T47" s="225">
        <v>36.0</v>
      </c>
      <c r="U47" s="226">
        <v>52.0</v>
      </c>
      <c r="V47" s="227" t="s">
        <v>166</v>
      </c>
      <c r="W47" s="228" t="s">
        <v>174</v>
      </c>
      <c r="X47" s="222" t="s">
        <v>166</v>
      </c>
      <c r="Y47" s="223" t="s">
        <v>174</v>
      </c>
      <c r="Z47" s="221" t="s">
        <v>174</v>
      </c>
      <c r="AA47" s="222" t="s">
        <v>174</v>
      </c>
      <c r="AB47" s="222" t="s">
        <v>166</v>
      </c>
      <c r="AC47" s="222" t="s">
        <v>174</v>
      </c>
      <c r="AD47" s="222" t="s">
        <v>174</v>
      </c>
      <c r="AE47" s="222" t="s">
        <v>170</v>
      </c>
      <c r="AF47" s="222" t="s">
        <v>174</v>
      </c>
      <c r="AG47" s="222" t="s">
        <v>170</v>
      </c>
      <c r="AH47" s="222"/>
    </row>
    <row r="48">
      <c r="A48" s="219" t="s">
        <v>2042</v>
      </c>
      <c r="B48" s="220" t="s">
        <v>2053</v>
      </c>
      <c r="C48" s="221">
        <v>240.0</v>
      </c>
      <c r="D48" s="222">
        <v>270.0</v>
      </c>
      <c r="E48" s="222">
        <v>120.0</v>
      </c>
      <c r="F48" s="222">
        <v>27.0</v>
      </c>
      <c r="G48" s="223" t="s">
        <v>164</v>
      </c>
      <c r="H48" s="221">
        <v>66.7</v>
      </c>
      <c r="I48" s="222">
        <v>67.0</v>
      </c>
      <c r="J48" s="222">
        <v>56.0</v>
      </c>
      <c r="K48" s="222" t="s">
        <v>170</v>
      </c>
      <c r="L48" s="222" t="s">
        <v>44</v>
      </c>
      <c r="M48" s="223">
        <v>380.0</v>
      </c>
      <c r="N48" s="221">
        <v>2.0</v>
      </c>
      <c r="O48" s="222" t="s">
        <v>2002</v>
      </c>
      <c r="P48" s="222">
        <v>25.0</v>
      </c>
      <c r="Q48" s="222">
        <v>1600.0</v>
      </c>
      <c r="R48" s="224">
        <v>72.0</v>
      </c>
      <c r="S48" s="224">
        <v>2.1</v>
      </c>
      <c r="T48" s="225">
        <v>35.0</v>
      </c>
      <c r="U48" s="226">
        <v>52.0</v>
      </c>
      <c r="V48" s="227" t="s">
        <v>166</v>
      </c>
      <c r="W48" s="228" t="s">
        <v>174</v>
      </c>
      <c r="X48" s="222" t="s">
        <v>166</v>
      </c>
      <c r="Y48" s="223" t="s">
        <v>174</v>
      </c>
      <c r="Z48" s="221" t="s">
        <v>174</v>
      </c>
      <c r="AA48" s="222" t="s">
        <v>174</v>
      </c>
      <c r="AB48" s="222" t="s">
        <v>166</v>
      </c>
      <c r="AC48" s="222" t="s">
        <v>174</v>
      </c>
      <c r="AD48" s="222" t="s">
        <v>174</v>
      </c>
      <c r="AE48" s="222" t="s">
        <v>174</v>
      </c>
      <c r="AF48" s="222" t="s">
        <v>174</v>
      </c>
      <c r="AG48" s="222" t="s">
        <v>170</v>
      </c>
      <c r="AH48" s="222"/>
    </row>
    <row r="49">
      <c r="A49" s="219" t="s">
        <v>2042</v>
      </c>
      <c r="B49" s="220" t="s">
        <v>2054</v>
      </c>
      <c r="C49" s="221">
        <v>360.0</v>
      </c>
      <c r="D49" s="222">
        <v>397.0</v>
      </c>
      <c r="E49" s="222">
        <v>120.0</v>
      </c>
      <c r="F49" s="222">
        <v>27.0</v>
      </c>
      <c r="G49" s="223" t="s">
        <v>164</v>
      </c>
      <c r="H49" s="221">
        <v>66.7</v>
      </c>
      <c r="I49" s="222">
        <v>67.0</v>
      </c>
      <c r="J49" s="222">
        <v>56.0</v>
      </c>
      <c r="K49" s="222" t="s">
        <v>170</v>
      </c>
      <c r="L49" s="222" t="s">
        <v>44</v>
      </c>
      <c r="M49" s="223">
        <v>380.0</v>
      </c>
      <c r="N49" s="221">
        <v>3.0</v>
      </c>
      <c r="O49" s="222" t="s">
        <v>2002</v>
      </c>
      <c r="P49" s="222">
        <v>25.0</v>
      </c>
      <c r="Q49" s="222">
        <v>1600.0</v>
      </c>
      <c r="R49" s="224">
        <v>72.0</v>
      </c>
      <c r="S49" s="224">
        <v>2.1</v>
      </c>
      <c r="T49" s="225">
        <v>35.0</v>
      </c>
      <c r="U49" s="226">
        <v>52.0</v>
      </c>
      <c r="V49" s="227" t="s">
        <v>166</v>
      </c>
      <c r="W49" s="228" t="s">
        <v>174</v>
      </c>
      <c r="X49" s="222" t="s">
        <v>166</v>
      </c>
      <c r="Y49" s="223" t="s">
        <v>174</v>
      </c>
      <c r="Z49" s="221" t="s">
        <v>174</v>
      </c>
      <c r="AA49" s="222" t="s">
        <v>174</v>
      </c>
      <c r="AB49" s="222" t="s">
        <v>166</v>
      </c>
      <c r="AC49" s="222" t="s">
        <v>174</v>
      </c>
      <c r="AD49" s="222" t="s">
        <v>174</v>
      </c>
      <c r="AE49" s="222" t="s">
        <v>174</v>
      </c>
      <c r="AF49" s="222" t="s">
        <v>174</v>
      </c>
      <c r="AG49" s="222" t="s">
        <v>170</v>
      </c>
      <c r="AH49" s="222"/>
    </row>
    <row r="50">
      <c r="A50" s="219" t="s">
        <v>2042</v>
      </c>
      <c r="B50" s="220" t="s">
        <v>2055</v>
      </c>
      <c r="C50" s="221">
        <v>360.0</v>
      </c>
      <c r="D50" s="222">
        <v>397.0</v>
      </c>
      <c r="E50" s="222">
        <v>120.0</v>
      </c>
      <c r="F50" s="222">
        <v>27.0</v>
      </c>
      <c r="G50" s="223" t="s">
        <v>164</v>
      </c>
      <c r="H50" s="221">
        <v>66.7</v>
      </c>
      <c r="I50" s="222">
        <v>67.0</v>
      </c>
      <c r="J50" s="222">
        <v>56.0</v>
      </c>
      <c r="K50" s="222" t="s">
        <v>170</v>
      </c>
      <c r="L50" s="222" t="s">
        <v>44</v>
      </c>
      <c r="M50" s="223">
        <v>380.0</v>
      </c>
      <c r="N50" s="221">
        <v>3.0</v>
      </c>
      <c r="O50" s="222" t="s">
        <v>2002</v>
      </c>
      <c r="P50" s="222">
        <v>25.0</v>
      </c>
      <c r="Q50" s="222">
        <v>1600.0</v>
      </c>
      <c r="R50" s="224">
        <v>72.0</v>
      </c>
      <c r="S50" s="224">
        <v>2.1</v>
      </c>
      <c r="T50" s="225">
        <v>35.0</v>
      </c>
      <c r="U50" s="226">
        <v>52.0</v>
      </c>
      <c r="V50" s="227" t="s">
        <v>166</v>
      </c>
      <c r="W50" s="228" t="s">
        <v>174</v>
      </c>
      <c r="X50" s="222" t="s">
        <v>166</v>
      </c>
      <c r="Y50" s="223" t="s">
        <v>174</v>
      </c>
      <c r="Z50" s="221" t="s">
        <v>174</v>
      </c>
      <c r="AA50" s="222" t="s">
        <v>174</v>
      </c>
      <c r="AB50" s="222" t="s">
        <v>166</v>
      </c>
      <c r="AC50" s="222" t="s">
        <v>174</v>
      </c>
      <c r="AD50" s="222" t="s">
        <v>174</v>
      </c>
      <c r="AE50" s="222" t="s">
        <v>174</v>
      </c>
      <c r="AF50" s="222" t="s">
        <v>174</v>
      </c>
      <c r="AG50" s="222" t="s">
        <v>170</v>
      </c>
      <c r="AH50" s="222"/>
    </row>
    <row r="51">
      <c r="A51" s="219" t="s">
        <v>2042</v>
      </c>
      <c r="B51" s="220" t="s">
        <v>2056</v>
      </c>
      <c r="C51" s="221">
        <v>240.0</v>
      </c>
      <c r="D51" s="222">
        <v>277.0</v>
      </c>
      <c r="E51" s="222">
        <v>120.0</v>
      </c>
      <c r="F51" s="222">
        <v>27.0</v>
      </c>
      <c r="G51" s="223" t="s">
        <v>164</v>
      </c>
      <c r="H51" s="221">
        <v>67.0</v>
      </c>
      <c r="I51" s="222">
        <v>67.0</v>
      </c>
      <c r="J51" s="222">
        <v>48.5</v>
      </c>
      <c r="K51" s="222">
        <v>2800.0</v>
      </c>
      <c r="L51" s="222" t="s">
        <v>44</v>
      </c>
      <c r="M51" s="223" t="s">
        <v>170</v>
      </c>
      <c r="N51" s="221">
        <v>2.0</v>
      </c>
      <c r="O51" s="222" t="s">
        <v>2002</v>
      </c>
      <c r="P51" s="222">
        <v>25.0</v>
      </c>
      <c r="Q51" s="222">
        <v>2000.0</v>
      </c>
      <c r="R51" s="224">
        <v>57.93</v>
      </c>
      <c r="S51" s="224">
        <v>2.11</v>
      </c>
      <c r="T51" s="225">
        <v>31.24</v>
      </c>
      <c r="U51" s="226">
        <v>52.0</v>
      </c>
      <c r="V51" s="227" t="s">
        <v>166</v>
      </c>
      <c r="W51" s="228" t="s">
        <v>174</v>
      </c>
      <c r="X51" s="222" t="s">
        <v>166</v>
      </c>
      <c r="Y51" s="223" t="s">
        <v>174</v>
      </c>
      <c r="Z51" s="221" t="s">
        <v>174</v>
      </c>
      <c r="AA51" s="222" t="s">
        <v>174</v>
      </c>
      <c r="AB51" s="222" t="s">
        <v>166</v>
      </c>
      <c r="AC51" s="222" t="s">
        <v>174</v>
      </c>
      <c r="AD51" s="222" t="s">
        <v>166</v>
      </c>
      <c r="AE51" s="222" t="s">
        <v>174</v>
      </c>
      <c r="AF51" s="222" t="s">
        <v>174</v>
      </c>
      <c r="AG51" s="222" t="s">
        <v>170</v>
      </c>
      <c r="AH51" s="222"/>
    </row>
    <row r="52">
      <c r="A52" s="230" t="s">
        <v>2042</v>
      </c>
      <c r="B52" s="231" t="s">
        <v>2057</v>
      </c>
      <c r="C52" s="232">
        <v>360.0</v>
      </c>
      <c r="D52" s="233">
        <v>397.0</v>
      </c>
      <c r="E52" s="233">
        <v>120.0</v>
      </c>
      <c r="F52" s="233">
        <v>27.0</v>
      </c>
      <c r="G52" s="234" t="s">
        <v>164</v>
      </c>
      <c r="H52" s="232">
        <v>67.0</v>
      </c>
      <c r="I52" s="233">
        <v>67.0</v>
      </c>
      <c r="J52" s="233">
        <v>48.5</v>
      </c>
      <c r="K52" s="233">
        <v>2800.0</v>
      </c>
      <c r="L52" s="233" t="s">
        <v>44</v>
      </c>
      <c r="M52" s="234" t="s">
        <v>170</v>
      </c>
      <c r="N52" s="232">
        <v>3.0</v>
      </c>
      <c r="O52" s="233" t="s">
        <v>2002</v>
      </c>
      <c r="P52" s="233">
        <v>25.0</v>
      </c>
      <c r="Q52" s="233">
        <v>2000.0</v>
      </c>
      <c r="R52" s="235">
        <v>57.93</v>
      </c>
      <c r="S52" s="235">
        <v>2.11</v>
      </c>
      <c r="T52" s="236">
        <v>31.24</v>
      </c>
      <c r="U52" s="237">
        <v>52.0</v>
      </c>
      <c r="V52" s="238" t="s">
        <v>166</v>
      </c>
      <c r="W52" s="239" t="s">
        <v>174</v>
      </c>
      <c r="X52" s="233" t="s">
        <v>166</v>
      </c>
      <c r="Y52" s="234" t="s">
        <v>174</v>
      </c>
      <c r="Z52" s="232" t="s">
        <v>174</v>
      </c>
      <c r="AA52" s="233" t="s">
        <v>174</v>
      </c>
      <c r="AB52" s="233" t="s">
        <v>166</v>
      </c>
      <c r="AC52" s="233" t="s">
        <v>174</v>
      </c>
      <c r="AD52" s="233" t="s">
        <v>166</v>
      </c>
      <c r="AE52" s="233" t="s">
        <v>174</v>
      </c>
      <c r="AF52" s="233" t="s">
        <v>174</v>
      </c>
      <c r="AG52" s="233" t="s">
        <v>170</v>
      </c>
      <c r="AH52" s="233"/>
    </row>
    <row r="53">
      <c r="A53" s="242" t="s">
        <v>1735</v>
      </c>
      <c r="B53" s="220" t="s">
        <v>2058</v>
      </c>
      <c r="C53" s="221">
        <v>120.0</v>
      </c>
      <c r="D53" s="222">
        <v>157.0</v>
      </c>
      <c r="E53" s="222">
        <v>120.0</v>
      </c>
      <c r="F53" s="222">
        <v>38.0</v>
      </c>
      <c r="G53" s="223" t="s">
        <v>164</v>
      </c>
      <c r="H53" s="221">
        <v>98.0</v>
      </c>
      <c r="I53" s="222">
        <v>78.0</v>
      </c>
      <c r="J53" s="222">
        <v>53.0</v>
      </c>
      <c r="K53" s="222">
        <v>2000.0</v>
      </c>
      <c r="L53" s="222" t="s">
        <v>44</v>
      </c>
      <c r="M53" s="223">
        <v>350.0</v>
      </c>
      <c r="N53" s="221">
        <v>1.0</v>
      </c>
      <c r="O53" s="222" t="s">
        <v>2002</v>
      </c>
      <c r="P53" s="222">
        <v>25.0</v>
      </c>
      <c r="Q53" s="222">
        <v>1800.0</v>
      </c>
      <c r="R53" s="224">
        <v>55.6</v>
      </c>
      <c r="S53" s="224">
        <v>2.2</v>
      </c>
      <c r="T53" s="225">
        <v>23.5</v>
      </c>
      <c r="U53" s="226">
        <v>63.0</v>
      </c>
      <c r="V53" s="221" t="s">
        <v>166</v>
      </c>
      <c r="W53" s="241" t="s">
        <v>166</v>
      </c>
      <c r="X53" s="222" t="s">
        <v>166</v>
      </c>
      <c r="Y53" s="223" t="s">
        <v>166</v>
      </c>
      <c r="Z53" s="221" t="s">
        <v>166</v>
      </c>
      <c r="AA53" s="222" t="s">
        <v>174</v>
      </c>
      <c r="AB53" s="222" t="s">
        <v>166</v>
      </c>
      <c r="AC53" s="222" t="s">
        <v>174</v>
      </c>
      <c r="AD53" s="222" t="s">
        <v>166</v>
      </c>
      <c r="AE53" s="222" t="s">
        <v>174</v>
      </c>
      <c r="AF53" s="222" t="s">
        <v>174</v>
      </c>
      <c r="AG53" s="229" t="s">
        <v>1735</v>
      </c>
      <c r="AH53" s="229"/>
    </row>
    <row r="54">
      <c r="A54" s="242" t="s">
        <v>1735</v>
      </c>
      <c r="B54" s="220" t="s">
        <v>2059</v>
      </c>
      <c r="C54" s="221">
        <v>240.0</v>
      </c>
      <c r="D54" s="222">
        <v>277.0</v>
      </c>
      <c r="E54" s="222">
        <v>120.0</v>
      </c>
      <c r="F54" s="222">
        <v>38.0</v>
      </c>
      <c r="G54" s="223" t="s">
        <v>164</v>
      </c>
      <c r="H54" s="221">
        <v>98.0</v>
      </c>
      <c r="I54" s="222">
        <v>78.0</v>
      </c>
      <c r="J54" s="222">
        <v>53.0</v>
      </c>
      <c r="K54" s="222">
        <v>2000.0</v>
      </c>
      <c r="L54" s="222" t="s">
        <v>44</v>
      </c>
      <c r="M54" s="223">
        <v>450.0</v>
      </c>
      <c r="N54" s="221">
        <v>2.0</v>
      </c>
      <c r="O54" s="222" t="s">
        <v>2002</v>
      </c>
      <c r="P54" s="222">
        <v>25.0</v>
      </c>
      <c r="Q54" s="222">
        <v>1800.0</v>
      </c>
      <c r="R54" s="224">
        <v>55.6</v>
      </c>
      <c r="S54" s="224">
        <v>2.2</v>
      </c>
      <c r="T54" s="225">
        <v>23.5</v>
      </c>
      <c r="U54" s="226">
        <v>63.0</v>
      </c>
      <c r="V54" s="227" t="s">
        <v>166</v>
      </c>
      <c r="W54" s="228" t="s">
        <v>166</v>
      </c>
      <c r="X54" s="222" t="s">
        <v>166</v>
      </c>
      <c r="Y54" s="223" t="s">
        <v>166</v>
      </c>
      <c r="Z54" s="221" t="s">
        <v>166</v>
      </c>
      <c r="AA54" s="222" t="s">
        <v>174</v>
      </c>
      <c r="AB54" s="222" t="s">
        <v>166</v>
      </c>
      <c r="AC54" s="222" t="s">
        <v>174</v>
      </c>
      <c r="AD54" s="222" t="s">
        <v>166</v>
      </c>
      <c r="AE54" s="222" t="s">
        <v>174</v>
      </c>
      <c r="AF54" s="222" t="s">
        <v>174</v>
      </c>
      <c r="AG54" s="229" t="s">
        <v>1735</v>
      </c>
      <c r="AH54" s="229"/>
    </row>
    <row r="55">
      <c r="A55" s="242" t="s">
        <v>1735</v>
      </c>
      <c r="B55" s="220" t="s">
        <v>2060</v>
      </c>
      <c r="C55" s="221">
        <v>240.0</v>
      </c>
      <c r="D55" s="222">
        <v>277.0</v>
      </c>
      <c r="E55" s="222">
        <v>120.0</v>
      </c>
      <c r="F55" s="222">
        <v>38.0</v>
      </c>
      <c r="G55" s="223" t="s">
        <v>164</v>
      </c>
      <c r="H55" s="221">
        <v>98.0</v>
      </c>
      <c r="I55" s="222">
        <v>78.0</v>
      </c>
      <c r="J55" s="222">
        <v>53.0</v>
      </c>
      <c r="K55" s="222">
        <v>2000.0</v>
      </c>
      <c r="L55" s="222" t="s">
        <v>44</v>
      </c>
      <c r="M55" s="223">
        <v>450.0</v>
      </c>
      <c r="N55" s="221">
        <v>2.0</v>
      </c>
      <c r="O55" s="222" t="s">
        <v>2002</v>
      </c>
      <c r="P55" s="222">
        <v>25.0</v>
      </c>
      <c r="Q55" s="222">
        <v>1800.0</v>
      </c>
      <c r="R55" s="224">
        <v>48.8</v>
      </c>
      <c r="S55" s="224">
        <v>1.85</v>
      </c>
      <c r="T55" s="225">
        <v>23.5</v>
      </c>
      <c r="U55" s="226">
        <v>63.0</v>
      </c>
      <c r="V55" s="227" t="s">
        <v>174</v>
      </c>
      <c r="W55" s="228" t="s">
        <v>166</v>
      </c>
      <c r="X55" s="222" t="s">
        <v>166</v>
      </c>
      <c r="Y55" s="223" t="s">
        <v>166</v>
      </c>
      <c r="Z55" s="221" t="s">
        <v>166</v>
      </c>
      <c r="AA55" s="222" t="s">
        <v>174</v>
      </c>
      <c r="AB55" s="222" t="s">
        <v>166</v>
      </c>
      <c r="AC55" s="222" t="s">
        <v>174</v>
      </c>
      <c r="AD55" s="222" t="s">
        <v>166</v>
      </c>
      <c r="AE55" s="222" t="s">
        <v>174</v>
      </c>
      <c r="AF55" s="222" t="s">
        <v>174</v>
      </c>
      <c r="AG55" s="229" t="s">
        <v>1735</v>
      </c>
      <c r="AH55" s="229"/>
    </row>
    <row r="56">
      <c r="A56" s="242" t="s">
        <v>1735</v>
      </c>
      <c r="B56" s="220" t="s">
        <v>2061</v>
      </c>
      <c r="C56" s="221">
        <v>240.0</v>
      </c>
      <c r="D56" s="222">
        <v>277.0</v>
      </c>
      <c r="E56" s="222">
        <v>120.0</v>
      </c>
      <c r="F56" s="222">
        <v>38.0</v>
      </c>
      <c r="G56" s="223" t="s">
        <v>164</v>
      </c>
      <c r="H56" s="221">
        <v>98.0</v>
      </c>
      <c r="I56" s="222">
        <v>78.0</v>
      </c>
      <c r="J56" s="222">
        <v>53.0</v>
      </c>
      <c r="K56" s="222">
        <v>2000.0</v>
      </c>
      <c r="L56" s="222" t="s">
        <v>44</v>
      </c>
      <c r="M56" s="223">
        <v>450.0</v>
      </c>
      <c r="N56" s="221">
        <v>2.0</v>
      </c>
      <c r="O56" s="222" t="s">
        <v>2002</v>
      </c>
      <c r="P56" s="222">
        <v>25.0</v>
      </c>
      <c r="Q56" s="222">
        <v>1800.0</v>
      </c>
      <c r="R56" s="224">
        <v>48.8</v>
      </c>
      <c r="S56" s="224">
        <v>1.85</v>
      </c>
      <c r="T56" s="225">
        <v>23.5</v>
      </c>
      <c r="U56" s="226">
        <v>63.0</v>
      </c>
      <c r="V56" s="227" t="s">
        <v>166</v>
      </c>
      <c r="W56" s="228" t="s">
        <v>174</v>
      </c>
      <c r="X56" s="222" t="s">
        <v>166</v>
      </c>
      <c r="Y56" s="223" t="s">
        <v>166</v>
      </c>
      <c r="Z56" s="221" t="s">
        <v>166</v>
      </c>
      <c r="AA56" s="222" t="s">
        <v>174</v>
      </c>
      <c r="AB56" s="222" t="s">
        <v>166</v>
      </c>
      <c r="AC56" s="222" t="s">
        <v>174</v>
      </c>
      <c r="AD56" s="222" t="s">
        <v>166</v>
      </c>
      <c r="AE56" s="222" t="s">
        <v>174</v>
      </c>
      <c r="AF56" s="222" t="s">
        <v>174</v>
      </c>
      <c r="AG56" s="229" t="s">
        <v>1735</v>
      </c>
      <c r="AH56" s="229"/>
    </row>
    <row r="57">
      <c r="A57" s="242" t="s">
        <v>1735</v>
      </c>
      <c r="B57" s="220" t="s">
        <v>2062</v>
      </c>
      <c r="C57" s="221">
        <v>280.0</v>
      </c>
      <c r="D57" s="222">
        <v>317.0</v>
      </c>
      <c r="E57" s="222">
        <v>138.0</v>
      </c>
      <c r="F57" s="222">
        <v>38.0</v>
      </c>
      <c r="G57" s="223" t="s">
        <v>164</v>
      </c>
      <c r="H57" s="221">
        <v>98.0</v>
      </c>
      <c r="I57" s="222">
        <v>78.0</v>
      </c>
      <c r="J57" s="222">
        <v>53.0</v>
      </c>
      <c r="K57" s="222">
        <v>2000.0</v>
      </c>
      <c r="L57" s="222" t="s">
        <v>44</v>
      </c>
      <c r="M57" s="223">
        <v>450.0</v>
      </c>
      <c r="N57" s="221">
        <v>2.0</v>
      </c>
      <c r="O57" s="222" t="s">
        <v>2018</v>
      </c>
      <c r="P57" s="222">
        <v>27.0</v>
      </c>
      <c r="Q57" s="222">
        <v>1700.0</v>
      </c>
      <c r="R57" s="224">
        <v>72.8</v>
      </c>
      <c r="S57" s="224">
        <v>2.4</v>
      </c>
      <c r="T57" s="225">
        <v>23.5</v>
      </c>
      <c r="U57" s="226">
        <v>65.0</v>
      </c>
      <c r="V57" s="227" t="s">
        <v>166</v>
      </c>
      <c r="W57" s="228" t="s">
        <v>166</v>
      </c>
      <c r="X57" s="222" t="s">
        <v>166</v>
      </c>
      <c r="Y57" s="223" t="s">
        <v>166</v>
      </c>
      <c r="Z57" s="221" t="s">
        <v>166</v>
      </c>
      <c r="AA57" s="222" t="s">
        <v>174</v>
      </c>
      <c r="AB57" s="222" t="s">
        <v>166</v>
      </c>
      <c r="AC57" s="222" t="s">
        <v>174</v>
      </c>
      <c r="AD57" s="222" t="s">
        <v>166</v>
      </c>
      <c r="AE57" s="222" t="s">
        <v>174</v>
      </c>
      <c r="AF57" s="222" t="s">
        <v>174</v>
      </c>
      <c r="AG57" s="229" t="s">
        <v>1735</v>
      </c>
      <c r="AH57" s="229"/>
    </row>
    <row r="58">
      <c r="A58" s="242" t="s">
        <v>1735</v>
      </c>
      <c r="B58" s="220" t="s">
        <v>2063</v>
      </c>
      <c r="C58" s="221">
        <v>280.0</v>
      </c>
      <c r="D58" s="222">
        <v>317.0</v>
      </c>
      <c r="E58" s="222">
        <v>138.0</v>
      </c>
      <c r="F58" s="222">
        <v>38.0</v>
      </c>
      <c r="G58" s="223" t="s">
        <v>164</v>
      </c>
      <c r="H58" s="221">
        <v>98.0</v>
      </c>
      <c r="I58" s="222">
        <v>78.0</v>
      </c>
      <c r="J58" s="222">
        <v>53.0</v>
      </c>
      <c r="K58" s="222">
        <v>2000.0</v>
      </c>
      <c r="L58" s="222" t="s">
        <v>44</v>
      </c>
      <c r="M58" s="223">
        <v>450.0</v>
      </c>
      <c r="N58" s="221">
        <v>2.0</v>
      </c>
      <c r="O58" s="222" t="s">
        <v>2018</v>
      </c>
      <c r="P58" s="222">
        <v>27.0</v>
      </c>
      <c r="Q58" s="222">
        <v>1900.0</v>
      </c>
      <c r="R58" s="224">
        <v>68.9</v>
      </c>
      <c r="S58" s="224">
        <v>2.0</v>
      </c>
      <c r="T58" s="225">
        <v>23.5</v>
      </c>
      <c r="U58" s="226">
        <v>65.0</v>
      </c>
      <c r="V58" s="227" t="s">
        <v>174</v>
      </c>
      <c r="W58" s="228" t="s">
        <v>166</v>
      </c>
      <c r="X58" s="222" t="s">
        <v>166</v>
      </c>
      <c r="Y58" s="223" t="s">
        <v>166</v>
      </c>
      <c r="Z58" s="221" t="s">
        <v>166</v>
      </c>
      <c r="AA58" s="222" t="s">
        <v>174</v>
      </c>
      <c r="AB58" s="222" t="s">
        <v>166</v>
      </c>
      <c r="AC58" s="222" t="s">
        <v>174</v>
      </c>
      <c r="AD58" s="222" t="s">
        <v>166</v>
      </c>
      <c r="AE58" s="222" t="s">
        <v>174</v>
      </c>
      <c r="AF58" s="222" t="s">
        <v>174</v>
      </c>
      <c r="AG58" s="229" t="s">
        <v>1735</v>
      </c>
      <c r="AH58" s="229"/>
    </row>
    <row r="59">
      <c r="A59" s="242" t="s">
        <v>1735</v>
      </c>
      <c r="B59" s="220" t="s">
        <v>2064</v>
      </c>
      <c r="C59" s="221">
        <v>280.0</v>
      </c>
      <c r="D59" s="222">
        <v>317.0</v>
      </c>
      <c r="E59" s="222">
        <v>138.0</v>
      </c>
      <c r="F59" s="222">
        <v>38.0</v>
      </c>
      <c r="G59" s="223" t="s">
        <v>164</v>
      </c>
      <c r="H59" s="221">
        <v>98.0</v>
      </c>
      <c r="I59" s="222">
        <v>78.0</v>
      </c>
      <c r="J59" s="222">
        <v>53.0</v>
      </c>
      <c r="K59" s="222">
        <v>2000.0</v>
      </c>
      <c r="L59" s="222" t="s">
        <v>44</v>
      </c>
      <c r="M59" s="223">
        <v>450.0</v>
      </c>
      <c r="N59" s="221">
        <v>2.0</v>
      </c>
      <c r="O59" s="222" t="s">
        <v>2018</v>
      </c>
      <c r="P59" s="222">
        <v>27.0</v>
      </c>
      <c r="Q59" s="222">
        <v>1900.0</v>
      </c>
      <c r="R59" s="224">
        <v>68.9</v>
      </c>
      <c r="S59" s="224">
        <v>2.0</v>
      </c>
      <c r="T59" s="225">
        <v>23.5</v>
      </c>
      <c r="U59" s="226">
        <v>65.0</v>
      </c>
      <c r="V59" s="227" t="s">
        <v>166</v>
      </c>
      <c r="W59" s="228" t="s">
        <v>174</v>
      </c>
      <c r="X59" s="222" t="s">
        <v>166</v>
      </c>
      <c r="Y59" s="223" t="s">
        <v>166</v>
      </c>
      <c r="Z59" s="221" t="s">
        <v>166</v>
      </c>
      <c r="AA59" s="222" t="s">
        <v>174</v>
      </c>
      <c r="AB59" s="222" t="s">
        <v>166</v>
      </c>
      <c r="AC59" s="222" t="s">
        <v>174</v>
      </c>
      <c r="AD59" s="222" t="s">
        <v>166</v>
      </c>
      <c r="AE59" s="222" t="s">
        <v>174</v>
      </c>
      <c r="AF59" s="222" t="s">
        <v>174</v>
      </c>
      <c r="AG59" s="229" t="s">
        <v>1735</v>
      </c>
      <c r="AH59" s="229"/>
    </row>
    <row r="60">
      <c r="A60" s="242" t="s">
        <v>1735</v>
      </c>
      <c r="B60" s="220" t="s">
        <v>2065</v>
      </c>
      <c r="C60" s="221">
        <v>360.0</v>
      </c>
      <c r="D60" s="222">
        <v>398.0</v>
      </c>
      <c r="E60" s="222">
        <v>120.0</v>
      </c>
      <c r="F60" s="222">
        <v>38.0</v>
      </c>
      <c r="G60" s="223" t="s">
        <v>164</v>
      </c>
      <c r="H60" s="221">
        <v>98.0</v>
      </c>
      <c r="I60" s="222">
        <v>78.0</v>
      </c>
      <c r="J60" s="222">
        <v>53.0</v>
      </c>
      <c r="K60" s="222">
        <v>2000.0</v>
      </c>
      <c r="L60" s="222" t="s">
        <v>44</v>
      </c>
      <c r="M60" s="223">
        <v>450.0</v>
      </c>
      <c r="N60" s="221">
        <v>3.0</v>
      </c>
      <c r="O60" s="222" t="s">
        <v>2002</v>
      </c>
      <c r="P60" s="222">
        <v>25.0</v>
      </c>
      <c r="Q60" s="222">
        <v>1800.0</v>
      </c>
      <c r="R60" s="224">
        <v>55.6</v>
      </c>
      <c r="S60" s="224">
        <v>2.2</v>
      </c>
      <c r="T60" s="225">
        <v>23.5</v>
      </c>
      <c r="U60" s="226">
        <v>63.0</v>
      </c>
      <c r="V60" s="227" t="s">
        <v>166</v>
      </c>
      <c r="W60" s="228" t="s">
        <v>166</v>
      </c>
      <c r="X60" s="222" t="s">
        <v>166</v>
      </c>
      <c r="Y60" s="223" t="s">
        <v>166</v>
      </c>
      <c r="Z60" s="221" t="s">
        <v>166</v>
      </c>
      <c r="AA60" s="222" t="s">
        <v>174</v>
      </c>
      <c r="AB60" s="222" t="s">
        <v>166</v>
      </c>
      <c r="AC60" s="222" t="s">
        <v>174</v>
      </c>
      <c r="AD60" s="222" t="s">
        <v>166</v>
      </c>
      <c r="AE60" s="222" t="s">
        <v>174</v>
      </c>
      <c r="AF60" s="222" t="s">
        <v>174</v>
      </c>
      <c r="AG60" s="229" t="s">
        <v>1735</v>
      </c>
      <c r="AH60" s="229"/>
    </row>
    <row r="61">
      <c r="A61" s="242" t="s">
        <v>1735</v>
      </c>
      <c r="B61" s="220" t="s">
        <v>2066</v>
      </c>
      <c r="C61" s="221">
        <v>360.0</v>
      </c>
      <c r="D61" s="222">
        <v>398.0</v>
      </c>
      <c r="E61" s="222">
        <v>120.0</v>
      </c>
      <c r="F61" s="222">
        <v>38.0</v>
      </c>
      <c r="G61" s="223" t="s">
        <v>164</v>
      </c>
      <c r="H61" s="221">
        <v>98.0</v>
      </c>
      <c r="I61" s="222">
        <v>78.0</v>
      </c>
      <c r="J61" s="222">
        <v>53.0</v>
      </c>
      <c r="K61" s="222">
        <v>2000.0</v>
      </c>
      <c r="L61" s="222" t="s">
        <v>44</v>
      </c>
      <c r="M61" s="223">
        <v>450.0</v>
      </c>
      <c r="N61" s="221">
        <v>3.0</v>
      </c>
      <c r="O61" s="222" t="s">
        <v>2002</v>
      </c>
      <c r="P61" s="222">
        <v>25.0</v>
      </c>
      <c r="Q61" s="222">
        <v>1800.0</v>
      </c>
      <c r="R61" s="224">
        <v>48.8</v>
      </c>
      <c r="S61" s="224">
        <v>1.85</v>
      </c>
      <c r="T61" s="225">
        <v>23.5</v>
      </c>
      <c r="U61" s="226">
        <v>63.0</v>
      </c>
      <c r="V61" s="227" t="s">
        <v>174</v>
      </c>
      <c r="W61" s="228" t="s">
        <v>166</v>
      </c>
      <c r="X61" s="222" t="s">
        <v>166</v>
      </c>
      <c r="Y61" s="223" t="s">
        <v>166</v>
      </c>
      <c r="Z61" s="221" t="s">
        <v>166</v>
      </c>
      <c r="AA61" s="222" t="s">
        <v>174</v>
      </c>
      <c r="AB61" s="222" t="s">
        <v>166</v>
      </c>
      <c r="AC61" s="222" t="s">
        <v>174</v>
      </c>
      <c r="AD61" s="222" t="s">
        <v>166</v>
      </c>
      <c r="AE61" s="222" t="s">
        <v>174</v>
      </c>
      <c r="AF61" s="222" t="s">
        <v>174</v>
      </c>
      <c r="AG61" s="229" t="s">
        <v>1735</v>
      </c>
      <c r="AH61" s="229"/>
    </row>
    <row r="62">
      <c r="A62" s="242" t="s">
        <v>1735</v>
      </c>
      <c r="B62" s="220" t="s">
        <v>2067</v>
      </c>
      <c r="C62" s="221">
        <v>360.0</v>
      </c>
      <c r="D62" s="222">
        <v>398.0</v>
      </c>
      <c r="E62" s="222">
        <v>120.0</v>
      </c>
      <c r="F62" s="222">
        <v>38.0</v>
      </c>
      <c r="G62" s="223" t="s">
        <v>164</v>
      </c>
      <c r="H62" s="221">
        <v>98.0</v>
      </c>
      <c r="I62" s="222">
        <v>78.0</v>
      </c>
      <c r="J62" s="222">
        <v>53.0</v>
      </c>
      <c r="K62" s="222">
        <v>2000.0</v>
      </c>
      <c r="L62" s="222" t="s">
        <v>44</v>
      </c>
      <c r="M62" s="223">
        <v>450.0</v>
      </c>
      <c r="N62" s="221">
        <v>3.0</v>
      </c>
      <c r="O62" s="222" t="s">
        <v>2002</v>
      </c>
      <c r="P62" s="222">
        <v>25.0</v>
      </c>
      <c r="Q62" s="222">
        <v>1800.0</v>
      </c>
      <c r="R62" s="224">
        <v>48.8</v>
      </c>
      <c r="S62" s="224">
        <v>1.85</v>
      </c>
      <c r="T62" s="225">
        <v>23.5</v>
      </c>
      <c r="U62" s="226">
        <v>63.0</v>
      </c>
      <c r="V62" s="227" t="s">
        <v>166</v>
      </c>
      <c r="W62" s="228" t="s">
        <v>174</v>
      </c>
      <c r="X62" s="222" t="s">
        <v>166</v>
      </c>
      <c r="Y62" s="223" t="s">
        <v>166</v>
      </c>
      <c r="Z62" s="221" t="s">
        <v>166</v>
      </c>
      <c r="AA62" s="222" t="s">
        <v>174</v>
      </c>
      <c r="AB62" s="222" t="s">
        <v>166</v>
      </c>
      <c r="AC62" s="222" t="s">
        <v>174</v>
      </c>
      <c r="AD62" s="222" t="s">
        <v>166</v>
      </c>
      <c r="AE62" s="222" t="s">
        <v>174</v>
      </c>
      <c r="AF62" s="222" t="s">
        <v>174</v>
      </c>
      <c r="AG62" s="229" t="s">
        <v>1735</v>
      </c>
      <c r="AH62" s="229"/>
    </row>
    <row r="63">
      <c r="A63" s="242" t="s">
        <v>1735</v>
      </c>
      <c r="B63" s="220" t="s">
        <v>2068</v>
      </c>
      <c r="C63" s="221">
        <v>420.0</v>
      </c>
      <c r="D63" s="222">
        <v>458.0</v>
      </c>
      <c r="E63" s="222">
        <v>138.0</v>
      </c>
      <c r="F63" s="222">
        <v>38.0</v>
      </c>
      <c r="G63" s="223" t="s">
        <v>164</v>
      </c>
      <c r="H63" s="221">
        <v>98.0</v>
      </c>
      <c r="I63" s="222">
        <v>78.0</v>
      </c>
      <c r="J63" s="222">
        <v>53.0</v>
      </c>
      <c r="K63" s="222">
        <v>2000.0</v>
      </c>
      <c r="L63" s="222" t="s">
        <v>44</v>
      </c>
      <c r="M63" s="223">
        <v>450.0</v>
      </c>
      <c r="N63" s="221">
        <v>3.0</v>
      </c>
      <c r="O63" s="222" t="s">
        <v>2018</v>
      </c>
      <c r="P63" s="222">
        <v>27.0</v>
      </c>
      <c r="Q63" s="222">
        <v>1700.0</v>
      </c>
      <c r="R63" s="224">
        <v>72.8</v>
      </c>
      <c r="S63" s="224">
        <v>2.4</v>
      </c>
      <c r="T63" s="225">
        <v>23.5</v>
      </c>
      <c r="U63" s="226">
        <v>65.0</v>
      </c>
      <c r="V63" s="227" t="s">
        <v>166</v>
      </c>
      <c r="W63" s="228" t="s">
        <v>166</v>
      </c>
      <c r="X63" s="222" t="s">
        <v>166</v>
      </c>
      <c r="Y63" s="223" t="s">
        <v>166</v>
      </c>
      <c r="Z63" s="221" t="s">
        <v>166</v>
      </c>
      <c r="AA63" s="222" t="s">
        <v>174</v>
      </c>
      <c r="AB63" s="222" t="s">
        <v>166</v>
      </c>
      <c r="AC63" s="222" t="s">
        <v>174</v>
      </c>
      <c r="AD63" s="222" t="s">
        <v>166</v>
      </c>
      <c r="AE63" s="222" t="s">
        <v>174</v>
      </c>
      <c r="AF63" s="222" t="s">
        <v>174</v>
      </c>
      <c r="AG63" s="229" t="s">
        <v>1735</v>
      </c>
      <c r="AH63" s="229"/>
    </row>
    <row r="64">
      <c r="A64" s="242" t="s">
        <v>1735</v>
      </c>
      <c r="B64" s="220" t="s">
        <v>2069</v>
      </c>
      <c r="C64" s="221">
        <v>420.0</v>
      </c>
      <c r="D64" s="222">
        <v>458.0</v>
      </c>
      <c r="E64" s="222">
        <v>138.0</v>
      </c>
      <c r="F64" s="222">
        <v>38.0</v>
      </c>
      <c r="G64" s="223" t="s">
        <v>164</v>
      </c>
      <c r="H64" s="221">
        <v>98.0</v>
      </c>
      <c r="I64" s="222">
        <v>78.0</v>
      </c>
      <c r="J64" s="222">
        <v>53.0</v>
      </c>
      <c r="K64" s="222">
        <v>2000.0</v>
      </c>
      <c r="L64" s="222" t="s">
        <v>44</v>
      </c>
      <c r="M64" s="223">
        <v>450.0</v>
      </c>
      <c r="N64" s="221">
        <v>3.0</v>
      </c>
      <c r="O64" s="222" t="s">
        <v>2018</v>
      </c>
      <c r="P64" s="222">
        <v>27.0</v>
      </c>
      <c r="Q64" s="222">
        <v>1900.0</v>
      </c>
      <c r="R64" s="224">
        <v>68.9</v>
      </c>
      <c r="S64" s="224">
        <v>2.0</v>
      </c>
      <c r="T64" s="225">
        <v>23.5</v>
      </c>
      <c r="U64" s="226">
        <v>65.0</v>
      </c>
      <c r="V64" s="227" t="s">
        <v>174</v>
      </c>
      <c r="W64" s="228" t="s">
        <v>166</v>
      </c>
      <c r="X64" s="222" t="s">
        <v>166</v>
      </c>
      <c r="Y64" s="223" t="s">
        <v>166</v>
      </c>
      <c r="Z64" s="221" t="s">
        <v>166</v>
      </c>
      <c r="AA64" s="222" t="s">
        <v>174</v>
      </c>
      <c r="AB64" s="222" t="s">
        <v>166</v>
      </c>
      <c r="AC64" s="222" t="s">
        <v>174</v>
      </c>
      <c r="AD64" s="222" t="s">
        <v>166</v>
      </c>
      <c r="AE64" s="222" t="s">
        <v>174</v>
      </c>
      <c r="AF64" s="222" t="s">
        <v>174</v>
      </c>
      <c r="AG64" s="229" t="s">
        <v>1735</v>
      </c>
      <c r="AH64" s="229"/>
    </row>
    <row r="65">
      <c r="A65" s="242" t="s">
        <v>1735</v>
      </c>
      <c r="B65" s="220" t="s">
        <v>2070</v>
      </c>
      <c r="C65" s="221">
        <v>420.0</v>
      </c>
      <c r="D65" s="222">
        <v>458.0</v>
      </c>
      <c r="E65" s="222">
        <v>138.0</v>
      </c>
      <c r="F65" s="222">
        <v>38.0</v>
      </c>
      <c r="G65" s="223" t="s">
        <v>164</v>
      </c>
      <c r="H65" s="221">
        <v>98.0</v>
      </c>
      <c r="I65" s="222">
        <v>78.0</v>
      </c>
      <c r="J65" s="222">
        <v>53.0</v>
      </c>
      <c r="K65" s="222">
        <v>2000.0</v>
      </c>
      <c r="L65" s="222" t="s">
        <v>44</v>
      </c>
      <c r="M65" s="223">
        <v>450.0</v>
      </c>
      <c r="N65" s="221">
        <v>3.0</v>
      </c>
      <c r="O65" s="222" t="s">
        <v>2018</v>
      </c>
      <c r="P65" s="222">
        <v>27.0</v>
      </c>
      <c r="Q65" s="222">
        <v>1900.0</v>
      </c>
      <c r="R65" s="224">
        <v>68.9</v>
      </c>
      <c r="S65" s="224">
        <v>2.0</v>
      </c>
      <c r="T65" s="225">
        <v>23.5</v>
      </c>
      <c r="U65" s="226">
        <v>65.0</v>
      </c>
      <c r="V65" s="227" t="s">
        <v>166</v>
      </c>
      <c r="W65" s="228" t="s">
        <v>174</v>
      </c>
      <c r="X65" s="222" t="s">
        <v>166</v>
      </c>
      <c r="Y65" s="223" t="s">
        <v>166</v>
      </c>
      <c r="Z65" s="221" t="s">
        <v>166</v>
      </c>
      <c r="AA65" s="222" t="s">
        <v>174</v>
      </c>
      <c r="AB65" s="222" t="s">
        <v>166</v>
      </c>
      <c r="AC65" s="222" t="s">
        <v>174</v>
      </c>
      <c r="AD65" s="222" t="s">
        <v>166</v>
      </c>
      <c r="AE65" s="222" t="s">
        <v>174</v>
      </c>
      <c r="AF65" s="222" t="s">
        <v>174</v>
      </c>
      <c r="AG65" s="229" t="s">
        <v>1735</v>
      </c>
      <c r="AH65" s="246"/>
    </row>
    <row r="66">
      <c r="A66" s="242" t="s">
        <v>1735</v>
      </c>
      <c r="B66" s="220" t="s">
        <v>2071</v>
      </c>
      <c r="C66" s="221">
        <v>240.0</v>
      </c>
      <c r="D66" s="222">
        <v>277.0</v>
      </c>
      <c r="E66" s="222">
        <v>120.0</v>
      </c>
      <c r="F66" s="222">
        <v>38.0</v>
      </c>
      <c r="G66" s="223" t="s">
        <v>164</v>
      </c>
      <c r="H66" s="221">
        <v>108.5</v>
      </c>
      <c r="I66" s="222">
        <v>91.0</v>
      </c>
      <c r="J66" s="222">
        <v>68.5</v>
      </c>
      <c r="K66" s="222">
        <v>2800.0</v>
      </c>
      <c r="L66" s="222" t="s">
        <v>44</v>
      </c>
      <c r="M66" s="223">
        <v>450.0</v>
      </c>
      <c r="N66" s="221">
        <v>2.0</v>
      </c>
      <c r="O66" s="222" t="s">
        <v>2002</v>
      </c>
      <c r="P66" s="222">
        <v>25.0</v>
      </c>
      <c r="Q66" s="222">
        <v>1800.0</v>
      </c>
      <c r="R66" s="224">
        <v>56.3</v>
      </c>
      <c r="S66" s="224">
        <v>2.2</v>
      </c>
      <c r="T66" s="225">
        <v>23.5</v>
      </c>
      <c r="U66" s="226">
        <v>63.0</v>
      </c>
      <c r="V66" s="227" t="s">
        <v>166</v>
      </c>
      <c r="W66" s="228" t="s">
        <v>166</v>
      </c>
      <c r="X66" s="222" t="s">
        <v>166</v>
      </c>
      <c r="Y66" s="223" t="s">
        <v>166</v>
      </c>
      <c r="Z66" s="221" t="s">
        <v>166</v>
      </c>
      <c r="AA66" s="222" t="s">
        <v>174</v>
      </c>
      <c r="AB66" s="222" t="s">
        <v>166</v>
      </c>
      <c r="AC66" s="222" t="s">
        <v>166</v>
      </c>
      <c r="AD66" s="222" t="s">
        <v>166</v>
      </c>
      <c r="AE66" s="222" t="s">
        <v>174</v>
      </c>
      <c r="AF66" s="222" t="s">
        <v>166</v>
      </c>
      <c r="AG66" s="229" t="s">
        <v>1735</v>
      </c>
      <c r="AH66" s="229"/>
    </row>
    <row r="67">
      <c r="A67" s="242" t="s">
        <v>1735</v>
      </c>
      <c r="B67" s="220" t="s">
        <v>2072</v>
      </c>
      <c r="C67" s="221">
        <v>240.0</v>
      </c>
      <c r="D67" s="222">
        <v>277.0</v>
      </c>
      <c r="E67" s="222">
        <v>120.0</v>
      </c>
      <c r="F67" s="222">
        <v>38.0</v>
      </c>
      <c r="G67" s="223" t="s">
        <v>164</v>
      </c>
      <c r="H67" s="221">
        <v>108.5</v>
      </c>
      <c r="I67" s="222">
        <v>91.0</v>
      </c>
      <c r="J67" s="222">
        <v>68.5</v>
      </c>
      <c r="K67" s="222">
        <v>2800.0</v>
      </c>
      <c r="L67" s="222" t="s">
        <v>44</v>
      </c>
      <c r="M67" s="223">
        <v>450.0</v>
      </c>
      <c r="N67" s="221">
        <v>2.0</v>
      </c>
      <c r="O67" s="222" t="s">
        <v>2002</v>
      </c>
      <c r="P67" s="222">
        <v>25.0</v>
      </c>
      <c r="Q67" s="222">
        <v>2000.0</v>
      </c>
      <c r="R67" s="224">
        <v>48.82</v>
      </c>
      <c r="S67" s="224">
        <v>1.85</v>
      </c>
      <c r="T67" s="225">
        <v>23.5</v>
      </c>
      <c r="U67" s="226">
        <v>63.0</v>
      </c>
      <c r="V67" s="227" t="s">
        <v>166</v>
      </c>
      <c r="W67" s="228" t="s">
        <v>174</v>
      </c>
      <c r="X67" s="222" t="s">
        <v>166</v>
      </c>
      <c r="Y67" s="223" t="s">
        <v>166</v>
      </c>
      <c r="Z67" s="221" t="s">
        <v>166</v>
      </c>
      <c r="AA67" s="222" t="s">
        <v>174</v>
      </c>
      <c r="AB67" s="222" t="s">
        <v>166</v>
      </c>
      <c r="AC67" s="222" t="s">
        <v>166</v>
      </c>
      <c r="AD67" s="222" t="s">
        <v>166</v>
      </c>
      <c r="AE67" s="222" t="s">
        <v>174</v>
      </c>
      <c r="AF67" s="222" t="s">
        <v>166</v>
      </c>
      <c r="AG67" s="229" t="s">
        <v>1735</v>
      </c>
      <c r="AH67" s="229"/>
    </row>
    <row r="68">
      <c r="A68" s="242" t="s">
        <v>1735</v>
      </c>
      <c r="B68" s="220" t="s">
        <v>2073</v>
      </c>
      <c r="C68" s="221">
        <v>240.0</v>
      </c>
      <c r="D68" s="222">
        <v>277.0</v>
      </c>
      <c r="E68" s="222">
        <v>120.0</v>
      </c>
      <c r="F68" s="222">
        <v>38.0</v>
      </c>
      <c r="G68" s="223" t="s">
        <v>164</v>
      </c>
      <c r="H68" s="221">
        <v>108.5</v>
      </c>
      <c r="I68" s="222">
        <v>91.0</v>
      </c>
      <c r="J68" s="222">
        <v>68.5</v>
      </c>
      <c r="K68" s="222">
        <v>2800.0</v>
      </c>
      <c r="L68" s="222" t="s">
        <v>44</v>
      </c>
      <c r="M68" s="223">
        <v>450.0</v>
      </c>
      <c r="N68" s="221">
        <v>2.0</v>
      </c>
      <c r="O68" s="222" t="s">
        <v>2002</v>
      </c>
      <c r="P68" s="222">
        <v>25.0</v>
      </c>
      <c r="Q68" s="222">
        <v>2000.0</v>
      </c>
      <c r="R68" s="224">
        <v>48.82</v>
      </c>
      <c r="S68" s="224">
        <v>1.85</v>
      </c>
      <c r="T68" s="225">
        <v>23.5</v>
      </c>
      <c r="U68" s="226">
        <v>63.0</v>
      </c>
      <c r="V68" s="227" t="s">
        <v>166</v>
      </c>
      <c r="W68" s="228" t="s">
        <v>174</v>
      </c>
      <c r="X68" s="222" t="s">
        <v>166</v>
      </c>
      <c r="Y68" s="223" t="s">
        <v>166</v>
      </c>
      <c r="Z68" s="221" t="s">
        <v>166</v>
      </c>
      <c r="AA68" s="222" t="s">
        <v>174</v>
      </c>
      <c r="AB68" s="222" t="s">
        <v>166</v>
      </c>
      <c r="AC68" s="222" t="s">
        <v>166</v>
      </c>
      <c r="AD68" s="222" t="s">
        <v>166</v>
      </c>
      <c r="AE68" s="222" t="s">
        <v>174</v>
      </c>
      <c r="AF68" s="222" t="s">
        <v>166</v>
      </c>
      <c r="AG68" s="229" t="s">
        <v>1735</v>
      </c>
      <c r="AH68" s="229"/>
    </row>
    <row r="69">
      <c r="A69" s="242" t="s">
        <v>1735</v>
      </c>
      <c r="B69" s="220" t="s">
        <v>2074</v>
      </c>
      <c r="C69" s="221">
        <v>280.0</v>
      </c>
      <c r="D69" s="222">
        <v>317.0</v>
      </c>
      <c r="E69" s="222">
        <v>138.0</v>
      </c>
      <c r="F69" s="222">
        <v>38.0</v>
      </c>
      <c r="G69" s="223" t="s">
        <v>164</v>
      </c>
      <c r="H69" s="221">
        <v>108.5</v>
      </c>
      <c r="I69" s="222">
        <v>91.0</v>
      </c>
      <c r="J69" s="222">
        <v>68.5</v>
      </c>
      <c r="K69" s="222">
        <v>2800.0</v>
      </c>
      <c r="L69" s="222" t="s">
        <v>44</v>
      </c>
      <c r="M69" s="223">
        <v>450.0</v>
      </c>
      <c r="N69" s="221">
        <v>2.0</v>
      </c>
      <c r="O69" s="222" t="s">
        <v>2018</v>
      </c>
      <c r="P69" s="222">
        <v>27.0</v>
      </c>
      <c r="Q69" s="222">
        <v>1700.0</v>
      </c>
      <c r="R69" s="224">
        <v>72.8</v>
      </c>
      <c r="S69" s="224">
        <v>2.4</v>
      </c>
      <c r="T69" s="225">
        <v>23.5</v>
      </c>
      <c r="U69" s="226">
        <v>65.0</v>
      </c>
      <c r="V69" s="227" t="s">
        <v>166</v>
      </c>
      <c r="W69" s="228" t="s">
        <v>166</v>
      </c>
      <c r="X69" s="222" t="s">
        <v>166</v>
      </c>
      <c r="Y69" s="223" t="s">
        <v>166</v>
      </c>
      <c r="Z69" s="221" t="s">
        <v>166</v>
      </c>
      <c r="AA69" s="222" t="s">
        <v>174</v>
      </c>
      <c r="AB69" s="222" t="s">
        <v>166</v>
      </c>
      <c r="AC69" s="222" t="s">
        <v>166</v>
      </c>
      <c r="AD69" s="222" t="s">
        <v>166</v>
      </c>
      <c r="AE69" s="222" t="s">
        <v>174</v>
      </c>
      <c r="AF69" s="222" t="s">
        <v>166</v>
      </c>
      <c r="AG69" s="229" t="s">
        <v>1735</v>
      </c>
      <c r="AH69" s="229"/>
    </row>
    <row r="70">
      <c r="A70" s="242" t="s">
        <v>1735</v>
      </c>
      <c r="B70" s="220" t="s">
        <v>2075</v>
      </c>
      <c r="C70" s="221">
        <v>280.0</v>
      </c>
      <c r="D70" s="222">
        <v>317.0</v>
      </c>
      <c r="E70" s="222">
        <v>138.0</v>
      </c>
      <c r="F70" s="222">
        <v>38.0</v>
      </c>
      <c r="G70" s="223" t="s">
        <v>164</v>
      </c>
      <c r="H70" s="221">
        <v>108.5</v>
      </c>
      <c r="I70" s="222">
        <v>91.0</v>
      </c>
      <c r="J70" s="222">
        <v>68.5</v>
      </c>
      <c r="K70" s="222">
        <v>2800.0</v>
      </c>
      <c r="L70" s="222" t="s">
        <v>44</v>
      </c>
      <c r="M70" s="223">
        <v>450.0</v>
      </c>
      <c r="N70" s="221">
        <v>2.0</v>
      </c>
      <c r="O70" s="222" t="s">
        <v>2018</v>
      </c>
      <c r="P70" s="222">
        <v>27.0</v>
      </c>
      <c r="Q70" s="222">
        <v>1900.0</v>
      </c>
      <c r="R70" s="224">
        <v>69.9</v>
      </c>
      <c r="S70" s="224">
        <v>2.0</v>
      </c>
      <c r="T70" s="225">
        <v>23.5</v>
      </c>
      <c r="U70" s="226">
        <v>65.0</v>
      </c>
      <c r="V70" s="227" t="s">
        <v>166</v>
      </c>
      <c r="W70" s="228" t="s">
        <v>174</v>
      </c>
      <c r="X70" s="222" t="s">
        <v>166</v>
      </c>
      <c r="Y70" s="223" t="s">
        <v>166</v>
      </c>
      <c r="Z70" s="221" t="s">
        <v>166</v>
      </c>
      <c r="AA70" s="222" t="s">
        <v>174</v>
      </c>
      <c r="AB70" s="222" t="s">
        <v>166</v>
      </c>
      <c r="AC70" s="222" t="s">
        <v>166</v>
      </c>
      <c r="AD70" s="222" t="s">
        <v>166</v>
      </c>
      <c r="AE70" s="222" t="s">
        <v>174</v>
      </c>
      <c r="AF70" s="222" t="s">
        <v>166</v>
      </c>
      <c r="AG70" s="229" t="s">
        <v>1735</v>
      </c>
      <c r="AH70" s="229" t="s">
        <v>214</v>
      </c>
    </row>
    <row r="71">
      <c r="A71" s="242" t="s">
        <v>1735</v>
      </c>
      <c r="B71" s="220" t="s">
        <v>2076</v>
      </c>
      <c r="C71" s="221">
        <v>280.0</v>
      </c>
      <c r="D71" s="222">
        <v>317.0</v>
      </c>
      <c r="E71" s="222">
        <v>138.0</v>
      </c>
      <c r="F71" s="222">
        <v>38.0</v>
      </c>
      <c r="G71" s="223" t="s">
        <v>164</v>
      </c>
      <c r="H71" s="221">
        <v>108.5</v>
      </c>
      <c r="I71" s="222">
        <v>91.0</v>
      </c>
      <c r="J71" s="222">
        <v>68.5</v>
      </c>
      <c r="K71" s="222">
        <v>2800.0</v>
      </c>
      <c r="L71" s="222" t="s">
        <v>44</v>
      </c>
      <c r="M71" s="223">
        <v>450.0</v>
      </c>
      <c r="N71" s="221">
        <v>2.0</v>
      </c>
      <c r="O71" s="222" t="s">
        <v>2018</v>
      </c>
      <c r="P71" s="222">
        <v>27.0</v>
      </c>
      <c r="Q71" s="222">
        <v>1900.0</v>
      </c>
      <c r="R71" s="224">
        <v>69.9</v>
      </c>
      <c r="S71" s="224">
        <v>2.0</v>
      </c>
      <c r="T71" s="225">
        <v>23.5</v>
      </c>
      <c r="U71" s="226">
        <v>65.0</v>
      </c>
      <c r="V71" s="227" t="s">
        <v>166</v>
      </c>
      <c r="W71" s="228" t="s">
        <v>174</v>
      </c>
      <c r="X71" s="222" t="s">
        <v>166</v>
      </c>
      <c r="Y71" s="223" t="s">
        <v>166</v>
      </c>
      <c r="Z71" s="221" t="s">
        <v>166</v>
      </c>
      <c r="AA71" s="222" t="s">
        <v>174</v>
      </c>
      <c r="AB71" s="222" t="s">
        <v>166</v>
      </c>
      <c r="AC71" s="222" t="s">
        <v>166</v>
      </c>
      <c r="AD71" s="222" t="s">
        <v>166</v>
      </c>
      <c r="AE71" s="222" t="s">
        <v>174</v>
      </c>
      <c r="AF71" s="222" t="s">
        <v>166</v>
      </c>
      <c r="AG71" s="229" t="s">
        <v>1735</v>
      </c>
      <c r="AH71" s="229"/>
    </row>
    <row r="72">
      <c r="A72" s="242" t="s">
        <v>1735</v>
      </c>
      <c r="B72" s="220" t="s">
        <v>2077</v>
      </c>
      <c r="C72" s="221">
        <v>360.0</v>
      </c>
      <c r="D72" s="222">
        <v>398.0</v>
      </c>
      <c r="E72" s="222">
        <v>138.0</v>
      </c>
      <c r="F72" s="222">
        <v>38.0</v>
      </c>
      <c r="G72" s="223" t="s">
        <v>164</v>
      </c>
      <c r="H72" s="221">
        <v>108.5</v>
      </c>
      <c r="I72" s="222">
        <v>91.0</v>
      </c>
      <c r="J72" s="222">
        <v>68.5</v>
      </c>
      <c r="K72" s="222">
        <v>2800.0</v>
      </c>
      <c r="L72" s="222" t="s">
        <v>44</v>
      </c>
      <c r="M72" s="223">
        <v>450.0</v>
      </c>
      <c r="N72" s="221">
        <v>3.0</v>
      </c>
      <c r="O72" s="222" t="s">
        <v>2002</v>
      </c>
      <c r="P72" s="222">
        <v>25.0</v>
      </c>
      <c r="Q72" s="222">
        <v>1800.0</v>
      </c>
      <c r="R72" s="224">
        <v>56.3</v>
      </c>
      <c r="S72" s="224">
        <v>2.2</v>
      </c>
      <c r="T72" s="225">
        <v>23.5</v>
      </c>
      <c r="U72" s="226">
        <v>63.0</v>
      </c>
      <c r="V72" s="227" t="s">
        <v>166</v>
      </c>
      <c r="W72" s="228" t="s">
        <v>166</v>
      </c>
      <c r="X72" s="222" t="s">
        <v>166</v>
      </c>
      <c r="Y72" s="223" t="s">
        <v>166</v>
      </c>
      <c r="Z72" s="221" t="s">
        <v>166</v>
      </c>
      <c r="AA72" s="222" t="s">
        <v>174</v>
      </c>
      <c r="AB72" s="222" t="s">
        <v>166</v>
      </c>
      <c r="AC72" s="222" t="s">
        <v>166</v>
      </c>
      <c r="AD72" s="222" t="s">
        <v>166</v>
      </c>
      <c r="AE72" s="222" t="s">
        <v>174</v>
      </c>
      <c r="AF72" s="222" t="s">
        <v>166</v>
      </c>
      <c r="AG72" s="229" t="s">
        <v>1735</v>
      </c>
      <c r="AH72" s="229"/>
    </row>
    <row r="73">
      <c r="A73" s="242" t="s">
        <v>1735</v>
      </c>
      <c r="B73" s="220" t="s">
        <v>2078</v>
      </c>
      <c r="C73" s="221">
        <v>360.0</v>
      </c>
      <c r="D73" s="222">
        <v>398.0</v>
      </c>
      <c r="E73" s="222">
        <v>138.0</v>
      </c>
      <c r="F73" s="222">
        <v>38.0</v>
      </c>
      <c r="G73" s="223" t="s">
        <v>164</v>
      </c>
      <c r="H73" s="221">
        <v>108.5</v>
      </c>
      <c r="I73" s="222">
        <v>91.0</v>
      </c>
      <c r="J73" s="222">
        <v>68.5</v>
      </c>
      <c r="K73" s="222">
        <v>2800.0</v>
      </c>
      <c r="L73" s="222" t="s">
        <v>44</v>
      </c>
      <c r="M73" s="223">
        <v>450.0</v>
      </c>
      <c r="N73" s="221">
        <v>3.0</v>
      </c>
      <c r="O73" s="222" t="s">
        <v>2002</v>
      </c>
      <c r="P73" s="222">
        <v>25.0</v>
      </c>
      <c r="Q73" s="222">
        <v>2000.0</v>
      </c>
      <c r="R73" s="224">
        <v>48.82</v>
      </c>
      <c r="S73" s="224">
        <v>1.85</v>
      </c>
      <c r="T73" s="225">
        <v>23.5</v>
      </c>
      <c r="U73" s="226">
        <v>63.0</v>
      </c>
      <c r="V73" s="227" t="s">
        <v>166</v>
      </c>
      <c r="W73" s="228" t="s">
        <v>174</v>
      </c>
      <c r="X73" s="222" t="s">
        <v>166</v>
      </c>
      <c r="Y73" s="223" t="s">
        <v>166</v>
      </c>
      <c r="Z73" s="221" t="s">
        <v>166</v>
      </c>
      <c r="AA73" s="222" t="s">
        <v>174</v>
      </c>
      <c r="AB73" s="222" t="s">
        <v>166</v>
      </c>
      <c r="AC73" s="222" t="s">
        <v>166</v>
      </c>
      <c r="AD73" s="222" t="s">
        <v>166</v>
      </c>
      <c r="AE73" s="222" t="s">
        <v>174</v>
      </c>
      <c r="AF73" s="222" t="s">
        <v>166</v>
      </c>
      <c r="AG73" s="229" t="s">
        <v>1735</v>
      </c>
      <c r="AH73" s="229" t="s">
        <v>214</v>
      </c>
    </row>
    <row r="74">
      <c r="A74" s="242" t="s">
        <v>1735</v>
      </c>
      <c r="B74" s="220" t="s">
        <v>2079</v>
      </c>
      <c r="C74" s="221">
        <v>360.0</v>
      </c>
      <c r="D74" s="222">
        <v>398.0</v>
      </c>
      <c r="E74" s="222">
        <v>138.0</v>
      </c>
      <c r="F74" s="222">
        <v>38.0</v>
      </c>
      <c r="G74" s="223" t="s">
        <v>164</v>
      </c>
      <c r="H74" s="221">
        <v>108.5</v>
      </c>
      <c r="I74" s="222">
        <v>91.0</v>
      </c>
      <c r="J74" s="222">
        <v>68.5</v>
      </c>
      <c r="K74" s="222">
        <v>2800.0</v>
      </c>
      <c r="L74" s="222" t="s">
        <v>44</v>
      </c>
      <c r="M74" s="223">
        <v>450.0</v>
      </c>
      <c r="N74" s="221">
        <v>3.0</v>
      </c>
      <c r="O74" s="222" t="s">
        <v>2002</v>
      </c>
      <c r="P74" s="222">
        <v>25.0</v>
      </c>
      <c r="Q74" s="222">
        <v>2000.0</v>
      </c>
      <c r="R74" s="224">
        <v>48.82</v>
      </c>
      <c r="S74" s="224">
        <v>1.85</v>
      </c>
      <c r="T74" s="225">
        <v>23.5</v>
      </c>
      <c r="U74" s="226">
        <v>63.0</v>
      </c>
      <c r="V74" s="227" t="s">
        <v>166</v>
      </c>
      <c r="W74" s="228" t="s">
        <v>174</v>
      </c>
      <c r="X74" s="222" t="s">
        <v>166</v>
      </c>
      <c r="Y74" s="223" t="s">
        <v>166</v>
      </c>
      <c r="Z74" s="221" t="s">
        <v>166</v>
      </c>
      <c r="AA74" s="222" t="s">
        <v>174</v>
      </c>
      <c r="AB74" s="222" t="s">
        <v>166</v>
      </c>
      <c r="AC74" s="222" t="s">
        <v>166</v>
      </c>
      <c r="AD74" s="222" t="s">
        <v>166</v>
      </c>
      <c r="AE74" s="222" t="s">
        <v>174</v>
      </c>
      <c r="AF74" s="222" t="s">
        <v>166</v>
      </c>
      <c r="AG74" s="229" t="s">
        <v>1735</v>
      </c>
      <c r="AH74" s="229" t="s">
        <v>214</v>
      </c>
    </row>
    <row r="75">
      <c r="A75" s="242" t="s">
        <v>1735</v>
      </c>
      <c r="B75" s="220" t="s">
        <v>2080</v>
      </c>
      <c r="C75" s="221">
        <v>420.0</v>
      </c>
      <c r="D75" s="222">
        <v>458.0</v>
      </c>
      <c r="E75" s="222">
        <v>138.0</v>
      </c>
      <c r="F75" s="222">
        <v>38.0</v>
      </c>
      <c r="G75" s="223" t="s">
        <v>164</v>
      </c>
      <c r="H75" s="221">
        <v>108.5</v>
      </c>
      <c r="I75" s="222">
        <v>91.0</v>
      </c>
      <c r="J75" s="222">
        <v>68.5</v>
      </c>
      <c r="K75" s="222">
        <v>2800.0</v>
      </c>
      <c r="L75" s="222" t="s">
        <v>44</v>
      </c>
      <c r="M75" s="223">
        <v>450.0</v>
      </c>
      <c r="N75" s="221">
        <v>3.0</v>
      </c>
      <c r="O75" s="222" t="s">
        <v>2018</v>
      </c>
      <c r="P75" s="222">
        <v>27.0</v>
      </c>
      <c r="Q75" s="222">
        <v>1700.0</v>
      </c>
      <c r="R75" s="224">
        <v>72.8</v>
      </c>
      <c r="S75" s="224">
        <v>2.4</v>
      </c>
      <c r="T75" s="225">
        <v>23.5</v>
      </c>
      <c r="U75" s="226">
        <v>65.0</v>
      </c>
      <c r="V75" s="227" t="s">
        <v>166</v>
      </c>
      <c r="W75" s="228" t="s">
        <v>166</v>
      </c>
      <c r="X75" s="222" t="s">
        <v>166</v>
      </c>
      <c r="Y75" s="223" t="s">
        <v>166</v>
      </c>
      <c r="Z75" s="221" t="s">
        <v>166</v>
      </c>
      <c r="AA75" s="222" t="s">
        <v>174</v>
      </c>
      <c r="AB75" s="222" t="s">
        <v>166</v>
      </c>
      <c r="AC75" s="222" t="s">
        <v>166</v>
      </c>
      <c r="AD75" s="222" t="s">
        <v>166</v>
      </c>
      <c r="AE75" s="222" t="s">
        <v>174</v>
      </c>
      <c r="AF75" s="222" t="s">
        <v>166</v>
      </c>
      <c r="AG75" s="229" t="s">
        <v>1735</v>
      </c>
      <c r="AH75" s="229"/>
    </row>
    <row r="76">
      <c r="A76" s="242" t="s">
        <v>1735</v>
      </c>
      <c r="B76" s="220" t="s">
        <v>2081</v>
      </c>
      <c r="C76" s="221">
        <v>420.0</v>
      </c>
      <c r="D76" s="222">
        <v>458.0</v>
      </c>
      <c r="E76" s="222">
        <v>138.0</v>
      </c>
      <c r="F76" s="222">
        <v>38.0</v>
      </c>
      <c r="G76" s="223" t="s">
        <v>164</v>
      </c>
      <c r="H76" s="221">
        <v>108.5</v>
      </c>
      <c r="I76" s="222">
        <v>91.0</v>
      </c>
      <c r="J76" s="222">
        <v>68.5</v>
      </c>
      <c r="K76" s="222">
        <v>2800.0</v>
      </c>
      <c r="L76" s="222" t="s">
        <v>44</v>
      </c>
      <c r="M76" s="223">
        <v>450.0</v>
      </c>
      <c r="N76" s="221">
        <v>3.0</v>
      </c>
      <c r="O76" s="222" t="s">
        <v>2018</v>
      </c>
      <c r="P76" s="222">
        <v>27.0</v>
      </c>
      <c r="Q76" s="222">
        <v>1900.0</v>
      </c>
      <c r="R76" s="224">
        <v>69.9</v>
      </c>
      <c r="S76" s="224">
        <v>2.0</v>
      </c>
      <c r="T76" s="225">
        <v>23.5</v>
      </c>
      <c r="U76" s="226">
        <v>65.0</v>
      </c>
      <c r="V76" s="227" t="s">
        <v>166</v>
      </c>
      <c r="W76" s="228" t="s">
        <v>174</v>
      </c>
      <c r="X76" s="222" t="s">
        <v>166</v>
      </c>
      <c r="Y76" s="223" t="s">
        <v>166</v>
      </c>
      <c r="Z76" s="221" t="s">
        <v>166</v>
      </c>
      <c r="AA76" s="222" t="s">
        <v>174</v>
      </c>
      <c r="AB76" s="222" t="s">
        <v>166</v>
      </c>
      <c r="AC76" s="222" t="s">
        <v>166</v>
      </c>
      <c r="AD76" s="222" t="s">
        <v>166</v>
      </c>
      <c r="AE76" s="222" t="s">
        <v>174</v>
      </c>
      <c r="AF76" s="222" t="s">
        <v>166</v>
      </c>
      <c r="AG76" s="229" t="s">
        <v>1735</v>
      </c>
      <c r="AH76" s="229" t="s">
        <v>214</v>
      </c>
    </row>
    <row r="77">
      <c r="A77" s="245" t="s">
        <v>1735</v>
      </c>
      <c r="B77" s="231" t="s">
        <v>2082</v>
      </c>
      <c r="C77" s="232">
        <v>420.0</v>
      </c>
      <c r="D77" s="233">
        <v>458.0</v>
      </c>
      <c r="E77" s="233">
        <v>138.0</v>
      </c>
      <c r="F77" s="233">
        <v>38.0</v>
      </c>
      <c r="G77" s="234" t="s">
        <v>164</v>
      </c>
      <c r="H77" s="232">
        <v>108.5</v>
      </c>
      <c r="I77" s="233">
        <v>91.0</v>
      </c>
      <c r="J77" s="233">
        <v>68.5</v>
      </c>
      <c r="K77" s="233">
        <v>2800.0</v>
      </c>
      <c r="L77" s="233" t="s">
        <v>44</v>
      </c>
      <c r="M77" s="234">
        <v>450.0</v>
      </c>
      <c r="N77" s="232">
        <v>3.0</v>
      </c>
      <c r="O77" s="233" t="s">
        <v>2018</v>
      </c>
      <c r="P77" s="233">
        <v>27.0</v>
      </c>
      <c r="Q77" s="233">
        <v>1900.0</v>
      </c>
      <c r="R77" s="235">
        <v>69.9</v>
      </c>
      <c r="S77" s="235">
        <v>2.0</v>
      </c>
      <c r="T77" s="236">
        <v>23.5</v>
      </c>
      <c r="U77" s="237">
        <v>65.0</v>
      </c>
      <c r="V77" s="238" t="s">
        <v>166</v>
      </c>
      <c r="W77" s="239" t="s">
        <v>174</v>
      </c>
      <c r="X77" s="233" t="s">
        <v>166</v>
      </c>
      <c r="Y77" s="234" t="s">
        <v>166</v>
      </c>
      <c r="Z77" s="232" t="s">
        <v>166</v>
      </c>
      <c r="AA77" s="233" t="s">
        <v>174</v>
      </c>
      <c r="AB77" s="233" t="s">
        <v>166</v>
      </c>
      <c r="AC77" s="233" t="s">
        <v>166</v>
      </c>
      <c r="AD77" s="233" t="s">
        <v>166</v>
      </c>
      <c r="AE77" s="233" t="s">
        <v>174</v>
      </c>
      <c r="AF77" s="233" t="s">
        <v>166</v>
      </c>
      <c r="AG77" s="240" t="s">
        <v>1735</v>
      </c>
      <c r="AH77" s="240" t="s">
        <v>214</v>
      </c>
    </row>
    <row r="78">
      <c r="A78" s="230" t="s">
        <v>2003</v>
      </c>
      <c r="B78" s="231" t="s">
        <v>2083</v>
      </c>
      <c r="C78" s="232">
        <v>92.0</v>
      </c>
      <c r="D78" s="233">
        <v>117.0</v>
      </c>
      <c r="E78" s="233">
        <v>97.0</v>
      </c>
      <c r="F78" s="233">
        <v>35.0</v>
      </c>
      <c r="G78" s="234" t="s">
        <v>164</v>
      </c>
      <c r="H78" s="232" t="s">
        <v>170</v>
      </c>
      <c r="I78" s="233" t="s">
        <v>170</v>
      </c>
      <c r="J78" s="233">
        <v>29.8</v>
      </c>
      <c r="K78" s="233">
        <v>2800.0</v>
      </c>
      <c r="L78" s="233" t="s">
        <v>44</v>
      </c>
      <c r="M78" s="234">
        <v>250.0</v>
      </c>
      <c r="N78" s="232" t="s">
        <v>166</v>
      </c>
      <c r="O78" s="233" t="s">
        <v>166</v>
      </c>
      <c r="P78" s="233" t="s">
        <v>166</v>
      </c>
      <c r="Q78" s="233" t="s">
        <v>166</v>
      </c>
      <c r="R78" s="235" t="s">
        <v>166</v>
      </c>
      <c r="S78" s="235" t="s">
        <v>166</v>
      </c>
      <c r="T78" s="236" t="s">
        <v>166</v>
      </c>
      <c r="U78" s="237">
        <v>29.8</v>
      </c>
      <c r="V78" s="232" t="s">
        <v>166</v>
      </c>
      <c r="W78" s="247" t="s">
        <v>166</v>
      </c>
      <c r="X78" s="233" t="s">
        <v>166</v>
      </c>
      <c r="Y78" s="234" t="s">
        <v>166</v>
      </c>
      <c r="Z78" s="232" t="s">
        <v>166</v>
      </c>
      <c r="AA78" s="233" t="s">
        <v>174</v>
      </c>
      <c r="AB78" s="233" t="s">
        <v>166</v>
      </c>
      <c r="AC78" s="233" t="s">
        <v>174</v>
      </c>
      <c r="AD78" s="233" t="s">
        <v>174</v>
      </c>
      <c r="AE78" s="233" t="s">
        <v>170</v>
      </c>
      <c r="AF78" s="233" t="s">
        <v>174</v>
      </c>
      <c r="AG78" s="240" t="s">
        <v>2003</v>
      </c>
      <c r="AH78" s="240"/>
    </row>
    <row r="79">
      <c r="A79" s="242" t="s">
        <v>1554</v>
      </c>
      <c r="B79" s="243" t="s">
        <v>2084</v>
      </c>
      <c r="C79" s="221">
        <v>240.0</v>
      </c>
      <c r="D79" s="222">
        <v>272.0</v>
      </c>
      <c r="E79" s="222">
        <v>121.0</v>
      </c>
      <c r="F79" s="222">
        <v>27.0</v>
      </c>
      <c r="G79" s="223" t="s">
        <v>164</v>
      </c>
      <c r="H79" s="221">
        <v>100.0</v>
      </c>
      <c r="I79" s="222">
        <v>100.0</v>
      </c>
      <c r="J79" s="222">
        <v>70.0</v>
      </c>
      <c r="K79" s="222" t="s">
        <v>170</v>
      </c>
      <c r="L79" s="222" t="s">
        <v>44</v>
      </c>
      <c r="M79" s="223">
        <v>380.0</v>
      </c>
      <c r="N79" s="221">
        <v>2.0</v>
      </c>
      <c r="O79" s="222" t="s">
        <v>2002</v>
      </c>
      <c r="P79" s="222">
        <v>25.0</v>
      </c>
      <c r="Q79" s="222">
        <v>2000.0</v>
      </c>
      <c r="R79" s="224">
        <v>71.6</v>
      </c>
      <c r="S79" s="224">
        <v>3.94</v>
      </c>
      <c r="T79" s="225">
        <v>29.7</v>
      </c>
      <c r="U79" s="226">
        <v>52.0</v>
      </c>
      <c r="V79" s="221" t="s">
        <v>166</v>
      </c>
      <c r="W79" s="241" t="s">
        <v>166</v>
      </c>
      <c r="X79" s="222" t="s">
        <v>174</v>
      </c>
      <c r="Y79" s="223" t="s">
        <v>174</v>
      </c>
      <c r="Z79" s="221" t="s">
        <v>166</v>
      </c>
      <c r="AA79" s="222" t="s">
        <v>174</v>
      </c>
      <c r="AB79" s="222" t="s">
        <v>166</v>
      </c>
      <c r="AC79" s="222" t="s">
        <v>174</v>
      </c>
      <c r="AD79" s="222" t="s">
        <v>174</v>
      </c>
      <c r="AE79" s="222" t="s">
        <v>170</v>
      </c>
      <c r="AF79" s="222" t="s">
        <v>174</v>
      </c>
      <c r="AG79" s="229" t="s">
        <v>2003</v>
      </c>
      <c r="AH79" s="229"/>
    </row>
    <row r="80">
      <c r="A80" s="242" t="s">
        <v>1554</v>
      </c>
      <c r="B80" s="248" t="s">
        <v>2085</v>
      </c>
      <c r="C80" s="221">
        <v>360.0</v>
      </c>
      <c r="D80" s="222">
        <v>394.0</v>
      </c>
      <c r="E80" s="222">
        <v>121.0</v>
      </c>
      <c r="F80" s="222">
        <v>27.0</v>
      </c>
      <c r="G80" s="223" t="s">
        <v>164</v>
      </c>
      <c r="H80" s="221">
        <v>100.0</v>
      </c>
      <c r="I80" s="222">
        <v>100.0</v>
      </c>
      <c r="J80" s="222">
        <v>70.0</v>
      </c>
      <c r="K80" s="222" t="s">
        <v>170</v>
      </c>
      <c r="L80" s="222" t="s">
        <v>44</v>
      </c>
      <c r="M80" s="223">
        <v>380.0</v>
      </c>
      <c r="N80" s="221">
        <v>3.0</v>
      </c>
      <c r="O80" s="222" t="s">
        <v>2002</v>
      </c>
      <c r="P80" s="222">
        <v>25.0</v>
      </c>
      <c r="Q80" s="222">
        <v>2000.0</v>
      </c>
      <c r="R80" s="224">
        <v>71.6</v>
      </c>
      <c r="S80" s="224">
        <v>3.94</v>
      </c>
      <c r="T80" s="225">
        <v>29.7</v>
      </c>
      <c r="U80" s="226">
        <v>52.0</v>
      </c>
      <c r="V80" s="221" t="s">
        <v>166</v>
      </c>
      <c r="W80" s="241" t="s">
        <v>166</v>
      </c>
      <c r="X80" s="222" t="s">
        <v>174</v>
      </c>
      <c r="Y80" s="223" t="s">
        <v>174</v>
      </c>
      <c r="Z80" s="221" t="s">
        <v>166</v>
      </c>
      <c r="AA80" s="222" t="s">
        <v>174</v>
      </c>
      <c r="AB80" s="222" t="s">
        <v>166</v>
      </c>
      <c r="AC80" s="222" t="s">
        <v>174</v>
      </c>
      <c r="AD80" s="222" t="s">
        <v>174</v>
      </c>
      <c r="AE80" s="222" t="s">
        <v>170</v>
      </c>
      <c r="AF80" s="222" t="s">
        <v>174</v>
      </c>
      <c r="AG80" s="229" t="s">
        <v>2003</v>
      </c>
      <c r="AH80" s="229"/>
    </row>
    <row r="81">
      <c r="A81" s="242" t="s">
        <v>1554</v>
      </c>
      <c r="B81" s="248" t="s">
        <v>2086</v>
      </c>
      <c r="C81" s="221">
        <v>240.0</v>
      </c>
      <c r="D81" s="222">
        <v>272.0</v>
      </c>
      <c r="E81" s="222">
        <v>121.0</v>
      </c>
      <c r="F81" s="222">
        <v>27.0</v>
      </c>
      <c r="G81" s="223" t="s">
        <v>164</v>
      </c>
      <c r="H81" s="221">
        <v>87.5</v>
      </c>
      <c r="I81" s="222">
        <v>81.0</v>
      </c>
      <c r="J81" s="222">
        <v>78.15</v>
      </c>
      <c r="K81" s="222">
        <v>2800.0</v>
      </c>
      <c r="L81" s="222" t="s">
        <v>44</v>
      </c>
      <c r="M81" s="223">
        <v>380.0</v>
      </c>
      <c r="N81" s="221">
        <v>2.0</v>
      </c>
      <c r="O81" s="222" t="s">
        <v>2002</v>
      </c>
      <c r="P81" s="222">
        <v>25.0</v>
      </c>
      <c r="Q81" s="222">
        <v>2000.0</v>
      </c>
      <c r="R81" s="224">
        <v>71.6</v>
      </c>
      <c r="S81" s="224">
        <v>3.94</v>
      </c>
      <c r="T81" s="225">
        <v>29.7</v>
      </c>
      <c r="U81" s="226">
        <v>52.0</v>
      </c>
      <c r="V81" s="221" t="s">
        <v>166</v>
      </c>
      <c r="W81" s="241" t="s">
        <v>166</v>
      </c>
      <c r="X81" s="222" t="s">
        <v>174</v>
      </c>
      <c r="Y81" s="223" t="s">
        <v>174</v>
      </c>
      <c r="Z81" s="221" t="s">
        <v>166</v>
      </c>
      <c r="AA81" s="222" t="s">
        <v>174</v>
      </c>
      <c r="AB81" s="222" t="s">
        <v>166</v>
      </c>
      <c r="AC81" s="222" t="s">
        <v>174</v>
      </c>
      <c r="AD81" s="222" t="s">
        <v>174</v>
      </c>
      <c r="AE81" s="222" t="s">
        <v>174</v>
      </c>
      <c r="AF81" s="222" t="s">
        <v>174</v>
      </c>
      <c r="AG81" s="229" t="s">
        <v>2003</v>
      </c>
      <c r="AH81" s="229"/>
    </row>
    <row r="82">
      <c r="A82" s="242" t="s">
        <v>1554</v>
      </c>
      <c r="B82" s="220" t="s">
        <v>2087</v>
      </c>
      <c r="C82" s="221">
        <v>240.0</v>
      </c>
      <c r="D82" s="222">
        <v>272.0</v>
      </c>
      <c r="E82" s="222">
        <v>121.0</v>
      </c>
      <c r="F82" s="222">
        <v>27.0</v>
      </c>
      <c r="G82" s="223" t="s">
        <v>164</v>
      </c>
      <c r="H82" s="221">
        <v>87.5</v>
      </c>
      <c r="I82" s="222">
        <v>81.0</v>
      </c>
      <c r="J82" s="222">
        <v>78.15</v>
      </c>
      <c r="K82" s="222">
        <v>2800.0</v>
      </c>
      <c r="L82" s="222" t="s">
        <v>44</v>
      </c>
      <c r="M82" s="223">
        <v>380.0</v>
      </c>
      <c r="N82" s="221">
        <v>2.0</v>
      </c>
      <c r="O82" s="222" t="s">
        <v>2002</v>
      </c>
      <c r="P82" s="222">
        <v>25.0</v>
      </c>
      <c r="Q82" s="222">
        <v>2000.0</v>
      </c>
      <c r="R82" s="224">
        <v>71.6</v>
      </c>
      <c r="S82" s="224">
        <v>3.94</v>
      </c>
      <c r="T82" s="225">
        <v>29.7</v>
      </c>
      <c r="U82" s="226">
        <v>52.0</v>
      </c>
      <c r="V82" s="221" t="s">
        <v>166</v>
      </c>
      <c r="W82" s="241" t="s">
        <v>174</v>
      </c>
      <c r="X82" s="222" t="s">
        <v>174</v>
      </c>
      <c r="Y82" s="223" t="s">
        <v>174</v>
      </c>
      <c r="Z82" s="221" t="s">
        <v>166</v>
      </c>
      <c r="AA82" s="222" t="s">
        <v>174</v>
      </c>
      <c r="AB82" s="222" t="s">
        <v>166</v>
      </c>
      <c r="AC82" s="222" t="s">
        <v>174</v>
      </c>
      <c r="AD82" s="222" t="s">
        <v>174</v>
      </c>
      <c r="AE82" s="222" t="s">
        <v>174</v>
      </c>
      <c r="AF82" s="222" t="s">
        <v>174</v>
      </c>
      <c r="AG82" s="229" t="s">
        <v>2003</v>
      </c>
      <c r="AH82" s="229"/>
    </row>
    <row r="83">
      <c r="A83" s="242" t="s">
        <v>1554</v>
      </c>
      <c r="B83" s="220" t="s">
        <v>2088</v>
      </c>
      <c r="C83" s="221">
        <v>360.0</v>
      </c>
      <c r="D83" s="222">
        <v>394.0</v>
      </c>
      <c r="E83" s="222">
        <v>121.0</v>
      </c>
      <c r="F83" s="222">
        <v>27.0</v>
      </c>
      <c r="G83" s="223" t="s">
        <v>164</v>
      </c>
      <c r="H83" s="221">
        <v>87.5</v>
      </c>
      <c r="I83" s="222">
        <v>81.0</v>
      </c>
      <c r="J83" s="222">
        <v>78.15</v>
      </c>
      <c r="K83" s="222">
        <v>2800.0</v>
      </c>
      <c r="L83" s="222" t="s">
        <v>44</v>
      </c>
      <c r="M83" s="223">
        <v>380.0</v>
      </c>
      <c r="N83" s="221">
        <v>3.0</v>
      </c>
      <c r="O83" s="222" t="s">
        <v>2002</v>
      </c>
      <c r="P83" s="222">
        <v>25.0</v>
      </c>
      <c r="Q83" s="222">
        <v>2000.0</v>
      </c>
      <c r="R83" s="224">
        <v>71.6</v>
      </c>
      <c r="S83" s="224">
        <v>3.94</v>
      </c>
      <c r="T83" s="225">
        <v>29.7</v>
      </c>
      <c r="U83" s="226">
        <v>52.0</v>
      </c>
      <c r="V83" s="221" t="s">
        <v>166</v>
      </c>
      <c r="W83" s="241" t="s">
        <v>166</v>
      </c>
      <c r="X83" s="222" t="s">
        <v>174</v>
      </c>
      <c r="Y83" s="223" t="s">
        <v>174</v>
      </c>
      <c r="Z83" s="221" t="s">
        <v>166</v>
      </c>
      <c r="AA83" s="222" t="s">
        <v>174</v>
      </c>
      <c r="AB83" s="222" t="s">
        <v>166</v>
      </c>
      <c r="AC83" s="222" t="s">
        <v>174</v>
      </c>
      <c r="AD83" s="222" t="s">
        <v>174</v>
      </c>
      <c r="AE83" s="222" t="s">
        <v>174</v>
      </c>
      <c r="AF83" s="222" t="s">
        <v>174</v>
      </c>
      <c r="AG83" s="229" t="s">
        <v>2003</v>
      </c>
      <c r="AH83" s="229"/>
    </row>
    <row r="84">
      <c r="A84" s="242" t="s">
        <v>1554</v>
      </c>
      <c r="B84" s="220" t="s">
        <v>2089</v>
      </c>
      <c r="C84" s="221">
        <v>360.0</v>
      </c>
      <c r="D84" s="222">
        <v>394.0</v>
      </c>
      <c r="E84" s="222">
        <v>121.0</v>
      </c>
      <c r="F84" s="222">
        <v>27.0</v>
      </c>
      <c r="G84" s="223" t="s">
        <v>164</v>
      </c>
      <c r="H84" s="221">
        <v>87.5</v>
      </c>
      <c r="I84" s="222">
        <v>81.0</v>
      </c>
      <c r="J84" s="222">
        <v>78.15</v>
      </c>
      <c r="K84" s="222">
        <v>2800.0</v>
      </c>
      <c r="L84" s="222" t="s">
        <v>44</v>
      </c>
      <c r="M84" s="223">
        <v>380.0</v>
      </c>
      <c r="N84" s="221">
        <v>3.0</v>
      </c>
      <c r="O84" s="222" t="s">
        <v>2002</v>
      </c>
      <c r="P84" s="222">
        <v>25.0</v>
      </c>
      <c r="Q84" s="222">
        <v>2200.0</v>
      </c>
      <c r="R84" s="224">
        <v>70.07</v>
      </c>
      <c r="S84" s="224">
        <v>3.88</v>
      </c>
      <c r="T84" s="225">
        <v>36.45</v>
      </c>
      <c r="U84" s="226">
        <v>52.0</v>
      </c>
      <c r="V84" s="221" t="s">
        <v>166</v>
      </c>
      <c r="W84" s="241" t="s">
        <v>174</v>
      </c>
      <c r="X84" s="222" t="s">
        <v>174</v>
      </c>
      <c r="Y84" s="223" t="s">
        <v>174</v>
      </c>
      <c r="Z84" s="221" t="s">
        <v>166</v>
      </c>
      <c r="AA84" s="222" t="s">
        <v>174</v>
      </c>
      <c r="AB84" s="222" t="s">
        <v>166</v>
      </c>
      <c r="AC84" s="222" t="s">
        <v>174</v>
      </c>
      <c r="AD84" s="222" t="s">
        <v>174</v>
      </c>
      <c r="AE84" s="222" t="s">
        <v>174</v>
      </c>
      <c r="AF84" s="222" t="s">
        <v>174</v>
      </c>
      <c r="AG84" s="229" t="s">
        <v>2003</v>
      </c>
      <c r="AH84" s="229"/>
    </row>
    <row r="85">
      <c r="A85" s="242" t="s">
        <v>1554</v>
      </c>
      <c r="B85" s="220" t="s">
        <v>2090</v>
      </c>
      <c r="C85" s="221">
        <v>360.0</v>
      </c>
      <c r="D85" s="222">
        <v>394.0</v>
      </c>
      <c r="E85" s="222">
        <v>121.0</v>
      </c>
      <c r="F85" s="222">
        <v>27.0</v>
      </c>
      <c r="G85" s="223" t="s">
        <v>164</v>
      </c>
      <c r="H85" s="221">
        <v>87.5</v>
      </c>
      <c r="I85" s="222">
        <v>81.0</v>
      </c>
      <c r="J85" s="222">
        <v>78.15</v>
      </c>
      <c r="K85" s="222">
        <v>2800.0</v>
      </c>
      <c r="L85" s="222" t="s">
        <v>44</v>
      </c>
      <c r="M85" s="223">
        <v>380.0</v>
      </c>
      <c r="N85" s="221">
        <v>3.0</v>
      </c>
      <c r="O85" s="222" t="s">
        <v>2002</v>
      </c>
      <c r="P85" s="222">
        <v>25.0</v>
      </c>
      <c r="Q85" s="222">
        <v>2200.0</v>
      </c>
      <c r="R85" s="224">
        <v>70.07</v>
      </c>
      <c r="S85" s="224">
        <v>3.88</v>
      </c>
      <c r="T85" s="225">
        <v>36.45</v>
      </c>
      <c r="U85" s="226">
        <v>52.0</v>
      </c>
      <c r="V85" s="221" t="s">
        <v>166</v>
      </c>
      <c r="W85" s="241" t="s">
        <v>174</v>
      </c>
      <c r="X85" s="222" t="s">
        <v>174</v>
      </c>
      <c r="Y85" s="223" t="s">
        <v>174</v>
      </c>
      <c r="Z85" s="221" t="s">
        <v>166</v>
      </c>
      <c r="AA85" s="222" t="s">
        <v>174</v>
      </c>
      <c r="AB85" s="222" t="s">
        <v>166</v>
      </c>
      <c r="AC85" s="222" t="s">
        <v>174</v>
      </c>
      <c r="AD85" s="222" t="s">
        <v>174</v>
      </c>
      <c r="AE85" s="222" t="s">
        <v>174</v>
      </c>
      <c r="AF85" s="222" t="s">
        <v>174</v>
      </c>
      <c r="AG85" s="229" t="s">
        <v>2003</v>
      </c>
      <c r="AH85" s="229"/>
    </row>
    <row r="86">
      <c r="A86" s="242" t="s">
        <v>1554</v>
      </c>
      <c r="B86" s="220" t="s">
        <v>2091</v>
      </c>
      <c r="C86" s="221">
        <v>240.0</v>
      </c>
      <c r="D86" s="222">
        <v>279.5</v>
      </c>
      <c r="E86" s="222">
        <v>120.0</v>
      </c>
      <c r="F86" s="222">
        <v>30.0</v>
      </c>
      <c r="G86" s="223" t="s">
        <v>164</v>
      </c>
      <c r="H86" s="221">
        <v>101.0</v>
      </c>
      <c r="I86" s="222">
        <v>91.0</v>
      </c>
      <c r="J86" s="222">
        <v>89.0</v>
      </c>
      <c r="K86" s="222">
        <v>3600.0</v>
      </c>
      <c r="L86" s="222" t="s">
        <v>44</v>
      </c>
      <c r="M86" s="223">
        <v>400.0</v>
      </c>
      <c r="N86" s="221">
        <v>2.0</v>
      </c>
      <c r="O86" s="222" t="s">
        <v>2002</v>
      </c>
      <c r="P86" s="222">
        <v>25.0</v>
      </c>
      <c r="Q86" s="222">
        <v>2000.0</v>
      </c>
      <c r="R86" s="224">
        <v>71.6</v>
      </c>
      <c r="S86" s="224">
        <v>3.94</v>
      </c>
      <c r="T86" s="225">
        <v>29.7</v>
      </c>
      <c r="U86" s="226">
        <v>55.0</v>
      </c>
      <c r="V86" s="221" t="s">
        <v>166</v>
      </c>
      <c r="W86" s="241" t="s">
        <v>166</v>
      </c>
      <c r="X86" s="222" t="s">
        <v>174</v>
      </c>
      <c r="Y86" s="223" t="s">
        <v>166</v>
      </c>
      <c r="Z86" s="221" t="s">
        <v>166</v>
      </c>
      <c r="AA86" s="222" t="s">
        <v>174</v>
      </c>
      <c r="AB86" s="222" t="s">
        <v>166</v>
      </c>
      <c r="AC86" s="222" t="s">
        <v>174</v>
      </c>
      <c r="AD86" s="222" t="s">
        <v>166</v>
      </c>
      <c r="AE86" s="222" t="s">
        <v>174</v>
      </c>
      <c r="AF86" s="222" t="s">
        <v>166</v>
      </c>
      <c r="AG86" s="229" t="s">
        <v>2003</v>
      </c>
      <c r="AH86" s="229"/>
    </row>
    <row r="87">
      <c r="A87" s="242" t="s">
        <v>1554</v>
      </c>
      <c r="B87" s="220" t="s">
        <v>2092</v>
      </c>
      <c r="C87" s="221">
        <v>240.0</v>
      </c>
      <c r="D87" s="222">
        <v>279.5</v>
      </c>
      <c r="E87" s="222">
        <v>120.0</v>
      </c>
      <c r="F87" s="222">
        <v>30.0</v>
      </c>
      <c r="G87" s="223" t="s">
        <v>164</v>
      </c>
      <c r="H87" s="221">
        <v>101.0</v>
      </c>
      <c r="I87" s="222">
        <v>91.0</v>
      </c>
      <c r="J87" s="222">
        <v>89.0</v>
      </c>
      <c r="K87" s="222">
        <v>3600.0</v>
      </c>
      <c r="L87" s="222" t="s">
        <v>44</v>
      </c>
      <c r="M87" s="223">
        <v>400.0</v>
      </c>
      <c r="N87" s="221">
        <v>2.0</v>
      </c>
      <c r="O87" s="222" t="s">
        <v>2002</v>
      </c>
      <c r="P87" s="222">
        <v>25.0</v>
      </c>
      <c r="Q87" s="222">
        <v>2200.0</v>
      </c>
      <c r="R87" s="224">
        <v>70.07</v>
      </c>
      <c r="S87" s="224">
        <v>3.88</v>
      </c>
      <c r="T87" s="225">
        <v>36.45</v>
      </c>
      <c r="U87" s="226">
        <v>55.0</v>
      </c>
      <c r="V87" s="221" t="s">
        <v>166</v>
      </c>
      <c r="W87" s="241" t="s">
        <v>174</v>
      </c>
      <c r="X87" s="222" t="s">
        <v>174</v>
      </c>
      <c r="Y87" s="223" t="s">
        <v>166</v>
      </c>
      <c r="Z87" s="221" t="s">
        <v>166</v>
      </c>
      <c r="AA87" s="222" t="s">
        <v>174</v>
      </c>
      <c r="AB87" s="222" t="s">
        <v>166</v>
      </c>
      <c r="AC87" s="222" t="s">
        <v>174</v>
      </c>
      <c r="AD87" s="222" t="s">
        <v>166</v>
      </c>
      <c r="AE87" s="222" t="s">
        <v>174</v>
      </c>
      <c r="AF87" s="222" t="s">
        <v>166</v>
      </c>
      <c r="AG87" s="229" t="s">
        <v>2003</v>
      </c>
      <c r="AH87" s="229"/>
    </row>
    <row r="88">
      <c r="A88" s="242" t="s">
        <v>1554</v>
      </c>
      <c r="B88" s="220" t="s">
        <v>2093</v>
      </c>
      <c r="C88" s="221">
        <v>360.0</v>
      </c>
      <c r="D88" s="222">
        <v>399.5</v>
      </c>
      <c r="E88" s="222">
        <v>120.0</v>
      </c>
      <c r="F88" s="222">
        <v>30.0</v>
      </c>
      <c r="G88" s="223" t="s">
        <v>164</v>
      </c>
      <c r="H88" s="221">
        <v>101.0</v>
      </c>
      <c r="I88" s="222">
        <v>91.0</v>
      </c>
      <c r="J88" s="222">
        <v>89.0</v>
      </c>
      <c r="K88" s="222">
        <v>3600.0</v>
      </c>
      <c r="L88" s="222" t="s">
        <v>44</v>
      </c>
      <c r="M88" s="223">
        <v>400.0</v>
      </c>
      <c r="N88" s="221">
        <v>3.0</v>
      </c>
      <c r="O88" s="222" t="s">
        <v>2002</v>
      </c>
      <c r="P88" s="222">
        <v>25.0</v>
      </c>
      <c r="Q88" s="222">
        <v>2000.0</v>
      </c>
      <c r="R88" s="224">
        <v>71.6</v>
      </c>
      <c r="S88" s="224">
        <v>3.94</v>
      </c>
      <c r="T88" s="225">
        <v>29.7</v>
      </c>
      <c r="U88" s="226">
        <v>55.0</v>
      </c>
      <c r="V88" s="221" t="s">
        <v>166</v>
      </c>
      <c r="W88" s="241" t="s">
        <v>166</v>
      </c>
      <c r="X88" s="222" t="s">
        <v>174</v>
      </c>
      <c r="Y88" s="223" t="s">
        <v>166</v>
      </c>
      <c r="Z88" s="221" t="s">
        <v>166</v>
      </c>
      <c r="AA88" s="222" t="s">
        <v>174</v>
      </c>
      <c r="AB88" s="222" t="s">
        <v>166</v>
      </c>
      <c r="AC88" s="222" t="s">
        <v>174</v>
      </c>
      <c r="AD88" s="222" t="s">
        <v>166</v>
      </c>
      <c r="AE88" s="222" t="s">
        <v>174</v>
      </c>
      <c r="AF88" s="222" t="s">
        <v>166</v>
      </c>
      <c r="AG88" s="229" t="s">
        <v>2003</v>
      </c>
      <c r="AH88" s="229"/>
    </row>
    <row r="89">
      <c r="A89" s="242" t="s">
        <v>1554</v>
      </c>
      <c r="B89" s="220" t="s">
        <v>2094</v>
      </c>
      <c r="C89" s="221">
        <v>360.0</v>
      </c>
      <c r="D89" s="222">
        <v>399.5</v>
      </c>
      <c r="E89" s="222">
        <v>120.0</v>
      </c>
      <c r="F89" s="222">
        <v>30.0</v>
      </c>
      <c r="G89" s="223" t="s">
        <v>164</v>
      </c>
      <c r="H89" s="221">
        <v>101.0</v>
      </c>
      <c r="I89" s="222">
        <v>91.0</v>
      </c>
      <c r="J89" s="222">
        <v>89.0</v>
      </c>
      <c r="K89" s="222">
        <v>3600.0</v>
      </c>
      <c r="L89" s="222" t="s">
        <v>44</v>
      </c>
      <c r="M89" s="223">
        <v>400.0</v>
      </c>
      <c r="N89" s="221">
        <v>3.0</v>
      </c>
      <c r="O89" s="222" t="s">
        <v>2002</v>
      </c>
      <c r="P89" s="222">
        <v>25.0</v>
      </c>
      <c r="Q89" s="222">
        <v>2200.0</v>
      </c>
      <c r="R89" s="224">
        <v>70.07</v>
      </c>
      <c r="S89" s="224">
        <v>3.88</v>
      </c>
      <c r="T89" s="225">
        <v>36.45</v>
      </c>
      <c r="U89" s="226">
        <v>55.0</v>
      </c>
      <c r="V89" s="221" t="s">
        <v>166</v>
      </c>
      <c r="W89" s="241" t="s">
        <v>174</v>
      </c>
      <c r="X89" s="222" t="s">
        <v>174</v>
      </c>
      <c r="Y89" s="223" t="s">
        <v>166</v>
      </c>
      <c r="Z89" s="221" t="s">
        <v>166</v>
      </c>
      <c r="AA89" s="222" t="s">
        <v>174</v>
      </c>
      <c r="AB89" s="222" t="s">
        <v>166</v>
      </c>
      <c r="AC89" s="222" t="s">
        <v>174</v>
      </c>
      <c r="AD89" s="222" t="s">
        <v>166</v>
      </c>
      <c r="AE89" s="222" t="s">
        <v>174</v>
      </c>
      <c r="AF89" s="222" t="s">
        <v>166</v>
      </c>
      <c r="AG89" s="229" t="s">
        <v>2003</v>
      </c>
      <c r="AH89" s="229"/>
    </row>
    <row r="90">
      <c r="A90" s="242" t="s">
        <v>1554</v>
      </c>
      <c r="B90" s="220" t="s">
        <v>2095</v>
      </c>
      <c r="C90" s="221">
        <v>360.0</v>
      </c>
      <c r="D90" s="222">
        <v>399.5</v>
      </c>
      <c r="E90" s="222">
        <v>120.0</v>
      </c>
      <c r="F90" s="222">
        <v>30.0</v>
      </c>
      <c r="G90" s="223" t="s">
        <v>164</v>
      </c>
      <c r="H90" s="221">
        <v>101.0</v>
      </c>
      <c r="I90" s="222">
        <v>91.0</v>
      </c>
      <c r="J90" s="222">
        <v>89.0</v>
      </c>
      <c r="K90" s="222">
        <v>3600.0</v>
      </c>
      <c r="L90" s="222" t="s">
        <v>44</v>
      </c>
      <c r="M90" s="223">
        <v>400.0</v>
      </c>
      <c r="N90" s="221">
        <v>3.0</v>
      </c>
      <c r="O90" s="222" t="s">
        <v>2002</v>
      </c>
      <c r="P90" s="222">
        <v>25.0</v>
      </c>
      <c r="Q90" s="222">
        <v>2200.0</v>
      </c>
      <c r="R90" s="224">
        <v>70.07</v>
      </c>
      <c r="S90" s="224">
        <v>3.88</v>
      </c>
      <c r="T90" s="225">
        <v>36.45</v>
      </c>
      <c r="U90" s="226">
        <v>55.0</v>
      </c>
      <c r="V90" s="221" t="s">
        <v>166</v>
      </c>
      <c r="W90" s="241" t="s">
        <v>174</v>
      </c>
      <c r="X90" s="222" t="s">
        <v>174</v>
      </c>
      <c r="Y90" s="223" t="s">
        <v>166</v>
      </c>
      <c r="Z90" s="221" t="s">
        <v>166</v>
      </c>
      <c r="AA90" s="222" t="s">
        <v>174</v>
      </c>
      <c r="AB90" s="222" t="s">
        <v>166</v>
      </c>
      <c r="AC90" s="222" t="s">
        <v>174</v>
      </c>
      <c r="AD90" s="222" t="s">
        <v>166</v>
      </c>
      <c r="AE90" s="222" t="s">
        <v>174</v>
      </c>
      <c r="AF90" s="222" t="s">
        <v>166</v>
      </c>
      <c r="AG90" s="229" t="s">
        <v>2003</v>
      </c>
      <c r="AH90" s="229"/>
    </row>
    <row r="91">
      <c r="A91" s="242" t="s">
        <v>1554</v>
      </c>
      <c r="B91" s="243" t="s">
        <v>2096</v>
      </c>
      <c r="C91" s="221">
        <v>120.0</v>
      </c>
      <c r="D91" s="222">
        <v>150.0</v>
      </c>
      <c r="E91" s="222">
        <v>122.0</v>
      </c>
      <c r="F91" s="222">
        <v>27.0</v>
      </c>
      <c r="G91" s="223" t="s">
        <v>164</v>
      </c>
      <c r="H91" s="221">
        <v>80.0</v>
      </c>
      <c r="I91" s="222">
        <v>80.0</v>
      </c>
      <c r="J91" s="222">
        <v>45.0</v>
      </c>
      <c r="K91" s="222" t="s">
        <v>170</v>
      </c>
      <c r="L91" s="222" t="s">
        <v>44</v>
      </c>
      <c r="M91" s="223">
        <v>380.0</v>
      </c>
      <c r="N91" s="221">
        <v>1.0</v>
      </c>
      <c r="O91" s="222" t="s">
        <v>2002</v>
      </c>
      <c r="P91" s="222">
        <v>25.0</v>
      </c>
      <c r="Q91" s="222">
        <v>2500.0</v>
      </c>
      <c r="R91" s="224">
        <v>80.95</v>
      </c>
      <c r="S91" s="224">
        <v>5.0</v>
      </c>
      <c r="T91" s="225">
        <v>37.6</v>
      </c>
      <c r="U91" s="226">
        <v>52.0</v>
      </c>
      <c r="V91" s="227" t="s">
        <v>166</v>
      </c>
      <c r="W91" s="228" t="s">
        <v>166</v>
      </c>
      <c r="X91" s="222" t="s">
        <v>174</v>
      </c>
      <c r="Y91" s="223" t="s">
        <v>174</v>
      </c>
      <c r="Z91" s="221" t="s">
        <v>166</v>
      </c>
      <c r="AA91" s="222" t="s">
        <v>174</v>
      </c>
      <c r="AB91" s="222" t="s">
        <v>166</v>
      </c>
      <c r="AC91" s="222" t="s">
        <v>174</v>
      </c>
      <c r="AD91" s="222" t="s">
        <v>174</v>
      </c>
      <c r="AE91" s="222" t="s">
        <v>170</v>
      </c>
      <c r="AF91" s="222" t="s">
        <v>174</v>
      </c>
      <c r="AG91" s="229" t="s">
        <v>2003</v>
      </c>
      <c r="AH91" s="229"/>
    </row>
    <row r="92">
      <c r="A92" s="242" t="s">
        <v>1554</v>
      </c>
      <c r="B92" s="243" t="s">
        <v>2097</v>
      </c>
      <c r="C92" s="221">
        <v>240.0</v>
      </c>
      <c r="D92" s="222">
        <v>272.0</v>
      </c>
      <c r="E92" s="222">
        <v>121.0</v>
      </c>
      <c r="F92" s="222">
        <v>27.0</v>
      </c>
      <c r="G92" s="223" t="s">
        <v>164</v>
      </c>
      <c r="H92" s="221">
        <v>80.0</v>
      </c>
      <c r="I92" s="222">
        <v>80.0</v>
      </c>
      <c r="J92" s="222">
        <v>45.0</v>
      </c>
      <c r="K92" s="222" t="s">
        <v>170</v>
      </c>
      <c r="L92" s="222" t="s">
        <v>44</v>
      </c>
      <c r="M92" s="223">
        <v>380.0</v>
      </c>
      <c r="N92" s="221">
        <v>2.0</v>
      </c>
      <c r="O92" s="222" t="s">
        <v>2002</v>
      </c>
      <c r="P92" s="222">
        <v>25.0</v>
      </c>
      <c r="Q92" s="222">
        <v>2500.0</v>
      </c>
      <c r="R92" s="224">
        <v>80.95</v>
      </c>
      <c r="S92" s="224">
        <v>5.0</v>
      </c>
      <c r="T92" s="225">
        <v>37.6</v>
      </c>
      <c r="U92" s="226">
        <v>52.0</v>
      </c>
      <c r="V92" s="227" t="s">
        <v>166</v>
      </c>
      <c r="W92" s="228" t="s">
        <v>166</v>
      </c>
      <c r="X92" s="222" t="s">
        <v>174</v>
      </c>
      <c r="Y92" s="223" t="s">
        <v>174</v>
      </c>
      <c r="Z92" s="221" t="s">
        <v>166</v>
      </c>
      <c r="AA92" s="222" t="s">
        <v>174</v>
      </c>
      <c r="AB92" s="222" t="s">
        <v>166</v>
      </c>
      <c r="AC92" s="222" t="s">
        <v>174</v>
      </c>
      <c r="AD92" s="222" t="s">
        <v>174</v>
      </c>
      <c r="AE92" s="222" t="s">
        <v>170</v>
      </c>
      <c r="AF92" s="222" t="s">
        <v>174</v>
      </c>
      <c r="AG92" s="229" t="s">
        <v>2003</v>
      </c>
      <c r="AH92" s="229"/>
    </row>
    <row r="93">
      <c r="A93" s="242" t="s">
        <v>1554</v>
      </c>
      <c r="B93" s="220" t="s">
        <v>2098</v>
      </c>
      <c r="C93" s="221">
        <v>240.0</v>
      </c>
      <c r="D93" s="222">
        <v>279.5</v>
      </c>
      <c r="E93" s="222">
        <v>120.0</v>
      </c>
      <c r="F93" s="222">
        <v>30.0</v>
      </c>
      <c r="G93" s="223" t="s">
        <v>164</v>
      </c>
      <c r="H93" s="221">
        <v>89.0</v>
      </c>
      <c r="I93" s="222">
        <v>89.0</v>
      </c>
      <c r="J93" s="222">
        <v>68.3</v>
      </c>
      <c r="K93" s="222">
        <v>2600.0</v>
      </c>
      <c r="L93" s="222" t="s">
        <v>44</v>
      </c>
      <c r="M93" s="223">
        <v>400.0</v>
      </c>
      <c r="N93" s="221">
        <v>2.0</v>
      </c>
      <c r="O93" s="222" t="s">
        <v>2002</v>
      </c>
      <c r="P93" s="222">
        <v>25.0</v>
      </c>
      <c r="Q93" s="222">
        <v>2200.0</v>
      </c>
      <c r="R93" s="224">
        <v>70.07</v>
      </c>
      <c r="S93" s="224">
        <v>3.88</v>
      </c>
      <c r="T93" s="225">
        <v>36.45</v>
      </c>
      <c r="U93" s="226">
        <v>55.0</v>
      </c>
      <c r="V93" s="227" t="s">
        <v>166</v>
      </c>
      <c r="W93" s="228" t="s">
        <v>174</v>
      </c>
      <c r="X93" s="222" t="s">
        <v>174</v>
      </c>
      <c r="Y93" s="223" t="s">
        <v>166</v>
      </c>
      <c r="Z93" s="221" t="s">
        <v>166</v>
      </c>
      <c r="AA93" s="222" t="s">
        <v>174</v>
      </c>
      <c r="AB93" s="222" t="s">
        <v>166</v>
      </c>
      <c r="AC93" s="222" t="s">
        <v>174</v>
      </c>
      <c r="AD93" s="222" t="s">
        <v>166</v>
      </c>
      <c r="AE93" s="222" t="s">
        <v>174</v>
      </c>
      <c r="AF93" s="222" t="s">
        <v>166</v>
      </c>
      <c r="AG93" s="229" t="s">
        <v>2003</v>
      </c>
      <c r="AH93" s="229"/>
    </row>
    <row r="94">
      <c r="A94" s="242" t="s">
        <v>1554</v>
      </c>
      <c r="B94" s="220" t="s">
        <v>2099</v>
      </c>
      <c r="C94" s="221">
        <v>240.0</v>
      </c>
      <c r="D94" s="222">
        <v>279.5</v>
      </c>
      <c r="E94" s="222">
        <v>120.0</v>
      </c>
      <c r="F94" s="222">
        <v>30.0</v>
      </c>
      <c r="G94" s="223" t="s">
        <v>164</v>
      </c>
      <c r="H94" s="221">
        <v>89.0</v>
      </c>
      <c r="I94" s="222">
        <v>89.0</v>
      </c>
      <c r="J94" s="222">
        <v>68.3</v>
      </c>
      <c r="K94" s="222">
        <v>2600.0</v>
      </c>
      <c r="L94" s="222" t="s">
        <v>44</v>
      </c>
      <c r="M94" s="223">
        <v>400.0</v>
      </c>
      <c r="N94" s="221">
        <v>2.0</v>
      </c>
      <c r="O94" s="222" t="s">
        <v>2002</v>
      </c>
      <c r="P94" s="222">
        <v>25.0</v>
      </c>
      <c r="Q94" s="222">
        <v>2200.0</v>
      </c>
      <c r="R94" s="224">
        <v>70.07</v>
      </c>
      <c r="S94" s="224">
        <v>3.88</v>
      </c>
      <c r="T94" s="225">
        <v>36.45</v>
      </c>
      <c r="U94" s="226">
        <v>55.0</v>
      </c>
      <c r="V94" s="227" t="s">
        <v>166</v>
      </c>
      <c r="W94" s="228" t="s">
        <v>174</v>
      </c>
      <c r="X94" s="222" t="s">
        <v>174</v>
      </c>
      <c r="Y94" s="223" t="s">
        <v>166</v>
      </c>
      <c r="Z94" s="221" t="s">
        <v>166</v>
      </c>
      <c r="AA94" s="222" t="s">
        <v>174</v>
      </c>
      <c r="AB94" s="222" t="s">
        <v>166</v>
      </c>
      <c r="AC94" s="222" t="s">
        <v>174</v>
      </c>
      <c r="AD94" s="222" t="s">
        <v>166</v>
      </c>
      <c r="AE94" s="222" t="s">
        <v>174</v>
      </c>
      <c r="AF94" s="222" t="s">
        <v>166</v>
      </c>
      <c r="AG94" s="229" t="s">
        <v>2003</v>
      </c>
      <c r="AH94" s="229"/>
    </row>
    <row r="95">
      <c r="A95" s="242" t="s">
        <v>1554</v>
      </c>
      <c r="B95" s="220" t="s">
        <v>2100</v>
      </c>
      <c r="C95" s="221">
        <v>360.0</v>
      </c>
      <c r="D95" s="222">
        <v>399.5</v>
      </c>
      <c r="E95" s="222">
        <v>120.0</v>
      </c>
      <c r="F95" s="222">
        <v>30.0</v>
      </c>
      <c r="G95" s="223" t="s">
        <v>164</v>
      </c>
      <c r="H95" s="221">
        <v>89.0</v>
      </c>
      <c r="I95" s="222">
        <v>89.0</v>
      </c>
      <c r="J95" s="222">
        <v>68.3</v>
      </c>
      <c r="K95" s="222">
        <v>2600.0</v>
      </c>
      <c r="L95" s="222" t="s">
        <v>44</v>
      </c>
      <c r="M95" s="223">
        <v>400.0</v>
      </c>
      <c r="N95" s="221">
        <v>3.0</v>
      </c>
      <c r="O95" s="222" t="s">
        <v>2002</v>
      </c>
      <c r="P95" s="222">
        <v>25.0</v>
      </c>
      <c r="Q95" s="222">
        <v>2200.0</v>
      </c>
      <c r="R95" s="224">
        <v>70.07</v>
      </c>
      <c r="S95" s="224">
        <v>3.88</v>
      </c>
      <c r="T95" s="225">
        <v>36.45</v>
      </c>
      <c r="U95" s="226">
        <v>55.0</v>
      </c>
      <c r="V95" s="227" t="s">
        <v>166</v>
      </c>
      <c r="W95" s="228" t="s">
        <v>174</v>
      </c>
      <c r="X95" s="222" t="s">
        <v>174</v>
      </c>
      <c r="Y95" s="223" t="s">
        <v>166</v>
      </c>
      <c r="Z95" s="221" t="s">
        <v>166</v>
      </c>
      <c r="AA95" s="222" t="s">
        <v>174</v>
      </c>
      <c r="AB95" s="222" t="s">
        <v>166</v>
      </c>
      <c r="AC95" s="222" t="s">
        <v>174</v>
      </c>
      <c r="AD95" s="222" t="s">
        <v>166</v>
      </c>
      <c r="AE95" s="222" t="s">
        <v>174</v>
      </c>
      <c r="AF95" s="222" t="s">
        <v>166</v>
      </c>
      <c r="AG95" s="229" t="s">
        <v>2003</v>
      </c>
      <c r="AH95" s="229"/>
    </row>
    <row r="96">
      <c r="A96" s="242" t="s">
        <v>1554</v>
      </c>
      <c r="B96" s="220" t="s">
        <v>2101</v>
      </c>
      <c r="C96" s="221">
        <v>360.0</v>
      </c>
      <c r="D96" s="222">
        <v>399.5</v>
      </c>
      <c r="E96" s="222">
        <v>120.0</v>
      </c>
      <c r="F96" s="222">
        <v>30.0</v>
      </c>
      <c r="G96" s="223" t="s">
        <v>164</v>
      </c>
      <c r="H96" s="221">
        <v>89.0</v>
      </c>
      <c r="I96" s="222">
        <v>89.0</v>
      </c>
      <c r="J96" s="222">
        <v>68.3</v>
      </c>
      <c r="K96" s="222">
        <v>2600.0</v>
      </c>
      <c r="L96" s="222" t="s">
        <v>44</v>
      </c>
      <c r="M96" s="223">
        <v>400.0</v>
      </c>
      <c r="N96" s="221">
        <v>3.0</v>
      </c>
      <c r="O96" s="222" t="s">
        <v>2002</v>
      </c>
      <c r="P96" s="222">
        <v>25.0</v>
      </c>
      <c r="Q96" s="222">
        <v>2200.0</v>
      </c>
      <c r="R96" s="224">
        <v>70.07</v>
      </c>
      <c r="S96" s="224">
        <v>3.88</v>
      </c>
      <c r="T96" s="225">
        <v>36.45</v>
      </c>
      <c r="U96" s="226">
        <v>55.0</v>
      </c>
      <c r="V96" s="227" t="s">
        <v>166</v>
      </c>
      <c r="W96" s="228" t="s">
        <v>174</v>
      </c>
      <c r="X96" s="222" t="s">
        <v>174</v>
      </c>
      <c r="Y96" s="223" t="s">
        <v>166</v>
      </c>
      <c r="Z96" s="221" t="s">
        <v>166</v>
      </c>
      <c r="AA96" s="222" t="s">
        <v>174</v>
      </c>
      <c r="AB96" s="222" t="s">
        <v>166</v>
      </c>
      <c r="AC96" s="222" t="s">
        <v>174</v>
      </c>
      <c r="AD96" s="222" t="s">
        <v>166</v>
      </c>
      <c r="AE96" s="222" t="s">
        <v>174</v>
      </c>
      <c r="AF96" s="222" t="s">
        <v>166</v>
      </c>
      <c r="AG96" s="229" t="s">
        <v>2003</v>
      </c>
      <c r="AH96" s="229"/>
    </row>
    <row r="97">
      <c r="A97" s="242" t="s">
        <v>1554</v>
      </c>
      <c r="B97" s="243" t="s">
        <v>2102</v>
      </c>
      <c r="C97" s="221">
        <v>120.0</v>
      </c>
      <c r="D97" s="222">
        <v>150.0</v>
      </c>
      <c r="E97" s="222">
        <v>122.0</v>
      </c>
      <c r="F97" s="222">
        <v>27.0</v>
      </c>
      <c r="G97" s="223" t="s">
        <v>164</v>
      </c>
      <c r="H97" s="221">
        <v>80.0</v>
      </c>
      <c r="I97" s="222">
        <v>80.0</v>
      </c>
      <c r="J97" s="222">
        <v>45.0</v>
      </c>
      <c r="K97" s="222" t="s">
        <v>170</v>
      </c>
      <c r="L97" s="222" t="s">
        <v>44</v>
      </c>
      <c r="M97" s="223">
        <v>380.0</v>
      </c>
      <c r="N97" s="221">
        <v>1.0</v>
      </c>
      <c r="O97" s="222" t="s">
        <v>2002</v>
      </c>
      <c r="P97" s="222">
        <v>25.0</v>
      </c>
      <c r="Q97" s="222">
        <v>2500.0</v>
      </c>
      <c r="R97" s="224">
        <v>80.95</v>
      </c>
      <c r="S97" s="224">
        <v>5.0</v>
      </c>
      <c r="T97" s="225">
        <v>37.6</v>
      </c>
      <c r="U97" s="226">
        <v>52.0</v>
      </c>
      <c r="V97" s="227" t="s">
        <v>166</v>
      </c>
      <c r="W97" s="228" t="s">
        <v>166</v>
      </c>
      <c r="X97" s="222" t="s">
        <v>174</v>
      </c>
      <c r="Y97" s="223" t="s">
        <v>166</v>
      </c>
      <c r="Z97" s="221" t="s">
        <v>166</v>
      </c>
      <c r="AA97" s="222" t="s">
        <v>174</v>
      </c>
      <c r="AB97" s="222" t="s">
        <v>166</v>
      </c>
      <c r="AC97" s="222" t="s">
        <v>174</v>
      </c>
      <c r="AD97" s="222" t="s">
        <v>174</v>
      </c>
      <c r="AE97" s="222" t="s">
        <v>170</v>
      </c>
      <c r="AF97" s="222" t="s">
        <v>174</v>
      </c>
      <c r="AG97" s="229" t="s">
        <v>2003</v>
      </c>
      <c r="AH97" s="229"/>
    </row>
    <row r="98">
      <c r="A98" s="242" t="s">
        <v>1554</v>
      </c>
      <c r="B98" s="243" t="s">
        <v>2103</v>
      </c>
      <c r="C98" s="221">
        <v>120.0</v>
      </c>
      <c r="D98" s="222">
        <v>150.0</v>
      </c>
      <c r="E98" s="222">
        <v>122.0</v>
      </c>
      <c r="F98" s="222">
        <v>27.0</v>
      </c>
      <c r="G98" s="223" t="s">
        <v>164</v>
      </c>
      <c r="H98" s="221">
        <v>80.0</v>
      </c>
      <c r="I98" s="222">
        <v>80.0</v>
      </c>
      <c r="J98" s="222">
        <v>45.0</v>
      </c>
      <c r="K98" s="222" t="s">
        <v>170</v>
      </c>
      <c r="L98" s="222" t="s">
        <v>44</v>
      </c>
      <c r="M98" s="223">
        <v>380.0</v>
      </c>
      <c r="N98" s="221">
        <v>1.0</v>
      </c>
      <c r="O98" s="222" t="s">
        <v>2002</v>
      </c>
      <c r="P98" s="222">
        <v>25.0</v>
      </c>
      <c r="Q98" s="222">
        <v>2500.0</v>
      </c>
      <c r="R98" s="224">
        <v>80.95</v>
      </c>
      <c r="S98" s="224">
        <v>5.0</v>
      </c>
      <c r="T98" s="225">
        <v>37.6</v>
      </c>
      <c r="U98" s="226">
        <v>52.0</v>
      </c>
      <c r="V98" s="227" t="s">
        <v>166</v>
      </c>
      <c r="W98" s="228" t="s">
        <v>174</v>
      </c>
      <c r="X98" s="222" t="s">
        <v>174</v>
      </c>
      <c r="Y98" s="223" t="s">
        <v>166</v>
      </c>
      <c r="Z98" s="221" t="s">
        <v>166</v>
      </c>
      <c r="AA98" s="222" t="s">
        <v>174</v>
      </c>
      <c r="AB98" s="222" t="s">
        <v>166</v>
      </c>
      <c r="AC98" s="222" t="s">
        <v>174</v>
      </c>
      <c r="AD98" s="222" t="s">
        <v>174</v>
      </c>
      <c r="AE98" s="222" t="s">
        <v>170</v>
      </c>
      <c r="AF98" s="222" t="s">
        <v>174</v>
      </c>
      <c r="AG98" s="229" t="s">
        <v>2003</v>
      </c>
      <c r="AH98" s="229"/>
    </row>
    <row r="99">
      <c r="A99" s="242" t="s">
        <v>1554</v>
      </c>
      <c r="B99" s="243" t="s">
        <v>2104</v>
      </c>
      <c r="C99" s="221">
        <v>240.0</v>
      </c>
      <c r="D99" s="222">
        <v>272.0</v>
      </c>
      <c r="E99" s="222">
        <v>122.0</v>
      </c>
      <c r="F99" s="222">
        <v>27.0</v>
      </c>
      <c r="G99" s="223" t="s">
        <v>164</v>
      </c>
      <c r="H99" s="221">
        <v>80.0</v>
      </c>
      <c r="I99" s="222">
        <v>80.0</v>
      </c>
      <c r="J99" s="222">
        <v>45.0</v>
      </c>
      <c r="K99" s="222" t="s">
        <v>170</v>
      </c>
      <c r="L99" s="222" t="s">
        <v>44</v>
      </c>
      <c r="M99" s="223">
        <v>380.0</v>
      </c>
      <c r="N99" s="221">
        <v>2.0</v>
      </c>
      <c r="O99" s="222" t="s">
        <v>2002</v>
      </c>
      <c r="P99" s="222">
        <v>25.0</v>
      </c>
      <c r="Q99" s="222">
        <v>2500.0</v>
      </c>
      <c r="R99" s="224">
        <v>80.95</v>
      </c>
      <c r="S99" s="224">
        <v>5.0</v>
      </c>
      <c r="T99" s="225">
        <v>37.6</v>
      </c>
      <c r="U99" s="226">
        <v>52.0</v>
      </c>
      <c r="V99" s="227" t="s">
        <v>166</v>
      </c>
      <c r="W99" s="228" t="s">
        <v>166</v>
      </c>
      <c r="X99" s="222" t="s">
        <v>174</v>
      </c>
      <c r="Y99" s="223" t="s">
        <v>166</v>
      </c>
      <c r="Z99" s="221" t="s">
        <v>166</v>
      </c>
      <c r="AA99" s="222" t="s">
        <v>174</v>
      </c>
      <c r="AB99" s="222" t="s">
        <v>166</v>
      </c>
      <c r="AC99" s="222" t="s">
        <v>174</v>
      </c>
      <c r="AD99" s="222" t="s">
        <v>174</v>
      </c>
      <c r="AE99" s="222" t="s">
        <v>170</v>
      </c>
      <c r="AF99" s="222" t="s">
        <v>174</v>
      </c>
      <c r="AG99" s="229" t="s">
        <v>2003</v>
      </c>
      <c r="AH99" s="229"/>
    </row>
    <row r="100">
      <c r="A100" s="242" t="s">
        <v>1554</v>
      </c>
      <c r="B100" s="243" t="s">
        <v>2105</v>
      </c>
      <c r="C100" s="221">
        <v>240.0</v>
      </c>
      <c r="D100" s="222">
        <v>272.0</v>
      </c>
      <c r="E100" s="222">
        <v>122.0</v>
      </c>
      <c r="F100" s="222">
        <v>27.0</v>
      </c>
      <c r="G100" s="223" t="s">
        <v>164</v>
      </c>
      <c r="H100" s="221">
        <v>80.0</v>
      </c>
      <c r="I100" s="222">
        <v>80.0</v>
      </c>
      <c r="J100" s="222">
        <v>45.0</v>
      </c>
      <c r="K100" s="222" t="s">
        <v>170</v>
      </c>
      <c r="L100" s="222" t="s">
        <v>44</v>
      </c>
      <c r="M100" s="223">
        <v>380.0</v>
      </c>
      <c r="N100" s="221">
        <v>2.0</v>
      </c>
      <c r="O100" s="222" t="s">
        <v>2002</v>
      </c>
      <c r="P100" s="222">
        <v>25.0</v>
      </c>
      <c r="Q100" s="222">
        <v>2500.0</v>
      </c>
      <c r="R100" s="224">
        <v>80.95</v>
      </c>
      <c r="S100" s="224">
        <v>5.0</v>
      </c>
      <c r="T100" s="225">
        <v>37.6</v>
      </c>
      <c r="U100" s="226">
        <v>52.0</v>
      </c>
      <c r="V100" s="227" t="s">
        <v>166</v>
      </c>
      <c r="W100" s="228" t="s">
        <v>174</v>
      </c>
      <c r="X100" s="222" t="s">
        <v>174</v>
      </c>
      <c r="Y100" s="223" t="s">
        <v>166</v>
      </c>
      <c r="Z100" s="221" t="s">
        <v>166</v>
      </c>
      <c r="AA100" s="222" t="s">
        <v>174</v>
      </c>
      <c r="AB100" s="222" t="s">
        <v>166</v>
      </c>
      <c r="AC100" s="222" t="s">
        <v>174</v>
      </c>
      <c r="AD100" s="222" t="s">
        <v>174</v>
      </c>
      <c r="AE100" s="222" t="s">
        <v>170</v>
      </c>
      <c r="AF100" s="222" t="s">
        <v>174</v>
      </c>
      <c r="AG100" s="229" t="s">
        <v>2003</v>
      </c>
      <c r="AH100" s="229"/>
    </row>
    <row r="101">
      <c r="A101" s="242" t="s">
        <v>1554</v>
      </c>
      <c r="B101" s="243" t="s">
        <v>2106</v>
      </c>
      <c r="C101" s="221">
        <v>240.0</v>
      </c>
      <c r="D101" s="222">
        <v>272.0</v>
      </c>
      <c r="E101" s="222">
        <v>122.0</v>
      </c>
      <c r="F101" s="222">
        <v>27.0</v>
      </c>
      <c r="G101" s="223" t="s">
        <v>164</v>
      </c>
      <c r="H101" s="221">
        <v>80.0</v>
      </c>
      <c r="I101" s="222">
        <v>80.0</v>
      </c>
      <c r="J101" s="222">
        <v>45.0</v>
      </c>
      <c r="K101" s="222" t="s">
        <v>170</v>
      </c>
      <c r="L101" s="222" t="s">
        <v>44</v>
      </c>
      <c r="M101" s="223">
        <v>380.0</v>
      </c>
      <c r="N101" s="221">
        <v>2.0</v>
      </c>
      <c r="O101" s="222" t="s">
        <v>2002</v>
      </c>
      <c r="P101" s="222">
        <v>25.0</v>
      </c>
      <c r="Q101" s="222">
        <v>2500.0</v>
      </c>
      <c r="R101" s="224">
        <v>80.95</v>
      </c>
      <c r="S101" s="224">
        <v>5.0</v>
      </c>
      <c r="T101" s="225">
        <v>37.6</v>
      </c>
      <c r="U101" s="226">
        <v>52.0</v>
      </c>
      <c r="V101" s="227" t="s">
        <v>166</v>
      </c>
      <c r="W101" s="228" t="s">
        <v>174</v>
      </c>
      <c r="X101" s="222" t="s">
        <v>174</v>
      </c>
      <c r="Y101" s="223" t="s">
        <v>166</v>
      </c>
      <c r="Z101" s="221" t="s">
        <v>166</v>
      </c>
      <c r="AA101" s="222" t="s">
        <v>174</v>
      </c>
      <c r="AB101" s="222" t="s">
        <v>166</v>
      </c>
      <c r="AC101" s="222" t="s">
        <v>174</v>
      </c>
      <c r="AD101" s="222" t="s">
        <v>174</v>
      </c>
      <c r="AE101" s="222" t="s">
        <v>170</v>
      </c>
      <c r="AF101" s="222" t="s">
        <v>174</v>
      </c>
      <c r="AG101" s="229" t="s">
        <v>2003</v>
      </c>
      <c r="AH101" s="229"/>
    </row>
    <row r="102">
      <c r="A102" s="242" t="s">
        <v>1554</v>
      </c>
      <c r="B102" s="220" t="s">
        <v>2107</v>
      </c>
      <c r="C102" s="221">
        <v>360.0</v>
      </c>
      <c r="D102" s="222">
        <v>394.0</v>
      </c>
      <c r="E102" s="222">
        <v>121.0</v>
      </c>
      <c r="F102" s="222">
        <v>27.0</v>
      </c>
      <c r="G102" s="223" t="s">
        <v>164</v>
      </c>
      <c r="H102" s="221">
        <v>80.0</v>
      </c>
      <c r="I102" s="222">
        <v>80.0</v>
      </c>
      <c r="J102" s="222">
        <v>45.0</v>
      </c>
      <c r="K102" s="222" t="s">
        <v>170</v>
      </c>
      <c r="L102" s="222" t="s">
        <v>44</v>
      </c>
      <c r="M102" s="223">
        <v>380.0</v>
      </c>
      <c r="N102" s="221">
        <v>3.0</v>
      </c>
      <c r="O102" s="222" t="s">
        <v>2002</v>
      </c>
      <c r="P102" s="222">
        <v>25.0</v>
      </c>
      <c r="Q102" s="222">
        <v>2500.0</v>
      </c>
      <c r="R102" s="224">
        <v>80.95</v>
      </c>
      <c r="S102" s="224">
        <v>5.0</v>
      </c>
      <c r="T102" s="225">
        <v>37.6</v>
      </c>
      <c r="U102" s="226">
        <v>52.0</v>
      </c>
      <c r="V102" s="227" t="s">
        <v>166</v>
      </c>
      <c r="W102" s="228" t="s">
        <v>166</v>
      </c>
      <c r="X102" s="222" t="s">
        <v>174</v>
      </c>
      <c r="Y102" s="223" t="s">
        <v>166</v>
      </c>
      <c r="Z102" s="221" t="s">
        <v>166</v>
      </c>
      <c r="AA102" s="222" t="s">
        <v>174</v>
      </c>
      <c r="AB102" s="222" t="s">
        <v>166</v>
      </c>
      <c r="AC102" s="222" t="s">
        <v>174</v>
      </c>
      <c r="AD102" s="222" t="s">
        <v>174</v>
      </c>
      <c r="AE102" s="222" t="s">
        <v>170</v>
      </c>
      <c r="AF102" s="222" t="s">
        <v>174</v>
      </c>
      <c r="AG102" s="229" t="s">
        <v>2003</v>
      </c>
      <c r="AH102" s="229"/>
    </row>
    <row r="103">
      <c r="A103" s="242" t="s">
        <v>1554</v>
      </c>
      <c r="B103" s="220" t="s">
        <v>2108</v>
      </c>
      <c r="C103" s="221">
        <v>360.0</v>
      </c>
      <c r="D103" s="222">
        <v>394.0</v>
      </c>
      <c r="E103" s="222">
        <v>121.0</v>
      </c>
      <c r="F103" s="222">
        <v>27.0</v>
      </c>
      <c r="G103" s="223" t="s">
        <v>164</v>
      </c>
      <c r="H103" s="249">
        <v>80.0</v>
      </c>
      <c r="I103" s="250">
        <v>80.0</v>
      </c>
      <c r="J103" s="251">
        <v>45.0</v>
      </c>
      <c r="K103" s="250" t="s">
        <v>170</v>
      </c>
      <c r="L103" s="250" t="s">
        <v>44</v>
      </c>
      <c r="M103" s="252">
        <v>380.0</v>
      </c>
      <c r="N103" s="221">
        <v>3.0</v>
      </c>
      <c r="O103" s="222" t="s">
        <v>2002</v>
      </c>
      <c r="P103" s="222">
        <v>25.0</v>
      </c>
      <c r="Q103" s="222">
        <v>2500.0</v>
      </c>
      <c r="R103" s="224">
        <v>80.95</v>
      </c>
      <c r="S103" s="224">
        <v>5.0</v>
      </c>
      <c r="T103" s="225">
        <v>37.6</v>
      </c>
      <c r="U103" s="226">
        <v>52.0</v>
      </c>
      <c r="V103" s="227" t="s">
        <v>166</v>
      </c>
      <c r="W103" s="228" t="s">
        <v>174</v>
      </c>
      <c r="X103" s="222" t="s">
        <v>174</v>
      </c>
      <c r="Y103" s="223" t="s">
        <v>166</v>
      </c>
      <c r="Z103" s="221" t="s">
        <v>166</v>
      </c>
      <c r="AA103" s="222" t="s">
        <v>174</v>
      </c>
      <c r="AB103" s="222" t="s">
        <v>166</v>
      </c>
      <c r="AC103" s="222" t="s">
        <v>174</v>
      </c>
      <c r="AD103" s="222" t="s">
        <v>174</v>
      </c>
      <c r="AE103" s="222" t="s">
        <v>170</v>
      </c>
      <c r="AF103" s="222" t="s">
        <v>174</v>
      </c>
      <c r="AG103" s="229" t="s">
        <v>2003</v>
      </c>
      <c r="AH103" s="229"/>
    </row>
    <row r="104">
      <c r="A104" s="242" t="s">
        <v>1554</v>
      </c>
      <c r="B104" s="220" t="s">
        <v>2109</v>
      </c>
      <c r="C104" s="221">
        <v>360.0</v>
      </c>
      <c r="D104" s="222">
        <v>394.0</v>
      </c>
      <c r="E104" s="222">
        <v>121.0</v>
      </c>
      <c r="F104" s="222">
        <v>27.0</v>
      </c>
      <c r="G104" s="223" t="s">
        <v>164</v>
      </c>
      <c r="H104" s="249">
        <v>80.0</v>
      </c>
      <c r="I104" s="250">
        <v>80.0</v>
      </c>
      <c r="J104" s="251">
        <v>45.0</v>
      </c>
      <c r="K104" s="250" t="s">
        <v>170</v>
      </c>
      <c r="L104" s="250" t="s">
        <v>44</v>
      </c>
      <c r="M104" s="252">
        <v>380.0</v>
      </c>
      <c r="N104" s="221">
        <v>3.0</v>
      </c>
      <c r="O104" s="222" t="s">
        <v>2002</v>
      </c>
      <c r="P104" s="222">
        <v>25.0</v>
      </c>
      <c r="Q104" s="222">
        <v>2500.0</v>
      </c>
      <c r="R104" s="224">
        <v>80.95</v>
      </c>
      <c r="S104" s="224">
        <v>5.0</v>
      </c>
      <c r="T104" s="225">
        <v>37.6</v>
      </c>
      <c r="U104" s="226">
        <v>52.0</v>
      </c>
      <c r="V104" s="227" t="s">
        <v>166</v>
      </c>
      <c r="W104" s="228" t="s">
        <v>174</v>
      </c>
      <c r="X104" s="222" t="s">
        <v>174</v>
      </c>
      <c r="Y104" s="223" t="s">
        <v>166</v>
      </c>
      <c r="Z104" s="221" t="s">
        <v>166</v>
      </c>
      <c r="AA104" s="222" t="s">
        <v>174</v>
      </c>
      <c r="AB104" s="222" t="s">
        <v>166</v>
      </c>
      <c r="AC104" s="222" t="s">
        <v>174</v>
      </c>
      <c r="AD104" s="222" t="s">
        <v>174</v>
      </c>
      <c r="AE104" s="222" t="s">
        <v>170</v>
      </c>
      <c r="AF104" s="222" t="s">
        <v>174</v>
      </c>
      <c r="AG104" s="229" t="s">
        <v>2003</v>
      </c>
      <c r="AH104" s="229"/>
    </row>
    <row r="105">
      <c r="A105" s="242" t="s">
        <v>1554</v>
      </c>
      <c r="B105" s="220" t="s">
        <v>2110</v>
      </c>
      <c r="C105" s="221">
        <v>360.0</v>
      </c>
      <c r="D105" s="222">
        <v>394.0</v>
      </c>
      <c r="E105" s="222">
        <v>121.0</v>
      </c>
      <c r="F105" s="222">
        <v>27.0</v>
      </c>
      <c r="G105" s="223" t="s">
        <v>164</v>
      </c>
      <c r="H105" s="249">
        <v>80.0</v>
      </c>
      <c r="I105" s="250">
        <v>80.0</v>
      </c>
      <c r="J105" s="251">
        <v>45.0</v>
      </c>
      <c r="K105" s="250" t="s">
        <v>170</v>
      </c>
      <c r="L105" s="250" t="s">
        <v>44</v>
      </c>
      <c r="M105" s="252">
        <v>380.0</v>
      </c>
      <c r="N105" s="221">
        <v>3.0</v>
      </c>
      <c r="O105" s="222" t="s">
        <v>2002</v>
      </c>
      <c r="P105" s="222">
        <v>25.0</v>
      </c>
      <c r="Q105" s="222">
        <v>2500.0</v>
      </c>
      <c r="R105" s="224">
        <v>80.95</v>
      </c>
      <c r="S105" s="224">
        <v>5.0</v>
      </c>
      <c r="T105" s="225">
        <v>37.6</v>
      </c>
      <c r="U105" s="226">
        <v>52.0</v>
      </c>
      <c r="V105" s="227" t="s">
        <v>166</v>
      </c>
      <c r="W105" s="228" t="s">
        <v>174</v>
      </c>
      <c r="X105" s="222" t="s">
        <v>174</v>
      </c>
      <c r="Y105" s="223" t="s">
        <v>166</v>
      </c>
      <c r="Z105" s="221" t="s">
        <v>166</v>
      </c>
      <c r="AA105" s="222" t="s">
        <v>174</v>
      </c>
      <c r="AB105" s="222" t="s">
        <v>166</v>
      </c>
      <c r="AC105" s="222" t="s">
        <v>174</v>
      </c>
      <c r="AD105" s="222" t="s">
        <v>174</v>
      </c>
      <c r="AE105" s="222" t="s">
        <v>170</v>
      </c>
      <c r="AF105" s="222" t="s">
        <v>174</v>
      </c>
      <c r="AG105" s="229" t="s">
        <v>2003</v>
      </c>
      <c r="AH105" s="229"/>
    </row>
    <row r="106">
      <c r="A106" s="242" t="s">
        <v>1554</v>
      </c>
      <c r="B106" s="220" t="s">
        <v>2111</v>
      </c>
      <c r="C106" s="221">
        <v>240.0</v>
      </c>
      <c r="D106" s="222">
        <v>272.0</v>
      </c>
      <c r="E106" s="222">
        <v>122.0</v>
      </c>
      <c r="F106" s="222">
        <v>27.0</v>
      </c>
      <c r="G106" s="223" t="s">
        <v>164</v>
      </c>
      <c r="H106" s="221">
        <v>80.0</v>
      </c>
      <c r="I106" s="222">
        <v>80.0</v>
      </c>
      <c r="J106" s="222">
        <v>45.0</v>
      </c>
      <c r="K106" s="222" t="s">
        <v>170</v>
      </c>
      <c r="L106" s="222" t="s">
        <v>44</v>
      </c>
      <c r="M106" s="223">
        <v>380.0</v>
      </c>
      <c r="N106" s="221">
        <v>2.0</v>
      </c>
      <c r="O106" s="222" t="s">
        <v>2002</v>
      </c>
      <c r="P106" s="222">
        <v>25.0</v>
      </c>
      <c r="Q106" s="222">
        <v>2500.0</v>
      </c>
      <c r="R106" s="224">
        <v>80.95</v>
      </c>
      <c r="S106" s="224">
        <v>5.0</v>
      </c>
      <c r="T106" s="225">
        <v>37.6</v>
      </c>
      <c r="U106" s="226">
        <v>52.0</v>
      </c>
      <c r="V106" s="227" t="s">
        <v>166</v>
      </c>
      <c r="W106" s="228" t="s">
        <v>166</v>
      </c>
      <c r="X106" s="222" t="s">
        <v>174</v>
      </c>
      <c r="Y106" s="223" t="s">
        <v>166</v>
      </c>
      <c r="Z106" s="221" t="s">
        <v>166</v>
      </c>
      <c r="AA106" s="222" t="s">
        <v>174</v>
      </c>
      <c r="AB106" s="222" t="s">
        <v>166</v>
      </c>
      <c r="AC106" s="222" t="s">
        <v>174</v>
      </c>
      <c r="AD106" s="222" t="s">
        <v>174</v>
      </c>
      <c r="AE106" s="222" t="s">
        <v>174</v>
      </c>
      <c r="AF106" s="222" t="s">
        <v>174</v>
      </c>
      <c r="AG106" s="229" t="s">
        <v>2003</v>
      </c>
      <c r="AH106" s="229"/>
    </row>
    <row r="107">
      <c r="A107" s="242" t="s">
        <v>1554</v>
      </c>
      <c r="B107" s="220" t="s">
        <v>2112</v>
      </c>
      <c r="C107" s="221">
        <v>240.0</v>
      </c>
      <c r="D107" s="222">
        <v>272.0</v>
      </c>
      <c r="E107" s="222">
        <v>122.0</v>
      </c>
      <c r="F107" s="222">
        <v>27.0</v>
      </c>
      <c r="G107" s="223" t="s">
        <v>164</v>
      </c>
      <c r="H107" s="221">
        <v>80.0</v>
      </c>
      <c r="I107" s="222">
        <v>80.0</v>
      </c>
      <c r="J107" s="222">
        <v>45.0</v>
      </c>
      <c r="K107" s="222" t="s">
        <v>170</v>
      </c>
      <c r="L107" s="222" t="s">
        <v>44</v>
      </c>
      <c r="M107" s="223">
        <v>380.0</v>
      </c>
      <c r="N107" s="221">
        <v>2.0</v>
      </c>
      <c r="O107" s="222" t="s">
        <v>2002</v>
      </c>
      <c r="P107" s="222">
        <v>25.0</v>
      </c>
      <c r="Q107" s="222">
        <v>2500.0</v>
      </c>
      <c r="R107" s="224">
        <v>80.95</v>
      </c>
      <c r="S107" s="224">
        <v>5.0</v>
      </c>
      <c r="T107" s="225">
        <v>37.6</v>
      </c>
      <c r="U107" s="226">
        <v>52.0</v>
      </c>
      <c r="V107" s="227" t="s">
        <v>166</v>
      </c>
      <c r="W107" s="228" t="s">
        <v>174</v>
      </c>
      <c r="X107" s="222" t="s">
        <v>174</v>
      </c>
      <c r="Y107" s="223" t="s">
        <v>166</v>
      </c>
      <c r="Z107" s="221" t="s">
        <v>166</v>
      </c>
      <c r="AA107" s="222" t="s">
        <v>174</v>
      </c>
      <c r="AB107" s="222" t="s">
        <v>166</v>
      </c>
      <c r="AC107" s="222" t="s">
        <v>174</v>
      </c>
      <c r="AD107" s="222" t="s">
        <v>174</v>
      </c>
      <c r="AE107" s="222" t="s">
        <v>174</v>
      </c>
      <c r="AF107" s="222" t="s">
        <v>174</v>
      </c>
      <c r="AG107" s="229" t="s">
        <v>2003</v>
      </c>
      <c r="AH107" s="229"/>
    </row>
    <row r="108">
      <c r="A108" s="242" t="s">
        <v>1554</v>
      </c>
      <c r="B108" s="220" t="s">
        <v>2113</v>
      </c>
      <c r="C108" s="221">
        <v>240.0</v>
      </c>
      <c r="D108" s="222">
        <v>272.0</v>
      </c>
      <c r="E108" s="222">
        <v>122.0</v>
      </c>
      <c r="F108" s="222">
        <v>27.0</v>
      </c>
      <c r="G108" s="223" t="s">
        <v>164</v>
      </c>
      <c r="H108" s="221">
        <v>80.0</v>
      </c>
      <c r="I108" s="222">
        <v>80.0</v>
      </c>
      <c r="J108" s="222">
        <v>45.0</v>
      </c>
      <c r="K108" s="222" t="s">
        <v>170</v>
      </c>
      <c r="L108" s="222" t="s">
        <v>44</v>
      </c>
      <c r="M108" s="223">
        <v>380.0</v>
      </c>
      <c r="N108" s="221">
        <v>2.0</v>
      </c>
      <c r="O108" s="222" t="s">
        <v>2002</v>
      </c>
      <c r="P108" s="222">
        <v>25.0</v>
      </c>
      <c r="Q108" s="222">
        <v>2500.0</v>
      </c>
      <c r="R108" s="224">
        <v>80.95</v>
      </c>
      <c r="S108" s="224">
        <v>5.0</v>
      </c>
      <c r="T108" s="225">
        <v>37.6</v>
      </c>
      <c r="U108" s="226">
        <v>52.0</v>
      </c>
      <c r="V108" s="227" t="s">
        <v>166</v>
      </c>
      <c r="W108" s="228" t="s">
        <v>174</v>
      </c>
      <c r="X108" s="222" t="s">
        <v>174</v>
      </c>
      <c r="Y108" s="223" t="s">
        <v>166</v>
      </c>
      <c r="Z108" s="221" t="s">
        <v>166</v>
      </c>
      <c r="AA108" s="222" t="s">
        <v>174</v>
      </c>
      <c r="AB108" s="222" t="s">
        <v>166</v>
      </c>
      <c r="AC108" s="222" t="s">
        <v>174</v>
      </c>
      <c r="AD108" s="222" t="s">
        <v>174</v>
      </c>
      <c r="AE108" s="222" t="s">
        <v>174</v>
      </c>
      <c r="AF108" s="222" t="s">
        <v>174</v>
      </c>
      <c r="AG108" s="229" t="s">
        <v>2003</v>
      </c>
      <c r="AH108" s="229"/>
    </row>
    <row r="109">
      <c r="A109" s="242" t="s">
        <v>1554</v>
      </c>
      <c r="B109" s="220" t="s">
        <v>2114</v>
      </c>
      <c r="C109" s="221">
        <v>280.0</v>
      </c>
      <c r="D109" s="222">
        <v>315.0</v>
      </c>
      <c r="E109" s="222">
        <v>143.0</v>
      </c>
      <c r="F109" s="222">
        <v>30.0</v>
      </c>
      <c r="G109" s="223" t="s">
        <v>164</v>
      </c>
      <c r="H109" s="221">
        <v>80.0</v>
      </c>
      <c r="I109" s="222">
        <v>80.0</v>
      </c>
      <c r="J109" s="222">
        <v>45.0</v>
      </c>
      <c r="K109" s="222">
        <v>2800.0</v>
      </c>
      <c r="L109" s="222" t="s">
        <v>44</v>
      </c>
      <c r="M109" s="223">
        <v>380.0</v>
      </c>
      <c r="N109" s="221">
        <v>2.0</v>
      </c>
      <c r="O109" s="222" t="s">
        <v>2018</v>
      </c>
      <c r="P109" s="222">
        <v>25.0</v>
      </c>
      <c r="Q109" s="222">
        <v>2100.0</v>
      </c>
      <c r="R109" s="224">
        <v>102.3</v>
      </c>
      <c r="S109" s="224">
        <v>3.1</v>
      </c>
      <c r="T109" s="225">
        <v>35.7</v>
      </c>
      <c r="U109" s="226">
        <v>55.0</v>
      </c>
      <c r="V109" s="227" t="s">
        <v>166</v>
      </c>
      <c r="W109" s="228" t="s">
        <v>174</v>
      </c>
      <c r="X109" s="222" t="s">
        <v>174</v>
      </c>
      <c r="Y109" s="223" t="s">
        <v>166</v>
      </c>
      <c r="Z109" s="221" t="s">
        <v>166</v>
      </c>
      <c r="AA109" s="222" t="s">
        <v>174</v>
      </c>
      <c r="AB109" s="222" t="s">
        <v>166</v>
      </c>
      <c r="AC109" s="222" t="s">
        <v>174</v>
      </c>
      <c r="AD109" s="222" t="s">
        <v>174</v>
      </c>
      <c r="AE109" s="222" t="s">
        <v>174</v>
      </c>
      <c r="AF109" s="222" t="s">
        <v>174</v>
      </c>
      <c r="AG109" s="229" t="s">
        <v>2003</v>
      </c>
      <c r="AH109" s="229"/>
    </row>
    <row r="110">
      <c r="A110" s="242" t="s">
        <v>1554</v>
      </c>
      <c r="B110" s="220" t="s">
        <v>2115</v>
      </c>
      <c r="C110" s="221">
        <v>360.0</v>
      </c>
      <c r="D110" s="222">
        <v>394.0</v>
      </c>
      <c r="E110" s="222">
        <v>121.0</v>
      </c>
      <c r="F110" s="222">
        <v>27.0</v>
      </c>
      <c r="G110" s="223" t="s">
        <v>164</v>
      </c>
      <c r="H110" s="221">
        <v>80.0</v>
      </c>
      <c r="I110" s="222">
        <v>80.0</v>
      </c>
      <c r="J110" s="222">
        <v>45.0</v>
      </c>
      <c r="K110" s="222" t="s">
        <v>170</v>
      </c>
      <c r="L110" s="222" t="s">
        <v>44</v>
      </c>
      <c r="M110" s="223">
        <v>380.0</v>
      </c>
      <c r="N110" s="221">
        <v>3.0</v>
      </c>
      <c r="O110" s="222" t="s">
        <v>2002</v>
      </c>
      <c r="P110" s="222">
        <v>25.0</v>
      </c>
      <c r="Q110" s="222">
        <v>2500.0</v>
      </c>
      <c r="R110" s="224">
        <v>80.95</v>
      </c>
      <c r="S110" s="224">
        <v>5.0</v>
      </c>
      <c r="T110" s="225">
        <v>37.6</v>
      </c>
      <c r="U110" s="226">
        <v>52.0</v>
      </c>
      <c r="V110" s="227" t="s">
        <v>166</v>
      </c>
      <c r="W110" s="228" t="s">
        <v>166</v>
      </c>
      <c r="X110" s="222" t="s">
        <v>174</v>
      </c>
      <c r="Y110" s="223" t="s">
        <v>166</v>
      </c>
      <c r="Z110" s="221" t="s">
        <v>166</v>
      </c>
      <c r="AA110" s="222" t="s">
        <v>174</v>
      </c>
      <c r="AB110" s="222" t="s">
        <v>166</v>
      </c>
      <c r="AC110" s="222" t="s">
        <v>174</v>
      </c>
      <c r="AD110" s="222" t="s">
        <v>174</v>
      </c>
      <c r="AE110" s="222" t="s">
        <v>174</v>
      </c>
      <c r="AF110" s="222" t="s">
        <v>174</v>
      </c>
      <c r="AG110" s="229" t="s">
        <v>2003</v>
      </c>
      <c r="AH110" s="229"/>
    </row>
    <row r="111">
      <c r="A111" s="242" t="s">
        <v>1554</v>
      </c>
      <c r="B111" s="220" t="s">
        <v>2116</v>
      </c>
      <c r="C111" s="221">
        <v>360.0</v>
      </c>
      <c r="D111" s="222">
        <v>394.0</v>
      </c>
      <c r="E111" s="222">
        <v>121.0</v>
      </c>
      <c r="F111" s="222">
        <v>27.0</v>
      </c>
      <c r="G111" s="223" t="s">
        <v>164</v>
      </c>
      <c r="H111" s="221">
        <v>80.0</v>
      </c>
      <c r="I111" s="222">
        <v>80.0</v>
      </c>
      <c r="J111" s="222">
        <v>45.0</v>
      </c>
      <c r="K111" s="222" t="s">
        <v>170</v>
      </c>
      <c r="L111" s="222" t="s">
        <v>44</v>
      </c>
      <c r="M111" s="223">
        <v>380.0</v>
      </c>
      <c r="N111" s="221">
        <v>3.0</v>
      </c>
      <c r="O111" s="222" t="s">
        <v>2002</v>
      </c>
      <c r="P111" s="222">
        <v>25.0</v>
      </c>
      <c r="Q111" s="222">
        <v>2500.0</v>
      </c>
      <c r="R111" s="224">
        <v>80.95</v>
      </c>
      <c r="S111" s="224">
        <v>5.0</v>
      </c>
      <c r="T111" s="225">
        <v>37.6</v>
      </c>
      <c r="U111" s="226">
        <v>52.0</v>
      </c>
      <c r="V111" s="227" t="s">
        <v>166</v>
      </c>
      <c r="W111" s="228" t="s">
        <v>174</v>
      </c>
      <c r="X111" s="222" t="s">
        <v>174</v>
      </c>
      <c r="Y111" s="223" t="s">
        <v>166</v>
      </c>
      <c r="Z111" s="221" t="s">
        <v>166</v>
      </c>
      <c r="AA111" s="222" t="s">
        <v>174</v>
      </c>
      <c r="AB111" s="222" t="s">
        <v>166</v>
      </c>
      <c r="AC111" s="222" t="s">
        <v>174</v>
      </c>
      <c r="AD111" s="222" t="s">
        <v>166</v>
      </c>
      <c r="AE111" s="222" t="s">
        <v>174</v>
      </c>
      <c r="AF111" s="222" t="s">
        <v>174</v>
      </c>
      <c r="AG111" s="229" t="s">
        <v>2003</v>
      </c>
      <c r="AH111" s="229"/>
    </row>
    <row r="112">
      <c r="A112" s="242" t="s">
        <v>1554</v>
      </c>
      <c r="B112" s="220" t="s">
        <v>2117</v>
      </c>
      <c r="C112" s="221">
        <v>360.0</v>
      </c>
      <c r="D112" s="222">
        <v>394.0</v>
      </c>
      <c r="E112" s="222">
        <v>121.0</v>
      </c>
      <c r="F112" s="222">
        <v>27.0</v>
      </c>
      <c r="G112" s="223" t="s">
        <v>164</v>
      </c>
      <c r="H112" s="221">
        <v>80.0</v>
      </c>
      <c r="I112" s="222">
        <v>80.0</v>
      </c>
      <c r="J112" s="222">
        <v>45.0</v>
      </c>
      <c r="K112" s="222" t="s">
        <v>170</v>
      </c>
      <c r="L112" s="222" t="s">
        <v>44</v>
      </c>
      <c r="M112" s="223">
        <v>380.0</v>
      </c>
      <c r="N112" s="221">
        <v>3.0</v>
      </c>
      <c r="O112" s="222" t="s">
        <v>2002</v>
      </c>
      <c r="P112" s="222">
        <v>25.0</v>
      </c>
      <c r="Q112" s="222">
        <v>2500.0</v>
      </c>
      <c r="R112" s="224">
        <v>80.95</v>
      </c>
      <c r="S112" s="224">
        <v>5.0</v>
      </c>
      <c r="T112" s="225">
        <v>37.6</v>
      </c>
      <c r="U112" s="226">
        <v>52.0</v>
      </c>
      <c r="V112" s="227" t="s">
        <v>166</v>
      </c>
      <c r="W112" s="228" t="s">
        <v>174</v>
      </c>
      <c r="X112" s="222" t="s">
        <v>174</v>
      </c>
      <c r="Y112" s="223" t="s">
        <v>166</v>
      </c>
      <c r="Z112" s="221" t="s">
        <v>166</v>
      </c>
      <c r="AA112" s="222" t="s">
        <v>174</v>
      </c>
      <c r="AB112" s="222" t="s">
        <v>166</v>
      </c>
      <c r="AC112" s="222" t="s">
        <v>174</v>
      </c>
      <c r="AD112" s="222" t="s">
        <v>166</v>
      </c>
      <c r="AE112" s="222" t="s">
        <v>174</v>
      </c>
      <c r="AF112" s="222" t="s">
        <v>174</v>
      </c>
      <c r="AG112" s="229" t="s">
        <v>2003</v>
      </c>
      <c r="AH112" s="229"/>
    </row>
    <row r="113">
      <c r="A113" s="242" t="s">
        <v>1554</v>
      </c>
      <c r="B113" s="220" t="s">
        <v>2118</v>
      </c>
      <c r="C113" s="221">
        <v>120.0</v>
      </c>
      <c r="D113" s="222">
        <v>150.0</v>
      </c>
      <c r="E113" s="222">
        <v>122.0</v>
      </c>
      <c r="F113" s="222">
        <v>27.0</v>
      </c>
      <c r="G113" s="223" t="s">
        <v>164</v>
      </c>
      <c r="H113" s="221">
        <v>80.0</v>
      </c>
      <c r="I113" s="222">
        <v>80.0</v>
      </c>
      <c r="J113" s="222">
        <v>45.0</v>
      </c>
      <c r="K113" s="222" t="s">
        <v>170</v>
      </c>
      <c r="L113" s="222" t="s">
        <v>44</v>
      </c>
      <c r="M113" s="223">
        <v>380.0</v>
      </c>
      <c r="N113" s="221">
        <v>1.0</v>
      </c>
      <c r="O113" s="222" t="s">
        <v>2002</v>
      </c>
      <c r="P113" s="222">
        <v>25.0</v>
      </c>
      <c r="Q113" s="222">
        <v>2000.0</v>
      </c>
      <c r="R113" s="224">
        <v>67.0</v>
      </c>
      <c r="S113" s="224">
        <v>3.0</v>
      </c>
      <c r="T113" s="225">
        <v>29.0</v>
      </c>
      <c r="U113" s="226">
        <v>52.0</v>
      </c>
      <c r="V113" s="227" t="s">
        <v>166</v>
      </c>
      <c r="W113" s="228" t="s">
        <v>174</v>
      </c>
      <c r="X113" s="222" t="s">
        <v>166</v>
      </c>
      <c r="Y113" s="223" t="s">
        <v>166</v>
      </c>
      <c r="Z113" s="221" t="s">
        <v>166</v>
      </c>
      <c r="AA113" s="222" t="s">
        <v>174</v>
      </c>
      <c r="AB113" s="222" t="s">
        <v>166</v>
      </c>
      <c r="AC113" s="222" t="s">
        <v>174</v>
      </c>
      <c r="AD113" s="222" t="s">
        <v>174</v>
      </c>
      <c r="AE113" s="222" t="s">
        <v>174</v>
      </c>
      <c r="AF113" s="222" t="s">
        <v>166</v>
      </c>
      <c r="AG113" s="229" t="s">
        <v>2003</v>
      </c>
      <c r="AH113" s="229"/>
    </row>
    <row r="114">
      <c r="A114" s="242" t="s">
        <v>1554</v>
      </c>
      <c r="B114" s="243" t="s">
        <v>2119</v>
      </c>
      <c r="C114" s="221">
        <v>120.0</v>
      </c>
      <c r="D114" s="222">
        <v>150.0</v>
      </c>
      <c r="E114" s="222">
        <v>122.0</v>
      </c>
      <c r="F114" s="222">
        <v>27.0</v>
      </c>
      <c r="G114" s="223" t="s">
        <v>164</v>
      </c>
      <c r="H114" s="221">
        <v>80.0</v>
      </c>
      <c r="I114" s="222">
        <v>80.0</v>
      </c>
      <c r="J114" s="222">
        <v>45.0</v>
      </c>
      <c r="K114" s="222" t="s">
        <v>170</v>
      </c>
      <c r="L114" s="222" t="s">
        <v>44</v>
      </c>
      <c r="M114" s="223">
        <v>380.0</v>
      </c>
      <c r="N114" s="221">
        <v>1.0</v>
      </c>
      <c r="O114" s="222" t="s">
        <v>2002</v>
      </c>
      <c r="P114" s="222">
        <v>25.0</v>
      </c>
      <c r="Q114" s="222">
        <v>2000.0</v>
      </c>
      <c r="R114" s="224">
        <v>67.0</v>
      </c>
      <c r="S114" s="224">
        <v>3.0</v>
      </c>
      <c r="T114" s="225">
        <v>29.0</v>
      </c>
      <c r="U114" s="226">
        <v>52.0</v>
      </c>
      <c r="V114" s="227" t="s">
        <v>174</v>
      </c>
      <c r="W114" s="228" t="s">
        <v>166</v>
      </c>
      <c r="X114" s="222" t="s">
        <v>166</v>
      </c>
      <c r="Y114" s="223" t="s">
        <v>166</v>
      </c>
      <c r="Z114" s="221" t="s">
        <v>166</v>
      </c>
      <c r="AA114" s="222" t="s">
        <v>174</v>
      </c>
      <c r="AB114" s="222" t="s">
        <v>166</v>
      </c>
      <c r="AC114" s="222" t="s">
        <v>174</v>
      </c>
      <c r="AD114" s="222" t="s">
        <v>174</v>
      </c>
      <c r="AE114" s="222" t="s">
        <v>170</v>
      </c>
      <c r="AF114" s="222" t="s">
        <v>174</v>
      </c>
      <c r="AG114" s="229" t="s">
        <v>2003</v>
      </c>
      <c r="AH114" s="229"/>
    </row>
    <row r="115">
      <c r="A115" s="242" t="s">
        <v>1554</v>
      </c>
      <c r="B115" s="220" t="s">
        <v>2120</v>
      </c>
      <c r="C115" s="221">
        <v>240.0</v>
      </c>
      <c r="D115" s="222">
        <v>272.0</v>
      </c>
      <c r="E115" s="222">
        <v>122.0</v>
      </c>
      <c r="F115" s="222">
        <v>27.0</v>
      </c>
      <c r="G115" s="223" t="s">
        <v>164</v>
      </c>
      <c r="H115" s="221">
        <v>80.0</v>
      </c>
      <c r="I115" s="222">
        <v>80.0</v>
      </c>
      <c r="J115" s="222">
        <v>45.0</v>
      </c>
      <c r="K115" s="222" t="s">
        <v>170</v>
      </c>
      <c r="L115" s="222" t="s">
        <v>44</v>
      </c>
      <c r="M115" s="223">
        <v>380.0</v>
      </c>
      <c r="N115" s="221">
        <v>2.0</v>
      </c>
      <c r="O115" s="222" t="s">
        <v>2002</v>
      </c>
      <c r="P115" s="222">
        <v>25.0</v>
      </c>
      <c r="Q115" s="222">
        <v>2000.0</v>
      </c>
      <c r="R115" s="224">
        <v>67.0</v>
      </c>
      <c r="S115" s="224">
        <v>3.0</v>
      </c>
      <c r="T115" s="225">
        <v>29.0</v>
      </c>
      <c r="U115" s="226">
        <v>52.0</v>
      </c>
      <c r="V115" s="227" t="s">
        <v>166</v>
      </c>
      <c r="W115" s="228" t="s">
        <v>174</v>
      </c>
      <c r="X115" s="222" t="s">
        <v>166</v>
      </c>
      <c r="Y115" s="223" t="s">
        <v>166</v>
      </c>
      <c r="Z115" s="221" t="s">
        <v>166</v>
      </c>
      <c r="AA115" s="222" t="s">
        <v>174</v>
      </c>
      <c r="AB115" s="222" t="s">
        <v>166</v>
      </c>
      <c r="AC115" s="222" t="s">
        <v>174</v>
      </c>
      <c r="AD115" s="222" t="s">
        <v>174</v>
      </c>
      <c r="AE115" s="222" t="s">
        <v>174</v>
      </c>
      <c r="AF115" s="222" t="s">
        <v>166</v>
      </c>
      <c r="AG115" s="229" t="s">
        <v>2003</v>
      </c>
      <c r="AH115" s="229"/>
    </row>
    <row r="116">
      <c r="A116" s="242" t="s">
        <v>1554</v>
      </c>
      <c r="B116" s="243" t="s">
        <v>2121</v>
      </c>
      <c r="C116" s="221">
        <v>240.0</v>
      </c>
      <c r="D116" s="222">
        <v>272.0</v>
      </c>
      <c r="E116" s="222">
        <v>122.0</v>
      </c>
      <c r="F116" s="222">
        <v>27.0</v>
      </c>
      <c r="G116" s="223" t="s">
        <v>164</v>
      </c>
      <c r="H116" s="221">
        <v>80.0</v>
      </c>
      <c r="I116" s="222">
        <v>80.0</v>
      </c>
      <c r="J116" s="222">
        <v>45.0</v>
      </c>
      <c r="K116" s="222" t="s">
        <v>170</v>
      </c>
      <c r="L116" s="222" t="s">
        <v>44</v>
      </c>
      <c r="M116" s="223">
        <v>380.0</v>
      </c>
      <c r="N116" s="221">
        <v>2.0</v>
      </c>
      <c r="O116" s="222" t="s">
        <v>2002</v>
      </c>
      <c r="P116" s="222">
        <v>25.0</v>
      </c>
      <c r="Q116" s="222">
        <v>2000.0</v>
      </c>
      <c r="R116" s="224">
        <v>67.0</v>
      </c>
      <c r="S116" s="224">
        <v>3.0</v>
      </c>
      <c r="T116" s="225">
        <v>29.0</v>
      </c>
      <c r="U116" s="226">
        <v>52.0</v>
      </c>
      <c r="V116" s="227" t="s">
        <v>174</v>
      </c>
      <c r="W116" s="228" t="s">
        <v>166</v>
      </c>
      <c r="X116" s="222" t="s">
        <v>166</v>
      </c>
      <c r="Y116" s="223" t="s">
        <v>166</v>
      </c>
      <c r="Z116" s="221" t="s">
        <v>166</v>
      </c>
      <c r="AA116" s="222" t="s">
        <v>174</v>
      </c>
      <c r="AB116" s="222" t="s">
        <v>166</v>
      </c>
      <c r="AC116" s="222" t="s">
        <v>174</v>
      </c>
      <c r="AD116" s="222" t="s">
        <v>174</v>
      </c>
      <c r="AE116" s="222" t="s">
        <v>170</v>
      </c>
      <c r="AF116" s="222" t="s">
        <v>174</v>
      </c>
      <c r="AG116" s="229" t="s">
        <v>2003</v>
      </c>
      <c r="AH116" s="229"/>
    </row>
    <row r="117">
      <c r="A117" s="245" t="s">
        <v>1554</v>
      </c>
      <c r="B117" s="231" t="s">
        <v>2122</v>
      </c>
      <c r="C117" s="232">
        <v>240.0</v>
      </c>
      <c r="D117" s="233">
        <v>276.0</v>
      </c>
      <c r="E117" s="233">
        <v>120.0</v>
      </c>
      <c r="F117" s="233">
        <v>27.0</v>
      </c>
      <c r="G117" s="234" t="s">
        <v>164</v>
      </c>
      <c r="H117" s="232">
        <v>80.0</v>
      </c>
      <c r="I117" s="233">
        <v>80.0</v>
      </c>
      <c r="J117" s="233">
        <v>45.0</v>
      </c>
      <c r="K117" s="233" t="s">
        <v>170</v>
      </c>
      <c r="L117" s="233" t="s">
        <v>44</v>
      </c>
      <c r="M117" s="234">
        <v>380.0</v>
      </c>
      <c r="N117" s="232">
        <v>2.0</v>
      </c>
      <c r="O117" s="233" t="s">
        <v>2002</v>
      </c>
      <c r="P117" s="233">
        <v>25.0</v>
      </c>
      <c r="Q117" s="233">
        <v>2000.0</v>
      </c>
      <c r="R117" s="235">
        <v>67.0</v>
      </c>
      <c r="S117" s="235">
        <v>3.0</v>
      </c>
      <c r="T117" s="236">
        <v>29.0</v>
      </c>
      <c r="U117" s="237">
        <v>52.0</v>
      </c>
      <c r="V117" s="232" t="s">
        <v>174</v>
      </c>
      <c r="W117" s="247" t="s">
        <v>166</v>
      </c>
      <c r="X117" s="233" t="s">
        <v>166</v>
      </c>
      <c r="Y117" s="234" t="s">
        <v>166</v>
      </c>
      <c r="Z117" s="232" t="s">
        <v>166</v>
      </c>
      <c r="AA117" s="233" t="s">
        <v>174</v>
      </c>
      <c r="AB117" s="233" t="s">
        <v>166</v>
      </c>
      <c r="AC117" s="233" t="s">
        <v>174</v>
      </c>
      <c r="AD117" s="233" t="s">
        <v>174</v>
      </c>
      <c r="AE117" s="233" t="s">
        <v>170</v>
      </c>
      <c r="AF117" s="233" t="s">
        <v>174</v>
      </c>
      <c r="AG117" s="240" t="s">
        <v>2003</v>
      </c>
      <c r="AH117" s="240"/>
    </row>
    <row r="118">
      <c r="A118" s="230" t="s">
        <v>2123</v>
      </c>
      <c r="B118" s="231" t="s">
        <v>2124</v>
      </c>
      <c r="C118" s="232">
        <v>240.0</v>
      </c>
      <c r="D118" s="233">
        <v>276.8</v>
      </c>
      <c r="E118" s="233">
        <v>119.2</v>
      </c>
      <c r="F118" s="233">
        <v>27.2</v>
      </c>
      <c r="G118" s="234" t="s">
        <v>164</v>
      </c>
      <c r="H118" s="232">
        <v>80.3</v>
      </c>
      <c r="I118" s="233">
        <v>71.0</v>
      </c>
      <c r="J118" s="233">
        <v>48.0</v>
      </c>
      <c r="K118" s="233">
        <v>2600.0</v>
      </c>
      <c r="L118" s="233" t="s">
        <v>44</v>
      </c>
      <c r="M118" s="234" t="s">
        <v>170</v>
      </c>
      <c r="N118" s="232">
        <v>2.0</v>
      </c>
      <c r="O118" s="233" t="s">
        <v>2002</v>
      </c>
      <c r="P118" s="233">
        <v>25.0</v>
      </c>
      <c r="Q118" s="233">
        <v>1800.0</v>
      </c>
      <c r="R118" s="235">
        <v>66.81</v>
      </c>
      <c r="S118" s="235" t="s">
        <v>170</v>
      </c>
      <c r="T118" s="236">
        <v>37.2</v>
      </c>
      <c r="U118" s="237">
        <v>52.2</v>
      </c>
      <c r="V118" s="232" t="s">
        <v>166</v>
      </c>
      <c r="W118" s="247" t="s">
        <v>174</v>
      </c>
      <c r="X118" s="233" t="s">
        <v>166</v>
      </c>
      <c r="Y118" s="234" t="s">
        <v>166</v>
      </c>
      <c r="Z118" s="232" t="s">
        <v>174</v>
      </c>
      <c r="AA118" s="233" t="s">
        <v>174</v>
      </c>
      <c r="AB118" s="233" t="s">
        <v>166</v>
      </c>
      <c r="AC118" s="233" t="s">
        <v>174</v>
      </c>
      <c r="AD118" s="233" t="s">
        <v>166</v>
      </c>
      <c r="AE118" s="233" t="s">
        <v>170</v>
      </c>
      <c r="AF118" s="233" t="s">
        <v>174</v>
      </c>
      <c r="AG118" s="233" t="s">
        <v>170</v>
      </c>
      <c r="AH118" s="233"/>
    </row>
    <row r="119">
      <c r="A119" s="219" t="s">
        <v>1666</v>
      </c>
      <c r="B119" s="243" t="s">
        <v>2125</v>
      </c>
      <c r="C119" s="221">
        <v>120.0</v>
      </c>
      <c r="D119" s="222">
        <v>152.0</v>
      </c>
      <c r="E119" s="222">
        <v>120.0</v>
      </c>
      <c r="F119" s="222">
        <v>27.0</v>
      </c>
      <c r="G119" s="223" t="s">
        <v>164</v>
      </c>
      <c r="H119" s="221">
        <v>94.5</v>
      </c>
      <c r="I119" s="222">
        <v>82.0</v>
      </c>
      <c r="J119" s="222">
        <v>42.0</v>
      </c>
      <c r="K119" s="222">
        <v>5500.0</v>
      </c>
      <c r="L119" s="222" t="s">
        <v>2126</v>
      </c>
      <c r="M119" s="223">
        <v>400.0</v>
      </c>
      <c r="N119" s="221">
        <v>1.0</v>
      </c>
      <c r="O119" s="222" t="s">
        <v>2002</v>
      </c>
      <c r="P119" s="222">
        <v>25.0</v>
      </c>
      <c r="Q119" s="222">
        <v>2000.0</v>
      </c>
      <c r="R119" s="224">
        <v>65.51</v>
      </c>
      <c r="S119" s="224">
        <v>2.23</v>
      </c>
      <c r="T119" s="225">
        <v>36.1</v>
      </c>
      <c r="U119" s="226">
        <v>52.0</v>
      </c>
      <c r="V119" s="221" t="s">
        <v>166</v>
      </c>
      <c r="W119" s="241" t="s">
        <v>166</v>
      </c>
      <c r="X119" s="222" t="s">
        <v>166</v>
      </c>
      <c r="Y119" s="223" t="s">
        <v>174</v>
      </c>
      <c r="Z119" s="221" t="s">
        <v>174</v>
      </c>
      <c r="AA119" s="222" t="s">
        <v>174</v>
      </c>
      <c r="AB119" s="222" t="s">
        <v>166</v>
      </c>
      <c r="AC119" s="222" t="s">
        <v>174</v>
      </c>
      <c r="AD119" s="222" t="s">
        <v>166</v>
      </c>
      <c r="AE119" s="222" t="s">
        <v>174</v>
      </c>
      <c r="AF119" s="222" t="s">
        <v>174</v>
      </c>
      <c r="AG119" s="222" t="s">
        <v>2127</v>
      </c>
      <c r="AH119" s="222"/>
    </row>
    <row r="120">
      <c r="A120" s="219" t="s">
        <v>1666</v>
      </c>
      <c r="B120" s="243" t="s">
        <v>2128</v>
      </c>
      <c r="C120" s="221">
        <v>240.0</v>
      </c>
      <c r="D120" s="222">
        <v>277.0</v>
      </c>
      <c r="E120" s="222">
        <v>120.0</v>
      </c>
      <c r="F120" s="222">
        <v>27.0</v>
      </c>
      <c r="G120" s="223" t="s">
        <v>164</v>
      </c>
      <c r="H120" s="221">
        <v>94.5</v>
      </c>
      <c r="I120" s="222">
        <v>82.0</v>
      </c>
      <c r="J120" s="222">
        <v>42.0</v>
      </c>
      <c r="K120" s="222">
        <v>5500.0</v>
      </c>
      <c r="L120" s="222" t="s">
        <v>2126</v>
      </c>
      <c r="M120" s="223">
        <v>400.0</v>
      </c>
      <c r="N120" s="221">
        <v>2.0</v>
      </c>
      <c r="O120" s="222" t="s">
        <v>2002</v>
      </c>
      <c r="P120" s="222">
        <v>25.0</v>
      </c>
      <c r="Q120" s="222">
        <v>2000.0</v>
      </c>
      <c r="R120" s="224">
        <v>65.51</v>
      </c>
      <c r="S120" s="224">
        <v>2.23</v>
      </c>
      <c r="T120" s="225">
        <v>39.5</v>
      </c>
      <c r="U120" s="226">
        <v>52.0</v>
      </c>
      <c r="V120" s="227" t="s">
        <v>166</v>
      </c>
      <c r="W120" s="228" t="s">
        <v>166</v>
      </c>
      <c r="X120" s="222" t="s">
        <v>166</v>
      </c>
      <c r="Y120" s="223" t="s">
        <v>174</v>
      </c>
      <c r="Z120" s="221" t="s">
        <v>174</v>
      </c>
      <c r="AA120" s="222" t="s">
        <v>174</v>
      </c>
      <c r="AB120" s="222" t="s">
        <v>166</v>
      </c>
      <c r="AC120" s="222" t="s">
        <v>174</v>
      </c>
      <c r="AD120" s="222" t="s">
        <v>166</v>
      </c>
      <c r="AE120" s="222" t="s">
        <v>174</v>
      </c>
      <c r="AF120" s="222" t="s">
        <v>174</v>
      </c>
      <c r="AG120" s="222" t="s">
        <v>2127</v>
      </c>
      <c r="AH120" s="222"/>
    </row>
    <row r="121">
      <c r="A121" s="219" t="s">
        <v>1666</v>
      </c>
      <c r="B121" s="243" t="s">
        <v>2129</v>
      </c>
      <c r="C121" s="221">
        <v>280.0</v>
      </c>
      <c r="D121" s="222">
        <v>317.0</v>
      </c>
      <c r="E121" s="222">
        <v>140.0</v>
      </c>
      <c r="F121" s="222">
        <v>27.0</v>
      </c>
      <c r="G121" s="223" t="s">
        <v>164</v>
      </c>
      <c r="H121" s="221">
        <v>94.5</v>
      </c>
      <c r="I121" s="222">
        <v>82.0</v>
      </c>
      <c r="J121" s="222">
        <v>42.0</v>
      </c>
      <c r="K121" s="222">
        <v>5500.0</v>
      </c>
      <c r="L121" s="222" t="s">
        <v>2126</v>
      </c>
      <c r="M121" s="223">
        <v>400.0</v>
      </c>
      <c r="N121" s="221">
        <v>2.0</v>
      </c>
      <c r="O121" s="222" t="s">
        <v>2018</v>
      </c>
      <c r="P121" s="222">
        <v>25.0</v>
      </c>
      <c r="Q121" s="222">
        <v>1600.0</v>
      </c>
      <c r="R121" s="224">
        <v>94.2</v>
      </c>
      <c r="S121" s="224">
        <v>1.82</v>
      </c>
      <c r="T121" s="225">
        <v>38.1</v>
      </c>
      <c r="U121" s="226">
        <v>52.0</v>
      </c>
      <c r="V121" s="227" t="s">
        <v>166</v>
      </c>
      <c r="W121" s="228" t="s">
        <v>166</v>
      </c>
      <c r="X121" s="222" t="s">
        <v>166</v>
      </c>
      <c r="Y121" s="223" t="s">
        <v>174</v>
      </c>
      <c r="Z121" s="221" t="s">
        <v>174</v>
      </c>
      <c r="AA121" s="222" t="s">
        <v>174</v>
      </c>
      <c r="AB121" s="222" t="s">
        <v>166</v>
      </c>
      <c r="AC121" s="222" t="s">
        <v>174</v>
      </c>
      <c r="AD121" s="222" t="s">
        <v>166</v>
      </c>
      <c r="AE121" s="222" t="s">
        <v>174</v>
      </c>
      <c r="AF121" s="222" t="s">
        <v>174</v>
      </c>
      <c r="AG121" s="222" t="s">
        <v>2127</v>
      </c>
      <c r="AH121" s="222"/>
    </row>
    <row r="122">
      <c r="A122" s="219" t="s">
        <v>1666</v>
      </c>
      <c r="B122" s="220" t="s">
        <v>2130</v>
      </c>
      <c r="C122" s="221">
        <v>360.0</v>
      </c>
      <c r="D122" s="222">
        <v>397.0</v>
      </c>
      <c r="E122" s="222">
        <v>120.0</v>
      </c>
      <c r="F122" s="222">
        <v>27.0</v>
      </c>
      <c r="G122" s="223" t="s">
        <v>164</v>
      </c>
      <c r="H122" s="221">
        <v>94.5</v>
      </c>
      <c r="I122" s="222">
        <v>82.0</v>
      </c>
      <c r="J122" s="222">
        <v>42.0</v>
      </c>
      <c r="K122" s="222">
        <v>5500.0</v>
      </c>
      <c r="L122" s="222" t="s">
        <v>2126</v>
      </c>
      <c r="M122" s="223">
        <v>400.0</v>
      </c>
      <c r="N122" s="221">
        <v>3.0</v>
      </c>
      <c r="O122" s="222" t="s">
        <v>2002</v>
      </c>
      <c r="P122" s="222">
        <v>25.0</v>
      </c>
      <c r="Q122" s="222">
        <v>2000.0</v>
      </c>
      <c r="R122" s="224">
        <v>65.51</v>
      </c>
      <c r="S122" s="224">
        <v>2.23</v>
      </c>
      <c r="T122" s="225">
        <v>39.5</v>
      </c>
      <c r="U122" s="226">
        <v>52.0</v>
      </c>
      <c r="V122" s="227" t="s">
        <v>166</v>
      </c>
      <c r="W122" s="228" t="s">
        <v>166</v>
      </c>
      <c r="X122" s="222" t="s">
        <v>166</v>
      </c>
      <c r="Y122" s="223" t="s">
        <v>174</v>
      </c>
      <c r="Z122" s="221" t="s">
        <v>174</v>
      </c>
      <c r="AA122" s="222" t="s">
        <v>174</v>
      </c>
      <c r="AB122" s="222" t="s">
        <v>166</v>
      </c>
      <c r="AC122" s="222" t="s">
        <v>174</v>
      </c>
      <c r="AD122" s="222" t="s">
        <v>166</v>
      </c>
      <c r="AE122" s="222" t="s">
        <v>174</v>
      </c>
      <c r="AF122" s="222" t="s">
        <v>174</v>
      </c>
      <c r="AG122" s="222" t="s">
        <v>2127</v>
      </c>
      <c r="AH122" s="222"/>
    </row>
    <row r="123">
      <c r="A123" s="219" t="s">
        <v>1666</v>
      </c>
      <c r="B123" s="220" t="s">
        <v>2131</v>
      </c>
      <c r="C123" s="221">
        <v>120.0</v>
      </c>
      <c r="D123" s="222">
        <v>152.0</v>
      </c>
      <c r="E123" s="222">
        <v>120.0</v>
      </c>
      <c r="F123" s="222">
        <v>27.0</v>
      </c>
      <c r="G123" s="223" t="s">
        <v>164</v>
      </c>
      <c r="H123" s="221">
        <v>94.5</v>
      </c>
      <c r="I123" s="222">
        <v>83.0</v>
      </c>
      <c r="J123" s="222">
        <v>42.0</v>
      </c>
      <c r="K123" s="222">
        <v>5500.0</v>
      </c>
      <c r="L123" s="222" t="s">
        <v>2126</v>
      </c>
      <c r="M123" s="223">
        <v>400.0</v>
      </c>
      <c r="N123" s="221">
        <v>1.0</v>
      </c>
      <c r="O123" s="222" t="s">
        <v>2002</v>
      </c>
      <c r="P123" s="222">
        <v>25.0</v>
      </c>
      <c r="Q123" s="222">
        <v>2100.0</v>
      </c>
      <c r="R123" s="224" t="s">
        <v>170</v>
      </c>
      <c r="S123" s="224" t="s">
        <v>170</v>
      </c>
      <c r="T123" s="225">
        <v>32.1</v>
      </c>
      <c r="U123" s="226">
        <v>52.0</v>
      </c>
      <c r="V123" s="227" t="s">
        <v>166</v>
      </c>
      <c r="W123" s="228" t="s">
        <v>174</v>
      </c>
      <c r="X123" s="222" t="s">
        <v>166</v>
      </c>
      <c r="Y123" s="223" t="s">
        <v>166</v>
      </c>
      <c r="Z123" s="221" t="s">
        <v>166</v>
      </c>
      <c r="AA123" s="222" t="s">
        <v>174</v>
      </c>
      <c r="AB123" s="222" t="s">
        <v>166</v>
      </c>
      <c r="AC123" s="222" t="s">
        <v>174</v>
      </c>
      <c r="AD123" s="222" t="s">
        <v>166</v>
      </c>
      <c r="AE123" s="222" t="s">
        <v>174</v>
      </c>
      <c r="AF123" s="222" t="s">
        <v>166</v>
      </c>
      <c r="AG123" s="222" t="s">
        <v>2127</v>
      </c>
      <c r="AH123" s="222"/>
    </row>
    <row r="124">
      <c r="A124" s="219" t="s">
        <v>1666</v>
      </c>
      <c r="B124" s="220" t="s">
        <v>2132</v>
      </c>
      <c r="C124" s="221">
        <v>240.0</v>
      </c>
      <c r="D124" s="222">
        <v>277.0</v>
      </c>
      <c r="E124" s="222">
        <v>120.0</v>
      </c>
      <c r="F124" s="222">
        <v>27.0</v>
      </c>
      <c r="G124" s="223" t="s">
        <v>164</v>
      </c>
      <c r="H124" s="221">
        <v>94.5</v>
      </c>
      <c r="I124" s="222">
        <v>83.0</v>
      </c>
      <c r="J124" s="222">
        <v>42.0</v>
      </c>
      <c r="K124" s="222">
        <v>5500.0</v>
      </c>
      <c r="L124" s="222" t="s">
        <v>2126</v>
      </c>
      <c r="M124" s="223">
        <v>400.0</v>
      </c>
      <c r="N124" s="221">
        <v>2.0</v>
      </c>
      <c r="O124" s="222" t="s">
        <v>2002</v>
      </c>
      <c r="P124" s="222">
        <v>25.0</v>
      </c>
      <c r="Q124" s="222">
        <v>2100.0</v>
      </c>
      <c r="R124" s="224" t="s">
        <v>170</v>
      </c>
      <c r="S124" s="224" t="s">
        <v>170</v>
      </c>
      <c r="T124" s="225">
        <v>34.9</v>
      </c>
      <c r="U124" s="226">
        <v>52.0</v>
      </c>
      <c r="V124" s="227" t="s">
        <v>166</v>
      </c>
      <c r="W124" s="228" t="s">
        <v>174</v>
      </c>
      <c r="X124" s="222" t="s">
        <v>166</v>
      </c>
      <c r="Y124" s="223" t="s">
        <v>166</v>
      </c>
      <c r="Z124" s="221" t="s">
        <v>166</v>
      </c>
      <c r="AA124" s="222" t="s">
        <v>174</v>
      </c>
      <c r="AB124" s="222" t="s">
        <v>166</v>
      </c>
      <c r="AC124" s="222" t="s">
        <v>174</v>
      </c>
      <c r="AD124" s="222" t="s">
        <v>166</v>
      </c>
      <c r="AE124" s="222" t="s">
        <v>174</v>
      </c>
      <c r="AF124" s="222" t="s">
        <v>166</v>
      </c>
      <c r="AG124" s="222" t="s">
        <v>2127</v>
      </c>
      <c r="AH124" s="222"/>
    </row>
    <row r="125">
      <c r="A125" s="219" t="s">
        <v>1666</v>
      </c>
      <c r="B125" s="220" t="s">
        <v>2133</v>
      </c>
      <c r="C125" s="221">
        <v>280.0</v>
      </c>
      <c r="D125" s="222">
        <v>317.0</v>
      </c>
      <c r="E125" s="222">
        <v>120.0</v>
      </c>
      <c r="F125" s="222">
        <v>27.0</v>
      </c>
      <c r="G125" s="223" t="s">
        <v>164</v>
      </c>
      <c r="H125" s="221">
        <v>94.5</v>
      </c>
      <c r="I125" s="222">
        <v>83.0</v>
      </c>
      <c r="J125" s="222">
        <v>42.0</v>
      </c>
      <c r="K125" s="222">
        <v>5500.0</v>
      </c>
      <c r="L125" s="222" t="s">
        <v>2126</v>
      </c>
      <c r="M125" s="223">
        <v>400.0</v>
      </c>
      <c r="N125" s="221">
        <v>2.0</v>
      </c>
      <c r="O125" s="222" t="s">
        <v>2018</v>
      </c>
      <c r="P125" s="222">
        <v>25.0</v>
      </c>
      <c r="Q125" s="222">
        <v>1800.0</v>
      </c>
      <c r="R125" s="224" t="s">
        <v>170</v>
      </c>
      <c r="S125" s="224" t="s">
        <v>170</v>
      </c>
      <c r="T125" s="225">
        <v>33.8</v>
      </c>
      <c r="U125" s="226">
        <v>52.0</v>
      </c>
      <c r="V125" s="227" t="s">
        <v>166</v>
      </c>
      <c r="W125" s="228" t="s">
        <v>174</v>
      </c>
      <c r="X125" s="222" t="s">
        <v>166</v>
      </c>
      <c r="Y125" s="223" t="s">
        <v>166</v>
      </c>
      <c r="Z125" s="221" t="s">
        <v>166</v>
      </c>
      <c r="AA125" s="222" t="s">
        <v>174</v>
      </c>
      <c r="AB125" s="222" t="s">
        <v>166</v>
      </c>
      <c r="AC125" s="222" t="s">
        <v>174</v>
      </c>
      <c r="AD125" s="222" t="s">
        <v>166</v>
      </c>
      <c r="AE125" s="222" t="s">
        <v>174</v>
      </c>
      <c r="AF125" s="222" t="s">
        <v>166</v>
      </c>
      <c r="AG125" s="222" t="s">
        <v>2127</v>
      </c>
      <c r="AH125" s="222"/>
    </row>
    <row r="126">
      <c r="A126" s="219" t="s">
        <v>1666</v>
      </c>
      <c r="B126" s="220" t="s">
        <v>2134</v>
      </c>
      <c r="C126" s="221">
        <v>360.0</v>
      </c>
      <c r="D126" s="222">
        <v>397.0</v>
      </c>
      <c r="E126" s="222">
        <v>120.0</v>
      </c>
      <c r="F126" s="222">
        <v>27.0</v>
      </c>
      <c r="G126" s="223" t="s">
        <v>164</v>
      </c>
      <c r="H126" s="221">
        <v>94.5</v>
      </c>
      <c r="I126" s="222">
        <v>83.0</v>
      </c>
      <c r="J126" s="222">
        <v>42.0</v>
      </c>
      <c r="K126" s="222">
        <v>5500.0</v>
      </c>
      <c r="L126" s="222" t="s">
        <v>2126</v>
      </c>
      <c r="M126" s="223">
        <v>400.0</v>
      </c>
      <c r="N126" s="221">
        <v>3.0</v>
      </c>
      <c r="O126" s="222" t="s">
        <v>2002</v>
      </c>
      <c r="P126" s="222">
        <v>25.0</v>
      </c>
      <c r="Q126" s="222">
        <v>2100.0</v>
      </c>
      <c r="R126" s="224" t="s">
        <v>170</v>
      </c>
      <c r="S126" s="224" t="s">
        <v>170</v>
      </c>
      <c r="T126" s="225">
        <v>36.8</v>
      </c>
      <c r="U126" s="226">
        <v>52.0</v>
      </c>
      <c r="V126" s="227" t="s">
        <v>166</v>
      </c>
      <c r="W126" s="228" t="s">
        <v>174</v>
      </c>
      <c r="X126" s="222" t="s">
        <v>166</v>
      </c>
      <c r="Y126" s="223" t="s">
        <v>166</v>
      </c>
      <c r="Z126" s="221" t="s">
        <v>166</v>
      </c>
      <c r="AA126" s="222" t="s">
        <v>174</v>
      </c>
      <c r="AB126" s="222" t="s">
        <v>166</v>
      </c>
      <c r="AC126" s="222" t="s">
        <v>174</v>
      </c>
      <c r="AD126" s="222" t="s">
        <v>166</v>
      </c>
      <c r="AE126" s="222" t="s">
        <v>174</v>
      </c>
      <c r="AF126" s="222" t="s">
        <v>166</v>
      </c>
      <c r="AG126" s="222" t="s">
        <v>2127</v>
      </c>
      <c r="AH126" s="222"/>
    </row>
    <row r="127">
      <c r="A127" s="219" t="s">
        <v>1666</v>
      </c>
      <c r="B127" s="220" t="s">
        <v>2135</v>
      </c>
      <c r="C127" s="221">
        <v>240.0</v>
      </c>
      <c r="D127" s="222">
        <v>277.0</v>
      </c>
      <c r="E127" s="222">
        <v>120.0</v>
      </c>
      <c r="F127" s="222">
        <v>27.0</v>
      </c>
      <c r="G127" s="223" t="s">
        <v>164</v>
      </c>
      <c r="H127" s="221">
        <v>94.5</v>
      </c>
      <c r="I127" s="222">
        <v>82.0</v>
      </c>
      <c r="J127" s="222">
        <v>42.0</v>
      </c>
      <c r="K127" s="222">
        <v>5500.0</v>
      </c>
      <c r="L127" s="222" t="s">
        <v>2126</v>
      </c>
      <c r="M127" s="223">
        <v>400.0</v>
      </c>
      <c r="N127" s="221">
        <v>2.0</v>
      </c>
      <c r="O127" s="222" t="s">
        <v>2002</v>
      </c>
      <c r="P127" s="222">
        <v>25.0</v>
      </c>
      <c r="Q127" s="222">
        <v>2500.0</v>
      </c>
      <c r="R127" s="224">
        <v>52.3</v>
      </c>
      <c r="S127" s="224">
        <v>2.6</v>
      </c>
      <c r="T127" s="225">
        <v>31.0</v>
      </c>
      <c r="U127" s="226">
        <v>52.0</v>
      </c>
      <c r="V127" s="227" t="s">
        <v>166</v>
      </c>
      <c r="W127" s="228" t="s">
        <v>174</v>
      </c>
      <c r="X127" s="222" t="s">
        <v>166</v>
      </c>
      <c r="Y127" s="223" t="s">
        <v>166</v>
      </c>
      <c r="Z127" s="221" t="s">
        <v>166</v>
      </c>
      <c r="AA127" s="222" t="s">
        <v>174</v>
      </c>
      <c r="AB127" s="222" t="s">
        <v>166</v>
      </c>
      <c r="AC127" s="222" t="s">
        <v>174</v>
      </c>
      <c r="AD127" s="222" t="s">
        <v>166</v>
      </c>
      <c r="AE127" s="222" t="s">
        <v>174</v>
      </c>
      <c r="AF127" s="222" t="s">
        <v>174</v>
      </c>
      <c r="AG127" s="222" t="s">
        <v>2127</v>
      </c>
      <c r="AH127" s="229" t="s">
        <v>214</v>
      </c>
    </row>
    <row r="128">
      <c r="A128" s="219" t="s">
        <v>1666</v>
      </c>
      <c r="B128" s="220" t="s">
        <v>2136</v>
      </c>
      <c r="C128" s="221">
        <v>280.0</v>
      </c>
      <c r="D128" s="222">
        <v>317.0</v>
      </c>
      <c r="E128" s="222">
        <v>140.0</v>
      </c>
      <c r="F128" s="222">
        <v>27.0</v>
      </c>
      <c r="G128" s="223" t="s">
        <v>164</v>
      </c>
      <c r="H128" s="221">
        <v>94.5</v>
      </c>
      <c r="I128" s="222">
        <v>82.0</v>
      </c>
      <c r="J128" s="222">
        <v>42.0</v>
      </c>
      <c r="K128" s="222">
        <v>5500.0</v>
      </c>
      <c r="L128" s="222" t="s">
        <v>2126</v>
      </c>
      <c r="M128" s="223">
        <v>400.0</v>
      </c>
      <c r="N128" s="221">
        <v>2.0</v>
      </c>
      <c r="O128" s="222" t="s">
        <v>2018</v>
      </c>
      <c r="P128" s="222">
        <v>25.0</v>
      </c>
      <c r="Q128" s="222">
        <v>2200.0</v>
      </c>
      <c r="R128" s="224">
        <v>71.7</v>
      </c>
      <c r="S128" s="224">
        <v>2.3</v>
      </c>
      <c r="T128" s="225">
        <v>31.0</v>
      </c>
      <c r="U128" s="226">
        <v>52.0</v>
      </c>
      <c r="V128" s="227" t="s">
        <v>166</v>
      </c>
      <c r="W128" s="228" t="s">
        <v>174</v>
      </c>
      <c r="X128" s="222" t="s">
        <v>166</v>
      </c>
      <c r="Y128" s="223" t="s">
        <v>166</v>
      </c>
      <c r="Z128" s="221" t="s">
        <v>166</v>
      </c>
      <c r="AA128" s="222" t="s">
        <v>174</v>
      </c>
      <c r="AB128" s="222" t="s">
        <v>166</v>
      </c>
      <c r="AC128" s="222" t="s">
        <v>174</v>
      </c>
      <c r="AD128" s="222" t="s">
        <v>166</v>
      </c>
      <c r="AE128" s="222" t="s">
        <v>174</v>
      </c>
      <c r="AF128" s="222" t="s">
        <v>174</v>
      </c>
      <c r="AG128" s="222" t="s">
        <v>2127</v>
      </c>
      <c r="AH128" s="222"/>
    </row>
    <row r="129">
      <c r="A129" s="219" t="s">
        <v>1666</v>
      </c>
      <c r="B129" s="220" t="s">
        <v>2137</v>
      </c>
      <c r="C129" s="221">
        <v>360.0</v>
      </c>
      <c r="D129" s="222">
        <v>397.0</v>
      </c>
      <c r="E129" s="222">
        <v>120.0</v>
      </c>
      <c r="F129" s="222">
        <v>27.0</v>
      </c>
      <c r="G129" s="223" t="s">
        <v>164</v>
      </c>
      <c r="H129" s="221">
        <v>94.5</v>
      </c>
      <c r="I129" s="222">
        <v>82.0</v>
      </c>
      <c r="J129" s="222">
        <v>42.0</v>
      </c>
      <c r="K129" s="222">
        <v>5500.0</v>
      </c>
      <c r="L129" s="222" t="s">
        <v>2126</v>
      </c>
      <c r="M129" s="223">
        <v>400.0</v>
      </c>
      <c r="N129" s="221">
        <v>3.0</v>
      </c>
      <c r="O129" s="222" t="s">
        <v>2002</v>
      </c>
      <c r="P129" s="222">
        <v>25.0</v>
      </c>
      <c r="Q129" s="222">
        <v>2500.0</v>
      </c>
      <c r="R129" s="224">
        <v>52.3</v>
      </c>
      <c r="S129" s="224">
        <v>2.6</v>
      </c>
      <c r="T129" s="225">
        <v>31.0</v>
      </c>
      <c r="U129" s="226">
        <v>52.0</v>
      </c>
      <c r="V129" s="227" t="s">
        <v>166</v>
      </c>
      <c r="W129" s="228" t="s">
        <v>174</v>
      </c>
      <c r="X129" s="222" t="s">
        <v>166</v>
      </c>
      <c r="Y129" s="223" t="s">
        <v>166</v>
      </c>
      <c r="Z129" s="221" t="s">
        <v>166</v>
      </c>
      <c r="AA129" s="222" t="s">
        <v>174</v>
      </c>
      <c r="AB129" s="222" t="s">
        <v>166</v>
      </c>
      <c r="AC129" s="222" t="s">
        <v>174</v>
      </c>
      <c r="AD129" s="222" t="s">
        <v>166</v>
      </c>
      <c r="AE129" s="222" t="s">
        <v>174</v>
      </c>
      <c r="AF129" s="222" t="s">
        <v>174</v>
      </c>
      <c r="AG129" s="222" t="s">
        <v>2127</v>
      </c>
      <c r="AH129" s="222"/>
    </row>
    <row r="130">
      <c r="A130" s="219" t="s">
        <v>1666</v>
      </c>
      <c r="B130" s="220" t="s">
        <v>2138</v>
      </c>
      <c r="C130" s="221">
        <v>120.0</v>
      </c>
      <c r="D130" s="222">
        <v>154.0</v>
      </c>
      <c r="E130" s="222">
        <v>120.0</v>
      </c>
      <c r="F130" s="222">
        <v>27.0</v>
      </c>
      <c r="G130" s="223" t="s">
        <v>164</v>
      </c>
      <c r="H130" s="221">
        <v>81.5</v>
      </c>
      <c r="I130" s="222">
        <v>63.0</v>
      </c>
      <c r="J130" s="222">
        <v>54.0</v>
      </c>
      <c r="K130" s="222">
        <v>2800.0</v>
      </c>
      <c r="L130" s="222" t="s">
        <v>44</v>
      </c>
      <c r="M130" s="223">
        <v>400.0</v>
      </c>
      <c r="N130" s="221">
        <v>2.0</v>
      </c>
      <c r="O130" s="222" t="s">
        <v>2002</v>
      </c>
      <c r="P130" s="222">
        <v>25.0</v>
      </c>
      <c r="Q130" s="222">
        <v>2200.0</v>
      </c>
      <c r="R130" s="224">
        <v>73.33</v>
      </c>
      <c r="S130" s="224">
        <v>3.37</v>
      </c>
      <c r="T130" s="225">
        <v>28.6</v>
      </c>
      <c r="U130" s="226">
        <v>52.0</v>
      </c>
      <c r="V130" s="227" t="s">
        <v>166</v>
      </c>
      <c r="W130" s="228" t="s">
        <v>174</v>
      </c>
      <c r="X130" s="222" t="s">
        <v>166</v>
      </c>
      <c r="Y130" s="223" t="s">
        <v>166</v>
      </c>
      <c r="Z130" s="221" t="s">
        <v>174</v>
      </c>
      <c r="AA130" s="222" t="s">
        <v>174</v>
      </c>
      <c r="AB130" s="222" t="s">
        <v>166</v>
      </c>
      <c r="AC130" s="222" t="s">
        <v>174</v>
      </c>
      <c r="AD130" s="222" t="s">
        <v>166</v>
      </c>
      <c r="AE130" s="222" t="s">
        <v>174</v>
      </c>
      <c r="AF130" s="222" t="s">
        <v>174</v>
      </c>
      <c r="AG130" s="253" t="s">
        <v>2139</v>
      </c>
      <c r="AH130" s="253"/>
    </row>
    <row r="131">
      <c r="A131" s="219" t="s">
        <v>1666</v>
      </c>
      <c r="B131" s="220" t="s">
        <v>2140</v>
      </c>
      <c r="C131" s="221">
        <v>240.0</v>
      </c>
      <c r="D131" s="222">
        <v>274.0</v>
      </c>
      <c r="E131" s="222">
        <v>120.0</v>
      </c>
      <c r="F131" s="222">
        <v>27.0</v>
      </c>
      <c r="G131" s="223" t="s">
        <v>164</v>
      </c>
      <c r="H131" s="221">
        <v>81.5</v>
      </c>
      <c r="I131" s="222">
        <v>63.0</v>
      </c>
      <c r="J131" s="222">
        <v>54.0</v>
      </c>
      <c r="K131" s="222">
        <v>2800.0</v>
      </c>
      <c r="L131" s="222" t="s">
        <v>44</v>
      </c>
      <c r="M131" s="223">
        <v>400.0</v>
      </c>
      <c r="N131" s="221">
        <v>2.0</v>
      </c>
      <c r="O131" s="222" t="s">
        <v>2002</v>
      </c>
      <c r="P131" s="222">
        <v>25.0</v>
      </c>
      <c r="Q131" s="222">
        <v>2200.0</v>
      </c>
      <c r="R131" s="224">
        <v>73.33</v>
      </c>
      <c r="S131" s="224">
        <v>3.37</v>
      </c>
      <c r="T131" s="225">
        <v>28.6</v>
      </c>
      <c r="U131" s="226">
        <v>52.0</v>
      </c>
      <c r="V131" s="227" t="s">
        <v>166</v>
      </c>
      <c r="W131" s="228" t="s">
        <v>174</v>
      </c>
      <c r="X131" s="222" t="s">
        <v>166</v>
      </c>
      <c r="Y131" s="223" t="s">
        <v>166</v>
      </c>
      <c r="Z131" s="221" t="s">
        <v>174</v>
      </c>
      <c r="AA131" s="222" t="s">
        <v>174</v>
      </c>
      <c r="AB131" s="222" t="s">
        <v>166</v>
      </c>
      <c r="AC131" s="222" t="s">
        <v>174</v>
      </c>
      <c r="AD131" s="222" t="s">
        <v>166</v>
      </c>
      <c r="AE131" s="222" t="s">
        <v>174</v>
      </c>
      <c r="AF131" s="222" t="s">
        <v>174</v>
      </c>
      <c r="AG131" s="253" t="s">
        <v>2139</v>
      </c>
      <c r="AH131" s="253"/>
    </row>
    <row r="132">
      <c r="A132" s="219" t="s">
        <v>1666</v>
      </c>
      <c r="B132" s="220" t="s">
        <v>2141</v>
      </c>
      <c r="C132" s="221">
        <v>280.0</v>
      </c>
      <c r="D132" s="222">
        <v>314.0</v>
      </c>
      <c r="E132" s="222">
        <v>140.0</v>
      </c>
      <c r="F132" s="222">
        <v>27.0</v>
      </c>
      <c r="G132" s="223" t="s">
        <v>164</v>
      </c>
      <c r="H132" s="221">
        <v>81.5</v>
      </c>
      <c r="I132" s="222">
        <v>63.0</v>
      </c>
      <c r="J132" s="222">
        <v>54.0</v>
      </c>
      <c r="K132" s="222">
        <v>2800.0</v>
      </c>
      <c r="L132" s="222" t="s">
        <v>44</v>
      </c>
      <c r="M132" s="223">
        <v>400.0</v>
      </c>
      <c r="N132" s="221">
        <v>2.0</v>
      </c>
      <c r="O132" s="222" t="s">
        <v>2018</v>
      </c>
      <c r="P132" s="222">
        <v>25.0</v>
      </c>
      <c r="Q132" s="222">
        <v>1600.0</v>
      </c>
      <c r="R132" s="224">
        <v>77.57</v>
      </c>
      <c r="S132" s="224">
        <v>2.16</v>
      </c>
      <c r="T132" s="225">
        <v>28.1</v>
      </c>
      <c r="U132" s="226">
        <v>52.0</v>
      </c>
      <c r="V132" s="227" t="s">
        <v>166</v>
      </c>
      <c r="W132" s="228" t="s">
        <v>174</v>
      </c>
      <c r="X132" s="222" t="s">
        <v>166</v>
      </c>
      <c r="Y132" s="223" t="s">
        <v>166</v>
      </c>
      <c r="Z132" s="221" t="s">
        <v>174</v>
      </c>
      <c r="AA132" s="222" t="s">
        <v>174</v>
      </c>
      <c r="AB132" s="222" t="s">
        <v>166</v>
      </c>
      <c r="AC132" s="222" t="s">
        <v>174</v>
      </c>
      <c r="AD132" s="222" t="s">
        <v>166</v>
      </c>
      <c r="AE132" s="222" t="s">
        <v>174</v>
      </c>
      <c r="AF132" s="222" t="s">
        <v>174</v>
      </c>
      <c r="AG132" s="253" t="s">
        <v>2139</v>
      </c>
      <c r="AH132" s="253"/>
    </row>
    <row r="133">
      <c r="A133" s="230" t="s">
        <v>1666</v>
      </c>
      <c r="B133" s="231" t="s">
        <v>2142</v>
      </c>
      <c r="C133" s="232">
        <v>360.0</v>
      </c>
      <c r="D133" s="233">
        <v>394.0</v>
      </c>
      <c r="E133" s="233">
        <v>120.0</v>
      </c>
      <c r="F133" s="233">
        <v>27.0</v>
      </c>
      <c r="G133" s="234" t="s">
        <v>164</v>
      </c>
      <c r="H133" s="232">
        <v>81.5</v>
      </c>
      <c r="I133" s="233">
        <v>63.0</v>
      </c>
      <c r="J133" s="233">
        <v>54.0</v>
      </c>
      <c r="K133" s="233">
        <v>2800.0</v>
      </c>
      <c r="L133" s="233" t="s">
        <v>44</v>
      </c>
      <c r="M133" s="234">
        <v>400.0</v>
      </c>
      <c r="N133" s="232">
        <v>3.0</v>
      </c>
      <c r="O133" s="233" t="s">
        <v>2002</v>
      </c>
      <c r="P133" s="233">
        <v>25.0</v>
      </c>
      <c r="Q133" s="233">
        <v>2200.0</v>
      </c>
      <c r="R133" s="235">
        <v>73.33</v>
      </c>
      <c r="S133" s="235">
        <v>3.37</v>
      </c>
      <c r="T133" s="236">
        <v>28.6</v>
      </c>
      <c r="U133" s="237">
        <v>52.0</v>
      </c>
      <c r="V133" s="238" t="s">
        <v>166</v>
      </c>
      <c r="W133" s="239" t="s">
        <v>174</v>
      </c>
      <c r="X133" s="233" t="s">
        <v>166</v>
      </c>
      <c r="Y133" s="234" t="s">
        <v>166</v>
      </c>
      <c r="Z133" s="232" t="s">
        <v>174</v>
      </c>
      <c r="AA133" s="233" t="s">
        <v>174</v>
      </c>
      <c r="AB133" s="233" t="s">
        <v>166</v>
      </c>
      <c r="AC133" s="233" t="s">
        <v>174</v>
      </c>
      <c r="AD133" s="233" t="s">
        <v>166</v>
      </c>
      <c r="AE133" s="233" t="s">
        <v>174</v>
      </c>
      <c r="AF133" s="233" t="s">
        <v>174</v>
      </c>
      <c r="AG133" s="254" t="s">
        <v>2139</v>
      </c>
      <c r="AH133" s="254"/>
    </row>
    <row r="134">
      <c r="A134" s="219" t="s">
        <v>1532</v>
      </c>
      <c r="B134" s="220" t="s">
        <v>2143</v>
      </c>
      <c r="C134" s="221">
        <v>120.0</v>
      </c>
      <c r="D134" s="222">
        <v>157.0</v>
      </c>
      <c r="E134" s="222">
        <v>119.6</v>
      </c>
      <c r="F134" s="222">
        <v>27.0</v>
      </c>
      <c r="G134" s="223" t="s">
        <v>164</v>
      </c>
      <c r="H134" s="221">
        <v>85.6</v>
      </c>
      <c r="I134" s="222">
        <v>70.0</v>
      </c>
      <c r="J134" s="222">
        <v>49.0</v>
      </c>
      <c r="K134" s="222" t="s">
        <v>170</v>
      </c>
      <c r="L134" s="222" t="s">
        <v>44</v>
      </c>
      <c r="M134" s="223" t="s">
        <v>170</v>
      </c>
      <c r="N134" s="221">
        <v>2.0</v>
      </c>
      <c r="O134" s="222" t="s">
        <v>2002</v>
      </c>
      <c r="P134" s="222">
        <v>25.0</v>
      </c>
      <c r="Q134" s="222">
        <v>2000.0</v>
      </c>
      <c r="R134" s="224">
        <v>66.7</v>
      </c>
      <c r="S134" s="224">
        <v>2.34</v>
      </c>
      <c r="T134" s="225">
        <v>30.0</v>
      </c>
      <c r="U134" s="226">
        <v>52.0</v>
      </c>
      <c r="V134" s="221" t="s">
        <v>166</v>
      </c>
      <c r="W134" s="241" t="s">
        <v>166</v>
      </c>
      <c r="X134" s="222" t="s">
        <v>166</v>
      </c>
      <c r="Y134" s="223" t="s">
        <v>166</v>
      </c>
      <c r="Z134" s="221" t="s">
        <v>174</v>
      </c>
      <c r="AA134" s="222" t="s">
        <v>174</v>
      </c>
      <c r="AB134" s="222" t="s">
        <v>174</v>
      </c>
      <c r="AC134" s="222" t="s">
        <v>174</v>
      </c>
      <c r="AD134" s="222" t="s">
        <v>174</v>
      </c>
      <c r="AE134" s="222" t="s">
        <v>170</v>
      </c>
      <c r="AF134" s="222" t="s">
        <v>174</v>
      </c>
      <c r="AG134" s="229" t="s">
        <v>1532</v>
      </c>
      <c r="AH134" s="229"/>
    </row>
    <row r="135">
      <c r="A135" s="255" t="s">
        <v>1532</v>
      </c>
      <c r="B135" s="256" t="s">
        <v>2144</v>
      </c>
      <c r="C135" s="221">
        <v>240.0</v>
      </c>
      <c r="D135" s="222">
        <v>277.0</v>
      </c>
      <c r="E135" s="222">
        <v>119.6</v>
      </c>
      <c r="F135" s="222">
        <v>27.0</v>
      </c>
      <c r="G135" s="223" t="s">
        <v>164</v>
      </c>
      <c r="H135" s="221">
        <v>85.6</v>
      </c>
      <c r="I135" s="222">
        <v>70.0</v>
      </c>
      <c r="J135" s="222">
        <v>49.0</v>
      </c>
      <c r="K135" s="222" t="s">
        <v>170</v>
      </c>
      <c r="L135" s="222" t="s">
        <v>44</v>
      </c>
      <c r="M135" s="223" t="s">
        <v>170</v>
      </c>
      <c r="N135" s="221">
        <v>2.0</v>
      </c>
      <c r="O135" s="222" t="s">
        <v>2002</v>
      </c>
      <c r="P135" s="222">
        <v>25.0</v>
      </c>
      <c r="Q135" s="222">
        <v>2000.0</v>
      </c>
      <c r="R135" s="224">
        <v>66.7</v>
      </c>
      <c r="S135" s="224">
        <v>2.34</v>
      </c>
      <c r="T135" s="225">
        <v>30.0</v>
      </c>
      <c r="U135" s="226">
        <v>52.0</v>
      </c>
      <c r="V135" s="227" t="s">
        <v>166</v>
      </c>
      <c r="W135" s="228" t="s">
        <v>166</v>
      </c>
      <c r="X135" s="222" t="s">
        <v>166</v>
      </c>
      <c r="Y135" s="223" t="s">
        <v>166</v>
      </c>
      <c r="Z135" s="221" t="s">
        <v>174</v>
      </c>
      <c r="AA135" s="222" t="s">
        <v>174</v>
      </c>
      <c r="AB135" s="222" t="s">
        <v>174</v>
      </c>
      <c r="AC135" s="222" t="s">
        <v>174</v>
      </c>
      <c r="AD135" s="222" t="s">
        <v>174</v>
      </c>
      <c r="AE135" s="222" t="s">
        <v>170</v>
      </c>
      <c r="AF135" s="222" t="s">
        <v>174</v>
      </c>
      <c r="AG135" s="229" t="s">
        <v>1532</v>
      </c>
      <c r="AH135" s="229"/>
    </row>
    <row r="136">
      <c r="A136" s="255" t="s">
        <v>1532</v>
      </c>
      <c r="B136" s="257" t="s">
        <v>2145</v>
      </c>
      <c r="C136" s="221">
        <v>240.0</v>
      </c>
      <c r="D136" s="222">
        <v>277.0</v>
      </c>
      <c r="E136" s="222">
        <v>119.6</v>
      </c>
      <c r="F136" s="222">
        <v>27.2</v>
      </c>
      <c r="G136" s="223" t="s">
        <v>164</v>
      </c>
      <c r="H136" s="221">
        <v>84.9</v>
      </c>
      <c r="I136" s="222">
        <v>81.0</v>
      </c>
      <c r="J136" s="222">
        <v>53.15</v>
      </c>
      <c r="K136" s="222" t="s">
        <v>170</v>
      </c>
      <c r="L136" s="222" t="s">
        <v>44</v>
      </c>
      <c r="M136" s="223" t="s">
        <v>170</v>
      </c>
      <c r="N136" s="221">
        <v>2.0</v>
      </c>
      <c r="O136" s="222" t="s">
        <v>2002</v>
      </c>
      <c r="P136" s="222">
        <v>25.0</v>
      </c>
      <c r="Q136" s="222">
        <v>2500.0</v>
      </c>
      <c r="R136" s="224">
        <v>70.7</v>
      </c>
      <c r="S136" s="224">
        <v>3.61</v>
      </c>
      <c r="T136" s="225">
        <v>27.2</v>
      </c>
      <c r="U136" s="226">
        <v>52.0</v>
      </c>
      <c r="V136" s="227" t="s">
        <v>166</v>
      </c>
      <c r="W136" s="228" t="s">
        <v>174</v>
      </c>
      <c r="X136" s="222" t="s">
        <v>166</v>
      </c>
      <c r="Y136" s="223" t="s">
        <v>166</v>
      </c>
      <c r="Z136" s="221" t="s">
        <v>166</v>
      </c>
      <c r="AA136" s="222" t="s">
        <v>174</v>
      </c>
      <c r="AB136" s="222" t="s">
        <v>166</v>
      </c>
      <c r="AC136" s="222" t="s">
        <v>174</v>
      </c>
      <c r="AD136" s="222" t="s">
        <v>166</v>
      </c>
      <c r="AE136" s="222" t="s">
        <v>174</v>
      </c>
      <c r="AF136" s="222" t="s">
        <v>166</v>
      </c>
      <c r="AG136" s="229" t="s">
        <v>1532</v>
      </c>
      <c r="AH136" s="229"/>
    </row>
    <row r="137">
      <c r="A137" s="255" t="s">
        <v>1532</v>
      </c>
      <c r="B137" s="257" t="s">
        <v>2146</v>
      </c>
      <c r="C137" s="221">
        <v>240.0</v>
      </c>
      <c r="D137" s="222">
        <v>277.0</v>
      </c>
      <c r="E137" s="222">
        <v>119.6</v>
      </c>
      <c r="F137" s="222">
        <v>27.2</v>
      </c>
      <c r="G137" s="223" t="s">
        <v>164</v>
      </c>
      <c r="H137" s="221">
        <v>84.9</v>
      </c>
      <c r="I137" s="222">
        <v>81.0</v>
      </c>
      <c r="J137" s="222">
        <v>53.15</v>
      </c>
      <c r="K137" s="222" t="s">
        <v>170</v>
      </c>
      <c r="L137" s="222" t="s">
        <v>44</v>
      </c>
      <c r="M137" s="223" t="s">
        <v>170</v>
      </c>
      <c r="N137" s="221">
        <v>2.0</v>
      </c>
      <c r="O137" s="222" t="s">
        <v>2002</v>
      </c>
      <c r="P137" s="222">
        <v>25.0</v>
      </c>
      <c r="Q137" s="222">
        <v>2500.0</v>
      </c>
      <c r="R137" s="224">
        <v>70.7</v>
      </c>
      <c r="S137" s="224">
        <v>3.61</v>
      </c>
      <c r="T137" s="225">
        <v>27.2</v>
      </c>
      <c r="U137" s="226">
        <v>52.0</v>
      </c>
      <c r="V137" s="227" t="s">
        <v>166</v>
      </c>
      <c r="W137" s="228" t="s">
        <v>174</v>
      </c>
      <c r="X137" s="222" t="s">
        <v>166</v>
      </c>
      <c r="Y137" s="223" t="s">
        <v>166</v>
      </c>
      <c r="Z137" s="221" t="s">
        <v>166</v>
      </c>
      <c r="AA137" s="222" t="s">
        <v>174</v>
      </c>
      <c r="AB137" s="222" t="s">
        <v>166</v>
      </c>
      <c r="AC137" s="222" t="s">
        <v>174</v>
      </c>
      <c r="AD137" s="222" t="s">
        <v>166</v>
      </c>
      <c r="AE137" s="222" t="s">
        <v>174</v>
      </c>
      <c r="AF137" s="222" t="s">
        <v>166</v>
      </c>
      <c r="AG137" s="229" t="s">
        <v>1532</v>
      </c>
      <c r="AH137" s="229"/>
    </row>
    <row r="138">
      <c r="A138" s="255" t="s">
        <v>1532</v>
      </c>
      <c r="B138" s="257" t="s">
        <v>2147</v>
      </c>
      <c r="C138" s="221">
        <v>240.0</v>
      </c>
      <c r="D138" s="222">
        <v>277.0</v>
      </c>
      <c r="E138" s="222">
        <v>119.6</v>
      </c>
      <c r="F138" s="222">
        <v>27.2</v>
      </c>
      <c r="G138" s="223" t="s">
        <v>164</v>
      </c>
      <c r="H138" s="221">
        <v>81.0</v>
      </c>
      <c r="I138" s="222">
        <v>76.0</v>
      </c>
      <c r="J138" s="222">
        <v>47.0</v>
      </c>
      <c r="K138" s="222" t="s">
        <v>170</v>
      </c>
      <c r="L138" s="222" t="s">
        <v>44</v>
      </c>
      <c r="M138" s="223" t="s">
        <v>170</v>
      </c>
      <c r="N138" s="221">
        <v>2.0</v>
      </c>
      <c r="O138" s="222" t="s">
        <v>2002</v>
      </c>
      <c r="P138" s="222">
        <v>25.0</v>
      </c>
      <c r="Q138" s="222">
        <v>1750.0</v>
      </c>
      <c r="R138" s="224">
        <v>71.93</v>
      </c>
      <c r="S138" s="224">
        <v>1.86</v>
      </c>
      <c r="T138" s="225">
        <v>27.2</v>
      </c>
      <c r="U138" s="226">
        <v>52.2</v>
      </c>
      <c r="V138" s="227" t="s">
        <v>166</v>
      </c>
      <c r="W138" s="228" t="s">
        <v>174</v>
      </c>
      <c r="X138" s="222" t="s">
        <v>166</v>
      </c>
      <c r="Y138" s="223" t="s">
        <v>166</v>
      </c>
      <c r="Z138" s="221" t="s">
        <v>174</v>
      </c>
      <c r="AA138" s="222" t="s">
        <v>174</v>
      </c>
      <c r="AB138" s="222" t="s">
        <v>166</v>
      </c>
      <c r="AC138" s="222" t="s">
        <v>174</v>
      </c>
      <c r="AD138" s="222" t="s">
        <v>166</v>
      </c>
      <c r="AE138" s="222" t="s">
        <v>174</v>
      </c>
      <c r="AF138" s="222" t="s">
        <v>166</v>
      </c>
      <c r="AG138" s="229" t="s">
        <v>1532</v>
      </c>
      <c r="AH138" s="229"/>
    </row>
    <row r="139">
      <c r="A139" s="255" t="s">
        <v>1532</v>
      </c>
      <c r="B139" s="257" t="s">
        <v>2148</v>
      </c>
      <c r="C139" s="221">
        <v>240.0</v>
      </c>
      <c r="D139" s="222">
        <v>277.0</v>
      </c>
      <c r="E139" s="222">
        <v>119.6</v>
      </c>
      <c r="F139" s="222">
        <v>27.2</v>
      </c>
      <c r="G139" s="223" t="s">
        <v>164</v>
      </c>
      <c r="H139" s="221">
        <v>81.0</v>
      </c>
      <c r="I139" s="222">
        <v>76.0</v>
      </c>
      <c r="J139" s="222">
        <v>47.0</v>
      </c>
      <c r="K139" s="222" t="s">
        <v>170</v>
      </c>
      <c r="L139" s="222" t="s">
        <v>44</v>
      </c>
      <c r="M139" s="223" t="s">
        <v>170</v>
      </c>
      <c r="N139" s="221">
        <v>2.0</v>
      </c>
      <c r="O139" s="222" t="s">
        <v>2002</v>
      </c>
      <c r="P139" s="222">
        <v>25.0</v>
      </c>
      <c r="Q139" s="222">
        <v>1750.0</v>
      </c>
      <c r="R139" s="224">
        <v>71.93</v>
      </c>
      <c r="S139" s="224">
        <v>1.86</v>
      </c>
      <c r="T139" s="225">
        <v>27.2</v>
      </c>
      <c r="U139" s="226">
        <v>52.2</v>
      </c>
      <c r="V139" s="227" t="s">
        <v>166</v>
      </c>
      <c r="W139" s="228" t="s">
        <v>174</v>
      </c>
      <c r="X139" s="222" t="s">
        <v>166</v>
      </c>
      <c r="Y139" s="223" t="s">
        <v>166</v>
      </c>
      <c r="Z139" s="221" t="s">
        <v>174</v>
      </c>
      <c r="AA139" s="222" t="s">
        <v>174</v>
      </c>
      <c r="AB139" s="222" t="s">
        <v>166</v>
      </c>
      <c r="AC139" s="222" t="s">
        <v>174</v>
      </c>
      <c r="AD139" s="222" t="s">
        <v>166</v>
      </c>
      <c r="AE139" s="222" t="s">
        <v>174</v>
      </c>
      <c r="AF139" s="222" t="s">
        <v>166</v>
      </c>
      <c r="AG139" s="229" t="s">
        <v>1532</v>
      </c>
      <c r="AH139" s="229"/>
    </row>
    <row r="140">
      <c r="A140" s="255" t="s">
        <v>1532</v>
      </c>
      <c r="B140" s="257" t="s">
        <v>2149</v>
      </c>
      <c r="C140" s="221">
        <v>360.0</v>
      </c>
      <c r="D140" s="222">
        <v>394.0</v>
      </c>
      <c r="E140" s="222">
        <v>119.0</v>
      </c>
      <c r="F140" s="222">
        <v>27.2</v>
      </c>
      <c r="G140" s="223" t="s">
        <v>164</v>
      </c>
      <c r="H140" s="221">
        <v>84.9</v>
      </c>
      <c r="I140" s="222">
        <v>81.0</v>
      </c>
      <c r="J140" s="222">
        <v>53.15</v>
      </c>
      <c r="K140" s="222" t="s">
        <v>170</v>
      </c>
      <c r="L140" s="222" t="s">
        <v>44</v>
      </c>
      <c r="M140" s="223" t="s">
        <v>170</v>
      </c>
      <c r="N140" s="221">
        <v>3.0</v>
      </c>
      <c r="O140" s="222" t="s">
        <v>2002</v>
      </c>
      <c r="P140" s="222">
        <v>25.0</v>
      </c>
      <c r="Q140" s="222">
        <v>2500.0</v>
      </c>
      <c r="R140" s="224">
        <v>70.7</v>
      </c>
      <c r="S140" s="224">
        <v>3.61</v>
      </c>
      <c r="T140" s="225">
        <v>27.2</v>
      </c>
      <c r="U140" s="226">
        <v>52.0</v>
      </c>
      <c r="V140" s="227" t="s">
        <v>166</v>
      </c>
      <c r="W140" s="228" t="s">
        <v>174</v>
      </c>
      <c r="X140" s="222" t="s">
        <v>166</v>
      </c>
      <c r="Y140" s="223" t="s">
        <v>166</v>
      </c>
      <c r="Z140" s="221" t="s">
        <v>166</v>
      </c>
      <c r="AA140" s="222" t="s">
        <v>174</v>
      </c>
      <c r="AB140" s="222" t="s">
        <v>166</v>
      </c>
      <c r="AC140" s="222" t="s">
        <v>174</v>
      </c>
      <c r="AD140" s="222" t="s">
        <v>166</v>
      </c>
      <c r="AE140" s="222" t="s">
        <v>174</v>
      </c>
      <c r="AF140" s="222" t="s">
        <v>166</v>
      </c>
      <c r="AG140" s="229" t="s">
        <v>1532</v>
      </c>
      <c r="AH140" s="229" t="s">
        <v>214</v>
      </c>
    </row>
    <row r="141">
      <c r="A141" s="255" t="s">
        <v>1532</v>
      </c>
      <c r="B141" s="257" t="s">
        <v>2150</v>
      </c>
      <c r="C141" s="221">
        <v>360.0</v>
      </c>
      <c r="D141" s="222">
        <v>394.0</v>
      </c>
      <c r="E141" s="222">
        <v>119.0</v>
      </c>
      <c r="F141" s="222">
        <v>27.2</v>
      </c>
      <c r="G141" s="223" t="s">
        <v>164</v>
      </c>
      <c r="H141" s="221">
        <v>84.9</v>
      </c>
      <c r="I141" s="222">
        <v>81.0</v>
      </c>
      <c r="J141" s="222">
        <v>53.15</v>
      </c>
      <c r="K141" s="222" t="s">
        <v>170</v>
      </c>
      <c r="L141" s="222" t="s">
        <v>44</v>
      </c>
      <c r="M141" s="223" t="s">
        <v>170</v>
      </c>
      <c r="N141" s="221">
        <v>3.0</v>
      </c>
      <c r="O141" s="222" t="s">
        <v>2002</v>
      </c>
      <c r="P141" s="222">
        <v>25.0</v>
      </c>
      <c r="Q141" s="222">
        <v>2500.0</v>
      </c>
      <c r="R141" s="224">
        <v>70.7</v>
      </c>
      <c r="S141" s="224">
        <v>3.61</v>
      </c>
      <c r="T141" s="225">
        <v>27.2</v>
      </c>
      <c r="U141" s="226">
        <v>52.0</v>
      </c>
      <c r="V141" s="227" t="s">
        <v>166</v>
      </c>
      <c r="W141" s="228" t="s">
        <v>174</v>
      </c>
      <c r="X141" s="222" t="s">
        <v>166</v>
      </c>
      <c r="Y141" s="223" t="s">
        <v>166</v>
      </c>
      <c r="Z141" s="221" t="s">
        <v>166</v>
      </c>
      <c r="AA141" s="222" t="s">
        <v>174</v>
      </c>
      <c r="AB141" s="222" t="s">
        <v>166</v>
      </c>
      <c r="AC141" s="222" t="s">
        <v>174</v>
      </c>
      <c r="AD141" s="222" t="s">
        <v>166</v>
      </c>
      <c r="AE141" s="222" t="s">
        <v>174</v>
      </c>
      <c r="AF141" s="222" t="s">
        <v>166</v>
      </c>
      <c r="AG141" s="229" t="s">
        <v>1532</v>
      </c>
      <c r="AH141" s="229"/>
    </row>
    <row r="142">
      <c r="A142" s="255" t="s">
        <v>1532</v>
      </c>
      <c r="B142" s="257" t="s">
        <v>2151</v>
      </c>
      <c r="C142" s="221">
        <v>360.0</v>
      </c>
      <c r="D142" s="222">
        <v>394.0</v>
      </c>
      <c r="E142" s="222">
        <v>119.6</v>
      </c>
      <c r="F142" s="222">
        <v>27.2</v>
      </c>
      <c r="G142" s="223" t="s">
        <v>164</v>
      </c>
      <c r="H142" s="221">
        <v>81.0</v>
      </c>
      <c r="I142" s="222">
        <v>76.0</v>
      </c>
      <c r="J142" s="222">
        <v>47.0</v>
      </c>
      <c r="K142" s="222" t="s">
        <v>170</v>
      </c>
      <c r="L142" s="222" t="s">
        <v>44</v>
      </c>
      <c r="M142" s="223" t="s">
        <v>170</v>
      </c>
      <c r="N142" s="221">
        <v>3.0</v>
      </c>
      <c r="O142" s="222" t="s">
        <v>2002</v>
      </c>
      <c r="P142" s="222">
        <v>25.0</v>
      </c>
      <c r="Q142" s="222">
        <v>1750.0</v>
      </c>
      <c r="R142" s="224">
        <v>71.93</v>
      </c>
      <c r="S142" s="224">
        <v>1.86</v>
      </c>
      <c r="T142" s="225">
        <v>27.2</v>
      </c>
      <c r="U142" s="226">
        <v>52.2</v>
      </c>
      <c r="V142" s="227" t="s">
        <v>166</v>
      </c>
      <c r="W142" s="228" t="s">
        <v>174</v>
      </c>
      <c r="X142" s="222" t="s">
        <v>166</v>
      </c>
      <c r="Y142" s="223" t="s">
        <v>166</v>
      </c>
      <c r="Z142" s="221" t="s">
        <v>174</v>
      </c>
      <c r="AA142" s="222" t="s">
        <v>174</v>
      </c>
      <c r="AB142" s="222" t="s">
        <v>166</v>
      </c>
      <c r="AC142" s="222" t="s">
        <v>174</v>
      </c>
      <c r="AD142" s="222" t="s">
        <v>166</v>
      </c>
      <c r="AE142" s="222" t="s">
        <v>174</v>
      </c>
      <c r="AF142" s="222" t="s">
        <v>166</v>
      </c>
      <c r="AG142" s="229" t="s">
        <v>1532</v>
      </c>
      <c r="AH142" s="229"/>
    </row>
    <row r="143">
      <c r="A143" s="255" t="s">
        <v>1532</v>
      </c>
      <c r="B143" s="257" t="s">
        <v>2152</v>
      </c>
      <c r="C143" s="221">
        <v>360.0</v>
      </c>
      <c r="D143" s="222">
        <v>394.0</v>
      </c>
      <c r="E143" s="222">
        <v>119.6</v>
      </c>
      <c r="F143" s="222">
        <v>27.2</v>
      </c>
      <c r="G143" s="223" t="s">
        <v>164</v>
      </c>
      <c r="H143" s="221">
        <v>81.0</v>
      </c>
      <c r="I143" s="222">
        <v>76.0</v>
      </c>
      <c r="J143" s="222">
        <v>47.0</v>
      </c>
      <c r="K143" s="222" t="s">
        <v>170</v>
      </c>
      <c r="L143" s="222" t="s">
        <v>44</v>
      </c>
      <c r="M143" s="223" t="s">
        <v>170</v>
      </c>
      <c r="N143" s="221">
        <v>3.0</v>
      </c>
      <c r="O143" s="222" t="s">
        <v>2002</v>
      </c>
      <c r="P143" s="222">
        <v>25.0</v>
      </c>
      <c r="Q143" s="222">
        <v>1750.0</v>
      </c>
      <c r="R143" s="224">
        <v>71.93</v>
      </c>
      <c r="S143" s="224">
        <v>1.86</v>
      </c>
      <c r="T143" s="225">
        <v>27.2</v>
      </c>
      <c r="U143" s="226">
        <v>52.2</v>
      </c>
      <c r="V143" s="227" t="s">
        <v>166</v>
      </c>
      <c r="W143" s="228" t="s">
        <v>174</v>
      </c>
      <c r="X143" s="222" t="s">
        <v>166</v>
      </c>
      <c r="Y143" s="223" t="s">
        <v>166</v>
      </c>
      <c r="Z143" s="221" t="s">
        <v>174</v>
      </c>
      <c r="AA143" s="222" t="s">
        <v>174</v>
      </c>
      <c r="AB143" s="222" t="s">
        <v>166</v>
      </c>
      <c r="AC143" s="222" t="s">
        <v>174</v>
      </c>
      <c r="AD143" s="222" t="s">
        <v>166</v>
      </c>
      <c r="AE143" s="222" t="s">
        <v>174</v>
      </c>
      <c r="AF143" s="222" t="s">
        <v>166</v>
      </c>
      <c r="AG143" s="229" t="s">
        <v>1532</v>
      </c>
      <c r="AH143" s="229"/>
    </row>
    <row r="144">
      <c r="A144" s="255" t="s">
        <v>1532</v>
      </c>
      <c r="B144" s="257" t="s">
        <v>2153</v>
      </c>
      <c r="C144" s="221">
        <v>360.0</v>
      </c>
      <c r="D144" s="222">
        <v>394.0</v>
      </c>
      <c r="E144" s="222">
        <v>119.6</v>
      </c>
      <c r="F144" s="222">
        <v>27.2</v>
      </c>
      <c r="G144" s="223" t="s">
        <v>164</v>
      </c>
      <c r="H144" s="221">
        <v>81.0</v>
      </c>
      <c r="I144" s="222">
        <v>76.0</v>
      </c>
      <c r="J144" s="222">
        <v>47.0</v>
      </c>
      <c r="K144" s="222" t="s">
        <v>170</v>
      </c>
      <c r="L144" s="222" t="s">
        <v>44</v>
      </c>
      <c r="M144" s="223" t="s">
        <v>170</v>
      </c>
      <c r="N144" s="221">
        <v>3.0</v>
      </c>
      <c r="O144" s="222" t="s">
        <v>2002</v>
      </c>
      <c r="P144" s="222">
        <v>25.0</v>
      </c>
      <c r="Q144" s="222">
        <v>1750.0</v>
      </c>
      <c r="R144" s="224">
        <v>71.93</v>
      </c>
      <c r="S144" s="224">
        <v>1.86</v>
      </c>
      <c r="T144" s="225">
        <v>27.2</v>
      </c>
      <c r="U144" s="226">
        <v>52.2</v>
      </c>
      <c r="V144" s="227" t="s">
        <v>166</v>
      </c>
      <c r="W144" s="228" t="s">
        <v>174</v>
      </c>
      <c r="X144" s="222" t="s">
        <v>166</v>
      </c>
      <c r="Y144" s="223" t="s">
        <v>166</v>
      </c>
      <c r="Z144" s="221" t="s">
        <v>174</v>
      </c>
      <c r="AA144" s="222" t="s">
        <v>174</v>
      </c>
      <c r="AB144" s="222" t="s">
        <v>166</v>
      </c>
      <c r="AC144" s="222" t="s">
        <v>174</v>
      </c>
      <c r="AD144" s="222" t="s">
        <v>166</v>
      </c>
      <c r="AE144" s="222" t="s">
        <v>174</v>
      </c>
      <c r="AF144" s="222" t="s">
        <v>166</v>
      </c>
      <c r="AG144" s="229" t="s">
        <v>1532</v>
      </c>
      <c r="AH144" s="229"/>
    </row>
    <row r="145">
      <c r="A145" s="255" t="s">
        <v>1532</v>
      </c>
      <c r="B145" s="257" t="s">
        <v>2154</v>
      </c>
      <c r="C145" s="221">
        <v>360.0</v>
      </c>
      <c r="D145" s="222">
        <v>394.0</v>
      </c>
      <c r="E145" s="222">
        <v>119.6</v>
      </c>
      <c r="F145" s="222">
        <v>27.2</v>
      </c>
      <c r="G145" s="223" t="s">
        <v>164</v>
      </c>
      <c r="H145" s="221">
        <v>81.0</v>
      </c>
      <c r="I145" s="222">
        <v>76.0</v>
      </c>
      <c r="J145" s="222">
        <v>47.0</v>
      </c>
      <c r="K145" s="222" t="s">
        <v>170</v>
      </c>
      <c r="L145" s="222" t="s">
        <v>44</v>
      </c>
      <c r="M145" s="223" t="s">
        <v>170</v>
      </c>
      <c r="N145" s="221">
        <v>3.0</v>
      </c>
      <c r="O145" s="222" t="s">
        <v>2002</v>
      </c>
      <c r="P145" s="222">
        <v>25.0</v>
      </c>
      <c r="Q145" s="222">
        <v>1750.0</v>
      </c>
      <c r="R145" s="224">
        <v>71.93</v>
      </c>
      <c r="S145" s="224">
        <v>1.86</v>
      </c>
      <c r="T145" s="225">
        <v>27.2</v>
      </c>
      <c r="U145" s="226">
        <v>52.2</v>
      </c>
      <c r="V145" s="227" t="s">
        <v>166</v>
      </c>
      <c r="W145" s="228" t="s">
        <v>174</v>
      </c>
      <c r="X145" s="222" t="s">
        <v>166</v>
      </c>
      <c r="Y145" s="223" t="s">
        <v>166</v>
      </c>
      <c r="Z145" s="221" t="s">
        <v>174</v>
      </c>
      <c r="AA145" s="222" t="s">
        <v>174</v>
      </c>
      <c r="AB145" s="222" t="s">
        <v>166</v>
      </c>
      <c r="AC145" s="222" t="s">
        <v>174</v>
      </c>
      <c r="AD145" s="222" t="s">
        <v>166</v>
      </c>
      <c r="AE145" s="222" t="s">
        <v>174</v>
      </c>
      <c r="AF145" s="222" t="s">
        <v>166</v>
      </c>
      <c r="AG145" s="229" t="s">
        <v>1532</v>
      </c>
      <c r="AH145" s="229"/>
    </row>
    <row r="146">
      <c r="A146" s="255" t="s">
        <v>1532</v>
      </c>
      <c r="B146" s="256" t="s">
        <v>2155</v>
      </c>
      <c r="C146" s="221">
        <v>120.0</v>
      </c>
      <c r="D146" s="222">
        <v>157.0</v>
      </c>
      <c r="E146" s="222">
        <v>119.6</v>
      </c>
      <c r="F146" s="222">
        <v>27.0</v>
      </c>
      <c r="G146" s="223" t="s">
        <v>164</v>
      </c>
      <c r="H146" s="221">
        <v>80.3</v>
      </c>
      <c r="I146" s="222">
        <v>76.0</v>
      </c>
      <c r="J146" s="222">
        <v>42.2</v>
      </c>
      <c r="K146" s="222" t="s">
        <v>170</v>
      </c>
      <c r="L146" s="222" t="s">
        <v>44</v>
      </c>
      <c r="M146" s="223">
        <v>330.0</v>
      </c>
      <c r="N146" s="221">
        <v>1.0</v>
      </c>
      <c r="O146" s="222" t="s">
        <v>2002</v>
      </c>
      <c r="P146" s="222">
        <v>25.0</v>
      </c>
      <c r="Q146" s="222">
        <v>2000.0</v>
      </c>
      <c r="R146" s="224">
        <v>66.7</v>
      </c>
      <c r="S146" s="224">
        <v>2.34</v>
      </c>
      <c r="T146" s="225">
        <v>30.0</v>
      </c>
      <c r="U146" s="226">
        <v>52.0</v>
      </c>
      <c r="V146" s="227" t="s">
        <v>166</v>
      </c>
      <c r="W146" s="228" t="s">
        <v>166</v>
      </c>
      <c r="X146" s="222" t="s">
        <v>166</v>
      </c>
      <c r="Y146" s="223" t="s">
        <v>166</v>
      </c>
      <c r="Z146" s="221" t="s">
        <v>174</v>
      </c>
      <c r="AA146" s="222" t="s">
        <v>174</v>
      </c>
      <c r="AB146" s="222" t="s">
        <v>174</v>
      </c>
      <c r="AC146" s="222" t="s">
        <v>174</v>
      </c>
      <c r="AD146" s="222" t="s">
        <v>174</v>
      </c>
      <c r="AE146" s="222" t="s">
        <v>174</v>
      </c>
      <c r="AF146" s="222" t="s">
        <v>174</v>
      </c>
      <c r="AG146" s="229" t="s">
        <v>1532</v>
      </c>
      <c r="AH146" s="229"/>
    </row>
    <row r="147">
      <c r="A147" s="255" t="s">
        <v>1532</v>
      </c>
      <c r="B147" s="256" t="s">
        <v>2156</v>
      </c>
      <c r="C147" s="221">
        <v>240.0</v>
      </c>
      <c r="D147" s="222">
        <v>277.0</v>
      </c>
      <c r="E147" s="222">
        <v>119.6</v>
      </c>
      <c r="F147" s="222">
        <v>27.0</v>
      </c>
      <c r="G147" s="223" t="s">
        <v>164</v>
      </c>
      <c r="H147" s="221">
        <v>80.3</v>
      </c>
      <c r="I147" s="222">
        <v>76.0</v>
      </c>
      <c r="J147" s="222">
        <v>42.2</v>
      </c>
      <c r="K147" s="222" t="s">
        <v>170</v>
      </c>
      <c r="L147" s="222" t="s">
        <v>44</v>
      </c>
      <c r="M147" s="223" t="s">
        <v>170</v>
      </c>
      <c r="N147" s="221">
        <v>2.0</v>
      </c>
      <c r="O147" s="222" t="s">
        <v>2002</v>
      </c>
      <c r="P147" s="222">
        <v>25.0</v>
      </c>
      <c r="Q147" s="222">
        <v>2000.0</v>
      </c>
      <c r="R147" s="224">
        <v>66.7</v>
      </c>
      <c r="S147" s="224">
        <v>2.34</v>
      </c>
      <c r="T147" s="225">
        <v>30.0</v>
      </c>
      <c r="U147" s="226">
        <v>52.0</v>
      </c>
      <c r="V147" s="227" t="s">
        <v>166</v>
      </c>
      <c r="W147" s="228" t="s">
        <v>166</v>
      </c>
      <c r="X147" s="222" t="s">
        <v>166</v>
      </c>
      <c r="Y147" s="223" t="s">
        <v>166</v>
      </c>
      <c r="Z147" s="221" t="s">
        <v>174</v>
      </c>
      <c r="AA147" s="222" t="s">
        <v>174</v>
      </c>
      <c r="AB147" s="222" t="s">
        <v>174</v>
      </c>
      <c r="AC147" s="222" t="s">
        <v>174</v>
      </c>
      <c r="AD147" s="222" t="s">
        <v>174</v>
      </c>
      <c r="AE147" s="222" t="s">
        <v>174</v>
      </c>
      <c r="AF147" s="222" t="s">
        <v>174</v>
      </c>
      <c r="AG147" s="229" t="s">
        <v>1532</v>
      </c>
      <c r="AH147" s="229"/>
    </row>
    <row r="148">
      <c r="A148" s="255" t="s">
        <v>1532</v>
      </c>
      <c r="B148" s="256" t="s">
        <v>2157</v>
      </c>
      <c r="C148" s="221">
        <v>120.0</v>
      </c>
      <c r="D148" s="222">
        <v>157.0</v>
      </c>
      <c r="E148" s="222">
        <v>119.6</v>
      </c>
      <c r="F148" s="222">
        <v>27.0</v>
      </c>
      <c r="G148" s="223" t="s">
        <v>164</v>
      </c>
      <c r="H148" s="221">
        <v>80.3</v>
      </c>
      <c r="I148" s="222">
        <v>76.0</v>
      </c>
      <c r="J148" s="222">
        <v>42.2</v>
      </c>
      <c r="K148" s="222" t="s">
        <v>170</v>
      </c>
      <c r="L148" s="222" t="s">
        <v>44</v>
      </c>
      <c r="M148" s="223" t="s">
        <v>170</v>
      </c>
      <c r="N148" s="221">
        <v>1.0</v>
      </c>
      <c r="O148" s="222" t="s">
        <v>2002</v>
      </c>
      <c r="P148" s="222">
        <v>25.0</v>
      </c>
      <c r="Q148" s="222">
        <v>2000.0</v>
      </c>
      <c r="R148" s="224">
        <v>66.7</v>
      </c>
      <c r="S148" s="224">
        <v>2.34</v>
      </c>
      <c r="T148" s="225">
        <v>30.0</v>
      </c>
      <c r="U148" s="226">
        <v>52.0</v>
      </c>
      <c r="V148" s="227" t="s">
        <v>174</v>
      </c>
      <c r="W148" s="228" t="s">
        <v>166</v>
      </c>
      <c r="X148" s="222" t="s">
        <v>166</v>
      </c>
      <c r="Y148" s="223" t="s">
        <v>166</v>
      </c>
      <c r="Z148" s="221" t="s">
        <v>174</v>
      </c>
      <c r="AA148" s="222" t="s">
        <v>174</v>
      </c>
      <c r="AB148" s="222" t="s">
        <v>174</v>
      </c>
      <c r="AC148" s="222" t="s">
        <v>174</v>
      </c>
      <c r="AD148" s="222" t="s">
        <v>174</v>
      </c>
      <c r="AE148" s="222" t="s">
        <v>170</v>
      </c>
      <c r="AF148" s="222" t="s">
        <v>174</v>
      </c>
      <c r="AG148" s="229" t="s">
        <v>1532</v>
      </c>
      <c r="AH148" s="229"/>
    </row>
    <row r="149">
      <c r="A149" s="255" t="s">
        <v>1532</v>
      </c>
      <c r="B149" s="256" t="s">
        <v>2158</v>
      </c>
      <c r="C149" s="221">
        <v>120.0</v>
      </c>
      <c r="D149" s="222">
        <v>157.0</v>
      </c>
      <c r="E149" s="222">
        <v>119.6</v>
      </c>
      <c r="F149" s="222">
        <v>27.2</v>
      </c>
      <c r="G149" s="223" t="s">
        <v>164</v>
      </c>
      <c r="H149" s="221">
        <v>79.9</v>
      </c>
      <c r="I149" s="222">
        <v>76.0</v>
      </c>
      <c r="J149" s="222">
        <v>47.1</v>
      </c>
      <c r="K149" s="222" t="s">
        <v>170</v>
      </c>
      <c r="L149" s="222" t="s">
        <v>44</v>
      </c>
      <c r="M149" s="223" t="s">
        <v>170</v>
      </c>
      <c r="N149" s="221">
        <v>1.0</v>
      </c>
      <c r="O149" s="222" t="s">
        <v>2002</v>
      </c>
      <c r="P149" s="222">
        <v>25.0</v>
      </c>
      <c r="Q149" s="222">
        <v>1800.0</v>
      </c>
      <c r="R149" s="224">
        <v>62.0</v>
      </c>
      <c r="S149" s="224">
        <v>2.5</v>
      </c>
      <c r="T149" s="225">
        <v>27.0</v>
      </c>
      <c r="U149" s="226">
        <v>52.2</v>
      </c>
      <c r="V149" s="227" t="s">
        <v>174</v>
      </c>
      <c r="W149" s="228" t="s">
        <v>166</v>
      </c>
      <c r="X149" s="222" t="s">
        <v>166</v>
      </c>
      <c r="Y149" s="223" t="s">
        <v>166</v>
      </c>
      <c r="Z149" s="221" t="s">
        <v>174</v>
      </c>
      <c r="AA149" s="222" t="s">
        <v>174</v>
      </c>
      <c r="AB149" s="222" t="s">
        <v>166</v>
      </c>
      <c r="AC149" s="222" t="s">
        <v>174</v>
      </c>
      <c r="AD149" s="222" t="s">
        <v>166</v>
      </c>
      <c r="AE149" s="222" t="s">
        <v>174</v>
      </c>
      <c r="AF149" s="222" t="s">
        <v>174</v>
      </c>
      <c r="AG149" s="229" t="s">
        <v>1532</v>
      </c>
      <c r="AH149" s="229"/>
    </row>
    <row r="150">
      <c r="A150" s="255" t="s">
        <v>1532</v>
      </c>
      <c r="B150" s="256" t="s">
        <v>2159</v>
      </c>
      <c r="C150" s="221">
        <v>120.0</v>
      </c>
      <c r="D150" s="222">
        <v>157.0</v>
      </c>
      <c r="E150" s="222">
        <v>119.6</v>
      </c>
      <c r="F150" s="222">
        <v>27.0</v>
      </c>
      <c r="G150" s="223" t="s">
        <v>164</v>
      </c>
      <c r="H150" s="221">
        <v>83.6</v>
      </c>
      <c r="I150" s="222">
        <v>71.8</v>
      </c>
      <c r="J150" s="222">
        <v>52.7</v>
      </c>
      <c r="K150" s="222" t="s">
        <v>170</v>
      </c>
      <c r="L150" s="222" t="s">
        <v>44</v>
      </c>
      <c r="M150" s="223" t="s">
        <v>170</v>
      </c>
      <c r="N150" s="221">
        <v>2.0</v>
      </c>
      <c r="O150" s="222" t="s">
        <v>2002</v>
      </c>
      <c r="P150" s="222">
        <v>25.0</v>
      </c>
      <c r="Q150" s="222">
        <v>2000.0</v>
      </c>
      <c r="R150" s="224">
        <v>66.7</v>
      </c>
      <c r="S150" s="224">
        <v>2.34</v>
      </c>
      <c r="T150" s="225">
        <v>30.0</v>
      </c>
      <c r="U150" s="226">
        <v>52.0</v>
      </c>
      <c r="V150" s="227" t="s">
        <v>166</v>
      </c>
      <c r="W150" s="228" t="s">
        <v>166</v>
      </c>
      <c r="X150" s="222" t="s">
        <v>174</v>
      </c>
      <c r="Y150" s="223" t="s">
        <v>174</v>
      </c>
      <c r="Z150" s="221" t="s">
        <v>174</v>
      </c>
      <c r="AA150" s="222" t="s">
        <v>174</v>
      </c>
      <c r="AB150" s="222" t="s">
        <v>174</v>
      </c>
      <c r="AC150" s="222" t="s">
        <v>174</v>
      </c>
      <c r="AD150" s="222" t="s">
        <v>174</v>
      </c>
      <c r="AE150" s="222" t="s">
        <v>174</v>
      </c>
      <c r="AF150" s="222" t="s">
        <v>174</v>
      </c>
      <c r="AG150" s="229" t="s">
        <v>1532</v>
      </c>
      <c r="AH150" s="229"/>
    </row>
    <row r="151">
      <c r="A151" s="255" t="s">
        <v>1532</v>
      </c>
      <c r="B151" s="256" t="s">
        <v>2160</v>
      </c>
      <c r="C151" s="221">
        <v>120.0</v>
      </c>
      <c r="D151" s="222">
        <v>157.0</v>
      </c>
      <c r="E151" s="222">
        <v>119.6</v>
      </c>
      <c r="F151" s="222">
        <v>27.0</v>
      </c>
      <c r="G151" s="223" t="s">
        <v>164</v>
      </c>
      <c r="H151" s="221">
        <v>83.6</v>
      </c>
      <c r="I151" s="222">
        <v>71.8</v>
      </c>
      <c r="J151" s="222">
        <v>52.7</v>
      </c>
      <c r="K151" s="222" t="s">
        <v>170</v>
      </c>
      <c r="L151" s="222" t="s">
        <v>44</v>
      </c>
      <c r="M151" s="223" t="s">
        <v>170</v>
      </c>
      <c r="N151" s="221">
        <v>2.0</v>
      </c>
      <c r="O151" s="222" t="s">
        <v>2002</v>
      </c>
      <c r="P151" s="222">
        <v>25.0</v>
      </c>
      <c r="Q151" s="222">
        <v>2000.0</v>
      </c>
      <c r="R151" s="224">
        <v>66.7</v>
      </c>
      <c r="S151" s="224">
        <v>2.34</v>
      </c>
      <c r="T151" s="225">
        <v>30.0</v>
      </c>
      <c r="U151" s="226">
        <v>52.0</v>
      </c>
      <c r="V151" s="227" t="s">
        <v>166</v>
      </c>
      <c r="W151" s="228" t="s">
        <v>166</v>
      </c>
      <c r="X151" s="222" t="s">
        <v>174</v>
      </c>
      <c r="Y151" s="223" t="s">
        <v>174</v>
      </c>
      <c r="Z151" s="221" t="s">
        <v>174</v>
      </c>
      <c r="AA151" s="222" t="s">
        <v>174</v>
      </c>
      <c r="AB151" s="222" t="s">
        <v>174</v>
      </c>
      <c r="AC151" s="222" t="s">
        <v>174</v>
      </c>
      <c r="AD151" s="222" t="s">
        <v>174</v>
      </c>
      <c r="AE151" s="222" t="s">
        <v>170</v>
      </c>
      <c r="AF151" s="222" t="s">
        <v>174</v>
      </c>
      <c r="AG151" s="229" t="s">
        <v>1532</v>
      </c>
      <c r="AH151" s="229"/>
    </row>
    <row r="152">
      <c r="A152" s="255" t="s">
        <v>1532</v>
      </c>
      <c r="B152" s="257" t="s">
        <v>2161</v>
      </c>
      <c r="C152" s="221">
        <v>240.0</v>
      </c>
      <c r="D152" s="222">
        <v>277.0</v>
      </c>
      <c r="E152" s="222">
        <v>119.6</v>
      </c>
      <c r="F152" s="222">
        <v>27.2</v>
      </c>
      <c r="G152" s="223" t="s">
        <v>164</v>
      </c>
      <c r="H152" s="221">
        <v>81.4</v>
      </c>
      <c r="I152" s="222">
        <v>76.0</v>
      </c>
      <c r="J152" s="222">
        <v>57.8</v>
      </c>
      <c r="K152" s="222" t="s">
        <v>170</v>
      </c>
      <c r="L152" s="222" t="s">
        <v>44</v>
      </c>
      <c r="M152" s="223" t="s">
        <v>170</v>
      </c>
      <c r="N152" s="221">
        <v>2.0</v>
      </c>
      <c r="O152" s="222" t="s">
        <v>2002</v>
      </c>
      <c r="P152" s="222">
        <v>25.0</v>
      </c>
      <c r="Q152" s="222">
        <v>1800.0</v>
      </c>
      <c r="R152" s="224">
        <v>47.2</v>
      </c>
      <c r="S152" s="224">
        <v>1.6</v>
      </c>
      <c r="T152" s="225">
        <v>30.0</v>
      </c>
      <c r="U152" s="226">
        <v>52.2</v>
      </c>
      <c r="V152" s="227" t="s">
        <v>166</v>
      </c>
      <c r="W152" s="228" t="s">
        <v>174</v>
      </c>
      <c r="X152" s="222" t="s">
        <v>166</v>
      </c>
      <c r="Y152" s="223" t="s">
        <v>166</v>
      </c>
      <c r="Z152" s="221" t="s">
        <v>174</v>
      </c>
      <c r="AA152" s="222" t="s">
        <v>174</v>
      </c>
      <c r="AB152" s="222" t="s">
        <v>166</v>
      </c>
      <c r="AC152" s="222" t="s">
        <v>174</v>
      </c>
      <c r="AD152" s="222" t="s">
        <v>166</v>
      </c>
      <c r="AE152" s="222" t="s">
        <v>174</v>
      </c>
      <c r="AF152" s="222" t="s">
        <v>174</v>
      </c>
      <c r="AG152" s="229" t="s">
        <v>1532</v>
      </c>
      <c r="AH152" s="229"/>
    </row>
    <row r="153">
      <c r="A153" s="255" t="s">
        <v>1532</v>
      </c>
      <c r="B153" s="257" t="s">
        <v>2162</v>
      </c>
      <c r="C153" s="221">
        <v>240.0</v>
      </c>
      <c r="D153" s="222">
        <v>277.0</v>
      </c>
      <c r="E153" s="222">
        <v>119.6</v>
      </c>
      <c r="F153" s="222">
        <v>27.2</v>
      </c>
      <c r="G153" s="223" t="s">
        <v>164</v>
      </c>
      <c r="H153" s="221">
        <v>81.4</v>
      </c>
      <c r="I153" s="222">
        <v>76.0</v>
      </c>
      <c r="J153" s="222">
        <v>57.8</v>
      </c>
      <c r="K153" s="222" t="s">
        <v>170</v>
      </c>
      <c r="L153" s="222" t="s">
        <v>44</v>
      </c>
      <c r="M153" s="223" t="s">
        <v>170</v>
      </c>
      <c r="N153" s="221">
        <v>2.0</v>
      </c>
      <c r="O153" s="222" t="s">
        <v>2002</v>
      </c>
      <c r="P153" s="222">
        <v>25.0</v>
      </c>
      <c r="Q153" s="222">
        <v>1800.0</v>
      </c>
      <c r="R153" s="224">
        <v>47.2</v>
      </c>
      <c r="S153" s="224">
        <v>1.6</v>
      </c>
      <c r="T153" s="225">
        <v>30.0</v>
      </c>
      <c r="U153" s="226">
        <v>52.2</v>
      </c>
      <c r="V153" s="227" t="s">
        <v>166</v>
      </c>
      <c r="W153" s="228" t="s">
        <v>174</v>
      </c>
      <c r="X153" s="222" t="s">
        <v>166</v>
      </c>
      <c r="Y153" s="223" t="s">
        <v>166</v>
      </c>
      <c r="Z153" s="221" t="s">
        <v>174</v>
      </c>
      <c r="AA153" s="222" t="s">
        <v>174</v>
      </c>
      <c r="AB153" s="222" t="s">
        <v>166</v>
      </c>
      <c r="AC153" s="222" t="s">
        <v>174</v>
      </c>
      <c r="AD153" s="222" t="s">
        <v>166</v>
      </c>
      <c r="AE153" s="222" t="s">
        <v>174</v>
      </c>
      <c r="AF153" s="222" t="s">
        <v>174</v>
      </c>
      <c r="AG153" s="229" t="s">
        <v>1532</v>
      </c>
      <c r="AH153" s="229"/>
    </row>
    <row r="154">
      <c r="A154" s="255" t="s">
        <v>1532</v>
      </c>
      <c r="B154" s="256" t="s">
        <v>2163</v>
      </c>
      <c r="C154" s="221">
        <v>240.0</v>
      </c>
      <c r="D154" s="222">
        <v>277.0</v>
      </c>
      <c r="E154" s="222">
        <v>119.6</v>
      </c>
      <c r="F154" s="222">
        <v>27.2</v>
      </c>
      <c r="G154" s="223" t="s">
        <v>164</v>
      </c>
      <c r="H154" s="221">
        <v>81.2</v>
      </c>
      <c r="I154" s="222">
        <v>76.0</v>
      </c>
      <c r="J154" s="222">
        <v>57.8</v>
      </c>
      <c r="K154" s="222" t="s">
        <v>170</v>
      </c>
      <c r="L154" s="222" t="s">
        <v>44</v>
      </c>
      <c r="M154" s="223" t="s">
        <v>170</v>
      </c>
      <c r="N154" s="221">
        <v>2.0</v>
      </c>
      <c r="O154" s="222" t="s">
        <v>2002</v>
      </c>
      <c r="P154" s="222">
        <v>25.0</v>
      </c>
      <c r="Q154" s="222">
        <v>1800.0</v>
      </c>
      <c r="R154" s="224">
        <v>62.0</v>
      </c>
      <c r="S154" s="224">
        <v>2.5</v>
      </c>
      <c r="T154" s="225">
        <v>27.0</v>
      </c>
      <c r="U154" s="226">
        <v>52.2</v>
      </c>
      <c r="V154" s="227" t="s">
        <v>166</v>
      </c>
      <c r="W154" s="228" t="s">
        <v>174</v>
      </c>
      <c r="X154" s="222" t="s">
        <v>166</v>
      </c>
      <c r="Y154" s="223" t="s">
        <v>166</v>
      </c>
      <c r="Z154" s="221" t="s">
        <v>174</v>
      </c>
      <c r="AA154" s="222" t="s">
        <v>174</v>
      </c>
      <c r="AB154" s="222" t="s">
        <v>166</v>
      </c>
      <c r="AC154" s="222" t="s">
        <v>174</v>
      </c>
      <c r="AD154" s="222" t="s">
        <v>166</v>
      </c>
      <c r="AE154" s="222" t="s">
        <v>174</v>
      </c>
      <c r="AF154" s="222" t="s">
        <v>174</v>
      </c>
      <c r="AG154" s="229" t="s">
        <v>1532</v>
      </c>
      <c r="AH154" s="229"/>
    </row>
    <row r="155">
      <c r="A155" s="255" t="s">
        <v>1532</v>
      </c>
      <c r="B155" s="256" t="s">
        <v>2164</v>
      </c>
      <c r="C155" s="221">
        <v>240.0</v>
      </c>
      <c r="D155" s="222">
        <v>277.0</v>
      </c>
      <c r="E155" s="222">
        <v>119.6</v>
      </c>
      <c r="F155" s="222">
        <v>27.0</v>
      </c>
      <c r="G155" s="223" t="s">
        <v>164</v>
      </c>
      <c r="H155" s="221">
        <v>80.3</v>
      </c>
      <c r="I155" s="222">
        <v>76.0</v>
      </c>
      <c r="J155" s="222">
        <v>42.2</v>
      </c>
      <c r="K155" s="222" t="s">
        <v>170</v>
      </c>
      <c r="L155" s="222" t="s">
        <v>44</v>
      </c>
      <c r="M155" s="223" t="s">
        <v>170</v>
      </c>
      <c r="N155" s="221">
        <v>2.0</v>
      </c>
      <c r="O155" s="222" t="s">
        <v>2002</v>
      </c>
      <c r="P155" s="222">
        <v>25.0</v>
      </c>
      <c r="Q155" s="222">
        <v>2000.0</v>
      </c>
      <c r="R155" s="224">
        <v>66.7</v>
      </c>
      <c r="S155" s="224">
        <v>2.34</v>
      </c>
      <c r="T155" s="225">
        <v>30.0</v>
      </c>
      <c r="U155" s="226">
        <v>52.0</v>
      </c>
      <c r="V155" s="227" t="s">
        <v>174</v>
      </c>
      <c r="W155" s="228" t="s">
        <v>166</v>
      </c>
      <c r="X155" s="222" t="s">
        <v>166</v>
      </c>
      <c r="Y155" s="223" t="s">
        <v>166</v>
      </c>
      <c r="Z155" s="221" t="s">
        <v>174</v>
      </c>
      <c r="AA155" s="222" t="s">
        <v>174</v>
      </c>
      <c r="AB155" s="222" t="s">
        <v>174</v>
      </c>
      <c r="AC155" s="222" t="s">
        <v>174</v>
      </c>
      <c r="AD155" s="222" t="s">
        <v>174</v>
      </c>
      <c r="AE155" s="222" t="s">
        <v>170</v>
      </c>
      <c r="AF155" s="222" t="s">
        <v>174</v>
      </c>
      <c r="AG155" s="229" t="s">
        <v>1532</v>
      </c>
      <c r="AH155" s="229"/>
    </row>
    <row r="156">
      <c r="A156" s="255" t="s">
        <v>1532</v>
      </c>
      <c r="B156" s="257" t="s">
        <v>2165</v>
      </c>
      <c r="C156" s="221">
        <v>240.0</v>
      </c>
      <c r="D156" s="222">
        <v>277.0</v>
      </c>
      <c r="E156" s="222">
        <v>119.6</v>
      </c>
      <c r="F156" s="222">
        <v>27.2</v>
      </c>
      <c r="G156" s="223" t="s">
        <v>164</v>
      </c>
      <c r="H156" s="221">
        <v>79.9</v>
      </c>
      <c r="I156" s="222">
        <v>76.0</v>
      </c>
      <c r="J156" s="222">
        <v>47.1</v>
      </c>
      <c r="K156" s="222" t="s">
        <v>170</v>
      </c>
      <c r="L156" s="222" t="s">
        <v>44</v>
      </c>
      <c r="M156" s="223" t="s">
        <v>170</v>
      </c>
      <c r="N156" s="221">
        <v>2.0</v>
      </c>
      <c r="O156" s="222" t="s">
        <v>2002</v>
      </c>
      <c r="P156" s="222">
        <v>25.0</v>
      </c>
      <c r="Q156" s="222">
        <v>1800.0</v>
      </c>
      <c r="R156" s="224">
        <v>62.0</v>
      </c>
      <c r="S156" s="224">
        <v>2.5</v>
      </c>
      <c r="T156" s="225">
        <v>27.0</v>
      </c>
      <c r="U156" s="226">
        <v>52.2</v>
      </c>
      <c r="V156" s="227" t="s">
        <v>166</v>
      </c>
      <c r="W156" s="228" t="s">
        <v>174</v>
      </c>
      <c r="X156" s="222" t="s">
        <v>166</v>
      </c>
      <c r="Y156" s="223" t="s">
        <v>166</v>
      </c>
      <c r="Z156" s="221" t="s">
        <v>174</v>
      </c>
      <c r="AA156" s="222" t="s">
        <v>174</v>
      </c>
      <c r="AB156" s="222" t="s">
        <v>166</v>
      </c>
      <c r="AC156" s="222" t="s">
        <v>174</v>
      </c>
      <c r="AD156" s="222" t="s">
        <v>166</v>
      </c>
      <c r="AE156" s="222" t="s">
        <v>174</v>
      </c>
      <c r="AF156" s="222" t="s">
        <v>174</v>
      </c>
      <c r="AG156" s="229" t="s">
        <v>1532</v>
      </c>
      <c r="AH156" s="229"/>
    </row>
    <row r="157">
      <c r="A157" s="255" t="s">
        <v>1532</v>
      </c>
      <c r="B157" s="257" t="s">
        <v>2166</v>
      </c>
      <c r="C157" s="221">
        <v>240.0</v>
      </c>
      <c r="D157" s="222">
        <v>277.0</v>
      </c>
      <c r="E157" s="222">
        <v>119.6</v>
      </c>
      <c r="F157" s="222">
        <v>27.2</v>
      </c>
      <c r="G157" s="223" t="s">
        <v>164</v>
      </c>
      <c r="H157" s="221">
        <v>79.9</v>
      </c>
      <c r="I157" s="222">
        <v>76.0</v>
      </c>
      <c r="J157" s="222">
        <v>47.1</v>
      </c>
      <c r="K157" s="222" t="s">
        <v>170</v>
      </c>
      <c r="L157" s="222" t="s">
        <v>44</v>
      </c>
      <c r="M157" s="223" t="s">
        <v>170</v>
      </c>
      <c r="N157" s="221">
        <v>2.0</v>
      </c>
      <c r="O157" s="222" t="s">
        <v>2002</v>
      </c>
      <c r="P157" s="222">
        <v>25.0</v>
      </c>
      <c r="Q157" s="222">
        <v>1800.0</v>
      </c>
      <c r="R157" s="224">
        <v>62.0</v>
      </c>
      <c r="S157" s="224">
        <v>2.5</v>
      </c>
      <c r="T157" s="225">
        <v>27.0</v>
      </c>
      <c r="U157" s="226">
        <v>52.2</v>
      </c>
      <c r="V157" s="227" t="s">
        <v>166</v>
      </c>
      <c r="W157" s="228" t="s">
        <v>174</v>
      </c>
      <c r="X157" s="222" t="s">
        <v>166</v>
      </c>
      <c r="Y157" s="223" t="s">
        <v>166</v>
      </c>
      <c r="Z157" s="221" t="s">
        <v>174</v>
      </c>
      <c r="AA157" s="222" t="s">
        <v>174</v>
      </c>
      <c r="AB157" s="222" t="s">
        <v>166</v>
      </c>
      <c r="AC157" s="222" t="s">
        <v>174</v>
      </c>
      <c r="AD157" s="222" t="s">
        <v>166</v>
      </c>
      <c r="AE157" s="222" t="s">
        <v>174</v>
      </c>
      <c r="AF157" s="222" t="s">
        <v>174</v>
      </c>
      <c r="AG157" s="229" t="s">
        <v>1532</v>
      </c>
      <c r="AH157" s="229"/>
    </row>
    <row r="158">
      <c r="A158" s="255" t="s">
        <v>1532</v>
      </c>
      <c r="B158" s="256" t="s">
        <v>2167</v>
      </c>
      <c r="C158" s="221">
        <v>240.0</v>
      </c>
      <c r="D158" s="222">
        <v>277.0</v>
      </c>
      <c r="E158" s="222">
        <v>119.6</v>
      </c>
      <c r="F158" s="222">
        <v>27.2</v>
      </c>
      <c r="G158" s="223" t="s">
        <v>164</v>
      </c>
      <c r="H158" s="221">
        <v>79.9</v>
      </c>
      <c r="I158" s="222">
        <v>76.0</v>
      </c>
      <c r="J158" s="222">
        <v>47.1</v>
      </c>
      <c r="K158" s="222" t="s">
        <v>170</v>
      </c>
      <c r="L158" s="222" t="s">
        <v>44</v>
      </c>
      <c r="M158" s="223" t="s">
        <v>170</v>
      </c>
      <c r="N158" s="221">
        <v>2.0</v>
      </c>
      <c r="O158" s="222" t="s">
        <v>2002</v>
      </c>
      <c r="P158" s="222">
        <v>25.0</v>
      </c>
      <c r="Q158" s="222">
        <v>1800.0</v>
      </c>
      <c r="R158" s="224">
        <v>62.0</v>
      </c>
      <c r="S158" s="224">
        <v>2.5</v>
      </c>
      <c r="T158" s="225">
        <v>27.0</v>
      </c>
      <c r="U158" s="226">
        <v>52.2</v>
      </c>
      <c r="V158" s="227" t="s">
        <v>174</v>
      </c>
      <c r="W158" s="228" t="s">
        <v>166</v>
      </c>
      <c r="X158" s="222" t="s">
        <v>166</v>
      </c>
      <c r="Y158" s="223" t="s">
        <v>166</v>
      </c>
      <c r="Z158" s="221" t="s">
        <v>174</v>
      </c>
      <c r="AA158" s="222" t="s">
        <v>174</v>
      </c>
      <c r="AB158" s="222" t="s">
        <v>166</v>
      </c>
      <c r="AC158" s="222" t="s">
        <v>174</v>
      </c>
      <c r="AD158" s="222" t="s">
        <v>166</v>
      </c>
      <c r="AE158" s="222" t="s">
        <v>174</v>
      </c>
      <c r="AF158" s="222" t="s">
        <v>174</v>
      </c>
      <c r="AG158" s="229" t="s">
        <v>1532</v>
      </c>
      <c r="AH158" s="229"/>
    </row>
    <row r="159">
      <c r="A159" s="255" t="s">
        <v>1532</v>
      </c>
      <c r="B159" s="257" t="s">
        <v>2168</v>
      </c>
      <c r="C159" s="221">
        <v>240.0</v>
      </c>
      <c r="D159" s="222">
        <v>277.0</v>
      </c>
      <c r="E159" s="222">
        <v>119.6</v>
      </c>
      <c r="F159" s="222">
        <v>27.2</v>
      </c>
      <c r="G159" s="223" t="s">
        <v>164</v>
      </c>
      <c r="H159" s="221">
        <v>79.9</v>
      </c>
      <c r="I159" s="222">
        <v>76.0</v>
      </c>
      <c r="J159" s="222">
        <v>47.1</v>
      </c>
      <c r="K159" s="222" t="s">
        <v>170</v>
      </c>
      <c r="L159" s="222" t="s">
        <v>44</v>
      </c>
      <c r="M159" s="223" t="s">
        <v>170</v>
      </c>
      <c r="N159" s="221">
        <v>2.0</v>
      </c>
      <c r="O159" s="222" t="s">
        <v>2002</v>
      </c>
      <c r="P159" s="222">
        <v>25.0</v>
      </c>
      <c r="Q159" s="222">
        <v>1800.0</v>
      </c>
      <c r="R159" s="224">
        <v>62.0</v>
      </c>
      <c r="S159" s="224">
        <v>2.5</v>
      </c>
      <c r="T159" s="225">
        <v>27.0</v>
      </c>
      <c r="U159" s="226">
        <v>52.2</v>
      </c>
      <c r="V159" s="227" t="s">
        <v>174</v>
      </c>
      <c r="W159" s="228" t="s">
        <v>166</v>
      </c>
      <c r="X159" s="222" t="s">
        <v>166</v>
      </c>
      <c r="Y159" s="223" t="s">
        <v>166</v>
      </c>
      <c r="Z159" s="221" t="s">
        <v>174</v>
      </c>
      <c r="AA159" s="222" t="s">
        <v>174</v>
      </c>
      <c r="AB159" s="222" t="s">
        <v>166</v>
      </c>
      <c r="AC159" s="222" t="s">
        <v>174</v>
      </c>
      <c r="AD159" s="222" t="s">
        <v>166</v>
      </c>
      <c r="AE159" s="222" t="s">
        <v>174</v>
      </c>
      <c r="AF159" s="222" t="s">
        <v>174</v>
      </c>
      <c r="AG159" s="229" t="s">
        <v>1532</v>
      </c>
      <c r="AH159" s="229"/>
    </row>
    <row r="160">
      <c r="A160" s="255" t="s">
        <v>1532</v>
      </c>
      <c r="B160" s="256" t="s">
        <v>2169</v>
      </c>
      <c r="C160" s="221">
        <v>240.0</v>
      </c>
      <c r="D160" s="222">
        <v>277.0</v>
      </c>
      <c r="E160" s="222">
        <v>120.0</v>
      </c>
      <c r="F160" s="222">
        <v>27.0</v>
      </c>
      <c r="G160" s="223" t="s">
        <v>164</v>
      </c>
      <c r="H160" s="221">
        <v>85.0</v>
      </c>
      <c r="I160" s="222">
        <v>80.0</v>
      </c>
      <c r="J160" s="222">
        <v>41.7</v>
      </c>
      <c r="K160" s="222" t="s">
        <v>170</v>
      </c>
      <c r="L160" s="222" t="s">
        <v>44</v>
      </c>
      <c r="M160" s="223" t="s">
        <v>170</v>
      </c>
      <c r="N160" s="221">
        <v>2.0</v>
      </c>
      <c r="O160" s="222" t="s">
        <v>2002</v>
      </c>
      <c r="P160" s="222">
        <v>26.0</v>
      </c>
      <c r="Q160" s="222">
        <v>2000.0</v>
      </c>
      <c r="R160" s="224">
        <v>60.95</v>
      </c>
      <c r="S160" s="224">
        <v>2.33</v>
      </c>
      <c r="T160" s="225">
        <v>27.0</v>
      </c>
      <c r="U160" s="226">
        <v>53.0</v>
      </c>
      <c r="V160" s="227" t="s">
        <v>166</v>
      </c>
      <c r="W160" s="228" t="s">
        <v>174</v>
      </c>
      <c r="X160" s="222" t="s">
        <v>166</v>
      </c>
      <c r="Y160" s="223" t="s">
        <v>166</v>
      </c>
      <c r="Z160" s="221" t="s">
        <v>174</v>
      </c>
      <c r="AA160" s="222" t="s">
        <v>174</v>
      </c>
      <c r="AB160" s="222" t="s">
        <v>174</v>
      </c>
      <c r="AC160" s="222" t="s">
        <v>174</v>
      </c>
      <c r="AD160" s="222" t="s">
        <v>174</v>
      </c>
      <c r="AE160" s="222" t="s">
        <v>170</v>
      </c>
      <c r="AF160" s="222" t="s">
        <v>174</v>
      </c>
      <c r="AG160" s="229" t="s">
        <v>1532</v>
      </c>
      <c r="AH160" s="229"/>
    </row>
    <row r="161">
      <c r="A161" s="255" t="s">
        <v>1532</v>
      </c>
      <c r="B161" s="256" t="s">
        <v>2170</v>
      </c>
      <c r="C161" s="221">
        <v>240.0</v>
      </c>
      <c r="D161" s="222">
        <v>275.0</v>
      </c>
      <c r="E161" s="222">
        <v>118.5</v>
      </c>
      <c r="F161" s="222">
        <v>27.0</v>
      </c>
      <c r="G161" s="223" t="s">
        <v>164</v>
      </c>
      <c r="H161" s="221">
        <v>83.6</v>
      </c>
      <c r="I161" s="222">
        <v>71.8</v>
      </c>
      <c r="J161" s="222">
        <v>52.7</v>
      </c>
      <c r="K161" s="222" t="s">
        <v>170</v>
      </c>
      <c r="L161" s="222" t="s">
        <v>44</v>
      </c>
      <c r="M161" s="223" t="s">
        <v>170</v>
      </c>
      <c r="N161" s="221">
        <v>2.0</v>
      </c>
      <c r="O161" s="222" t="s">
        <v>2002</v>
      </c>
      <c r="P161" s="222">
        <v>25.0</v>
      </c>
      <c r="Q161" s="222">
        <v>2000.0</v>
      </c>
      <c r="R161" s="224">
        <v>66.7</v>
      </c>
      <c r="S161" s="224">
        <v>2.34</v>
      </c>
      <c r="T161" s="225">
        <v>30.0</v>
      </c>
      <c r="U161" s="226">
        <v>52.0</v>
      </c>
      <c r="V161" s="227" t="s">
        <v>166</v>
      </c>
      <c r="W161" s="228" t="s">
        <v>166</v>
      </c>
      <c r="X161" s="222" t="s">
        <v>174</v>
      </c>
      <c r="Y161" s="223" t="s">
        <v>174</v>
      </c>
      <c r="Z161" s="221" t="s">
        <v>174</v>
      </c>
      <c r="AA161" s="222" t="s">
        <v>174</v>
      </c>
      <c r="AB161" s="222" t="s">
        <v>174</v>
      </c>
      <c r="AC161" s="222" t="s">
        <v>174</v>
      </c>
      <c r="AD161" s="222" t="s">
        <v>174</v>
      </c>
      <c r="AE161" s="222" t="s">
        <v>174</v>
      </c>
      <c r="AF161" s="222" t="s">
        <v>174</v>
      </c>
      <c r="AG161" s="229" t="s">
        <v>1532</v>
      </c>
      <c r="AH161" s="229"/>
    </row>
    <row r="162">
      <c r="A162" s="255" t="s">
        <v>1532</v>
      </c>
      <c r="B162" s="256" t="s">
        <v>2171</v>
      </c>
      <c r="C162" s="221">
        <v>240.0</v>
      </c>
      <c r="D162" s="222">
        <v>277.0</v>
      </c>
      <c r="E162" s="222">
        <v>119.6</v>
      </c>
      <c r="F162" s="222">
        <v>27.0</v>
      </c>
      <c r="G162" s="223" t="s">
        <v>164</v>
      </c>
      <c r="H162" s="221">
        <v>83.6</v>
      </c>
      <c r="I162" s="222">
        <v>71.8</v>
      </c>
      <c r="J162" s="222">
        <v>52.7</v>
      </c>
      <c r="K162" s="222" t="s">
        <v>170</v>
      </c>
      <c r="L162" s="222" t="s">
        <v>44</v>
      </c>
      <c r="M162" s="223" t="s">
        <v>170</v>
      </c>
      <c r="N162" s="221">
        <v>2.0</v>
      </c>
      <c r="O162" s="222" t="s">
        <v>2002</v>
      </c>
      <c r="P162" s="222">
        <v>25.0</v>
      </c>
      <c r="Q162" s="222">
        <v>2000.0</v>
      </c>
      <c r="R162" s="224">
        <v>66.7</v>
      </c>
      <c r="S162" s="224">
        <v>2.34</v>
      </c>
      <c r="T162" s="225">
        <v>30.0</v>
      </c>
      <c r="U162" s="226">
        <v>52.0</v>
      </c>
      <c r="V162" s="227" t="s">
        <v>166</v>
      </c>
      <c r="W162" s="228" t="s">
        <v>166</v>
      </c>
      <c r="X162" s="222" t="s">
        <v>174</v>
      </c>
      <c r="Y162" s="223" t="s">
        <v>174</v>
      </c>
      <c r="Z162" s="221" t="s">
        <v>174</v>
      </c>
      <c r="AA162" s="222" t="s">
        <v>174</v>
      </c>
      <c r="AB162" s="222" t="s">
        <v>174</v>
      </c>
      <c r="AC162" s="222" t="s">
        <v>174</v>
      </c>
      <c r="AD162" s="222" t="s">
        <v>174</v>
      </c>
      <c r="AE162" s="222" t="s">
        <v>170</v>
      </c>
      <c r="AF162" s="222" t="s">
        <v>174</v>
      </c>
      <c r="AG162" s="229" t="s">
        <v>1532</v>
      </c>
      <c r="AH162" s="229"/>
    </row>
    <row r="163">
      <c r="A163" s="255" t="s">
        <v>1532</v>
      </c>
      <c r="B163" s="256" t="s">
        <v>2172</v>
      </c>
      <c r="C163" s="221">
        <v>280.0</v>
      </c>
      <c r="D163" s="222">
        <v>318.0</v>
      </c>
      <c r="E163" s="222">
        <v>140.0</v>
      </c>
      <c r="F163" s="222">
        <v>27.2</v>
      </c>
      <c r="G163" s="223" t="s">
        <v>164</v>
      </c>
      <c r="H163" s="221">
        <v>81.2</v>
      </c>
      <c r="I163" s="222">
        <v>76.0</v>
      </c>
      <c r="J163" s="222">
        <v>57.8</v>
      </c>
      <c r="K163" s="222" t="s">
        <v>170</v>
      </c>
      <c r="L163" s="222" t="s">
        <v>44</v>
      </c>
      <c r="M163" s="223" t="s">
        <v>170</v>
      </c>
      <c r="N163" s="221">
        <v>2.0</v>
      </c>
      <c r="O163" s="222" t="s">
        <v>2018</v>
      </c>
      <c r="P163" s="222">
        <v>25.0</v>
      </c>
      <c r="Q163" s="222">
        <v>1400.0</v>
      </c>
      <c r="R163" s="224">
        <v>67.0</v>
      </c>
      <c r="S163" s="224">
        <v>2.25</v>
      </c>
      <c r="T163" s="225">
        <v>27.0</v>
      </c>
      <c r="U163" s="226">
        <v>52.2</v>
      </c>
      <c r="V163" s="227" t="s">
        <v>166</v>
      </c>
      <c r="W163" s="228" t="s">
        <v>174</v>
      </c>
      <c r="X163" s="222" t="s">
        <v>166</v>
      </c>
      <c r="Y163" s="223" t="s">
        <v>166</v>
      </c>
      <c r="Z163" s="221" t="s">
        <v>174</v>
      </c>
      <c r="AA163" s="222" t="s">
        <v>174</v>
      </c>
      <c r="AB163" s="222" t="s">
        <v>166</v>
      </c>
      <c r="AC163" s="222" t="s">
        <v>174</v>
      </c>
      <c r="AD163" s="222" t="s">
        <v>166</v>
      </c>
      <c r="AE163" s="222" t="s">
        <v>174</v>
      </c>
      <c r="AF163" s="222" t="s">
        <v>174</v>
      </c>
      <c r="AG163" s="229" t="s">
        <v>1532</v>
      </c>
      <c r="AH163" s="229"/>
    </row>
    <row r="164">
      <c r="A164" s="255" t="s">
        <v>1532</v>
      </c>
      <c r="B164" s="257" t="s">
        <v>2173</v>
      </c>
      <c r="C164" s="221">
        <v>360.0</v>
      </c>
      <c r="D164" s="222">
        <v>394.0</v>
      </c>
      <c r="E164" s="222">
        <v>119.6</v>
      </c>
      <c r="F164" s="222">
        <v>27.2</v>
      </c>
      <c r="G164" s="223" t="s">
        <v>164</v>
      </c>
      <c r="H164" s="221">
        <v>81.4</v>
      </c>
      <c r="I164" s="222">
        <v>76.0</v>
      </c>
      <c r="J164" s="222">
        <v>57.8</v>
      </c>
      <c r="K164" s="222" t="s">
        <v>170</v>
      </c>
      <c r="L164" s="222" t="s">
        <v>44</v>
      </c>
      <c r="M164" s="223" t="s">
        <v>170</v>
      </c>
      <c r="N164" s="221">
        <v>3.0</v>
      </c>
      <c r="O164" s="222" t="s">
        <v>2002</v>
      </c>
      <c r="P164" s="222">
        <v>25.0</v>
      </c>
      <c r="Q164" s="222">
        <v>1800.0</v>
      </c>
      <c r="R164" s="224">
        <v>47.2</v>
      </c>
      <c r="S164" s="224">
        <v>1.6</v>
      </c>
      <c r="T164" s="225">
        <v>30.0</v>
      </c>
      <c r="U164" s="226">
        <v>52.2</v>
      </c>
      <c r="V164" s="227" t="s">
        <v>166</v>
      </c>
      <c r="W164" s="228" t="s">
        <v>174</v>
      </c>
      <c r="X164" s="222" t="s">
        <v>166</v>
      </c>
      <c r="Y164" s="223" t="s">
        <v>166</v>
      </c>
      <c r="Z164" s="221" t="s">
        <v>174</v>
      </c>
      <c r="AA164" s="222" t="s">
        <v>174</v>
      </c>
      <c r="AB164" s="222" t="s">
        <v>166</v>
      </c>
      <c r="AC164" s="222" t="s">
        <v>174</v>
      </c>
      <c r="AD164" s="222" t="s">
        <v>166</v>
      </c>
      <c r="AE164" s="222" t="s">
        <v>174</v>
      </c>
      <c r="AF164" s="222" t="s">
        <v>174</v>
      </c>
      <c r="AG164" s="229" t="s">
        <v>1532</v>
      </c>
      <c r="AH164" s="229"/>
    </row>
    <row r="165">
      <c r="A165" s="255" t="s">
        <v>1532</v>
      </c>
      <c r="B165" s="257" t="s">
        <v>2174</v>
      </c>
      <c r="C165" s="221">
        <v>360.0</v>
      </c>
      <c r="D165" s="222">
        <v>394.0</v>
      </c>
      <c r="E165" s="222">
        <v>119.6</v>
      </c>
      <c r="F165" s="222">
        <v>27.2</v>
      </c>
      <c r="G165" s="223" t="s">
        <v>164</v>
      </c>
      <c r="H165" s="221">
        <v>81.2</v>
      </c>
      <c r="I165" s="222">
        <v>76.0</v>
      </c>
      <c r="J165" s="222">
        <v>57.8</v>
      </c>
      <c r="K165" s="222" t="s">
        <v>170</v>
      </c>
      <c r="L165" s="222" t="s">
        <v>44</v>
      </c>
      <c r="M165" s="223" t="s">
        <v>170</v>
      </c>
      <c r="N165" s="221">
        <v>3.0</v>
      </c>
      <c r="O165" s="222" t="s">
        <v>2002</v>
      </c>
      <c r="P165" s="222">
        <v>25.0</v>
      </c>
      <c r="Q165" s="222">
        <v>1800.0</v>
      </c>
      <c r="R165" s="224">
        <v>62.0</v>
      </c>
      <c r="S165" s="224">
        <v>2.5</v>
      </c>
      <c r="T165" s="225">
        <v>27.0</v>
      </c>
      <c r="U165" s="226">
        <v>52.2</v>
      </c>
      <c r="V165" s="227" t="s">
        <v>166</v>
      </c>
      <c r="W165" s="228" t="s">
        <v>174</v>
      </c>
      <c r="X165" s="222" t="s">
        <v>166</v>
      </c>
      <c r="Y165" s="223" t="s">
        <v>166</v>
      </c>
      <c r="Z165" s="221" t="s">
        <v>174</v>
      </c>
      <c r="AA165" s="222" t="s">
        <v>174</v>
      </c>
      <c r="AB165" s="222" t="s">
        <v>166</v>
      </c>
      <c r="AC165" s="222" t="s">
        <v>174</v>
      </c>
      <c r="AD165" s="222" t="s">
        <v>166</v>
      </c>
      <c r="AE165" s="222" t="s">
        <v>174</v>
      </c>
      <c r="AF165" s="222" t="s">
        <v>174</v>
      </c>
      <c r="AG165" s="229" t="s">
        <v>1532</v>
      </c>
      <c r="AH165" s="229"/>
    </row>
    <row r="166">
      <c r="A166" s="255" t="s">
        <v>1532</v>
      </c>
      <c r="B166" s="257" t="s">
        <v>2175</v>
      </c>
      <c r="C166" s="221">
        <v>360.0</v>
      </c>
      <c r="D166" s="222">
        <v>394.0</v>
      </c>
      <c r="E166" s="222">
        <v>119.6</v>
      </c>
      <c r="F166" s="222">
        <v>27.2</v>
      </c>
      <c r="G166" s="223" t="s">
        <v>164</v>
      </c>
      <c r="H166" s="221">
        <v>89.0</v>
      </c>
      <c r="I166" s="222">
        <v>79.0</v>
      </c>
      <c r="J166" s="222">
        <v>86.7</v>
      </c>
      <c r="K166" s="222" t="s">
        <v>170</v>
      </c>
      <c r="L166" s="222" t="s">
        <v>2126</v>
      </c>
      <c r="M166" s="223" t="s">
        <v>170</v>
      </c>
      <c r="N166" s="221">
        <v>3.0</v>
      </c>
      <c r="O166" s="222" t="s">
        <v>2002</v>
      </c>
      <c r="P166" s="222">
        <v>25.0</v>
      </c>
      <c r="Q166" s="222">
        <v>1900.0</v>
      </c>
      <c r="R166" s="224">
        <v>59.0</v>
      </c>
      <c r="S166" s="224">
        <v>2.0</v>
      </c>
      <c r="T166" s="225">
        <v>26.0</v>
      </c>
      <c r="U166" s="226">
        <v>52.2</v>
      </c>
      <c r="V166" s="227" t="s">
        <v>166</v>
      </c>
      <c r="W166" s="228" t="s">
        <v>166</v>
      </c>
      <c r="X166" s="222" t="s">
        <v>174</v>
      </c>
      <c r="Y166" s="223" t="s">
        <v>174</v>
      </c>
      <c r="Z166" s="221" t="s">
        <v>166</v>
      </c>
      <c r="AA166" s="222" t="s">
        <v>166</v>
      </c>
      <c r="AB166" s="222" t="s">
        <v>166</v>
      </c>
      <c r="AC166" s="222" t="s">
        <v>174</v>
      </c>
      <c r="AD166" s="222" t="s">
        <v>166</v>
      </c>
      <c r="AE166" s="222" t="s">
        <v>170</v>
      </c>
      <c r="AF166" s="222" t="s">
        <v>166</v>
      </c>
      <c r="AG166" s="229" t="s">
        <v>1532</v>
      </c>
      <c r="AH166" s="229"/>
    </row>
    <row r="167">
      <c r="A167" s="255" t="s">
        <v>1532</v>
      </c>
      <c r="B167" s="257" t="s">
        <v>2176</v>
      </c>
      <c r="C167" s="221">
        <v>360.0</v>
      </c>
      <c r="D167" s="222">
        <v>394.0</v>
      </c>
      <c r="E167" s="222">
        <v>119.6</v>
      </c>
      <c r="F167" s="222">
        <v>27.2</v>
      </c>
      <c r="G167" s="223" t="s">
        <v>164</v>
      </c>
      <c r="H167" s="221">
        <v>57.3</v>
      </c>
      <c r="I167" s="222">
        <v>57.3</v>
      </c>
      <c r="J167" s="222">
        <v>92.2</v>
      </c>
      <c r="K167" s="222" t="s">
        <v>170</v>
      </c>
      <c r="L167" s="222" t="s">
        <v>2126</v>
      </c>
      <c r="M167" s="223" t="s">
        <v>170</v>
      </c>
      <c r="N167" s="221">
        <v>3.0</v>
      </c>
      <c r="O167" s="222" t="s">
        <v>2002</v>
      </c>
      <c r="P167" s="222">
        <v>25.0</v>
      </c>
      <c r="Q167" s="222">
        <v>2400.0</v>
      </c>
      <c r="R167" s="224">
        <v>75.2</v>
      </c>
      <c r="S167" s="224">
        <v>3.63</v>
      </c>
      <c r="T167" s="225">
        <v>30.0</v>
      </c>
      <c r="U167" s="226">
        <v>52.2</v>
      </c>
      <c r="V167" s="227" t="s">
        <v>166</v>
      </c>
      <c r="W167" s="228" t="s">
        <v>174</v>
      </c>
      <c r="X167" s="222" t="s">
        <v>166</v>
      </c>
      <c r="Y167" s="223" t="s">
        <v>170</v>
      </c>
      <c r="Z167" s="221" t="s">
        <v>166</v>
      </c>
      <c r="AA167" s="222" t="s">
        <v>166</v>
      </c>
      <c r="AB167" s="222" t="s">
        <v>166</v>
      </c>
      <c r="AC167" s="222" t="s">
        <v>166</v>
      </c>
      <c r="AD167" s="222" t="s">
        <v>166</v>
      </c>
      <c r="AE167" s="222" t="s">
        <v>174</v>
      </c>
      <c r="AF167" s="222" t="s">
        <v>166</v>
      </c>
      <c r="AG167" s="229" t="s">
        <v>1532</v>
      </c>
      <c r="AH167" s="229"/>
    </row>
    <row r="168">
      <c r="A168" s="255" t="s">
        <v>1532</v>
      </c>
      <c r="B168" s="257" t="s">
        <v>2177</v>
      </c>
      <c r="C168" s="221">
        <v>360.0</v>
      </c>
      <c r="D168" s="222">
        <v>394.0</v>
      </c>
      <c r="E168" s="222">
        <v>119.0</v>
      </c>
      <c r="F168" s="222">
        <v>27.2</v>
      </c>
      <c r="G168" s="223" t="s">
        <v>164</v>
      </c>
      <c r="H168" s="221">
        <v>82.9</v>
      </c>
      <c r="I168" s="222">
        <v>72.0</v>
      </c>
      <c r="J168" s="222">
        <v>52.9</v>
      </c>
      <c r="K168" s="222" t="s">
        <v>170</v>
      </c>
      <c r="L168" s="222" t="s">
        <v>44</v>
      </c>
      <c r="M168" s="223" t="s">
        <v>170</v>
      </c>
      <c r="N168" s="221">
        <v>3.0</v>
      </c>
      <c r="O168" s="222" t="s">
        <v>2002</v>
      </c>
      <c r="P168" s="222">
        <v>25.0</v>
      </c>
      <c r="Q168" s="222">
        <v>1800.0</v>
      </c>
      <c r="R168" s="224">
        <v>45.0</v>
      </c>
      <c r="S168" s="224">
        <v>1.58</v>
      </c>
      <c r="T168" s="225">
        <v>30.0</v>
      </c>
      <c r="U168" s="226">
        <v>52.2</v>
      </c>
      <c r="V168" s="227" t="s">
        <v>166</v>
      </c>
      <c r="W168" s="228" t="s">
        <v>174</v>
      </c>
      <c r="X168" s="222" t="s">
        <v>174</v>
      </c>
      <c r="Y168" s="223" t="s">
        <v>166</v>
      </c>
      <c r="Z168" s="221" t="s">
        <v>174</v>
      </c>
      <c r="AA168" s="222" t="s">
        <v>174</v>
      </c>
      <c r="AB168" s="222" t="s">
        <v>166</v>
      </c>
      <c r="AC168" s="222" t="s">
        <v>174</v>
      </c>
      <c r="AD168" s="222" t="s">
        <v>166</v>
      </c>
      <c r="AE168" s="222" t="s">
        <v>174</v>
      </c>
      <c r="AF168" s="222" t="s">
        <v>174</v>
      </c>
      <c r="AG168" s="229" t="s">
        <v>1532</v>
      </c>
      <c r="AH168" s="229"/>
    </row>
    <row r="169">
      <c r="A169" s="255" t="s">
        <v>1532</v>
      </c>
      <c r="B169" s="257" t="s">
        <v>2178</v>
      </c>
      <c r="C169" s="221">
        <v>360.0</v>
      </c>
      <c r="D169" s="222">
        <v>394.0</v>
      </c>
      <c r="E169" s="222">
        <v>119.0</v>
      </c>
      <c r="F169" s="222">
        <v>27.2</v>
      </c>
      <c r="G169" s="223" t="s">
        <v>164</v>
      </c>
      <c r="H169" s="221">
        <v>83.6</v>
      </c>
      <c r="I169" s="222">
        <v>71.8</v>
      </c>
      <c r="J169" s="222">
        <v>52.7</v>
      </c>
      <c r="K169" s="222" t="s">
        <v>170</v>
      </c>
      <c r="L169" s="222" t="s">
        <v>44</v>
      </c>
      <c r="M169" s="223" t="s">
        <v>170</v>
      </c>
      <c r="N169" s="221">
        <v>3.0</v>
      </c>
      <c r="O169" s="222" t="s">
        <v>2002</v>
      </c>
      <c r="P169" s="222">
        <v>25.0</v>
      </c>
      <c r="Q169" s="222">
        <v>2000.0</v>
      </c>
      <c r="R169" s="224">
        <v>66.7</v>
      </c>
      <c r="S169" s="224">
        <v>2.34</v>
      </c>
      <c r="T169" s="225">
        <v>30.0</v>
      </c>
      <c r="U169" s="226">
        <v>52.2</v>
      </c>
      <c r="V169" s="227" t="s">
        <v>166</v>
      </c>
      <c r="W169" s="228" t="s">
        <v>166</v>
      </c>
      <c r="X169" s="222" t="s">
        <v>174</v>
      </c>
      <c r="Y169" s="223" t="s">
        <v>174</v>
      </c>
      <c r="Z169" s="221" t="s">
        <v>174</v>
      </c>
      <c r="AA169" s="222" t="s">
        <v>174</v>
      </c>
      <c r="AB169" s="222" t="s">
        <v>166</v>
      </c>
      <c r="AC169" s="222" t="s">
        <v>174</v>
      </c>
      <c r="AD169" s="222" t="s">
        <v>166</v>
      </c>
      <c r="AE169" s="222" t="s">
        <v>174</v>
      </c>
      <c r="AF169" s="222" t="s">
        <v>174</v>
      </c>
      <c r="AG169" s="229" t="s">
        <v>1532</v>
      </c>
      <c r="AH169" s="229"/>
    </row>
    <row r="170">
      <c r="A170" s="255" t="s">
        <v>1532</v>
      </c>
      <c r="B170" s="257" t="s">
        <v>2179</v>
      </c>
      <c r="C170" s="221">
        <v>240.0</v>
      </c>
      <c r="D170" s="222">
        <v>277.0</v>
      </c>
      <c r="E170" s="222">
        <v>119.6</v>
      </c>
      <c r="F170" s="222">
        <v>27.2</v>
      </c>
      <c r="G170" s="223" t="s">
        <v>164</v>
      </c>
      <c r="H170" s="221">
        <v>89.0</v>
      </c>
      <c r="I170" s="222">
        <v>75.0</v>
      </c>
      <c r="J170" s="222">
        <v>40.0</v>
      </c>
      <c r="K170" s="222">
        <v>3300.0</v>
      </c>
      <c r="L170" s="222" t="s">
        <v>44</v>
      </c>
      <c r="M170" s="223">
        <v>350.0</v>
      </c>
      <c r="N170" s="221">
        <v>2.0</v>
      </c>
      <c r="O170" s="222" t="s">
        <v>2002</v>
      </c>
      <c r="P170" s="222">
        <v>25.0</v>
      </c>
      <c r="Q170" s="222">
        <v>2300.0</v>
      </c>
      <c r="R170" s="224">
        <v>72.37</v>
      </c>
      <c r="S170" s="224">
        <v>2.96</v>
      </c>
      <c r="T170" s="225">
        <v>32.0</v>
      </c>
      <c r="U170" s="226">
        <v>52.2</v>
      </c>
      <c r="V170" s="227" t="s">
        <v>166</v>
      </c>
      <c r="W170" s="228" t="s">
        <v>174</v>
      </c>
      <c r="X170" s="222" t="s">
        <v>166</v>
      </c>
      <c r="Y170" s="223" t="s">
        <v>166</v>
      </c>
      <c r="Z170" s="221" t="s">
        <v>174</v>
      </c>
      <c r="AA170" s="222" t="s">
        <v>174</v>
      </c>
      <c r="AB170" s="222" t="s">
        <v>166</v>
      </c>
      <c r="AC170" s="222" t="s">
        <v>174</v>
      </c>
      <c r="AD170" s="222" t="s">
        <v>166</v>
      </c>
      <c r="AE170" s="222" t="s">
        <v>174</v>
      </c>
      <c r="AF170" s="222" t="s">
        <v>174</v>
      </c>
      <c r="AG170" s="229" t="s">
        <v>1532</v>
      </c>
      <c r="AH170" s="229"/>
    </row>
    <row r="171">
      <c r="A171" s="255" t="s">
        <v>1532</v>
      </c>
      <c r="B171" s="257" t="s">
        <v>2180</v>
      </c>
      <c r="C171" s="221">
        <v>240.0</v>
      </c>
      <c r="D171" s="222">
        <v>277.0</v>
      </c>
      <c r="E171" s="222">
        <v>119.6</v>
      </c>
      <c r="F171" s="222">
        <v>27.2</v>
      </c>
      <c r="G171" s="223" t="s">
        <v>164</v>
      </c>
      <c r="H171" s="221">
        <v>89.0</v>
      </c>
      <c r="I171" s="222">
        <v>75.0</v>
      </c>
      <c r="J171" s="222">
        <v>40.0</v>
      </c>
      <c r="K171" s="222">
        <v>3300.0</v>
      </c>
      <c r="L171" s="222" t="s">
        <v>44</v>
      </c>
      <c r="M171" s="223">
        <v>350.0</v>
      </c>
      <c r="N171" s="221">
        <v>2.0</v>
      </c>
      <c r="O171" s="222" t="s">
        <v>2002</v>
      </c>
      <c r="P171" s="222">
        <v>25.0</v>
      </c>
      <c r="Q171" s="222">
        <v>2300.0</v>
      </c>
      <c r="R171" s="224">
        <v>72.37</v>
      </c>
      <c r="S171" s="224">
        <v>2.96</v>
      </c>
      <c r="T171" s="225">
        <v>32.0</v>
      </c>
      <c r="U171" s="226">
        <v>52.2</v>
      </c>
      <c r="V171" s="227" t="s">
        <v>166</v>
      </c>
      <c r="W171" s="228" t="s">
        <v>174</v>
      </c>
      <c r="X171" s="222" t="s">
        <v>166</v>
      </c>
      <c r="Y171" s="223" t="s">
        <v>166</v>
      </c>
      <c r="Z171" s="221" t="s">
        <v>174</v>
      </c>
      <c r="AA171" s="222" t="s">
        <v>174</v>
      </c>
      <c r="AB171" s="222" t="s">
        <v>166</v>
      </c>
      <c r="AC171" s="222" t="s">
        <v>174</v>
      </c>
      <c r="AD171" s="222" t="s">
        <v>166</v>
      </c>
      <c r="AE171" s="222" t="s">
        <v>174</v>
      </c>
      <c r="AF171" s="222" t="s">
        <v>174</v>
      </c>
      <c r="AG171" s="229" t="s">
        <v>1532</v>
      </c>
      <c r="AH171" s="229"/>
    </row>
    <row r="172">
      <c r="A172" s="255" t="s">
        <v>1532</v>
      </c>
      <c r="B172" s="257" t="s">
        <v>2181</v>
      </c>
      <c r="C172" s="221">
        <v>360.0</v>
      </c>
      <c r="D172" s="222">
        <v>394.0</v>
      </c>
      <c r="E172" s="222">
        <v>119.6</v>
      </c>
      <c r="F172" s="222">
        <v>27.2</v>
      </c>
      <c r="G172" s="223" t="s">
        <v>164</v>
      </c>
      <c r="H172" s="221">
        <v>89.0</v>
      </c>
      <c r="I172" s="222">
        <v>75.0</v>
      </c>
      <c r="J172" s="222">
        <v>40.0</v>
      </c>
      <c r="K172" s="222">
        <v>3300.0</v>
      </c>
      <c r="L172" s="222" t="s">
        <v>44</v>
      </c>
      <c r="M172" s="223" t="s">
        <v>170</v>
      </c>
      <c r="N172" s="221">
        <v>3.0</v>
      </c>
      <c r="O172" s="222" t="s">
        <v>2002</v>
      </c>
      <c r="P172" s="222">
        <v>25.0</v>
      </c>
      <c r="Q172" s="222">
        <v>2300.0</v>
      </c>
      <c r="R172" s="224">
        <v>72.37</v>
      </c>
      <c r="S172" s="224">
        <v>2.96</v>
      </c>
      <c r="T172" s="225">
        <v>32.0</v>
      </c>
      <c r="U172" s="226">
        <v>52.2</v>
      </c>
      <c r="V172" s="227" t="s">
        <v>166</v>
      </c>
      <c r="W172" s="228" t="s">
        <v>174</v>
      </c>
      <c r="X172" s="222" t="s">
        <v>166</v>
      </c>
      <c r="Y172" s="223" t="s">
        <v>166</v>
      </c>
      <c r="Z172" s="221" t="s">
        <v>174</v>
      </c>
      <c r="AA172" s="222" t="s">
        <v>174</v>
      </c>
      <c r="AB172" s="222" t="s">
        <v>166</v>
      </c>
      <c r="AC172" s="222" t="s">
        <v>174</v>
      </c>
      <c r="AD172" s="222" t="s">
        <v>166</v>
      </c>
      <c r="AE172" s="222" t="s">
        <v>174</v>
      </c>
      <c r="AF172" s="222" t="s">
        <v>174</v>
      </c>
      <c r="AG172" s="229" t="s">
        <v>1532</v>
      </c>
      <c r="AH172" s="229"/>
    </row>
    <row r="173">
      <c r="A173" s="188" t="s">
        <v>1532</v>
      </c>
      <c r="B173" s="258" t="s">
        <v>2182</v>
      </c>
      <c r="C173" s="259">
        <v>360.0</v>
      </c>
      <c r="D173" s="260">
        <v>394.0</v>
      </c>
      <c r="E173" s="260">
        <v>119.6</v>
      </c>
      <c r="F173" s="260">
        <v>27.2</v>
      </c>
      <c r="G173" s="261" t="s">
        <v>164</v>
      </c>
      <c r="H173" s="259">
        <v>89.0</v>
      </c>
      <c r="I173" s="260">
        <v>75.0</v>
      </c>
      <c r="J173" s="260">
        <v>40.0</v>
      </c>
      <c r="K173" s="260">
        <v>3300.0</v>
      </c>
      <c r="L173" s="260" t="s">
        <v>44</v>
      </c>
      <c r="M173" s="261" t="s">
        <v>170</v>
      </c>
      <c r="N173" s="259">
        <v>3.0</v>
      </c>
      <c r="O173" s="260" t="s">
        <v>2002</v>
      </c>
      <c r="P173" s="260">
        <v>25.0</v>
      </c>
      <c r="Q173" s="260">
        <v>2400.0</v>
      </c>
      <c r="R173" s="262">
        <v>75.2</v>
      </c>
      <c r="S173" s="262">
        <v>3.63</v>
      </c>
      <c r="T173" s="263">
        <v>30.0</v>
      </c>
      <c r="U173" s="264">
        <v>52.2</v>
      </c>
      <c r="V173" s="265" t="s">
        <v>166</v>
      </c>
      <c r="W173" s="266" t="s">
        <v>174</v>
      </c>
      <c r="X173" s="260" t="s">
        <v>166</v>
      </c>
      <c r="Y173" s="261" t="s">
        <v>166</v>
      </c>
      <c r="Z173" s="259" t="s">
        <v>174</v>
      </c>
      <c r="AA173" s="260" t="s">
        <v>174</v>
      </c>
      <c r="AB173" s="260" t="s">
        <v>166</v>
      </c>
      <c r="AC173" s="260" t="s">
        <v>174</v>
      </c>
      <c r="AD173" s="260" t="s">
        <v>166</v>
      </c>
      <c r="AE173" s="260" t="s">
        <v>174</v>
      </c>
      <c r="AF173" s="260" t="s">
        <v>174</v>
      </c>
      <c r="AG173" s="267" t="s">
        <v>1532</v>
      </c>
      <c r="AH173" s="267"/>
    </row>
    <row r="174">
      <c r="A174" s="255" t="s">
        <v>1532</v>
      </c>
      <c r="B174" s="257" t="s">
        <v>2183</v>
      </c>
      <c r="C174" s="221">
        <v>360.0</v>
      </c>
      <c r="D174" s="222">
        <v>394.0</v>
      </c>
      <c r="E174" s="222">
        <v>119.6</v>
      </c>
      <c r="F174" s="222">
        <v>27.2</v>
      </c>
      <c r="G174" s="223" t="s">
        <v>164</v>
      </c>
      <c r="H174" s="221">
        <v>89.0</v>
      </c>
      <c r="I174" s="222">
        <v>75.0</v>
      </c>
      <c r="J174" s="222">
        <v>40.0</v>
      </c>
      <c r="K174" s="222">
        <v>3300.0</v>
      </c>
      <c r="L174" s="222" t="s">
        <v>44</v>
      </c>
      <c r="M174" s="223" t="s">
        <v>170</v>
      </c>
      <c r="N174" s="221">
        <v>3.0</v>
      </c>
      <c r="O174" s="222" t="s">
        <v>2002</v>
      </c>
      <c r="P174" s="222">
        <v>25.0</v>
      </c>
      <c r="Q174" s="222">
        <v>2300.0</v>
      </c>
      <c r="R174" s="224">
        <v>72.37</v>
      </c>
      <c r="S174" s="224">
        <v>2.96</v>
      </c>
      <c r="T174" s="225">
        <v>32.0</v>
      </c>
      <c r="U174" s="226">
        <v>52.2</v>
      </c>
      <c r="V174" s="227" t="s">
        <v>166</v>
      </c>
      <c r="W174" s="228" t="s">
        <v>174</v>
      </c>
      <c r="X174" s="222" t="s">
        <v>166</v>
      </c>
      <c r="Y174" s="223" t="s">
        <v>166</v>
      </c>
      <c r="Z174" s="221" t="s">
        <v>174</v>
      </c>
      <c r="AA174" s="222" t="s">
        <v>174</v>
      </c>
      <c r="AB174" s="222" t="s">
        <v>166</v>
      </c>
      <c r="AC174" s="222" t="s">
        <v>174</v>
      </c>
      <c r="AD174" s="222" t="s">
        <v>166</v>
      </c>
      <c r="AE174" s="222" t="s">
        <v>174</v>
      </c>
      <c r="AF174" s="222" t="s">
        <v>174</v>
      </c>
      <c r="AG174" s="229" t="s">
        <v>1532</v>
      </c>
      <c r="AH174" s="229"/>
    </row>
    <row r="175">
      <c r="A175" s="255" t="s">
        <v>1532</v>
      </c>
      <c r="B175" s="256" t="s">
        <v>2184</v>
      </c>
      <c r="C175" s="221">
        <v>120.0</v>
      </c>
      <c r="D175" s="222">
        <v>145.0</v>
      </c>
      <c r="E175" s="222">
        <v>118.5</v>
      </c>
      <c r="F175" s="222">
        <v>38.0</v>
      </c>
      <c r="G175" s="223" t="s">
        <v>164</v>
      </c>
      <c r="H175" s="221" t="s">
        <v>170</v>
      </c>
      <c r="I175" s="222" t="s">
        <v>170</v>
      </c>
      <c r="J175" s="222" t="s">
        <v>170</v>
      </c>
      <c r="K175" s="222" t="s">
        <v>170</v>
      </c>
      <c r="L175" s="222" t="s">
        <v>44</v>
      </c>
      <c r="M175" s="223" t="s">
        <v>170</v>
      </c>
      <c r="N175" s="221">
        <v>2.0</v>
      </c>
      <c r="O175" s="222" t="s">
        <v>2002</v>
      </c>
      <c r="P175" s="222">
        <v>25.0</v>
      </c>
      <c r="Q175" s="222">
        <v>2000.0</v>
      </c>
      <c r="R175" s="224">
        <v>66.7</v>
      </c>
      <c r="S175" s="224">
        <v>2.34</v>
      </c>
      <c r="T175" s="225">
        <v>30.0</v>
      </c>
      <c r="U175" s="226">
        <v>63.0</v>
      </c>
      <c r="V175" s="227" t="s">
        <v>166</v>
      </c>
      <c r="W175" s="228" t="s">
        <v>166</v>
      </c>
      <c r="X175" s="222" t="s">
        <v>166</v>
      </c>
      <c r="Y175" s="223" t="s">
        <v>166</v>
      </c>
      <c r="Z175" s="221" t="s">
        <v>174</v>
      </c>
      <c r="AA175" s="222" t="s">
        <v>174</v>
      </c>
      <c r="AB175" s="222" t="s">
        <v>174</v>
      </c>
      <c r="AC175" s="222" t="s">
        <v>174</v>
      </c>
      <c r="AD175" s="222" t="s">
        <v>174</v>
      </c>
      <c r="AE175" s="222" t="s">
        <v>170</v>
      </c>
      <c r="AF175" s="222" t="s">
        <v>174</v>
      </c>
      <c r="AG175" s="229" t="s">
        <v>1532</v>
      </c>
      <c r="AH175" s="229"/>
    </row>
    <row r="176">
      <c r="A176" s="255" t="s">
        <v>1532</v>
      </c>
      <c r="B176" s="256" t="s">
        <v>2185</v>
      </c>
      <c r="C176" s="221">
        <v>120.0</v>
      </c>
      <c r="D176" s="222">
        <v>156.0</v>
      </c>
      <c r="E176" s="222">
        <v>119.2</v>
      </c>
      <c r="F176" s="222">
        <v>38.0</v>
      </c>
      <c r="G176" s="223" t="s">
        <v>164</v>
      </c>
      <c r="H176" s="221">
        <v>94.8</v>
      </c>
      <c r="I176" s="222">
        <v>68.0</v>
      </c>
      <c r="J176" s="222">
        <v>58.9</v>
      </c>
      <c r="K176" s="222" t="s">
        <v>170</v>
      </c>
      <c r="L176" s="222" t="s">
        <v>44</v>
      </c>
      <c r="M176" s="223" t="s">
        <v>170</v>
      </c>
      <c r="N176" s="221">
        <v>2.0</v>
      </c>
      <c r="O176" s="222" t="s">
        <v>2002</v>
      </c>
      <c r="P176" s="222">
        <v>25.0</v>
      </c>
      <c r="Q176" s="222">
        <v>2000.0</v>
      </c>
      <c r="R176" s="224">
        <v>66.7</v>
      </c>
      <c r="S176" s="224">
        <v>2.34</v>
      </c>
      <c r="T176" s="225">
        <v>30.0</v>
      </c>
      <c r="U176" s="226">
        <v>63.0</v>
      </c>
      <c r="V176" s="227" t="s">
        <v>170</v>
      </c>
      <c r="W176" s="228" t="s">
        <v>170</v>
      </c>
      <c r="X176" s="222" t="s">
        <v>170</v>
      </c>
      <c r="Y176" s="223" t="s">
        <v>170</v>
      </c>
      <c r="Z176" s="221" t="s">
        <v>174</v>
      </c>
      <c r="AA176" s="222" t="s">
        <v>174</v>
      </c>
      <c r="AB176" s="222" t="s">
        <v>174</v>
      </c>
      <c r="AC176" s="222" t="s">
        <v>174</v>
      </c>
      <c r="AD176" s="222" t="s">
        <v>174</v>
      </c>
      <c r="AE176" s="222" t="s">
        <v>170</v>
      </c>
      <c r="AF176" s="222" t="s">
        <v>174</v>
      </c>
      <c r="AG176" s="229" t="s">
        <v>1532</v>
      </c>
      <c r="AH176" s="229"/>
    </row>
    <row r="177">
      <c r="A177" s="255" t="s">
        <v>1532</v>
      </c>
      <c r="B177" s="256" t="s">
        <v>2186</v>
      </c>
      <c r="C177" s="221">
        <v>240.0</v>
      </c>
      <c r="D177" s="222">
        <v>275.0</v>
      </c>
      <c r="E177" s="222">
        <v>118.5</v>
      </c>
      <c r="F177" s="222">
        <v>27.0</v>
      </c>
      <c r="G177" s="223" t="s">
        <v>164</v>
      </c>
      <c r="H177" s="221" t="s">
        <v>170</v>
      </c>
      <c r="I177" s="222" t="s">
        <v>170</v>
      </c>
      <c r="J177" s="222" t="s">
        <v>170</v>
      </c>
      <c r="K177" s="222" t="s">
        <v>170</v>
      </c>
      <c r="L177" s="222" t="s">
        <v>44</v>
      </c>
      <c r="M177" s="223" t="s">
        <v>170</v>
      </c>
      <c r="N177" s="221">
        <v>2.0</v>
      </c>
      <c r="O177" s="222" t="s">
        <v>2002</v>
      </c>
      <c r="P177" s="222">
        <v>25.0</v>
      </c>
      <c r="Q177" s="222">
        <v>2000.0</v>
      </c>
      <c r="R177" s="224">
        <v>66.7</v>
      </c>
      <c r="S177" s="224">
        <v>2.34</v>
      </c>
      <c r="T177" s="225">
        <v>30.0</v>
      </c>
      <c r="U177" s="226">
        <v>52.0</v>
      </c>
      <c r="V177" s="227" t="s">
        <v>166</v>
      </c>
      <c r="W177" s="228" t="s">
        <v>166</v>
      </c>
      <c r="X177" s="222" t="s">
        <v>166</v>
      </c>
      <c r="Y177" s="223" t="s">
        <v>166</v>
      </c>
      <c r="Z177" s="221" t="s">
        <v>174</v>
      </c>
      <c r="AA177" s="222" t="s">
        <v>174</v>
      </c>
      <c r="AB177" s="222" t="s">
        <v>174</v>
      </c>
      <c r="AC177" s="222" t="s">
        <v>174</v>
      </c>
      <c r="AD177" s="222" t="s">
        <v>174</v>
      </c>
      <c r="AE177" s="222" t="s">
        <v>170</v>
      </c>
      <c r="AF177" s="222" t="s">
        <v>174</v>
      </c>
      <c r="AG177" s="229" t="s">
        <v>1532</v>
      </c>
      <c r="AH177" s="229"/>
    </row>
    <row r="178">
      <c r="A178" s="255" t="s">
        <v>1532</v>
      </c>
      <c r="B178" s="256" t="s">
        <v>2187</v>
      </c>
      <c r="C178" s="221">
        <v>240.0</v>
      </c>
      <c r="D178" s="222">
        <v>277.0</v>
      </c>
      <c r="E178" s="222">
        <v>119.6</v>
      </c>
      <c r="F178" s="222">
        <v>27.0</v>
      </c>
      <c r="G178" s="223" t="s">
        <v>164</v>
      </c>
      <c r="H178" s="221">
        <v>94.8</v>
      </c>
      <c r="I178" s="222">
        <v>68.0</v>
      </c>
      <c r="J178" s="222">
        <v>58.9</v>
      </c>
      <c r="K178" s="222" t="s">
        <v>170</v>
      </c>
      <c r="L178" s="222" t="s">
        <v>44</v>
      </c>
      <c r="M178" s="223" t="s">
        <v>170</v>
      </c>
      <c r="N178" s="221">
        <v>2.0</v>
      </c>
      <c r="O178" s="222" t="s">
        <v>2002</v>
      </c>
      <c r="P178" s="222">
        <v>25.0</v>
      </c>
      <c r="Q178" s="222">
        <v>2000.0</v>
      </c>
      <c r="R178" s="224">
        <v>66.7</v>
      </c>
      <c r="S178" s="224">
        <v>2.34</v>
      </c>
      <c r="T178" s="225">
        <v>30.0</v>
      </c>
      <c r="U178" s="226">
        <v>52.0</v>
      </c>
      <c r="V178" s="227" t="s">
        <v>170</v>
      </c>
      <c r="W178" s="228" t="s">
        <v>170</v>
      </c>
      <c r="X178" s="222" t="s">
        <v>170</v>
      </c>
      <c r="Y178" s="223" t="s">
        <v>170</v>
      </c>
      <c r="Z178" s="221" t="s">
        <v>174</v>
      </c>
      <c r="AA178" s="222" t="s">
        <v>174</v>
      </c>
      <c r="AB178" s="222" t="s">
        <v>174</v>
      </c>
      <c r="AC178" s="222" t="s">
        <v>174</v>
      </c>
      <c r="AD178" s="222" t="s">
        <v>174</v>
      </c>
      <c r="AE178" s="222" t="s">
        <v>170</v>
      </c>
      <c r="AF178" s="222" t="s">
        <v>174</v>
      </c>
      <c r="AG178" s="229" t="s">
        <v>1532</v>
      </c>
      <c r="AH178" s="229"/>
    </row>
    <row r="179">
      <c r="A179" s="268" t="s">
        <v>1532</v>
      </c>
      <c r="B179" s="269" t="s">
        <v>2188</v>
      </c>
      <c r="C179" s="232">
        <v>280.0</v>
      </c>
      <c r="D179" s="233">
        <v>318.0</v>
      </c>
      <c r="E179" s="233">
        <v>137.0</v>
      </c>
      <c r="F179" s="233">
        <v>27.2</v>
      </c>
      <c r="G179" s="234" t="s">
        <v>164</v>
      </c>
      <c r="H179" s="232">
        <v>94.8</v>
      </c>
      <c r="I179" s="233">
        <v>68.0</v>
      </c>
      <c r="J179" s="233">
        <v>58.9</v>
      </c>
      <c r="K179" s="233" t="s">
        <v>170</v>
      </c>
      <c r="L179" s="233" t="s">
        <v>44</v>
      </c>
      <c r="M179" s="234" t="s">
        <v>170</v>
      </c>
      <c r="N179" s="232">
        <v>2.0</v>
      </c>
      <c r="O179" s="233" t="s">
        <v>2018</v>
      </c>
      <c r="P179" s="233">
        <v>25.0</v>
      </c>
      <c r="Q179" s="233">
        <v>1300.0</v>
      </c>
      <c r="R179" s="235">
        <v>79.6</v>
      </c>
      <c r="S179" s="235">
        <v>1.3</v>
      </c>
      <c r="T179" s="236">
        <v>30.0</v>
      </c>
      <c r="U179" s="237">
        <v>52.2</v>
      </c>
      <c r="V179" s="238" t="s">
        <v>170</v>
      </c>
      <c r="W179" s="239" t="s">
        <v>170</v>
      </c>
      <c r="X179" s="233" t="s">
        <v>170</v>
      </c>
      <c r="Y179" s="234" t="s">
        <v>170</v>
      </c>
      <c r="Z179" s="232" t="s">
        <v>174</v>
      </c>
      <c r="AA179" s="233" t="s">
        <v>174</v>
      </c>
      <c r="AB179" s="233" t="s">
        <v>174</v>
      </c>
      <c r="AC179" s="233" t="s">
        <v>174</v>
      </c>
      <c r="AD179" s="233" t="s">
        <v>174</v>
      </c>
      <c r="AE179" s="233" t="s">
        <v>170</v>
      </c>
      <c r="AF179" s="233" t="s">
        <v>174</v>
      </c>
      <c r="AG179" s="240" t="s">
        <v>1532</v>
      </c>
      <c r="AH179" s="240"/>
    </row>
    <row r="180">
      <c r="A180" s="255" t="s">
        <v>1480</v>
      </c>
      <c r="B180" s="256" t="s">
        <v>2189</v>
      </c>
      <c r="C180" s="221">
        <v>120.0</v>
      </c>
      <c r="D180" s="222">
        <v>168.5</v>
      </c>
      <c r="E180" s="222">
        <v>120.0</v>
      </c>
      <c r="F180" s="222">
        <v>28.0</v>
      </c>
      <c r="G180" s="223" t="s">
        <v>164</v>
      </c>
      <c r="H180" s="221">
        <v>64.5</v>
      </c>
      <c r="I180" s="222">
        <v>64.5</v>
      </c>
      <c r="J180" s="222">
        <v>23.5</v>
      </c>
      <c r="K180" s="222" t="s">
        <v>170</v>
      </c>
      <c r="L180" s="222" t="s">
        <v>2010</v>
      </c>
      <c r="M180" s="223">
        <v>280.0</v>
      </c>
      <c r="N180" s="221">
        <v>1.0</v>
      </c>
      <c r="O180" s="222" t="s">
        <v>2002</v>
      </c>
      <c r="P180" s="222">
        <v>25.0</v>
      </c>
      <c r="Q180" s="222">
        <v>2300.0</v>
      </c>
      <c r="R180" s="224">
        <v>94.0</v>
      </c>
      <c r="S180" s="224">
        <v>3.65</v>
      </c>
      <c r="T180" s="225">
        <v>31.0</v>
      </c>
      <c r="U180" s="226">
        <v>53.0</v>
      </c>
      <c r="V180" s="221" t="s">
        <v>166</v>
      </c>
      <c r="W180" s="241" t="s">
        <v>166</v>
      </c>
      <c r="X180" s="222" t="s">
        <v>166</v>
      </c>
      <c r="Y180" s="223" t="s">
        <v>166</v>
      </c>
      <c r="Z180" s="221" t="s">
        <v>174</v>
      </c>
      <c r="AA180" s="222" t="s">
        <v>174</v>
      </c>
      <c r="AB180" s="222" t="s">
        <v>166</v>
      </c>
      <c r="AC180" s="222" t="s">
        <v>174</v>
      </c>
      <c r="AD180" s="222" t="s">
        <v>174</v>
      </c>
      <c r="AE180" s="222" t="s">
        <v>170</v>
      </c>
      <c r="AF180" s="222" t="s">
        <v>174</v>
      </c>
      <c r="AG180" s="229" t="s">
        <v>2190</v>
      </c>
      <c r="AH180" s="229"/>
    </row>
    <row r="181">
      <c r="A181" s="255" t="s">
        <v>1480</v>
      </c>
      <c r="B181" s="257" t="s">
        <v>2191</v>
      </c>
      <c r="C181" s="221">
        <v>120.0</v>
      </c>
      <c r="D181" s="222" t="s">
        <v>170</v>
      </c>
      <c r="E181" s="222" t="s">
        <v>170</v>
      </c>
      <c r="F181" s="222" t="s">
        <v>170</v>
      </c>
      <c r="G181" s="223" t="s">
        <v>164</v>
      </c>
      <c r="H181" s="221">
        <v>65.0</v>
      </c>
      <c r="I181" s="222">
        <v>65.0</v>
      </c>
      <c r="J181" s="222">
        <v>54.5</v>
      </c>
      <c r="K181" s="222" t="s">
        <v>170</v>
      </c>
      <c r="L181" s="222" t="s">
        <v>44</v>
      </c>
      <c r="M181" s="223" t="s">
        <v>170</v>
      </c>
      <c r="N181" s="221">
        <v>1.0</v>
      </c>
      <c r="O181" s="222" t="s">
        <v>2002</v>
      </c>
      <c r="P181" s="222">
        <v>25.0</v>
      </c>
      <c r="Q181" s="222">
        <v>1500.0</v>
      </c>
      <c r="R181" s="224">
        <v>47.73</v>
      </c>
      <c r="S181" s="224">
        <v>1.46</v>
      </c>
      <c r="T181" s="225">
        <v>28.9</v>
      </c>
      <c r="U181" s="226" t="s">
        <v>170</v>
      </c>
      <c r="V181" s="221" t="s">
        <v>166</v>
      </c>
      <c r="W181" s="241" t="s">
        <v>174</v>
      </c>
      <c r="X181" s="222" t="s">
        <v>166</v>
      </c>
      <c r="Y181" s="223" t="s">
        <v>166</v>
      </c>
      <c r="Z181" s="221" t="s">
        <v>166</v>
      </c>
      <c r="AA181" s="222" t="s">
        <v>174</v>
      </c>
      <c r="AB181" s="222" t="s">
        <v>166</v>
      </c>
      <c r="AC181" s="222" t="s">
        <v>174</v>
      </c>
      <c r="AD181" s="222" t="s">
        <v>166</v>
      </c>
      <c r="AE181" s="222" t="s">
        <v>174</v>
      </c>
      <c r="AF181" s="222" t="s">
        <v>174</v>
      </c>
      <c r="AG181" s="229" t="s">
        <v>2003</v>
      </c>
      <c r="AH181" s="229"/>
    </row>
    <row r="182">
      <c r="A182" s="255" t="s">
        <v>1480</v>
      </c>
      <c r="B182" s="256" t="s">
        <v>2192</v>
      </c>
      <c r="C182" s="221">
        <v>120.0</v>
      </c>
      <c r="D182" s="222">
        <v>157.0</v>
      </c>
      <c r="E182" s="222">
        <v>120.0</v>
      </c>
      <c r="F182" s="222">
        <v>27.0</v>
      </c>
      <c r="G182" s="223" t="s">
        <v>164</v>
      </c>
      <c r="H182" s="221" t="s">
        <v>170</v>
      </c>
      <c r="I182" s="222" t="s">
        <v>170</v>
      </c>
      <c r="J182" s="222" t="s">
        <v>170</v>
      </c>
      <c r="K182" s="222" t="s">
        <v>170</v>
      </c>
      <c r="L182" s="222" t="s">
        <v>44</v>
      </c>
      <c r="M182" s="223" t="s">
        <v>170</v>
      </c>
      <c r="N182" s="221">
        <v>1.0</v>
      </c>
      <c r="O182" s="222" t="s">
        <v>2002</v>
      </c>
      <c r="P182" s="222">
        <v>25.0</v>
      </c>
      <c r="Q182" s="222">
        <v>1700.0</v>
      </c>
      <c r="R182" s="224">
        <v>57.2</v>
      </c>
      <c r="S182" s="224">
        <v>2.08</v>
      </c>
      <c r="T182" s="225">
        <v>28.3</v>
      </c>
      <c r="U182" s="226">
        <v>52.0</v>
      </c>
      <c r="V182" s="227" t="s">
        <v>166</v>
      </c>
      <c r="W182" s="228" t="s">
        <v>166</v>
      </c>
      <c r="X182" s="222" t="s">
        <v>166</v>
      </c>
      <c r="Y182" s="223" t="s">
        <v>174</v>
      </c>
      <c r="Z182" s="221" t="s">
        <v>174</v>
      </c>
      <c r="AA182" s="222" t="s">
        <v>174</v>
      </c>
      <c r="AB182" s="222" t="s">
        <v>166</v>
      </c>
      <c r="AC182" s="222" t="s">
        <v>174</v>
      </c>
      <c r="AD182" s="222" t="s">
        <v>174</v>
      </c>
      <c r="AE182" s="222" t="s">
        <v>174</v>
      </c>
      <c r="AF182" s="222" t="s">
        <v>174</v>
      </c>
      <c r="AG182" s="229" t="s">
        <v>2193</v>
      </c>
      <c r="AH182" s="229"/>
    </row>
    <row r="183">
      <c r="A183" s="255" t="s">
        <v>1480</v>
      </c>
      <c r="B183" s="256" t="s">
        <v>2194</v>
      </c>
      <c r="C183" s="221">
        <v>120.0</v>
      </c>
      <c r="D183" s="222">
        <v>154.0</v>
      </c>
      <c r="E183" s="222">
        <v>123.0</v>
      </c>
      <c r="F183" s="222">
        <v>49.0</v>
      </c>
      <c r="G183" s="223" t="s">
        <v>164</v>
      </c>
      <c r="H183" s="221" t="s">
        <v>170</v>
      </c>
      <c r="I183" s="222" t="s">
        <v>170</v>
      </c>
      <c r="J183" s="222" t="s">
        <v>170</v>
      </c>
      <c r="K183" s="222" t="s">
        <v>170</v>
      </c>
      <c r="L183" s="222" t="s">
        <v>44</v>
      </c>
      <c r="M183" s="223" t="s">
        <v>170</v>
      </c>
      <c r="N183" s="221">
        <v>2.0</v>
      </c>
      <c r="O183" s="222" t="s">
        <v>2002</v>
      </c>
      <c r="P183" s="222">
        <v>25.0</v>
      </c>
      <c r="Q183" s="222">
        <v>2435.0</v>
      </c>
      <c r="R183" s="224">
        <v>70.69</v>
      </c>
      <c r="S183" s="224">
        <v>4.65</v>
      </c>
      <c r="T183" s="225">
        <v>37.7</v>
      </c>
      <c r="U183" s="226">
        <v>99.0</v>
      </c>
      <c r="V183" s="227" t="s">
        <v>166</v>
      </c>
      <c r="W183" s="228" t="s">
        <v>166</v>
      </c>
      <c r="X183" s="222" t="s">
        <v>174</v>
      </c>
      <c r="Y183" s="223" t="s">
        <v>166</v>
      </c>
      <c r="Z183" s="221" t="s">
        <v>174</v>
      </c>
      <c r="AA183" s="222" t="s">
        <v>174</v>
      </c>
      <c r="AB183" s="222" t="s">
        <v>166</v>
      </c>
      <c r="AC183" s="222" t="s">
        <v>174</v>
      </c>
      <c r="AD183" s="222" t="s">
        <v>174</v>
      </c>
      <c r="AE183" s="222" t="s">
        <v>170</v>
      </c>
      <c r="AF183" s="222" t="s">
        <v>174</v>
      </c>
      <c r="AG183" s="229" t="s">
        <v>2003</v>
      </c>
      <c r="AH183" s="229"/>
    </row>
    <row r="184">
      <c r="A184" s="255" t="s">
        <v>1480</v>
      </c>
      <c r="B184" s="257" t="s">
        <v>2195</v>
      </c>
      <c r="C184" s="221">
        <v>240.0</v>
      </c>
      <c r="D184" s="222">
        <v>277.0</v>
      </c>
      <c r="E184" s="222">
        <v>120.0</v>
      </c>
      <c r="F184" s="222">
        <v>27.0</v>
      </c>
      <c r="G184" s="223" t="s">
        <v>164</v>
      </c>
      <c r="H184" s="221">
        <v>65.0</v>
      </c>
      <c r="I184" s="222">
        <v>65.0</v>
      </c>
      <c r="J184" s="222">
        <v>54.5</v>
      </c>
      <c r="K184" s="222" t="s">
        <v>170</v>
      </c>
      <c r="L184" s="222" t="s">
        <v>44</v>
      </c>
      <c r="M184" s="223" t="s">
        <v>170</v>
      </c>
      <c r="N184" s="221">
        <v>2.0</v>
      </c>
      <c r="O184" s="222" t="s">
        <v>2002</v>
      </c>
      <c r="P184" s="222">
        <v>25.0</v>
      </c>
      <c r="Q184" s="222">
        <v>1500.0</v>
      </c>
      <c r="R184" s="224">
        <v>47.73</v>
      </c>
      <c r="S184" s="224">
        <v>1.46</v>
      </c>
      <c r="T184" s="225">
        <v>28.9</v>
      </c>
      <c r="U184" s="226">
        <v>52.0</v>
      </c>
      <c r="V184" s="227" t="s">
        <v>166</v>
      </c>
      <c r="W184" s="228" t="s">
        <v>174</v>
      </c>
      <c r="X184" s="222" t="s">
        <v>166</v>
      </c>
      <c r="Y184" s="223" t="s">
        <v>166</v>
      </c>
      <c r="Z184" s="221" t="s">
        <v>166</v>
      </c>
      <c r="AA184" s="222" t="s">
        <v>174</v>
      </c>
      <c r="AB184" s="222" t="s">
        <v>166</v>
      </c>
      <c r="AC184" s="222" t="s">
        <v>174</v>
      </c>
      <c r="AD184" s="222" t="s">
        <v>166</v>
      </c>
      <c r="AE184" s="222" t="s">
        <v>174</v>
      </c>
      <c r="AF184" s="222" t="s">
        <v>174</v>
      </c>
      <c r="AG184" s="229" t="s">
        <v>2193</v>
      </c>
      <c r="AH184" s="229"/>
    </row>
    <row r="185">
      <c r="A185" s="255" t="s">
        <v>1480</v>
      </c>
      <c r="B185" s="256" t="s">
        <v>2196</v>
      </c>
      <c r="C185" s="221">
        <v>240.0</v>
      </c>
      <c r="D185" s="222">
        <v>276.0</v>
      </c>
      <c r="E185" s="222">
        <v>120.0</v>
      </c>
      <c r="F185" s="222">
        <v>27.0</v>
      </c>
      <c r="G185" s="223" t="s">
        <v>164</v>
      </c>
      <c r="H185" s="221">
        <v>80.0</v>
      </c>
      <c r="I185" s="222">
        <v>64.0</v>
      </c>
      <c r="J185" s="222">
        <v>33.0</v>
      </c>
      <c r="K185" s="222" t="s">
        <v>170</v>
      </c>
      <c r="L185" s="222" t="s">
        <v>44</v>
      </c>
      <c r="M185" s="223">
        <v>380.0</v>
      </c>
      <c r="N185" s="221">
        <v>2.0</v>
      </c>
      <c r="O185" s="222" t="s">
        <v>2002</v>
      </c>
      <c r="P185" s="222">
        <v>25.0</v>
      </c>
      <c r="Q185" s="222">
        <v>2400.0</v>
      </c>
      <c r="R185" s="224">
        <v>75.0</v>
      </c>
      <c r="S185" s="224">
        <v>4.2</v>
      </c>
      <c r="T185" s="225">
        <v>37.0</v>
      </c>
      <c r="U185" s="226">
        <v>52.0</v>
      </c>
      <c r="V185" s="227" t="s">
        <v>166</v>
      </c>
      <c r="W185" s="228" t="s">
        <v>166</v>
      </c>
      <c r="X185" s="222" t="s">
        <v>174</v>
      </c>
      <c r="Y185" s="223" t="s">
        <v>174</v>
      </c>
      <c r="Z185" s="221" t="s">
        <v>174</v>
      </c>
      <c r="AA185" s="222" t="s">
        <v>174</v>
      </c>
      <c r="AB185" s="222" t="s">
        <v>166</v>
      </c>
      <c r="AC185" s="222" t="s">
        <v>174</v>
      </c>
      <c r="AD185" s="222" t="s">
        <v>174</v>
      </c>
      <c r="AE185" s="222" t="s">
        <v>170</v>
      </c>
      <c r="AF185" s="222" t="s">
        <v>174</v>
      </c>
      <c r="AG185" s="229" t="s">
        <v>2003</v>
      </c>
      <c r="AH185" s="229"/>
    </row>
    <row r="186">
      <c r="A186" s="255" t="s">
        <v>1480</v>
      </c>
      <c r="B186" s="256" t="s">
        <v>2197</v>
      </c>
      <c r="C186" s="221">
        <v>240.0</v>
      </c>
      <c r="D186" s="222">
        <v>277.0</v>
      </c>
      <c r="E186" s="222">
        <v>120.0</v>
      </c>
      <c r="F186" s="222">
        <v>27.0</v>
      </c>
      <c r="G186" s="223" t="s">
        <v>164</v>
      </c>
      <c r="H186" s="221">
        <v>60.0</v>
      </c>
      <c r="I186" s="222">
        <v>60.0</v>
      </c>
      <c r="J186" s="222">
        <v>38.0</v>
      </c>
      <c r="K186" s="222" t="s">
        <v>170</v>
      </c>
      <c r="L186" s="222" t="s">
        <v>44</v>
      </c>
      <c r="M186" s="223">
        <v>380.0</v>
      </c>
      <c r="N186" s="221">
        <v>2.0</v>
      </c>
      <c r="O186" s="222" t="s">
        <v>2002</v>
      </c>
      <c r="P186" s="222">
        <v>25.0</v>
      </c>
      <c r="Q186" s="222">
        <v>2400.0</v>
      </c>
      <c r="R186" s="224">
        <v>75.0</v>
      </c>
      <c r="S186" s="224">
        <v>4.2</v>
      </c>
      <c r="T186" s="225">
        <v>37.0</v>
      </c>
      <c r="U186" s="226">
        <v>52.0</v>
      </c>
      <c r="V186" s="227" t="s">
        <v>166</v>
      </c>
      <c r="W186" s="228" t="s">
        <v>166</v>
      </c>
      <c r="X186" s="222" t="s">
        <v>174</v>
      </c>
      <c r="Y186" s="223" t="s">
        <v>174</v>
      </c>
      <c r="Z186" s="221" t="s">
        <v>174</v>
      </c>
      <c r="AA186" s="222" t="s">
        <v>174</v>
      </c>
      <c r="AB186" s="222" t="s">
        <v>166</v>
      </c>
      <c r="AC186" s="222" t="s">
        <v>174</v>
      </c>
      <c r="AD186" s="222" t="s">
        <v>174</v>
      </c>
      <c r="AE186" s="222" t="s">
        <v>174</v>
      </c>
      <c r="AF186" s="222" t="s">
        <v>174</v>
      </c>
      <c r="AG186" s="229" t="s">
        <v>2193</v>
      </c>
      <c r="AH186" s="229"/>
    </row>
    <row r="187">
      <c r="A187" s="255" t="s">
        <v>1480</v>
      </c>
      <c r="B187" s="256" t="s">
        <v>2198</v>
      </c>
      <c r="C187" s="221">
        <v>240.0</v>
      </c>
      <c r="D187" s="222">
        <v>277.0</v>
      </c>
      <c r="E187" s="222">
        <v>120.0</v>
      </c>
      <c r="F187" s="222">
        <v>27.0</v>
      </c>
      <c r="G187" s="223" t="s">
        <v>164</v>
      </c>
      <c r="H187" s="221">
        <v>60.0</v>
      </c>
      <c r="I187" s="222">
        <v>60.0</v>
      </c>
      <c r="J187" s="222">
        <v>38.0</v>
      </c>
      <c r="K187" s="222" t="s">
        <v>170</v>
      </c>
      <c r="L187" s="222" t="s">
        <v>44</v>
      </c>
      <c r="M187" s="223">
        <v>380.0</v>
      </c>
      <c r="N187" s="221">
        <v>2.0</v>
      </c>
      <c r="O187" s="222" t="s">
        <v>2002</v>
      </c>
      <c r="P187" s="222">
        <v>25.0</v>
      </c>
      <c r="Q187" s="222">
        <v>2200.0</v>
      </c>
      <c r="R187" s="224">
        <v>63.0</v>
      </c>
      <c r="S187" s="224">
        <v>3.0</v>
      </c>
      <c r="T187" s="225">
        <v>36.0</v>
      </c>
      <c r="U187" s="226">
        <v>52.0</v>
      </c>
      <c r="V187" s="227" t="s">
        <v>166</v>
      </c>
      <c r="W187" s="228" t="s">
        <v>166</v>
      </c>
      <c r="X187" s="222" t="s">
        <v>174</v>
      </c>
      <c r="Y187" s="223" t="s">
        <v>174</v>
      </c>
      <c r="Z187" s="221" t="s">
        <v>174</v>
      </c>
      <c r="AA187" s="222" t="s">
        <v>174</v>
      </c>
      <c r="AB187" s="222" t="s">
        <v>166</v>
      </c>
      <c r="AC187" s="222" t="s">
        <v>174</v>
      </c>
      <c r="AD187" s="222" t="s">
        <v>174</v>
      </c>
      <c r="AE187" s="222" t="s">
        <v>174</v>
      </c>
      <c r="AF187" s="222" t="s">
        <v>174</v>
      </c>
      <c r="AG187" s="229" t="s">
        <v>2193</v>
      </c>
      <c r="AH187" s="229"/>
    </row>
    <row r="188">
      <c r="A188" s="255" t="s">
        <v>1480</v>
      </c>
      <c r="B188" s="256" t="s">
        <v>2199</v>
      </c>
      <c r="C188" s="221">
        <v>280.0</v>
      </c>
      <c r="D188" s="222">
        <v>315.0</v>
      </c>
      <c r="E188" s="222">
        <v>143.0</v>
      </c>
      <c r="F188" s="222">
        <v>29.0</v>
      </c>
      <c r="G188" s="223" t="s">
        <v>164</v>
      </c>
      <c r="H188" s="221">
        <v>80.0</v>
      </c>
      <c r="I188" s="222">
        <v>64.0</v>
      </c>
      <c r="J188" s="222">
        <v>33.0</v>
      </c>
      <c r="K188" s="222" t="s">
        <v>170</v>
      </c>
      <c r="L188" s="222" t="s">
        <v>44</v>
      </c>
      <c r="M188" s="223">
        <v>350.0</v>
      </c>
      <c r="N188" s="221">
        <v>2.0</v>
      </c>
      <c r="O188" s="222" t="s">
        <v>2018</v>
      </c>
      <c r="P188" s="222">
        <v>25.0</v>
      </c>
      <c r="Q188" s="222">
        <v>1200.0</v>
      </c>
      <c r="R188" s="224">
        <v>55.4</v>
      </c>
      <c r="S188" s="224">
        <v>1.27</v>
      </c>
      <c r="T188" s="225">
        <v>20.4</v>
      </c>
      <c r="U188" s="226">
        <v>54.0</v>
      </c>
      <c r="V188" s="227" t="s">
        <v>166</v>
      </c>
      <c r="W188" s="228" t="s">
        <v>166</v>
      </c>
      <c r="X188" s="222" t="s">
        <v>174</v>
      </c>
      <c r="Y188" s="223" t="s">
        <v>174</v>
      </c>
      <c r="Z188" s="221" t="s">
        <v>174</v>
      </c>
      <c r="AA188" s="222" t="s">
        <v>174</v>
      </c>
      <c r="AB188" s="222" t="s">
        <v>166</v>
      </c>
      <c r="AC188" s="222" t="s">
        <v>174</v>
      </c>
      <c r="AD188" s="222" t="s">
        <v>174</v>
      </c>
      <c r="AE188" s="222" t="s">
        <v>170</v>
      </c>
      <c r="AF188" s="222" t="s">
        <v>174</v>
      </c>
      <c r="AG188" s="229" t="s">
        <v>2003</v>
      </c>
      <c r="AH188" s="229"/>
    </row>
    <row r="189">
      <c r="A189" s="255" t="s">
        <v>1480</v>
      </c>
      <c r="B189" s="256" t="s">
        <v>2200</v>
      </c>
      <c r="C189" s="221">
        <v>280.0</v>
      </c>
      <c r="D189" s="222">
        <v>322.0</v>
      </c>
      <c r="E189" s="222">
        <v>137.0</v>
      </c>
      <c r="F189" s="222">
        <v>27.0</v>
      </c>
      <c r="G189" s="223" t="s">
        <v>164</v>
      </c>
      <c r="H189" s="221">
        <v>60.0</v>
      </c>
      <c r="I189" s="222">
        <v>60.0</v>
      </c>
      <c r="J189" s="222">
        <v>38.0</v>
      </c>
      <c r="K189" s="222" t="s">
        <v>170</v>
      </c>
      <c r="L189" s="222" t="s">
        <v>44</v>
      </c>
      <c r="M189" s="223">
        <v>380.0</v>
      </c>
      <c r="N189" s="221">
        <v>2.0</v>
      </c>
      <c r="O189" s="222" t="s">
        <v>2018</v>
      </c>
      <c r="P189" s="222">
        <v>25.0</v>
      </c>
      <c r="Q189" s="222">
        <v>2000.0</v>
      </c>
      <c r="R189" s="224">
        <v>97.0</v>
      </c>
      <c r="S189" s="224">
        <v>3.0</v>
      </c>
      <c r="T189" s="225">
        <v>37.0</v>
      </c>
      <c r="U189" s="226">
        <v>52.0</v>
      </c>
      <c r="V189" s="227" t="s">
        <v>166</v>
      </c>
      <c r="W189" s="228" t="s">
        <v>166</v>
      </c>
      <c r="X189" s="222" t="s">
        <v>174</v>
      </c>
      <c r="Y189" s="223" t="s">
        <v>174</v>
      </c>
      <c r="Z189" s="221" t="s">
        <v>174</v>
      </c>
      <c r="AA189" s="222" t="s">
        <v>174</v>
      </c>
      <c r="AB189" s="222" t="s">
        <v>166</v>
      </c>
      <c r="AC189" s="222" t="s">
        <v>174</v>
      </c>
      <c r="AD189" s="222" t="s">
        <v>174</v>
      </c>
      <c r="AE189" s="222" t="s">
        <v>174</v>
      </c>
      <c r="AF189" s="222" t="s">
        <v>174</v>
      </c>
      <c r="AG189" s="229" t="s">
        <v>2193</v>
      </c>
      <c r="AH189" s="229"/>
    </row>
    <row r="190">
      <c r="A190" s="255" t="s">
        <v>1480</v>
      </c>
      <c r="B190" s="257" t="s">
        <v>2201</v>
      </c>
      <c r="C190" s="221">
        <v>360.0</v>
      </c>
      <c r="D190" s="222" t="s">
        <v>170</v>
      </c>
      <c r="E190" s="222" t="s">
        <v>170</v>
      </c>
      <c r="F190" s="222" t="s">
        <v>170</v>
      </c>
      <c r="G190" s="223" t="s">
        <v>164</v>
      </c>
      <c r="H190" s="221">
        <v>65.0</v>
      </c>
      <c r="I190" s="222">
        <v>65.0</v>
      </c>
      <c r="J190" s="222">
        <v>54.5</v>
      </c>
      <c r="K190" s="222" t="s">
        <v>170</v>
      </c>
      <c r="L190" s="222" t="s">
        <v>44</v>
      </c>
      <c r="M190" s="223" t="s">
        <v>170</v>
      </c>
      <c r="N190" s="221">
        <v>3.0</v>
      </c>
      <c r="O190" s="222" t="s">
        <v>2002</v>
      </c>
      <c r="P190" s="222">
        <v>25.0</v>
      </c>
      <c r="Q190" s="222" t="s">
        <v>170</v>
      </c>
      <c r="R190" s="224" t="s">
        <v>170</v>
      </c>
      <c r="S190" s="224" t="s">
        <v>170</v>
      </c>
      <c r="T190" s="225" t="s">
        <v>170</v>
      </c>
      <c r="U190" s="226" t="s">
        <v>170</v>
      </c>
      <c r="V190" s="227" t="s">
        <v>166</v>
      </c>
      <c r="W190" s="228" t="s">
        <v>174</v>
      </c>
      <c r="X190" s="222" t="s">
        <v>166</v>
      </c>
      <c r="Y190" s="223" t="s">
        <v>166</v>
      </c>
      <c r="Z190" s="221" t="s">
        <v>166</v>
      </c>
      <c r="AA190" s="222" t="s">
        <v>174</v>
      </c>
      <c r="AB190" s="222" t="s">
        <v>166</v>
      </c>
      <c r="AC190" s="222" t="s">
        <v>174</v>
      </c>
      <c r="AD190" s="222" t="s">
        <v>174</v>
      </c>
      <c r="AE190" s="222" t="s">
        <v>174</v>
      </c>
      <c r="AF190" s="222" t="s">
        <v>174</v>
      </c>
      <c r="AG190" s="229" t="s">
        <v>2193</v>
      </c>
      <c r="AH190" s="229"/>
    </row>
    <row r="191">
      <c r="A191" s="255" t="s">
        <v>1480</v>
      </c>
      <c r="B191" s="257" t="s">
        <v>2202</v>
      </c>
      <c r="C191" s="221">
        <v>120.0</v>
      </c>
      <c r="D191" s="222">
        <v>157.0</v>
      </c>
      <c r="E191" s="222">
        <v>120.0</v>
      </c>
      <c r="F191" s="222">
        <v>27.0</v>
      </c>
      <c r="G191" s="223" t="s">
        <v>164</v>
      </c>
      <c r="H191" s="221">
        <v>65.0</v>
      </c>
      <c r="I191" s="222">
        <v>65.0</v>
      </c>
      <c r="J191" s="222">
        <v>38.0</v>
      </c>
      <c r="K191" s="222" t="s">
        <v>170</v>
      </c>
      <c r="L191" s="222" t="s">
        <v>44</v>
      </c>
      <c r="M191" s="223">
        <v>330.0</v>
      </c>
      <c r="N191" s="221">
        <v>1.0</v>
      </c>
      <c r="O191" s="222" t="s">
        <v>2002</v>
      </c>
      <c r="P191" s="222">
        <v>25.0</v>
      </c>
      <c r="Q191" s="222">
        <v>2400.0</v>
      </c>
      <c r="R191" s="224">
        <v>75.0</v>
      </c>
      <c r="S191" s="224">
        <v>4.2</v>
      </c>
      <c r="T191" s="225">
        <v>37.0</v>
      </c>
      <c r="U191" s="226">
        <v>52.0</v>
      </c>
      <c r="V191" s="227" t="s">
        <v>166</v>
      </c>
      <c r="W191" s="228" t="s">
        <v>166</v>
      </c>
      <c r="X191" s="222" t="s">
        <v>174</v>
      </c>
      <c r="Y191" s="223" t="s">
        <v>174</v>
      </c>
      <c r="Z191" s="221" t="s">
        <v>174</v>
      </c>
      <c r="AA191" s="222" t="s">
        <v>174</v>
      </c>
      <c r="AB191" s="222" t="s">
        <v>166</v>
      </c>
      <c r="AC191" s="222" t="s">
        <v>174</v>
      </c>
      <c r="AD191" s="222" t="s">
        <v>174</v>
      </c>
      <c r="AE191" s="222" t="s">
        <v>174</v>
      </c>
      <c r="AF191" s="222" t="s">
        <v>174</v>
      </c>
      <c r="AG191" s="229" t="s">
        <v>2193</v>
      </c>
      <c r="AH191" s="229"/>
    </row>
    <row r="192">
      <c r="A192" s="255" t="s">
        <v>1480</v>
      </c>
      <c r="B192" s="257" t="s">
        <v>2203</v>
      </c>
      <c r="C192" s="221">
        <v>120.0</v>
      </c>
      <c r="D192" s="222" t="s">
        <v>170</v>
      </c>
      <c r="E192" s="222" t="s">
        <v>170</v>
      </c>
      <c r="F192" s="222" t="s">
        <v>170</v>
      </c>
      <c r="G192" s="223" t="s">
        <v>164</v>
      </c>
      <c r="H192" s="221">
        <v>76.0</v>
      </c>
      <c r="I192" s="222">
        <v>76.0</v>
      </c>
      <c r="J192" s="222">
        <v>60.0</v>
      </c>
      <c r="K192" s="222" t="s">
        <v>170</v>
      </c>
      <c r="L192" s="222" t="s">
        <v>44</v>
      </c>
      <c r="M192" s="223" t="s">
        <v>170</v>
      </c>
      <c r="N192" s="221">
        <v>1.0</v>
      </c>
      <c r="O192" s="222" t="s">
        <v>2002</v>
      </c>
      <c r="P192" s="222">
        <v>25.0</v>
      </c>
      <c r="Q192" s="222">
        <v>1500.0</v>
      </c>
      <c r="R192" s="224">
        <v>47.73</v>
      </c>
      <c r="S192" s="224">
        <v>1.46</v>
      </c>
      <c r="T192" s="225">
        <v>28.0</v>
      </c>
      <c r="U192" s="226" t="s">
        <v>170</v>
      </c>
      <c r="V192" s="227" t="s">
        <v>166</v>
      </c>
      <c r="W192" s="228" t="s">
        <v>174</v>
      </c>
      <c r="X192" s="222" t="s">
        <v>166</v>
      </c>
      <c r="Y192" s="223" t="s">
        <v>166</v>
      </c>
      <c r="Z192" s="221" t="s">
        <v>166</v>
      </c>
      <c r="AA192" s="222" t="s">
        <v>174</v>
      </c>
      <c r="AB192" s="222" t="s">
        <v>166</v>
      </c>
      <c r="AC192" s="222" t="s">
        <v>174</v>
      </c>
      <c r="AD192" s="222" t="s">
        <v>166</v>
      </c>
      <c r="AE192" s="222" t="s">
        <v>174</v>
      </c>
      <c r="AF192" s="222" t="s">
        <v>174</v>
      </c>
      <c r="AG192" s="229" t="s">
        <v>2193</v>
      </c>
      <c r="AH192" s="229"/>
    </row>
    <row r="193">
      <c r="A193" s="255" t="s">
        <v>1480</v>
      </c>
      <c r="B193" s="257" t="s">
        <v>2204</v>
      </c>
      <c r="C193" s="221">
        <v>240.0</v>
      </c>
      <c r="D193" s="222">
        <v>277.0</v>
      </c>
      <c r="E193" s="222">
        <v>120.0</v>
      </c>
      <c r="F193" s="222">
        <v>27.0</v>
      </c>
      <c r="G193" s="223" t="s">
        <v>164</v>
      </c>
      <c r="H193" s="221">
        <v>60.325</v>
      </c>
      <c r="I193" s="222">
        <v>60.325</v>
      </c>
      <c r="J193" s="222">
        <v>50.8</v>
      </c>
      <c r="K193" s="222" t="s">
        <v>170</v>
      </c>
      <c r="L193" s="222" t="s">
        <v>44</v>
      </c>
      <c r="M193" s="223">
        <v>380.0</v>
      </c>
      <c r="N193" s="221">
        <v>2.0</v>
      </c>
      <c r="O193" s="222" t="s">
        <v>2002</v>
      </c>
      <c r="P193" s="222">
        <v>25.0</v>
      </c>
      <c r="Q193" s="222">
        <v>2400.0</v>
      </c>
      <c r="R193" s="224">
        <v>75.0</v>
      </c>
      <c r="S193" s="224">
        <v>4.2</v>
      </c>
      <c r="T193" s="225">
        <v>37.0</v>
      </c>
      <c r="U193" s="226">
        <v>52.0</v>
      </c>
      <c r="V193" s="227" t="s">
        <v>166</v>
      </c>
      <c r="W193" s="228" t="s">
        <v>166</v>
      </c>
      <c r="X193" s="222" t="s">
        <v>174</v>
      </c>
      <c r="Y193" s="223" t="s">
        <v>174</v>
      </c>
      <c r="Z193" s="221" t="s">
        <v>174</v>
      </c>
      <c r="AA193" s="222" t="s">
        <v>174</v>
      </c>
      <c r="AB193" s="222" t="s">
        <v>166</v>
      </c>
      <c r="AC193" s="222" t="s">
        <v>174</v>
      </c>
      <c r="AD193" s="222" t="s">
        <v>174</v>
      </c>
      <c r="AE193" s="222" t="s">
        <v>174</v>
      </c>
      <c r="AF193" s="222" t="s">
        <v>174</v>
      </c>
      <c r="AG193" s="229" t="s">
        <v>2193</v>
      </c>
      <c r="AH193" s="229"/>
    </row>
    <row r="194">
      <c r="A194" s="255" t="s">
        <v>1480</v>
      </c>
      <c r="B194" s="257" t="s">
        <v>2205</v>
      </c>
      <c r="C194" s="221">
        <v>240.0</v>
      </c>
      <c r="D194" s="222">
        <v>277.0</v>
      </c>
      <c r="E194" s="222">
        <v>120.0</v>
      </c>
      <c r="F194" s="222">
        <v>27.0</v>
      </c>
      <c r="G194" s="223" t="s">
        <v>164</v>
      </c>
      <c r="H194" s="221">
        <v>60.325</v>
      </c>
      <c r="I194" s="222">
        <v>60.325</v>
      </c>
      <c r="J194" s="222">
        <v>50.8</v>
      </c>
      <c r="K194" s="222" t="s">
        <v>170</v>
      </c>
      <c r="L194" s="222" t="s">
        <v>44</v>
      </c>
      <c r="M194" s="223">
        <v>400.0</v>
      </c>
      <c r="N194" s="221">
        <v>2.0</v>
      </c>
      <c r="O194" s="222" t="s">
        <v>2002</v>
      </c>
      <c r="P194" s="222">
        <v>25.0</v>
      </c>
      <c r="Q194" s="222">
        <v>2100.0</v>
      </c>
      <c r="R194" s="224">
        <v>65.57</v>
      </c>
      <c r="S194" s="224">
        <v>2.68</v>
      </c>
      <c r="T194" s="225">
        <v>34.1</v>
      </c>
      <c r="U194" s="226">
        <v>52.0</v>
      </c>
      <c r="V194" s="227" t="s">
        <v>166</v>
      </c>
      <c r="W194" s="228" t="s">
        <v>166</v>
      </c>
      <c r="X194" s="222" t="s">
        <v>174</v>
      </c>
      <c r="Y194" s="223" t="s">
        <v>174</v>
      </c>
      <c r="Z194" s="221" t="s">
        <v>166</v>
      </c>
      <c r="AA194" s="222" t="s">
        <v>174</v>
      </c>
      <c r="AB194" s="222" t="s">
        <v>166</v>
      </c>
      <c r="AC194" s="222" t="s">
        <v>174</v>
      </c>
      <c r="AD194" s="222" t="s">
        <v>166</v>
      </c>
      <c r="AE194" s="222" t="s">
        <v>174</v>
      </c>
      <c r="AF194" s="222" t="s">
        <v>174</v>
      </c>
      <c r="AG194" s="229" t="s">
        <v>2193</v>
      </c>
      <c r="AH194" s="229"/>
    </row>
    <row r="195">
      <c r="A195" s="255" t="s">
        <v>1480</v>
      </c>
      <c r="B195" s="257" t="s">
        <v>2206</v>
      </c>
      <c r="C195" s="221">
        <v>240.0</v>
      </c>
      <c r="D195" s="222">
        <v>277.0</v>
      </c>
      <c r="E195" s="222">
        <v>120.0</v>
      </c>
      <c r="F195" s="222">
        <v>27.0</v>
      </c>
      <c r="G195" s="223" t="s">
        <v>164</v>
      </c>
      <c r="H195" s="221">
        <v>60.325</v>
      </c>
      <c r="I195" s="222">
        <v>60.325</v>
      </c>
      <c r="J195" s="222">
        <v>50.8</v>
      </c>
      <c r="K195" s="222" t="s">
        <v>170</v>
      </c>
      <c r="L195" s="222" t="s">
        <v>44</v>
      </c>
      <c r="M195" s="223">
        <v>400.0</v>
      </c>
      <c r="N195" s="221">
        <v>2.0</v>
      </c>
      <c r="O195" s="222" t="s">
        <v>2002</v>
      </c>
      <c r="P195" s="222">
        <v>25.0</v>
      </c>
      <c r="Q195" s="222">
        <v>2100.0</v>
      </c>
      <c r="R195" s="224">
        <v>65.57</v>
      </c>
      <c r="S195" s="224">
        <v>2.68</v>
      </c>
      <c r="T195" s="225">
        <v>34.1</v>
      </c>
      <c r="U195" s="226">
        <v>52.0</v>
      </c>
      <c r="V195" s="227" t="s">
        <v>166</v>
      </c>
      <c r="W195" s="228" t="s">
        <v>166</v>
      </c>
      <c r="X195" s="222" t="s">
        <v>174</v>
      </c>
      <c r="Y195" s="223" t="s">
        <v>174</v>
      </c>
      <c r="Z195" s="221" t="s">
        <v>166</v>
      </c>
      <c r="AA195" s="222" t="s">
        <v>174</v>
      </c>
      <c r="AB195" s="222" t="s">
        <v>166</v>
      </c>
      <c r="AC195" s="222" t="s">
        <v>174</v>
      </c>
      <c r="AD195" s="222" t="s">
        <v>166</v>
      </c>
      <c r="AE195" s="222" t="s">
        <v>174</v>
      </c>
      <c r="AF195" s="222" t="s">
        <v>174</v>
      </c>
      <c r="AG195" s="229" t="s">
        <v>2193</v>
      </c>
      <c r="AH195" s="229"/>
    </row>
    <row r="196">
      <c r="A196" s="255" t="s">
        <v>1480</v>
      </c>
      <c r="B196" s="257" t="s">
        <v>2207</v>
      </c>
      <c r="C196" s="221">
        <v>240.0</v>
      </c>
      <c r="D196" s="222">
        <v>277.0</v>
      </c>
      <c r="E196" s="222">
        <v>120.0</v>
      </c>
      <c r="F196" s="222">
        <v>27.0</v>
      </c>
      <c r="G196" s="223" t="s">
        <v>164</v>
      </c>
      <c r="H196" s="221">
        <v>69.85</v>
      </c>
      <c r="I196" s="222">
        <v>69.85</v>
      </c>
      <c r="J196" s="222">
        <v>57.15</v>
      </c>
      <c r="K196" s="222" t="s">
        <v>170</v>
      </c>
      <c r="L196" s="222" t="s">
        <v>44</v>
      </c>
      <c r="M196" s="223">
        <v>380.0</v>
      </c>
      <c r="N196" s="221">
        <v>2.0</v>
      </c>
      <c r="O196" s="222" t="s">
        <v>2002</v>
      </c>
      <c r="P196" s="222">
        <v>25.0</v>
      </c>
      <c r="Q196" s="222">
        <v>2000.0</v>
      </c>
      <c r="R196" s="224">
        <v>58.1</v>
      </c>
      <c r="S196" s="224">
        <v>2.9</v>
      </c>
      <c r="T196" s="225">
        <v>30.4</v>
      </c>
      <c r="U196" s="226">
        <v>52.0</v>
      </c>
      <c r="V196" s="227" t="s">
        <v>166</v>
      </c>
      <c r="W196" s="228" t="s">
        <v>166</v>
      </c>
      <c r="X196" s="222" t="s">
        <v>174</v>
      </c>
      <c r="Y196" s="223" t="s">
        <v>174</v>
      </c>
      <c r="Z196" s="221" t="s">
        <v>166</v>
      </c>
      <c r="AA196" s="222" t="s">
        <v>174</v>
      </c>
      <c r="AB196" s="222" t="s">
        <v>166</v>
      </c>
      <c r="AC196" s="222" t="s">
        <v>174</v>
      </c>
      <c r="AD196" s="222" t="s">
        <v>166</v>
      </c>
      <c r="AE196" s="222" t="s">
        <v>174</v>
      </c>
      <c r="AF196" s="222" t="s">
        <v>174</v>
      </c>
      <c r="AG196" s="229" t="s">
        <v>2193</v>
      </c>
      <c r="AH196" s="229"/>
    </row>
    <row r="197">
      <c r="A197" s="255" t="s">
        <v>1480</v>
      </c>
      <c r="B197" s="257" t="s">
        <v>2208</v>
      </c>
      <c r="C197" s="221">
        <v>240.0</v>
      </c>
      <c r="D197" s="222">
        <v>277.0</v>
      </c>
      <c r="E197" s="222">
        <v>120.0</v>
      </c>
      <c r="F197" s="222">
        <v>27.0</v>
      </c>
      <c r="G197" s="223" t="s">
        <v>164</v>
      </c>
      <c r="H197" s="221">
        <v>69.85</v>
      </c>
      <c r="I197" s="222">
        <v>69.85</v>
      </c>
      <c r="J197" s="222">
        <v>57.15</v>
      </c>
      <c r="K197" s="222" t="s">
        <v>170</v>
      </c>
      <c r="L197" s="222" t="s">
        <v>44</v>
      </c>
      <c r="M197" s="223">
        <v>400.0</v>
      </c>
      <c r="N197" s="221">
        <v>2.0</v>
      </c>
      <c r="O197" s="222" t="s">
        <v>2002</v>
      </c>
      <c r="P197" s="222">
        <v>25.0</v>
      </c>
      <c r="Q197" s="222">
        <v>2100.0</v>
      </c>
      <c r="R197" s="224">
        <v>65.57</v>
      </c>
      <c r="S197" s="224">
        <v>2.68</v>
      </c>
      <c r="T197" s="225">
        <v>34.1</v>
      </c>
      <c r="U197" s="226">
        <v>52.0</v>
      </c>
      <c r="V197" s="227" t="s">
        <v>166</v>
      </c>
      <c r="W197" s="228" t="s">
        <v>166</v>
      </c>
      <c r="X197" s="222" t="s">
        <v>174</v>
      </c>
      <c r="Y197" s="223" t="s">
        <v>174</v>
      </c>
      <c r="Z197" s="221" t="s">
        <v>174</v>
      </c>
      <c r="AA197" s="222" t="s">
        <v>174</v>
      </c>
      <c r="AB197" s="222" t="s">
        <v>166</v>
      </c>
      <c r="AC197" s="222" t="s">
        <v>174</v>
      </c>
      <c r="AD197" s="222" t="s">
        <v>174</v>
      </c>
      <c r="AE197" s="222" t="s">
        <v>174</v>
      </c>
      <c r="AF197" s="222" t="s">
        <v>174</v>
      </c>
      <c r="AG197" s="229" t="s">
        <v>2193</v>
      </c>
      <c r="AH197" s="229"/>
    </row>
    <row r="198">
      <c r="A198" s="255" t="s">
        <v>1480</v>
      </c>
      <c r="B198" s="257" t="s">
        <v>2209</v>
      </c>
      <c r="C198" s="221">
        <v>240.0</v>
      </c>
      <c r="D198" s="222">
        <v>277.0</v>
      </c>
      <c r="E198" s="222">
        <v>120.0</v>
      </c>
      <c r="F198" s="222">
        <v>27.0</v>
      </c>
      <c r="G198" s="223" t="s">
        <v>164</v>
      </c>
      <c r="H198" s="221">
        <v>56.0</v>
      </c>
      <c r="I198" s="222">
        <v>56.0</v>
      </c>
      <c r="J198" s="222">
        <v>54.0</v>
      </c>
      <c r="K198" s="222" t="s">
        <v>170</v>
      </c>
      <c r="L198" s="222" t="s">
        <v>44</v>
      </c>
      <c r="M198" s="223">
        <v>400.0</v>
      </c>
      <c r="N198" s="221">
        <v>2.0</v>
      </c>
      <c r="O198" s="222" t="s">
        <v>2002</v>
      </c>
      <c r="P198" s="222">
        <v>25.0</v>
      </c>
      <c r="Q198" s="222">
        <v>1850.0</v>
      </c>
      <c r="R198" s="224">
        <v>59.1</v>
      </c>
      <c r="S198" s="224">
        <v>1.93</v>
      </c>
      <c r="T198" s="225">
        <v>31.5</v>
      </c>
      <c r="U198" s="226">
        <v>52.0</v>
      </c>
      <c r="V198" s="227" t="s">
        <v>166</v>
      </c>
      <c r="W198" s="228" t="s">
        <v>166</v>
      </c>
      <c r="X198" s="222" t="s">
        <v>174</v>
      </c>
      <c r="Y198" s="223" t="s">
        <v>174</v>
      </c>
      <c r="Z198" s="221" t="s">
        <v>166</v>
      </c>
      <c r="AA198" s="222" t="s">
        <v>174</v>
      </c>
      <c r="AB198" s="222" t="s">
        <v>166</v>
      </c>
      <c r="AC198" s="222" t="s">
        <v>174</v>
      </c>
      <c r="AD198" s="222" t="s">
        <v>174</v>
      </c>
      <c r="AE198" s="222" t="s">
        <v>174</v>
      </c>
      <c r="AF198" s="222" t="s">
        <v>174</v>
      </c>
      <c r="AG198" s="229" t="s">
        <v>2193</v>
      </c>
      <c r="AH198" s="229"/>
    </row>
    <row r="199">
      <c r="A199" s="255" t="s">
        <v>1480</v>
      </c>
      <c r="B199" s="257" t="s">
        <v>2210</v>
      </c>
      <c r="C199" s="221">
        <v>240.0</v>
      </c>
      <c r="D199" s="222">
        <v>277.0</v>
      </c>
      <c r="E199" s="222">
        <v>120.0</v>
      </c>
      <c r="F199" s="222">
        <v>27.0</v>
      </c>
      <c r="G199" s="223" t="s">
        <v>164</v>
      </c>
      <c r="H199" s="221">
        <v>65.0</v>
      </c>
      <c r="I199" s="222">
        <v>65.0</v>
      </c>
      <c r="J199" s="222">
        <v>38.0</v>
      </c>
      <c r="K199" s="222" t="s">
        <v>170</v>
      </c>
      <c r="L199" s="222" t="s">
        <v>44</v>
      </c>
      <c r="M199" s="223">
        <v>380.0</v>
      </c>
      <c r="N199" s="221">
        <v>2.0</v>
      </c>
      <c r="O199" s="222" t="s">
        <v>2002</v>
      </c>
      <c r="P199" s="222">
        <v>25.0</v>
      </c>
      <c r="Q199" s="222">
        <v>2400.0</v>
      </c>
      <c r="R199" s="224">
        <v>75.0</v>
      </c>
      <c r="S199" s="224">
        <v>4.2</v>
      </c>
      <c r="T199" s="225">
        <v>37.0</v>
      </c>
      <c r="U199" s="226">
        <v>52.0</v>
      </c>
      <c r="V199" s="227" t="s">
        <v>166</v>
      </c>
      <c r="W199" s="228" t="s">
        <v>166</v>
      </c>
      <c r="X199" s="222" t="s">
        <v>174</v>
      </c>
      <c r="Y199" s="223" t="s">
        <v>174</v>
      </c>
      <c r="Z199" s="221" t="s">
        <v>174</v>
      </c>
      <c r="AA199" s="222" t="s">
        <v>174</v>
      </c>
      <c r="AB199" s="222" t="s">
        <v>166</v>
      </c>
      <c r="AC199" s="222" t="s">
        <v>174</v>
      </c>
      <c r="AD199" s="222" t="s">
        <v>174</v>
      </c>
      <c r="AE199" s="222" t="s">
        <v>174</v>
      </c>
      <c r="AF199" s="222" t="s">
        <v>174</v>
      </c>
      <c r="AG199" s="229" t="s">
        <v>2193</v>
      </c>
      <c r="AH199" s="229"/>
    </row>
    <row r="200">
      <c r="A200" s="255" t="s">
        <v>1480</v>
      </c>
      <c r="B200" s="257" t="s">
        <v>2211</v>
      </c>
      <c r="C200" s="221">
        <v>240.0</v>
      </c>
      <c r="D200" s="222">
        <v>277.0</v>
      </c>
      <c r="E200" s="222">
        <v>120.0</v>
      </c>
      <c r="F200" s="222">
        <v>27.0</v>
      </c>
      <c r="G200" s="223" t="s">
        <v>164</v>
      </c>
      <c r="H200" s="221">
        <v>76.0</v>
      </c>
      <c r="I200" s="222">
        <v>76.0</v>
      </c>
      <c r="J200" s="222">
        <v>60.0</v>
      </c>
      <c r="K200" s="222" t="s">
        <v>170</v>
      </c>
      <c r="L200" s="222" t="s">
        <v>44</v>
      </c>
      <c r="M200" s="223">
        <v>400.0</v>
      </c>
      <c r="N200" s="221">
        <v>2.0</v>
      </c>
      <c r="O200" s="222" t="s">
        <v>2002</v>
      </c>
      <c r="P200" s="222">
        <v>25.0</v>
      </c>
      <c r="Q200" s="222">
        <v>1500.0</v>
      </c>
      <c r="R200" s="224">
        <v>47.73</v>
      </c>
      <c r="S200" s="224">
        <v>1.46</v>
      </c>
      <c r="T200" s="225">
        <v>28.0</v>
      </c>
      <c r="U200" s="226">
        <v>52.0</v>
      </c>
      <c r="V200" s="227" t="s">
        <v>166</v>
      </c>
      <c r="W200" s="228" t="s">
        <v>174</v>
      </c>
      <c r="X200" s="222" t="s">
        <v>166</v>
      </c>
      <c r="Y200" s="223" t="s">
        <v>166</v>
      </c>
      <c r="Z200" s="221" t="s">
        <v>166</v>
      </c>
      <c r="AA200" s="222" t="s">
        <v>174</v>
      </c>
      <c r="AB200" s="222" t="s">
        <v>166</v>
      </c>
      <c r="AC200" s="222" t="s">
        <v>174</v>
      </c>
      <c r="AD200" s="222" t="s">
        <v>166</v>
      </c>
      <c r="AE200" s="222" t="s">
        <v>174</v>
      </c>
      <c r="AF200" s="222" t="s">
        <v>174</v>
      </c>
      <c r="AG200" s="229" t="s">
        <v>2193</v>
      </c>
      <c r="AH200" s="229"/>
    </row>
    <row r="201">
      <c r="A201" s="255" t="s">
        <v>1480</v>
      </c>
      <c r="B201" s="257" t="s">
        <v>2212</v>
      </c>
      <c r="C201" s="221">
        <v>280.0</v>
      </c>
      <c r="D201" s="222">
        <v>322.0</v>
      </c>
      <c r="E201" s="222">
        <v>137.0</v>
      </c>
      <c r="F201" s="222">
        <v>27.0</v>
      </c>
      <c r="G201" s="223" t="s">
        <v>164</v>
      </c>
      <c r="H201" s="221">
        <v>60.325</v>
      </c>
      <c r="I201" s="222">
        <v>60.325</v>
      </c>
      <c r="J201" s="222">
        <v>50.8</v>
      </c>
      <c r="K201" s="222" t="s">
        <v>170</v>
      </c>
      <c r="L201" s="222" t="s">
        <v>44</v>
      </c>
      <c r="M201" s="223">
        <v>380.0</v>
      </c>
      <c r="N201" s="221">
        <v>2.0</v>
      </c>
      <c r="O201" s="222" t="s">
        <v>2018</v>
      </c>
      <c r="P201" s="222">
        <v>25.0</v>
      </c>
      <c r="Q201" s="222">
        <v>2000.0</v>
      </c>
      <c r="R201" s="224">
        <v>97.0</v>
      </c>
      <c r="S201" s="224">
        <v>3.0</v>
      </c>
      <c r="T201" s="225">
        <v>36.0</v>
      </c>
      <c r="U201" s="226">
        <v>52.0</v>
      </c>
      <c r="V201" s="227" t="s">
        <v>166</v>
      </c>
      <c r="W201" s="228" t="s">
        <v>166</v>
      </c>
      <c r="X201" s="222" t="s">
        <v>174</v>
      </c>
      <c r="Y201" s="223" t="s">
        <v>174</v>
      </c>
      <c r="Z201" s="221" t="s">
        <v>174</v>
      </c>
      <c r="AA201" s="222" t="s">
        <v>174</v>
      </c>
      <c r="AB201" s="222" t="s">
        <v>166</v>
      </c>
      <c r="AC201" s="222" t="s">
        <v>174</v>
      </c>
      <c r="AD201" s="222" t="s">
        <v>174</v>
      </c>
      <c r="AE201" s="222" t="s">
        <v>174</v>
      </c>
      <c r="AF201" s="222" t="s">
        <v>174</v>
      </c>
      <c r="AG201" s="229" t="s">
        <v>2193</v>
      </c>
      <c r="AH201" s="229"/>
    </row>
    <row r="202">
      <c r="A202" s="255" t="s">
        <v>1480</v>
      </c>
      <c r="B202" s="257" t="s">
        <v>2213</v>
      </c>
      <c r="C202" s="221">
        <v>280.0</v>
      </c>
      <c r="D202" s="222">
        <v>322.0</v>
      </c>
      <c r="E202" s="222">
        <v>137.0</v>
      </c>
      <c r="F202" s="222">
        <v>27.0</v>
      </c>
      <c r="G202" s="223" t="s">
        <v>164</v>
      </c>
      <c r="H202" s="221">
        <v>60.325</v>
      </c>
      <c r="I202" s="222">
        <v>60.325</v>
      </c>
      <c r="J202" s="222">
        <v>50.8</v>
      </c>
      <c r="K202" s="222" t="s">
        <v>170</v>
      </c>
      <c r="L202" s="222" t="s">
        <v>44</v>
      </c>
      <c r="M202" s="223">
        <v>400.0</v>
      </c>
      <c r="N202" s="221">
        <v>2.0</v>
      </c>
      <c r="O202" s="222" t="s">
        <v>2018</v>
      </c>
      <c r="P202" s="222">
        <v>25.0</v>
      </c>
      <c r="Q202" s="222">
        <v>1700.0</v>
      </c>
      <c r="R202" s="224">
        <v>89.0</v>
      </c>
      <c r="S202" s="224">
        <v>2.0</v>
      </c>
      <c r="T202" s="225">
        <v>33.8</v>
      </c>
      <c r="U202" s="226">
        <v>52.0</v>
      </c>
      <c r="V202" s="227" t="s">
        <v>166</v>
      </c>
      <c r="W202" s="228" t="s">
        <v>166</v>
      </c>
      <c r="X202" s="222" t="s">
        <v>174</v>
      </c>
      <c r="Y202" s="223" t="s">
        <v>174</v>
      </c>
      <c r="Z202" s="221" t="s">
        <v>166</v>
      </c>
      <c r="AA202" s="222" t="s">
        <v>174</v>
      </c>
      <c r="AB202" s="222" t="s">
        <v>166</v>
      </c>
      <c r="AC202" s="222" t="s">
        <v>174</v>
      </c>
      <c r="AD202" s="222" t="s">
        <v>166</v>
      </c>
      <c r="AE202" s="222" t="s">
        <v>174</v>
      </c>
      <c r="AF202" s="222" t="s">
        <v>174</v>
      </c>
      <c r="AG202" s="229" t="s">
        <v>2193</v>
      </c>
      <c r="AH202" s="229"/>
    </row>
    <row r="203">
      <c r="A203" s="255" t="s">
        <v>1480</v>
      </c>
      <c r="B203" s="257" t="s">
        <v>2214</v>
      </c>
      <c r="C203" s="221">
        <v>280.0</v>
      </c>
      <c r="D203" s="222">
        <v>322.0</v>
      </c>
      <c r="E203" s="222">
        <v>137.0</v>
      </c>
      <c r="F203" s="222">
        <v>27.0</v>
      </c>
      <c r="G203" s="223" t="s">
        <v>164</v>
      </c>
      <c r="H203" s="221">
        <v>56.0</v>
      </c>
      <c r="I203" s="222">
        <v>56.0</v>
      </c>
      <c r="J203" s="222">
        <v>54.0</v>
      </c>
      <c r="K203" s="222">
        <v>3000.0</v>
      </c>
      <c r="L203" s="222" t="s">
        <v>44</v>
      </c>
      <c r="M203" s="223">
        <v>400.0</v>
      </c>
      <c r="N203" s="221">
        <v>2.0</v>
      </c>
      <c r="O203" s="222" t="s">
        <v>2018</v>
      </c>
      <c r="P203" s="222">
        <v>25.0</v>
      </c>
      <c r="Q203" s="222">
        <v>1600.0</v>
      </c>
      <c r="R203" s="224">
        <v>84.5</v>
      </c>
      <c r="S203" s="224">
        <v>1.73</v>
      </c>
      <c r="T203" s="225">
        <v>31.0</v>
      </c>
      <c r="U203" s="226">
        <v>52.0</v>
      </c>
      <c r="V203" s="227" t="s">
        <v>166</v>
      </c>
      <c r="W203" s="228" t="s">
        <v>166</v>
      </c>
      <c r="X203" s="222" t="s">
        <v>174</v>
      </c>
      <c r="Y203" s="223" t="s">
        <v>174</v>
      </c>
      <c r="Z203" s="221" t="s">
        <v>166</v>
      </c>
      <c r="AA203" s="222" t="s">
        <v>174</v>
      </c>
      <c r="AB203" s="222" t="s">
        <v>166</v>
      </c>
      <c r="AC203" s="222" t="s">
        <v>174</v>
      </c>
      <c r="AD203" s="222" t="s">
        <v>174</v>
      </c>
      <c r="AE203" s="222" t="s">
        <v>174</v>
      </c>
      <c r="AF203" s="222" t="s">
        <v>174</v>
      </c>
      <c r="AG203" s="229" t="s">
        <v>2193</v>
      </c>
      <c r="AH203" s="229"/>
    </row>
    <row r="204">
      <c r="A204" s="255" t="s">
        <v>1480</v>
      </c>
      <c r="B204" s="257" t="s">
        <v>2215</v>
      </c>
      <c r="C204" s="221">
        <v>280.0</v>
      </c>
      <c r="D204" s="222">
        <v>322.0</v>
      </c>
      <c r="E204" s="222">
        <v>137.0</v>
      </c>
      <c r="F204" s="222">
        <v>27.0</v>
      </c>
      <c r="G204" s="223" t="s">
        <v>164</v>
      </c>
      <c r="H204" s="221">
        <v>65.0</v>
      </c>
      <c r="I204" s="222">
        <v>65.0</v>
      </c>
      <c r="J204" s="222">
        <v>38.0</v>
      </c>
      <c r="K204" s="222" t="s">
        <v>170</v>
      </c>
      <c r="L204" s="222" t="s">
        <v>44</v>
      </c>
      <c r="M204" s="223">
        <v>380.0</v>
      </c>
      <c r="N204" s="221">
        <v>2.0</v>
      </c>
      <c r="O204" s="222" t="s">
        <v>2018</v>
      </c>
      <c r="P204" s="222">
        <v>25.0</v>
      </c>
      <c r="Q204" s="222">
        <v>2000.0</v>
      </c>
      <c r="R204" s="224">
        <v>97.0</v>
      </c>
      <c r="S204" s="224">
        <v>3.0</v>
      </c>
      <c r="T204" s="225">
        <v>36.0</v>
      </c>
      <c r="U204" s="226">
        <v>52.0</v>
      </c>
      <c r="V204" s="227" t="s">
        <v>166</v>
      </c>
      <c r="W204" s="228" t="s">
        <v>166</v>
      </c>
      <c r="X204" s="222" t="s">
        <v>174</v>
      </c>
      <c r="Y204" s="223" t="s">
        <v>174</v>
      </c>
      <c r="Z204" s="221" t="s">
        <v>174</v>
      </c>
      <c r="AA204" s="222" t="s">
        <v>174</v>
      </c>
      <c r="AB204" s="222" t="s">
        <v>166</v>
      </c>
      <c r="AC204" s="222" t="s">
        <v>174</v>
      </c>
      <c r="AD204" s="222" t="s">
        <v>174</v>
      </c>
      <c r="AE204" s="222" t="s">
        <v>174</v>
      </c>
      <c r="AF204" s="222" t="s">
        <v>174</v>
      </c>
      <c r="AG204" s="229" t="s">
        <v>2193</v>
      </c>
      <c r="AH204" s="229"/>
    </row>
    <row r="205">
      <c r="A205" s="255" t="s">
        <v>1480</v>
      </c>
      <c r="B205" s="257" t="s">
        <v>2216</v>
      </c>
      <c r="C205" s="221">
        <v>360.0</v>
      </c>
      <c r="D205" s="222">
        <v>397.0</v>
      </c>
      <c r="E205" s="222">
        <v>120.0</v>
      </c>
      <c r="F205" s="222">
        <v>27.0</v>
      </c>
      <c r="G205" s="223" t="s">
        <v>164</v>
      </c>
      <c r="H205" s="221">
        <v>60.325</v>
      </c>
      <c r="I205" s="222">
        <v>60.325</v>
      </c>
      <c r="J205" s="222">
        <v>50.8</v>
      </c>
      <c r="K205" s="222" t="s">
        <v>170</v>
      </c>
      <c r="L205" s="222" t="s">
        <v>44</v>
      </c>
      <c r="M205" s="223">
        <v>400.0</v>
      </c>
      <c r="N205" s="221">
        <v>3.0</v>
      </c>
      <c r="O205" s="222" t="s">
        <v>2002</v>
      </c>
      <c r="P205" s="222">
        <v>25.0</v>
      </c>
      <c r="Q205" s="222">
        <v>2400.0</v>
      </c>
      <c r="R205" s="224">
        <v>75.0</v>
      </c>
      <c r="S205" s="224">
        <v>4.2</v>
      </c>
      <c r="T205" s="225">
        <v>37.0</v>
      </c>
      <c r="U205" s="226">
        <v>52.0</v>
      </c>
      <c r="V205" s="227" t="s">
        <v>166</v>
      </c>
      <c r="W205" s="228" t="s">
        <v>166</v>
      </c>
      <c r="X205" s="222" t="s">
        <v>174</v>
      </c>
      <c r="Y205" s="223" t="s">
        <v>174</v>
      </c>
      <c r="Z205" s="221" t="s">
        <v>166</v>
      </c>
      <c r="AA205" s="222" t="s">
        <v>174</v>
      </c>
      <c r="AB205" s="222" t="s">
        <v>166</v>
      </c>
      <c r="AC205" s="222" t="s">
        <v>174</v>
      </c>
      <c r="AD205" s="222" t="s">
        <v>174</v>
      </c>
      <c r="AE205" s="222" t="s">
        <v>174</v>
      </c>
      <c r="AF205" s="222" t="s">
        <v>174</v>
      </c>
      <c r="AG205" s="229" t="s">
        <v>2193</v>
      </c>
      <c r="AH205" s="229"/>
    </row>
    <row r="206">
      <c r="A206" s="255" t="s">
        <v>1480</v>
      </c>
      <c r="B206" s="257" t="s">
        <v>2217</v>
      </c>
      <c r="C206" s="221">
        <v>360.0</v>
      </c>
      <c r="D206" s="222">
        <v>397.0</v>
      </c>
      <c r="E206" s="222">
        <v>120.0</v>
      </c>
      <c r="F206" s="222">
        <v>27.0</v>
      </c>
      <c r="G206" s="223" t="s">
        <v>164</v>
      </c>
      <c r="H206" s="221">
        <v>60.325</v>
      </c>
      <c r="I206" s="222">
        <v>60.325</v>
      </c>
      <c r="J206" s="222">
        <v>50.8</v>
      </c>
      <c r="K206" s="250" t="s">
        <v>170</v>
      </c>
      <c r="L206" s="222" t="s">
        <v>44</v>
      </c>
      <c r="M206" s="223">
        <v>400.0</v>
      </c>
      <c r="N206" s="221">
        <v>3.0</v>
      </c>
      <c r="O206" s="222" t="s">
        <v>2002</v>
      </c>
      <c r="P206" s="222">
        <v>25.0</v>
      </c>
      <c r="Q206" s="222">
        <v>2400.0</v>
      </c>
      <c r="R206" s="224">
        <v>75.0</v>
      </c>
      <c r="S206" s="224">
        <v>4.2</v>
      </c>
      <c r="T206" s="225">
        <v>37.0</v>
      </c>
      <c r="U206" s="226">
        <v>52.0</v>
      </c>
      <c r="V206" s="227" t="s">
        <v>166</v>
      </c>
      <c r="W206" s="228" t="s">
        <v>166</v>
      </c>
      <c r="X206" s="222" t="s">
        <v>174</v>
      </c>
      <c r="Y206" s="223" t="s">
        <v>174</v>
      </c>
      <c r="Z206" s="221" t="s">
        <v>166</v>
      </c>
      <c r="AA206" s="222" t="s">
        <v>174</v>
      </c>
      <c r="AB206" s="222" t="s">
        <v>166</v>
      </c>
      <c r="AC206" s="222" t="s">
        <v>174</v>
      </c>
      <c r="AD206" s="222" t="s">
        <v>174</v>
      </c>
      <c r="AE206" s="222" t="s">
        <v>174</v>
      </c>
      <c r="AF206" s="222" t="s">
        <v>174</v>
      </c>
      <c r="AG206" s="229" t="s">
        <v>2193</v>
      </c>
      <c r="AH206" s="229"/>
    </row>
    <row r="207">
      <c r="A207" s="255" t="s">
        <v>1480</v>
      </c>
      <c r="B207" s="257" t="s">
        <v>2218</v>
      </c>
      <c r="C207" s="221">
        <v>360.0</v>
      </c>
      <c r="D207" s="222">
        <v>397.0</v>
      </c>
      <c r="E207" s="222">
        <v>120.0</v>
      </c>
      <c r="F207" s="222">
        <v>27.0</v>
      </c>
      <c r="G207" s="223" t="s">
        <v>164</v>
      </c>
      <c r="H207" s="221">
        <v>60.325</v>
      </c>
      <c r="I207" s="222">
        <v>60.325</v>
      </c>
      <c r="J207" s="222">
        <v>50.8</v>
      </c>
      <c r="K207" s="222" t="s">
        <v>170</v>
      </c>
      <c r="L207" s="222" t="s">
        <v>44</v>
      </c>
      <c r="M207" s="223">
        <v>450.0</v>
      </c>
      <c r="N207" s="221">
        <v>3.0</v>
      </c>
      <c r="O207" s="222" t="s">
        <v>2002</v>
      </c>
      <c r="P207" s="222">
        <v>25.0</v>
      </c>
      <c r="Q207" s="222">
        <v>2100.0</v>
      </c>
      <c r="R207" s="224">
        <v>65.57</v>
      </c>
      <c r="S207" s="224">
        <v>2.68</v>
      </c>
      <c r="T207" s="225">
        <v>34.1</v>
      </c>
      <c r="U207" s="226">
        <v>52.0</v>
      </c>
      <c r="V207" s="227" t="s">
        <v>166</v>
      </c>
      <c r="W207" s="228" t="s">
        <v>166</v>
      </c>
      <c r="X207" s="222" t="s">
        <v>174</v>
      </c>
      <c r="Y207" s="223" t="s">
        <v>174</v>
      </c>
      <c r="Z207" s="221" t="s">
        <v>166</v>
      </c>
      <c r="AA207" s="222" t="s">
        <v>174</v>
      </c>
      <c r="AB207" s="222" t="s">
        <v>166</v>
      </c>
      <c r="AC207" s="222" t="s">
        <v>174</v>
      </c>
      <c r="AD207" s="222" t="s">
        <v>166</v>
      </c>
      <c r="AE207" s="222" t="s">
        <v>174</v>
      </c>
      <c r="AF207" s="222" t="s">
        <v>174</v>
      </c>
      <c r="AG207" s="229" t="s">
        <v>2193</v>
      </c>
      <c r="AH207" s="229"/>
    </row>
    <row r="208">
      <c r="A208" s="255" t="s">
        <v>1480</v>
      </c>
      <c r="B208" s="257" t="s">
        <v>2219</v>
      </c>
      <c r="C208" s="221">
        <v>360.0</v>
      </c>
      <c r="D208" s="222">
        <v>397.0</v>
      </c>
      <c r="E208" s="222">
        <v>120.0</v>
      </c>
      <c r="F208" s="222">
        <v>27.0</v>
      </c>
      <c r="G208" s="223" t="s">
        <v>164</v>
      </c>
      <c r="H208" s="221">
        <v>60.325</v>
      </c>
      <c r="I208" s="222">
        <v>60.325</v>
      </c>
      <c r="J208" s="222">
        <v>50.8</v>
      </c>
      <c r="K208" s="222" t="s">
        <v>170</v>
      </c>
      <c r="L208" s="222" t="s">
        <v>44</v>
      </c>
      <c r="M208" s="223">
        <v>450.0</v>
      </c>
      <c r="N208" s="221">
        <v>3.0</v>
      </c>
      <c r="O208" s="222" t="s">
        <v>2002</v>
      </c>
      <c r="P208" s="222">
        <v>25.0</v>
      </c>
      <c r="Q208" s="222">
        <v>2100.0</v>
      </c>
      <c r="R208" s="224">
        <v>65.57</v>
      </c>
      <c r="S208" s="224">
        <v>2.68</v>
      </c>
      <c r="T208" s="225">
        <v>34.1</v>
      </c>
      <c r="U208" s="226">
        <v>52.0</v>
      </c>
      <c r="V208" s="227" t="s">
        <v>166</v>
      </c>
      <c r="W208" s="228" t="s">
        <v>166</v>
      </c>
      <c r="X208" s="222" t="s">
        <v>174</v>
      </c>
      <c r="Y208" s="223" t="s">
        <v>174</v>
      </c>
      <c r="Z208" s="221" t="s">
        <v>166</v>
      </c>
      <c r="AA208" s="222" t="s">
        <v>174</v>
      </c>
      <c r="AB208" s="222" t="s">
        <v>166</v>
      </c>
      <c r="AC208" s="222" t="s">
        <v>174</v>
      </c>
      <c r="AD208" s="222" t="s">
        <v>166</v>
      </c>
      <c r="AE208" s="222" t="s">
        <v>174</v>
      </c>
      <c r="AF208" s="222" t="s">
        <v>174</v>
      </c>
      <c r="AG208" s="229" t="s">
        <v>2193</v>
      </c>
      <c r="AH208" s="229"/>
    </row>
    <row r="209">
      <c r="A209" s="255" t="s">
        <v>1480</v>
      </c>
      <c r="B209" s="257" t="s">
        <v>2220</v>
      </c>
      <c r="C209" s="221">
        <v>360.0</v>
      </c>
      <c r="D209" s="222">
        <v>397.0</v>
      </c>
      <c r="E209" s="222">
        <v>120.0</v>
      </c>
      <c r="F209" s="222">
        <v>27.0</v>
      </c>
      <c r="G209" s="223" t="s">
        <v>164</v>
      </c>
      <c r="H209" s="221">
        <v>69.85</v>
      </c>
      <c r="I209" s="222">
        <v>69.85</v>
      </c>
      <c r="J209" s="222">
        <v>57.15</v>
      </c>
      <c r="K209" s="222" t="s">
        <v>170</v>
      </c>
      <c r="L209" s="222" t="s">
        <v>44</v>
      </c>
      <c r="M209" s="223">
        <v>380.0</v>
      </c>
      <c r="N209" s="221">
        <v>3.0</v>
      </c>
      <c r="O209" s="222" t="s">
        <v>2002</v>
      </c>
      <c r="P209" s="222">
        <v>25.0</v>
      </c>
      <c r="Q209" s="222">
        <v>2000.0</v>
      </c>
      <c r="R209" s="224">
        <v>58.1</v>
      </c>
      <c r="S209" s="224">
        <v>2.9</v>
      </c>
      <c r="T209" s="225">
        <v>30.4</v>
      </c>
      <c r="U209" s="226">
        <v>52.0</v>
      </c>
      <c r="V209" s="227" t="s">
        <v>166</v>
      </c>
      <c r="W209" s="228" t="s">
        <v>166</v>
      </c>
      <c r="X209" s="222" t="s">
        <v>174</v>
      </c>
      <c r="Y209" s="223" t="s">
        <v>174</v>
      </c>
      <c r="Z209" s="221" t="s">
        <v>174</v>
      </c>
      <c r="AA209" s="222" t="s">
        <v>174</v>
      </c>
      <c r="AB209" s="222" t="s">
        <v>166</v>
      </c>
      <c r="AC209" s="222" t="s">
        <v>174</v>
      </c>
      <c r="AD209" s="222" t="s">
        <v>174</v>
      </c>
      <c r="AE209" s="222" t="s">
        <v>174</v>
      </c>
      <c r="AF209" s="222" t="s">
        <v>174</v>
      </c>
      <c r="AG209" s="229" t="s">
        <v>2193</v>
      </c>
      <c r="AH209" s="229"/>
    </row>
    <row r="210">
      <c r="A210" s="255" t="s">
        <v>1480</v>
      </c>
      <c r="B210" s="257" t="s">
        <v>2221</v>
      </c>
      <c r="C210" s="221">
        <v>360.0</v>
      </c>
      <c r="D210" s="222">
        <v>397.0</v>
      </c>
      <c r="E210" s="222">
        <v>120.0</v>
      </c>
      <c r="F210" s="222">
        <v>27.0</v>
      </c>
      <c r="G210" s="223" t="s">
        <v>164</v>
      </c>
      <c r="H210" s="221">
        <v>69.85</v>
      </c>
      <c r="I210" s="222">
        <v>69.85</v>
      </c>
      <c r="J210" s="222">
        <v>57.15</v>
      </c>
      <c r="K210" s="222" t="s">
        <v>170</v>
      </c>
      <c r="L210" s="222" t="s">
        <v>44</v>
      </c>
      <c r="M210" s="223">
        <v>450.0</v>
      </c>
      <c r="N210" s="221">
        <v>3.0</v>
      </c>
      <c r="O210" s="222" t="s">
        <v>2002</v>
      </c>
      <c r="P210" s="222">
        <v>25.0</v>
      </c>
      <c r="Q210" s="222">
        <v>2100.0</v>
      </c>
      <c r="R210" s="224">
        <v>65.57</v>
      </c>
      <c r="S210" s="224">
        <v>2.68</v>
      </c>
      <c r="T210" s="225">
        <v>34.1</v>
      </c>
      <c r="U210" s="226">
        <v>52.0</v>
      </c>
      <c r="V210" s="227" t="s">
        <v>166</v>
      </c>
      <c r="W210" s="228" t="s">
        <v>166</v>
      </c>
      <c r="X210" s="222" t="s">
        <v>174</v>
      </c>
      <c r="Y210" s="223" t="s">
        <v>174</v>
      </c>
      <c r="Z210" s="221" t="s">
        <v>174</v>
      </c>
      <c r="AA210" s="222" t="s">
        <v>174</v>
      </c>
      <c r="AB210" s="222" t="s">
        <v>166</v>
      </c>
      <c r="AC210" s="222" t="s">
        <v>174</v>
      </c>
      <c r="AD210" s="222" t="s">
        <v>174</v>
      </c>
      <c r="AE210" s="222" t="s">
        <v>174</v>
      </c>
      <c r="AF210" s="222" t="s">
        <v>174</v>
      </c>
      <c r="AG210" s="229" t="s">
        <v>2193</v>
      </c>
      <c r="AH210" s="229"/>
    </row>
    <row r="211">
      <c r="A211" s="255" t="s">
        <v>1480</v>
      </c>
      <c r="B211" s="257" t="s">
        <v>2222</v>
      </c>
      <c r="C211" s="221">
        <v>360.0</v>
      </c>
      <c r="D211" s="222">
        <v>397.0</v>
      </c>
      <c r="E211" s="222">
        <v>120.0</v>
      </c>
      <c r="F211" s="222">
        <v>27.0</v>
      </c>
      <c r="G211" s="223" t="s">
        <v>164</v>
      </c>
      <c r="H211" s="221">
        <v>69.85</v>
      </c>
      <c r="I211" s="222">
        <v>69.85</v>
      </c>
      <c r="J211" s="222">
        <v>57.15</v>
      </c>
      <c r="K211" s="222" t="s">
        <v>170</v>
      </c>
      <c r="L211" s="222" t="s">
        <v>44</v>
      </c>
      <c r="M211" s="223">
        <v>450.0</v>
      </c>
      <c r="N211" s="221">
        <v>3.0</v>
      </c>
      <c r="O211" s="222" t="s">
        <v>2002</v>
      </c>
      <c r="P211" s="222">
        <v>25.0</v>
      </c>
      <c r="Q211" s="222">
        <v>2100.0</v>
      </c>
      <c r="R211" s="224">
        <v>65.57</v>
      </c>
      <c r="S211" s="224">
        <v>2.68</v>
      </c>
      <c r="T211" s="225">
        <v>34.1</v>
      </c>
      <c r="U211" s="226">
        <v>52.0</v>
      </c>
      <c r="V211" s="227" t="s">
        <v>166</v>
      </c>
      <c r="W211" s="228" t="s">
        <v>166</v>
      </c>
      <c r="X211" s="222" t="s">
        <v>174</v>
      </c>
      <c r="Y211" s="223" t="s">
        <v>174</v>
      </c>
      <c r="Z211" s="221" t="s">
        <v>174</v>
      </c>
      <c r="AA211" s="222" t="s">
        <v>174</v>
      </c>
      <c r="AB211" s="222" t="s">
        <v>166</v>
      </c>
      <c r="AC211" s="222" t="s">
        <v>174</v>
      </c>
      <c r="AD211" s="222" t="s">
        <v>174</v>
      </c>
      <c r="AE211" s="222" t="s">
        <v>174</v>
      </c>
      <c r="AF211" s="222" t="s">
        <v>174</v>
      </c>
      <c r="AG211" s="229" t="s">
        <v>2193</v>
      </c>
      <c r="AH211" s="229"/>
    </row>
    <row r="212">
      <c r="A212" s="255" t="s">
        <v>1480</v>
      </c>
      <c r="B212" s="257" t="s">
        <v>2223</v>
      </c>
      <c r="C212" s="221">
        <v>360.0</v>
      </c>
      <c r="D212" s="222">
        <v>397.0</v>
      </c>
      <c r="E212" s="222">
        <v>120.0</v>
      </c>
      <c r="F212" s="222">
        <v>27.0</v>
      </c>
      <c r="G212" s="223" t="s">
        <v>164</v>
      </c>
      <c r="H212" s="221">
        <v>56.0</v>
      </c>
      <c r="I212" s="222">
        <v>56.0</v>
      </c>
      <c r="J212" s="222">
        <v>54.0</v>
      </c>
      <c r="K212" s="222" t="s">
        <v>170</v>
      </c>
      <c r="L212" s="222" t="s">
        <v>44</v>
      </c>
      <c r="M212" s="223">
        <v>400.0</v>
      </c>
      <c r="N212" s="221">
        <v>3.0</v>
      </c>
      <c r="O212" s="222" t="s">
        <v>2002</v>
      </c>
      <c r="P212" s="222">
        <v>25.0</v>
      </c>
      <c r="Q212" s="222">
        <v>1850.0</v>
      </c>
      <c r="R212" s="224">
        <v>59.1</v>
      </c>
      <c r="S212" s="224">
        <v>1.93</v>
      </c>
      <c r="T212" s="225">
        <v>31.5</v>
      </c>
      <c r="U212" s="226">
        <v>52.0</v>
      </c>
      <c r="V212" s="227" t="s">
        <v>166</v>
      </c>
      <c r="W212" s="228" t="s">
        <v>166</v>
      </c>
      <c r="X212" s="222" t="s">
        <v>174</v>
      </c>
      <c r="Y212" s="223" t="s">
        <v>174</v>
      </c>
      <c r="Z212" s="221" t="s">
        <v>166</v>
      </c>
      <c r="AA212" s="222" t="s">
        <v>174</v>
      </c>
      <c r="AB212" s="222" t="s">
        <v>166</v>
      </c>
      <c r="AC212" s="222" t="s">
        <v>174</v>
      </c>
      <c r="AD212" s="222" t="s">
        <v>174</v>
      </c>
      <c r="AE212" s="222" t="s">
        <v>174</v>
      </c>
      <c r="AF212" s="222" t="s">
        <v>174</v>
      </c>
      <c r="AG212" s="229" t="s">
        <v>2193</v>
      </c>
      <c r="AH212" s="229"/>
    </row>
    <row r="213">
      <c r="A213" s="255" t="s">
        <v>1480</v>
      </c>
      <c r="B213" s="257" t="s">
        <v>2224</v>
      </c>
      <c r="C213" s="221">
        <v>360.0</v>
      </c>
      <c r="D213" s="222">
        <v>397.0</v>
      </c>
      <c r="E213" s="222">
        <v>120.0</v>
      </c>
      <c r="F213" s="222">
        <v>27.0</v>
      </c>
      <c r="G213" s="223" t="s">
        <v>164</v>
      </c>
      <c r="H213" s="221">
        <v>65.0</v>
      </c>
      <c r="I213" s="222">
        <v>65.0</v>
      </c>
      <c r="J213" s="222">
        <v>38.0</v>
      </c>
      <c r="K213" s="222" t="s">
        <v>170</v>
      </c>
      <c r="L213" s="222" t="s">
        <v>44</v>
      </c>
      <c r="M213" s="223">
        <v>380.0</v>
      </c>
      <c r="N213" s="221">
        <v>3.0</v>
      </c>
      <c r="O213" s="222" t="s">
        <v>2002</v>
      </c>
      <c r="P213" s="222">
        <v>25.0</v>
      </c>
      <c r="Q213" s="222">
        <v>2400.0</v>
      </c>
      <c r="R213" s="224">
        <v>75.0</v>
      </c>
      <c r="S213" s="224">
        <v>4.2</v>
      </c>
      <c r="T213" s="225">
        <v>37.0</v>
      </c>
      <c r="U213" s="226">
        <v>52.0</v>
      </c>
      <c r="V213" s="227" t="s">
        <v>166</v>
      </c>
      <c r="W213" s="228" t="s">
        <v>166</v>
      </c>
      <c r="X213" s="222" t="s">
        <v>174</v>
      </c>
      <c r="Y213" s="223" t="s">
        <v>174</v>
      </c>
      <c r="Z213" s="221" t="s">
        <v>174</v>
      </c>
      <c r="AA213" s="222" t="s">
        <v>174</v>
      </c>
      <c r="AB213" s="222" t="s">
        <v>166</v>
      </c>
      <c r="AC213" s="222" t="s">
        <v>174</v>
      </c>
      <c r="AD213" s="222" t="s">
        <v>174</v>
      </c>
      <c r="AE213" s="222" t="s">
        <v>174</v>
      </c>
      <c r="AF213" s="222" t="s">
        <v>174</v>
      </c>
      <c r="AG213" s="229" t="s">
        <v>2193</v>
      </c>
      <c r="AH213" s="229"/>
    </row>
    <row r="214">
      <c r="A214" s="255" t="s">
        <v>1480</v>
      </c>
      <c r="B214" s="257" t="s">
        <v>2225</v>
      </c>
      <c r="C214" s="221">
        <v>420.0</v>
      </c>
      <c r="D214" s="222" t="s">
        <v>170</v>
      </c>
      <c r="E214" s="222" t="s">
        <v>170</v>
      </c>
      <c r="F214" s="222" t="s">
        <v>170</v>
      </c>
      <c r="G214" s="223" t="s">
        <v>164</v>
      </c>
      <c r="H214" s="221">
        <v>60.325</v>
      </c>
      <c r="I214" s="222">
        <v>60.325</v>
      </c>
      <c r="J214" s="222">
        <v>50.8</v>
      </c>
      <c r="K214" s="250" t="s">
        <v>170</v>
      </c>
      <c r="L214" s="222" t="s">
        <v>44</v>
      </c>
      <c r="M214" s="223">
        <v>450.0</v>
      </c>
      <c r="N214" s="221">
        <v>3.0</v>
      </c>
      <c r="O214" s="222" t="s">
        <v>2018</v>
      </c>
      <c r="P214" s="222">
        <v>25.0</v>
      </c>
      <c r="Q214" s="222">
        <v>2000.0</v>
      </c>
      <c r="R214" s="224">
        <v>97.0</v>
      </c>
      <c r="S214" s="224">
        <v>3.0</v>
      </c>
      <c r="T214" s="225">
        <v>37.0</v>
      </c>
      <c r="U214" s="226" t="s">
        <v>170</v>
      </c>
      <c r="V214" s="227" t="s">
        <v>166</v>
      </c>
      <c r="W214" s="228" t="s">
        <v>166</v>
      </c>
      <c r="X214" s="222" t="s">
        <v>174</v>
      </c>
      <c r="Y214" s="223" t="s">
        <v>174</v>
      </c>
      <c r="Z214" s="221" t="s">
        <v>166</v>
      </c>
      <c r="AA214" s="222" t="s">
        <v>174</v>
      </c>
      <c r="AB214" s="222" t="s">
        <v>166</v>
      </c>
      <c r="AC214" s="222" t="s">
        <v>174</v>
      </c>
      <c r="AD214" s="222" t="s">
        <v>174</v>
      </c>
      <c r="AE214" s="222" t="s">
        <v>174</v>
      </c>
      <c r="AF214" s="222" t="s">
        <v>174</v>
      </c>
      <c r="AG214" s="229" t="s">
        <v>2193</v>
      </c>
      <c r="AH214" s="229"/>
    </row>
    <row r="215">
      <c r="A215" s="255" t="s">
        <v>1480</v>
      </c>
      <c r="B215" s="257" t="s">
        <v>2226</v>
      </c>
      <c r="C215" s="221">
        <v>420.0</v>
      </c>
      <c r="D215" s="222" t="s">
        <v>170</v>
      </c>
      <c r="E215" s="222" t="s">
        <v>170</v>
      </c>
      <c r="F215" s="222" t="s">
        <v>170</v>
      </c>
      <c r="G215" s="223" t="s">
        <v>164</v>
      </c>
      <c r="H215" s="221">
        <v>60.325</v>
      </c>
      <c r="I215" s="222">
        <v>60.325</v>
      </c>
      <c r="J215" s="222">
        <v>50.8</v>
      </c>
      <c r="K215" s="222" t="s">
        <v>170</v>
      </c>
      <c r="L215" s="222" t="s">
        <v>44</v>
      </c>
      <c r="M215" s="223">
        <v>450.0</v>
      </c>
      <c r="N215" s="221">
        <v>3.0</v>
      </c>
      <c r="O215" s="222" t="s">
        <v>2018</v>
      </c>
      <c r="P215" s="222">
        <v>25.0</v>
      </c>
      <c r="Q215" s="222">
        <v>1700.0</v>
      </c>
      <c r="R215" s="224">
        <v>89.0</v>
      </c>
      <c r="S215" s="224">
        <v>2.0</v>
      </c>
      <c r="T215" s="225">
        <v>33.8</v>
      </c>
      <c r="U215" s="226" t="s">
        <v>170</v>
      </c>
      <c r="V215" s="227" t="s">
        <v>166</v>
      </c>
      <c r="W215" s="228" t="s">
        <v>166</v>
      </c>
      <c r="X215" s="222" t="s">
        <v>174</v>
      </c>
      <c r="Y215" s="223" t="s">
        <v>174</v>
      </c>
      <c r="Z215" s="221" t="s">
        <v>166</v>
      </c>
      <c r="AA215" s="222" t="s">
        <v>174</v>
      </c>
      <c r="AB215" s="222" t="s">
        <v>166</v>
      </c>
      <c r="AC215" s="222" t="s">
        <v>174</v>
      </c>
      <c r="AD215" s="222" t="s">
        <v>166</v>
      </c>
      <c r="AE215" s="222" t="s">
        <v>174</v>
      </c>
      <c r="AF215" s="222" t="s">
        <v>174</v>
      </c>
      <c r="AG215" s="229" t="s">
        <v>2193</v>
      </c>
      <c r="AH215" s="229"/>
    </row>
    <row r="216">
      <c r="A216" s="255" t="s">
        <v>1480</v>
      </c>
      <c r="B216" s="257" t="s">
        <v>2227</v>
      </c>
      <c r="C216" s="221">
        <v>420.0</v>
      </c>
      <c r="D216" s="222" t="s">
        <v>170</v>
      </c>
      <c r="E216" s="222" t="s">
        <v>170</v>
      </c>
      <c r="F216" s="222" t="s">
        <v>170</v>
      </c>
      <c r="G216" s="223" t="s">
        <v>164</v>
      </c>
      <c r="H216" s="221">
        <v>69.85</v>
      </c>
      <c r="I216" s="222">
        <v>69.85</v>
      </c>
      <c r="J216" s="222">
        <v>57.15</v>
      </c>
      <c r="K216" s="222" t="s">
        <v>170</v>
      </c>
      <c r="L216" s="222" t="s">
        <v>44</v>
      </c>
      <c r="M216" s="223">
        <v>450.0</v>
      </c>
      <c r="N216" s="221">
        <v>3.0</v>
      </c>
      <c r="O216" s="222" t="s">
        <v>2018</v>
      </c>
      <c r="P216" s="222">
        <v>25.0</v>
      </c>
      <c r="Q216" s="222">
        <v>1600.0</v>
      </c>
      <c r="R216" s="224">
        <v>82.9</v>
      </c>
      <c r="S216" s="224">
        <v>2.06</v>
      </c>
      <c r="T216" s="225">
        <v>31.8</v>
      </c>
      <c r="U216" s="226" t="s">
        <v>170</v>
      </c>
      <c r="V216" s="227" t="s">
        <v>166</v>
      </c>
      <c r="W216" s="228" t="s">
        <v>166</v>
      </c>
      <c r="X216" s="222" t="s">
        <v>174</v>
      </c>
      <c r="Y216" s="223" t="s">
        <v>174</v>
      </c>
      <c r="Z216" s="221" t="s">
        <v>174</v>
      </c>
      <c r="AA216" s="222" t="s">
        <v>174</v>
      </c>
      <c r="AB216" s="222" t="s">
        <v>166</v>
      </c>
      <c r="AC216" s="222" t="s">
        <v>174</v>
      </c>
      <c r="AD216" s="222" t="s">
        <v>174</v>
      </c>
      <c r="AE216" s="222" t="s">
        <v>174</v>
      </c>
      <c r="AF216" s="222" t="s">
        <v>174</v>
      </c>
      <c r="AG216" s="229" t="s">
        <v>2193</v>
      </c>
      <c r="AH216" s="229"/>
    </row>
    <row r="217">
      <c r="A217" s="255" t="s">
        <v>1480</v>
      </c>
      <c r="B217" s="257" t="s">
        <v>2228</v>
      </c>
      <c r="C217" s="221">
        <v>420.0</v>
      </c>
      <c r="D217" s="222" t="s">
        <v>170</v>
      </c>
      <c r="E217" s="222" t="s">
        <v>170</v>
      </c>
      <c r="F217" s="222" t="s">
        <v>170</v>
      </c>
      <c r="G217" s="223" t="s">
        <v>164</v>
      </c>
      <c r="H217" s="221">
        <v>69.85</v>
      </c>
      <c r="I217" s="222">
        <v>69.85</v>
      </c>
      <c r="J217" s="222">
        <v>57.15</v>
      </c>
      <c r="K217" s="222" t="s">
        <v>170</v>
      </c>
      <c r="L217" s="222" t="s">
        <v>44</v>
      </c>
      <c r="M217" s="223">
        <v>450.0</v>
      </c>
      <c r="N217" s="221">
        <v>3.0</v>
      </c>
      <c r="O217" s="222" t="s">
        <v>2018</v>
      </c>
      <c r="P217" s="222">
        <v>25.0</v>
      </c>
      <c r="Q217" s="222">
        <v>1700.0</v>
      </c>
      <c r="R217" s="224">
        <v>89.0</v>
      </c>
      <c r="S217" s="224">
        <v>2.0</v>
      </c>
      <c r="T217" s="225">
        <v>33.8</v>
      </c>
      <c r="U217" s="226" t="s">
        <v>170</v>
      </c>
      <c r="V217" s="227" t="s">
        <v>166</v>
      </c>
      <c r="W217" s="228" t="s">
        <v>166</v>
      </c>
      <c r="X217" s="222" t="s">
        <v>174</v>
      </c>
      <c r="Y217" s="223" t="s">
        <v>174</v>
      </c>
      <c r="Z217" s="221" t="s">
        <v>174</v>
      </c>
      <c r="AA217" s="222" t="s">
        <v>174</v>
      </c>
      <c r="AB217" s="222" t="s">
        <v>166</v>
      </c>
      <c r="AC217" s="222" t="s">
        <v>174</v>
      </c>
      <c r="AD217" s="222" t="s">
        <v>174</v>
      </c>
      <c r="AE217" s="222" t="s">
        <v>174</v>
      </c>
      <c r="AF217" s="222" t="s">
        <v>174</v>
      </c>
      <c r="AG217" s="229" t="s">
        <v>2193</v>
      </c>
      <c r="AH217" s="229" t="s">
        <v>214</v>
      </c>
    </row>
    <row r="218">
      <c r="A218" s="255" t="s">
        <v>1480</v>
      </c>
      <c r="B218" s="257" t="s">
        <v>2229</v>
      </c>
      <c r="C218" s="221">
        <v>240.0</v>
      </c>
      <c r="D218" s="222">
        <v>277.0</v>
      </c>
      <c r="E218" s="222">
        <v>120.0</v>
      </c>
      <c r="F218" s="222">
        <v>27.0</v>
      </c>
      <c r="G218" s="223" t="s">
        <v>164</v>
      </c>
      <c r="H218" s="249">
        <v>76.0</v>
      </c>
      <c r="I218" s="250">
        <v>76.0</v>
      </c>
      <c r="J218" s="270">
        <v>66.0</v>
      </c>
      <c r="K218" s="222" t="s">
        <v>170</v>
      </c>
      <c r="L218" s="222" t="s">
        <v>44</v>
      </c>
      <c r="M218" s="223">
        <v>400.0</v>
      </c>
      <c r="N218" s="221">
        <v>2.0</v>
      </c>
      <c r="O218" s="222" t="s">
        <v>2002</v>
      </c>
      <c r="P218" s="222">
        <v>25.0</v>
      </c>
      <c r="Q218" s="222">
        <v>2400.0</v>
      </c>
      <c r="R218" s="224">
        <v>63.1</v>
      </c>
      <c r="S218" s="224">
        <v>3.8</v>
      </c>
      <c r="T218" s="225" t="s">
        <v>170</v>
      </c>
      <c r="U218" s="226">
        <v>52.0</v>
      </c>
      <c r="V218" s="227" t="s">
        <v>166</v>
      </c>
      <c r="W218" s="228" t="s">
        <v>166</v>
      </c>
      <c r="X218" s="222" t="s">
        <v>174</v>
      </c>
      <c r="Y218" s="223" t="s">
        <v>170</v>
      </c>
      <c r="Z218" s="221" t="s">
        <v>166</v>
      </c>
      <c r="AA218" s="222" t="s">
        <v>174</v>
      </c>
      <c r="AB218" s="222" t="s">
        <v>166</v>
      </c>
      <c r="AC218" s="222" t="s">
        <v>174</v>
      </c>
      <c r="AD218" s="222" t="s">
        <v>166</v>
      </c>
      <c r="AE218" s="222" t="s">
        <v>174</v>
      </c>
      <c r="AF218" s="222" t="s">
        <v>166</v>
      </c>
      <c r="AG218" s="229" t="s">
        <v>2193</v>
      </c>
      <c r="AH218" s="229"/>
    </row>
    <row r="219">
      <c r="A219" s="255" t="s">
        <v>1480</v>
      </c>
      <c r="B219" s="257" t="s">
        <v>2230</v>
      </c>
      <c r="C219" s="221">
        <v>240.0</v>
      </c>
      <c r="D219" s="222">
        <v>277.0</v>
      </c>
      <c r="E219" s="222">
        <v>120.0</v>
      </c>
      <c r="F219" s="222">
        <v>27.0</v>
      </c>
      <c r="G219" s="223" t="s">
        <v>164</v>
      </c>
      <c r="H219" s="221">
        <v>76.0</v>
      </c>
      <c r="I219" s="222">
        <v>76.0</v>
      </c>
      <c r="J219" s="222">
        <v>66.0</v>
      </c>
      <c r="K219" s="222" t="s">
        <v>170</v>
      </c>
      <c r="L219" s="222" t="s">
        <v>44</v>
      </c>
      <c r="M219" s="223">
        <v>400.0</v>
      </c>
      <c r="N219" s="221">
        <v>2.0</v>
      </c>
      <c r="O219" s="222" t="s">
        <v>2002</v>
      </c>
      <c r="P219" s="222">
        <v>25.0</v>
      </c>
      <c r="Q219" s="222">
        <v>2400.0</v>
      </c>
      <c r="R219" s="224">
        <v>63.1</v>
      </c>
      <c r="S219" s="224">
        <v>3.8</v>
      </c>
      <c r="T219" s="225" t="s">
        <v>170</v>
      </c>
      <c r="U219" s="226">
        <v>52.0</v>
      </c>
      <c r="V219" s="227" t="s">
        <v>166</v>
      </c>
      <c r="W219" s="228" t="s">
        <v>166</v>
      </c>
      <c r="X219" s="222" t="s">
        <v>174</v>
      </c>
      <c r="Y219" s="223" t="s">
        <v>170</v>
      </c>
      <c r="Z219" s="221" t="s">
        <v>166</v>
      </c>
      <c r="AA219" s="222" t="s">
        <v>174</v>
      </c>
      <c r="AB219" s="222" t="s">
        <v>166</v>
      </c>
      <c r="AC219" s="222" t="s">
        <v>174</v>
      </c>
      <c r="AD219" s="222" t="s">
        <v>166</v>
      </c>
      <c r="AE219" s="222" t="s">
        <v>174</v>
      </c>
      <c r="AF219" s="222" t="s">
        <v>166</v>
      </c>
      <c r="AG219" s="229" t="s">
        <v>2193</v>
      </c>
      <c r="AH219" s="229"/>
    </row>
    <row r="220">
      <c r="A220" s="255" t="s">
        <v>1480</v>
      </c>
      <c r="B220" s="257" t="s">
        <v>2231</v>
      </c>
      <c r="C220" s="221">
        <v>280.0</v>
      </c>
      <c r="D220" s="222">
        <v>322.0</v>
      </c>
      <c r="E220" s="222">
        <v>140.0</v>
      </c>
      <c r="F220" s="222">
        <v>27.0</v>
      </c>
      <c r="G220" s="223" t="s">
        <v>164</v>
      </c>
      <c r="H220" s="221">
        <v>76.0</v>
      </c>
      <c r="I220" s="222">
        <v>76.0</v>
      </c>
      <c r="J220" s="222">
        <v>66.0</v>
      </c>
      <c r="K220" s="222" t="s">
        <v>170</v>
      </c>
      <c r="L220" s="222" t="s">
        <v>44</v>
      </c>
      <c r="M220" s="223">
        <v>400.0</v>
      </c>
      <c r="N220" s="221">
        <v>2.0</v>
      </c>
      <c r="O220" s="222" t="s">
        <v>2018</v>
      </c>
      <c r="P220" s="222">
        <v>25.0</v>
      </c>
      <c r="Q220" s="222">
        <v>2000.0</v>
      </c>
      <c r="R220" s="224">
        <v>82.5</v>
      </c>
      <c r="S220" s="224">
        <v>3.5</v>
      </c>
      <c r="T220" s="225" t="s">
        <v>170</v>
      </c>
      <c r="U220" s="226">
        <v>52.0</v>
      </c>
      <c r="V220" s="227" t="s">
        <v>166</v>
      </c>
      <c r="W220" s="228" t="s">
        <v>166</v>
      </c>
      <c r="X220" s="222" t="s">
        <v>174</v>
      </c>
      <c r="Y220" s="223" t="s">
        <v>170</v>
      </c>
      <c r="Z220" s="221" t="s">
        <v>166</v>
      </c>
      <c r="AA220" s="222" t="s">
        <v>174</v>
      </c>
      <c r="AB220" s="222" t="s">
        <v>166</v>
      </c>
      <c r="AC220" s="222" t="s">
        <v>174</v>
      </c>
      <c r="AD220" s="222" t="s">
        <v>166</v>
      </c>
      <c r="AE220" s="222" t="s">
        <v>174</v>
      </c>
      <c r="AF220" s="222" t="s">
        <v>166</v>
      </c>
      <c r="AG220" s="229" t="s">
        <v>2193</v>
      </c>
      <c r="AH220" s="229"/>
    </row>
    <row r="221">
      <c r="A221" s="255" t="s">
        <v>1480</v>
      </c>
      <c r="B221" s="257" t="s">
        <v>2232</v>
      </c>
      <c r="C221" s="221">
        <v>360.0</v>
      </c>
      <c r="D221" s="222">
        <v>397.0</v>
      </c>
      <c r="E221" s="222">
        <v>120.0</v>
      </c>
      <c r="F221" s="222">
        <v>27.0</v>
      </c>
      <c r="G221" s="223" t="s">
        <v>164</v>
      </c>
      <c r="H221" s="221">
        <v>76.0</v>
      </c>
      <c r="I221" s="222">
        <v>76.0</v>
      </c>
      <c r="J221" s="222">
        <v>66.0</v>
      </c>
      <c r="K221" s="222" t="s">
        <v>170</v>
      </c>
      <c r="L221" s="222" t="s">
        <v>44</v>
      </c>
      <c r="M221" s="223">
        <v>450.0</v>
      </c>
      <c r="N221" s="221">
        <v>3.0</v>
      </c>
      <c r="O221" s="222" t="s">
        <v>2002</v>
      </c>
      <c r="P221" s="222">
        <v>25.0</v>
      </c>
      <c r="Q221" s="222">
        <v>2400.0</v>
      </c>
      <c r="R221" s="224">
        <v>63.1</v>
      </c>
      <c r="S221" s="224">
        <v>3.8</v>
      </c>
      <c r="T221" s="225" t="s">
        <v>170</v>
      </c>
      <c r="U221" s="226">
        <v>52.0</v>
      </c>
      <c r="V221" s="227" t="s">
        <v>166</v>
      </c>
      <c r="W221" s="228" t="s">
        <v>166</v>
      </c>
      <c r="X221" s="222" t="s">
        <v>174</v>
      </c>
      <c r="Y221" s="223" t="s">
        <v>170</v>
      </c>
      <c r="Z221" s="221" t="s">
        <v>166</v>
      </c>
      <c r="AA221" s="222" t="s">
        <v>174</v>
      </c>
      <c r="AB221" s="222" t="s">
        <v>166</v>
      </c>
      <c r="AC221" s="222" t="s">
        <v>174</v>
      </c>
      <c r="AD221" s="222" t="s">
        <v>166</v>
      </c>
      <c r="AE221" s="222" t="s">
        <v>174</v>
      </c>
      <c r="AF221" s="222" t="s">
        <v>166</v>
      </c>
      <c r="AG221" s="229" t="s">
        <v>2193</v>
      </c>
      <c r="AH221" s="229"/>
    </row>
    <row r="222">
      <c r="A222" s="255" t="s">
        <v>1480</v>
      </c>
      <c r="B222" s="257" t="s">
        <v>2233</v>
      </c>
      <c r="C222" s="221">
        <v>360.0</v>
      </c>
      <c r="D222" s="222">
        <v>397.0</v>
      </c>
      <c r="E222" s="222">
        <v>120.0</v>
      </c>
      <c r="F222" s="222">
        <v>27.0</v>
      </c>
      <c r="G222" s="223" t="s">
        <v>164</v>
      </c>
      <c r="H222" s="221">
        <v>76.0</v>
      </c>
      <c r="I222" s="222">
        <v>76.0</v>
      </c>
      <c r="J222" s="222">
        <v>66.0</v>
      </c>
      <c r="K222" s="222" t="s">
        <v>170</v>
      </c>
      <c r="L222" s="222" t="s">
        <v>44</v>
      </c>
      <c r="M222" s="223">
        <v>450.0</v>
      </c>
      <c r="N222" s="221">
        <v>3.0</v>
      </c>
      <c r="O222" s="222" t="s">
        <v>2002</v>
      </c>
      <c r="P222" s="222">
        <v>25.0</v>
      </c>
      <c r="Q222" s="222">
        <v>2400.0</v>
      </c>
      <c r="R222" s="224">
        <v>63.1</v>
      </c>
      <c r="S222" s="224">
        <v>3.8</v>
      </c>
      <c r="T222" s="225" t="s">
        <v>170</v>
      </c>
      <c r="U222" s="226">
        <v>52.0</v>
      </c>
      <c r="V222" s="227" t="s">
        <v>166</v>
      </c>
      <c r="W222" s="228" t="s">
        <v>166</v>
      </c>
      <c r="X222" s="222" t="s">
        <v>174</v>
      </c>
      <c r="Y222" s="223" t="s">
        <v>170</v>
      </c>
      <c r="Z222" s="221" t="s">
        <v>166</v>
      </c>
      <c r="AA222" s="222" t="s">
        <v>174</v>
      </c>
      <c r="AB222" s="222" t="s">
        <v>166</v>
      </c>
      <c r="AC222" s="222" t="s">
        <v>174</v>
      </c>
      <c r="AD222" s="222" t="s">
        <v>166</v>
      </c>
      <c r="AE222" s="222" t="s">
        <v>174</v>
      </c>
      <c r="AF222" s="222" t="s">
        <v>166</v>
      </c>
      <c r="AG222" s="229" t="s">
        <v>2193</v>
      </c>
      <c r="AH222" s="229"/>
    </row>
    <row r="223">
      <c r="A223" s="268" t="s">
        <v>1480</v>
      </c>
      <c r="B223" s="271" t="s">
        <v>2234</v>
      </c>
      <c r="C223" s="232">
        <v>420.0</v>
      </c>
      <c r="D223" s="233">
        <v>457.0</v>
      </c>
      <c r="E223" s="233">
        <v>140.0</v>
      </c>
      <c r="F223" s="233">
        <v>27.0</v>
      </c>
      <c r="G223" s="234" t="s">
        <v>164</v>
      </c>
      <c r="H223" s="232">
        <v>76.0</v>
      </c>
      <c r="I223" s="233">
        <v>76.0</v>
      </c>
      <c r="J223" s="233">
        <v>66.0</v>
      </c>
      <c r="K223" s="233" t="s">
        <v>170</v>
      </c>
      <c r="L223" s="233" t="s">
        <v>44</v>
      </c>
      <c r="M223" s="234">
        <v>450.0</v>
      </c>
      <c r="N223" s="232">
        <v>3.0</v>
      </c>
      <c r="O223" s="233" t="s">
        <v>2018</v>
      </c>
      <c r="P223" s="233">
        <v>25.0</v>
      </c>
      <c r="Q223" s="233">
        <v>2000.0</v>
      </c>
      <c r="R223" s="235">
        <v>82.5</v>
      </c>
      <c r="S223" s="235">
        <v>3.5</v>
      </c>
      <c r="T223" s="236" t="s">
        <v>170</v>
      </c>
      <c r="U223" s="237">
        <v>52.0</v>
      </c>
      <c r="V223" s="238" t="s">
        <v>166</v>
      </c>
      <c r="W223" s="239" t="s">
        <v>166</v>
      </c>
      <c r="X223" s="233" t="s">
        <v>174</v>
      </c>
      <c r="Y223" s="234" t="s">
        <v>170</v>
      </c>
      <c r="Z223" s="232" t="s">
        <v>166</v>
      </c>
      <c r="AA223" s="233" t="s">
        <v>174</v>
      </c>
      <c r="AB223" s="233" t="s">
        <v>166</v>
      </c>
      <c r="AC223" s="233" t="s">
        <v>174</v>
      </c>
      <c r="AD223" s="233" t="s">
        <v>166</v>
      </c>
      <c r="AE223" s="233" t="s">
        <v>174</v>
      </c>
      <c r="AF223" s="233" t="s">
        <v>166</v>
      </c>
      <c r="AG223" s="240" t="s">
        <v>2193</v>
      </c>
      <c r="AH223" s="240"/>
    </row>
    <row r="224">
      <c r="A224" s="255" t="s">
        <v>1486</v>
      </c>
      <c r="B224" s="257" t="s">
        <v>2235</v>
      </c>
      <c r="C224" s="221">
        <v>240.0</v>
      </c>
      <c r="D224" s="222">
        <v>272.0</v>
      </c>
      <c r="E224" s="222">
        <v>120.0</v>
      </c>
      <c r="F224" s="222">
        <v>27.0</v>
      </c>
      <c r="G224" s="223" t="s">
        <v>164</v>
      </c>
      <c r="H224" s="221">
        <v>88.0</v>
      </c>
      <c r="I224" s="222">
        <v>88.0</v>
      </c>
      <c r="J224" s="222">
        <v>52.8</v>
      </c>
      <c r="K224" s="222" t="s">
        <v>170</v>
      </c>
      <c r="L224" s="222" t="s">
        <v>44</v>
      </c>
      <c r="M224" s="223">
        <v>350.0</v>
      </c>
      <c r="N224" s="221">
        <v>2.0</v>
      </c>
      <c r="O224" s="222" t="s">
        <v>2002</v>
      </c>
      <c r="P224" s="222">
        <v>25.0</v>
      </c>
      <c r="Q224" s="222">
        <v>2200.0</v>
      </c>
      <c r="R224" s="224">
        <v>83.0</v>
      </c>
      <c r="S224" s="224">
        <v>3.33</v>
      </c>
      <c r="T224" s="225">
        <v>37.0</v>
      </c>
      <c r="U224" s="226">
        <v>52.0</v>
      </c>
      <c r="V224" s="221" t="s">
        <v>166</v>
      </c>
      <c r="W224" s="241" t="s">
        <v>166</v>
      </c>
      <c r="X224" s="222" t="s">
        <v>166</v>
      </c>
      <c r="Y224" s="223" t="s">
        <v>174</v>
      </c>
      <c r="Z224" s="221" t="s">
        <v>174</v>
      </c>
      <c r="AA224" s="222" t="s">
        <v>174</v>
      </c>
      <c r="AB224" s="222" t="s">
        <v>166</v>
      </c>
      <c r="AC224" s="222" t="s">
        <v>174</v>
      </c>
      <c r="AD224" s="222" t="s">
        <v>166</v>
      </c>
      <c r="AE224" s="222" t="s">
        <v>170</v>
      </c>
      <c r="AF224" s="222" t="s">
        <v>174</v>
      </c>
      <c r="AG224" s="229" t="s">
        <v>2003</v>
      </c>
      <c r="AH224" s="229"/>
    </row>
    <row r="225">
      <c r="A225" s="272" t="s">
        <v>1486</v>
      </c>
      <c r="B225" s="257" t="s">
        <v>2236</v>
      </c>
      <c r="C225" s="221">
        <v>240.0</v>
      </c>
      <c r="D225" s="222">
        <v>272.0</v>
      </c>
      <c r="E225" s="222">
        <v>120.0</v>
      </c>
      <c r="F225" s="222">
        <v>38.5</v>
      </c>
      <c r="G225" s="223" t="s">
        <v>164</v>
      </c>
      <c r="H225" s="221">
        <v>88.0</v>
      </c>
      <c r="I225" s="222">
        <v>88.0</v>
      </c>
      <c r="J225" s="222">
        <v>52.8</v>
      </c>
      <c r="K225" s="222" t="s">
        <v>170</v>
      </c>
      <c r="L225" s="222" t="s">
        <v>44</v>
      </c>
      <c r="M225" s="223">
        <v>350.0</v>
      </c>
      <c r="N225" s="221">
        <v>2.0</v>
      </c>
      <c r="O225" s="222" t="s">
        <v>2002</v>
      </c>
      <c r="P225" s="222">
        <v>25.0</v>
      </c>
      <c r="Q225" s="222">
        <v>2200.0</v>
      </c>
      <c r="R225" s="224">
        <v>83.0</v>
      </c>
      <c r="S225" s="224">
        <v>3.33</v>
      </c>
      <c r="T225" s="225">
        <v>37.0</v>
      </c>
      <c r="U225" s="226">
        <v>63.5</v>
      </c>
      <c r="V225" s="227" t="s">
        <v>166</v>
      </c>
      <c r="W225" s="228" t="s">
        <v>166</v>
      </c>
      <c r="X225" s="222" t="s">
        <v>166</v>
      </c>
      <c r="Y225" s="223" t="s">
        <v>174</v>
      </c>
      <c r="Z225" s="221" t="s">
        <v>174</v>
      </c>
      <c r="AA225" s="222" t="s">
        <v>174</v>
      </c>
      <c r="AB225" s="222" t="s">
        <v>166</v>
      </c>
      <c r="AC225" s="222" t="s">
        <v>174</v>
      </c>
      <c r="AD225" s="222" t="s">
        <v>166</v>
      </c>
      <c r="AE225" s="222" t="s">
        <v>170</v>
      </c>
      <c r="AF225" s="222" t="s">
        <v>174</v>
      </c>
      <c r="AG225" s="229" t="s">
        <v>2003</v>
      </c>
      <c r="AH225" s="229"/>
    </row>
    <row r="226">
      <c r="A226" s="273" t="s">
        <v>1486</v>
      </c>
      <c r="B226" s="271" t="s">
        <v>2237</v>
      </c>
      <c r="C226" s="232">
        <v>280.0</v>
      </c>
      <c r="D226" s="233">
        <v>311.0</v>
      </c>
      <c r="E226" s="233">
        <v>140.0</v>
      </c>
      <c r="F226" s="233">
        <v>27.5</v>
      </c>
      <c r="G226" s="234" t="s">
        <v>164</v>
      </c>
      <c r="H226" s="274">
        <v>88.0</v>
      </c>
      <c r="I226" s="275">
        <v>88.0</v>
      </c>
      <c r="J226" s="275">
        <v>52.8</v>
      </c>
      <c r="K226" s="233" t="s">
        <v>170</v>
      </c>
      <c r="L226" s="276" t="s">
        <v>44</v>
      </c>
      <c r="M226" s="234">
        <v>350.0</v>
      </c>
      <c r="N226" s="232">
        <v>2.0</v>
      </c>
      <c r="O226" s="233" t="s">
        <v>2018</v>
      </c>
      <c r="P226" s="233">
        <v>25.0</v>
      </c>
      <c r="Q226" s="233">
        <v>1850.0</v>
      </c>
      <c r="R226" s="235">
        <v>128.0</v>
      </c>
      <c r="S226" s="235">
        <v>2.12</v>
      </c>
      <c r="T226" s="236">
        <v>38.0</v>
      </c>
      <c r="U226" s="237">
        <v>52.5</v>
      </c>
      <c r="V226" s="238" t="s">
        <v>166</v>
      </c>
      <c r="W226" s="239" t="s">
        <v>166</v>
      </c>
      <c r="X226" s="233" t="s">
        <v>166</v>
      </c>
      <c r="Y226" s="234" t="s">
        <v>174</v>
      </c>
      <c r="Z226" s="232" t="s">
        <v>174</v>
      </c>
      <c r="AA226" s="233" t="s">
        <v>174</v>
      </c>
      <c r="AB226" s="233" t="s">
        <v>166</v>
      </c>
      <c r="AC226" s="233" t="s">
        <v>174</v>
      </c>
      <c r="AD226" s="233" t="s">
        <v>166</v>
      </c>
      <c r="AE226" s="233" t="s">
        <v>170</v>
      </c>
      <c r="AF226" s="233" t="s">
        <v>174</v>
      </c>
      <c r="AG226" s="277" t="s">
        <v>2003</v>
      </c>
      <c r="AH226" s="240"/>
    </row>
    <row r="227">
      <c r="A227" s="272" t="s">
        <v>1279</v>
      </c>
      <c r="B227" s="257" t="s">
        <v>2238</v>
      </c>
      <c r="C227" s="221">
        <v>240.0</v>
      </c>
      <c r="D227" s="222">
        <v>277.0</v>
      </c>
      <c r="E227" s="222">
        <v>120.0</v>
      </c>
      <c r="F227" s="222">
        <v>27.0</v>
      </c>
      <c r="G227" s="223" t="s">
        <v>164</v>
      </c>
      <c r="H227" s="221">
        <v>80.3</v>
      </c>
      <c r="I227" s="222">
        <v>71.0</v>
      </c>
      <c r="J227" s="222">
        <v>47.0</v>
      </c>
      <c r="K227" s="222">
        <v>2500.0</v>
      </c>
      <c r="L227" s="222" t="s">
        <v>44</v>
      </c>
      <c r="M227" s="223">
        <v>350.0</v>
      </c>
      <c r="N227" s="221">
        <v>2.0</v>
      </c>
      <c r="O227" s="222" t="s">
        <v>2002</v>
      </c>
      <c r="P227" s="222">
        <v>25.0</v>
      </c>
      <c r="Q227" s="222">
        <v>1800.0</v>
      </c>
      <c r="R227" s="224">
        <v>76.8</v>
      </c>
      <c r="S227" s="224">
        <v>2.06</v>
      </c>
      <c r="T227" s="225">
        <v>35.2</v>
      </c>
      <c r="U227" s="226">
        <v>52.0</v>
      </c>
      <c r="V227" s="227" t="s">
        <v>170</v>
      </c>
      <c r="W227" s="228" t="s">
        <v>170</v>
      </c>
      <c r="X227" s="222" t="s">
        <v>170</v>
      </c>
      <c r="Y227" s="223" t="s">
        <v>170</v>
      </c>
      <c r="Z227" s="221" t="s">
        <v>174</v>
      </c>
      <c r="AA227" s="222" t="s">
        <v>174</v>
      </c>
      <c r="AB227" s="222" t="s">
        <v>174</v>
      </c>
      <c r="AC227" s="222" t="s">
        <v>174</v>
      </c>
      <c r="AD227" s="222" t="s">
        <v>166</v>
      </c>
      <c r="AE227" s="222" t="s">
        <v>174</v>
      </c>
      <c r="AF227" s="222" t="s">
        <v>174</v>
      </c>
      <c r="AG227" s="222" t="s">
        <v>170</v>
      </c>
      <c r="AH227" s="222"/>
    </row>
    <row r="228">
      <c r="A228" s="272" t="s">
        <v>1279</v>
      </c>
      <c r="B228" s="257" t="s">
        <v>2239</v>
      </c>
      <c r="C228" s="221">
        <v>360.0</v>
      </c>
      <c r="D228" s="222">
        <v>395.0</v>
      </c>
      <c r="E228" s="222">
        <v>120.0</v>
      </c>
      <c r="F228" s="222">
        <v>27.0</v>
      </c>
      <c r="G228" s="223" t="s">
        <v>164</v>
      </c>
      <c r="H228" s="221">
        <v>80.3</v>
      </c>
      <c r="I228" s="222">
        <v>71.0</v>
      </c>
      <c r="J228" s="222">
        <v>47.0</v>
      </c>
      <c r="K228" s="222">
        <v>2500.0</v>
      </c>
      <c r="L228" s="222" t="s">
        <v>44</v>
      </c>
      <c r="M228" s="223">
        <v>350.0</v>
      </c>
      <c r="N228" s="221">
        <v>3.0</v>
      </c>
      <c r="O228" s="222" t="s">
        <v>2002</v>
      </c>
      <c r="P228" s="222">
        <v>25.0</v>
      </c>
      <c r="Q228" s="222">
        <v>1800.0</v>
      </c>
      <c r="R228" s="224">
        <v>76.8</v>
      </c>
      <c r="S228" s="224">
        <v>2.06</v>
      </c>
      <c r="T228" s="225">
        <v>35.2</v>
      </c>
      <c r="U228" s="226">
        <v>52.0</v>
      </c>
      <c r="V228" s="221" t="s">
        <v>170</v>
      </c>
      <c r="W228" s="241" t="s">
        <v>170</v>
      </c>
      <c r="X228" s="222" t="s">
        <v>170</v>
      </c>
      <c r="Y228" s="223" t="s">
        <v>170</v>
      </c>
      <c r="Z228" s="221" t="s">
        <v>174</v>
      </c>
      <c r="AA228" s="222" t="s">
        <v>174</v>
      </c>
      <c r="AB228" s="222" t="s">
        <v>174</v>
      </c>
      <c r="AC228" s="222" t="s">
        <v>174</v>
      </c>
      <c r="AD228" s="222" t="s">
        <v>166</v>
      </c>
      <c r="AE228" s="222" t="s">
        <v>174</v>
      </c>
      <c r="AF228" s="222" t="s">
        <v>174</v>
      </c>
      <c r="AG228" s="222" t="s">
        <v>170</v>
      </c>
      <c r="AH228" s="222"/>
    </row>
    <row r="229">
      <c r="A229" s="272" t="s">
        <v>1279</v>
      </c>
      <c r="B229" s="278" t="s">
        <v>2240</v>
      </c>
      <c r="C229" s="221">
        <v>120.0</v>
      </c>
      <c r="D229" s="222">
        <v>153.0</v>
      </c>
      <c r="E229" s="222">
        <v>120.0</v>
      </c>
      <c r="F229" s="222">
        <v>27.0</v>
      </c>
      <c r="G229" s="223" t="s">
        <v>164</v>
      </c>
      <c r="H229" s="221">
        <v>75.0</v>
      </c>
      <c r="I229" s="222">
        <v>75.0</v>
      </c>
      <c r="J229" s="222">
        <v>53.0</v>
      </c>
      <c r="K229" s="222">
        <v>2400.0</v>
      </c>
      <c r="L229" s="222" t="s">
        <v>44</v>
      </c>
      <c r="M229" s="223" t="s">
        <v>170</v>
      </c>
      <c r="N229" s="221">
        <v>1.0</v>
      </c>
      <c r="O229" s="222" t="s">
        <v>2002</v>
      </c>
      <c r="P229" s="222">
        <v>25.0</v>
      </c>
      <c r="Q229" s="222">
        <v>1800.0</v>
      </c>
      <c r="R229" s="224">
        <v>70.0</v>
      </c>
      <c r="S229" s="224" t="s">
        <v>170</v>
      </c>
      <c r="T229" s="225">
        <v>30.0</v>
      </c>
      <c r="U229" s="226">
        <v>52.0</v>
      </c>
      <c r="V229" s="221" t="s">
        <v>170</v>
      </c>
      <c r="W229" s="241" t="s">
        <v>170</v>
      </c>
      <c r="X229" s="222" t="s">
        <v>170</v>
      </c>
      <c r="Y229" s="223" t="s">
        <v>170</v>
      </c>
      <c r="Z229" s="221" t="s">
        <v>174</v>
      </c>
      <c r="AA229" s="222" t="s">
        <v>174</v>
      </c>
      <c r="AB229" s="222" t="s">
        <v>166</v>
      </c>
      <c r="AC229" s="222" t="s">
        <v>174</v>
      </c>
      <c r="AD229" s="222" t="s">
        <v>166</v>
      </c>
      <c r="AE229" s="222" t="s">
        <v>170</v>
      </c>
      <c r="AF229" s="222" t="s">
        <v>174</v>
      </c>
      <c r="AG229" s="222" t="s">
        <v>170</v>
      </c>
      <c r="AH229" s="222"/>
    </row>
    <row r="230">
      <c r="A230" s="272" t="s">
        <v>1279</v>
      </c>
      <c r="B230" s="257" t="s">
        <v>2241</v>
      </c>
      <c r="C230" s="221">
        <v>240.0</v>
      </c>
      <c r="D230" s="222">
        <v>274.0</v>
      </c>
      <c r="E230" s="222">
        <v>120.0</v>
      </c>
      <c r="F230" s="222">
        <v>27.0</v>
      </c>
      <c r="G230" s="223" t="s">
        <v>164</v>
      </c>
      <c r="H230" s="221">
        <v>75.0</v>
      </c>
      <c r="I230" s="222">
        <v>75.0</v>
      </c>
      <c r="J230" s="222">
        <v>53.0</v>
      </c>
      <c r="K230" s="222">
        <v>2400.0</v>
      </c>
      <c r="L230" s="222" t="s">
        <v>44</v>
      </c>
      <c r="M230" s="223" t="s">
        <v>170</v>
      </c>
      <c r="N230" s="221">
        <v>2.0</v>
      </c>
      <c r="O230" s="222" t="s">
        <v>2002</v>
      </c>
      <c r="P230" s="222">
        <v>25.0</v>
      </c>
      <c r="Q230" s="222">
        <v>1800.0</v>
      </c>
      <c r="R230" s="224">
        <v>70.0</v>
      </c>
      <c r="S230" s="224" t="s">
        <v>170</v>
      </c>
      <c r="T230" s="225">
        <v>30.0</v>
      </c>
      <c r="U230" s="226">
        <v>52.0</v>
      </c>
      <c r="V230" s="227" t="s">
        <v>170</v>
      </c>
      <c r="W230" s="228" t="s">
        <v>170</v>
      </c>
      <c r="X230" s="222" t="s">
        <v>170</v>
      </c>
      <c r="Y230" s="223" t="s">
        <v>170</v>
      </c>
      <c r="Z230" s="221" t="s">
        <v>174</v>
      </c>
      <c r="AA230" s="222" t="s">
        <v>174</v>
      </c>
      <c r="AB230" s="222" t="s">
        <v>166</v>
      </c>
      <c r="AC230" s="222" t="s">
        <v>174</v>
      </c>
      <c r="AD230" s="222" t="s">
        <v>166</v>
      </c>
      <c r="AE230" s="222" t="s">
        <v>170</v>
      </c>
      <c r="AF230" s="222" t="s">
        <v>174</v>
      </c>
      <c r="AG230" s="222" t="s">
        <v>170</v>
      </c>
      <c r="AH230" s="222"/>
    </row>
    <row r="231">
      <c r="A231" s="272" t="s">
        <v>1279</v>
      </c>
      <c r="B231" s="257" t="s">
        <v>2242</v>
      </c>
      <c r="C231" s="221">
        <v>360.0</v>
      </c>
      <c r="D231" s="222">
        <v>394.0</v>
      </c>
      <c r="E231" s="222">
        <v>120.0</v>
      </c>
      <c r="F231" s="222">
        <v>27.0</v>
      </c>
      <c r="G231" s="223" t="s">
        <v>164</v>
      </c>
      <c r="H231" s="221">
        <v>75.0</v>
      </c>
      <c r="I231" s="222">
        <v>75.0</v>
      </c>
      <c r="J231" s="222">
        <v>53.0</v>
      </c>
      <c r="K231" s="222">
        <v>2400.0</v>
      </c>
      <c r="L231" s="222" t="s">
        <v>44</v>
      </c>
      <c r="M231" s="223" t="s">
        <v>170</v>
      </c>
      <c r="N231" s="221">
        <v>3.0</v>
      </c>
      <c r="O231" s="222" t="s">
        <v>2002</v>
      </c>
      <c r="P231" s="222">
        <v>25.0</v>
      </c>
      <c r="Q231" s="222">
        <v>1800.0</v>
      </c>
      <c r="R231" s="224">
        <v>70.0</v>
      </c>
      <c r="S231" s="224" t="s">
        <v>170</v>
      </c>
      <c r="T231" s="225">
        <v>30.0</v>
      </c>
      <c r="U231" s="226">
        <v>52.0</v>
      </c>
      <c r="V231" s="227" t="s">
        <v>170</v>
      </c>
      <c r="W231" s="228" t="s">
        <v>170</v>
      </c>
      <c r="X231" s="222" t="s">
        <v>170</v>
      </c>
      <c r="Y231" s="223" t="s">
        <v>170</v>
      </c>
      <c r="Z231" s="221" t="s">
        <v>174</v>
      </c>
      <c r="AA231" s="222" t="s">
        <v>174</v>
      </c>
      <c r="AB231" s="222" t="s">
        <v>174</v>
      </c>
      <c r="AC231" s="222" t="s">
        <v>174</v>
      </c>
      <c r="AD231" s="222" t="s">
        <v>174</v>
      </c>
      <c r="AE231" s="222" t="s">
        <v>170</v>
      </c>
      <c r="AF231" s="222" t="s">
        <v>174</v>
      </c>
      <c r="AG231" s="222" t="s">
        <v>170</v>
      </c>
      <c r="AH231" s="222"/>
    </row>
    <row r="232">
      <c r="A232" s="272" t="s">
        <v>1279</v>
      </c>
      <c r="B232" s="257" t="s">
        <v>2243</v>
      </c>
      <c r="C232" s="221">
        <v>120.0</v>
      </c>
      <c r="D232" s="222">
        <v>154.0</v>
      </c>
      <c r="E232" s="222">
        <v>120.0</v>
      </c>
      <c r="F232" s="222">
        <v>27.0</v>
      </c>
      <c r="G232" s="223" t="s">
        <v>164</v>
      </c>
      <c r="H232" s="221">
        <v>64.5</v>
      </c>
      <c r="I232" s="222">
        <v>63.0</v>
      </c>
      <c r="J232" s="222">
        <v>44.1</v>
      </c>
      <c r="K232" s="222">
        <v>2600.0</v>
      </c>
      <c r="L232" s="222" t="s">
        <v>44</v>
      </c>
      <c r="M232" s="223">
        <v>320.0</v>
      </c>
      <c r="N232" s="221">
        <v>1.0</v>
      </c>
      <c r="O232" s="222" t="s">
        <v>2002</v>
      </c>
      <c r="P232" s="222">
        <v>25.0</v>
      </c>
      <c r="Q232" s="222">
        <v>1800.0</v>
      </c>
      <c r="R232" s="224">
        <v>70.64</v>
      </c>
      <c r="S232" s="224">
        <v>2.1</v>
      </c>
      <c r="T232" s="225">
        <v>35.0</v>
      </c>
      <c r="U232" s="226">
        <v>52.0</v>
      </c>
      <c r="V232" s="227" t="s">
        <v>170</v>
      </c>
      <c r="W232" s="228" t="s">
        <v>170</v>
      </c>
      <c r="X232" s="222" t="s">
        <v>170</v>
      </c>
      <c r="Y232" s="223" t="s">
        <v>170</v>
      </c>
      <c r="Z232" s="221" t="s">
        <v>174</v>
      </c>
      <c r="AA232" s="222" t="s">
        <v>174</v>
      </c>
      <c r="AB232" s="222" t="s">
        <v>174</v>
      </c>
      <c r="AC232" s="222" t="s">
        <v>174</v>
      </c>
      <c r="AD232" s="222" t="s">
        <v>174</v>
      </c>
      <c r="AE232" s="222" t="s">
        <v>170</v>
      </c>
      <c r="AF232" s="222" t="s">
        <v>174</v>
      </c>
      <c r="AG232" s="222" t="s">
        <v>170</v>
      </c>
      <c r="AH232" s="222"/>
    </row>
    <row r="233">
      <c r="A233" s="272" t="s">
        <v>1279</v>
      </c>
      <c r="B233" s="257" t="s">
        <v>2244</v>
      </c>
      <c r="C233" s="221">
        <v>240.0</v>
      </c>
      <c r="D233" s="222">
        <v>274.0</v>
      </c>
      <c r="E233" s="222">
        <v>120.0</v>
      </c>
      <c r="F233" s="222">
        <v>27.0</v>
      </c>
      <c r="G233" s="223" t="s">
        <v>164</v>
      </c>
      <c r="H233" s="221">
        <v>64.5</v>
      </c>
      <c r="I233" s="222">
        <v>63.0</v>
      </c>
      <c r="J233" s="222">
        <v>44.1</v>
      </c>
      <c r="K233" s="222">
        <v>2600.0</v>
      </c>
      <c r="L233" s="222" t="s">
        <v>44</v>
      </c>
      <c r="M233" s="223">
        <v>400.0</v>
      </c>
      <c r="N233" s="221">
        <v>2.0</v>
      </c>
      <c r="O233" s="222" t="s">
        <v>2002</v>
      </c>
      <c r="P233" s="222">
        <v>25.0</v>
      </c>
      <c r="Q233" s="222">
        <v>1800.0</v>
      </c>
      <c r="R233" s="224">
        <v>70.64</v>
      </c>
      <c r="S233" s="224">
        <v>2.1</v>
      </c>
      <c r="T233" s="225">
        <v>35.0</v>
      </c>
      <c r="U233" s="226">
        <v>52.0</v>
      </c>
      <c r="V233" s="227" t="s">
        <v>170</v>
      </c>
      <c r="W233" s="228" t="s">
        <v>170</v>
      </c>
      <c r="X233" s="222" t="s">
        <v>170</v>
      </c>
      <c r="Y233" s="223" t="s">
        <v>170</v>
      </c>
      <c r="Z233" s="221" t="s">
        <v>174</v>
      </c>
      <c r="AA233" s="222" t="s">
        <v>174</v>
      </c>
      <c r="AB233" s="222" t="s">
        <v>174</v>
      </c>
      <c r="AC233" s="222" t="s">
        <v>174</v>
      </c>
      <c r="AD233" s="222" t="s">
        <v>174</v>
      </c>
      <c r="AE233" s="222" t="s">
        <v>170</v>
      </c>
      <c r="AF233" s="222" t="s">
        <v>174</v>
      </c>
      <c r="AG233" s="222" t="s">
        <v>170</v>
      </c>
      <c r="AH233" s="222"/>
    </row>
    <row r="234">
      <c r="A234" s="272" t="s">
        <v>1279</v>
      </c>
      <c r="B234" s="257" t="s">
        <v>2245</v>
      </c>
      <c r="C234" s="221">
        <v>360.0</v>
      </c>
      <c r="D234" s="222">
        <v>394.0</v>
      </c>
      <c r="E234" s="222">
        <v>120.0</v>
      </c>
      <c r="F234" s="222">
        <v>27.0</v>
      </c>
      <c r="G234" s="223" t="s">
        <v>164</v>
      </c>
      <c r="H234" s="221">
        <v>64.5</v>
      </c>
      <c r="I234" s="222">
        <v>63.0</v>
      </c>
      <c r="J234" s="222">
        <v>44.1</v>
      </c>
      <c r="K234" s="222">
        <v>2600.0</v>
      </c>
      <c r="L234" s="222" t="s">
        <v>44</v>
      </c>
      <c r="M234" s="223">
        <v>400.0</v>
      </c>
      <c r="N234" s="221">
        <v>3.0</v>
      </c>
      <c r="O234" s="222" t="s">
        <v>2002</v>
      </c>
      <c r="P234" s="222">
        <v>25.0</v>
      </c>
      <c r="Q234" s="222">
        <v>1800.0</v>
      </c>
      <c r="R234" s="224">
        <v>70.64</v>
      </c>
      <c r="S234" s="224">
        <v>2.1</v>
      </c>
      <c r="T234" s="225">
        <v>35.0</v>
      </c>
      <c r="U234" s="226">
        <v>52.0</v>
      </c>
      <c r="V234" s="227" t="s">
        <v>170</v>
      </c>
      <c r="W234" s="228" t="s">
        <v>170</v>
      </c>
      <c r="X234" s="222" t="s">
        <v>170</v>
      </c>
      <c r="Y234" s="223" t="s">
        <v>170</v>
      </c>
      <c r="Z234" s="221" t="s">
        <v>174</v>
      </c>
      <c r="AA234" s="222" t="s">
        <v>174</v>
      </c>
      <c r="AB234" s="222" t="s">
        <v>174</v>
      </c>
      <c r="AC234" s="222" t="s">
        <v>174</v>
      </c>
      <c r="AD234" s="222" t="s">
        <v>174</v>
      </c>
      <c r="AE234" s="222" t="s">
        <v>170</v>
      </c>
      <c r="AF234" s="222" t="s">
        <v>174</v>
      </c>
      <c r="AG234" s="222" t="s">
        <v>170</v>
      </c>
      <c r="AH234" s="222"/>
    </row>
    <row r="235">
      <c r="A235" s="272" t="s">
        <v>1279</v>
      </c>
      <c r="B235" s="257" t="s">
        <v>2246</v>
      </c>
      <c r="C235" s="221">
        <v>120.0</v>
      </c>
      <c r="D235" s="222">
        <v>153.0</v>
      </c>
      <c r="E235" s="222">
        <v>120.0</v>
      </c>
      <c r="F235" s="222">
        <v>27.0</v>
      </c>
      <c r="G235" s="223" t="s">
        <v>164</v>
      </c>
      <c r="H235" s="221">
        <v>75.0</v>
      </c>
      <c r="I235" s="222">
        <v>75.0</v>
      </c>
      <c r="J235" s="222">
        <v>53.0</v>
      </c>
      <c r="K235" s="222">
        <v>2400.0</v>
      </c>
      <c r="L235" s="222" t="s">
        <v>44</v>
      </c>
      <c r="M235" s="223">
        <v>200.0</v>
      </c>
      <c r="N235" s="221">
        <v>1.0</v>
      </c>
      <c r="O235" s="222" t="s">
        <v>2002</v>
      </c>
      <c r="P235" s="222">
        <v>25.0</v>
      </c>
      <c r="Q235" s="222">
        <v>1800.0</v>
      </c>
      <c r="R235" s="224">
        <v>75.3</v>
      </c>
      <c r="S235" s="224">
        <v>0.81</v>
      </c>
      <c r="T235" s="225">
        <v>35.2</v>
      </c>
      <c r="U235" s="226">
        <v>52.0</v>
      </c>
      <c r="V235" s="227" t="s">
        <v>170</v>
      </c>
      <c r="W235" s="228" t="s">
        <v>170</v>
      </c>
      <c r="X235" s="222" t="s">
        <v>170</v>
      </c>
      <c r="Y235" s="223" t="s">
        <v>170</v>
      </c>
      <c r="Z235" s="221" t="s">
        <v>174</v>
      </c>
      <c r="AA235" s="222" t="s">
        <v>174</v>
      </c>
      <c r="AB235" s="222" t="s">
        <v>174</v>
      </c>
      <c r="AC235" s="222" t="s">
        <v>174</v>
      </c>
      <c r="AD235" s="222" t="s">
        <v>166</v>
      </c>
      <c r="AE235" s="222" t="s">
        <v>170</v>
      </c>
      <c r="AF235" s="222" t="s">
        <v>174</v>
      </c>
      <c r="AG235" s="222" t="s">
        <v>170</v>
      </c>
      <c r="AH235" s="222"/>
    </row>
    <row r="236">
      <c r="A236" s="272" t="s">
        <v>1279</v>
      </c>
      <c r="B236" s="257" t="s">
        <v>2247</v>
      </c>
      <c r="C236" s="221">
        <v>240.0</v>
      </c>
      <c r="D236" s="222">
        <v>274.0</v>
      </c>
      <c r="E236" s="222">
        <v>120.0</v>
      </c>
      <c r="F236" s="222">
        <v>27.0</v>
      </c>
      <c r="G236" s="223" t="s">
        <v>164</v>
      </c>
      <c r="H236" s="221">
        <v>75.0</v>
      </c>
      <c r="I236" s="222">
        <v>75.0</v>
      </c>
      <c r="J236" s="222">
        <v>53.0</v>
      </c>
      <c r="K236" s="222">
        <v>2400.0</v>
      </c>
      <c r="L236" s="222" t="s">
        <v>44</v>
      </c>
      <c r="M236" s="223">
        <v>200.0</v>
      </c>
      <c r="N236" s="221">
        <v>2.0</v>
      </c>
      <c r="O236" s="222" t="s">
        <v>2002</v>
      </c>
      <c r="P236" s="222">
        <v>25.0</v>
      </c>
      <c r="Q236" s="222">
        <v>1800.0</v>
      </c>
      <c r="R236" s="224">
        <v>75.3</v>
      </c>
      <c r="S236" s="224">
        <v>0.81</v>
      </c>
      <c r="T236" s="225">
        <v>35.2</v>
      </c>
      <c r="U236" s="226">
        <v>52.0</v>
      </c>
      <c r="V236" s="227" t="s">
        <v>170</v>
      </c>
      <c r="W236" s="228" t="s">
        <v>170</v>
      </c>
      <c r="X236" s="222" t="s">
        <v>170</v>
      </c>
      <c r="Y236" s="223" t="s">
        <v>170</v>
      </c>
      <c r="Z236" s="221" t="s">
        <v>174</v>
      </c>
      <c r="AA236" s="222" t="s">
        <v>174</v>
      </c>
      <c r="AB236" s="222" t="s">
        <v>174</v>
      </c>
      <c r="AC236" s="222" t="s">
        <v>174</v>
      </c>
      <c r="AD236" s="222" t="s">
        <v>166</v>
      </c>
      <c r="AE236" s="222" t="s">
        <v>170</v>
      </c>
      <c r="AF236" s="222" t="s">
        <v>174</v>
      </c>
      <c r="AG236" s="222" t="s">
        <v>170</v>
      </c>
      <c r="AH236" s="222"/>
    </row>
    <row r="237">
      <c r="A237" s="272" t="s">
        <v>1279</v>
      </c>
      <c r="B237" s="257" t="s">
        <v>2248</v>
      </c>
      <c r="C237" s="221">
        <v>360.0</v>
      </c>
      <c r="D237" s="222">
        <v>394.0</v>
      </c>
      <c r="E237" s="222">
        <v>120.0</v>
      </c>
      <c r="F237" s="222">
        <v>27.0</v>
      </c>
      <c r="G237" s="223" t="s">
        <v>164</v>
      </c>
      <c r="H237" s="221">
        <v>75.0</v>
      </c>
      <c r="I237" s="222">
        <v>75.0</v>
      </c>
      <c r="J237" s="222">
        <v>53.0</v>
      </c>
      <c r="K237" s="222">
        <v>2400.0</v>
      </c>
      <c r="L237" s="222" t="s">
        <v>44</v>
      </c>
      <c r="M237" s="223">
        <v>200.0</v>
      </c>
      <c r="N237" s="221">
        <v>3.0</v>
      </c>
      <c r="O237" s="222" t="s">
        <v>2002</v>
      </c>
      <c r="P237" s="222">
        <v>25.0</v>
      </c>
      <c r="Q237" s="222">
        <v>1800.0</v>
      </c>
      <c r="R237" s="224">
        <v>75.3</v>
      </c>
      <c r="S237" s="224">
        <v>0.81</v>
      </c>
      <c r="T237" s="225">
        <v>35.2</v>
      </c>
      <c r="U237" s="226">
        <v>52.0</v>
      </c>
      <c r="V237" s="227" t="s">
        <v>170</v>
      </c>
      <c r="W237" s="228" t="s">
        <v>170</v>
      </c>
      <c r="X237" s="222" t="s">
        <v>170</v>
      </c>
      <c r="Y237" s="223" t="s">
        <v>170</v>
      </c>
      <c r="Z237" s="221" t="s">
        <v>174</v>
      </c>
      <c r="AA237" s="222" t="s">
        <v>174</v>
      </c>
      <c r="AB237" s="222" t="s">
        <v>174</v>
      </c>
      <c r="AC237" s="222" t="s">
        <v>174</v>
      </c>
      <c r="AD237" s="222" t="s">
        <v>174</v>
      </c>
      <c r="AE237" s="222" t="s">
        <v>170</v>
      </c>
      <c r="AF237" s="222" t="s">
        <v>174</v>
      </c>
      <c r="AG237" s="222" t="s">
        <v>170</v>
      </c>
      <c r="AH237" s="222"/>
    </row>
    <row r="238">
      <c r="A238" s="272" t="s">
        <v>1279</v>
      </c>
      <c r="B238" s="257" t="s">
        <v>2249</v>
      </c>
      <c r="C238" s="221">
        <v>240.0</v>
      </c>
      <c r="D238" s="222">
        <v>274.0</v>
      </c>
      <c r="E238" s="222">
        <v>120.0</v>
      </c>
      <c r="F238" s="222">
        <v>27.0</v>
      </c>
      <c r="G238" s="223" t="s">
        <v>164</v>
      </c>
      <c r="H238" s="221">
        <v>78.5</v>
      </c>
      <c r="I238" s="222">
        <v>70.0</v>
      </c>
      <c r="J238" s="222">
        <v>54.0</v>
      </c>
      <c r="K238" s="222">
        <v>2700.0</v>
      </c>
      <c r="L238" s="222" t="s">
        <v>44</v>
      </c>
      <c r="M238" s="223">
        <v>385.0</v>
      </c>
      <c r="N238" s="221">
        <v>2.0</v>
      </c>
      <c r="O238" s="222" t="s">
        <v>2002</v>
      </c>
      <c r="P238" s="222">
        <v>25.0</v>
      </c>
      <c r="Q238" s="222">
        <v>1800.0</v>
      </c>
      <c r="R238" s="224">
        <v>51.0</v>
      </c>
      <c r="S238" s="224">
        <v>1.5</v>
      </c>
      <c r="T238" s="225">
        <v>32.0</v>
      </c>
      <c r="U238" s="226">
        <v>52.0</v>
      </c>
      <c r="V238" s="227" t="s">
        <v>170</v>
      </c>
      <c r="W238" s="228" t="s">
        <v>170</v>
      </c>
      <c r="X238" s="222" t="s">
        <v>170</v>
      </c>
      <c r="Y238" s="223" t="s">
        <v>170</v>
      </c>
      <c r="Z238" s="221" t="s">
        <v>174</v>
      </c>
      <c r="AA238" s="222" t="s">
        <v>174</v>
      </c>
      <c r="AB238" s="222" t="s">
        <v>166</v>
      </c>
      <c r="AC238" s="222" t="s">
        <v>174</v>
      </c>
      <c r="AD238" s="222" t="s">
        <v>166</v>
      </c>
      <c r="AE238" s="222" t="s">
        <v>174</v>
      </c>
      <c r="AF238" s="222" t="s">
        <v>174</v>
      </c>
      <c r="AG238" s="222" t="s">
        <v>170</v>
      </c>
      <c r="AH238" s="222"/>
    </row>
    <row r="239">
      <c r="A239" s="273" t="s">
        <v>1279</v>
      </c>
      <c r="B239" s="271" t="s">
        <v>2250</v>
      </c>
      <c r="C239" s="232">
        <v>360.0</v>
      </c>
      <c r="D239" s="233">
        <v>394.0</v>
      </c>
      <c r="E239" s="233">
        <v>120.0</v>
      </c>
      <c r="F239" s="233">
        <v>27.0</v>
      </c>
      <c r="G239" s="234" t="s">
        <v>164</v>
      </c>
      <c r="H239" s="232">
        <v>78.5</v>
      </c>
      <c r="I239" s="233">
        <v>70.0</v>
      </c>
      <c r="J239" s="233">
        <v>54.0</v>
      </c>
      <c r="K239" s="233">
        <v>2700.0</v>
      </c>
      <c r="L239" s="233" t="s">
        <v>44</v>
      </c>
      <c r="M239" s="234">
        <v>450.0</v>
      </c>
      <c r="N239" s="232">
        <v>3.0</v>
      </c>
      <c r="O239" s="233" t="s">
        <v>2002</v>
      </c>
      <c r="P239" s="233">
        <v>25.0</v>
      </c>
      <c r="Q239" s="233">
        <v>1800.0</v>
      </c>
      <c r="R239" s="235">
        <v>51.0</v>
      </c>
      <c r="S239" s="235">
        <v>1.5</v>
      </c>
      <c r="T239" s="236">
        <v>32.0</v>
      </c>
      <c r="U239" s="237">
        <v>52.0</v>
      </c>
      <c r="V239" s="238" t="s">
        <v>170</v>
      </c>
      <c r="W239" s="239" t="s">
        <v>170</v>
      </c>
      <c r="X239" s="233" t="s">
        <v>170</v>
      </c>
      <c r="Y239" s="234" t="s">
        <v>170</v>
      </c>
      <c r="Z239" s="232" t="s">
        <v>174</v>
      </c>
      <c r="AA239" s="233" t="s">
        <v>174</v>
      </c>
      <c r="AB239" s="233" t="s">
        <v>166</v>
      </c>
      <c r="AC239" s="233" t="s">
        <v>174</v>
      </c>
      <c r="AD239" s="233" t="s">
        <v>166</v>
      </c>
      <c r="AE239" s="233" t="s">
        <v>174</v>
      </c>
      <c r="AF239" s="233" t="s">
        <v>174</v>
      </c>
      <c r="AG239" s="233" t="s">
        <v>170</v>
      </c>
      <c r="AH239" s="233"/>
    </row>
    <row r="240">
      <c r="A240" s="272" t="s">
        <v>1706</v>
      </c>
      <c r="B240" s="257" t="s">
        <v>2251</v>
      </c>
      <c r="C240" s="221">
        <v>240.0</v>
      </c>
      <c r="D240" s="222">
        <v>282.0</v>
      </c>
      <c r="E240" s="222">
        <v>120.0</v>
      </c>
      <c r="F240" s="222">
        <v>27.0</v>
      </c>
      <c r="G240" s="223" t="s">
        <v>164</v>
      </c>
      <c r="H240" s="221">
        <v>93.7</v>
      </c>
      <c r="I240" s="222">
        <v>93.0</v>
      </c>
      <c r="J240" s="222">
        <v>85.0</v>
      </c>
      <c r="K240" s="222">
        <v>2200.0</v>
      </c>
      <c r="L240" s="222" t="s">
        <v>44</v>
      </c>
      <c r="M240" s="223">
        <v>380.0</v>
      </c>
      <c r="N240" s="221">
        <v>2.0</v>
      </c>
      <c r="O240" s="222" t="s">
        <v>2002</v>
      </c>
      <c r="P240" s="222">
        <v>25.0</v>
      </c>
      <c r="Q240" s="222">
        <v>1800.0</v>
      </c>
      <c r="R240" s="224">
        <v>69.34</v>
      </c>
      <c r="S240" s="224">
        <v>2.42</v>
      </c>
      <c r="T240" s="225">
        <v>30.0</v>
      </c>
      <c r="U240" s="226">
        <v>52.0</v>
      </c>
      <c r="V240" s="221" t="s">
        <v>166</v>
      </c>
      <c r="W240" s="241" t="s">
        <v>174</v>
      </c>
      <c r="X240" s="222" t="s">
        <v>166</v>
      </c>
      <c r="Y240" s="223" t="s">
        <v>166</v>
      </c>
      <c r="Z240" s="221" t="s">
        <v>174</v>
      </c>
      <c r="AA240" s="222" t="s">
        <v>174</v>
      </c>
      <c r="AB240" s="222" t="s">
        <v>166</v>
      </c>
      <c r="AC240" s="222" t="s">
        <v>174</v>
      </c>
      <c r="AD240" s="222" t="s">
        <v>174</v>
      </c>
      <c r="AE240" s="222" t="s">
        <v>170</v>
      </c>
      <c r="AF240" s="222" t="s">
        <v>174</v>
      </c>
      <c r="AG240" s="229" t="s">
        <v>1706</v>
      </c>
      <c r="AH240" s="229"/>
    </row>
    <row r="241">
      <c r="A241" s="272" t="s">
        <v>1706</v>
      </c>
      <c r="B241" s="257" t="s">
        <v>2252</v>
      </c>
      <c r="C241" s="221">
        <v>240.0</v>
      </c>
      <c r="D241" s="222">
        <v>282.0</v>
      </c>
      <c r="E241" s="222">
        <v>120.0</v>
      </c>
      <c r="F241" s="222">
        <v>27.0</v>
      </c>
      <c r="G241" s="223" t="s">
        <v>164</v>
      </c>
      <c r="H241" s="221">
        <v>93.7</v>
      </c>
      <c r="I241" s="222">
        <v>93.0</v>
      </c>
      <c r="J241" s="222">
        <v>85.0</v>
      </c>
      <c r="K241" s="222">
        <v>2200.0</v>
      </c>
      <c r="L241" s="222" t="s">
        <v>44</v>
      </c>
      <c r="M241" s="223">
        <v>380.0</v>
      </c>
      <c r="N241" s="221">
        <v>2.0</v>
      </c>
      <c r="O241" s="222" t="s">
        <v>2002</v>
      </c>
      <c r="P241" s="222">
        <v>25.0</v>
      </c>
      <c r="Q241" s="222">
        <v>1800.0</v>
      </c>
      <c r="R241" s="224">
        <v>64.4</v>
      </c>
      <c r="S241" s="224">
        <v>2.33</v>
      </c>
      <c r="T241" s="225">
        <v>32.1</v>
      </c>
      <c r="U241" s="226">
        <v>52.0</v>
      </c>
      <c r="V241" s="227" t="s">
        <v>174</v>
      </c>
      <c r="W241" s="228" t="s">
        <v>166</v>
      </c>
      <c r="X241" s="222" t="s">
        <v>166</v>
      </c>
      <c r="Y241" s="223" t="s">
        <v>166</v>
      </c>
      <c r="Z241" s="221" t="s">
        <v>174</v>
      </c>
      <c r="AA241" s="222" t="s">
        <v>174</v>
      </c>
      <c r="AB241" s="222" t="s">
        <v>166</v>
      </c>
      <c r="AC241" s="222" t="s">
        <v>174</v>
      </c>
      <c r="AD241" s="222" t="s">
        <v>174</v>
      </c>
      <c r="AE241" s="222" t="s">
        <v>170</v>
      </c>
      <c r="AF241" s="222" t="s">
        <v>174</v>
      </c>
      <c r="AG241" s="229" t="s">
        <v>1706</v>
      </c>
      <c r="AH241" s="229"/>
    </row>
    <row r="242">
      <c r="A242" s="272" t="s">
        <v>1706</v>
      </c>
      <c r="B242" s="257" t="s">
        <v>2253</v>
      </c>
      <c r="C242" s="221">
        <v>240.0</v>
      </c>
      <c r="D242" s="222">
        <v>282.0</v>
      </c>
      <c r="E242" s="222">
        <v>120.0</v>
      </c>
      <c r="F242" s="222">
        <v>27.0</v>
      </c>
      <c r="G242" s="223" t="s">
        <v>164</v>
      </c>
      <c r="H242" s="221">
        <v>93.7</v>
      </c>
      <c r="I242" s="222">
        <v>93.0</v>
      </c>
      <c r="J242" s="222">
        <v>85.0</v>
      </c>
      <c r="K242" s="222">
        <v>2200.0</v>
      </c>
      <c r="L242" s="222" t="s">
        <v>44</v>
      </c>
      <c r="M242" s="223">
        <v>380.0</v>
      </c>
      <c r="N242" s="221">
        <v>2.0</v>
      </c>
      <c r="O242" s="222" t="s">
        <v>2002</v>
      </c>
      <c r="P242" s="222">
        <v>25.0</v>
      </c>
      <c r="Q242" s="222">
        <v>1800.0</v>
      </c>
      <c r="R242" s="224">
        <v>64.4</v>
      </c>
      <c r="S242" s="224">
        <v>2.33</v>
      </c>
      <c r="T242" s="225">
        <v>32.1</v>
      </c>
      <c r="U242" s="226">
        <v>52.0</v>
      </c>
      <c r="V242" s="227" t="s">
        <v>174</v>
      </c>
      <c r="W242" s="228" t="s">
        <v>166</v>
      </c>
      <c r="X242" s="222" t="s">
        <v>166</v>
      </c>
      <c r="Y242" s="223" t="s">
        <v>166</v>
      </c>
      <c r="Z242" s="221" t="s">
        <v>174</v>
      </c>
      <c r="AA242" s="222" t="s">
        <v>174</v>
      </c>
      <c r="AB242" s="222" t="s">
        <v>166</v>
      </c>
      <c r="AC242" s="222" t="s">
        <v>174</v>
      </c>
      <c r="AD242" s="222" t="s">
        <v>174</v>
      </c>
      <c r="AE242" s="222" t="s">
        <v>170</v>
      </c>
      <c r="AF242" s="222" t="s">
        <v>174</v>
      </c>
      <c r="AG242" s="229" t="s">
        <v>1706</v>
      </c>
      <c r="AH242" s="229"/>
    </row>
    <row r="243">
      <c r="A243" s="272" t="s">
        <v>1706</v>
      </c>
      <c r="B243" s="257" t="s">
        <v>2254</v>
      </c>
      <c r="C243" s="221">
        <v>360.0</v>
      </c>
      <c r="D243" s="222">
        <v>402.0</v>
      </c>
      <c r="E243" s="222">
        <v>120.0</v>
      </c>
      <c r="F243" s="222">
        <v>27.0</v>
      </c>
      <c r="G243" s="223" t="s">
        <v>164</v>
      </c>
      <c r="H243" s="221">
        <v>93.7</v>
      </c>
      <c r="I243" s="222">
        <v>93.0</v>
      </c>
      <c r="J243" s="222">
        <v>85.0</v>
      </c>
      <c r="K243" s="222">
        <v>2300.0</v>
      </c>
      <c r="L243" s="222" t="s">
        <v>44</v>
      </c>
      <c r="M243" s="223">
        <v>465.0</v>
      </c>
      <c r="N243" s="221">
        <v>3.0</v>
      </c>
      <c r="O243" s="222" t="s">
        <v>2002</v>
      </c>
      <c r="P243" s="222">
        <v>25.0</v>
      </c>
      <c r="Q243" s="222">
        <v>1800.0</v>
      </c>
      <c r="R243" s="224">
        <v>64.4</v>
      </c>
      <c r="S243" s="224">
        <v>2.33</v>
      </c>
      <c r="T243" s="225">
        <v>32.1</v>
      </c>
      <c r="U243" s="226">
        <v>52.0</v>
      </c>
      <c r="V243" s="227" t="s">
        <v>174</v>
      </c>
      <c r="W243" s="228" t="s">
        <v>166</v>
      </c>
      <c r="X243" s="222" t="s">
        <v>166</v>
      </c>
      <c r="Y243" s="223" t="s">
        <v>166</v>
      </c>
      <c r="Z243" s="221" t="s">
        <v>174</v>
      </c>
      <c r="AA243" s="222" t="s">
        <v>174</v>
      </c>
      <c r="AB243" s="222" t="s">
        <v>166</v>
      </c>
      <c r="AC243" s="222" t="s">
        <v>174</v>
      </c>
      <c r="AD243" s="222" t="s">
        <v>174</v>
      </c>
      <c r="AE243" s="222" t="s">
        <v>170</v>
      </c>
      <c r="AF243" s="222" t="s">
        <v>174</v>
      </c>
      <c r="AG243" s="229" t="s">
        <v>1706</v>
      </c>
      <c r="AH243" s="229"/>
    </row>
    <row r="244">
      <c r="A244" s="272" t="s">
        <v>1706</v>
      </c>
      <c r="B244" s="257" t="s">
        <v>2255</v>
      </c>
      <c r="C244" s="221">
        <v>120.0</v>
      </c>
      <c r="D244" s="222">
        <v>159.0</v>
      </c>
      <c r="E244" s="222">
        <v>120.0</v>
      </c>
      <c r="F244" s="222">
        <v>27.0</v>
      </c>
      <c r="G244" s="223" t="s">
        <v>164</v>
      </c>
      <c r="H244" s="221">
        <v>86.0</v>
      </c>
      <c r="I244" s="222">
        <v>75.0</v>
      </c>
      <c r="J244" s="222">
        <v>65.0</v>
      </c>
      <c r="K244" s="222">
        <v>2550.0</v>
      </c>
      <c r="L244" s="222" t="s">
        <v>44</v>
      </c>
      <c r="M244" s="223">
        <v>310.0</v>
      </c>
      <c r="N244" s="221">
        <v>1.0</v>
      </c>
      <c r="O244" s="222" t="s">
        <v>2002</v>
      </c>
      <c r="P244" s="222">
        <v>25.0</v>
      </c>
      <c r="Q244" s="222">
        <v>1800.0</v>
      </c>
      <c r="R244" s="224">
        <v>69.34</v>
      </c>
      <c r="S244" s="224">
        <v>2.42</v>
      </c>
      <c r="T244" s="225">
        <v>30.0</v>
      </c>
      <c r="U244" s="226">
        <v>52.0</v>
      </c>
      <c r="V244" s="227" t="s">
        <v>174</v>
      </c>
      <c r="W244" s="228" t="s">
        <v>166</v>
      </c>
      <c r="X244" s="222" t="s">
        <v>166</v>
      </c>
      <c r="Y244" s="223" t="s">
        <v>166</v>
      </c>
      <c r="Z244" s="221" t="s">
        <v>166</v>
      </c>
      <c r="AA244" s="222" t="s">
        <v>174</v>
      </c>
      <c r="AB244" s="222" t="s">
        <v>166</v>
      </c>
      <c r="AC244" s="222" t="s">
        <v>174</v>
      </c>
      <c r="AD244" s="222" t="s">
        <v>166</v>
      </c>
      <c r="AE244" s="222" t="s">
        <v>174</v>
      </c>
      <c r="AF244" s="222" t="s">
        <v>174</v>
      </c>
      <c r="AG244" s="229" t="s">
        <v>1706</v>
      </c>
      <c r="AH244" s="229"/>
    </row>
    <row r="245">
      <c r="A245" s="272" t="s">
        <v>1706</v>
      </c>
      <c r="B245" s="257" t="s">
        <v>2256</v>
      </c>
      <c r="C245" s="221">
        <v>240.0</v>
      </c>
      <c r="D245" s="222">
        <v>282.0</v>
      </c>
      <c r="E245" s="222">
        <v>120.0</v>
      </c>
      <c r="F245" s="222">
        <v>27.0</v>
      </c>
      <c r="G245" s="223" t="s">
        <v>164</v>
      </c>
      <c r="H245" s="221">
        <v>86.0</v>
      </c>
      <c r="I245" s="222">
        <v>75.0</v>
      </c>
      <c r="J245" s="222">
        <v>71.0</v>
      </c>
      <c r="K245" s="222">
        <v>2550.0</v>
      </c>
      <c r="L245" s="222" t="s">
        <v>44</v>
      </c>
      <c r="M245" s="223">
        <v>380.0</v>
      </c>
      <c r="N245" s="221">
        <v>2.0</v>
      </c>
      <c r="O245" s="222" t="s">
        <v>2002</v>
      </c>
      <c r="P245" s="222">
        <v>25.0</v>
      </c>
      <c r="Q245" s="222">
        <v>1800.0</v>
      </c>
      <c r="R245" s="224">
        <v>64.4</v>
      </c>
      <c r="S245" s="224">
        <v>2.33</v>
      </c>
      <c r="T245" s="225">
        <v>32.1</v>
      </c>
      <c r="U245" s="226">
        <v>52.0</v>
      </c>
      <c r="V245" s="227" t="s">
        <v>166</v>
      </c>
      <c r="W245" s="228" t="s">
        <v>174</v>
      </c>
      <c r="X245" s="222" t="s">
        <v>166</v>
      </c>
      <c r="Y245" s="223" t="s">
        <v>166</v>
      </c>
      <c r="Z245" s="221" t="s">
        <v>174</v>
      </c>
      <c r="AA245" s="222" t="s">
        <v>174</v>
      </c>
      <c r="AB245" s="222" t="s">
        <v>166</v>
      </c>
      <c r="AC245" s="222" t="s">
        <v>174</v>
      </c>
      <c r="AD245" s="222" t="s">
        <v>174</v>
      </c>
      <c r="AE245" s="222" t="s">
        <v>174</v>
      </c>
      <c r="AF245" s="222" t="s">
        <v>174</v>
      </c>
      <c r="AG245" s="229" t="s">
        <v>1706</v>
      </c>
      <c r="AH245" s="229"/>
    </row>
    <row r="246">
      <c r="A246" s="272" t="s">
        <v>1706</v>
      </c>
      <c r="B246" s="257" t="s">
        <v>2257</v>
      </c>
      <c r="C246" s="221">
        <v>240.0</v>
      </c>
      <c r="D246" s="222">
        <v>282.0</v>
      </c>
      <c r="E246" s="222">
        <v>120.0</v>
      </c>
      <c r="F246" s="222">
        <v>27.0</v>
      </c>
      <c r="G246" s="223" t="s">
        <v>164</v>
      </c>
      <c r="H246" s="221">
        <v>86.0</v>
      </c>
      <c r="I246" s="222">
        <v>75.0</v>
      </c>
      <c r="J246" s="222">
        <v>71.0</v>
      </c>
      <c r="K246" s="222">
        <v>2550.0</v>
      </c>
      <c r="L246" s="222" t="s">
        <v>44</v>
      </c>
      <c r="M246" s="223">
        <v>380.0</v>
      </c>
      <c r="N246" s="221">
        <v>2.0</v>
      </c>
      <c r="O246" s="222" t="s">
        <v>2002</v>
      </c>
      <c r="P246" s="222">
        <v>25.0</v>
      </c>
      <c r="Q246" s="222">
        <v>1800.0</v>
      </c>
      <c r="R246" s="224">
        <v>69.34</v>
      </c>
      <c r="S246" s="224">
        <v>2.42</v>
      </c>
      <c r="T246" s="225">
        <v>30.0</v>
      </c>
      <c r="U246" s="226">
        <v>52.0</v>
      </c>
      <c r="V246" s="227" t="s">
        <v>166</v>
      </c>
      <c r="W246" s="228" t="s">
        <v>174</v>
      </c>
      <c r="X246" s="222" t="s">
        <v>166</v>
      </c>
      <c r="Y246" s="223" t="s">
        <v>166</v>
      </c>
      <c r="Z246" s="221" t="s">
        <v>166</v>
      </c>
      <c r="AA246" s="222" t="s">
        <v>174</v>
      </c>
      <c r="AB246" s="222" t="s">
        <v>166</v>
      </c>
      <c r="AC246" s="222" t="s">
        <v>174</v>
      </c>
      <c r="AD246" s="222" t="s">
        <v>166</v>
      </c>
      <c r="AE246" s="222" t="s">
        <v>174</v>
      </c>
      <c r="AF246" s="222" t="s">
        <v>174</v>
      </c>
      <c r="AG246" s="229" t="s">
        <v>1706</v>
      </c>
      <c r="AH246" s="229"/>
    </row>
    <row r="247">
      <c r="A247" s="272" t="s">
        <v>1706</v>
      </c>
      <c r="B247" s="257" t="s">
        <v>2258</v>
      </c>
      <c r="C247" s="221">
        <v>240.0</v>
      </c>
      <c r="D247" s="222">
        <v>282.0</v>
      </c>
      <c r="E247" s="222">
        <v>120.0</v>
      </c>
      <c r="F247" s="222">
        <v>27.0</v>
      </c>
      <c r="G247" s="223" t="s">
        <v>164</v>
      </c>
      <c r="H247" s="221">
        <v>86.0</v>
      </c>
      <c r="I247" s="222">
        <v>75.0</v>
      </c>
      <c r="J247" s="222">
        <v>71.0</v>
      </c>
      <c r="K247" s="222">
        <v>2550.0</v>
      </c>
      <c r="L247" s="222" t="s">
        <v>44</v>
      </c>
      <c r="M247" s="223">
        <v>380.0</v>
      </c>
      <c r="N247" s="221">
        <v>2.0</v>
      </c>
      <c r="O247" s="222" t="s">
        <v>2002</v>
      </c>
      <c r="P247" s="222">
        <v>25.0</v>
      </c>
      <c r="Q247" s="222">
        <v>1800.0</v>
      </c>
      <c r="R247" s="224">
        <v>69.34</v>
      </c>
      <c r="S247" s="224">
        <v>2.42</v>
      </c>
      <c r="T247" s="225">
        <v>30.0</v>
      </c>
      <c r="U247" s="226">
        <v>52.0</v>
      </c>
      <c r="V247" s="227" t="s">
        <v>166</v>
      </c>
      <c r="W247" s="228" t="s">
        <v>174</v>
      </c>
      <c r="X247" s="222" t="s">
        <v>166</v>
      </c>
      <c r="Y247" s="223" t="s">
        <v>166</v>
      </c>
      <c r="Z247" s="221" t="s">
        <v>166</v>
      </c>
      <c r="AA247" s="222" t="s">
        <v>174</v>
      </c>
      <c r="AB247" s="222" t="s">
        <v>166</v>
      </c>
      <c r="AC247" s="222" t="s">
        <v>174</v>
      </c>
      <c r="AD247" s="222" t="s">
        <v>166</v>
      </c>
      <c r="AE247" s="222" t="s">
        <v>174</v>
      </c>
      <c r="AF247" s="222" t="s">
        <v>174</v>
      </c>
      <c r="AG247" s="229" t="s">
        <v>1706</v>
      </c>
      <c r="AH247" s="229"/>
    </row>
    <row r="248">
      <c r="A248" s="272" t="s">
        <v>1706</v>
      </c>
      <c r="B248" s="257" t="s">
        <v>2259</v>
      </c>
      <c r="C248" s="221">
        <v>240.0</v>
      </c>
      <c r="D248" s="222">
        <v>282.0</v>
      </c>
      <c r="E248" s="222">
        <v>120.0</v>
      </c>
      <c r="F248" s="222">
        <v>27.0</v>
      </c>
      <c r="G248" s="223" t="s">
        <v>164</v>
      </c>
      <c r="H248" s="221">
        <v>86.0</v>
      </c>
      <c r="I248" s="222">
        <v>75.0</v>
      </c>
      <c r="J248" s="222">
        <v>71.0</v>
      </c>
      <c r="K248" s="222">
        <v>2550.0</v>
      </c>
      <c r="L248" s="222" t="s">
        <v>44</v>
      </c>
      <c r="M248" s="223">
        <v>380.0</v>
      </c>
      <c r="N248" s="221">
        <v>2.0</v>
      </c>
      <c r="O248" s="222" t="s">
        <v>2002</v>
      </c>
      <c r="P248" s="222">
        <v>28.0</v>
      </c>
      <c r="Q248" s="222">
        <v>1800.0</v>
      </c>
      <c r="R248" s="224">
        <v>60.6</v>
      </c>
      <c r="S248" s="224">
        <v>1.73</v>
      </c>
      <c r="T248" s="225">
        <v>35.0</v>
      </c>
      <c r="U248" s="226">
        <v>55.0</v>
      </c>
      <c r="V248" s="227" t="s">
        <v>166</v>
      </c>
      <c r="W248" s="228" t="s">
        <v>174</v>
      </c>
      <c r="X248" s="222" t="s">
        <v>166</v>
      </c>
      <c r="Y248" s="223" t="s">
        <v>166</v>
      </c>
      <c r="Z248" s="221" t="s">
        <v>174</v>
      </c>
      <c r="AA248" s="222" t="s">
        <v>174</v>
      </c>
      <c r="AB248" s="222" t="s">
        <v>166</v>
      </c>
      <c r="AC248" s="222" t="s">
        <v>174</v>
      </c>
      <c r="AD248" s="222" t="s">
        <v>174</v>
      </c>
      <c r="AE248" s="222" t="s">
        <v>174</v>
      </c>
      <c r="AF248" s="222" t="s">
        <v>174</v>
      </c>
      <c r="AG248" s="229" t="s">
        <v>1706</v>
      </c>
      <c r="AH248" s="229"/>
    </row>
    <row r="249">
      <c r="A249" s="272" t="s">
        <v>1706</v>
      </c>
      <c r="B249" s="257" t="s">
        <v>2260</v>
      </c>
      <c r="C249" s="221">
        <v>240.0</v>
      </c>
      <c r="D249" s="222">
        <v>282.0</v>
      </c>
      <c r="E249" s="222">
        <v>120.0</v>
      </c>
      <c r="F249" s="222">
        <v>27.0</v>
      </c>
      <c r="G249" s="223" t="s">
        <v>164</v>
      </c>
      <c r="H249" s="221">
        <v>86.0</v>
      </c>
      <c r="I249" s="222">
        <v>75.0</v>
      </c>
      <c r="J249" s="222">
        <v>71.0</v>
      </c>
      <c r="K249" s="222">
        <v>2550.0</v>
      </c>
      <c r="L249" s="222" t="s">
        <v>44</v>
      </c>
      <c r="M249" s="223">
        <v>380.0</v>
      </c>
      <c r="N249" s="221">
        <v>2.0</v>
      </c>
      <c r="O249" s="222" t="s">
        <v>2002</v>
      </c>
      <c r="P249" s="222">
        <v>25.0</v>
      </c>
      <c r="Q249" s="222">
        <v>1800.0</v>
      </c>
      <c r="R249" s="224">
        <v>64.4</v>
      </c>
      <c r="S249" s="224">
        <v>2.33</v>
      </c>
      <c r="T249" s="225">
        <v>32.1</v>
      </c>
      <c r="U249" s="226">
        <v>52.0</v>
      </c>
      <c r="V249" s="227" t="s">
        <v>166</v>
      </c>
      <c r="W249" s="228" t="s">
        <v>174</v>
      </c>
      <c r="X249" s="222" t="s">
        <v>166</v>
      </c>
      <c r="Y249" s="223" t="s">
        <v>166</v>
      </c>
      <c r="Z249" s="221" t="s">
        <v>174</v>
      </c>
      <c r="AA249" s="222" t="s">
        <v>174</v>
      </c>
      <c r="AB249" s="222" t="s">
        <v>166</v>
      </c>
      <c r="AC249" s="222" t="s">
        <v>174</v>
      </c>
      <c r="AD249" s="222" t="s">
        <v>174</v>
      </c>
      <c r="AE249" s="222" t="s">
        <v>174</v>
      </c>
      <c r="AF249" s="222" t="s">
        <v>174</v>
      </c>
      <c r="AG249" s="229" t="s">
        <v>1706</v>
      </c>
      <c r="AH249" s="229"/>
    </row>
    <row r="250">
      <c r="A250" s="272" t="s">
        <v>1706</v>
      </c>
      <c r="B250" s="257" t="s">
        <v>2261</v>
      </c>
      <c r="C250" s="221">
        <v>240.0</v>
      </c>
      <c r="D250" s="222">
        <v>282.0</v>
      </c>
      <c r="E250" s="222">
        <v>120.0</v>
      </c>
      <c r="F250" s="222">
        <v>27.0</v>
      </c>
      <c r="G250" s="223" t="s">
        <v>164</v>
      </c>
      <c r="H250" s="221">
        <v>86.0</v>
      </c>
      <c r="I250" s="222">
        <v>75.0</v>
      </c>
      <c r="J250" s="222">
        <v>65.0</v>
      </c>
      <c r="K250" s="222">
        <v>2550.0</v>
      </c>
      <c r="L250" s="222" t="s">
        <v>44</v>
      </c>
      <c r="M250" s="223">
        <v>380.0</v>
      </c>
      <c r="N250" s="221">
        <v>2.0</v>
      </c>
      <c r="O250" s="222" t="s">
        <v>2002</v>
      </c>
      <c r="P250" s="222">
        <v>25.0</v>
      </c>
      <c r="Q250" s="222">
        <v>1800.0</v>
      </c>
      <c r="R250" s="224">
        <v>69.34</v>
      </c>
      <c r="S250" s="224">
        <v>2.42</v>
      </c>
      <c r="T250" s="225">
        <v>30.0</v>
      </c>
      <c r="U250" s="226">
        <v>52.0</v>
      </c>
      <c r="V250" s="227" t="s">
        <v>174</v>
      </c>
      <c r="W250" s="228" t="s">
        <v>166</v>
      </c>
      <c r="X250" s="222" t="s">
        <v>166</v>
      </c>
      <c r="Y250" s="223" t="s">
        <v>166</v>
      </c>
      <c r="Z250" s="221" t="s">
        <v>166</v>
      </c>
      <c r="AA250" s="222" t="s">
        <v>174</v>
      </c>
      <c r="AB250" s="222" t="s">
        <v>166</v>
      </c>
      <c r="AC250" s="222" t="s">
        <v>174</v>
      </c>
      <c r="AD250" s="222" t="s">
        <v>166</v>
      </c>
      <c r="AE250" s="222" t="s">
        <v>174</v>
      </c>
      <c r="AF250" s="222" t="s">
        <v>174</v>
      </c>
      <c r="AG250" s="229" t="s">
        <v>1706</v>
      </c>
      <c r="AH250" s="229"/>
    </row>
    <row r="251">
      <c r="A251" s="272" t="s">
        <v>1706</v>
      </c>
      <c r="B251" s="257" t="s">
        <v>2262</v>
      </c>
      <c r="C251" s="221">
        <v>240.0</v>
      </c>
      <c r="D251" s="222">
        <v>282.0</v>
      </c>
      <c r="E251" s="222">
        <v>120.0</v>
      </c>
      <c r="F251" s="222">
        <v>27.0</v>
      </c>
      <c r="G251" s="223" t="s">
        <v>164</v>
      </c>
      <c r="H251" s="221">
        <v>91.0</v>
      </c>
      <c r="I251" s="222">
        <v>79.0</v>
      </c>
      <c r="J251" s="222">
        <v>71.0</v>
      </c>
      <c r="K251" s="222">
        <v>2550.0</v>
      </c>
      <c r="L251" s="222" t="s">
        <v>44</v>
      </c>
      <c r="M251" s="223">
        <v>380.0</v>
      </c>
      <c r="N251" s="221">
        <v>2.0</v>
      </c>
      <c r="O251" s="222" t="s">
        <v>2002</v>
      </c>
      <c r="P251" s="222">
        <v>25.0</v>
      </c>
      <c r="Q251" s="222">
        <v>1800.0</v>
      </c>
      <c r="R251" s="224">
        <v>69.34</v>
      </c>
      <c r="S251" s="224">
        <v>2.42</v>
      </c>
      <c r="T251" s="225">
        <v>30.0</v>
      </c>
      <c r="U251" s="226">
        <v>52.0</v>
      </c>
      <c r="V251" s="227" t="s">
        <v>166</v>
      </c>
      <c r="W251" s="228" t="s">
        <v>174</v>
      </c>
      <c r="X251" s="222" t="s">
        <v>166</v>
      </c>
      <c r="Y251" s="223" t="s">
        <v>166</v>
      </c>
      <c r="Z251" s="221" t="s">
        <v>174</v>
      </c>
      <c r="AA251" s="222" t="s">
        <v>174</v>
      </c>
      <c r="AB251" s="222" t="s">
        <v>166</v>
      </c>
      <c r="AC251" s="222" t="s">
        <v>174</v>
      </c>
      <c r="AD251" s="222" t="s">
        <v>174</v>
      </c>
      <c r="AE251" s="222" t="s">
        <v>174</v>
      </c>
      <c r="AF251" s="222" t="s">
        <v>174</v>
      </c>
      <c r="AG251" s="229" t="s">
        <v>1706</v>
      </c>
      <c r="AH251" s="229"/>
    </row>
    <row r="252">
      <c r="A252" s="272" t="s">
        <v>1706</v>
      </c>
      <c r="B252" s="257" t="s">
        <v>2263</v>
      </c>
      <c r="C252" s="221">
        <v>280.0</v>
      </c>
      <c r="D252" s="222">
        <v>322.0</v>
      </c>
      <c r="E252" s="222">
        <v>138.0</v>
      </c>
      <c r="F252" s="222">
        <v>27.0</v>
      </c>
      <c r="G252" s="223" t="s">
        <v>164</v>
      </c>
      <c r="H252" s="221">
        <v>86.0</v>
      </c>
      <c r="I252" s="222">
        <v>75.0</v>
      </c>
      <c r="J252" s="222">
        <v>71.0</v>
      </c>
      <c r="K252" s="222">
        <v>2550.0</v>
      </c>
      <c r="L252" s="222" t="s">
        <v>44</v>
      </c>
      <c r="M252" s="223">
        <v>380.0</v>
      </c>
      <c r="N252" s="221">
        <v>2.0</v>
      </c>
      <c r="O252" s="222" t="s">
        <v>2018</v>
      </c>
      <c r="P252" s="222">
        <v>25.0</v>
      </c>
      <c r="Q252" s="222">
        <v>1600.0</v>
      </c>
      <c r="R252" s="224">
        <v>97.03</v>
      </c>
      <c r="S252" s="224">
        <v>2.0</v>
      </c>
      <c r="T252" s="225">
        <v>39.8</v>
      </c>
      <c r="U252" s="226">
        <v>52.0</v>
      </c>
      <c r="V252" s="227" t="s">
        <v>166</v>
      </c>
      <c r="W252" s="228" t="s">
        <v>174</v>
      </c>
      <c r="X252" s="222" t="s">
        <v>166</v>
      </c>
      <c r="Y252" s="223" t="s">
        <v>166</v>
      </c>
      <c r="Z252" s="221" t="s">
        <v>174</v>
      </c>
      <c r="AA252" s="222" t="s">
        <v>174</v>
      </c>
      <c r="AB252" s="222" t="s">
        <v>166</v>
      </c>
      <c r="AC252" s="222" t="s">
        <v>174</v>
      </c>
      <c r="AD252" s="222" t="s">
        <v>174</v>
      </c>
      <c r="AE252" s="222" t="s">
        <v>170</v>
      </c>
      <c r="AF252" s="222" t="s">
        <v>174</v>
      </c>
      <c r="AG252" s="229" t="s">
        <v>1706</v>
      </c>
      <c r="AH252" s="229"/>
    </row>
    <row r="253">
      <c r="A253" s="272" t="s">
        <v>1706</v>
      </c>
      <c r="B253" s="257" t="s">
        <v>2264</v>
      </c>
      <c r="C253" s="221">
        <v>360.0</v>
      </c>
      <c r="D253" s="222">
        <v>402.0</v>
      </c>
      <c r="E253" s="222">
        <v>120.0</v>
      </c>
      <c r="F253" s="222">
        <v>27.0</v>
      </c>
      <c r="G253" s="223" t="s">
        <v>164</v>
      </c>
      <c r="H253" s="221">
        <v>86.0</v>
      </c>
      <c r="I253" s="222">
        <v>75.0</v>
      </c>
      <c r="J253" s="222">
        <v>71.0</v>
      </c>
      <c r="K253" s="222">
        <v>2550.0</v>
      </c>
      <c r="L253" s="222" t="s">
        <v>44</v>
      </c>
      <c r="M253" s="223">
        <v>465.0</v>
      </c>
      <c r="N253" s="221">
        <v>3.0</v>
      </c>
      <c r="O253" s="222" t="s">
        <v>2002</v>
      </c>
      <c r="P253" s="222">
        <v>25.0</v>
      </c>
      <c r="Q253" s="222">
        <v>1800.0</v>
      </c>
      <c r="R253" s="224">
        <v>64.4</v>
      </c>
      <c r="S253" s="224">
        <v>2.33</v>
      </c>
      <c r="T253" s="225">
        <v>32.1</v>
      </c>
      <c r="U253" s="226">
        <v>52.0</v>
      </c>
      <c r="V253" s="227" t="s">
        <v>166</v>
      </c>
      <c r="W253" s="228" t="s">
        <v>174</v>
      </c>
      <c r="X253" s="222" t="s">
        <v>166</v>
      </c>
      <c r="Y253" s="223" t="s">
        <v>166</v>
      </c>
      <c r="Z253" s="221" t="s">
        <v>166</v>
      </c>
      <c r="AA253" s="222" t="s">
        <v>174</v>
      </c>
      <c r="AB253" s="222" t="s">
        <v>166</v>
      </c>
      <c r="AC253" s="222" t="s">
        <v>174</v>
      </c>
      <c r="AD253" s="222" t="s">
        <v>166</v>
      </c>
      <c r="AE253" s="222" t="s">
        <v>174</v>
      </c>
      <c r="AF253" s="222" t="s">
        <v>174</v>
      </c>
      <c r="AG253" s="229" t="s">
        <v>1706</v>
      </c>
      <c r="AH253" s="229"/>
    </row>
    <row r="254">
      <c r="A254" s="272" t="s">
        <v>1706</v>
      </c>
      <c r="B254" s="257" t="s">
        <v>2265</v>
      </c>
      <c r="C254" s="221">
        <v>360.0</v>
      </c>
      <c r="D254" s="222">
        <v>402.0</v>
      </c>
      <c r="E254" s="222">
        <v>120.0</v>
      </c>
      <c r="F254" s="222">
        <v>27.0</v>
      </c>
      <c r="G254" s="223" t="s">
        <v>164</v>
      </c>
      <c r="H254" s="221">
        <v>86.0</v>
      </c>
      <c r="I254" s="222">
        <v>75.0</v>
      </c>
      <c r="J254" s="222">
        <v>71.0</v>
      </c>
      <c r="K254" s="222">
        <v>2550.0</v>
      </c>
      <c r="L254" s="222" t="s">
        <v>44</v>
      </c>
      <c r="M254" s="223">
        <v>465.0</v>
      </c>
      <c r="N254" s="221">
        <v>3.0</v>
      </c>
      <c r="O254" s="222" t="s">
        <v>2002</v>
      </c>
      <c r="P254" s="222">
        <v>25.0</v>
      </c>
      <c r="Q254" s="222">
        <v>1800.0</v>
      </c>
      <c r="R254" s="224">
        <v>69.34</v>
      </c>
      <c r="S254" s="224">
        <v>2.42</v>
      </c>
      <c r="T254" s="225">
        <v>30.0</v>
      </c>
      <c r="U254" s="226">
        <v>52.0</v>
      </c>
      <c r="V254" s="227" t="s">
        <v>166</v>
      </c>
      <c r="W254" s="228" t="s">
        <v>174</v>
      </c>
      <c r="X254" s="222" t="s">
        <v>166</v>
      </c>
      <c r="Y254" s="223" t="s">
        <v>166</v>
      </c>
      <c r="Z254" s="221" t="s">
        <v>166</v>
      </c>
      <c r="AA254" s="222" t="s">
        <v>174</v>
      </c>
      <c r="AB254" s="222" t="s">
        <v>166</v>
      </c>
      <c r="AC254" s="222" t="s">
        <v>174</v>
      </c>
      <c r="AD254" s="222" t="s">
        <v>166</v>
      </c>
      <c r="AE254" s="222" t="s">
        <v>174</v>
      </c>
      <c r="AF254" s="222" t="s">
        <v>174</v>
      </c>
      <c r="AG254" s="229" t="s">
        <v>1706</v>
      </c>
      <c r="AH254" s="229"/>
    </row>
    <row r="255">
      <c r="A255" s="272" t="s">
        <v>1706</v>
      </c>
      <c r="B255" s="257" t="s">
        <v>2266</v>
      </c>
      <c r="C255" s="221">
        <v>360.0</v>
      </c>
      <c r="D255" s="222">
        <v>402.0</v>
      </c>
      <c r="E255" s="222">
        <v>120.0</v>
      </c>
      <c r="F255" s="222">
        <v>27.0</v>
      </c>
      <c r="G255" s="223" t="s">
        <v>164</v>
      </c>
      <c r="H255" s="221">
        <v>86.0</v>
      </c>
      <c r="I255" s="222">
        <v>75.0</v>
      </c>
      <c r="J255" s="222">
        <v>71.0</v>
      </c>
      <c r="K255" s="222">
        <v>2550.0</v>
      </c>
      <c r="L255" s="222" t="s">
        <v>44</v>
      </c>
      <c r="M255" s="223">
        <v>465.0</v>
      </c>
      <c r="N255" s="221">
        <v>3.0</v>
      </c>
      <c r="O255" s="222" t="s">
        <v>2002</v>
      </c>
      <c r="P255" s="222">
        <v>25.0</v>
      </c>
      <c r="Q255" s="222">
        <v>1800.0</v>
      </c>
      <c r="R255" s="224">
        <v>69.34</v>
      </c>
      <c r="S255" s="224">
        <v>2.42</v>
      </c>
      <c r="T255" s="225">
        <v>30.0</v>
      </c>
      <c r="U255" s="226">
        <v>52.0</v>
      </c>
      <c r="V255" s="227" t="s">
        <v>166</v>
      </c>
      <c r="W255" s="228" t="s">
        <v>174</v>
      </c>
      <c r="X255" s="222" t="s">
        <v>166</v>
      </c>
      <c r="Y255" s="223" t="s">
        <v>166</v>
      </c>
      <c r="Z255" s="221" t="s">
        <v>166</v>
      </c>
      <c r="AA255" s="222" t="s">
        <v>174</v>
      </c>
      <c r="AB255" s="222" t="s">
        <v>166</v>
      </c>
      <c r="AC255" s="222" t="s">
        <v>174</v>
      </c>
      <c r="AD255" s="222" t="s">
        <v>166</v>
      </c>
      <c r="AE255" s="222" t="s">
        <v>174</v>
      </c>
      <c r="AF255" s="222" t="s">
        <v>174</v>
      </c>
      <c r="AG255" s="229" t="s">
        <v>1706</v>
      </c>
      <c r="AH255" s="229"/>
    </row>
    <row r="256">
      <c r="A256" s="272" t="s">
        <v>1706</v>
      </c>
      <c r="B256" s="257" t="s">
        <v>2267</v>
      </c>
      <c r="C256" s="221">
        <v>360.0</v>
      </c>
      <c r="D256" s="222">
        <v>402.0</v>
      </c>
      <c r="E256" s="222">
        <v>120.0</v>
      </c>
      <c r="F256" s="222">
        <v>27.0</v>
      </c>
      <c r="G256" s="223" t="s">
        <v>164</v>
      </c>
      <c r="H256" s="221">
        <v>86.0</v>
      </c>
      <c r="I256" s="222">
        <v>75.0</v>
      </c>
      <c r="J256" s="222">
        <v>71.0</v>
      </c>
      <c r="K256" s="222">
        <v>2550.0</v>
      </c>
      <c r="L256" s="222" t="s">
        <v>44</v>
      </c>
      <c r="M256" s="223">
        <v>465.0</v>
      </c>
      <c r="N256" s="221">
        <v>3.0</v>
      </c>
      <c r="O256" s="222" t="s">
        <v>2002</v>
      </c>
      <c r="P256" s="222">
        <v>27.0</v>
      </c>
      <c r="Q256" s="222">
        <v>1800.0</v>
      </c>
      <c r="R256" s="224">
        <v>60.6</v>
      </c>
      <c r="S256" s="224">
        <v>1.73</v>
      </c>
      <c r="T256" s="225">
        <v>35.0</v>
      </c>
      <c r="U256" s="226">
        <v>54.0</v>
      </c>
      <c r="V256" s="227" t="s">
        <v>166</v>
      </c>
      <c r="W256" s="228" t="s">
        <v>174</v>
      </c>
      <c r="X256" s="222" t="s">
        <v>166</v>
      </c>
      <c r="Y256" s="223" t="s">
        <v>166</v>
      </c>
      <c r="Z256" s="221" t="s">
        <v>174</v>
      </c>
      <c r="AA256" s="222" t="s">
        <v>174</v>
      </c>
      <c r="AB256" s="222" t="s">
        <v>166</v>
      </c>
      <c r="AC256" s="222" t="s">
        <v>174</v>
      </c>
      <c r="AD256" s="222" t="s">
        <v>174</v>
      </c>
      <c r="AE256" s="222" t="s">
        <v>174</v>
      </c>
      <c r="AF256" s="222" t="s">
        <v>174</v>
      </c>
      <c r="AG256" s="229" t="s">
        <v>1706</v>
      </c>
      <c r="AH256" s="229"/>
    </row>
    <row r="257">
      <c r="A257" s="272" t="s">
        <v>1706</v>
      </c>
      <c r="B257" s="257" t="s">
        <v>2268</v>
      </c>
      <c r="C257" s="221">
        <v>360.0</v>
      </c>
      <c r="D257" s="222">
        <v>402.0</v>
      </c>
      <c r="E257" s="222">
        <v>120.0</v>
      </c>
      <c r="F257" s="222">
        <v>27.0</v>
      </c>
      <c r="G257" s="223" t="s">
        <v>164</v>
      </c>
      <c r="H257" s="221">
        <v>86.0</v>
      </c>
      <c r="I257" s="222">
        <v>75.0</v>
      </c>
      <c r="J257" s="222">
        <v>71.0</v>
      </c>
      <c r="K257" s="222">
        <v>2550.0</v>
      </c>
      <c r="L257" s="222" t="s">
        <v>44</v>
      </c>
      <c r="M257" s="223">
        <v>465.0</v>
      </c>
      <c r="N257" s="221">
        <v>3.0</v>
      </c>
      <c r="O257" s="222" t="s">
        <v>2002</v>
      </c>
      <c r="P257" s="222">
        <v>25.0</v>
      </c>
      <c r="Q257" s="222">
        <v>1800.0</v>
      </c>
      <c r="R257" s="224">
        <v>64.4</v>
      </c>
      <c r="S257" s="224">
        <v>2.33</v>
      </c>
      <c r="T257" s="225">
        <v>32.1</v>
      </c>
      <c r="U257" s="226">
        <v>52.0</v>
      </c>
      <c r="V257" s="227" t="s">
        <v>166</v>
      </c>
      <c r="W257" s="228" t="s">
        <v>174</v>
      </c>
      <c r="X257" s="222" t="s">
        <v>166</v>
      </c>
      <c r="Y257" s="223" t="s">
        <v>166</v>
      </c>
      <c r="Z257" s="221" t="s">
        <v>166</v>
      </c>
      <c r="AA257" s="222" t="s">
        <v>174</v>
      </c>
      <c r="AB257" s="222" t="s">
        <v>166</v>
      </c>
      <c r="AC257" s="222" t="s">
        <v>174</v>
      </c>
      <c r="AD257" s="222" t="s">
        <v>166</v>
      </c>
      <c r="AE257" s="222" t="s">
        <v>174</v>
      </c>
      <c r="AF257" s="222" t="s">
        <v>174</v>
      </c>
      <c r="AG257" s="229" t="s">
        <v>1706</v>
      </c>
      <c r="AH257" s="229"/>
    </row>
    <row r="258">
      <c r="A258" s="272" t="s">
        <v>1706</v>
      </c>
      <c r="B258" s="257" t="s">
        <v>2269</v>
      </c>
      <c r="C258" s="221">
        <v>360.0</v>
      </c>
      <c r="D258" s="222">
        <v>402.0</v>
      </c>
      <c r="E258" s="222">
        <v>120.0</v>
      </c>
      <c r="F258" s="222">
        <v>27.0</v>
      </c>
      <c r="G258" s="223" t="s">
        <v>164</v>
      </c>
      <c r="H258" s="221">
        <v>91.0</v>
      </c>
      <c r="I258" s="222">
        <v>79.0</v>
      </c>
      <c r="J258" s="222">
        <v>71.0</v>
      </c>
      <c r="K258" s="222">
        <v>2550.0</v>
      </c>
      <c r="L258" s="222" t="s">
        <v>44</v>
      </c>
      <c r="M258" s="223">
        <v>465.0</v>
      </c>
      <c r="N258" s="221">
        <v>3.0</v>
      </c>
      <c r="O258" s="222" t="s">
        <v>2002</v>
      </c>
      <c r="P258" s="222">
        <v>25.0</v>
      </c>
      <c r="Q258" s="222">
        <v>1800.0</v>
      </c>
      <c r="R258" s="224">
        <v>69.34</v>
      </c>
      <c r="S258" s="224">
        <v>2.42</v>
      </c>
      <c r="T258" s="225">
        <v>30.0</v>
      </c>
      <c r="U258" s="226">
        <v>52.0</v>
      </c>
      <c r="V258" s="227" t="s">
        <v>166</v>
      </c>
      <c r="W258" s="228" t="s">
        <v>174</v>
      </c>
      <c r="X258" s="222" t="s">
        <v>166</v>
      </c>
      <c r="Y258" s="223" t="s">
        <v>166</v>
      </c>
      <c r="Z258" s="221" t="s">
        <v>166</v>
      </c>
      <c r="AA258" s="222" t="s">
        <v>174</v>
      </c>
      <c r="AB258" s="222" t="s">
        <v>166</v>
      </c>
      <c r="AC258" s="222" t="s">
        <v>174</v>
      </c>
      <c r="AD258" s="222" t="s">
        <v>166</v>
      </c>
      <c r="AE258" s="222" t="s">
        <v>174</v>
      </c>
      <c r="AF258" s="222" t="s">
        <v>174</v>
      </c>
      <c r="AG258" s="229" t="s">
        <v>1706</v>
      </c>
      <c r="AH258" s="229"/>
    </row>
    <row r="259">
      <c r="A259" s="272" t="s">
        <v>1706</v>
      </c>
      <c r="B259" s="257" t="s">
        <v>2270</v>
      </c>
      <c r="C259" s="221">
        <v>120.0</v>
      </c>
      <c r="D259" s="222">
        <v>159.0</v>
      </c>
      <c r="E259" s="222">
        <v>120.0</v>
      </c>
      <c r="F259" s="222">
        <v>27.0</v>
      </c>
      <c r="G259" s="223" t="s">
        <v>164</v>
      </c>
      <c r="H259" s="221">
        <v>91.0</v>
      </c>
      <c r="I259" s="222">
        <v>79.0</v>
      </c>
      <c r="J259" s="222">
        <v>47.0</v>
      </c>
      <c r="K259" s="222">
        <v>2400.0</v>
      </c>
      <c r="L259" s="222" t="s">
        <v>44</v>
      </c>
      <c r="M259" s="223">
        <v>310.0</v>
      </c>
      <c r="N259" s="221">
        <v>1.0</v>
      </c>
      <c r="O259" s="222" t="s">
        <v>2002</v>
      </c>
      <c r="P259" s="222">
        <v>25.0</v>
      </c>
      <c r="Q259" s="222">
        <v>1800.0</v>
      </c>
      <c r="R259" s="224">
        <v>69.34</v>
      </c>
      <c r="S259" s="224">
        <v>2.42</v>
      </c>
      <c r="T259" s="225">
        <v>30.0</v>
      </c>
      <c r="U259" s="226">
        <v>52.0</v>
      </c>
      <c r="V259" s="227" t="s">
        <v>174</v>
      </c>
      <c r="W259" s="228" t="s">
        <v>166</v>
      </c>
      <c r="X259" s="222" t="s">
        <v>166</v>
      </c>
      <c r="Y259" s="223" t="s">
        <v>166</v>
      </c>
      <c r="Z259" s="221" t="s">
        <v>174</v>
      </c>
      <c r="AA259" s="222" t="s">
        <v>174</v>
      </c>
      <c r="AB259" s="222" t="s">
        <v>166</v>
      </c>
      <c r="AC259" s="222" t="s">
        <v>174</v>
      </c>
      <c r="AD259" s="222" t="s">
        <v>174</v>
      </c>
      <c r="AE259" s="222" t="s">
        <v>174</v>
      </c>
      <c r="AF259" s="222" t="s">
        <v>174</v>
      </c>
      <c r="AG259" s="229" t="s">
        <v>1706</v>
      </c>
      <c r="AH259" s="229"/>
    </row>
    <row r="260">
      <c r="A260" s="272" t="s">
        <v>1706</v>
      </c>
      <c r="B260" s="257" t="s">
        <v>2271</v>
      </c>
      <c r="C260" s="221">
        <v>120.0</v>
      </c>
      <c r="D260" s="222">
        <v>159.0</v>
      </c>
      <c r="E260" s="222">
        <v>120.0</v>
      </c>
      <c r="F260" s="222">
        <v>27.0</v>
      </c>
      <c r="G260" s="223" t="s">
        <v>164</v>
      </c>
      <c r="H260" s="221">
        <v>91.0</v>
      </c>
      <c r="I260" s="222">
        <v>79.0</v>
      </c>
      <c r="J260" s="222">
        <v>47.0</v>
      </c>
      <c r="K260" s="222">
        <v>2400.0</v>
      </c>
      <c r="L260" s="222" t="s">
        <v>44</v>
      </c>
      <c r="M260" s="223">
        <v>315.0</v>
      </c>
      <c r="N260" s="221">
        <v>1.0</v>
      </c>
      <c r="O260" s="222" t="s">
        <v>2002</v>
      </c>
      <c r="P260" s="222">
        <v>25.0</v>
      </c>
      <c r="Q260" s="222">
        <v>1800.0</v>
      </c>
      <c r="R260" s="224">
        <v>69.34</v>
      </c>
      <c r="S260" s="224">
        <v>2.42</v>
      </c>
      <c r="T260" s="225">
        <v>30.0</v>
      </c>
      <c r="U260" s="226">
        <v>52.0</v>
      </c>
      <c r="V260" s="227" t="s">
        <v>166</v>
      </c>
      <c r="W260" s="228" t="s">
        <v>166</v>
      </c>
      <c r="X260" s="222" t="s">
        <v>166</v>
      </c>
      <c r="Y260" s="223" t="s">
        <v>166</v>
      </c>
      <c r="Z260" s="221" t="s">
        <v>174</v>
      </c>
      <c r="AA260" s="222" t="s">
        <v>174</v>
      </c>
      <c r="AB260" s="222" t="s">
        <v>166</v>
      </c>
      <c r="AC260" s="222" t="s">
        <v>174</v>
      </c>
      <c r="AD260" s="222" t="s">
        <v>174</v>
      </c>
      <c r="AE260" s="222" t="s">
        <v>174</v>
      </c>
      <c r="AF260" s="222" t="s">
        <v>174</v>
      </c>
      <c r="AG260" s="229" t="s">
        <v>1706</v>
      </c>
      <c r="AH260" s="229"/>
    </row>
    <row r="261">
      <c r="A261" s="272" t="s">
        <v>1706</v>
      </c>
      <c r="B261" s="278" t="s">
        <v>2272</v>
      </c>
      <c r="C261" s="221">
        <v>120.0</v>
      </c>
      <c r="D261" s="222">
        <v>159.0</v>
      </c>
      <c r="E261" s="222">
        <v>120.0</v>
      </c>
      <c r="F261" s="222">
        <v>27.0</v>
      </c>
      <c r="G261" s="223" t="s">
        <v>164</v>
      </c>
      <c r="H261" s="221">
        <v>91.0</v>
      </c>
      <c r="I261" s="222">
        <v>79.0</v>
      </c>
      <c r="J261" s="222">
        <v>47.0</v>
      </c>
      <c r="K261" s="222">
        <v>2400.0</v>
      </c>
      <c r="L261" s="222" t="s">
        <v>44</v>
      </c>
      <c r="M261" s="223">
        <v>315.0</v>
      </c>
      <c r="N261" s="221">
        <v>1.0</v>
      </c>
      <c r="O261" s="222" t="s">
        <v>2002</v>
      </c>
      <c r="P261" s="222">
        <v>25.0</v>
      </c>
      <c r="Q261" s="222">
        <v>1800.0</v>
      </c>
      <c r="R261" s="224">
        <v>69.34</v>
      </c>
      <c r="S261" s="224">
        <v>2.42</v>
      </c>
      <c r="T261" s="225">
        <v>30.0</v>
      </c>
      <c r="U261" s="226">
        <v>52.0</v>
      </c>
      <c r="V261" s="227" t="s">
        <v>166</v>
      </c>
      <c r="W261" s="228" t="s">
        <v>166</v>
      </c>
      <c r="X261" s="222" t="s">
        <v>166</v>
      </c>
      <c r="Y261" s="223" t="s">
        <v>166</v>
      </c>
      <c r="Z261" s="221" t="s">
        <v>174</v>
      </c>
      <c r="AA261" s="222" t="s">
        <v>174</v>
      </c>
      <c r="AB261" s="222" t="s">
        <v>166</v>
      </c>
      <c r="AC261" s="222" t="s">
        <v>174</v>
      </c>
      <c r="AD261" s="222" t="s">
        <v>174</v>
      </c>
      <c r="AE261" s="222" t="s">
        <v>174</v>
      </c>
      <c r="AF261" s="222" t="s">
        <v>174</v>
      </c>
      <c r="AG261" s="229" t="s">
        <v>1706</v>
      </c>
      <c r="AH261" s="229"/>
    </row>
    <row r="262">
      <c r="A262" s="272" t="s">
        <v>1706</v>
      </c>
      <c r="B262" s="279" t="s">
        <v>2273</v>
      </c>
      <c r="C262" s="221">
        <v>240.0</v>
      </c>
      <c r="D262" s="222">
        <v>282.0</v>
      </c>
      <c r="E262" s="222">
        <v>120.0</v>
      </c>
      <c r="F262" s="222">
        <v>27.0</v>
      </c>
      <c r="G262" s="223" t="s">
        <v>164</v>
      </c>
      <c r="H262" s="221">
        <v>91.0</v>
      </c>
      <c r="I262" s="222">
        <v>79.0</v>
      </c>
      <c r="J262" s="222">
        <v>47.0</v>
      </c>
      <c r="K262" s="222">
        <v>2400.0</v>
      </c>
      <c r="L262" s="222" t="s">
        <v>44</v>
      </c>
      <c r="M262" s="223">
        <v>380.0</v>
      </c>
      <c r="N262" s="221">
        <v>2.0</v>
      </c>
      <c r="O262" s="222" t="s">
        <v>2002</v>
      </c>
      <c r="P262" s="222">
        <v>25.0</v>
      </c>
      <c r="Q262" s="222">
        <v>1800.0</v>
      </c>
      <c r="R262" s="224">
        <v>69.34</v>
      </c>
      <c r="S262" s="224">
        <v>2.42</v>
      </c>
      <c r="T262" s="225">
        <v>30.0</v>
      </c>
      <c r="U262" s="226">
        <v>52.0</v>
      </c>
      <c r="V262" s="227" t="s">
        <v>166</v>
      </c>
      <c r="W262" s="228" t="s">
        <v>174</v>
      </c>
      <c r="X262" s="222" t="s">
        <v>166</v>
      </c>
      <c r="Y262" s="223" t="s">
        <v>166</v>
      </c>
      <c r="Z262" s="221" t="s">
        <v>174</v>
      </c>
      <c r="AA262" s="222" t="s">
        <v>174</v>
      </c>
      <c r="AB262" s="222" t="s">
        <v>166</v>
      </c>
      <c r="AC262" s="222" t="s">
        <v>174</v>
      </c>
      <c r="AD262" s="222" t="s">
        <v>174</v>
      </c>
      <c r="AE262" s="222" t="s">
        <v>174</v>
      </c>
      <c r="AF262" s="222" t="s">
        <v>174</v>
      </c>
      <c r="AG262" s="229" t="s">
        <v>1706</v>
      </c>
      <c r="AH262" s="229"/>
    </row>
    <row r="263">
      <c r="A263" s="272" t="s">
        <v>1706</v>
      </c>
      <c r="B263" s="257" t="s">
        <v>2274</v>
      </c>
      <c r="C263" s="221">
        <v>240.0</v>
      </c>
      <c r="D263" s="222">
        <v>282.0</v>
      </c>
      <c r="E263" s="222">
        <v>120.0</v>
      </c>
      <c r="F263" s="222">
        <v>27.0</v>
      </c>
      <c r="G263" s="223" t="s">
        <v>164</v>
      </c>
      <c r="H263" s="221">
        <v>91.0</v>
      </c>
      <c r="I263" s="222">
        <v>79.0</v>
      </c>
      <c r="J263" s="222">
        <v>47.0</v>
      </c>
      <c r="K263" s="222">
        <v>2400.0</v>
      </c>
      <c r="L263" s="222" t="s">
        <v>44</v>
      </c>
      <c r="M263" s="223">
        <v>380.0</v>
      </c>
      <c r="N263" s="221">
        <v>2.0</v>
      </c>
      <c r="O263" s="222" t="s">
        <v>2002</v>
      </c>
      <c r="P263" s="222">
        <v>25.0</v>
      </c>
      <c r="Q263" s="222">
        <v>1800.0</v>
      </c>
      <c r="R263" s="224">
        <v>69.34</v>
      </c>
      <c r="S263" s="224">
        <v>2.42</v>
      </c>
      <c r="T263" s="225">
        <v>30.0</v>
      </c>
      <c r="U263" s="226">
        <v>52.0</v>
      </c>
      <c r="V263" s="227" t="s">
        <v>174</v>
      </c>
      <c r="W263" s="228" t="s">
        <v>166</v>
      </c>
      <c r="X263" s="222" t="s">
        <v>166</v>
      </c>
      <c r="Y263" s="223" t="s">
        <v>166</v>
      </c>
      <c r="Z263" s="221" t="s">
        <v>174</v>
      </c>
      <c r="AA263" s="222" t="s">
        <v>174</v>
      </c>
      <c r="AB263" s="222" t="s">
        <v>166</v>
      </c>
      <c r="AC263" s="222" t="s">
        <v>174</v>
      </c>
      <c r="AD263" s="222" t="s">
        <v>174</v>
      </c>
      <c r="AE263" s="222" t="s">
        <v>174</v>
      </c>
      <c r="AF263" s="222" t="s">
        <v>174</v>
      </c>
      <c r="AG263" s="229" t="s">
        <v>1706</v>
      </c>
      <c r="AH263" s="229"/>
    </row>
    <row r="264">
      <c r="A264" s="272" t="s">
        <v>1706</v>
      </c>
      <c r="B264" s="257" t="s">
        <v>2275</v>
      </c>
      <c r="C264" s="221">
        <v>240.0</v>
      </c>
      <c r="D264" s="222">
        <v>282.0</v>
      </c>
      <c r="E264" s="222">
        <v>120.0</v>
      </c>
      <c r="F264" s="222">
        <v>27.0</v>
      </c>
      <c r="G264" s="223" t="s">
        <v>164</v>
      </c>
      <c r="H264" s="221">
        <v>91.0</v>
      </c>
      <c r="I264" s="222">
        <v>79.0</v>
      </c>
      <c r="J264" s="222">
        <v>47.0</v>
      </c>
      <c r="K264" s="222">
        <v>2400.0</v>
      </c>
      <c r="L264" s="222" t="s">
        <v>44</v>
      </c>
      <c r="M264" s="223">
        <v>315.0</v>
      </c>
      <c r="N264" s="221">
        <v>2.0</v>
      </c>
      <c r="O264" s="222" t="s">
        <v>2002</v>
      </c>
      <c r="P264" s="222">
        <v>25.0</v>
      </c>
      <c r="Q264" s="222">
        <v>1800.0</v>
      </c>
      <c r="R264" s="224">
        <v>69.34</v>
      </c>
      <c r="S264" s="224">
        <v>2.42</v>
      </c>
      <c r="T264" s="225">
        <v>30.0</v>
      </c>
      <c r="U264" s="226">
        <v>52.0</v>
      </c>
      <c r="V264" s="227" t="s">
        <v>166</v>
      </c>
      <c r="W264" s="228" t="s">
        <v>166</v>
      </c>
      <c r="X264" s="222" t="s">
        <v>166</v>
      </c>
      <c r="Y264" s="223" t="s">
        <v>166</v>
      </c>
      <c r="Z264" s="221" t="s">
        <v>174</v>
      </c>
      <c r="AA264" s="222" t="s">
        <v>174</v>
      </c>
      <c r="AB264" s="222" t="s">
        <v>166</v>
      </c>
      <c r="AC264" s="222" t="s">
        <v>174</v>
      </c>
      <c r="AD264" s="222" t="s">
        <v>174</v>
      </c>
      <c r="AE264" s="222" t="s">
        <v>174</v>
      </c>
      <c r="AF264" s="222" t="s">
        <v>174</v>
      </c>
      <c r="AG264" s="229" t="s">
        <v>1706</v>
      </c>
      <c r="AH264" s="229"/>
    </row>
    <row r="265">
      <c r="A265" s="272" t="s">
        <v>1706</v>
      </c>
      <c r="B265" s="278" t="s">
        <v>2276</v>
      </c>
      <c r="C265" s="221">
        <v>240.0</v>
      </c>
      <c r="D265" s="222">
        <v>282.0</v>
      </c>
      <c r="E265" s="222">
        <v>120.0</v>
      </c>
      <c r="F265" s="222">
        <v>27.0</v>
      </c>
      <c r="G265" s="223" t="s">
        <v>164</v>
      </c>
      <c r="H265" s="221">
        <v>91.0</v>
      </c>
      <c r="I265" s="222">
        <v>79.0</v>
      </c>
      <c r="J265" s="222">
        <v>47.0</v>
      </c>
      <c r="K265" s="222">
        <v>2400.0</v>
      </c>
      <c r="L265" s="222" t="s">
        <v>44</v>
      </c>
      <c r="M265" s="223">
        <v>315.0</v>
      </c>
      <c r="N265" s="221">
        <v>2.0</v>
      </c>
      <c r="O265" s="222" t="s">
        <v>2002</v>
      </c>
      <c r="P265" s="222">
        <v>25.0</v>
      </c>
      <c r="Q265" s="222">
        <v>1800.0</v>
      </c>
      <c r="R265" s="224">
        <v>69.34</v>
      </c>
      <c r="S265" s="224">
        <v>2.42</v>
      </c>
      <c r="T265" s="225">
        <v>30.0</v>
      </c>
      <c r="U265" s="226">
        <v>52.0</v>
      </c>
      <c r="V265" s="227" t="s">
        <v>166</v>
      </c>
      <c r="W265" s="228" t="s">
        <v>166</v>
      </c>
      <c r="X265" s="222" t="s">
        <v>166</v>
      </c>
      <c r="Y265" s="223" t="s">
        <v>166</v>
      </c>
      <c r="Z265" s="221" t="s">
        <v>174</v>
      </c>
      <c r="AA265" s="222" t="s">
        <v>174</v>
      </c>
      <c r="AB265" s="222" t="s">
        <v>166</v>
      </c>
      <c r="AC265" s="222" t="s">
        <v>174</v>
      </c>
      <c r="AD265" s="222" t="s">
        <v>174</v>
      </c>
      <c r="AE265" s="222" t="s">
        <v>174</v>
      </c>
      <c r="AF265" s="222" t="s">
        <v>174</v>
      </c>
      <c r="AG265" s="229" t="s">
        <v>1706</v>
      </c>
      <c r="AH265" s="229"/>
    </row>
    <row r="266">
      <c r="A266" s="272" t="s">
        <v>1706</v>
      </c>
      <c r="B266" s="257" t="s">
        <v>2277</v>
      </c>
      <c r="C266" s="221">
        <v>360.0</v>
      </c>
      <c r="D266" s="222">
        <v>402.0</v>
      </c>
      <c r="E266" s="222">
        <v>120.0</v>
      </c>
      <c r="F266" s="222">
        <v>27.0</v>
      </c>
      <c r="G266" s="223" t="s">
        <v>164</v>
      </c>
      <c r="H266" s="221">
        <v>91.0</v>
      </c>
      <c r="I266" s="222">
        <v>79.0</v>
      </c>
      <c r="J266" s="222">
        <v>47.0</v>
      </c>
      <c r="K266" s="222">
        <v>2550.0</v>
      </c>
      <c r="L266" s="222" t="s">
        <v>44</v>
      </c>
      <c r="M266" s="223">
        <v>465.0</v>
      </c>
      <c r="N266" s="221">
        <v>3.0</v>
      </c>
      <c r="O266" s="222" t="s">
        <v>2002</v>
      </c>
      <c r="P266" s="222">
        <v>25.0</v>
      </c>
      <c r="Q266" s="222">
        <v>1800.0</v>
      </c>
      <c r="R266" s="224">
        <v>69.34</v>
      </c>
      <c r="S266" s="224">
        <v>2.42</v>
      </c>
      <c r="T266" s="225">
        <v>30.0</v>
      </c>
      <c r="U266" s="226">
        <v>52.0</v>
      </c>
      <c r="V266" s="227" t="s">
        <v>166</v>
      </c>
      <c r="W266" s="228" t="s">
        <v>174</v>
      </c>
      <c r="X266" s="222" t="s">
        <v>166</v>
      </c>
      <c r="Y266" s="223" t="s">
        <v>166</v>
      </c>
      <c r="Z266" s="221" t="s">
        <v>166</v>
      </c>
      <c r="AA266" s="222" t="s">
        <v>174</v>
      </c>
      <c r="AB266" s="222" t="s">
        <v>166</v>
      </c>
      <c r="AC266" s="222" t="s">
        <v>174</v>
      </c>
      <c r="AD266" s="222" t="s">
        <v>166</v>
      </c>
      <c r="AE266" s="222" t="s">
        <v>174</v>
      </c>
      <c r="AF266" s="222" t="s">
        <v>174</v>
      </c>
      <c r="AG266" s="229" t="s">
        <v>1706</v>
      </c>
      <c r="AH266" s="229"/>
    </row>
    <row r="267">
      <c r="A267" s="272" t="s">
        <v>1706</v>
      </c>
      <c r="B267" s="257" t="s">
        <v>2278</v>
      </c>
      <c r="C267" s="221">
        <v>360.0</v>
      </c>
      <c r="D267" s="222">
        <v>402.0</v>
      </c>
      <c r="E267" s="222">
        <v>120.0</v>
      </c>
      <c r="F267" s="222">
        <v>27.0</v>
      </c>
      <c r="G267" s="223" t="s">
        <v>164</v>
      </c>
      <c r="H267" s="221">
        <v>91.0</v>
      </c>
      <c r="I267" s="222">
        <v>79.0</v>
      </c>
      <c r="J267" s="222">
        <v>47.0</v>
      </c>
      <c r="K267" s="222">
        <v>2550.0</v>
      </c>
      <c r="L267" s="222" t="s">
        <v>44</v>
      </c>
      <c r="M267" s="223">
        <v>465.0</v>
      </c>
      <c r="N267" s="221">
        <v>3.0</v>
      </c>
      <c r="O267" s="222" t="s">
        <v>2002</v>
      </c>
      <c r="P267" s="222">
        <v>25.0</v>
      </c>
      <c r="Q267" s="222">
        <v>1800.0</v>
      </c>
      <c r="R267" s="224">
        <v>69.34</v>
      </c>
      <c r="S267" s="224">
        <v>2.42</v>
      </c>
      <c r="T267" s="225">
        <v>30.0</v>
      </c>
      <c r="U267" s="226">
        <v>52.0</v>
      </c>
      <c r="V267" s="227" t="s">
        <v>174</v>
      </c>
      <c r="W267" s="228" t="s">
        <v>166</v>
      </c>
      <c r="X267" s="222" t="s">
        <v>166</v>
      </c>
      <c r="Y267" s="223" t="s">
        <v>166</v>
      </c>
      <c r="Z267" s="221" t="s">
        <v>166</v>
      </c>
      <c r="AA267" s="222" t="s">
        <v>174</v>
      </c>
      <c r="AB267" s="222" t="s">
        <v>166</v>
      </c>
      <c r="AC267" s="222" t="s">
        <v>174</v>
      </c>
      <c r="AD267" s="222" t="s">
        <v>166</v>
      </c>
      <c r="AE267" s="222" t="s">
        <v>174</v>
      </c>
      <c r="AF267" s="222" t="s">
        <v>174</v>
      </c>
      <c r="AG267" s="229" t="s">
        <v>1706</v>
      </c>
      <c r="AH267" s="229"/>
    </row>
    <row r="268">
      <c r="A268" s="272" t="s">
        <v>1706</v>
      </c>
      <c r="B268" s="257" t="s">
        <v>2279</v>
      </c>
      <c r="C268" s="221">
        <v>120.0</v>
      </c>
      <c r="D268" s="222">
        <v>159.0</v>
      </c>
      <c r="E268" s="222">
        <v>120.0</v>
      </c>
      <c r="F268" s="222">
        <v>27.0</v>
      </c>
      <c r="G268" s="223" t="s">
        <v>164</v>
      </c>
      <c r="H268" s="221">
        <v>91.0</v>
      </c>
      <c r="I268" s="222">
        <v>80.0</v>
      </c>
      <c r="J268" s="222">
        <v>52.0</v>
      </c>
      <c r="K268" s="222">
        <v>2400.0</v>
      </c>
      <c r="L268" s="222" t="s">
        <v>44</v>
      </c>
      <c r="M268" s="223">
        <v>315.0</v>
      </c>
      <c r="N268" s="221">
        <v>1.0</v>
      </c>
      <c r="O268" s="222" t="s">
        <v>2002</v>
      </c>
      <c r="P268" s="222">
        <v>25.0</v>
      </c>
      <c r="Q268" s="222">
        <v>2250.0</v>
      </c>
      <c r="R268" s="224">
        <v>85.85</v>
      </c>
      <c r="S268" s="224">
        <v>3.27</v>
      </c>
      <c r="T268" s="225">
        <v>32.9</v>
      </c>
      <c r="U268" s="226">
        <v>52.0</v>
      </c>
      <c r="V268" s="227" t="s">
        <v>166</v>
      </c>
      <c r="W268" s="228" t="s">
        <v>166</v>
      </c>
      <c r="X268" s="222" t="s">
        <v>166</v>
      </c>
      <c r="Y268" s="223" t="s">
        <v>166</v>
      </c>
      <c r="Z268" s="221" t="s">
        <v>166</v>
      </c>
      <c r="AA268" s="222" t="s">
        <v>174</v>
      </c>
      <c r="AB268" s="222" t="s">
        <v>166</v>
      </c>
      <c r="AC268" s="222" t="s">
        <v>174</v>
      </c>
      <c r="AD268" s="222" t="s">
        <v>166</v>
      </c>
      <c r="AE268" s="222" t="s">
        <v>174</v>
      </c>
      <c r="AF268" s="222" t="s">
        <v>166</v>
      </c>
      <c r="AG268" s="229" t="s">
        <v>1706</v>
      </c>
      <c r="AH268" s="229"/>
    </row>
    <row r="269">
      <c r="A269" s="272" t="s">
        <v>1706</v>
      </c>
      <c r="B269" s="257" t="s">
        <v>2280</v>
      </c>
      <c r="C269" s="221">
        <v>120.0</v>
      </c>
      <c r="D269" s="222">
        <v>159.0</v>
      </c>
      <c r="E269" s="222">
        <v>120.0</v>
      </c>
      <c r="F269" s="222">
        <v>27.0</v>
      </c>
      <c r="G269" s="223" t="s">
        <v>164</v>
      </c>
      <c r="H269" s="221">
        <v>91.0</v>
      </c>
      <c r="I269" s="222">
        <v>80.0</v>
      </c>
      <c r="J269" s="222">
        <v>52.0</v>
      </c>
      <c r="K269" s="222">
        <v>2400.0</v>
      </c>
      <c r="L269" s="222" t="s">
        <v>44</v>
      </c>
      <c r="M269" s="223">
        <v>315.0</v>
      </c>
      <c r="N269" s="221">
        <v>1.0</v>
      </c>
      <c r="O269" s="222" t="s">
        <v>2002</v>
      </c>
      <c r="P269" s="222">
        <v>25.0</v>
      </c>
      <c r="Q269" s="222">
        <v>2250.0</v>
      </c>
      <c r="R269" s="224">
        <v>85.85</v>
      </c>
      <c r="S269" s="224">
        <v>3.27</v>
      </c>
      <c r="T269" s="225">
        <v>32.9</v>
      </c>
      <c r="U269" s="226">
        <v>52.0</v>
      </c>
      <c r="V269" s="227" t="s">
        <v>166</v>
      </c>
      <c r="W269" s="228" t="s">
        <v>166</v>
      </c>
      <c r="X269" s="222" t="s">
        <v>166</v>
      </c>
      <c r="Y269" s="223" t="s">
        <v>166</v>
      </c>
      <c r="Z269" s="221" t="s">
        <v>166</v>
      </c>
      <c r="AA269" s="222" t="s">
        <v>174</v>
      </c>
      <c r="AB269" s="222" t="s">
        <v>166</v>
      </c>
      <c r="AC269" s="222" t="s">
        <v>174</v>
      </c>
      <c r="AD269" s="222" t="s">
        <v>166</v>
      </c>
      <c r="AE269" s="222" t="s">
        <v>174</v>
      </c>
      <c r="AF269" s="222" t="s">
        <v>166</v>
      </c>
      <c r="AG269" s="229" t="s">
        <v>1706</v>
      </c>
      <c r="AH269" s="229"/>
    </row>
    <row r="270">
      <c r="A270" s="272" t="s">
        <v>1706</v>
      </c>
      <c r="B270" s="257" t="s">
        <v>2281</v>
      </c>
      <c r="C270" s="221">
        <v>240.0</v>
      </c>
      <c r="D270" s="222">
        <v>282.0</v>
      </c>
      <c r="E270" s="222">
        <v>120.0</v>
      </c>
      <c r="F270" s="222">
        <v>27.0</v>
      </c>
      <c r="G270" s="223" t="s">
        <v>164</v>
      </c>
      <c r="H270" s="221">
        <v>91.0</v>
      </c>
      <c r="I270" s="222">
        <v>80.0</v>
      </c>
      <c r="J270" s="222">
        <v>52.0</v>
      </c>
      <c r="K270" s="222">
        <v>2400.0</v>
      </c>
      <c r="L270" s="222" t="s">
        <v>44</v>
      </c>
      <c r="M270" s="223">
        <v>415.0</v>
      </c>
      <c r="N270" s="221">
        <v>2.0</v>
      </c>
      <c r="O270" s="222" t="s">
        <v>2002</v>
      </c>
      <c r="P270" s="222">
        <v>25.0</v>
      </c>
      <c r="Q270" s="222">
        <v>2250.0</v>
      </c>
      <c r="R270" s="224">
        <v>85.85</v>
      </c>
      <c r="S270" s="224">
        <v>3.27</v>
      </c>
      <c r="T270" s="225">
        <v>32.9</v>
      </c>
      <c r="U270" s="226">
        <v>52.0</v>
      </c>
      <c r="V270" s="227" t="s">
        <v>166</v>
      </c>
      <c r="W270" s="228" t="s">
        <v>166</v>
      </c>
      <c r="X270" s="222" t="s">
        <v>166</v>
      </c>
      <c r="Y270" s="223" t="s">
        <v>166</v>
      </c>
      <c r="Z270" s="221" t="s">
        <v>166</v>
      </c>
      <c r="AA270" s="222" t="s">
        <v>174</v>
      </c>
      <c r="AB270" s="222" t="s">
        <v>166</v>
      </c>
      <c r="AC270" s="222" t="s">
        <v>174</v>
      </c>
      <c r="AD270" s="222" t="s">
        <v>166</v>
      </c>
      <c r="AE270" s="222" t="s">
        <v>174</v>
      </c>
      <c r="AF270" s="222" t="s">
        <v>166</v>
      </c>
      <c r="AG270" s="229" t="s">
        <v>1706</v>
      </c>
      <c r="AH270" s="229"/>
    </row>
    <row r="271">
      <c r="A271" s="272" t="s">
        <v>1706</v>
      </c>
      <c r="B271" s="257" t="s">
        <v>2282</v>
      </c>
      <c r="C271" s="221">
        <v>240.0</v>
      </c>
      <c r="D271" s="222">
        <v>282.0</v>
      </c>
      <c r="E271" s="222">
        <v>120.0</v>
      </c>
      <c r="F271" s="222">
        <v>27.0</v>
      </c>
      <c r="G271" s="223" t="s">
        <v>164</v>
      </c>
      <c r="H271" s="221">
        <v>91.0</v>
      </c>
      <c r="I271" s="222">
        <v>80.0</v>
      </c>
      <c r="J271" s="222">
        <v>52.0</v>
      </c>
      <c r="K271" s="222">
        <v>2400.0</v>
      </c>
      <c r="L271" s="222" t="s">
        <v>44</v>
      </c>
      <c r="M271" s="223">
        <v>415.0</v>
      </c>
      <c r="N271" s="221">
        <v>2.0</v>
      </c>
      <c r="O271" s="222" t="s">
        <v>2002</v>
      </c>
      <c r="P271" s="222">
        <v>25.0</v>
      </c>
      <c r="Q271" s="222">
        <v>2250.0</v>
      </c>
      <c r="R271" s="224">
        <v>85.85</v>
      </c>
      <c r="S271" s="224">
        <v>3.27</v>
      </c>
      <c r="T271" s="225">
        <v>32.9</v>
      </c>
      <c r="U271" s="226">
        <v>52.0</v>
      </c>
      <c r="V271" s="227" t="s">
        <v>166</v>
      </c>
      <c r="W271" s="228" t="s">
        <v>166</v>
      </c>
      <c r="X271" s="222" t="s">
        <v>166</v>
      </c>
      <c r="Y271" s="223" t="s">
        <v>166</v>
      </c>
      <c r="Z271" s="221" t="s">
        <v>166</v>
      </c>
      <c r="AA271" s="222" t="s">
        <v>174</v>
      </c>
      <c r="AB271" s="222" t="s">
        <v>166</v>
      </c>
      <c r="AC271" s="222" t="s">
        <v>174</v>
      </c>
      <c r="AD271" s="222" t="s">
        <v>166</v>
      </c>
      <c r="AE271" s="222" t="s">
        <v>174</v>
      </c>
      <c r="AF271" s="222" t="s">
        <v>166</v>
      </c>
      <c r="AG271" s="229" t="s">
        <v>1706</v>
      </c>
      <c r="AH271" s="229"/>
    </row>
    <row r="272">
      <c r="A272" s="272" t="s">
        <v>1706</v>
      </c>
      <c r="B272" s="257" t="s">
        <v>2283</v>
      </c>
      <c r="C272" s="221">
        <v>240.0</v>
      </c>
      <c r="D272" s="222">
        <v>282.0</v>
      </c>
      <c r="E272" s="222">
        <v>120.0</v>
      </c>
      <c r="F272" s="222">
        <v>27.0</v>
      </c>
      <c r="G272" s="223" t="s">
        <v>164</v>
      </c>
      <c r="H272" s="221">
        <v>91.0</v>
      </c>
      <c r="I272" s="222">
        <v>80.0</v>
      </c>
      <c r="J272" s="222">
        <v>52.0</v>
      </c>
      <c r="K272" s="222">
        <v>2400.0</v>
      </c>
      <c r="L272" s="222" t="s">
        <v>44</v>
      </c>
      <c r="M272" s="223">
        <v>410.0</v>
      </c>
      <c r="N272" s="221">
        <v>2.0</v>
      </c>
      <c r="O272" s="222" t="s">
        <v>2002</v>
      </c>
      <c r="P272" s="222">
        <v>25.0</v>
      </c>
      <c r="Q272" s="222">
        <v>2250.0</v>
      </c>
      <c r="R272" s="224">
        <v>85.85</v>
      </c>
      <c r="S272" s="224">
        <v>3.27</v>
      </c>
      <c r="T272" s="225">
        <v>32.9</v>
      </c>
      <c r="U272" s="226">
        <v>52.0</v>
      </c>
      <c r="V272" s="227" t="s">
        <v>166</v>
      </c>
      <c r="W272" s="228" t="s">
        <v>174</v>
      </c>
      <c r="X272" s="222" t="s">
        <v>166</v>
      </c>
      <c r="Y272" s="223" t="s">
        <v>166</v>
      </c>
      <c r="Z272" s="221" t="s">
        <v>166</v>
      </c>
      <c r="AA272" s="222" t="s">
        <v>174</v>
      </c>
      <c r="AB272" s="222" t="s">
        <v>166</v>
      </c>
      <c r="AC272" s="222" t="s">
        <v>174</v>
      </c>
      <c r="AD272" s="222" t="s">
        <v>166</v>
      </c>
      <c r="AE272" s="222" t="s">
        <v>174</v>
      </c>
      <c r="AF272" s="222" t="s">
        <v>166</v>
      </c>
      <c r="AG272" s="229" t="s">
        <v>1706</v>
      </c>
      <c r="AH272" s="229"/>
    </row>
    <row r="273">
      <c r="A273" s="272" t="s">
        <v>1706</v>
      </c>
      <c r="B273" s="257" t="s">
        <v>2284</v>
      </c>
      <c r="C273" s="221">
        <v>240.0</v>
      </c>
      <c r="D273" s="222">
        <v>282.0</v>
      </c>
      <c r="E273" s="222">
        <v>120.0</v>
      </c>
      <c r="F273" s="222">
        <v>27.0</v>
      </c>
      <c r="G273" s="223" t="s">
        <v>164</v>
      </c>
      <c r="H273" s="221">
        <v>91.0</v>
      </c>
      <c r="I273" s="222">
        <v>80.0</v>
      </c>
      <c r="J273" s="222">
        <v>52.0</v>
      </c>
      <c r="K273" s="222">
        <v>2400.0</v>
      </c>
      <c r="L273" s="222" t="s">
        <v>44</v>
      </c>
      <c r="M273" s="223">
        <v>410.0</v>
      </c>
      <c r="N273" s="221">
        <v>2.0</v>
      </c>
      <c r="O273" s="222" t="s">
        <v>2002</v>
      </c>
      <c r="P273" s="222">
        <v>25.0</v>
      </c>
      <c r="Q273" s="222">
        <v>2250.0</v>
      </c>
      <c r="R273" s="224">
        <v>85.85</v>
      </c>
      <c r="S273" s="224">
        <v>3.27</v>
      </c>
      <c r="T273" s="225">
        <v>32.9</v>
      </c>
      <c r="U273" s="226">
        <v>52.0</v>
      </c>
      <c r="V273" s="227" t="s">
        <v>166</v>
      </c>
      <c r="W273" s="228" t="s">
        <v>174</v>
      </c>
      <c r="X273" s="222" t="s">
        <v>166</v>
      </c>
      <c r="Y273" s="223" t="s">
        <v>166</v>
      </c>
      <c r="Z273" s="221" t="s">
        <v>166</v>
      </c>
      <c r="AA273" s="222" t="s">
        <v>174</v>
      </c>
      <c r="AB273" s="222" t="s">
        <v>166</v>
      </c>
      <c r="AC273" s="222" t="s">
        <v>174</v>
      </c>
      <c r="AD273" s="222" t="s">
        <v>166</v>
      </c>
      <c r="AE273" s="222" t="s">
        <v>174</v>
      </c>
      <c r="AF273" s="222" t="s">
        <v>166</v>
      </c>
      <c r="AG273" s="229" t="s">
        <v>1706</v>
      </c>
      <c r="AH273" s="229"/>
    </row>
    <row r="274">
      <c r="A274" s="272" t="s">
        <v>1706</v>
      </c>
      <c r="B274" s="257" t="s">
        <v>2285</v>
      </c>
      <c r="C274" s="221">
        <v>360.0</v>
      </c>
      <c r="D274" s="222">
        <v>402.0</v>
      </c>
      <c r="E274" s="222">
        <v>120.0</v>
      </c>
      <c r="F274" s="222">
        <v>27.0</v>
      </c>
      <c r="G274" s="223" t="s">
        <v>164</v>
      </c>
      <c r="H274" s="221">
        <v>91.0</v>
      </c>
      <c r="I274" s="222">
        <v>80.0</v>
      </c>
      <c r="J274" s="222">
        <v>52.0</v>
      </c>
      <c r="K274" s="222">
        <v>2400.0</v>
      </c>
      <c r="L274" s="222" t="s">
        <v>44</v>
      </c>
      <c r="M274" s="223">
        <v>410.0</v>
      </c>
      <c r="N274" s="221">
        <v>3.0</v>
      </c>
      <c r="O274" s="222" t="s">
        <v>2002</v>
      </c>
      <c r="P274" s="222">
        <v>25.0</v>
      </c>
      <c r="Q274" s="222">
        <v>2250.0</v>
      </c>
      <c r="R274" s="224">
        <v>85.85</v>
      </c>
      <c r="S274" s="224">
        <v>3.27</v>
      </c>
      <c r="T274" s="225">
        <v>32.9</v>
      </c>
      <c r="U274" s="226">
        <v>52.0</v>
      </c>
      <c r="V274" s="227" t="s">
        <v>166</v>
      </c>
      <c r="W274" s="228" t="s">
        <v>174</v>
      </c>
      <c r="X274" s="222" t="s">
        <v>166</v>
      </c>
      <c r="Y274" s="223" t="s">
        <v>166</v>
      </c>
      <c r="Z274" s="221" t="s">
        <v>166</v>
      </c>
      <c r="AA274" s="222" t="s">
        <v>174</v>
      </c>
      <c r="AB274" s="222" t="s">
        <v>166</v>
      </c>
      <c r="AC274" s="222" t="s">
        <v>174</v>
      </c>
      <c r="AD274" s="222" t="s">
        <v>166</v>
      </c>
      <c r="AE274" s="222" t="s">
        <v>174</v>
      </c>
      <c r="AF274" s="222" t="s">
        <v>166</v>
      </c>
      <c r="AG274" s="229" t="s">
        <v>1706</v>
      </c>
      <c r="AH274" s="229"/>
    </row>
    <row r="275">
      <c r="A275" s="272" t="s">
        <v>1706</v>
      </c>
      <c r="B275" s="257" t="s">
        <v>2286</v>
      </c>
      <c r="C275" s="221">
        <v>360.0</v>
      </c>
      <c r="D275" s="222">
        <v>402.0</v>
      </c>
      <c r="E275" s="222">
        <v>120.0</v>
      </c>
      <c r="F275" s="222">
        <v>27.0</v>
      </c>
      <c r="G275" s="223" t="s">
        <v>164</v>
      </c>
      <c r="H275" s="221">
        <v>91.0</v>
      </c>
      <c r="I275" s="222">
        <v>80.0</v>
      </c>
      <c r="J275" s="222">
        <v>52.0</v>
      </c>
      <c r="K275" s="222">
        <v>2400.0</v>
      </c>
      <c r="L275" s="222" t="s">
        <v>44</v>
      </c>
      <c r="M275" s="223">
        <v>410.0</v>
      </c>
      <c r="N275" s="221">
        <v>3.0</v>
      </c>
      <c r="O275" s="222" t="s">
        <v>2002</v>
      </c>
      <c r="P275" s="222">
        <v>25.0</v>
      </c>
      <c r="Q275" s="222">
        <v>2250.0</v>
      </c>
      <c r="R275" s="224">
        <v>85.85</v>
      </c>
      <c r="S275" s="224">
        <v>3.27</v>
      </c>
      <c r="T275" s="225">
        <v>32.9</v>
      </c>
      <c r="U275" s="226">
        <v>52.0</v>
      </c>
      <c r="V275" s="227" t="s">
        <v>166</v>
      </c>
      <c r="W275" s="228" t="s">
        <v>174</v>
      </c>
      <c r="X275" s="222" t="s">
        <v>166</v>
      </c>
      <c r="Y275" s="223" t="s">
        <v>166</v>
      </c>
      <c r="Z275" s="221" t="s">
        <v>166</v>
      </c>
      <c r="AA275" s="222" t="s">
        <v>174</v>
      </c>
      <c r="AB275" s="222" t="s">
        <v>166</v>
      </c>
      <c r="AC275" s="222" t="s">
        <v>174</v>
      </c>
      <c r="AD275" s="222" t="s">
        <v>166</v>
      </c>
      <c r="AE275" s="222" t="s">
        <v>174</v>
      </c>
      <c r="AF275" s="222" t="s">
        <v>166</v>
      </c>
      <c r="AG275" s="229" t="s">
        <v>1706</v>
      </c>
      <c r="AH275" s="229"/>
    </row>
    <row r="276">
      <c r="A276" s="272" t="s">
        <v>1706</v>
      </c>
      <c r="B276" s="257" t="s">
        <v>2287</v>
      </c>
      <c r="C276" s="221">
        <v>120.0</v>
      </c>
      <c r="D276" s="222">
        <v>159.0</v>
      </c>
      <c r="E276" s="222">
        <v>120.0</v>
      </c>
      <c r="F276" s="222">
        <v>27.0</v>
      </c>
      <c r="G276" s="223" t="s">
        <v>164</v>
      </c>
      <c r="H276" s="221">
        <v>86.0</v>
      </c>
      <c r="I276" s="222">
        <v>74.0</v>
      </c>
      <c r="J276" s="222">
        <v>57.0</v>
      </c>
      <c r="K276" s="222">
        <v>3100.0</v>
      </c>
      <c r="L276" s="222" t="s">
        <v>44</v>
      </c>
      <c r="M276" s="223">
        <v>310.0</v>
      </c>
      <c r="N276" s="221">
        <v>1.0</v>
      </c>
      <c r="O276" s="222" t="s">
        <v>2002</v>
      </c>
      <c r="P276" s="222">
        <v>25.0</v>
      </c>
      <c r="Q276" s="222">
        <v>2250.0</v>
      </c>
      <c r="R276" s="224">
        <v>85.85</v>
      </c>
      <c r="S276" s="224">
        <v>3.27</v>
      </c>
      <c r="T276" s="225">
        <v>32.9</v>
      </c>
      <c r="U276" s="226">
        <v>52.0</v>
      </c>
      <c r="V276" s="227" t="s">
        <v>166</v>
      </c>
      <c r="W276" s="228" t="s">
        <v>174</v>
      </c>
      <c r="X276" s="222" t="s">
        <v>166</v>
      </c>
      <c r="Y276" s="223" t="s">
        <v>174</v>
      </c>
      <c r="Z276" s="221" t="s">
        <v>166</v>
      </c>
      <c r="AA276" s="222" t="s">
        <v>174</v>
      </c>
      <c r="AB276" s="222" t="s">
        <v>166</v>
      </c>
      <c r="AC276" s="222" t="s">
        <v>174</v>
      </c>
      <c r="AD276" s="222" t="s">
        <v>166</v>
      </c>
      <c r="AE276" s="222" t="s">
        <v>174</v>
      </c>
      <c r="AF276" s="222" t="s">
        <v>174</v>
      </c>
      <c r="AG276" s="229" t="s">
        <v>1706</v>
      </c>
      <c r="AH276" s="229"/>
    </row>
    <row r="277">
      <c r="A277" s="272" t="s">
        <v>1706</v>
      </c>
      <c r="B277" s="257" t="s">
        <v>2288</v>
      </c>
      <c r="C277" s="221">
        <v>120.0</v>
      </c>
      <c r="D277" s="222">
        <v>159.0</v>
      </c>
      <c r="E277" s="222">
        <v>120.0</v>
      </c>
      <c r="F277" s="222">
        <v>27.0</v>
      </c>
      <c r="G277" s="223" t="s">
        <v>164</v>
      </c>
      <c r="H277" s="221">
        <v>86.0</v>
      </c>
      <c r="I277" s="222">
        <v>74.0</v>
      </c>
      <c r="J277" s="222">
        <v>57.0</v>
      </c>
      <c r="K277" s="222">
        <v>3100.0</v>
      </c>
      <c r="L277" s="222" t="s">
        <v>44</v>
      </c>
      <c r="M277" s="223">
        <v>310.0</v>
      </c>
      <c r="N277" s="221">
        <v>1.0</v>
      </c>
      <c r="O277" s="222" t="s">
        <v>2002</v>
      </c>
      <c r="P277" s="222">
        <v>25.0</v>
      </c>
      <c r="Q277" s="222">
        <v>2250.0</v>
      </c>
      <c r="R277" s="224">
        <v>85.85</v>
      </c>
      <c r="S277" s="224">
        <v>3.27</v>
      </c>
      <c r="T277" s="225">
        <v>32.9</v>
      </c>
      <c r="U277" s="226">
        <v>52.0</v>
      </c>
      <c r="V277" s="227" t="s">
        <v>166</v>
      </c>
      <c r="W277" s="228" t="s">
        <v>174</v>
      </c>
      <c r="X277" s="222" t="s">
        <v>166</v>
      </c>
      <c r="Y277" s="223" t="s">
        <v>174</v>
      </c>
      <c r="Z277" s="221" t="s">
        <v>166</v>
      </c>
      <c r="AA277" s="222" t="s">
        <v>174</v>
      </c>
      <c r="AB277" s="222" t="s">
        <v>166</v>
      </c>
      <c r="AC277" s="222" t="s">
        <v>174</v>
      </c>
      <c r="AD277" s="222" t="s">
        <v>166</v>
      </c>
      <c r="AE277" s="222" t="s">
        <v>174</v>
      </c>
      <c r="AF277" s="222" t="s">
        <v>174</v>
      </c>
      <c r="AG277" s="229" t="s">
        <v>1706</v>
      </c>
      <c r="AH277" s="229"/>
    </row>
    <row r="278">
      <c r="A278" s="272" t="s">
        <v>1706</v>
      </c>
      <c r="B278" s="257" t="s">
        <v>2289</v>
      </c>
      <c r="C278" s="221">
        <v>240.0</v>
      </c>
      <c r="D278" s="222">
        <v>282.0</v>
      </c>
      <c r="E278" s="222">
        <v>120.0</v>
      </c>
      <c r="F278" s="222">
        <v>27.0</v>
      </c>
      <c r="G278" s="223" t="s">
        <v>164</v>
      </c>
      <c r="H278" s="221">
        <v>86.0</v>
      </c>
      <c r="I278" s="222">
        <v>74.0</v>
      </c>
      <c r="J278" s="222">
        <v>57.0</v>
      </c>
      <c r="K278" s="222">
        <v>3100.0</v>
      </c>
      <c r="L278" s="222" t="s">
        <v>44</v>
      </c>
      <c r="M278" s="223">
        <v>410.0</v>
      </c>
      <c r="N278" s="221">
        <v>2.0</v>
      </c>
      <c r="O278" s="222" t="s">
        <v>2002</v>
      </c>
      <c r="P278" s="222">
        <v>25.0</v>
      </c>
      <c r="Q278" s="222">
        <v>2250.0</v>
      </c>
      <c r="R278" s="224">
        <v>85.85</v>
      </c>
      <c r="S278" s="224">
        <v>3.27</v>
      </c>
      <c r="T278" s="225">
        <v>32.9</v>
      </c>
      <c r="U278" s="226">
        <v>52.0</v>
      </c>
      <c r="V278" s="227" t="s">
        <v>166</v>
      </c>
      <c r="W278" s="228" t="s">
        <v>174</v>
      </c>
      <c r="X278" s="222" t="s">
        <v>166</v>
      </c>
      <c r="Y278" s="223" t="s">
        <v>174</v>
      </c>
      <c r="Z278" s="221" t="s">
        <v>166</v>
      </c>
      <c r="AA278" s="222" t="s">
        <v>174</v>
      </c>
      <c r="AB278" s="222" t="s">
        <v>166</v>
      </c>
      <c r="AC278" s="222" t="s">
        <v>174</v>
      </c>
      <c r="AD278" s="222" t="s">
        <v>166</v>
      </c>
      <c r="AE278" s="222" t="s">
        <v>174</v>
      </c>
      <c r="AF278" s="222" t="s">
        <v>174</v>
      </c>
      <c r="AG278" s="229" t="s">
        <v>1706</v>
      </c>
      <c r="AH278" s="229"/>
    </row>
    <row r="279">
      <c r="A279" s="272" t="s">
        <v>1706</v>
      </c>
      <c r="B279" s="257" t="s">
        <v>2290</v>
      </c>
      <c r="C279" s="221">
        <v>240.0</v>
      </c>
      <c r="D279" s="222">
        <v>282.0</v>
      </c>
      <c r="E279" s="222">
        <v>120.0</v>
      </c>
      <c r="F279" s="222">
        <v>27.0</v>
      </c>
      <c r="G279" s="223" t="s">
        <v>164</v>
      </c>
      <c r="H279" s="221">
        <v>85.0</v>
      </c>
      <c r="I279" s="222">
        <v>73.0</v>
      </c>
      <c r="J279" s="222">
        <v>55.0</v>
      </c>
      <c r="K279" s="222">
        <v>3100.0</v>
      </c>
      <c r="L279" s="222" t="s">
        <v>44</v>
      </c>
      <c r="M279" s="223">
        <v>410.0</v>
      </c>
      <c r="N279" s="221">
        <v>2.0</v>
      </c>
      <c r="O279" s="222" t="s">
        <v>2002</v>
      </c>
      <c r="P279" s="222">
        <v>25.0</v>
      </c>
      <c r="Q279" s="222">
        <v>2250.0</v>
      </c>
      <c r="R279" s="224">
        <v>85.85</v>
      </c>
      <c r="S279" s="224">
        <v>3.27</v>
      </c>
      <c r="T279" s="225">
        <v>32.9</v>
      </c>
      <c r="U279" s="226">
        <v>52.0</v>
      </c>
      <c r="V279" s="227" t="s">
        <v>166</v>
      </c>
      <c r="W279" s="228" t="s">
        <v>174</v>
      </c>
      <c r="X279" s="222" t="s">
        <v>166</v>
      </c>
      <c r="Y279" s="223" t="s">
        <v>166</v>
      </c>
      <c r="Z279" s="221" t="s">
        <v>166</v>
      </c>
      <c r="AA279" s="222" t="s">
        <v>174</v>
      </c>
      <c r="AB279" s="222" t="s">
        <v>166</v>
      </c>
      <c r="AC279" s="222" t="s">
        <v>174</v>
      </c>
      <c r="AD279" s="222" t="s">
        <v>166</v>
      </c>
      <c r="AE279" s="222" t="s">
        <v>174</v>
      </c>
      <c r="AF279" s="222" t="s">
        <v>166</v>
      </c>
      <c r="AG279" s="229" t="s">
        <v>1706</v>
      </c>
      <c r="AH279" s="229"/>
    </row>
    <row r="280">
      <c r="A280" s="272" t="s">
        <v>1706</v>
      </c>
      <c r="B280" s="257" t="s">
        <v>2291</v>
      </c>
      <c r="C280" s="221">
        <v>240.0</v>
      </c>
      <c r="D280" s="222">
        <v>282.0</v>
      </c>
      <c r="E280" s="222">
        <v>120.0</v>
      </c>
      <c r="F280" s="222">
        <v>27.0</v>
      </c>
      <c r="G280" s="223" t="s">
        <v>164</v>
      </c>
      <c r="H280" s="221">
        <v>85.0</v>
      </c>
      <c r="I280" s="222">
        <v>73.0</v>
      </c>
      <c r="J280" s="222">
        <v>55.0</v>
      </c>
      <c r="K280" s="222">
        <v>3100.0</v>
      </c>
      <c r="L280" s="222" t="s">
        <v>44</v>
      </c>
      <c r="M280" s="223">
        <v>410.0</v>
      </c>
      <c r="N280" s="221">
        <v>2.0</v>
      </c>
      <c r="O280" s="222" t="s">
        <v>2002</v>
      </c>
      <c r="P280" s="222">
        <v>25.0</v>
      </c>
      <c r="Q280" s="222">
        <v>2250.0</v>
      </c>
      <c r="R280" s="224">
        <v>85.85</v>
      </c>
      <c r="S280" s="224">
        <v>3.27</v>
      </c>
      <c r="T280" s="225">
        <v>32.9</v>
      </c>
      <c r="U280" s="226">
        <v>52.0</v>
      </c>
      <c r="V280" s="227" t="s">
        <v>166</v>
      </c>
      <c r="W280" s="228" t="s">
        <v>174</v>
      </c>
      <c r="X280" s="222" t="s">
        <v>166</v>
      </c>
      <c r="Y280" s="223" t="s">
        <v>166</v>
      </c>
      <c r="Z280" s="221" t="s">
        <v>166</v>
      </c>
      <c r="AA280" s="222" t="s">
        <v>174</v>
      </c>
      <c r="AB280" s="222" t="s">
        <v>166</v>
      </c>
      <c r="AC280" s="222" t="s">
        <v>174</v>
      </c>
      <c r="AD280" s="222" t="s">
        <v>166</v>
      </c>
      <c r="AE280" s="222" t="s">
        <v>174</v>
      </c>
      <c r="AF280" s="222" t="s">
        <v>166</v>
      </c>
      <c r="AG280" s="229" t="s">
        <v>1706</v>
      </c>
      <c r="AH280" s="229"/>
    </row>
    <row r="281">
      <c r="A281" s="272" t="s">
        <v>1706</v>
      </c>
      <c r="B281" s="257" t="s">
        <v>2292</v>
      </c>
      <c r="C281" s="221">
        <v>240.0</v>
      </c>
      <c r="D281" s="222">
        <v>282.0</v>
      </c>
      <c r="E281" s="222">
        <v>120.0</v>
      </c>
      <c r="F281" s="222">
        <v>27.0</v>
      </c>
      <c r="G281" s="223" t="s">
        <v>164</v>
      </c>
      <c r="H281" s="221">
        <v>86.0</v>
      </c>
      <c r="I281" s="222">
        <v>74.0</v>
      </c>
      <c r="J281" s="222">
        <v>57.0</v>
      </c>
      <c r="K281" s="222">
        <v>3100.0</v>
      </c>
      <c r="L281" s="222" t="s">
        <v>44</v>
      </c>
      <c r="M281" s="223">
        <v>410.0</v>
      </c>
      <c r="N281" s="221">
        <v>2.0</v>
      </c>
      <c r="O281" s="222" t="s">
        <v>2002</v>
      </c>
      <c r="P281" s="222">
        <v>25.0</v>
      </c>
      <c r="Q281" s="222">
        <v>2250.0</v>
      </c>
      <c r="R281" s="224">
        <v>85.85</v>
      </c>
      <c r="S281" s="224">
        <v>3.27</v>
      </c>
      <c r="T281" s="225">
        <v>32.9</v>
      </c>
      <c r="U281" s="226">
        <v>52.0</v>
      </c>
      <c r="V281" s="227" t="s">
        <v>166</v>
      </c>
      <c r="W281" s="228" t="s">
        <v>174</v>
      </c>
      <c r="X281" s="222" t="s">
        <v>166</v>
      </c>
      <c r="Y281" s="223" t="s">
        <v>174</v>
      </c>
      <c r="Z281" s="221" t="s">
        <v>166</v>
      </c>
      <c r="AA281" s="222" t="s">
        <v>174</v>
      </c>
      <c r="AB281" s="222" t="s">
        <v>166</v>
      </c>
      <c r="AC281" s="222" t="s">
        <v>174</v>
      </c>
      <c r="AD281" s="222" t="s">
        <v>166</v>
      </c>
      <c r="AE281" s="222" t="s">
        <v>174</v>
      </c>
      <c r="AF281" s="222" t="s">
        <v>174</v>
      </c>
      <c r="AG281" s="229" t="s">
        <v>1706</v>
      </c>
      <c r="AH281" s="229"/>
    </row>
    <row r="282">
      <c r="A282" s="272" t="s">
        <v>1706</v>
      </c>
      <c r="B282" s="257" t="s">
        <v>2293</v>
      </c>
      <c r="C282" s="221">
        <v>360.0</v>
      </c>
      <c r="D282" s="222">
        <v>402.0</v>
      </c>
      <c r="E282" s="222">
        <v>120.0</v>
      </c>
      <c r="F282" s="222">
        <v>27.0</v>
      </c>
      <c r="G282" s="223" t="s">
        <v>164</v>
      </c>
      <c r="H282" s="221">
        <v>86.0</v>
      </c>
      <c r="I282" s="222">
        <v>74.0</v>
      </c>
      <c r="J282" s="222">
        <v>57.0</v>
      </c>
      <c r="K282" s="222">
        <v>3100.0</v>
      </c>
      <c r="L282" s="222" t="s">
        <v>44</v>
      </c>
      <c r="M282" s="223">
        <v>410.0</v>
      </c>
      <c r="N282" s="221">
        <v>3.0</v>
      </c>
      <c r="O282" s="222" t="s">
        <v>2002</v>
      </c>
      <c r="P282" s="222">
        <v>25.0</v>
      </c>
      <c r="Q282" s="222">
        <v>2250.0</v>
      </c>
      <c r="R282" s="224">
        <v>85.85</v>
      </c>
      <c r="S282" s="224">
        <v>3.27</v>
      </c>
      <c r="T282" s="225">
        <v>32.9</v>
      </c>
      <c r="U282" s="226">
        <v>52.0</v>
      </c>
      <c r="V282" s="227" t="s">
        <v>166</v>
      </c>
      <c r="W282" s="228" t="s">
        <v>174</v>
      </c>
      <c r="X282" s="222" t="s">
        <v>166</v>
      </c>
      <c r="Y282" s="223" t="s">
        <v>174</v>
      </c>
      <c r="Z282" s="221" t="s">
        <v>166</v>
      </c>
      <c r="AA282" s="222" t="s">
        <v>174</v>
      </c>
      <c r="AB282" s="222" t="s">
        <v>166</v>
      </c>
      <c r="AC282" s="222" t="s">
        <v>174</v>
      </c>
      <c r="AD282" s="222" t="s">
        <v>166</v>
      </c>
      <c r="AE282" s="222" t="s">
        <v>174</v>
      </c>
      <c r="AF282" s="222" t="s">
        <v>174</v>
      </c>
      <c r="AG282" s="229" t="s">
        <v>1706</v>
      </c>
      <c r="AH282" s="229"/>
    </row>
    <row r="283">
      <c r="A283" s="272" t="s">
        <v>1706</v>
      </c>
      <c r="B283" s="257" t="s">
        <v>2294</v>
      </c>
      <c r="C283" s="221">
        <v>360.0</v>
      </c>
      <c r="D283" s="222">
        <v>402.0</v>
      </c>
      <c r="E283" s="222">
        <v>120.0</v>
      </c>
      <c r="F283" s="222">
        <v>27.0</v>
      </c>
      <c r="G283" s="223" t="s">
        <v>164</v>
      </c>
      <c r="H283" s="221">
        <v>85.0</v>
      </c>
      <c r="I283" s="222">
        <v>73.0</v>
      </c>
      <c r="J283" s="222">
        <v>55.0</v>
      </c>
      <c r="K283" s="222">
        <v>3100.0</v>
      </c>
      <c r="L283" s="222" t="s">
        <v>44</v>
      </c>
      <c r="M283" s="223">
        <v>410.0</v>
      </c>
      <c r="N283" s="221">
        <v>3.0</v>
      </c>
      <c r="O283" s="222" t="s">
        <v>2002</v>
      </c>
      <c r="P283" s="222">
        <v>25.0</v>
      </c>
      <c r="Q283" s="222">
        <v>2250.0</v>
      </c>
      <c r="R283" s="224">
        <v>85.85</v>
      </c>
      <c r="S283" s="224">
        <v>3.27</v>
      </c>
      <c r="T283" s="225">
        <v>32.9</v>
      </c>
      <c r="U283" s="226">
        <v>52.0</v>
      </c>
      <c r="V283" s="227" t="s">
        <v>166</v>
      </c>
      <c r="W283" s="228" t="s">
        <v>174</v>
      </c>
      <c r="X283" s="222" t="s">
        <v>166</v>
      </c>
      <c r="Y283" s="223" t="s">
        <v>166</v>
      </c>
      <c r="Z283" s="221" t="s">
        <v>166</v>
      </c>
      <c r="AA283" s="222" t="s">
        <v>174</v>
      </c>
      <c r="AB283" s="222" t="s">
        <v>166</v>
      </c>
      <c r="AC283" s="222" t="s">
        <v>174</v>
      </c>
      <c r="AD283" s="222" t="s">
        <v>166</v>
      </c>
      <c r="AE283" s="222" t="s">
        <v>174</v>
      </c>
      <c r="AF283" s="222" t="s">
        <v>166</v>
      </c>
      <c r="AG283" s="229" t="s">
        <v>1706</v>
      </c>
      <c r="AH283" s="229"/>
    </row>
    <row r="284">
      <c r="A284" s="272" t="s">
        <v>1706</v>
      </c>
      <c r="B284" s="257" t="s">
        <v>2295</v>
      </c>
      <c r="C284" s="221">
        <v>360.0</v>
      </c>
      <c r="D284" s="222">
        <v>402.0</v>
      </c>
      <c r="E284" s="222">
        <v>120.0</v>
      </c>
      <c r="F284" s="222">
        <v>27.0</v>
      </c>
      <c r="G284" s="223" t="s">
        <v>164</v>
      </c>
      <c r="H284" s="221">
        <v>85.0</v>
      </c>
      <c r="I284" s="222">
        <v>73.0</v>
      </c>
      <c r="J284" s="222">
        <v>55.0</v>
      </c>
      <c r="K284" s="222">
        <v>3100.0</v>
      </c>
      <c r="L284" s="222" t="s">
        <v>44</v>
      </c>
      <c r="M284" s="223">
        <v>410.0</v>
      </c>
      <c r="N284" s="221">
        <v>3.0</v>
      </c>
      <c r="O284" s="222" t="s">
        <v>2002</v>
      </c>
      <c r="P284" s="222">
        <v>25.0</v>
      </c>
      <c r="Q284" s="222">
        <v>2250.0</v>
      </c>
      <c r="R284" s="224">
        <v>85.85</v>
      </c>
      <c r="S284" s="224">
        <v>3.27</v>
      </c>
      <c r="T284" s="225">
        <v>32.9</v>
      </c>
      <c r="U284" s="226">
        <v>52.0</v>
      </c>
      <c r="V284" s="227" t="s">
        <v>166</v>
      </c>
      <c r="W284" s="228" t="s">
        <v>174</v>
      </c>
      <c r="X284" s="222" t="s">
        <v>166</v>
      </c>
      <c r="Y284" s="223" t="s">
        <v>166</v>
      </c>
      <c r="Z284" s="221" t="s">
        <v>166</v>
      </c>
      <c r="AA284" s="222" t="s">
        <v>174</v>
      </c>
      <c r="AB284" s="222" t="s">
        <v>166</v>
      </c>
      <c r="AC284" s="222" t="s">
        <v>174</v>
      </c>
      <c r="AD284" s="222" t="s">
        <v>166</v>
      </c>
      <c r="AE284" s="222" t="s">
        <v>174</v>
      </c>
      <c r="AF284" s="222" t="s">
        <v>166</v>
      </c>
      <c r="AG284" s="229" t="s">
        <v>1706</v>
      </c>
      <c r="AH284" s="229"/>
    </row>
    <row r="285">
      <c r="A285" s="272" t="s">
        <v>1706</v>
      </c>
      <c r="B285" s="257" t="s">
        <v>2296</v>
      </c>
      <c r="C285" s="221">
        <v>360.0</v>
      </c>
      <c r="D285" s="222">
        <v>402.0</v>
      </c>
      <c r="E285" s="222">
        <v>120.0</v>
      </c>
      <c r="F285" s="222">
        <v>27.0</v>
      </c>
      <c r="G285" s="223" t="s">
        <v>164</v>
      </c>
      <c r="H285" s="221">
        <v>86.0</v>
      </c>
      <c r="I285" s="222">
        <v>74.0</v>
      </c>
      <c r="J285" s="222">
        <v>57.0</v>
      </c>
      <c r="K285" s="222">
        <v>3100.0</v>
      </c>
      <c r="L285" s="222" t="s">
        <v>44</v>
      </c>
      <c r="M285" s="223">
        <v>410.0</v>
      </c>
      <c r="N285" s="221">
        <v>3.0</v>
      </c>
      <c r="O285" s="222" t="s">
        <v>2002</v>
      </c>
      <c r="P285" s="222">
        <v>25.0</v>
      </c>
      <c r="Q285" s="222">
        <v>2250.0</v>
      </c>
      <c r="R285" s="224">
        <v>85.85</v>
      </c>
      <c r="S285" s="224">
        <v>3.27</v>
      </c>
      <c r="T285" s="225">
        <v>32.9</v>
      </c>
      <c r="U285" s="226">
        <v>52.0</v>
      </c>
      <c r="V285" s="227" t="s">
        <v>166</v>
      </c>
      <c r="W285" s="228" t="s">
        <v>174</v>
      </c>
      <c r="X285" s="222" t="s">
        <v>166</v>
      </c>
      <c r="Y285" s="223" t="s">
        <v>174</v>
      </c>
      <c r="Z285" s="221" t="s">
        <v>166</v>
      </c>
      <c r="AA285" s="222" t="s">
        <v>174</v>
      </c>
      <c r="AB285" s="222" t="s">
        <v>166</v>
      </c>
      <c r="AC285" s="222" t="s">
        <v>174</v>
      </c>
      <c r="AD285" s="222" t="s">
        <v>166</v>
      </c>
      <c r="AE285" s="222" t="s">
        <v>174</v>
      </c>
      <c r="AF285" s="222" t="s">
        <v>174</v>
      </c>
      <c r="AG285" s="229" t="s">
        <v>1706</v>
      </c>
      <c r="AH285" s="229"/>
    </row>
    <row r="286">
      <c r="A286" s="272" t="s">
        <v>1706</v>
      </c>
      <c r="B286" s="257" t="s">
        <v>2297</v>
      </c>
      <c r="C286" s="221">
        <v>240.0</v>
      </c>
      <c r="D286" s="222">
        <v>282.0</v>
      </c>
      <c r="E286" s="222">
        <v>120.0</v>
      </c>
      <c r="F286" s="222">
        <v>27.0</v>
      </c>
      <c r="G286" s="223" t="s">
        <v>164</v>
      </c>
      <c r="H286" s="221">
        <v>94.0</v>
      </c>
      <c r="I286" s="222">
        <v>80.0</v>
      </c>
      <c r="J286" s="222">
        <v>68.0</v>
      </c>
      <c r="K286" s="222">
        <v>3100.0</v>
      </c>
      <c r="L286" s="222" t="s">
        <v>44</v>
      </c>
      <c r="M286" s="223">
        <v>410.0</v>
      </c>
      <c r="N286" s="221">
        <v>2.0</v>
      </c>
      <c r="O286" s="222" t="s">
        <v>2002</v>
      </c>
      <c r="P286" s="222">
        <v>25.0</v>
      </c>
      <c r="Q286" s="222">
        <v>2250.0</v>
      </c>
      <c r="R286" s="224">
        <v>85.85</v>
      </c>
      <c r="S286" s="224">
        <v>3.27</v>
      </c>
      <c r="T286" s="225">
        <v>32.9</v>
      </c>
      <c r="U286" s="226">
        <v>52.0</v>
      </c>
      <c r="V286" s="227" t="s">
        <v>166</v>
      </c>
      <c r="W286" s="228" t="s">
        <v>174</v>
      </c>
      <c r="X286" s="222" t="s">
        <v>166</v>
      </c>
      <c r="Y286" s="223" t="s">
        <v>166</v>
      </c>
      <c r="Z286" s="221" t="s">
        <v>166</v>
      </c>
      <c r="AA286" s="222" t="s">
        <v>174</v>
      </c>
      <c r="AB286" s="222" t="s">
        <v>166</v>
      </c>
      <c r="AC286" s="222" t="s">
        <v>174</v>
      </c>
      <c r="AD286" s="222" t="s">
        <v>166</v>
      </c>
      <c r="AE286" s="222" t="s">
        <v>174</v>
      </c>
      <c r="AF286" s="222" t="s">
        <v>174</v>
      </c>
      <c r="AG286" s="229" t="s">
        <v>1706</v>
      </c>
      <c r="AH286" s="229"/>
    </row>
    <row r="287">
      <c r="A287" s="272" t="s">
        <v>1706</v>
      </c>
      <c r="B287" s="257" t="s">
        <v>2298</v>
      </c>
      <c r="C287" s="221">
        <v>240.0</v>
      </c>
      <c r="D287" s="222">
        <v>282.0</v>
      </c>
      <c r="E287" s="222">
        <v>120.0</v>
      </c>
      <c r="F287" s="222">
        <v>27.0</v>
      </c>
      <c r="G287" s="223" t="s">
        <v>164</v>
      </c>
      <c r="H287" s="221">
        <v>94.0</v>
      </c>
      <c r="I287" s="222">
        <v>80.0</v>
      </c>
      <c r="J287" s="222">
        <v>68.0</v>
      </c>
      <c r="K287" s="222">
        <v>3100.0</v>
      </c>
      <c r="L287" s="222" t="s">
        <v>44</v>
      </c>
      <c r="M287" s="223">
        <v>410.0</v>
      </c>
      <c r="N287" s="221">
        <v>2.0</v>
      </c>
      <c r="O287" s="222" t="s">
        <v>2002</v>
      </c>
      <c r="P287" s="222">
        <v>25.0</v>
      </c>
      <c r="Q287" s="222">
        <v>2250.0</v>
      </c>
      <c r="R287" s="224">
        <v>85.85</v>
      </c>
      <c r="S287" s="224">
        <v>3.27</v>
      </c>
      <c r="T287" s="225">
        <v>32.9</v>
      </c>
      <c r="U287" s="226">
        <v>52.0</v>
      </c>
      <c r="V287" s="227" t="s">
        <v>166</v>
      </c>
      <c r="W287" s="228" t="s">
        <v>174</v>
      </c>
      <c r="X287" s="222" t="s">
        <v>166</v>
      </c>
      <c r="Y287" s="223" t="s">
        <v>166</v>
      </c>
      <c r="Z287" s="221" t="s">
        <v>166</v>
      </c>
      <c r="AA287" s="222" t="s">
        <v>174</v>
      </c>
      <c r="AB287" s="222" t="s">
        <v>166</v>
      </c>
      <c r="AC287" s="222" t="s">
        <v>174</v>
      </c>
      <c r="AD287" s="222" t="s">
        <v>166</v>
      </c>
      <c r="AE287" s="222" t="s">
        <v>174</v>
      </c>
      <c r="AF287" s="222" t="s">
        <v>174</v>
      </c>
      <c r="AG287" s="229" t="s">
        <v>1706</v>
      </c>
      <c r="AH287" s="229"/>
    </row>
    <row r="288">
      <c r="A288" s="272" t="s">
        <v>1706</v>
      </c>
      <c r="B288" s="257" t="s">
        <v>2299</v>
      </c>
      <c r="C288" s="221">
        <v>360.0</v>
      </c>
      <c r="D288" s="222">
        <v>402.0</v>
      </c>
      <c r="E288" s="222">
        <v>120.0</v>
      </c>
      <c r="F288" s="222">
        <v>27.0</v>
      </c>
      <c r="G288" s="223" t="s">
        <v>164</v>
      </c>
      <c r="H288" s="221">
        <v>94.0</v>
      </c>
      <c r="I288" s="222">
        <v>80.0</v>
      </c>
      <c r="J288" s="222">
        <v>68.0</v>
      </c>
      <c r="K288" s="222">
        <v>3100.0</v>
      </c>
      <c r="L288" s="222" t="s">
        <v>44</v>
      </c>
      <c r="M288" s="223">
        <v>410.0</v>
      </c>
      <c r="N288" s="221">
        <v>3.0</v>
      </c>
      <c r="O288" s="222" t="s">
        <v>2002</v>
      </c>
      <c r="P288" s="222">
        <v>25.0</v>
      </c>
      <c r="Q288" s="222">
        <v>2250.0</v>
      </c>
      <c r="R288" s="224">
        <v>85.85</v>
      </c>
      <c r="S288" s="224">
        <v>3.27</v>
      </c>
      <c r="T288" s="225">
        <v>32.9</v>
      </c>
      <c r="U288" s="226">
        <v>52.0</v>
      </c>
      <c r="V288" s="227" t="s">
        <v>166</v>
      </c>
      <c r="W288" s="228" t="s">
        <v>174</v>
      </c>
      <c r="X288" s="222" t="s">
        <v>166</v>
      </c>
      <c r="Y288" s="223" t="s">
        <v>166</v>
      </c>
      <c r="Z288" s="221" t="s">
        <v>166</v>
      </c>
      <c r="AA288" s="222" t="s">
        <v>174</v>
      </c>
      <c r="AB288" s="222" t="s">
        <v>166</v>
      </c>
      <c r="AC288" s="222" t="s">
        <v>174</v>
      </c>
      <c r="AD288" s="222" t="s">
        <v>166</v>
      </c>
      <c r="AE288" s="222" t="s">
        <v>174</v>
      </c>
      <c r="AF288" s="222" t="s">
        <v>174</v>
      </c>
      <c r="AG288" s="229" t="s">
        <v>1706</v>
      </c>
      <c r="AH288" s="229" t="s">
        <v>214</v>
      </c>
    </row>
    <row r="289">
      <c r="A289" s="255" t="s">
        <v>1706</v>
      </c>
      <c r="B289" s="256" t="s">
        <v>2300</v>
      </c>
      <c r="C289" s="221">
        <v>360.0</v>
      </c>
      <c r="D289" s="222">
        <v>402.0</v>
      </c>
      <c r="E289" s="222">
        <v>120.0</v>
      </c>
      <c r="F289" s="222">
        <v>27.0</v>
      </c>
      <c r="G289" s="223" t="s">
        <v>164</v>
      </c>
      <c r="H289" s="221">
        <v>94.0</v>
      </c>
      <c r="I289" s="222">
        <v>80.0</v>
      </c>
      <c r="J289" s="222">
        <v>68.0</v>
      </c>
      <c r="K289" s="222">
        <v>3100.0</v>
      </c>
      <c r="L289" s="222" t="s">
        <v>44</v>
      </c>
      <c r="M289" s="223">
        <v>410.0</v>
      </c>
      <c r="N289" s="221">
        <v>3.0</v>
      </c>
      <c r="O289" s="222" t="s">
        <v>2002</v>
      </c>
      <c r="P289" s="222">
        <v>25.0</v>
      </c>
      <c r="Q289" s="222">
        <v>2250.0</v>
      </c>
      <c r="R289" s="224">
        <v>85.85</v>
      </c>
      <c r="S289" s="224">
        <v>3.27</v>
      </c>
      <c r="T289" s="225">
        <v>32.9</v>
      </c>
      <c r="U289" s="226">
        <v>52.0</v>
      </c>
      <c r="V289" s="227" t="s">
        <v>166</v>
      </c>
      <c r="W289" s="228" t="s">
        <v>174</v>
      </c>
      <c r="X289" s="222" t="s">
        <v>166</v>
      </c>
      <c r="Y289" s="223" t="s">
        <v>166</v>
      </c>
      <c r="Z289" s="221" t="s">
        <v>166</v>
      </c>
      <c r="AA289" s="222" t="s">
        <v>174</v>
      </c>
      <c r="AB289" s="222" t="s">
        <v>166</v>
      </c>
      <c r="AC289" s="222" t="s">
        <v>174</v>
      </c>
      <c r="AD289" s="222" t="s">
        <v>166</v>
      </c>
      <c r="AE289" s="222" t="s">
        <v>174</v>
      </c>
      <c r="AF289" s="222" t="s">
        <v>174</v>
      </c>
      <c r="AG289" s="229" t="s">
        <v>1706</v>
      </c>
      <c r="AH289" s="229" t="s">
        <v>214</v>
      </c>
    </row>
    <row r="290">
      <c r="A290" s="255" t="s">
        <v>1706</v>
      </c>
      <c r="B290" s="280" t="s">
        <v>2301</v>
      </c>
      <c r="C290" s="221">
        <v>240.0</v>
      </c>
      <c r="D290" s="222">
        <v>282.0</v>
      </c>
      <c r="E290" s="222">
        <v>120.0</v>
      </c>
      <c r="F290" s="222">
        <v>27.0</v>
      </c>
      <c r="G290" s="223" t="s">
        <v>164</v>
      </c>
      <c r="H290" s="221">
        <v>93.0</v>
      </c>
      <c r="I290" s="222">
        <v>77.0</v>
      </c>
      <c r="J290" s="222">
        <v>66.0</v>
      </c>
      <c r="K290" s="222">
        <v>3400.0</v>
      </c>
      <c r="L290" s="222" t="s">
        <v>44</v>
      </c>
      <c r="M290" s="223">
        <v>410.0</v>
      </c>
      <c r="N290" s="221">
        <v>2.0</v>
      </c>
      <c r="O290" s="222" t="s">
        <v>2002</v>
      </c>
      <c r="P290" s="222">
        <v>25.0</v>
      </c>
      <c r="Q290" s="222">
        <v>2150.0</v>
      </c>
      <c r="R290" s="224">
        <v>72.45</v>
      </c>
      <c r="S290" s="224">
        <v>4.32</v>
      </c>
      <c r="T290" s="225">
        <v>36.49</v>
      </c>
      <c r="U290" s="226">
        <v>52.0</v>
      </c>
      <c r="V290" s="227" t="s">
        <v>166</v>
      </c>
      <c r="W290" s="228" t="s">
        <v>174</v>
      </c>
      <c r="X290" s="222" t="s">
        <v>174</v>
      </c>
      <c r="Y290" s="223" t="s">
        <v>174</v>
      </c>
      <c r="Z290" s="221" t="s">
        <v>166</v>
      </c>
      <c r="AA290" s="222" t="s">
        <v>174</v>
      </c>
      <c r="AB290" s="222" t="s">
        <v>166</v>
      </c>
      <c r="AC290" s="222" t="s">
        <v>174</v>
      </c>
      <c r="AD290" s="222" t="s">
        <v>166</v>
      </c>
      <c r="AE290" s="222" t="s">
        <v>174</v>
      </c>
      <c r="AF290" s="222" t="s">
        <v>166</v>
      </c>
      <c r="AG290" s="229" t="s">
        <v>1706</v>
      </c>
      <c r="AH290" s="229"/>
    </row>
    <row r="291">
      <c r="A291" s="268" t="s">
        <v>1706</v>
      </c>
      <c r="B291" s="271" t="s">
        <v>2302</v>
      </c>
      <c r="C291" s="232">
        <v>360.0</v>
      </c>
      <c r="D291" s="233">
        <v>402.0</v>
      </c>
      <c r="E291" s="233">
        <v>120.0</v>
      </c>
      <c r="F291" s="233">
        <v>27.0</v>
      </c>
      <c r="G291" s="234" t="s">
        <v>164</v>
      </c>
      <c r="H291" s="232">
        <v>93.0</v>
      </c>
      <c r="I291" s="233">
        <v>77.0</v>
      </c>
      <c r="J291" s="233">
        <v>66.0</v>
      </c>
      <c r="K291" s="233">
        <v>3400.0</v>
      </c>
      <c r="L291" s="233" t="s">
        <v>44</v>
      </c>
      <c r="M291" s="234">
        <v>410.0</v>
      </c>
      <c r="N291" s="232">
        <v>3.0</v>
      </c>
      <c r="O291" s="233" t="s">
        <v>2002</v>
      </c>
      <c r="P291" s="233">
        <v>25.0</v>
      </c>
      <c r="Q291" s="233">
        <v>2150.0</v>
      </c>
      <c r="R291" s="235">
        <v>72.45</v>
      </c>
      <c r="S291" s="235">
        <v>4.32</v>
      </c>
      <c r="T291" s="236">
        <v>36.49</v>
      </c>
      <c r="U291" s="237">
        <v>52.0</v>
      </c>
      <c r="V291" s="238" t="s">
        <v>166</v>
      </c>
      <c r="W291" s="239" t="s">
        <v>174</v>
      </c>
      <c r="X291" s="233" t="s">
        <v>174</v>
      </c>
      <c r="Y291" s="234" t="s">
        <v>174</v>
      </c>
      <c r="Z291" s="232" t="s">
        <v>166</v>
      </c>
      <c r="AA291" s="233" t="s">
        <v>174</v>
      </c>
      <c r="AB291" s="233" t="s">
        <v>166</v>
      </c>
      <c r="AC291" s="233" t="s">
        <v>174</v>
      </c>
      <c r="AD291" s="233" t="s">
        <v>166</v>
      </c>
      <c r="AE291" s="233" t="s">
        <v>174</v>
      </c>
      <c r="AF291" s="233" t="s">
        <v>166</v>
      </c>
      <c r="AG291" s="240" t="s">
        <v>1706</v>
      </c>
      <c r="AH291" s="240"/>
    </row>
    <row r="292">
      <c r="A292" s="272" t="s">
        <v>2303</v>
      </c>
      <c r="B292" s="257" t="s">
        <v>2304</v>
      </c>
      <c r="C292" s="221">
        <v>120.0</v>
      </c>
      <c r="D292" s="222">
        <v>155.0</v>
      </c>
      <c r="E292" s="222">
        <v>120.0</v>
      </c>
      <c r="F292" s="222">
        <v>27.0</v>
      </c>
      <c r="G292" s="223" t="s">
        <v>164</v>
      </c>
      <c r="H292" s="221">
        <v>88.0</v>
      </c>
      <c r="I292" s="222">
        <v>70.0</v>
      </c>
      <c r="J292" s="222">
        <v>53.0</v>
      </c>
      <c r="K292" s="222">
        <v>2600.0</v>
      </c>
      <c r="L292" s="222" t="s">
        <v>44</v>
      </c>
      <c r="M292" s="223">
        <v>300.0</v>
      </c>
      <c r="N292" s="221">
        <v>1.0</v>
      </c>
      <c r="O292" s="222" t="s">
        <v>2002</v>
      </c>
      <c r="P292" s="222">
        <v>25.0</v>
      </c>
      <c r="Q292" s="222">
        <v>2200.0</v>
      </c>
      <c r="R292" s="224">
        <v>66.04</v>
      </c>
      <c r="S292" s="224">
        <v>2.89</v>
      </c>
      <c r="T292" s="225">
        <v>36.4</v>
      </c>
      <c r="U292" s="226">
        <v>52.0</v>
      </c>
      <c r="V292" s="221" t="s">
        <v>166</v>
      </c>
      <c r="W292" s="241" t="s">
        <v>174</v>
      </c>
      <c r="X292" s="222" t="s">
        <v>166</v>
      </c>
      <c r="Y292" s="223" t="s">
        <v>166</v>
      </c>
      <c r="Z292" s="221" t="s">
        <v>166</v>
      </c>
      <c r="AA292" s="222" t="s">
        <v>174</v>
      </c>
      <c r="AB292" s="222" t="s">
        <v>166</v>
      </c>
      <c r="AC292" s="222" t="s">
        <v>174</v>
      </c>
      <c r="AD292" s="222" t="s">
        <v>166</v>
      </c>
      <c r="AE292" s="222" t="s">
        <v>174</v>
      </c>
      <c r="AF292" s="222" t="s">
        <v>174</v>
      </c>
      <c r="AG292" s="229" t="s">
        <v>2303</v>
      </c>
      <c r="AH292" s="229"/>
    </row>
    <row r="293">
      <c r="A293" s="255" t="s">
        <v>2303</v>
      </c>
      <c r="B293" s="256" t="s">
        <v>2305</v>
      </c>
      <c r="C293" s="221">
        <v>240.0</v>
      </c>
      <c r="D293" s="222">
        <v>275.0</v>
      </c>
      <c r="E293" s="222">
        <v>120.0</v>
      </c>
      <c r="F293" s="222">
        <v>27.0</v>
      </c>
      <c r="G293" s="223" t="s">
        <v>164</v>
      </c>
      <c r="H293" s="221">
        <v>88.0</v>
      </c>
      <c r="I293" s="222">
        <v>70.0</v>
      </c>
      <c r="J293" s="222">
        <v>53.0</v>
      </c>
      <c r="K293" s="222">
        <v>2600.0</v>
      </c>
      <c r="L293" s="222" t="s">
        <v>44</v>
      </c>
      <c r="M293" s="223">
        <v>350.0</v>
      </c>
      <c r="N293" s="221">
        <v>2.0</v>
      </c>
      <c r="O293" s="222" t="s">
        <v>2002</v>
      </c>
      <c r="P293" s="222">
        <v>25.0</v>
      </c>
      <c r="Q293" s="222">
        <v>2200.0</v>
      </c>
      <c r="R293" s="224">
        <v>66.04</v>
      </c>
      <c r="S293" s="224">
        <v>2.89</v>
      </c>
      <c r="T293" s="225">
        <v>36.4</v>
      </c>
      <c r="U293" s="226">
        <v>52.0</v>
      </c>
      <c r="V293" s="227" t="s">
        <v>166</v>
      </c>
      <c r="W293" s="228" t="s">
        <v>174</v>
      </c>
      <c r="X293" s="222" t="s">
        <v>166</v>
      </c>
      <c r="Y293" s="223" t="s">
        <v>166</v>
      </c>
      <c r="Z293" s="221" t="s">
        <v>166</v>
      </c>
      <c r="AA293" s="222" t="s">
        <v>174</v>
      </c>
      <c r="AB293" s="222" t="s">
        <v>166</v>
      </c>
      <c r="AC293" s="222" t="s">
        <v>174</v>
      </c>
      <c r="AD293" s="222" t="s">
        <v>166</v>
      </c>
      <c r="AE293" s="222" t="s">
        <v>174</v>
      </c>
      <c r="AF293" s="222" t="s">
        <v>174</v>
      </c>
      <c r="AG293" s="229" t="s">
        <v>2303</v>
      </c>
      <c r="AH293" s="229"/>
    </row>
    <row r="294">
      <c r="A294" s="272" t="s">
        <v>2303</v>
      </c>
      <c r="B294" s="257" t="s">
        <v>2306</v>
      </c>
      <c r="C294" s="221">
        <v>280.0</v>
      </c>
      <c r="D294" s="222">
        <v>313.0</v>
      </c>
      <c r="E294" s="222">
        <v>140.0</v>
      </c>
      <c r="F294" s="222">
        <v>27.0</v>
      </c>
      <c r="G294" s="223" t="s">
        <v>164</v>
      </c>
      <c r="H294" s="221">
        <v>88.0</v>
      </c>
      <c r="I294" s="222">
        <v>70.0</v>
      </c>
      <c r="J294" s="222">
        <v>53.0</v>
      </c>
      <c r="K294" s="222">
        <v>2600.0</v>
      </c>
      <c r="L294" s="222" t="s">
        <v>44</v>
      </c>
      <c r="M294" s="223">
        <v>400.0</v>
      </c>
      <c r="N294" s="221">
        <v>2.0</v>
      </c>
      <c r="O294" s="222" t="s">
        <v>2018</v>
      </c>
      <c r="P294" s="222">
        <v>25.0</v>
      </c>
      <c r="Q294" s="222">
        <v>2000.0</v>
      </c>
      <c r="R294" s="224">
        <v>116.0</v>
      </c>
      <c r="S294" s="224">
        <v>1.9</v>
      </c>
      <c r="T294" s="225">
        <v>36.4</v>
      </c>
      <c r="U294" s="226">
        <v>52.0</v>
      </c>
      <c r="V294" s="227" t="s">
        <v>166</v>
      </c>
      <c r="W294" s="228" t="s">
        <v>174</v>
      </c>
      <c r="X294" s="222" t="s">
        <v>166</v>
      </c>
      <c r="Y294" s="223" t="s">
        <v>166</v>
      </c>
      <c r="Z294" s="221" t="s">
        <v>166</v>
      </c>
      <c r="AA294" s="222" t="s">
        <v>174</v>
      </c>
      <c r="AB294" s="222" t="s">
        <v>166</v>
      </c>
      <c r="AC294" s="222" t="s">
        <v>174</v>
      </c>
      <c r="AD294" s="222" t="s">
        <v>166</v>
      </c>
      <c r="AE294" s="222" t="s">
        <v>174</v>
      </c>
      <c r="AF294" s="222" t="s">
        <v>174</v>
      </c>
      <c r="AG294" s="229" t="s">
        <v>2303</v>
      </c>
      <c r="AH294" s="229"/>
    </row>
    <row r="295">
      <c r="A295" s="255" t="s">
        <v>2303</v>
      </c>
      <c r="B295" s="279" t="s">
        <v>2307</v>
      </c>
      <c r="C295" s="221">
        <v>360.0</v>
      </c>
      <c r="D295" s="222">
        <v>395.0</v>
      </c>
      <c r="E295" s="222">
        <v>120.0</v>
      </c>
      <c r="F295" s="222">
        <v>27.0</v>
      </c>
      <c r="G295" s="223" t="s">
        <v>164</v>
      </c>
      <c r="H295" s="221">
        <v>88.0</v>
      </c>
      <c r="I295" s="222">
        <v>70.0</v>
      </c>
      <c r="J295" s="222">
        <v>53.0</v>
      </c>
      <c r="K295" s="222">
        <v>2600.0</v>
      </c>
      <c r="L295" s="222" t="s">
        <v>44</v>
      </c>
      <c r="M295" s="223">
        <v>400.0</v>
      </c>
      <c r="N295" s="221">
        <v>3.0</v>
      </c>
      <c r="O295" s="222" t="s">
        <v>2002</v>
      </c>
      <c r="P295" s="222">
        <v>25.0</v>
      </c>
      <c r="Q295" s="222">
        <v>2200.0</v>
      </c>
      <c r="R295" s="224">
        <v>66.04</v>
      </c>
      <c r="S295" s="224">
        <v>2.89</v>
      </c>
      <c r="T295" s="225">
        <v>36.4</v>
      </c>
      <c r="U295" s="226">
        <v>52.0</v>
      </c>
      <c r="V295" s="227" t="s">
        <v>166</v>
      </c>
      <c r="W295" s="228" t="s">
        <v>174</v>
      </c>
      <c r="X295" s="222" t="s">
        <v>166</v>
      </c>
      <c r="Y295" s="223" t="s">
        <v>166</v>
      </c>
      <c r="Z295" s="221" t="s">
        <v>166</v>
      </c>
      <c r="AA295" s="222" t="s">
        <v>174</v>
      </c>
      <c r="AB295" s="222" t="s">
        <v>166</v>
      </c>
      <c r="AC295" s="222" t="s">
        <v>174</v>
      </c>
      <c r="AD295" s="222" t="s">
        <v>166</v>
      </c>
      <c r="AE295" s="222" t="s">
        <v>174</v>
      </c>
      <c r="AF295" s="222" t="s">
        <v>174</v>
      </c>
      <c r="AG295" s="229" t="s">
        <v>2303</v>
      </c>
      <c r="AH295" s="229"/>
    </row>
    <row r="296">
      <c r="A296" s="255" t="s">
        <v>2303</v>
      </c>
      <c r="B296" s="279" t="s">
        <v>2308</v>
      </c>
      <c r="C296" s="221">
        <v>240.0</v>
      </c>
      <c r="D296" s="222">
        <v>275.0</v>
      </c>
      <c r="E296" s="222">
        <v>120.0</v>
      </c>
      <c r="F296" s="222">
        <v>27.0</v>
      </c>
      <c r="G296" s="223" t="s">
        <v>164</v>
      </c>
      <c r="H296" s="221">
        <v>88.0</v>
      </c>
      <c r="I296" s="222">
        <v>70.0</v>
      </c>
      <c r="J296" s="222">
        <v>53.0</v>
      </c>
      <c r="K296" s="222">
        <v>2600.0</v>
      </c>
      <c r="L296" s="222" t="s">
        <v>44</v>
      </c>
      <c r="M296" s="223">
        <v>350.0</v>
      </c>
      <c r="N296" s="221">
        <v>2.0</v>
      </c>
      <c r="O296" s="222" t="s">
        <v>2002</v>
      </c>
      <c r="P296" s="222">
        <v>25.0</v>
      </c>
      <c r="Q296" s="222">
        <v>2200.0</v>
      </c>
      <c r="R296" s="224">
        <v>77.0</v>
      </c>
      <c r="S296" s="224">
        <v>2.89</v>
      </c>
      <c r="T296" s="225">
        <v>33.5</v>
      </c>
      <c r="U296" s="226">
        <v>52.0</v>
      </c>
      <c r="V296" s="227" t="s">
        <v>166</v>
      </c>
      <c r="W296" s="228" t="s">
        <v>166</v>
      </c>
      <c r="X296" s="222" t="s">
        <v>166</v>
      </c>
      <c r="Y296" s="223" t="s">
        <v>166</v>
      </c>
      <c r="Z296" s="221" t="s">
        <v>166</v>
      </c>
      <c r="AA296" s="222" t="s">
        <v>174</v>
      </c>
      <c r="AB296" s="222" t="s">
        <v>166</v>
      </c>
      <c r="AC296" s="222" t="s">
        <v>174</v>
      </c>
      <c r="AD296" s="222" t="s">
        <v>166</v>
      </c>
      <c r="AE296" s="222" t="s">
        <v>174</v>
      </c>
      <c r="AF296" s="222" t="s">
        <v>174</v>
      </c>
      <c r="AG296" s="229" t="s">
        <v>2303</v>
      </c>
      <c r="AH296" s="229"/>
    </row>
    <row r="297">
      <c r="A297" s="255" t="s">
        <v>2303</v>
      </c>
      <c r="B297" s="279" t="s">
        <v>2309</v>
      </c>
      <c r="C297" s="221">
        <v>360.0</v>
      </c>
      <c r="D297" s="222">
        <v>395.0</v>
      </c>
      <c r="E297" s="222">
        <v>120.0</v>
      </c>
      <c r="F297" s="222">
        <v>27.0</v>
      </c>
      <c r="G297" s="223" t="s">
        <v>164</v>
      </c>
      <c r="H297" s="221">
        <v>88.0</v>
      </c>
      <c r="I297" s="222">
        <v>70.0</v>
      </c>
      <c r="J297" s="222">
        <v>53.0</v>
      </c>
      <c r="K297" s="222">
        <v>2600.0</v>
      </c>
      <c r="L297" s="222" t="s">
        <v>44</v>
      </c>
      <c r="M297" s="223">
        <v>400.0</v>
      </c>
      <c r="N297" s="221">
        <v>3.0</v>
      </c>
      <c r="O297" s="222" t="s">
        <v>2002</v>
      </c>
      <c r="P297" s="222">
        <v>25.0</v>
      </c>
      <c r="Q297" s="222">
        <v>2200.0</v>
      </c>
      <c r="R297" s="224">
        <v>77.0</v>
      </c>
      <c r="S297" s="224">
        <v>2.89</v>
      </c>
      <c r="T297" s="225">
        <v>33.5</v>
      </c>
      <c r="U297" s="226">
        <v>52.0</v>
      </c>
      <c r="V297" s="227" t="s">
        <v>166</v>
      </c>
      <c r="W297" s="228" t="s">
        <v>166</v>
      </c>
      <c r="X297" s="222" t="s">
        <v>166</v>
      </c>
      <c r="Y297" s="223" t="s">
        <v>166</v>
      </c>
      <c r="Z297" s="221" t="s">
        <v>166</v>
      </c>
      <c r="AA297" s="222" t="s">
        <v>174</v>
      </c>
      <c r="AB297" s="222" t="s">
        <v>166</v>
      </c>
      <c r="AC297" s="222" t="s">
        <v>174</v>
      </c>
      <c r="AD297" s="222" t="s">
        <v>166</v>
      </c>
      <c r="AE297" s="222" t="s">
        <v>174</v>
      </c>
      <c r="AF297" s="222" t="s">
        <v>174</v>
      </c>
      <c r="AG297" s="229" t="s">
        <v>2303</v>
      </c>
      <c r="AH297" s="229"/>
    </row>
    <row r="298">
      <c r="A298" s="255" t="s">
        <v>2303</v>
      </c>
      <c r="B298" s="279" t="s">
        <v>2310</v>
      </c>
      <c r="C298" s="221">
        <v>280.0</v>
      </c>
      <c r="D298" s="222">
        <v>313.0</v>
      </c>
      <c r="E298" s="222">
        <v>140.0</v>
      </c>
      <c r="F298" s="222">
        <v>27.0</v>
      </c>
      <c r="G298" s="223" t="s">
        <v>164</v>
      </c>
      <c r="H298" s="221">
        <v>88.0</v>
      </c>
      <c r="I298" s="222">
        <v>70.0</v>
      </c>
      <c r="J298" s="222">
        <v>64.0</v>
      </c>
      <c r="K298" s="222">
        <v>3300.0</v>
      </c>
      <c r="L298" s="222" t="s">
        <v>44</v>
      </c>
      <c r="M298" s="223">
        <v>400.0</v>
      </c>
      <c r="N298" s="221">
        <v>4.0</v>
      </c>
      <c r="O298" s="222" t="s">
        <v>2018</v>
      </c>
      <c r="P298" s="222">
        <v>25.0</v>
      </c>
      <c r="Q298" s="222">
        <v>2200.0</v>
      </c>
      <c r="R298" s="224">
        <v>116.0</v>
      </c>
      <c r="S298" s="224">
        <v>1.9</v>
      </c>
      <c r="T298" s="225">
        <v>36.4</v>
      </c>
      <c r="U298" s="226">
        <v>77.0</v>
      </c>
      <c r="V298" s="227" t="s">
        <v>166</v>
      </c>
      <c r="W298" s="228" t="s">
        <v>174</v>
      </c>
      <c r="X298" s="222" t="s">
        <v>166</v>
      </c>
      <c r="Y298" s="223" t="s">
        <v>166</v>
      </c>
      <c r="Z298" s="221" t="s">
        <v>166</v>
      </c>
      <c r="AA298" s="222" t="s">
        <v>174</v>
      </c>
      <c r="AB298" s="222" t="s">
        <v>166</v>
      </c>
      <c r="AC298" s="222" t="s">
        <v>174</v>
      </c>
      <c r="AD298" s="222" t="s">
        <v>166</v>
      </c>
      <c r="AE298" s="222" t="s">
        <v>174</v>
      </c>
      <c r="AF298" s="222" t="s">
        <v>174</v>
      </c>
      <c r="AG298" s="229" t="s">
        <v>2303</v>
      </c>
      <c r="AH298" s="229"/>
    </row>
    <row r="299">
      <c r="A299" s="255" t="s">
        <v>2303</v>
      </c>
      <c r="B299" s="257" t="s">
        <v>2311</v>
      </c>
      <c r="C299" s="221">
        <v>360.0</v>
      </c>
      <c r="D299" s="222">
        <v>395.0</v>
      </c>
      <c r="E299" s="222">
        <v>120.0</v>
      </c>
      <c r="F299" s="222">
        <v>27.0</v>
      </c>
      <c r="G299" s="223" t="s">
        <v>164</v>
      </c>
      <c r="H299" s="221">
        <v>88.0</v>
      </c>
      <c r="I299" s="222">
        <v>70.0</v>
      </c>
      <c r="J299" s="222">
        <v>64.0</v>
      </c>
      <c r="K299" s="222">
        <v>3300.0</v>
      </c>
      <c r="L299" s="222" t="s">
        <v>44</v>
      </c>
      <c r="M299" s="223">
        <v>400.0</v>
      </c>
      <c r="N299" s="221">
        <v>6.0</v>
      </c>
      <c r="O299" s="222" t="s">
        <v>2002</v>
      </c>
      <c r="P299" s="222">
        <v>25.0</v>
      </c>
      <c r="Q299" s="222">
        <v>2200.0</v>
      </c>
      <c r="R299" s="224">
        <v>66.04</v>
      </c>
      <c r="S299" s="224">
        <v>2.89</v>
      </c>
      <c r="T299" s="225">
        <v>36.4</v>
      </c>
      <c r="U299" s="226">
        <v>77.0</v>
      </c>
      <c r="V299" s="227" t="s">
        <v>166</v>
      </c>
      <c r="W299" s="228" t="s">
        <v>174</v>
      </c>
      <c r="X299" s="222" t="s">
        <v>166</v>
      </c>
      <c r="Y299" s="223" t="s">
        <v>166</v>
      </c>
      <c r="Z299" s="221" t="s">
        <v>166</v>
      </c>
      <c r="AA299" s="222" t="s">
        <v>174</v>
      </c>
      <c r="AB299" s="222" t="s">
        <v>166</v>
      </c>
      <c r="AC299" s="222" t="s">
        <v>174</v>
      </c>
      <c r="AD299" s="222" t="s">
        <v>166</v>
      </c>
      <c r="AE299" s="222" t="s">
        <v>174</v>
      </c>
      <c r="AF299" s="222" t="s">
        <v>174</v>
      </c>
      <c r="AG299" s="229" t="s">
        <v>2303</v>
      </c>
      <c r="AH299" s="229"/>
    </row>
    <row r="300">
      <c r="A300" s="255" t="s">
        <v>2303</v>
      </c>
      <c r="B300" s="257" t="s">
        <v>2312</v>
      </c>
      <c r="C300" s="221">
        <v>240.0</v>
      </c>
      <c r="D300" s="222">
        <v>281.0</v>
      </c>
      <c r="E300" s="222">
        <v>124.0</v>
      </c>
      <c r="F300" s="222">
        <v>27.0</v>
      </c>
      <c r="G300" s="223" t="s">
        <v>164</v>
      </c>
      <c r="H300" s="221">
        <v>82.3</v>
      </c>
      <c r="I300" s="222">
        <v>69.2</v>
      </c>
      <c r="J300" s="222">
        <v>61.6</v>
      </c>
      <c r="K300" s="222">
        <v>3100.0</v>
      </c>
      <c r="L300" s="222" t="s">
        <v>44</v>
      </c>
      <c r="M300" s="223">
        <v>370.0</v>
      </c>
      <c r="N300" s="221">
        <v>2.0</v>
      </c>
      <c r="O300" s="222" t="s">
        <v>2002</v>
      </c>
      <c r="P300" s="222">
        <v>25.0</v>
      </c>
      <c r="Q300" s="222">
        <v>2300.0</v>
      </c>
      <c r="R300" s="224">
        <v>72.0</v>
      </c>
      <c r="S300" s="224" t="s">
        <v>170</v>
      </c>
      <c r="T300" s="225">
        <v>36.0</v>
      </c>
      <c r="U300" s="226">
        <v>52.0</v>
      </c>
      <c r="V300" s="221" t="s">
        <v>166</v>
      </c>
      <c r="W300" s="241" t="s">
        <v>166</v>
      </c>
      <c r="X300" s="222" t="s">
        <v>166</v>
      </c>
      <c r="Y300" s="223" t="s">
        <v>166</v>
      </c>
      <c r="Z300" s="221" t="s">
        <v>166</v>
      </c>
      <c r="AA300" s="222" t="s">
        <v>174</v>
      </c>
      <c r="AB300" s="222" t="s">
        <v>166</v>
      </c>
      <c r="AC300" s="222" t="s">
        <v>174</v>
      </c>
      <c r="AD300" s="222" t="s">
        <v>166</v>
      </c>
      <c r="AE300" s="222" t="s">
        <v>174</v>
      </c>
      <c r="AF300" s="222" t="s">
        <v>174</v>
      </c>
      <c r="AG300" s="229" t="s">
        <v>2303</v>
      </c>
      <c r="AH300" s="229"/>
    </row>
    <row r="301">
      <c r="A301" s="255" t="s">
        <v>2303</v>
      </c>
      <c r="B301" s="257" t="s">
        <v>2313</v>
      </c>
      <c r="C301" s="221">
        <v>240.0</v>
      </c>
      <c r="D301" s="222">
        <v>281.0</v>
      </c>
      <c r="E301" s="222">
        <v>124.0</v>
      </c>
      <c r="F301" s="222">
        <v>27.0</v>
      </c>
      <c r="G301" s="223" t="s">
        <v>164</v>
      </c>
      <c r="H301" s="221">
        <v>82.3</v>
      </c>
      <c r="I301" s="222">
        <v>69.2</v>
      </c>
      <c r="J301" s="222">
        <v>61.6</v>
      </c>
      <c r="K301" s="222">
        <v>3100.0</v>
      </c>
      <c r="L301" s="222" t="s">
        <v>44</v>
      </c>
      <c r="M301" s="223">
        <v>370.0</v>
      </c>
      <c r="N301" s="221">
        <v>2.0</v>
      </c>
      <c r="O301" s="222" t="s">
        <v>2002</v>
      </c>
      <c r="P301" s="222">
        <v>25.0</v>
      </c>
      <c r="Q301" s="222">
        <v>2300.0</v>
      </c>
      <c r="R301" s="224">
        <v>72.0</v>
      </c>
      <c r="S301" s="224" t="s">
        <v>170</v>
      </c>
      <c r="T301" s="225">
        <v>36.0</v>
      </c>
      <c r="U301" s="226">
        <v>52.0</v>
      </c>
      <c r="V301" s="221" t="s">
        <v>166</v>
      </c>
      <c r="W301" s="241" t="s">
        <v>174</v>
      </c>
      <c r="X301" s="222" t="s">
        <v>166</v>
      </c>
      <c r="Y301" s="223" t="s">
        <v>166</v>
      </c>
      <c r="Z301" s="221" t="s">
        <v>166</v>
      </c>
      <c r="AA301" s="222" t="s">
        <v>174</v>
      </c>
      <c r="AB301" s="222" t="s">
        <v>166</v>
      </c>
      <c r="AC301" s="222" t="s">
        <v>174</v>
      </c>
      <c r="AD301" s="222" t="s">
        <v>166</v>
      </c>
      <c r="AE301" s="222" t="s">
        <v>174</v>
      </c>
      <c r="AF301" s="222" t="s">
        <v>174</v>
      </c>
      <c r="AG301" s="229" t="s">
        <v>2303</v>
      </c>
      <c r="AH301" s="229"/>
    </row>
    <row r="302">
      <c r="A302" s="255" t="s">
        <v>2303</v>
      </c>
      <c r="B302" s="257" t="s">
        <v>2314</v>
      </c>
      <c r="C302" s="221">
        <v>360.0</v>
      </c>
      <c r="D302" s="222">
        <v>400.0</v>
      </c>
      <c r="E302" s="222">
        <v>124.0</v>
      </c>
      <c r="F302" s="222">
        <v>27.0</v>
      </c>
      <c r="G302" s="223" t="s">
        <v>164</v>
      </c>
      <c r="H302" s="221">
        <v>82.3</v>
      </c>
      <c r="I302" s="222">
        <v>69.2</v>
      </c>
      <c r="J302" s="222">
        <v>61.6</v>
      </c>
      <c r="K302" s="222">
        <v>3100.0</v>
      </c>
      <c r="L302" s="222" t="s">
        <v>44</v>
      </c>
      <c r="M302" s="223">
        <v>400.0</v>
      </c>
      <c r="N302" s="221">
        <v>3.0</v>
      </c>
      <c r="O302" s="222" t="s">
        <v>2002</v>
      </c>
      <c r="P302" s="222">
        <v>25.0</v>
      </c>
      <c r="Q302" s="222">
        <v>2300.0</v>
      </c>
      <c r="R302" s="224">
        <v>72.0</v>
      </c>
      <c r="S302" s="224" t="s">
        <v>170</v>
      </c>
      <c r="T302" s="225">
        <v>36.0</v>
      </c>
      <c r="U302" s="226">
        <v>52.0</v>
      </c>
      <c r="V302" s="221" t="s">
        <v>166</v>
      </c>
      <c r="W302" s="241" t="s">
        <v>166</v>
      </c>
      <c r="X302" s="222" t="s">
        <v>166</v>
      </c>
      <c r="Y302" s="223" t="s">
        <v>166</v>
      </c>
      <c r="Z302" s="221" t="s">
        <v>166</v>
      </c>
      <c r="AA302" s="222" t="s">
        <v>174</v>
      </c>
      <c r="AB302" s="222" t="s">
        <v>166</v>
      </c>
      <c r="AC302" s="222" t="s">
        <v>174</v>
      </c>
      <c r="AD302" s="222" t="s">
        <v>166</v>
      </c>
      <c r="AE302" s="222" t="s">
        <v>174</v>
      </c>
      <c r="AF302" s="222" t="s">
        <v>174</v>
      </c>
      <c r="AG302" s="229" t="s">
        <v>2303</v>
      </c>
      <c r="AH302" s="229"/>
    </row>
    <row r="303">
      <c r="A303" s="255" t="s">
        <v>2303</v>
      </c>
      <c r="B303" s="257" t="s">
        <v>2315</v>
      </c>
      <c r="C303" s="221">
        <v>360.0</v>
      </c>
      <c r="D303" s="222">
        <v>400.0</v>
      </c>
      <c r="E303" s="222">
        <v>124.0</v>
      </c>
      <c r="F303" s="222">
        <v>27.0</v>
      </c>
      <c r="G303" s="223" t="s">
        <v>164</v>
      </c>
      <c r="H303" s="221">
        <v>82.3</v>
      </c>
      <c r="I303" s="222">
        <v>69.2</v>
      </c>
      <c r="J303" s="222">
        <v>61.6</v>
      </c>
      <c r="K303" s="222">
        <v>3100.0</v>
      </c>
      <c r="L303" s="222" t="s">
        <v>44</v>
      </c>
      <c r="M303" s="223">
        <v>400.0</v>
      </c>
      <c r="N303" s="221">
        <v>3.0</v>
      </c>
      <c r="O303" s="222" t="s">
        <v>2002</v>
      </c>
      <c r="P303" s="222">
        <v>25.0</v>
      </c>
      <c r="Q303" s="222">
        <v>2300.0</v>
      </c>
      <c r="R303" s="224">
        <v>72.0</v>
      </c>
      <c r="S303" s="224" t="s">
        <v>170</v>
      </c>
      <c r="T303" s="225">
        <v>36.0</v>
      </c>
      <c r="U303" s="226">
        <v>52.0</v>
      </c>
      <c r="V303" s="221" t="s">
        <v>166</v>
      </c>
      <c r="W303" s="241" t="s">
        <v>174</v>
      </c>
      <c r="X303" s="222" t="s">
        <v>166</v>
      </c>
      <c r="Y303" s="223" t="s">
        <v>166</v>
      </c>
      <c r="Z303" s="221" t="s">
        <v>166</v>
      </c>
      <c r="AA303" s="222" t="s">
        <v>174</v>
      </c>
      <c r="AB303" s="222" t="s">
        <v>166</v>
      </c>
      <c r="AC303" s="222" t="s">
        <v>174</v>
      </c>
      <c r="AD303" s="222" t="s">
        <v>166</v>
      </c>
      <c r="AE303" s="222" t="s">
        <v>174</v>
      </c>
      <c r="AF303" s="222" t="s">
        <v>174</v>
      </c>
      <c r="AG303" s="229" t="s">
        <v>2303</v>
      </c>
      <c r="AH303" s="229" t="s">
        <v>214</v>
      </c>
    </row>
    <row r="304">
      <c r="A304" s="255" t="s">
        <v>2303</v>
      </c>
      <c r="B304" s="257" t="s">
        <v>2316</v>
      </c>
      <c r="C304" s="221">
        <v>240.0</v>
      </c>
      <c r="D304" s="222">
        <v>281.0</v>
      </c>
      <c r="E304" s="222">
        <v>124.0</v>
      </c>
      <c r="F304" s="222">
        <v>27.0</v>
      </c>
      <c r="G304" s="223" t="s">
        <v>164</v>
      </c>
      <c r="H304" s="221">
        <v>82.3</v>
      </c>
      <c r="I304" s="222">
        <v>69.2</v>
      </c>
      <c r="J304" s="222">
        <v>61.6</v>
      </c>
      <c r="K304" s="222">
        <v>3100.0</v>
      </c>
      <c r="L304" s="222" t="s">
        <v>44</v>
      </c>
      <c r="M304" s="223">
        <v>370.0</v>
      </c>
      <c r="N304" s="221">
        <v>2.0</v>
      </c>
      <c r="O304" s="222" t="s">
        <v>2002</v>
      </c>
      <c r="P304" s="222">
        <v>25.0</v>
      </c>
      <c r="Q304" s="222">
        <v>2200.0</v>
      </c>
      <c r="R304" s="224" t="s">
        <v>170</v>
      </c>
      <c r="S304" s="224" t="s">
        <v>170</v>
      </c>
      <c r="T304" s="225" t="s">
        <v>170</v>
      </c>
      <c r="U304" s="226">
        <v>52.0</v>
      </c>
      <c r="V304" s="221" t="s">
        <v>166</v>
      </c>
      <c r="W304" s="241" t="s">
        <v>174</v>
      </c>
      <c r="X304" s="222" t="s">
        <v>166</v>
      </c>
      <c r="Y304" s="223" t="s">
        <v>166</v>
      </c>
      <c r="Z304" s="221" t="s">
        <v>166</v>
      </c>
      <c r="AA304" s="222" t="s">
        <v>174</v>
      </c>
      <c r="AB304" s="222" t="s">
        <v>166</v>
      </c>
      <c r="AC304" s="222" t="s">
        <v>174</v>
      </c>
      <c r="AD304" s="222" t="s">
        <v>166</v>
      </c>
      <c r="AE304" s="222" t="s">
        <v>174</v>
      </c>
      <c r="AF304" s="222" t="s">
        <v>174</v>
      </c>
      <c r="AG304" s="229" t="s">
        <v>2303</v>
      </c>
      <c r="AH304" s="229"/>
    </row>
    <row r="305">
      <c r="A305" s="268" t="s">
        <v>2303</v>
      </c>
      <c r="B305" s="271" t="s">
        <v>2317</v>
      </c>
      <c r="C305" s="232">
        <v>360.0</v>
      </c>
      <c r="D305" s="233">
        <v>400.0</v>
      </c>
      <c r="E305" s="233">
        <v>124.0</v>
      </c>
      <c r="F305" s="233">
        <v>27.0</v>
      </c>
      <c r="G305" s="234" t="s">
        <v>164</v>
      </c>
      <c r="H305" s="232">
        <v>82.3</v>
      </c>
      <c r="I305" s="233">
        <v>69.2</v>
      </c>
      <c r="J305" s="233">
        <v>61.6</v>
      </c>
      <c r="K305" s="233">
        <v>3100.0</v>
      </c>
      <c r="L305" s="233" t="s">
        <v>44</v>
      </c>
      <c r="M305" s="234">
        <v>400.0</v>
      </c>
      <c r="N305" s="232">
        <v>3.0</v>
      </c>
      <c r="O305" s="233" t="s">
        <v>2002</v>
      </c>
      <c r="P305" s="233">
        <v>25.0</v>
      </c>
      <c r="Q305" s="233">
        <v>2200.0</v>
      </c>
      <c r="R305" s="235" t="s">
        <v>170</v>
      </c>
      <c r="S305" s="235" t="s">
        <v>170</v>
      </c>
      <c r="T305" s="236" t="s">
        <v>170</v>
      </c>
      <c r="U305" s="237">
        <v>52.0</v>
      </c>
      <c r="V305" s="232" t="s">
        <v>166</v>
      </c>
      <c r="W305" s="247" t="s">
        <v>174</v>
      </c>
      <c r="X305" s="233" t="s">
        <v>166</v>
      </c>
      <c r="Y305" s="234" t="s">
        <v>166</v>
      </c>
      <c r="Z305" s="232" t="s">
        <v>166</v>
      </c>
      <c r="AA305" s="233" t="s">
        <v>174</v>
      </c>
      <c r="AB305" s="233" t="s">
        <v>166</v>
      </c>
      <c r="AC305" s="233" t="s">
        <v>174</v>
      </c>
      <c r="AD305" s="233" t="s">
        <v>166</v>
      </c>
      <c r="AE305" s="233" t="s">
        <v>174</v>
      </c>
      <c r="AF305" s="233" t="s">
        <v>174</v>
      </c>
      <c r="AG305" s="240" t="s">
        <v>2303</v>
      </c>
      <c r="AH305" s="240"/>
    </row>
    <row r="306">
      <c r="A306" s="272" t="s">
        <v>2318</v>
      </c>
      <c r="B306" s="257" t="s">
        <v>2319</v>
      </c>
      <c r="C306" s="221">
        <v>120.0</v>
      </c>
      <c r="D306" s="222">
        <v>154.0</v>
      </c>
      <c r="E306" s="222">
        <v>120.0</v>
      </c>
      <c r="F306" s="222">
        <v>27.0</v>
      </c>
      <c r="G306" s="223" t="s">
        <v>164</v>
      </c>
      <c r="H306" s="221">
        <v>69.5</v>
      </c>
      <c r="I306" s="222">
        <v>68.5</v>
      </c>
      <c r="J306" s="222">
        <v>54.5</v>
      </c>
      <c r="K306" s="222" t="s">
        <v>170</v>
      </c>
      <c r="L306" s="222" t="s">
        <v>44</v>
      </c>
      <c r="M306" s="223">
        <v>400.0</v>
      </c>
      <c r="N306" s="221">
        <v>1.0</v>
      </c>
      <c r="O306" s="222" t="s">
        <v>2002</v>
      </c>
      <c r="P306" s="222">
        <v>26.0</v>
      </c>
      <c r="Q306" s="222">
        <v>2000.0</v>
      </c>
      <c r="R306" s="224">
        <v>79.8</v>
      </c>
      <c r="S306" s="224">
        <v>3.6</v>
      </c>
      <c r="T306" s="225">
        <v>32.6</v>
      </c>
      <c r="U306" s="226">
        <v>53.0</v>
      </c>
      <c r="V306" s="221" t="s">
        <v>166</v>
      </c>
      <c r="W306" s="241" t="s">
        <v>174</v>
      </c>
      <c r="X306" s="222" t="s">
        <v>166</v>
      </c>
      <c r="Y306" s="223" t="s">
        <v>166</v>
      </c>
      <c r="Z306" s="221" t="s">
        <v>174</v>
      </c>
      <c r="AA306" s="222" t="s">
        <v>174</v>
      </c>
      <c r="AB306" s="222" t="s">
        <v>166</v>
      </c>
      <c r="AC306" s="222" t="s">
        <v>174</v>
      </c>
      <c r="AD306" s="222" t="s">
        <v>174</v>
      </c>
      <c r="AE306" s="222" t="s">
        <v>174</v>
      </c>
      <c r="AF306" s="222" t="s">
        <v>174</v>
      </c>
      <c r="AG306" s="253" t="s">
        <v>2139</v>
      </c>
      <c r="AH306" s="253"/>
    </row>
    <row r="307">
      <c r="A307" s="272" t="s">
        <v>2318</v>
      </c>
      <c r="B307" s="257" t="s">
        <v>2320</v>
      </c>
      <c r="C307" s="221">
        <v>120.0</v>
      </c>
      <c r="D307" s="222">
        <v>154.0</v>
      </c>
      <c r="E307" s="222">
        <v>120.0</v>
      </c>
      <c r="F307" s="222">
        <v>27.0</v>
      </c>
      <c r="G307" s="223" t="s">
        <v>164</v>
      </c>
      <c r="H307" s="221">
        <v>69.5</v>
      </c>
      <c r="I307" s="222">
        <v>68.5</v>
      </c>
      <c r="J307" s="222">
        <v>54.5</v>
      </c>
      <c r="K307" s="222" t="s">
        <v>170</v>
      </c>
      <c r="L307" s="222" t="s">
        <v>44</v>
      </c>
      <c r="M307" s="223">
        <v>400.0</v>
      </c>
      <c r="N307" s="221">
        <v>1.0</v>
      </c>
      <c r="O307" s="222" t="s">
        <v>2002</v>
      </c>
      <c r="P307" s="222">
        <v>26.0</v>
      </c>
      <c r="Q307" s="222">
        <v>2000.0</v>
      </c>
      <c r="R307" s="224">
        <v>79.8</v>
      </c>
      <c r="S307" s="224">
        <v>3.6</v>
      </c>
      <c r="T307" s="225">
        <v>32.6</v>
      </c>
      <c r="U307" s="226">
        <v>53.0</v>
      </c>
      <c r="V307" s="227" t="s">
        <v>166</v>
      </c>
      <c r="W307" s="228" t="s">
        <v>174</v>
      </c>
      <c r="X307" s="222" t="s">
        <v>166</v>
      </c>
      <c r="Y307" s="223" t="s">
        <v>166</v>
      </c>
      <c r="Z307" s="221" t="s">
        <v>174</v>
      </c>
      <c r="AA307" s="222" t="s">
        <v>174</v>
      </c>
      <c r="AB307" s="222" t="s">
        <v>166</v>
      </c>
      <c r="AC307" s="222" t="s">
        <v>174</v>
      </c>
      <c r="AD307" s="222" t="s">
        <v>174</v>
      </c>
      <c r="AE307" s="222" t="s">
        <v>174</v>
      </c>
      <c r="AF307" s="222" t="s">
        <v>174</v>
      </c>
      <c r="AG307" s="253" t="s">
        <v>2139</v>
      </c>
      <c r="AH307" s="253"/>
    </row>
    <row r="308">
      <c r="A308" s="272" t="s">
        <v>2318</v>
      </c>
      <c r="B308" s="257" t="s">
        <v>2321</v>
      </c>
      <c r="C308" s="221">
        <v>240.0</v>
      </c>
      <c r="D308" s="222">
        <v>274.0</v>
      </c>
      <c r="E308" s="222">
        <v>120.0</v>
      </c>
      <c r="F308" s="222">
        <v>27.0</v>
      </c>
      <c r="G308" s="223" t="s">
        <v>164</v>
      </c>
      <c r="H308" s="221">
        <v>69.5</v>
      </c>
      <c r="I308" s="222">
        <v>68.5</v>
      </c>
      <c r="J308" s="222">
        <v>54.5</v>
      </c>
      <c r="K308" s="222" t="s">
        <v>170</v>
      </c>
      <c r="L308" s="222" t="s">
        <v>44</v>
      </c>
      <c r="M308" s="223">
        <v>400.0</v>
      </c>
      <c r="N308" s="221">
        <v>2.0</v>
      </c>
      <c r="O308" s="222" t="s">
        <v>2002</v>
      </c>
      <c r="P308" s="222">
        <v>26.0</v>
      </c>
      <c r="Q308" s="222">
        <v>2000.0</v>
      </c>
      <c r="R308" s="224">
        <v>79.8</v>
      </c>
      <c r="S308" s="224">
        <v>3.6</v>
      </c>
      <c r="T308" s="225">
        <v>32.6</v>
      </c>
      <c r="U308" s="226">
        <v>53.0</v>
      </c>
      <c r="V308" s="227" t="s">
        <v>166</v>
      </c>
      <c r="W308" s="228" t="s">
        <v>174</v>
      </c>
      <c r="X308" s="222" t="s">
        <v>166</v>
      </c>
      <c r="Y308" s="223" t="s">
        <v>166</v>
      </c>
      <c r="Z308" s="221" t="s">
        <v>174</v>
      </c>
      <c r="AA308" s="222" t="s">
        <v>174</v>
      </c>
      <c r="AB308" s="222" t="s">
        <v>166</v>
      </c>
      <c r="AC308" s="222" t="s">
        <v>174</v>
      </c>
      <c r="AD308" s="222" t="s">
        <v>174</v>
      </c>
      <c r="AE308" s="222" t="s">
        <v>174</v>
      </c>
      <c r="AF308" s="222" t="s">
        <v>174</v>
      </c>
      <c r="AG308" s="253" t="s">
        <v>2139</v>
      </c>
      <c r="AH308" s="253"/>
    </row>
    <row r="309">
      <c r="A309" s="272" t="s">
        <v>2318</v>
      </c>
      <c r="B309" s="257" t="s">
        <v>2322</v>
      </c>
      <c r="C309" s="221">
        <v>240.0</v>
      </c>
      <c r="D309" s="222">
        <v>274.0</v>
      </c>
      <c r="E309" s="222">
        <v>120.0</v>
      </c>
      <c r="F309" s="222">
        <v>27.0</v>
      </c>
      <c r="G309" s="223" t="s">
        <v>164</v>
      </c>
      <c r="H309" s="221">
        <v>69.5</v>
      </c>
      <c r="I309" s="222">
        <v>68.5</v>
      </c>
      <c r="J309" s="222">
        <v>54.5</v>
      </c>
      <c r="K309" s="222" t="s">
        <v>170</v>
      </c>
      <c r="L309" s="222" t="s">
        <v>44</v>
      </c>
      <c r="M309" s="223">
        <v>400.0</v>
      </c>
      <c r="N309" s="221">
        <v>2.0</v>
      </c>
      <c r="O309" s="222" t="s">
        <v>2002</v>
      </c>
      <c r="P309" s="222">
        <v>26.0</v>
      </c>
      <c r="Q309" s="222">
        <v>2000.0</v>
      </c>
      <c r="R309" s="224">
        <v>79.8</v>
      </c>
      <c r="S309" s="224">
        <v>3.6</v>
      </c>
      <c r="T309" s="225">
        <v>32.6</v>
      </c>
      <c r="U309" s="226">
        <v>53.0</v>
      </c>
      <c r="V309" s="227" t="s">
        <v>166</v>
      </c>
      <c r="W309" s="228" t="s">
        <v>174</v>
      </c>
      <c r="X309" s="222" t="s">
        <v>166</v>
      </c>
      <c r="Y309" s="223" t="s">
        <v>166</v>
      </c>
      <c r="Z309" s="221" t="s">
        <v>174</v>
      </c>
      <c r="AA309" s="222" t="s">
        <v>174</v>
      </c>
      <c r="AB309" s="222" t="s">
        <v>166</v>
      </c>
      <c r="AC309" s="222" t="s">
        <v>174</v>
      </c>
      <c r="AD309" s="222" t="s">
        <v>174</v>
      </c>
      <c r="AE309" s="222" t="s">
        <v>174</v>
      </c>
      <c r="AF309" s="222" t="s">
        <v>174</v>
      </c>
      <c r="AG309" s="253" t="s">
        <v>2139</v>
      </c>
      <c r="AH309" s="253"/>
    </row>
    <row r="310">
      <c r="A310" s="272" t="s">
        <v>2318</v>
      </c>
      <c r="B310" s="257" t="s">
        <v>2323</v>
      </c>
      <c r="C310" s="221">
        <v>360.0</v>
      </c>
      <c r="D310" s="222">
        <v>394.0</v>
      </c>
      <c r="E310" s="222">
        <v>120.0</v>
      </c>
      <c r="F310" s="222">
        <v>27.0</v>
      </c>
      <c r="G310" s="223" t="s">
        <v>164</v>
      </c>
      <c r="H310" s="221">
        <v>69.5</v>
      </c>
      <c r="I310" s="222">
        <v>68.5</v>
      </c>
      <c r="J310" s="222">
        <v>54.5</v>
      </c>
      <c r="K310" s="222" t="s">
        <v>170</v>
      </c>
      <c r="L310" s="222" t="s">
        <v>44</v>
      </c>
      <c r="M310" s="223">
        <v>400.0</v>
      </c>
      <c r="N310" s="221">
        <v>3.0</v>
      </c>
      <c r="O310" s="222" t="s">
        <v>2002</v>
      </c>
      <c r="P310" s="222">
        <v>26.0</v>
      </c>
      <c r="Q310" s="222">
        <v>2000.0</v>
      </c>
      <c r="R310" s="224">
        <v>79.8</v>
      </c>
      <c r="S310" s="224">
        <v>3.6</v>
      </c>
      <c r="T310" s="225">
        <v>32.6</v>
      </c>
      <c r="U310" s="226">
        <v>53.0</v>
      </c>
      <c r="V310" s="227" t="s">
        <v>166</v>
      </c>
      <c r="W310" s="228" t="s">
        <v>174</v>
      </c>
      <c r="X310" s="222" t="s">
        <v>166</v>
      </c>
      <c r="Y310" s="223" t="s">
        <v>166</v>
      </c>
      <c r="Z310" s="221" t="s">
        <v>174</v>
      </c>
      <c r="AA310" s="222" t="s">
        <v>174</v>
      </c>
      <c r="AB310" s="222" t="s">
        <v>174</v>
      </c>
      <c r="AC310" s="222" t="s">
        <v>174</v>
      </c>
      <c r="AD310" s="222" t="s">
        <v>174</v>
      </c>
      <c r="AE310" s="222" t="s">
        <v>174</v>
      </c>
      <c r="AF310" s="222" t="s">
        <v>174</v>
      </c>
      <c r="AG310" s="253" t="s">
        <v>2139</v>
      </c>
      <c r="AH310" s="253"/>
    </row>
    <row r="311">
      <c r="A311" s="272" t="s">
        <v>2318</v>
      </c>
      <c r="B311" s="257" t="s">
        <v>2324</v>
      </c>
      <c r="C311" s="221">
        <v>240.0</v>
      </c>
      <c r="D311" s="222">
        <v>277.0</v>
      </c>
      <c r="E311" s="222">
        <v>120.0</v>
      </c>
      <c r="F311" s="222">
        <v>27.0</v>
      </c>
      <c r="G311" s="223" t="s">
        <v>164</v>
      </c>
      <c r="H311" s="221">
        <v>74.0</v>
      </c>
      <c r="I311" s="222">
        <v>74.0</v>
      </c>
      <c r="J311" s="222">
        <v>51.0</v>
      </c>
      <c r="K311" s="222" t="s">
        <v>170</v>
      </c>
      <c r="L311" s="222" t="s">
        <v>2126</v>
      </c>
      <c r="M311" s="223">
        <v>400.0</v>
      </c>
      <c r="N311" s="221">
        <v>2.0</v>
      </c>
      <c r="O311" s="222" t="s">
        <v>2002</v>
      </c>
      <c r="P311" s="222">
        <v>25.0</v>
      </c>
      <c r="Q311" s="222">
        <v>2000.0</v>
      </c>
      <c r="R311" s="224">
        <v>62.1</v>
      </c>
      <c r="S311" s="224">
        <v>2.95</v>
      </c>
      <c r="T311" s="225">
        <v>28.0</v>
      </c>
      <c r="U311" s="226">
        <v>52.0</v>
      </c>
      <c r="V311" s="227" t="s">
        <v>166</v>
      </c>
      <c r="W311" s="228" t="s">
        <v>174</v>
      </c>
      <c r="X311" s="222" t="s">
        <v>166</v>
      </c>
      <c r="Y311" s="223" t="s">
        <v>166</v>
      </c>
      <c r="Z311" s="221" t="s">
        <v>174</v>
      </c>
      <c r="AA311" s="222" t="s">
        <v>174</v>
      </c>
      <c r="AB311" s="222" t="s">
        <v>166</v>
      </c>
      <c r="AC311" s="222" t="s">
        <v>174</v>
      </c>
      <c r="AD311" s="222" t="s">
        <v>174</v>
      </c>
      <c r="AE311" s="222" t="s">
        <v>170</v>
      </c>
      <c r="AF311" s="222" t="s">
        <v>174</v>
      </c>
      <c r="AG311" s="222" t="s">
        <v>2127</v>
      </c>
      <c r="AH311" s="222"/>
    </row>
    <row r="312">
      <c r="A312" s="272" t="s">
        <v>2318</v>
      </c>
      <c r="B312" s="257" t="s">
        <v>2325</v>
      </c>
      <c r="C312" s="221">
        <v>360.0</v>
      </c>
      <c r="D312" s="222">
        <v>394.0</v>
      </c>
      <c r="E312" s="222">
        <v>120.0</v>
      </c>
      <c r="F312" s="222">
        <v>27.0</v>
      </c>
      <c r="G312" s="223" t="s">
        <v>164</v>
      </c>
      <c r="H312" s="221">
        <v>74.0</v>
      </c>
      <c r="I312" s="222">
        <v>74.0</v>
      </c>
      <c r="J312" s="222">
        <v>51.0</v>
      </c>
      <c r="K312" s="222" t="s">
        <v>170</v>
      </c>
      <c r="L312" s="222" t="s">
        <v>2126</v>
      </c>
      <c r="M312" s="223">
        <v>400.0</v>
      </c>
      <c r="N312" s="221">
        <v>3.0</v>
      </c>
      <c r="O312" s="222" t="s">
        <v>2002</v>
      </c>
      <c r="P312" s="222">
        <v>25.0</v>
      </c>
      <c r="Q312" s="222">
        <v>2000.0</v>
      </c>
      <c r="R312" s="224">
        <v>62.1</v>
      </c>
      <c r="S312" s="224">
        <v>2.95</v>
      </c>
      <c r="T312" s="225">
        <v>28.0</v>
      </c>
      <c r="U312" s="226">
        <v>52.0</v>
      </c>
      <c r="V312" s="227" t="s">
        <v>166</v>
      </c>
      <c r="W312" s="228" t="s">
        <v>174</v>
      </c>
      <c r="X312" s="222" t="s">
        <v>166</v>
      </c>
      <c r="Y312" s="223" t="s">
        <v>166</v>
      </c>
      <c r="Z312" s="221" t="s">
        <v>174</v>
      </c>
      <c r="AA312" s="222" t="s">
        <v>174</v>
      </c>
      <c r="AB312" s="222" t="s">
        <v>166</v>
      </c>
      <c r="AC312" s="222" t="s">
        <v>174</v>
      </c>
      <c r="AD312" s="222" t="s">
        <v>174</v>
      </c>
      <c r="AE312" s="222" t="s">
        <v>170</v>
      </c>
      <c r="AF312" s="222" t="s">
        <v>174</v>
      </c>
      <c r="AG312" s="222" t="s">
        <v>2127</v>
      </c>
      <c r="AH312" s="222"/>
    </row>
    <row r="313">
      <c r="A313" s="272" t="s">
        <v>2318</v>
      </c>
      <c r="B313" s="257" t="s">
        <v>2326</v>
      </c>
      <c r="C313" s="221">
        <v>120.0</v>
      </c>
      <c r="D313" s="222">
        <v>154.0</v>
      </c>
      <c r="E313" s="222">
        <v>120.0</v>
      </c>
      <c r="F313" s="222">
        <v>27.0</v>
      </c>
      <c r="G313" s="223" t="s">
        <v>164</v>
      </c>
      <c r="H313" s="221">
        <v>65.0</v>
      </c>
      <c r="I313" s="222">
        <v>65.0</v>
      </c>
      <c r="J313" s="222">
        <v>37.5</v>
      </c>
      <c r="K313" s="222" t="s">
        <v>170</v>
      </c>
      <c r="L313" s="222" t="s">
        <v>44</v>
      </c>
      <c r="M313" s="223">
        <v>300.0</v>
      </c>
      <c r="N313" s="221">
        <v>2.0</v>
      </c>
      <c r="O313" s="222" t="s">
        <v>2002</v>
      </c>
      <c r="P313" s="222">
        <v>25.0</v>
      </c>
      <c r="Q313" s="222">
        <v>2000.0</v>
      </c>
      <c r="R313" s="224">
        <v>96.0</v>
      </c>
      <c r="S313" s="224">
        <v>3.0</v>
      </c>
      <c r="T313" s="225">
        <v>35.0</v>
      </c>
      <c r="U313" s="226">
        <v>52.0</v>
      </c>
      <c r="V313" s="227" t="s">
        <v>166</v>
      </c>
      <c r="W313" s="228" t="s">
        <v>166</v>
      </c>
      <c r="X313" s="222" t="s">
        <v>166</v>
      </c>
      <c r="Y313" s="223" t="s">
        <v>166</v>
      </c>
      <c r="Z313" s="221" t="s">
        <v>174</v>
      </c>
      <c r="AA313" s="222" t="s">
        <v>166</v>
      </c>
      <c r="AB313" s="222" t="s">
        <v>174</v>
      </c>
      <c r="AC313" s="222" t="s">
        <v>174</v>
      </c>
      <c r="AD313" s="222" t="s">
        <v>174</v>
      </c>
      <c r="AE313" s="222" t="s">
        <v>170</v>
      </c>
      <c r="AF313" s="222" t="s">
        <v>174</v>
      </c>
      <c r="AG313" s="229" t="s">
        <v>2327</v>
      </c>
      <c r="AH313" s="229"/>
    </row>
    <row r="314">
      <c r="A314" s="272" t="s">
        <v>2318</v>
      </c>
      <c r="B314" s="257" t="s">
        <v>2328</v>
      </c>
      <c r="C314" s="221">
        <v>240.0</v>
      </c>
      <c r="D314" s="222">
        <v>274.0</v>
      </c>
      <c r="E314" s="222">
        <v>120.0</v>
      </c>
      <c r="F314" s="222">
        <v>27.0</v>
      </c>
      <c r="G314" s="223" t="s">
        <v>164</v>
      </c>
      <c r="H314" s="221">
        <v>65.0</v>
      </c>
      <c r="I314" s="222">
        <v>65.0</v>
      </c>
      <c r="J314" s="222">
        <v>37.5</v>
      </c>
      <c r="K314" s="222" t="s">
        <v>170</v>
      </c>
      <c r="L314" s="222" t="s">
        <v>44</v>
      </c>
      <c r="M314" s="223">
        <v>300.0</v>
      </c>
      <c r="N314" s="221">
        <v>2.0</v>
      </c>
      <c r="O314" s="222" t="s">
        <v>2002</v>
      </c>
      <c r="P314" s="222">
        <v>25.0</v>
      </c>
      <c r="Q314" s="222">
        <v>2000.0</v>
      </c>
      <c r="R314" s="224">
        <v>96.0</v>
      </c>
      <c r="S314" s="224">
        <v>3.0</v>
      </c>
      <c r="T314" s="225">
        <v>35.0</v>
      </c>
      <c r="U314" s="226">
        <v>52.0</v>
      </c>
      <c r="V314" s="227" t="s">
        <v>166</v>
      </c>
      <c r="W314" s="228" t="s">
        <v>166</v>
      </c>
      <c r="X314" s="222" t="s">
        <v>166</v>
      </c>
      <c r="Y314" s="223" t="s">
        <v>166</v>
      </c>
      <c r="Z314" s="221" t="s">
        <v>174</v>
      </c>
      <c r="AA314" s="222" t="s">
        <v>166</v>
      </c>
      <c r="AB314" s="222" t="s">
        <v>174</v>
      </c>
      <c r="AC314" s="222" t="s">
        <v>174</v>
      </c>
      <c r="AD314" s="222" t="s">
        <v>174</v>
      </c>
      <c r="AE314" s="222" t="s">
        <v>170</v>
      </c>
      <c r="AF314" s="222" t="s">
        <v>174</v>
      </c>
      <c r="AG314" s="229" t="s">
        <v>2327</v>
      </c>
      <c r="AH314" s="229"/>
    </row>
    <row r="315">
      <c r="A315" s="272" t="s">
        <v>2318</v>
      </c>
      <c r="B315" s="257" t="s">
        <v>2329</v>
      </c>
      <c r="C315" s="221">
        <v>120.0</v>
      </c>
      <c r="D315" s="222">
        <v>154.0</v>
      </c>
      <c r="E315" s="222">
        <v>120.0</v>
      </c>
      <c r="F315" s="222">
        <v>27.0</v>
      </c>
      <c r="G315" s="223" t="s">
        <v>164</v>
      </c>
      <c r="H315" s="221">
        <v>65.0</v>
      </c>
      <c r="I315" s="222">
        <v>65.0</v>
      </c>
      <c r="J315" s="222">
        <v>47.5</v>
      </c>
      <c r="K315" s="222" t="s">
        <v>170</v>
      </c>
      <c r="L315" s="222" t="s">
        <v>44</v>
      </c>
      <c r="M315" s="223">
        <v>400.0</v>
      </c>
      <c r="N315" s="221">
        <v>1.0</v>
      </c>
      <c r="O315" s="222" t="s">
        <v>2002</v>
      </c>
      <c r="P315" s="222">
        <v>25.0</v>
      </c>
      <c r="Q315" s="222">
        <v>1600.0</v>
      </c>
      <c r="R315" s="224">
        <v>72.1</v>
      </c>
      <c r="S315" s="224">
        <v>1.98</v>
      </c>
      <c r="T315" s="225">
        <v>27.0</v>
      </c>
      <c r="U315" s="226">
        <v>52.0</v>
      </c>
      <c r="V315" s="227" t="s">
        <v>174</v>
      </c>
      <c r="W315" s="228" t="s">
        <v>166</v>
      </c>
      <c r="X315" s="222" t="s">
        <v>166</v>
      </c>
      <c r="Y315" s="223" t="s">
        <v>166</v>
      </c>
      <c r="Z315" s="221" t="s">
        <v>174</v>
      </c>
      <c r="AA315" s="222" t="s">
        <v>174</v>
      </c>
      <c r="AB315" s="222" t="s">
        <v>166</v>
      </c>
      <c r="AC315" s="222" t="s">
        <v>174</v>
      </c>
      <c r="AD315" s="222" t="s">
        <v>174</v>
      </c>
      <c r="AE315" s="222" t="s">
        <v>174</v>
      </c>
      <c r="AF315" s="222" t="s">
        <v>174</v>
      </c>
      <c r="AG315" s="253" t="s">
        <v>2139</v>
      </c>
      <c r="AH315" s="253"/>
    </row>
    <row r="316">
      <c r="A316" s="272" t="s">
        <v>2318</v>
      </c>
      <c r="B316" s="257" t="s">
        <v>2330</v>
      </c>
      <c r="C316" s="221">
        <v>120.0</v>
      </c>
      <c r="D316" s="222">
        <v>154.0</v>
      </c>
      <c r="E316" s="222">
        <v>120.0</v>
      </c>
      <c r="F316" s="222">
        <v>27.0</v>
      </c>
      <c r="G316" s="223" t="s">
        <v>164</v>
      </c>
      <c r="H316" s="221">
        <v>65.0</v>
      </c>
      <c r="I316" s="222">
        <v>65.0</v>
      </c>
      <c r="J316" s="222">
        <v>47.5</v>
      </c>
      <c r="K316" s="222" t="s">
        <v>170</v>
      </c>
      <c r="L316" s="222" t="s">
        <v>44</v>
      </c>
      <c r="M316" s="223">
        <v>400.0</v>
      </c>
      <c r="N316" s="221">
        <v>1.0</v>
      </c>
      <c r="O316" s="222" t="s">
        <v>2002</v>
      </c>
      <c r="P316" s="222">
        <v>25.0</v>
      </c>
      <c r="Q316" s="222">
        <v>1600.0</v>
      </c>
      <c r="R316" s="224">
        <v>72.1</v>
      </c>
      <c r="S316" s="224">
        <v>1.98</v>
      </c>
      <c r="T316" s="225">
        <v>27.0</v>
      </c>
      <c r="U316" s="226">
        <v>52.0</v>
      </c>
      <c r="V316" s="227" t="s">
        <v>166</v>
      </c>
      <c r="W316" s="228" t="s">
        <v>174</v>
      </c>
      <c r="X316" s="222" t="s">
        <v>166</v>
      </c>
      <c r="Y316" s="223" t="s">
        <v>166</v>
      </c>
      <c r="Z316" s="221" t="s">
        <v>174</v>
      </c>
      <c r="AA316" s="222" t="s">
        <v>174</v>
      </c>
      <c r="AB316" s="222" t="s">
        <v>166</v>
      </c>
      <c r="AC316" s="222" t="s">
        <v>174</v>
      </c>
      <c r="AD316" s="222" t="s">
        <v>174</v>
      </c>
      <c r="AE316" s="222" t="s">
        <v>174</v>
      </c>
      <c r="AF316" s="222" t="s">
        <v>174</v>
      </c>
      <c r="AG316" s="253" t="s">
        <v>2139</v>
      </c>
      <c r="AH316" s="253"/>
    </row>
    <row r="317">
      <c r="A317" s="272" t="s">
        <v>2318</v>
      </c>
      <c r="B317" s="257" t="s">
        <v>2331</v>
      </c>
      <c r="C317" s="221">
        <v>240.0</v>
      </c>
      <c r="D317" s="222">
        <v>274.0</v>
      </c>
      <c r="E317" s="222">
        <v>120.0</v>
      </c>
      <c r="F317" s="222">
        <v>27.0</v>
      </c>
      <c r="G317" s="223" t="s">
        <v>164</v>
      </c>
      <c r="H317" s="221">
        <v>65.0</v>
      </c>
      <c r="I317" s="222">
        <v>65.0</v>
      </c>
      <c r="J317" s="222">
        <v>47.5</v>
      </c>
      <c r="K317" s="222" t="s">
        <v>170</v>
      </c>
      <c r="L317" s="222" t="s">
        <v>44</v>
      </c>
      <c r="M317" s="223">
        <v>400.0</v>
      </c>
      <c r="N317" s="221">
        <v>2.0</v>
      </c>
      <c r="O317" s="222" t="s">
        <v>2002</v>
      </c>
      <c r="P317" s="222">
        <v>25.0</v>
      </c>
      <c r="Q317" s="222">
        <v>1600.0</v>
      </c>
      <c r="R317" s="224">
        <v>72.1</v>
      </c>
      <c r="S317" s="224">
        <v>1.98</v>
      </c>
      <c r="T317" s="225">
        <v>27.0</v>
      </c>
      <c r="U317" s="226">
        <v>52.0</v>
      </c>
      <c r="V317" s="227" t="s">
        <v>174</v>
      </c>
      <c r="W317" s="228" t="s">
        <v>166</v>
      </c>
      <c r="X317" s="222" t="s">
        <v>166</v>
      </c>
      <c r="Y317" s="223" t="s">
        <v>166</v>
      </c>
      <c r="Z317" s="221" t="s">
        <v>174</v>
      </c>
      <c r="AA317" s="222" t="s">
        <v>174</v>
      </c>
      <c r="AB317" s="222" t="s">
        <v>166</v>
      </c>
      <c r="AC317" s="222" t="s">
        <v>174</v>
      </c>
      <c r="AD317" s="222" t="s">
        <v>174</v>
      </c>
      <c r="AE317" s="222" t="s">
        <v>174</v>
      </c>
      <c r="AF317" s="222" t="s">
        <v>174</v>
      </c>
      <c r="AG317" s="253" t="s">
        <v>2139</v>
      </c>
      <c r="AH317" s="253"/>
    </row>
    <row r="318">
      <c r="A318" s="272" t="s">
        <v>2318</v>
      </c>
      <c r="B318" s="257" t="s">
        <v>2332</v>
      </c>
      <c r="C318" s="221">
        <v>240.0</v>
      </c>
      <c r="D318" s="222">
        <v>274.0</v>
      </c>
      <c r="E318" s="222">
        <v>120.0</v>
      </c>
      <c r="F318" s="222">
        <v>27.0</v>
      </c>
      <c r="G318" s="223" t="s">
        <v>164</v>
      </c>
      <c r="H318" s="221">
        <v>65.0</v>
      </c>
      <c r="I318" s="222">
        <v>65.0</v>
      </c>
      <c r="J318" s="222">
        <v>47.5</v>
      </c>
      <c r="K318" s="222" t="s">
        <v>170</v>
      </c>
      <c r="L318" s="222" t="s">
        <v>44</v>
      </c>
      <c r="M318" s="223">
        <v>400.0</v>
      </c>
      <c r="N318" s="221">
        <v>2.0</v>
      </c>
      <c r="O318" s="222" t="s">
        <v>2002</v>
      </c>
      <c r="P318" s="222">
        <v>25.0</v>
      </c>
      <c r="Q318" s="222">
        <v>1600.0</v>
      </c>
      <c r="R318" s="224">
        <v>72.1</v>
      </c>
      <c r="S318" s="224">
        <v>1.98</v>
      </c>
      <c r="T318" s="225">
        <v>27.0</v>
      </c>
      <c r="U318" s="226">
        <v>52.0</v>
      </c>
      <c r="V318" s="227" t="s">
        <v>166</v>
      </c>
      <c r="W318" s="228" t="s">
        <v>174</v>
      </c>
      <c r="X318" s="222" t="s">
        <v>166</v>
      </c>
      <c r="Y318" s="223" t="s">
        <v>166</v>
      </c>
      <c r="Z318" s="221" t="s">
        <v>174</v>
      </c>
      <c r="AA318" s="222" t="s">
        <v>174</v>
      </c>
      <c r="AB318" s="222" t="s">
        <v>166</v>
      </c>
      <c r="AC318" s="222" t="s">
        <v>174</v>
      </c>
      <c r="AD318" s="222" t="s">
        <v>174</v>
      </c>
      <c r="AE318" s="222" t="s">
        <v>174</v>
      </c>
      <c r="AF318" s="222" t="s">
        <v>174</v>
      </c>
      <c r="AG318" s="253" t="s">
        <v>2139</v>
      </c>
      <c r="AH318" s="253"/>
    </row>
    <row r="319">
      <c r="A319" s="272" t="s">
        <v>2318</v>
      </c>
      <c r="B319" s="257" t="s">
        <v>2333</v>
      </c>
      <c r="C319" s="221">
        <v>360.0</v>
      </c>
      <c r="D319" s="222">
        <v>394.0</v>
      </c>
      <c r="E319" s="222">
        <v>120.0</v>
      </c>
      <c r="F319" s="222">
        <v>27.0</v>
      </c>
      <c r="G319" s="223" t="s">
        <v>164</v>
      </c>
      <c r="H319" s="221">
        <v>65.0</v>
      </c>
      <c r="I319" s="222">
        <v>65.0</v>
      </c>
      <c r="J319" s="222">
        <v>47.5</v>
      </c>
      <c r="K319" s="222" t="s">
        <v>170</v>
      </c>
      <c r="L319" s="222" t="s">
        <v>44</v>
      </c>
      <c r="M319" s="223">
        <v>400.0</v>
      </c>
      <c r="N319" s="221">
        <v>3.0</v>
      </c>
      <c r="O319" s="222" t="s">
        <v>2002</v>
      </c>
      <c r="P319" s="222">
        <v>25.0</v>
      </c>
      <c r="Q319" s="222">
        <v>1600.0</v>
      </c>
      <c r="R319" s="224">
        <v>72.1</v>
      </c>
      <c r="S319" s="224">
        <v>1.98</v>
      </c>
      <c r="T319" s="225">
        <v>27.0</v>
      </c>
      <c r="U319" s="226">
        <v>52.0</v>
      </c>
      <c r="V319" s="227" t="s">
        <v>166</v>
      </c>
      <c r="W319" s="228" t="s">
        <v>174</v>
      </c>
      <c r="X319" s="222" t="s">
        <v>166</v>
      </c>
      <c r="Y319" s="223" t="s">
        <v>166</v>
      </c>
      <c r="Z319" s="221" t="s">
        <v>174</v>
      </c>
      <c r="AA319" s="222" t="s">
        <v>174</v>
      </c>
      <c r="AB319" s="222" t="s">
        <v>174</v>
      </c>
      <c r="AC319" s="222" t="s">
        <v>174</v>
      </c>
      <c r="AD319" s="222" t="s">
        <v>174</v>
      </c>
      <c r="AE319" s="222" t="s">
        <v>174</v>
      </c>
      <c r="AF319" s="222" t="s">
        <v>174</v>
      </c>
      <c r="AG319" s="253" t="s">
        <v>2139</v>
      </c>
      <c r="AH319" s="253"/>
    </row>
    <row r="320">
      <c r="A320" s="272" t="s">
        <v>2318</v>
      </c>
      <c r="B320" s="257" t="s">
        <v>2334</v>
      </c>
      <c r="C320" s="221">
        <v>120.0</v>
      </c>
      <c r="D320" s="222">
        <v>154.0</v>
      </c>
      <c r="E320" s="222">
        <v>120.0</v>
      </c>
      <c r="F320" s="222">
        <v>27.0</v>
      </c>
      <c r="G320" s="223" t="s">
        <v>164</v>
      </c>
      <c r="H320" s="221">
        <v>65.0</v>
      </c>
      <c r="I320" s="222">
        <v>65.0</v>
      </c>
      <c r="J320" s="222">
        <v>47.5</v>
      </c>
      <c r="K320" s="222" t="s">
        <v>170</v>
      </c>
      <c r="L320" s="222" t="s">
        <v>44</v>
      </c>
      <c r="M320" s="223">
        <v>320.0</v>
      </c>
      <c r="N320" s="221">
        <v>1.0</v>
      </c>
      <c r="O320" s="222" t="s">
        <v>2002</v>
      </c>
      <c r="P320" s="222">
        <v>25.0</v>
      </c>
      <c r="Q320" s="222">
        <v>2000.0</v>
      </c>
      <c r="R320" s="224">
        <v>90.1</v>
      </c>
      <c r="S320" s="224">
        <v>3.1</v>
      </c>
      <c r="T320" s="225">
        <v>32.0</v>
      </c>
      <c r="U320" s="226">
        <v>52.0</v>
      </c>
      <c r="V320" s="227" t="s">
        <v>174</v>
      </c>
      <c r="W320" s="228" t="s">
        <v>166</v>
      </c>
      <c r="X320" s="222" t="s">
        <v>166</v>
      </c>
      <c r="Y320" s="223" t="s">
        <v>166</v>
      </c>
      <c r="Z320" s="221" t="s">
        <v>174</v>
      </c>
      <c r="AA320" s="222" t="s">
        <v>174</v>
      </c>
      <c r="AB320" s="222" t="s">
        <v>166</v>
      </c>
      <c r="AC320" s="222" t="s">
        <v>174</v>
      </c>
      <c r="AD320" s="222" t="s">
        <v>174</v>
      </c>
      <c r="AE320" s="222" t="s">
        <v>174</v>
      </c>
      <c r="AF320" s="222" t="s">
        <v>174</v>
      </c>
      <c r="AG320" s="253" t="s">
        <v>2139</v>
      </c>
      <c r="AH320" s="253"/>
    </row>
    <row r="321">
      <c r="A321" s="272" t="s">
        <v>2318</v>
      </c>
      <c r="B321" s="257" t="s">
        <v>2335</v>
      </c>
      <c r="C321" s="221">
        <v>120.0</v>
      </c>
      <c r="D321" s="222">
        <v>153.0</v>
      </c>
      <c r="E321" s="222">
        <v>120.0</v>
      </c>
      <c r="F321" s="222">
        <v>43.0</v>
      </c>
      <c r="G321" s="223" t="s">
        <v>164</v>
      </c>
      <c r="H321" s="221">
        <v>65.0</v>
      </c>
      <c r="I321" s="222">
        <v>55.0</v>
      </c>
      <c r="J321" s="222">
        <v>37.5</v>
      </c>
      <c r="K321" s="222" t="s">
        <v>170</v>
      </c>
      <c r="L321" s="222" t="s">
        <v>44</v>
      </c>
      <c r="M321" s="223">
        <v>310.0</v>
      </c>
      <c r="N321" s="221">
        <v>2.0</v>
      </c>
      <c r="O321" s="222" t="s">
        <v>2002</v>
      </c>
      <c r="P321" s="222">
        <v>25.0</v>
      </c>
      <c r="Q321" s="222">
        <v>2500.0</v>
      </c>
      <c r="R321" s="224">
        <v>111.0</v>
      </c>
      <c r="S321" s="224">
        <v>7.4</v>
      </c>
      <c r="T321" s="225">
        <v>30.0</v>
      </c>
      <c r="U321" s="226">
        <v>68.0</v>
      </c>
      <c r="V321" s="227" t="s">
        <v>166</v>
      </c>
      <c r="W321" s="228" t="s">
        <v>166</v>
      </c>
      <c r="X321" s="222" t="s">
        <v>166</v>
      </c>
      <c r="Y321" s="223" t="s">
        <v>166</v>
      </c>
      <c r="Z321" s="221" t="s">
        <v>174</v>
      </c>
      <c r="AA321" s="222" t="s">
        <v>166</v>
      </c>
      <c r="AB321" s="222" t="s">
        <v>174</v>
      </c>
      <c r="AC321" s="222" t="s">
        <v>174</v>
      </c>
      <c r="AD321" s="222" t="s">
        <v>174</v>
      </c>
      <c r="AE321" s="222" t="s">
        <v>170</v>
      </c>
      <c r="AF321" s="222" t="s">
        <v>174</v>
      </c>
      <c r="AG321" s="222" t="s">
        <v>170</v>
      </c>
      <c r="AH321" s="222"/>
    </row>
    <row r="322">
      <c r="A322" s="272" t="s">
        <v>2318</v>
      </c>
      <c r="B322" s="257" t="s">
        <v>2336</v>
      </c>
      <c r="C322" s="221">
        <v>240.0</v>
      </c>
      <c r="D322" s="222">
        <v>274.0</v>
      </c>
      <c r="E322" s="222">
        <v>120.0</v>
      </c>
      <c r="F322" s="222">
        <v>27.0</v>
      </c>
      <c r="G322" s="223" t="s">
        <v>164</v>
      </c>
      <c r="H322" s="221">
        <v>65.0</v>
      </c>
      <c r="I322" s="222">
        <v>55.0</v>
      </c>
      <c r="J322" s="222">
        <v>37.5</v>
      </c>
      <c r="K322" s="222" t="s">
        <v>170</v>
      </c>
      <c r="L322" s="222" t="s">
        <v>44</v>
      </c>
      <c r="M322" s="223" t="s">
        <v>170</v>
      </c>
      <c r="N322" s="221">
        <v>2.0</v>
      </c>
      <c r="O322" s="222" t="s">
        <v>2002</v>
      </c>
      <c r="P322" s="222">
        <v>25.0</v>
      </c>
      <c r="Q322" s="222">
        <v>2500.0</v>
      </c>
      <c r="R322" s="224">
        <v>111.0</v>
      </c>
      <c r="S322" s="224">
        <v>7.4</v>
      </c>
      <c r="T322" s="225">
        <v>30.0</v>
      </c>
      <c r="U322" s="226">
        <v>52.0</v>
      </c>
      <c r="V322" s="227" t="s">
        <v>166</v>
      </c>
      <c r="W322" s="228" t="s">
        <v>166</v>
      </c>
      <c r="X322" s="222" t="s">
        <v>166</v>
      </c>
      <c r="Y322" s="223" t="s">
        <v>166</v>
      </c>
      <c r="Z322" s="221" t="s">
        <v>174</v>
      </c>
      <c r="AA322" s="222" t="s">
        <v>166</v>
      </c>
      <c r="AB322" s="222" t="s">
        <v>174</v>
      </c>
      <c r="AC322" s="222" t="s">
        <v>174</v>
      </c>
      <c r="AD322" s="222" t="s">
        <v>174</v>
      </c>
      <c r="AE322" s="222" t="s">
        <v>170</v>
      </c>
      <c r="AF322" s="222" t="s">
        <v>174</v>
      </c>
      <c r="AG322" s="222" t="s">
        <v>170</v>
      </c>
      <c r="AH322" s="222"/>
    </row>
    <row r="323">
      <c r="A323" s="272" t="s">
        <v>2318</v>
      </c>
      <c r="B323" s="257" t="s">
        <v>2337</v>
      </c>
      <c r="C323" s="221">
        <v>240.0</v>
      </c>
      <c r="D323" s="222">
        <v>274.0</v>
      </c>
      <c r="E323" s="222">
        <v>120.0</v>
      </c>
      <c r="F323" s="222">
        <v>39.0</v>
      </c>
      <c r="G323" s="223" t="s">
        <v>164</v>
      </c>
      <c r="H323" s="221">
        <v>71.0</v>
      </c>
      <c r="I323" s="222">
        <v>71.0</v>
      </c>
      <c r="J323" s="222">
        <v>60.0</v>
      </c>
      <c r="K323" s="222" t="s">
        <v>170</v>
      </c>
      <c r="L323" s="222" t="s">
        <v>44</v>
      </c>
      <c r="M323" s="223">
        <v>400.0</v>
      </c>
      <c r="N323" s="221">
        <v>2.0</v>
      </c>
      <c r="O323" s="222" t="s">
        <v>2002</v>
      </c>
      <c r="P323" s="222">
        <v>25.0</v>
      </c>
      <c r="Q323" s="222">
        <v>2300.0</v>
      </c>
      <c r="R323" s="224">
        <v>102.17</v>
      </c>
      <c r="S323" s="224">
        <v>6.28</v>
      </c>
      <c r="T323" s="225">
        <v>28.0</v>
      </c>
      <c r="U323" s="226">
        <v>64.0</v>
      </c>
      <c r="V323" s="227" t="s">
        <v>166</v>
      </c>
      <c r="W323" s="228" t="s">
        <v>174</v>
      </c>
      <c r="X323" s="222" t="s">
        <v>166</v>
      </c>
      <c r="Y323" s="223" t="s">
        <v>166</v>
      </c>
      <c r="Z323" s="221" t="s">
        <v>174</v>
      </c>
      <c r="AA323" s="222" t="s">
        <v>174</v>
      </c>
      <c r="AB323" s="222" t="s">
        <v>166</v>
      </c>
      <c r="AC323" s="222" t="s">
        <v>174</v>
      </c>
      <c r="AD323" s="222" t="s">
        <v>174</v>
      </c>
      <c r="AE323" s="222" t="s">
        <v>174</v>
      </c>
      <c r="AF323" s="222" t="s">
        <v>174</v>
      </c>
      <c r="AG323" s="229" t="s">
        <v>2327</v>
      </c>
      <c r="AH323" s="229"/>
    </row>
    <row r="324">
      <c r="A324" s="272" t="s">
        <v>2318</v>
      </c>
      <c r="B324" s="257" t="s">
        <v>2338</v>
      </c>
      <c r="C324" s="221">
        <v>280.0</v>
      </c>
      <c r="D324" s="222">
        <v>313.0</v>
      </c>
      <c r="E324" s="222">
        <v>140.0</v>
      </c>
      <c r="F324" s="222">
        <v>28.0</v>
      </c>
      <c r="G324" s="223" t="s">
        <v>164</v>
      </c>
      <c r="H324" s="221">
        <v>71.0</v>
      </c>
      <c r="I324" s="222">
        <v>71.0</v>
      </c>
      <c r="J324" s="222">
        <v>60.0</v>
      </c>
      <c r="K324" s="222" t="s">
        <v>170</v>
      </c>
      <c r="L324" s="222" t="s">
        <v>44</v>
      </c>
      <c r="M324" s="223">
        <v>400.0</v>
      </c>
      <c r="N324" s="221">
        <v>2.0</v>
      </c>
      <c r="O324" s="222" t="s">
        <v>2018</v>
      </c>
      <c r="P324" s="222">
        <v>25.0</v>
      </c>
      <c r="Q324" s="222">
        <v>1500.0</v>
      </c>
      <c r="R324" s="224">
        <v>80.71</v>
      </c>
      <c r="S324" s="224">
        <v>4.81</v>
      </c>
      <c r="T324" s="225">
        <v>25.0</v>
      </c>
      <c r="U324" s="226">
        <v>53.0</v>
      </c>
      <c r="V324" s="227" t="s">
        <v>166</v>
      </c>
      <c r="W324" s="228" t="s">
        <v>174</v>
      </c>
      <c r="X324" s="222" t="s">
        <v>166</v>
      </c>
      <c r="Y324" s="223" t="s">
        <v>166</v>
      </c>
      <c r="Z324" s="221" t="s">
        <v>174</v>
      </c>
      <c r="AA324" s="222" t="s">
        <v>174</v>
      </c>
      <c r="AB324" s="222" t="s">
        <v>166</v>
      </c>
      <c r="AC324" s="222" t="s">
        <v>174</v>
      </c>
      <c r="AD324" s="222" t="s">
        <v>174</v>
      </c>
      <c r="AE324" s="222" t="s">
        <v>174</v>
      </c>
      <c r="AF324" s="222" t="s">
        <v>174</v>
      </c>
      <c r="AG324" s="229" t="s">
        <v>2327</v>
      </c>
      <c r="AH324" s="229"/>
    </row>
    <row r="325">
      <c r="A325" s="273" t="s">
        <v>2318</v>
      </c>
      <c r="B325" s="271" t="s">
        <v>2339</v>
      </c>
      <c r="C325" s="232">
        <v>360.0</v>
      </c>
      <c r="D325" s="233">
        <v>394.0</v>
      </c>
      <c r="E325" s="233">
        <v>120.0</v>
      </c>
      <c r="F325" s="233">
        <v>28.0</v>
      </c>
      <c r="G325" s="234" t="s">
        <v>164</v>
      </c>
      <c r="H325" s="232">
        <v>71.0</v>
      </c>
      <c r="I325" s="233">
        <v>71.0</v>
      </c>
      <c r="J325" s="233">
        <v>60.0</v>
      </c>
      <c r="K325" s="233" t="s">
        <v>170</v>
      </c>
      <c r="L325" s="233" t="s">
        <v>44</v>
      </c>
      <c r="M325" s="234">
        <v>400.0</v>
      </c>
      <c r="N325" s="232">
        <v>3.0</v>
      </c>
      <c r="O325" s="233" t="s">
        <v>2002</v>
      </c>
      <c r="P325" s="233">
        <v>25.0</v>
      </c>
      <c r="Q325" s="233">
        <v>2300.0</v>
      </c>
      <c r="R325" s="235">
        <v>102.17</v>
      </c>
      <c r="S325" s="235">
        <v>6.28</v>
      </c>
      <c r="T325" s="236">
        <v>28.0</v>
      </c>
      <c r="U325" s="237">
        <v>53.0</v>
      </c>
      <c r="V325" s="238" t="s">
        <v>166</v>
      </c>
      <c r="W325" s="239" t="s">
        <v>174</v>
      </c>
      <c r="X325" s="233" t="s">
        <v>166</v>
      </c>
      <c r="Y325" s="234" t="s">
        <v>166</v>
      </c>
      <c r="Z325" s="232" t="s">
        <v>174</v>
      </c>
      <c r="AA325" s="233" t="s">
        <v>174</v>
      </c>
      <c r="AB325" s="233" t="s">
        <v>174</v>
      </c>
      <c r="AC325" s="233" t="s">
        <v>174</v>
      </c>
      <c r="AD325" s="233" t="s">
        <v>174</v>
      </c>
      <c r="AE325" s="233" t="s">
        <v>170</v>
      </c>
      <c r="AF325" s="233" t="s">
        <v>174</v>
      </c>
      <c r="AG325" s="240" t="s">
        <v>2327</v>
      </c>
      <c r="AH325" s="240"/>
    </row>
    <row r="326">
      <c r="A326" s="255" t="s">
        <v>2340</v>
      </c>
      <c r="B326" s="278" t="s">
        <v>2341</v>
      </c>
      <c r="C326" s="221">
        <v>120.0</v>
      </c>
      <c r="D326" s="222">
        <v>156.0</v>
      </c>
      <c r="E326" s="222">
        <v>122.0</v>
      </c>
      <c r="F326" s="222">
        <v>28.0</v>
      </c>
      <c r="G326" s="223" t="s">
        <v>164</v>
      </c>
      <c r="H326" s="221" t="s">
        <v>170</v>
      </c>
      <c r="I326" s="222" t="s">
        <v>170</v>
      </c>
      <c r="J326" s="222" t="s">
        <v>170</v>
      </c>
      <c r="K326" s="222" t="s">
        <v>170</v>
      </c>
      <c r="L326" s="222" t="s">
        <v>44</v>
      </c>
      <c r="M326" s="223" t="s">
        <v>170</v>
      </c>
      <c r="N326" s="221">
        <v>1.0</v>
      </c>
      <c r="O326" s="222" t="s">
        <v>2002</v>
      </c>
      <c r="P326" s="222">
        <v>25.0</v>
      </c>
      <c r="Q326" s="222">
        <v>1800.0</v>
      </c>
      <c r="R326" s="224">
        <v>58.87</v>
      </c>
      <c r="S326" s="224">
        <v>2.13</v>
      </c>
      <c r="T326" s="225">
        <v>32.1</v>
      </c>
      <c r="U326" s="226">
        <v>53.0</v>
      </c>
      <c r="V326" s="221" t="s">
        <v>166</v>
      </c>
      <c r="W326" s="241" t="s">
        <v>166</v>
      </c>
      <c r="X326" s="222" t="s">
        <v>174</v>
      </c>
      <c r="Y326" s="223" t="s">
        <v>166</v>
      </c>
      <c r="Z326" s="221" t="s">
        <v>166</v>
      </c>
      <c r="AA326" s="222" t="s">
        <v>166</v>
      </c>
      <c r="AB326" s="222" t="s">
        <v>166</v>
      </c>
      <c r="AC326" s="222" t="s">
        <v>174</v>
      </c>
      <c r="AD326" s="222" t="s">
        <v>174</v>
      </c>
      <c r="AE326" s="222" t="s">
        <v>170</v>
      </c>
      <c r="AF326" s="222" t="s">
        <v>174</v>
      </c>
      <c r="AG326" s="229" t="s">
        <v>2003</v>
      </c>
      <c r="AH326" s="229"/>
    </row>
    <row r="327">
      <c r="A327" s="255" t="s">
        <v>2340</v>
      </c>
      <c r="B327" s="278" t="s">
        <v>2342</v>
      </c>
      <c r="C327" s="221">
        <v>120.0</v>
      </c>
      <c r="D327" s="222">
        <v>156.0</v>
      </c>
      <c r="E327" s="222">
        <v>122.0</v>
      </c>
      <c r="F327" s="222">
        <v>28.0</v>
      </c>
      <c r="G327" s="223" t="s">
        <v>164</v>
      </c>
      <c r="H327" s="221">
        <v>81.0</v>
      </c>
      <c r="I327" s="222">
        <v>81.0</v>
      </c>
      <c r="J327" s="222">
        <v>41.0</v>
      </c>
      <c r="K327" s="222" t="s">
        <v>170</v>
      </c>
      <c r="L327" s="222" t="s">
        <v>44</v>
      </c>
      <c r="M327" s="223" t="s">
        <v>170</v>
      </c>
      <c r="N327" s="221">
        <v>1.0</v>
      </c>
      <c r="O327" s="222" t="s">
        <v>2002</v>
      </c>
      <c r="P327" s="222">
        <v>25.0</v>
      </c>
      <c r="Q327" s="222">
        <v>2400.0</v>
      </c>
      <c r="R327" s="224">
        <v>74.82</v>
      </c>
      <c r="S327" s="224">
        <v>4.04</v>
      </c>
      <c r="T327" s="225">
        <v>39.9</v>
      </c>
      <c r="U327" s="226">
        <v>53.0</v>
      </c>
      <c r="V327" s="227" t="s">
        <v>166</v>
      </c>
      <c r="W327" s="228" t="s">
        <v>166</v>
      </c>
      <c r="X327" s="222" t="s">
        <v>174</v>
      </c>
      <c r="Y327" s="223" t="s">
        <v>166</v>
      </c>
      <c r="Z327" s="221" t="s">
        <v>174</v>
      </c>
      <c r="AA327" s="222" t="s">
        <v>174</v>
      </c>
      <c r="AB327" s="222" t="s">
        <v>166</v>
      </c>
      <c r="AC327" s="222" t="s">
        <v>174</v>
      </c>
      <c r="AD327" s="222" t="s">
        <v>174</v>
      </c>
      <c r="AE327" s="222" t="s">
        <v>174</v>
      </c>
      <c r="AF327" s="222" t="s">
        <v>174</v>
      </c>
      <c r="AG327" s="229" t="s">
        <v>2003</v>
      </c>
      <c r="AH327" s="229"/>
    </row>
    <row r="328">
      <c r="A328" s="255" t="s">
        <v>2340</v>
      </c>
      <c r="B328" s="278" t="s">
        <v>2343</v>
      </c>
      <c r="C328" s="221">
        <v>240.0</v>
      </c>
      <c r="D328" s="222">
        <v>276.0</v>
      </c>
      <c r="E328" s="222">
        <v>122.0</v>
      </c>
      <c r="F328" s="222">
        <v>28.0</v>
      </c>
      <c r="G328" s="223" t="s">
        <v>164</v>
      </c>
      <c r="H328" s="221">
        <v>81.0</v>
      </c>
      <c r="I328" s="222">
        <v>81.0</v>
      </c>
      <c r="J328" s="222">
        <v>41.0</v>
      </c>
      <c r="K328" s="222" t="s">
        <v>170</v>
      </c>
      <c r="L328" s="222" t="s">
        <v>44</v>
      </c>
      <c r="M328" s="223">
        <v>395.0</v>
      </c>
      <c r="N328" s="221">
        <v>2.0</v>
      </c>
      <c r="O328" s="222" t="s">
        <v>2002</v>
      </c>
      <c r="P328" s="222">
        <v>25.0</v>
      </c>
      <c r="Q328" s="222">
        <v>2400.0</v>
      </c>
      <c r="R328" s="224">
        <v>74.82</v>
      </c>
      <c r="S328" s="224">
        <v>4.04</v>
      </c>
      <c r="T328" s="225">
        <v>39.9</v>
      </c>
      <c r="U328" s="226">
        <v>53.0</v>
      </c>
      <c r="V328" s="227" t="s">
        <v>166</v>
      </c>
      <c r="W328" s="228" t="s">
        <v>166</v>
      </c>
      <c r="X328" s="222" t="s">
        <v>174</v>
      </c>
      <c r="Y328" s="223" t="s">
        <v>166</v>
      </c>
      <c r="Z328" s="221" t="s">
        <v>174</v>
      </c>
      <c r="AA328" s="222" t="s">
        <v>174</v>
      </c>
      <c r="AB328" s="222" t="s">
        <v>166</v>
      </c>
      <c r="AC328" s="222" t="s">
        <v>174</v>
      </c>
      <c r="AD328" s="222" t="s">
        <v>174</v>
      </c>
      <c r="AE328" s="222" t="s">
        <v>174</v>
      </c>
      <c r="AF328" s="222" t="s">
        <v>174</v>
      </c>
      <c r="AG328" s="229" t="s">
        <v>2003</v>
      </c>
      <c r="AH328" s="229"/>
    </row>
    <row r="329">
      <c r="A329" s="255" t="s">
        <v>2340</v>
      </c>
      <c r="B329" s="278" t="s">
        <v>2344</v>
      </c>
      <c r="C329" s="221">
        <v>280.0</v>
      </c>
      <c r="D329" s="222">
        <v>312.0</v>
      </c>
      <c r="E329" s="222">
        <v>139.0</v>
      </c>
      <c r="F329" s="222">
        <v>27.0</v>
      </c>
      <c r="G329" s="223" t="s">
        <v>164</v>
      </c>
      <c r="H329" s="221">
        <v>81.0</v>
      </c>
      <c r="I329" s="222">
        <v>81.0</v>
      </c>
      <c r="J329" s="222">
        <v>41.0</v>
      </c>
      <c r="K329" s="222" t="s">
        <v>170</v>
      </c>
      <c r="L329" s="222" t="s">
        <v>44</v>
      </c>
      <c r="M329" s="223" t="s">
        <v>170</v>
      </c>
      <c r="N329" s="221">
        <v>2.0</v>
      </c>
      <c r="O329" s="222" t="s">
        <v>2018</v>
      </c>
      <c r="P329" s="222">
        <v>25.0</v>
      </c>
      <c r="Q329" s="222">
        <v>2200.0</v>
      </c>
      <c r="R329" s="224">
        <v>113.5</v>
      </c>
      <c r="S329" s="224">
        <v>4.2</v>
      </c>
      <c r="T329" s="225">
        <v>39.5</v>
      </c>
      <c r="U329" s="226">
        <v>52.0</v>
      </c>
      <c r="V329" s="227" t="s">
        <v>166</v>
      </c>
      <c r="W329" s="228" t="s">
        <v>166</v>
      </c>
      <c r="X329" s="222" t="s">
        <v>174</v>
      </c>
      <c r="Y329" s="223" t="s">
        <v>166</v>
      </c>
      <c r="Z329" s="221" t="s">
        <v>174</v>
      </c>
      <c r="AA329" s="222" t="s">
        <v>174</v>
      </c>
      <c r="AB329" s="222" t="s">
        <v>166</v>
      </c>
      <c r="AC329" s="222" t="s">
        <v>174</v>
      </c>
      <c r="AD329" s="222" t="s">
        <v>174</v>
      </c>
      <c r="AE329" s="222" t="s">
        <v>174</v>
      </c>
      <c r="AF329" s="222" t="s">
        <v>174</v>
      </c>
      <c r="AG329" s="229" t="s">
        <v>2003</v>
      </c>
      <c r="AH329" s="229"/>
    </row>
    <row r="330">
      <c r="A330" s="255" t="s">
        <v>2340</v>
      </c>
      <c r="B330" s="278" t="s">
        <v>2345</v>
      </c>
      <c r="C330" s="221">
        <v>360.0</v>
      </c>
      <c r="D330" s="222">
        <v>396.0</v>
      </c>
      <c r="E330" s="222">
        <v>122.0</v>
      </c>
      <c r="F330" s="222">
        <v>28.0</v>
      </c>
      <c r="G330" s="223" t="s">
        <v>164</v>
      </c>
      <c r="H330" s="221">
        <v>81.0</v>
      </c>
      <c r="I330" s="222">
        <v>81.0</v>
      </c>
      <c r="J330" s="222">
        <v>41.0</v>
      </c>
      <c r="K330" s="222" t="s">
        <v>170</v>
      </c>
      <c r="L330" s="222" t="s">
        <v>44</v>
      </c>
      <c r="M330" s="223" t="s">
        <v>170</v>
      </c>
      <c r="N330" s="221">
        <v>3.0</v>
      </c>
      <c r="O330" s="222" t="s">
        <v>2002</v>
      </c>
      <c r="P330" s="222">
        <v>25.0</v>
      </c>
      <c r="Q330" s="222">
        <v>2400.0</v>
      </c>
      <c r="R330" s="224">
        <v>74.82</v>
      </c>
      <c r="S330" s="224">
        <v>4.04</v>
      </c>
      <c r="T330" s="225">
        <v>39.9</v>
      </c>
      <c r="U330" s="226">
        <v>53.0</v>
      </c>
      <c r="V330" s="227" t="s">
        <v>166</v>
      </c>
      <c r="W330" s="228" t="s">
        <v>166</v>
      </c>
      <c r="X330" s="222" t="s">
        <v>174</v>
      </c>
      <c r="Y330" s="223" t="s">
        <v>166</v>
      </c>
      <c r="Z330" s="221" t="s">
        <v>174</v>
      </c>
      <c r="AA330" s="222" t="s">
        <v>174</v>
      </c>
      <c r="AB330" s="222" t="s">
        <v>166</v>
      </c>
      <c r="AC330" s="222" t="s">
        <v>174</v>
      </c>
      <c r="AD330" s="222" t="s">
        <v>174</v>
      </c>
      <c r="AE330" s="222" t="s">
        <v>174</v>
      </c>
      <c r="AF330" s="222" t="s">
        <v>174</v>
      </c>
      <c r="AG330" s="229" t="s">
        <v>2003</v>
      </c>
      <c r="AH330" s="229"/>
    </row>
    <row r="331">
      <c r="A331" s="255" t="s">
        <v>2340</v>
      </c>
      <c r="B331" s="257" t="s">
        <v>2346</v>
      </c>
      <c r="C331" s="221">
        <v>240.0</v>
      </c>
      <c r="D331" s="222">
        <v>270.0</v>
      </c>
      <c r="E331" s="222">
        <v>120.0</v>
      </c>
      <c r="F331" s="222">
        <v>27.0</v>
      </c>
      <c r="G331" s="223" t="s">
        <v>164</v>
      </c>
      <c r="H331" s="221">
        <v>102.0</v>
      </c>
      <c r="I331" s="222">
        <v>93.0</v>
      </c>
      <c r="J331" s="222">
        <v>51.0</v>
      </c>
      <c r="K331" s="222" t="s">
        <v>170</v>
      </c>
      <c r="L331" s="222" t="s">
        <v>44</v>
      </c>
      <c r="M331" s="223" t="s">
        <v>170</v>
      </c>
      <c r="N331" s="221">
        <v>2.0</v>
      </c>
      <c r="O331" s="222" t="s">
        <v>2002</v>
      </c>
      <c r="P331" s="222">
        <v>25.0</v>
      </c>
      <c r="Q331" s="222">
        <v>2580.0</v>
      </c>
      <c r="R331" s="224">
        <v>73.15</v>
      </c>
      <c r="S331" s="224">
        <v>3.77</v>
      </c>
      <c r="T331" s="225">
        <v>35.0</v>
      </c>
      <c r="U331" s="226">
        <v>52.0</v>
      </c>
      <c r="V331" s="227" t="s">
        <v>166</v>
      </c>
      <c r="W331" s="228" t="s">
        <v>166</v>
      </c>
      <c r="X331" s="222" t="s">
        <v>174</v>
      </c>
      <c r="Y331" s="223" t="s">
        <v>166</v>
      </c>
      <c r="Z331" s="221" t="s">
        <v>166</v>
      </c>
      <c r="AA331" s="222" t="s">
        <v>174</v>
      </c>
      <c r="AB331" s="222" t="s">
        <v>166</v>
      </c>
      <c r="AC331" s="222" t="s">
        <v>174</v>
      </c>
      <c r="AD331" s="222" t="s">
        <v>166</v>
      </c>
      <c r="AE331" s="222" t="s">
        <v>174</v>
      </c>
      <c r="AF331" s="222" t="s">
        <v>166</v>
      </c>
      <c r="AG331" s="229" t="s">
        <v>2003</v>
      </c>
      <c r="AH331" s="229"/>
    </row>
    <row r="332">
      <c r="A332" s="255" t="s">
        <v>2340</v>
      </c>
      <c r="B332" s="257" t="s">
        <v>2347</v>
      </c>
      <c r="C332" s="221">
        <v>280.0</v>
      </c>
      <c r="D332" s="222">
        <v>313.0</v>
      </c>
      <c r="E332" s="222">
        <v>140.0</v>
      </c>
      <c r="F332" s="222">
        <v>30.0</v>
      </c>
      <c r="G332" s="223" t="s">
        <v>164</v>
      </c>
      <c r="H332" s="221">
        <v>102.0</v>
      </c>
      <c r="I332" s="222">
        <v>93.0</v>
      </c>
      <c r="J332" s="222">
        <v>51.0</v>
      </c>
      <c r="K332" s="222" t="s">
        <v>170</v>
      </c>
      <c r="L332" s="222" t="s">
        <v>44</v>
      </c>
      <c r="M332" s="223" t="s">
        <v>170</v>
      </c>
      <c r="N332" s="221">
        <v>2.0</v>
      </c>
      <c r="O332" s="222" t="s">
        <v>2018</v>
      </c>
      <c r="P332" s="222">
        <v>25.0</v>
      </c>
      <c r="Q332" s="222">
        <v>2380.0</v>
      </c>
      <c r="R332" s="224">
        <v>85.13</v>
      </c>
      <c r="S332" s="224">
        <v>3.68</v>
      </c>
      <c r="T332" s="225">
        <v>35.0</v>
      </c>
      <c r="U332" s="226">
        <v>55.0</v>
      </c>
      <c r="V332" s="227" t="s">
        <v>166</v>
      </c>
      <c r="W332" s="228" t="s">
        <v>166</v>
      </c>
      <c r="X332" s="222" t="s">
        <v>174</v>
      </c>
      <c r="Y332" s="223" t="s">
        <v>166</v>
      </c>
      <c r="Z332" s="221" t="s">
        <v>166</v>
      </c>
      <c r="AA332" s="222" t="s">
        <v>174</v>
      </c>
      <c r="AB332" s="222" t="s">
        <v>166</v>
      </c>
      <c r="AC332" s="222" t="s">
        <v>174</v>
      </c>
      <c r="AD332" s="222" t="s">
        <v>166</v>
      </c>
      <c r="AE332" s="222" t="s">
        <v>174</v>
      </c>
      <c r="AF332" s="222" t="s">
        <v>166</v>
      </c>
      <c r="AG332" s="229" t="s">
        <v>2003</v>
      </c>
      <c r="AH332" s="229"/>
    </row>
    <row r="333">
      <c r="A333" s="268" t="s">
        <v>2340</v>
      </c>
      <c r="B333" s="271" t="s">
        <v>2348</v>
      </c>
      <c r="C333" s="232">
        <v>360.0</v>
      </c>
      <c r="D333" s="233">
        <v>395.0</v>
      </c>
      <c r="E333" s="233">
        <v>120.0</v>
      </c>
      <c r="F333" s="233">
        <v>27.0</v>
      </c>
      <c r="G333" s="234" t="s">
        <v>164</v>
      </c>
      <c r="H333" s="232">
        <v>102.0</v>
      </c>
      <c r="I333" s="233">
        <v>93.0</v>
      </c>
      <c r="J333" s="233">
        <v>51.0</v>
      </c>
      <c r="K333" s="233" t="s">
        <v>170</v>
      </c>
      <c r="L333" s="233" t="s">
        <v>44</v>
      </c>
      <c r="M333" s="234" t="s">
        <v>170</v>
      </c>
      <c r="N333" s="232">
        <v>3.0</v>
      </c>
      <c r="O333" s="233" t="s">
        <v>2002</v>
      </c>
      <c r="P333" s="233">
        <v>25.0</v>
      </c>
      <c r="Q333" s="233">
        <v>2580.0</v>
      </c>
      <c r="R333" s="235">
        <v>73.15</v>
      </c>
      <c r="S333" s="235">
        <v>3.77</v>
      </c>
      <c r="T333" s="236">
        <v>35.0</v>
      </c>
      <c r="U333" s="237">
        <v>52.0</v>
      </c>
      <c r="V333" s="238" t="s">
        <v>166</v>
      </c>
      <c r="W333" s="239" t="s">
        <v>166</v>
      </c>
      <c r="X333" s="233" t="s">
        <v>174</v>
      </c>
      <c r="Y333" s="234" t="s">
        <v>166</v>
      </c>
      <c r="Z333" s="232" t="s">
        <v>166</v>
      </c>
      <c r="AA333" s="233" t="s">
        <v>174</v>
      </c>
      <c r="AB333" s="233" t="s">
        <v>166</v>
      </c>
      <c r="AC333" s="233" t="s">
        <v>174</v>
      </c>
      <c r="AD333" s="233" t="s">
        <v>166</v>
      </c>
      <c r="AE333" s="233" t="s">
        <v>174</v>
      </c>
      <c r="AF333" s="233" t="s">
        <v>166</v>
      </c>
      <c r="AG333" s="240" t="s">
        <v>2003</v>
      </c>
      <c r="AH333" s="240"/>
    </row>
    <row r="334">
      <c r="A334" s="255" t="s">
        <v>2349</v>
      </c>
      <c r="B334" s="257" t="s">
        <v>2350</v>
      </c>
      <c r="C334" s="221">
        <v>240.0</v>
      </c>
      <c r="D334" s="222">
        <v>284.0</v>
      </c>
      <c r="E334" s="222">
        <v>122.0</v>
      </c>
      <c r="F334" s="222">
        <v>31.0</v>
      </c>
      <c r="G334" s="223" t="s">
        <v>164</v>
      </c>
      <c r="H334" s="221" t="s">
        <v>170</v>
      </c>
      <c r="I334" s="222" t="s">
        <v>170</v>
      </c>
      <c r="J334" s="222" t="s">
        <v>170</v>
      </c>
      <c r="K334" s="222">
        <v>3150.0</v>
      </c>
      <c r="L334" s="222" t="s">
        <v>44</v>
      </c>
      <c r="M334" s="223">
        <v>400.0</v>
      </c>
      <c r="N334" s="221">
        <v>2.0</v>
      </c>
      <c r="O334" s="222" t="s">
        <v>2002</v>
      </c>
      <c r="P334" s="222">
        <v>25.0</v>
      </c>
      <c r="Q334" s="222">
        <v>2000.0</v>
      </c>
      <c r="R334" s="224">
        <v>87.6</v>
      </c>
      <c r="S334" s="224">
        <v>2.3</v>
      </c>
      <c r="T334" s="225">
        <v>32.2</v>
      </c>
      <c r="U334" s="226">
        <v>56.0</v>
      </c>
      <c r="V334" s="221" t="s">
        <v>166</v>
      </c>
      <c r="W334" s="241" t="s">
        <v>166</v>
      </c>
      <c r="X334" s="222" t="s">
        <v>166</v>
      </c>
      <c r="Y334" s="223" t="s">
        <v>166</v>
      </c>
      <c r="Z334" s="221" t="s">
        <v>174</v>
      </c>
      <c r="AA334" s="222" t="s">
        <v>174</v>
      </c>
      <c r="AB334" s="222" t="s">
        <v>166</v>
      </c>
      <c r="AC334" s="222" t="s">
        <v>174</v>
      </c>
      <c r="AD334" s="222" t="s">
        <v>174</v>
      </c>
      <c r="AE334" s="222" t="s">
        <v>174</v>
      </c>
      <c r="AF334" s="222" t="s">
        <v>174</v>
      </c>
      <c r="AG334" s="229" t="s">
        <v>2003</v>
      </c>
      <c r="AH334" s="229"/>
    </row>
    <row r="335">
      <c r="A335" s="255" t="s">
        <v>2349</v>
      </c>
      <c r="B335" s="257" t="s">
        <v>2351</v>
      </c>
      <c r="C335" s="221">
        <v>360.0</v>
      </c>
      <c r="D335" s="222">
        <v>403.0</v>
      </c>
      <c r="E335" s="222">
        <v>123.0</v>
      </c>
      <c r="F335" s="222">
        <v>30.0</v>
      </c>
      <c r="G335" s="223" t="s">
        <v>164</v>
      </c>
      <c r="H335" s="221" t="s">
        <v>170</v>
      </c>
      <c r="I335" s="222" t="s">
        <v>170</v>
      </c>
      <c r="J335" s="222" t="s">
        <v>170</v>
      </c>
      <c r="K335" s="222">
        <v>3150.0</v>
      </c>
      <c r="L335" s="222" t="s">
        <v>44</v>
      </c>
      <c r="M335" s="223">
        <v>400.0</v>
      </c>
      <c r="N335" s="221">
        <v>3.0</v>
      </c>
      <c r="O335" s="222" t="s">
        <v>2002</v>
      </c>
      <c r="P335" s="222">
        <v>25.0</v>
      </c>
      <c r="Q335" s="222">
        <v>2000.0</v>
      </c>
      <c r="R335" s="224">
        <v>87.6</v>
      </c>
      <c r="S335" s="224">
        <v>2.3</v>
      </c>
      <c r="T335" s="225">
        <v>32.2</v>
      </c>
      <c r="U335" s="226">
        <v>55.0</v>
      </c>
      <c r="V335" s="221" t="s">
        <v>166</v>
      </c>
      <c r="W335" s="241" t="s">
        <v>166</v>
      </c>
      <c r="X335" s="222" t="s">
        <v>166</v>
      </c>
      <c r="Y335" s="223" t="s">
        <v>166</v>
      </c>
      <c r="Z335" s="221" t="s">
        <v>174</v>
      </c>
      <c r="AA335" s="222" t="s">
        <v>174</v>
      </c>
      <c r="AB335" s="222" t="s">
        <v>166</v>
      </c>
      <c r="AC335" s="222" t="s">
        <v>174</v>
      </c>
      <c r="AD335" s="222" t="s">
        <v>174</v>
      </c>
      <c r="AE335" s="222" t="s">
        <v>174</v>
      </c>
      <c r="AF335" s="222" t="s">
        <v>174</v>
      </c>
      <c r="AG335" s="229" t="s">
        <v>2003</v>
      </c>
      <c r="AH335" s="229"/>
    </row>
    <row r="336">
      <c r="A336" s="255" t="s">
        <v>2349</v>
      </c>
      <c r="B336" s="257" t="s">
        <v>2352</v>
      </c>
      <c r="C336" s="221">
        <v>240.0</v>
      </c>
      <c r="D336" s="222">
        <v>284.0</v>
      </c>
      <c r="E336" s="222">
        <v>122.0</v>
      </c>
      <c r="F336" s="222">
        <v>31.0</v>
      </c>
      <c r="G336" s="223" t="s">
        <v>164</v>
      </c>
      <c r="H336" s="221">
        <v>86.0</v>
      </c>
      <c r="I336" s="222">
        <v>75.0</v>
      </c>
      <c r="J336" s="222">
        <v>45.0</v>
      </c>
      <c r="K336" s="222">
        <v>2800.0</v>
      </c>
      <c r="L336" s="222" t="s">
        <v>44</v>
      </c>
      <c r="M336" s="223">
        <v>400.0</v>
      </c>
      <c r="N336" s="221">
        <v>2.0</v>
      </c>
      <c r="O336" s="222" t="s">
        <v>2002</v>
      </c>
      <c r="P336" s="222">
        <v>25.0</v>
      </c>
      <c r="Q336" s="222">
        <v>2000.0</v>
      </c>
      <c r="R336" s="224">
        <v>87.6</v>
      </c>
      <c r="S336" s="224">
        <v>2.3</v>
      </c>
      <c r="T336" s="225">
        <v>32.2</v>
      </c>
      <c r="U336" s="226">
        <v>56.0</v>
      </c>
      <c r="V336" s="227" t="s">
        <v>166</v>
      </c>
      <c r="W336" s="228" t="s">
        <v>174</v>
      </c>
      <c r="X336" s="222" t="s">
        <v>166</v>
      </c>
      <c r="Y336" s="223" t="s">
        <v>166</v>
      </c>
      <c r="Z336" s="221" t="s">
        <v>174</v>
      </c>
      <c r="AA336" s="222" t="s">
        <v>174</v>
      </c>
      <c r="AB336" s="222" t="s">
        <v>166</v>
      </c>
      <c r="AC336" s="222" t="s">
        <v>174</v>
      </c>
      <c r="AD336" s="222" t="s">
        <v>174</v>
      </c>
      <c r="AE336" s="222" t="s">
        <v>174</v>
      </c>
      <c r="AF336" s="222" t="s">
        <v>174</v>
      </c>
      <c r="AG336" s="229" t="s">
        <v>2003</v>
      </c>
      <c r="AH336" s="229"/>
    </row>
    <row r="337">
      <c r="A337" s="255" t="s">
        <v>2349</v>
      </c>
      <c r="B337" s="257" t="s">
        <v>2353</v>
      </c>
      <c r="C337" s="221">
        <v>240.0</v>
      </c>
      <c r="D337" s="222">
        <v>284.0</v>
      </c>
      <c r="E337" s="222">
        <v>122.0</v>
      </c>
      <c r="F337" s="222">
        <v>31.0</v>
      </c>
      <c r="G337" s="223" t="s">
        <v>164</v>
      </c>
      <c r="H337" s="221">
        <v>86.0</v>
      </c>
      <c r="I337" s="222">
        <v>75.0</v>
      </c>
      <c r="J337" s="222">
        <v>45.0</v>
      </c>
      <c r="K337" s="222">
        <v>2800.0</v>
      </c>
      <c r="L337" s="222" t="s">
        <v>44</v>
      </c>
      <c r="M337" s="223">
        <v>400.0</v>
      </c>
      <c r="N337" s="221">
        <v>2.0</v>
      </c>
      <c r="O337" s="222" t="s">
        <v>2002</v>
      </c>
      <c r="P337" s="222">
        <v>25.0</v>
      </c>
      <c r="Q337" s="222">
        <v>2000.0</v>
      </c>
      <c r="R337" s="224">
        <v>85.71</v>
      </c>
      <c r="S337" s="224">
        <v>2.78</v>
      </c>
      <c r="T337" s="225">
        <v>32.7</v>
      </c>
      <c r="U337" s="226">
        <v>56.0</v>
      </c>
      <c r="V337" s="227" t="s">
        <v>166</v>
      </c>
      <c r="W337" s="228" t="s">
        <v>174</v>
      </c>
      <c r="X337" s="222" t="s">
        <v>166</v>
      </c>
      <c r="Y337" s="223" t="s">
        <v>166</v>
      </c>
      <c r="Z337" s="221" t="s">
        <v>174</v>
      </c>
      <c r="AA337" s="222" t="s">
        <v>174</v>
      </c>
      <c r="AB337" s="222" t="s">
        <v>166</v>
      </c>
      <c r="AC337" s="222" t="s">
        <v>174</v>
      </c>
      <c r="AD337" s="222" t="s">
        <v>174</v>
      </c>
      <c r="AE337" s="222" t="s">
        <v>174</v>
      </c>
      <c r="AF337" s="222" t="s">
        <v>174</v>
      </c>
      <c r="AG337" s="229" t="s">
        <v>2003</v>
      </c>
      <c r="AH337" s="229"/>
    </row>
    <row r="338">
      <c r="A338" s="255" t="s">
        <v>2349</v>
      </c>
      <c r="B338" s="257" t="s">
        <v>2354</v>
      </c>
      <c r="C338" s="221">
        <v>280.0</v>
      </c>
      <c r="D338" s="222">
        <v>324.0</v>
      </c>
      <c r="E338" s="222">
        <v>143.0</v>
      </c>
      <c r="F338" s="222">
        <v>30.0</v>
      </c>
      <c r="G338" s="223" t="s">
        <v>164</v>
      </c>
      <c r="H338" s="221">
        <v>86.0</v>
      </c>
      <c r="I338" s="222">
        <v>75.0</v>
      </c>
      <c r="J338" s="222">
        <v>45.0</v>
      </c>
      <c r="K338" s="222">
        <v>2800.0</v>
      </c>
      <c r="L338" s="222" t="s">
        <v>44</v>
      </c>
      <c r="M338" s="223">
        <v>400.0</v>
      </c>
      <c r="N338" s="221">
        <v>2.0</v>
      </c>
      <c r="O338" s="222" t="s">
        <v>2018</v>
      </c>
      <c r="P338" s="222">
        <v>25.0</v>
      </c>
      <c r="Q338" s="222">
        <v>1700.0</v>
      </c>
      <c r="R338" s="224">
        <v>105.9</v>
      </c>
      <c r="S338" s="224">
        <v>1.95</v>
      </c>
      <c r="T338" s="225">
        <v>33.7</v>
      </c>
      <c r="U338" s="226">
        <v>55.0</v>
      </c>
      <c r="V338" s="227" t="s">
        <v>166</v>
      </c>
      <c r="W338" s="228" t="s">
        <v>174</v>
      </c>
      <c r="X338" s="222" t="s">
        <v>166</v>
      </c>
      <c r="Y338" s="223" t="s">
        <v>166</v>
      </c>
      <c r="Z338" s="221" t="s">
        <v>174</v>
      </c>
      <c r="AA338" s="222" t="s">
        <v>174</v>
      </c>
      <c r="AB338" s="222" t="s">
        <v>166</v>
      </c>
      <c r="AC338" s="222" t="s">
        <v>174</v>
      </c>
      <c r="AD338" s="222" t="s">
        <v>174</v>
      </c>
      <c r="AE338" s="222" t="s">
        <v>174</v>
      </c>
      <c r="AF338" s="222" t="s">
        <v>174</v>
      </c>
      <c r="AG338" s="229" t="s">
        <v>2003</v>
      </c>
      <c r="AH338" s="229"/>
    </row>
    <row r="339">
      <c r="A339" s="255" t="s">
        <v>2349</v>
      </c>
      <c r="B339" s="257" t="s">
        <v>2355</v>
      </c>
      <c r="C339" s="221">
        <v>280.0</v>
      </c>
      <c r="D339" s="222">
        <v>324.0</v>
      </c>
      <c r="E339" s="222">
        <v>143.0</v>
      </c>
      <c r="F339" s="222">
        <v>30.0</v>
      </c>
      <c r="G339" s="223" t="s">
        <v>164</v>
      </c>
      <c r="H339" s="221">
        <v>86.0</v>
      </c>
      <c r="I339" s="222">
        <v>75.0</v>
      </c>
      <c r="J339" s="222">
        <v>45.0</v>
      </c>
      <c r="K339" s="222">
        <v>2800.0</v>
      </c>
      <c r="L339" s="222" t="s">
        <v>44</v>
      </c>
      <c r="M339" s="223">
        <v>400.0</v>
      </c>
      <c r="N339" s="221">
        <v>2.0</v>
      </c>
      <c r="O339" s="222" t="s">
        <v>2018</v>
      </c>
      <c r="P339" s="222">
        <v>25.0</v>
      </c>
      <c r="Q339" s="222">
        <v>1700.0</v>
      </c>
      <c r="R339" s="224">
        <v>103.9</v>
      </c>
      <c r="S339" s="224">
        <v>2.38</v>
      </c>
      <c r="T339" s="225">
        <v>34.1</v>
      </c>
      <c r="U339" s="226">
        <v>55.0</v>
      </c>
      <c r="V339" s="227" t="s">
        <v>166</v>
      </c>
      <c r="W339" s="228" t="s">
        <v>174</v>
      </c>
      <c r="X339" s="222" t="s">
        <v>166</v>
      </c>
      <c r="Y339" s="223" t="s">
        <v>166</v>
      </c>
      <c r="Z339" s="221" t="s">
        <v>174</v>
      </c>
      <c r="AA339" s="222" t="s">
        <v>174</v>
      </c>
      <c r="AB339" s="222" t="s">
        <v>166</v>
      </c>
      <c r="AC339" s="222" t="s">
        <v>174</v>
      </c>
      <c r="AD339" s="222" t="s">
        <v>174</v>
      </c>
      <c r="AE339" s="222" t="s">
        <v>174</v>
      </c>
      <c r="AF339" s="222" t="s">
        <v>174</v>
      </c>
      <c r="AG339" s="229" t="s">
        <v>2003</v>
      </c>
      <c r="AH339" s="229"/>
    </row>
    <row r="340">
      <c r="A340" s="255" t="s">
        <v>2349</v>
      </c>
      <c r="B340" s="257" t="s">
        <v>2356</v>
      </c>
      <c r="C340" s="221">
        <v>360.0</v>
      </c>
      <c r="D340" s="222">
        <v>403.0</v>
      </c>
      <c r="E340" s="222">
        <v>123.0</v>
      </c>
      <c r="F340" s="222">
        <v>30.0</v>
      </c>
      <c r="G340" s="223" t="s">
        <v>164</v>
      </c>
      <c r="H340" s="221">
        <v>86.0</v>
      </c>
      <c r="I340" s="222">
        <v>75.0</v>
      </c>
      <c r="J340" s="222">
        <v>45.0</v>
      </c>
      <c r="K340" s="222">
        <v>2800.0</v>
      </c>
      <c r="L340" s="222" t="s">
        <v>44</v>
      </c>
      <c r="M340" s="223">
        <v>400.0</v>
      </c>
      <c r="N340" s="221">
        <v>3.0</v>
      </c>
      <c r="O340" s="222" t="s">
        <v>2002</v>
      </c>
      <c r="P340" s="222">
        <v>25.0</v>
      </c>
      <c r="Q340" s="222">
        <v>2000.0</v>
      </c>
      <c r="R340" s="224">
        <v>87.6</v>
      </c>
      <c r="S340" s="224">
        <v>2.3</v>
      </c>
      <c r="T340" s="225">
        <v>32.2</v>
      </c>
      <c r="U340" s="226">
        <v>55.0</v>
      </c>
      <c r="V340" s="227" t="s">
        <v>166</v>
      </c>
      <c r="W340" s="228" t="s">
        <v>174</v>
      </c>
      <c r="X340" s="222" t="s">
        <v>166</v>
      </c>
      <c r="Y340" s="223" t="s">
        <v>166</v>
      </c>
      <c r="Z340" s="221" t="s">
        <v>174</v>
      </c>
      <c r="AA340" s="222" t="s">
        <v>174</v>
      </c>
      <c r="AB340" s="222" t="s">
        <v>166</v>
      </c>
      <c r="AC340" s="222" t="s">
        <v>174</v>
      </c>
      <c r="AD340" s="222" t="s">
        <v>174</v>
      </c>
      <c r="AE340" s="222" t="s">
        <v>174</v>
      </c>
      <c r="AF340" s="222" t="s">
        <v>174</v>
      </c>
      <c r="AG340" s="229" t="s">
        <v>2003</v>
      </c>
      <c r="AH340" s="229"/>
    </row>
    <row r="341">
      <c r="A341" s="255" t="s">
        <v>2349</v>
      </c>
      <c r="B341" s="257" t="s">
        <v>2357</v>
      </c>
      <c r="C341" s="221">
        <v>360.0</v>
      </c>
      <c r="D341" s="222">
        <v>403.0</v>
      </c>
      <c r="E341" s="222">
        <v>123.0</v>
      </c>
      <c r="F341" s="222">
        <v>30.0</v>
      </c>
      <c r="G341" s="223" t="s">
        <v>164</v>
      </c>
      <c r="H341" s="221">
        <v>86.0</v>
      </c>
      <c r="I341" s="222">
        <v>75.0</v>
      </c>
      <c r="J341" s="222">
        <v>45.0</v>
      </c>
      <c r="K341" s="222">
        <v>2800.0</v>
      </c>
      <c r="L341" s="222" t="s">
        <v>44</v>
      </c>
      <c r="M341" s="223">
        <v>400.0</v>
      </c>
      <c r="N341" s="221">
        <v>3.0</v>
      </c>
      <c r="O341" s="222" t="s">
        <v>2002</v>
      </c>
      <c r="P341" s="222">
        <v>25.0</v>
      </c>
      <c r="Q341" s="222">
        <v>2000.0</v>
      </c>
      <c r="R341" s="224">
        <v>85.71</v>
      </c>
      <c r="S341" s="224">
        <v>2.78</v>
      </c>
      <c r="T341" s="225">
        <v>32.7</v>
      </c>
      <c r="U341" s="226">
        <v>55.0</v>
      </c>
      <c r="V341" s="227" t="s">
        <v>166</v>
      </c>
      <c r="W341" s="228" t="s">
        <v>174</v>
      </c>
      <c r="X341" s="222" t="s">
        <v>166</v>
      </c>
      <c r="Y341" s="223" t="s">
        <v>166</v>
      </c>
      <c r="Z341" s="221" t="s">
        <v>174</v>
      </c>
      <c r="AA341" s="222" t="s">
        <v>174</v>
      </c>
      <c r="AB341" s="222" t="s">
        <v>166</v>
      </c>
      <c r="AC341" s="222" t="s">
        <v>174</v>
      </c>
      <c r="AD341" s="222" t="s">
        <v>174</v>
      </c>
      <c r="AE341" s="222" t="s">
        <v>174</v>
      </c>
      <c r="AF341" s="222" t="s">
        <v>174</v>
      </c>
      <c r="AG341" s="229" t="s">
        <v>2003</v>
      </c>
      <c r="AH341" s="229"/>
    </row>
    <row r="342">
      <c r="A342" s="255" t="s">
        <v>2349</v>
      </c>
      <c r="B342" s="257" t="s">
        <v>2358</v>
      </c>
      <c r="C342" s="221">
        <v>240.0</v>
      </c>
      <c r="D342" s="222">
        <v>272.0</v>
      </c>
      <c r="E342" s="222">
        <v>120.0</v>
      </c>
      <c r="F342" s="222">
        <v>27.0</v>
      </c>
      <c r="G342" s="223" t="s">
        <v>164</v>
      </c>
      <c r="H342" s="221">
        <v>79.0</v>
      </c>
      <c r="I342" s="222">
        <v>67.0</v>
      </c>
      <c r="J342" s="222">
        <v>43.0</v>
      </c>
      <c r="K342" s="222">
        <v>4000.0</v>
      </c>
      <c r="L342" s="222" t="s">
        <v>2010</v>
      </c>
      <c r="M342" s="223">
        <v>400.0</v>
      </c>
      <c r="N342" s="221">
        <v>2.0</v>
      </c>
      <c r="O342" s="222" t="s">
        <v>2002</v>
      </c>
      <c r="P342" s="222">
        <v>25.0</v>
      </c>
      <c r="Q342" s="222">
        <v>2000.0</v>
      </c>
      <c r="R342" s="224">
        <v>56.0</v>
      </c>
      <c r="S342" s="224">
        <v>2.34</v>
      </c>
      <c r="T342" s="225">
        <v>33.2</v>
      </c>
      <c r="U342" s="226">
        <v>52.0</v>
      </c>
      <c r="V342" s="227" t="s">
        <v>166</v>
      </c>
      <c r="W342" s="228" t="s">
        <v>174</v>
      </c>
      <c r="X342" s="222" t="s">
        <v>166</v>
      </c>
      <c r="Y342" s="223" t="s">
        <v>166</v>
      </c>
      <c r="Z342" s="221" t="s">
        <v>174</v>
      </c>
      <c r="AA342" s="222" t="s">
        <v>174</v>
      </c>
      <c r="AB342" s="222" t="s">
        <v>166</v>
      </c>
      <c r="AC342" s="222" t="s">
        <v>174</v>
      </c>
      <c r="AD342" s="222" t="s">
        <v>174</v>
      </c>
      <c r="AE342" s="222" t="s">
        <v>174</v>
      </c>
      <c r="AF342" s="222" t="s">
        <v>174</v>
      </c>
      <c r="AG342" s="229" t="s">
        <v>2327</v>
      </c>
      <c r="AH342" s="229"/>
    </row>
    <row r="343">
      <c r="A343" s="255" t="s">
        <v>2349</v>
      </c>
      <c r="B343" s="257" t="s">
        <v>2359</v>
      </c>
      <c r="C343" s="221">
        <v>240.0</v>
      </c>
      <c r="D343" s="222">
        <v>272.0</v>
      </c>
      <c r="E343" s="222">
        <v>120.0</v>
      </c>
      <c r="F343" s="222">
        <v>27.0</v>
      </c>
      <c r="G343" s="223" t="s">
        <v>164</v>
      </c>
      <c r="H343" s="221">
        <v>79.0</v>
      </c>
      <c r="I343" s="222">
        <v>67.0</v>
      </c>
      <c r="J343" s="222">
        <v>43.0</v>
      </c>
      <c r="K343" s="222">
        <v>4000.0</v>
      </c>
      <c r="L343" s="222" t="s">
        <v>2010</v>
      </c>
      <c r="M343" s="223">
        <v>400.0</v>
      </c>
      <c r="N343" s="221">
        <v>2.0</v>
      </c>
      <c r="O343" s="222" t="s">
        <v>2002</v>
      </c>
      <c r="P343" s="222">
        <v>25.0</v>
      </c>
      <c r="Q343" s="222">
        <v>2000.0</v>
      </c>
      <c r="R343" s="224">
        <v>56.0</v>
      </c>
      <c r="S343" s="224">
        <v>2.34</v>
      </c>
      <c r="T343" s="225">
        <v>33.2</v>
      </c>
      <c r="U343" s="226">
        <v>52.0</v>
      </c>
      <c r="V343" s="227" t="s">
        <v>166</v>
      </c>
      <c r="W343" s="228" t="s">
        <v>174</v>
      </c>
      <c r="X343" s="222" t="s">
        <v>166</v>
      </c>
      <c r="Y343" s="223" t="s">
        <v>166</v>
      </c>
      <c r="Z343" s="221" t="s">
        <v>174</v>
      </c>
      <c r="AA343" s="222" t="s">
        <v>174</v>
      </c>
      <c r="AB343" s="222" t="s">
        <v>166</v>
      </c>
      <c r="AC343" s="222" t="s">
        <v>174</v>
      </c>
      <c r="AD343" s="222" t="s">
        <v>174</v>
      </c>
      <c r="AE343" s="222" t="s">
        <v>174</v>
      </c>
      <c r="AF343" s="222" t="s">
        <v>174</v>
      </c>
      <c r="AG343" s="229" t="s">
        <v>2327</v>
      </c>
      <c r="AH343" s="229"/>
    </row>
    <row r="344">
      <c r="A344" s="255" t="s">
        <v>2349</v>
      </c>
      <c r="B344" s="257" t="s">
        <v>2360</v>
      </c>
      <c r="C344" s="221">
        <v>280.0</v>
      </c>
      <c r="D344" s="222">
        <v>313.0</v>
      </c>
      <c r="E344" s="222">
        <v>140.0</v>
      </c>
      <c r="F344" s="222">
        <v>27.0</v>
      </c>
      <c r="G344" s="223" t="s">
        <v>164</v>
      </c>
      <c r="H344" s="221">
        <v>79.0</v>
      </c>
      <c r="I344" s="222">
        <v>67.0</v>
      </c>
      <c r="J344" s="222">
        <v>43.0</v>
      </c>
      <c r="K344" s="222">
        <v>4000.0</v>
      </c>
      <c r="L344" s="222" t="s">
        <v>2010</v>
      </c>
      <c r="M344" s="223">
        <v>400.0</v>
      </c>
      <c r="N344" s="221">
        <v>2.0</v>
      </c>
      <c r="O344" s="222" t="s">
        <v>2018</v>
      </c>
      <c r="P344" s="222">
        <v>25.0</v>
      </c>
      <c r="Q344" s="222">
        <v>1700.0</v>
      </c>
      <c r="R344" s="224">
        <v>78.0</v>
      </c>
      <c r="S344" s="224">
        <v>2.05</v>
      </c>
      <c r="T344" s="225">
        <v>35.5</v>
      </c>
      <c r="U344" s="226">
        <v>52.0</v>
      </c>
      <c r="V344" s="227" t="s">
        <v>166</v>
      </c>
      <c r="W344" s="228" t="s">
        <v>174</v>
      </c>
      <c r="X344" s="222" t="s">
        <v>166</v>
      </c>
      <c r="Y344" s="223" t="s">
        <v>166</v>
      </c>
      <c r="Z344" s="221" t="s">
        <v>174</v>
      </c>
      <c r="AA344" s="222" t="s">
        <v>174</v>
      </c>
      <c r="AB344" s="222" t="s">
        <v>166</v>
      </c>
      <c r="AC344" s="222" t="s">
        <v>174</v>
      </c>
      <c r="AD344" s="222" t="s">
        <v>174</v>
      </c>
      <c r="AE344" s="222" t="s">
        <v>174</v>
      </c>
      <c r="AF344" s="222" t="s">
        <v>174</v>
      </c>
      <c r="AG344" s="229" t="s">
        <v>2327</v>
      </c>
      <c r="AH344" s="229"/>
    </row>
    <row r="345">
      <c r="A345" s="255" t="s">
        <v>2349</v>
      </c>
      <c r="B345" s="257" t="s">
        <v>2361</v>
      </c>
      <c r="C345" s="221">
        <v>280.0</v>
      </c>
      <c r="D345" s="222">
        <v>313.0</v>
      </c>
      <c r="E345" s="222">
        <v>140.0</v>
      </c>
      <c r="F345" s="222">
        <v>27.0</v>
      </c>
      <c r="G345" s="223" t="s">
        <v>164</v>
      </c>
      <c r="H345" s="221">
        <v>79.0</v>
      </c>
      <c r="I345" s="222">
        <v>67.0</v>
      </c>
      <c r="J345" s="222">
        <v>43.0</v>
      </c>
      <c r="K345" s="222">
        <v>4000.0</v>
      </c>
      <c r="L345" s="222" t="s">
        <v>2010</v>
      </c>
      <c r="M345" s="223">
        <v>400.0</v>
      </c>
      <c r="N345" s="221">
        <v>2.0</v>
      </c>
      <c r="O345" s="222" t="s">
        <v>2018</v>
      </c>
      <c r="P345" s="222">
        <v>25.0</v>
      </c>
      <c r="Q345" s="222">
        <v>1700.0</v>
      </c>
      <c r="R345" s="224">
        <v>78.0</v>
      </c>
      <c r="S345" s="224">
        <v>2.05</v>
      </c>
      <c r="T345" s="225">
        <v>35.5</v>
      </c>
      <c r="U345" s="226">
        <v>52.0</v>
      </c>
      <c r="V345" s="227" t="s">
        <v>166</v>
      </c>
      <c r="W345" s="228" t="s">
        <v>174</v>
      </c>
      <c r="X345" s="222" t="s">
        <v>166</v>
      </c>
      <c r="Y345" s="223" t="s">
        <v>166</v>
      </c>
      <c r="Z345" s="221" t="s">
        <v>174</v>
      </c>
      <c r="AA345" s="222" t="s">
        <v>174</v>
      </c>
      <c r="AB345" s="222" t="s">
        <v>166</v>
      </c>
      <c r="AC345" s="222" t="s">
        <v>174</v>
      </c>
      <c r="AD345" s="222" t="s">
        <v>174</v>
      </c>
      <c r="AE345" s="222" t="s">
        <v>174</v>
      </c>
      <c r="AF345" s="222" t="s">
        <v>174</v>
      </c>
      <c r="AG345" s="229" t="s">
        <v>2327</v>
      </c>
      <c r="AH345" s="229"/>
    </row>
    <row r="346">
      <c r="A346" s="255" t="s">
        <v>2349</v>
      </c>
      <c r="B346" s="257" t="s">
        <v>2362</v>
      </c>
      <c r="C346" s="221">
        <v>360.0</v>
      </c>
      <c r="D346" s="222">
        <v>392.0</v>
      </c>
      <c r="E346" s="222">
        <v>120.0</v>
      </c>
      <c r="F346" s="222">
        <v>27.0</v>
      </c>
      <c r="G346" s="223" t="s">
        <v>164</v>
      </c>
      <c r="H346" s="221">
        <v>79.0</v>
      </c>
      <c r="I346" s="222">
        <v>67.0</v>
      </c>
      <c r="J346" s="222">
        <v>43.0</v>
      </c>
      <c r="K346" s="222">
        <v>4000.0</v>
      </c>
      <c r="L346" s="222" t="s">
        <v>2010</v>
      </c>
      <c r="M346" s="223">
        <v>400.0</v>
      </c>
      <c r="N346" s="221">
        <v>3.0</v>
      </c>
      <c r="O346" s="222" t="s">
        <v>2002</v>
      </c>
      <c r="P346" s="222">
        <v>25.0</v>
      </c>
      <c r="Q346" s="222">
        <v>2000.0</v>
      </c>
      <c r="R346" s="224">
        <v>56.0</v>
      </c>
      <c r="S346" s="224">
        <v>2.34</v>
      </c>
      <c r="T346" s="225">
        <v>33.2</v>
      </c>
      <c r="U346" s="226">
        <v>52.0</v>
      </c>
      <c r="V346" s="227" t="s">
        <v>166</v>
      </c>
      <c r="W346" s="228" t="s">
        <v>174</v>
      </c>
      <c r="X346" s="222" t="s">
        <v>166</v>
      </c>
      <c r="Y346" s="223" t="s">
        <v>166</v>
      </c>
      <c r="Z346" s="221" t="s">
        <v>174</v>
      </c>
      <c r="AA346" s="222" t="s">
        <v>174</v>
      </c>
      <c r="AB346" s="222" t="s">
        <v>166</v>
      </c>
      <c r="AC346" s="222" t="s">
        <v>174</v>
      </c>
      <c r="AD346" s="222" t="s">
        <v>174</v>
      </c>
      <c r="AE346" s="222" t="s">
        <v>174</v>
      </c>
      <c r="AF346" s="222" t="s">
        <v>174</v>
      </c>
      <c r="AG346" s="229" t="s">
        <v>2327</v>
      </c>
      <c r="AH346" s="229"/>
    </row>
    <row r="347">
      <c r="A347" s="268" t="s">
        <v>2349</v>
      </c>
      <c r="B347" s="271" t="s">
        <v>2363</v>
      </c>
      <c r="C347" s="232">
        <v>360.0</v>
      </c>
      <c r="D347" s="233">
        <v>392.0</v>
      </c>
      <c r="E347" s="233">
        <v>120.0</v>
      </c>
      <c r="F347" s="233">
        <v>27.0</v>
      </c>
      <c r="G347" s="234" t="s">
        <v>164</v>
      </c>
      <c r="H347" s="232">
        <v>79.0</v>
      </c>
      <c r="I347" s="233">
        <v>67.0</v>
      </c>
      <c r="J347" s="233">
        <v>43.0</v>
      </c>
      <c r="K347" s="233">
        <v>4000.0</v>
      </c>
      <c r="L347" s="233" t="s">
        <v>2010</v>
      </c>
      <c r="M347" s="234">
        <v>400.0</v>
      </c>
      <c r="N347" s="232">
        <v>3.0</v>
      </c>
      <c r="O347" s="233" t="s">
        <v>2002</v>
      </c>
      <c r="P347" s="233">
        <v>25.0</v>
      </c>
      <c r="Q347" s="233">
        <v>2000.0</v>
      </c>
      <c r="R347" s="235">
        <v>56.0</v>
      </c>
      <c r="S347" s="235">
        <v>2.34</v>
      </c>
      <c r="T347" s="236">
        <v>33.2</v>
      </c>
      <c r="U347" s="237">
        <v>52.0</v>
      </c>
      <c r="V347" s="238" t="s">
        <v>166</v>
      </c>
      <c r="W347" s="239" t="s">
        <v>174</v>
      </c>
      <c r="X347" s="233" t="s">
        <v>166</v>
      </c>
      <c r="Y347" s="234" t="s">
        <v>166</v>
      </c>
      <c r="Z347" s="232" t="s">
        <v>174</v>
      </c>
      <c r="AA347" s="233" t="s">
        <v>174</v>
      </c>
      <c r="AB347" s="233" t="s">
        <v>166</v>
      </c>
      <c r="AC347" s="233" t="s">
        <v>174</v>
      </c>
      <c r="AD347" s="233" t="s">
        <v>174</v>
      </c>
      <c r="AE347" s="233" t="s">
        <v>174</v>
      </c>
      <c r="AF347" s="233" t="s">
        <v>174</v>
      </c>
      <c r="AG347" s="240" t="s">
        <v>2327</v>
      </c>
      <c r="AH347" s="240"/>
    </row>
    <row r="348">
      <c r="A348" s="272" t="s">
        <v>1474</v>
      </c>
      <c r="B348" s="279" t="s">
        <v>2364</v>
      </c>
      <c r="C348" s="221">
        <v>240.0</v>
      </c>
      <c r="D348" s="222">
        <v>277.0</v>
      </c>
      <c r="E348" s="222">
        <v>120.0</v>
      </c>
      <c r="F348" s="222">
        <v>27.0</v>
      </c>
      <c r="G348" s="223" t="s">
        <v>164</v>
      </c>
      <c r="H348" s="221">
        <v>57.0</v>
      </c>
      <c r="I348" s="222">
        <v>57.0</v>
      </c>
      <c r="J348" s="222">
        <v>39.0</v>
      </c>
      <c r="K348" s="222" t="s">
        <v>170</v>
      </c>
      <c r="L348" s="222" t="s">
        <v>44</v>
      </c>
      <c r="M348" s="223">
        <v>420.0</v>
      </c>
      <c r="N348" s="221">
        <v>2.0</v>
      </c>
      <c r="O348" s="222" t="s">
        <v>2002</v>
      </c>
      <c r="P348" s="222">
        <v>25.0</v>
      </c>
      <c r="Q348" s="222">
        <v>2100.0</v>
      </c>
      <c r="R348" s="224">
        <v>93.5</v>
      </c>
      <c r="S348" s="224">
        <v>1.86</v>
      </c>
      <c r="T348" s="225">
        <v>29.6</v>
      </c>
      <c r="U348" s="226">
        <v>52.0</v>
      </c>
      <c r="V348" s="221" t="s">
        <v>166</v>
      </c>
      <c r="W348" s="241" t="s">
        <v>174</v>
      </c>
      <c r="X348" s="222" t="s">
        <v>166</v>
      </c>
      <c r="Y348" s="223" t="s">
        <v>166</v>
      </c>
      <c r="Z348" s="221" t="s">
        <v>174</v>
      </c>
      <c r="AA348" s="222" t="s">
        <v>174</v>
      </c>
      <c r="AB348" s="222" t="s">
        <v>166</v>
      </c>
      <c r="AC348" s="222" t="s">
        <v>174</v>
      </c>
      <c r="AD348" s="222" t="s">
        <v>174</v>
      </c>
      <c r="AE348" s="222" t="s">
        <v>170</v>
      </c>
      <c r="AF348" s="222" t="s">
        <v>174</v>
      </c>
      <c r="AG348" s="222" t="s">
        <v>170</v>
      </c>
      <c r="AH348" s="222"/>
    </row>
    <row r="349">
      <c r="A349" s="272" t="s">
        <v>1474</v>
      </c>
      <c r="B349" s="279" t="s">
        <v>2365</v>
      </c>
      <c r="C349" s="221">
        <v>280.0</v>
      </c>
      <c r="D349" s="222">
        <v>312.0</v>
      </c>
      <c r="E349" s="222">
        <v>140.0</v>
      </c>
      <c r="F349" s="222">
        <v>27.0</v>
      </c>
      <c r="G349" s="223" t="s">
        <v>164</v>
      </c>
      <c r="H349" s="221">
        <v>57.0</v>
      </c>
      <c r="I349" s="222">
        <v>57.0</v>
      </c>
      <c r="J349" s="222">
        <v>39.0</v>
      </c>
      <c r="K349" s="222" t="s">
        <v>170</v>
      </c>
      <c r="L349" s="222" t="s">
        <v>44</v>
      </c>
      <c r="M349" s="223">
        <v>420.0</v>
      </c>
      <c r="N349" s="221">
        <v>2.0</v>
      </c>
      <c r="O349" s="222" t="s">
        <v>2018</v>
      </c>
      <c r="P349" s="222">
        <v>25.0</v>
      </c>
      <c r="Q349" s="222">
        <v>2000.0</v>
      </c>
      <c r="R349" s="224">
        <v>102.5</v>
      </c>
      <c r="S349" s="224">
        <v>3.5</v>
      </c>
      <c r="T349" s="225">
        <v>39.5</v>
      </c>
      <c r="U349" s="226">
        <v>52.0</v>
      </c>
      <c r="V349" s="221" t="s">
        <v>166</v>
      </c>
      <c r="W349" s="241" t="s">
        <v>174</v>
      </c>
      <c r="X349" s="222" t="s">
        <v>166</v>
      </c>
      <c r="Y349" s="223" t="s">
        <v>166</v>
      </c>
      <c r="Z349" s="221" t="s">
        <v>174</v>
      </c>
      <c r="AA349" s="222" t="s">
        <v>174</v>
      </c>
      <c r="AB349" s="222" t="s">
        <v>166</v>
      </c>
      <c r="AC349" s="222" t="s">
        <v>174</v>
      </c>
      <c r="AD349" s="222" t="s">
        <v>174</v>
      </c>
      <c r="AE349" s="222" t="s">
        <v>170</v>
      </c>
      <c r="AF349" s="222" t="s">
        <v>174</v>
      </c>
      <c r="AG349" s="222" t="s">
        <v>170</v>
      </c>
      <c r="AH349" s="222"/>
    </row>
    <row r="350">
      <c r="A350" s="273" t="s">
        <v>1474</v>
      </c>
      <c r="B350" s="281" t="s">
        <v>2366</v>
      </c>
      <c r="C350" s="232">
        <v>360.0</v>
      </c>
      <c r="D350" s="233">
        <v>394.0</v>
      </c>
      <c r="E350" s="233">
        <v>120.0</v>
      </c>
      <c r="F350" s="233">
        <v>27.0</v>
      </c>
      <c r="G350" s="234" t="s">
        <v>164</v>
      </c>
      <c r="H350" s="232">
        <v>57.0</v>
      </c>
      <c r="I350" s="233">
        <v>57.0</v>
      </c>
      <c r="J350" s="233">
        <v>39.0</v>
      </c>
      <c r="K350" s="233" t="s">
        <v>170</v>
      </c>
      <c r="L350" s="233" t="s">
        <v>44</v>
      </c>
      <c r="M350" s="234" t="s">
        <v>170</v>
      </c>
      <c r="N350" s="232">
        <v>3.0</v>
      </c>
      <c r="O350" s="233" t="s">
        <v>2002</v>
      </c>
      <c r="P350" s="233">
        <v>25.0</v>
      </c>
      <c r="Q350" s="233">
        <v>2100.0</v>
      </c>
      <c r="R350" s="235">
        <v>93.5</v>
      </c>
      <c r="S350" s="235">
        <v>1.86</v>
      </c>
      <c r="T350" s="236">
        <v>29.6</v>
      </c>
      <c r="U350" s="237">
        <v>52.0</v>
      </c>
      <c r="V350" s="232" t="s">
        <v>166</v>
      </c>
      <c r="W350" s="247" t="s">
        <v>174</v>
      </c>
      <c r="X350" s="233" t="s">
        <v>166</v>
      </c>
      <c r="Y350" s="234" t="s">
        <v>166</v>
      </c>
      <c r="Z350" s="232" t="s">
        <v>174</v>
      </c>
      <c r="AA350" s="233" t="s">
        <v>174</v>
      </c>
      <c r="AB350" s="233" t="s">
        <v>166</v>
      </c>
      <c r="AC350" s="233" t="s">
        <v>174</v>
      </c>
      <c r="AD350" s="233" t="s">
        <v>174</v>
      </c>
      <c r="AE350" s="233" t="s">
        <v>170</v>
      </c>
      <c r="AF350" s="233" t="s">
        <v>174</v>
      </c>
      <c r="AG350" s="233" t="s">
        <v>170</v>
      </c>
      <c r="AH350" s="233"/>
    </row>
    <row r="351">
      <c r="A351" s="282" t="s">
        <v>2367</v>
      </c>
      <c r="B351" s="257" t="s">
        <v>2368</v>
      </c>
      <c r="C351" s="221">
        <v>240.0</v>
      </c>
      <c r="D351" s="222">
        <v>272.0</v>
      </c>
      <c r="E351" s="222">
        <v>121.0</v>
      </c>
      <c r="F351" s="222">
        <v>27.0</v>
      </c>
      <c r="G351" s="223" t="s">
        <v>164</v>
      </c>
      <c r="H351" s="221">
        <v>80.0</v>
      </c>
      <c r="I351" s="222">
        <v>80.0</v>
      </c>
      <c r="J351" s="222">
        <v>60.0</v>
      </c>
      <c r="K351" s="222" t="s">
        <v>170</v>
      </c>
      <c r="L351" s="222" t="s">
        <v>44</v>
      </c>
      <c r="M351" s="223">
        <v>380.0</v>
      </c>
      <c r="N351" s="221">
        <v>2.0</v>
      </c>
      <c r="O351" s="222" t="s">
        <v>2002</v>
      </c>
      <c r="P351" s="222">
        <v>25.0</v>
      </c>
      <c r="Q351" s="222">
        <v>2500.0</v>
      </c>
      <c r="R351" s="224">
        <v>59.25</v>
      </c>
      <c r="S351" s="224">
        <v>3.51</v>
      </c>
      <c r="T351" s="225">
        <v>39.5</v>
      </c>
      <c r="U351" s="226">
        <v>52.0</v>
      </c>
      <c r="V351" s="221" t="s">
        <v>166</v>
      </c>
      <c r="W351" s="241" t="s">
        <v>166</v>
      </c>
      <c r="X351" s="222" t="s">
        <v>174</v>
      </c>
      <c r="Y351" s="223" t="s">
        <v>174</v>
      </c>
      <c r="Z351" s="221" t="s">
        <v>166</v>
      </c>
      <c r="AA351" s="222" t="s">
        <v>174</v>
      </c>
      <c r="AB351" s="222" t="s">
        <v>166</v>
      </c>
      <c r="AC351" s="222" t="s">
        <v>174</v>
      </c>
      <c r="AD351" s="222" t="s">
        <v>174</v>
      </c>
      <c r="AE351" s="222" t="s">
        <v>170</v>
      </c>
      <c r="AF351" s="222" t="s">
        <v>174</v>
      </c>
      <c r="AG351" s="229" t="s">
        <v>2003</v>
      </c>
      <c r="AH351" s="229"/>
    </row>
    <row r="352">
      <c r="A352" s="282" t="s">
        <v>2367</v>
      </c>
      <c r="B352" s="257" t="s">
        <v>2369</v>
      </c>
      <c r="C352" s="221">
        <v>280.0</v>
      </c>
      <c r="D352" s="222">
        <v>315.0</v>
      </c>
      <c r="E352" s="222">
        <v>143.0</v>
      </c>
      <c r="F352" s="222">
        <v>30.0</v>
      </c>
      <c r="G352" s="223" t="s">
        <v>164</v>
      </c>
      <c r="H352" s="221">
        <v>80.0</v>
      </c>
      <c r="I352" s="222">
        <v>80.0</v>
      </c>
      <c r="J352" s="222">
        <v>60.0</v>
      </c>
      <c r="K352" s="222" t="s">
        <v>170</v>
      </c>
      <c r="L352" s="222" t="s">
        <v>44</v>
      </c>
      <c r="M352" s="223">
        <v>380.0</v>
      </c>
      <c r="N352" s="221">
        <v>2.0</v>
      </c>
      <c r="O352" s="222" t="s">
        <v>2018</v>
      </c>
      <c r="P352" s="222">
        <v>25.0</v>
      </c>
      <c r="Q352" s="222">
        <v>2300.0</v>
      </c>
      <c r="R352" s="224">
        <v>100.16</v>
      </c>
      <c r="S352" s="224">
        <v>5.16</v>
      </c>
      <c r="T352" s="225">
        <v>44.5</v>
      </c>
      <c r="U352" s="226">
        <v>55.0</v>
      </c>
      <c r="V352" s="221" t="s">
        <v>166</v>
      </c>
      <c r="W352" s="241" t="s">
        <v>166</v>
      </c>
      <c r="X352" s="222" t="s">
        <v>174</v>
      </c>
      <c r="Y352" s="223" t="s">
        <v>174</v>
      </c>
      <c r="Z352" s="221" t="s">
        <v>166</v>
      </c>
      <c r="AA352" s="222" t="s">
        <v>174</v>
      </c>
      <c r="AB352" s="222" t="s">
        <v>166</v>
      </c>
      <c r="AC352" s="222" t="s">
        <v>174</v>
      </c>
      <c r="AD352" s="222" t="s">
        <v>174</v>
      </c>
      <c r="AE352" s="222" t="s">
        <v>170</v>
      </c>
      <c r="AF352" s="222" t="s">
        <v>174</v>
      </c>
      <c r="AG352" s="229" t="s">
        <v>2003</v>
      </c>
      <c r="AH352" s="229"/>
    </row>
    <row r="353">
      <c r="A353" s="282" t="s">
        <v>2367</v>
      </c>
      <c r="B353" s="257" t="s">
        <v>2370</v>
      </c>
      <c r="C353" s="221">
        <v>240.0</v>
      </c>
      <c r="D353" s="222">
        <v>277.0</v>
      </c>
      <c r="E353" s="222">
        <v>119.0</v>
      </c>
      <c r="F353" s="222">
        <v>27.0</v>
      </c>
      <c r="G353" s="223" t="s">
        <v>164</v>
      </c>
      <c r="H353" s="221">
        <v>82.0</v>
      </c>
      <c r="I353" s="222">
        <v>82.0</v>
      </c>
      <c r="J353" s="222">
        <v>74.0</v>
      </c>
      <c r="K353" s="222" t="s">
        <v>170</v>
      </c>
      <c r="L353" s="222" t="s">
        <v>44</v>
      </c>
      <c r="M353" s="223" t="s">
        <v>170</v>
      </c>
      <c r="N353" s="221">
        <v>2.0</v>
      </c>
      <c r="O353" s="222" t="s">
        <v>2002</v>
      </c>
      <c r="P353" s="222">
        <v>25.0</v>
      </c>
      <c r="Q353" s="222">
        <v>2150.0</v>
      </c>
      <c r="R353" s="224">
        <v>56.47</v>
      </c>
      <c r="S353" s="224">
        <v>2.77</v>
      </c>
      <c r="T353" s="225">
        <v>31.0</v>
      </c>
      <c r="U353" s="226">
        <v>52.0</v>
      </c>
      <c r="V353" s="221" t="s">
        <v>166</v>
      </c>
      <c r="W353" s="241" t="s">
        <v>166</v>
      </c>
      <c r="X353" s="222" t="s">
        <v>174</v>
      </c>
      <c r="Y353" s="223" t="s">
        <v>174</v>
      </c>
      <c r="Z353" s="221" t="s">
        <v>166</v>
      </c>
      <c r="AA353" s="222" t="s">
        <v>174</v>
      </c>
      <c r="AB353" s="222" t="s">
        <v>166</v>
      </c>
      <c r="AC353" s="222" t="s">
        <v>174</v>
      </c>
      <c r="AD353" s="222" t="s">
        <v>174</v>
      </c>
      <c r="AE353" s="222" t="s">
        <v>174</v>
      </c>
      <c r="AF353" s="222" t="s">
        <v>174</v>
      </c>
      <c r="AG353" s="229" t="s">
        <v>2003</v>
      </c>
      <c r="AH353" s="229"/>
    </row>
    <row r="354">
      <c r="A354" s="282" t="s">
        <v>2367</v>
      </c>
      <c r="B354" s="257" t="s">
        <v>2371</v>
      </c>
      <c r="C354" s="221">
        <v>280.0</v>
      </c>
      <c r="D354" s="222">
        <v>312.0</v>
      </c>
      <c r="E354" s="222">
        <v>140.0</v>
      </c>
      <c r="F354" s="222">
        <v>27.0</v>
      </c>
      <c r="G354" s="223" t="s">
        <v>164</v>
      </c>
      <c r="H354" s="221">
        <v>82.0</v>
      </c>
      <c r="I354" s="222">
        <v>82.0</v>
      </c>
      <c r="J354" s="222">
        <v>74.0</v>
      </c>
      <c r="K354" s="222" t="s">
        <v>170</v>
      </c>
      <c r="L354" s="222" t="s">
        <v>44</v>
      </c>
      <c r="M354" s="223" t="s">
        <v>170</v>
      </c>
      <c r="N354" s="221">
        <v>2.0</v>
      </c>
      <c r="O354" s="222" t="s">
        <v>2018</v>
      </c>
      <c r="P354" s="222">
        <v>25.0</v>
      </c>
      <c r="Q354" s="222">
        <v>2150.0</v>
      </c>
      <c r="R354" s="224">
        <v>83.83</v>
      </c>
      <c r="S354" s="224">
        <v>4.08</v>
      </c>
      <c r="T354" s="225">
        <v>36.5</v>
      </c>
      <c r="U354" s="226">
        <v>52.0</v>
      </c>
      <c r="V354" s="221" t="s">
        <v>166</v>
      </c>
      <c r="W354" s="241" t="s">
        <v>166</v>
      </c>
      <c r="X354" s="222" t="s">
        <v>174</v>
      </c>
      <c r="Y354" s="223" t="s">
        <v>174</v>
      </c>
      <c r="Z354" s="221" t="s">
        <v>166</v>
      </c>
      <c r="AA354" s="222" t="s">
        <v>174</v>
      </c>
      <c r="AB354" s="222" t="s">
        <v>166</v>
      </c>
      <c r="AC354" s="222" t="s">
        <v>174</v>
      </c>
      <c r="AD354" s="222" t="s">
        <v>174</v>
      </c>
      <c r="AE354" s="222" t="s">
        <v>174</v>
      </c>
      <c r="AF354" s="222" t="s">
        <v>174</v>
      </c>
      <c r="AG354" s="229" t="s">
        <v>2003</v>
      </c>
      <c r="AH354" s="229"/>
    </row>
    <row r="355">
      <c r="A355" s="282" t="s">
        <v>2367</v>
      </c>
      <c r="B355" s="257" t="s">
        <v>2372</v>
      </c>
      <c r="C355" s="221">
        <v>360.0</v>
      </c>
      <c r="D355" s="222">
        <v>394.0</v>
      </c>
      <c r="E355" s="222">
        <v>119.0</v>
      </c>
      <c r="F355" s="222">
        <v>27.0</v>
      </c>
      <c r="G355" s="223" t="s">
        <v>164</v>
      </c>
      <c r="H355" s="221">
        <v>82.0</v>
      </c>
      <c r="I355" s="222">
        <v>82.0</v>
      </c>
      <c r="J355" s="222">
        <v>74.0</v>
      </c>
      <c r="K355" s="222" t="s">
        <v>170</v>
      </c>
      <c r="L355" s="222" t="s">
        <v>44</v>
      </c>
      <c r="M355" s="223" t="s">
        <v>170</v>
      </c>
      <c r="N355" s="221">
        <v>3.0</v>
      </c>
      <c r="O355" s="222" t="s">
        <v>2002</v>
      </c>
      <c r="P355" s="222">
        <v>25.0</v>
      </c>
      <c r="Q355" s="222">
        <v>2150.0</v>
      </c>
      <c r="R355" s="224">
        <v>56.47</v>
      </c>
      <c r="S355" s="224">
        <v>2.77</v>
      </c>
      <c r="T355" s="225">
        <v>31.0</v>
      </c>
      <c r="U355" s="226">
        <v>52.0</v>
      </c>
      <c r="V355" s="221" t="s">
        <v>166</v>
      </c>
      <c r="W355" s="241" t="s">
        <v>166</v>
      </c>
      <c r="X355" s="222" t="s">
        <v>174</v>
      </c>
      <c r="Y355" s="223" t="s">
        <v>174</v>
      </c>
      <c r="Z355" s="221" t="s">
        <v>166</v>
      </c>
      <c r="AA355" s="222" t="s">
        <v>174</v>
      </c>
      <c r="AB355" s="222" t="s">
        <v>166</v>
      </c>
      <c r="AC355" s="222" t="s">
        <v>174</v>
      </c>
      <c r="AD355" s="222" t="s">
        <v>174</v>
      </c>
      <c r="AE355" s="222" t="s">
        <v>174</v>
      </c>
      <c r="AF355" s="222" t="s">
        <v>174</v>
      </c>
      <c r="AG355" s="229" t="s">
        <v>2003</v>
      </c>
      <c r="AH355" s="229"/>
    </row>
    <row r="356">
      <c r="A356" s="282" t="s">
        <v>2367</v>
      </c>
      <c r="B356" s="257" t="s">
        <v>2373</v>
      </c>
      <c r="C356" s="221">
        <v>240.0</v>
      </c>
      <c r="D356" s="222">
        <v>277.0</v>
      </c>
      <c r="E356" s="222">
        <v>119.0</v>
      </c>
      <c r="F356" s="222">
        <v>27.0</v>
      </c>
      <c r="G356" s="223" t="s">
        <v>164</v>
      </c>
      <c r="H356" s="221">
        <v>72.8</v>
      </c>
      <c r="I356" s="222">
        <v>72.8</v>
      </c>
      <c r="J356" s="222">
        <v>65.1</v>
      </c>
      <c r="K356" s="222" t="s">
        <v>170</v>
      </c>
      <c r="L356" s="222" t="s">
        <v>44</v>
      </c>
      <c r="M356" s="223" t="s">
        <v>170</v>
      </c>
      <c r="N356" s="221">
        <v>2.0</v>
      </c>
      <c r="O356" s="222" t="s">
        <v>2002</v>
      </c>
      <c r="P356" s="222">
        <v>25.0</v>
      </c>
      <c r="Q356" s="222">
        <v>2300.0</v>
      </c>
      <c r="R356" s="224">
        <v>64.95</v>
      </c>
      <c r="S356" s="224">
        <v>2.93</v>
      </c>
      <c r="T356" s="225">
        <v>36.9</v>
      </c>
      <c r="U356" s="226">
        <v>52.0</v>
      </c>
      <c r="V356" s="221" t="s">
        <v>166</v>
      </c>
      <c r="W356" s="241" t="s">
        <v>170</v>
      </c>
      <c r="X356" s="222" t="s">
        <v>170</v>
      </c>
      <c r="Y356" s="223" t="s">
        <v>170</v>
      </c>
      <c r="Z356" s="221" t="s">
        <v>166</v>
      </c>
      <c r="AA356" s="222" t="s">
        <v>174</v>
      </c>
      <c r="AB356" s="222" t="s">
        <v>166</v>
      </c>
      <c r="AC356" s="222" t="s">
        <v>174</v>
      </c>
      <c r="AD356" s="222" t="s">
        <v>166</v>
      </c>
      <c r="AE356" s="222" t="s">
        <v>174</v>
      </c>
      <c r="AF356" s="222" t="s">
        <v>166</v>
      </c>
      <c r="AG356" s="222" t="s">
        <v>170</v>
      </c>
      <c r="AH356" s="229"/>
    </row>
    <row r="357">
      <c r="A357" s="282" t="s">
        <v>2367</v>
      </c>
      <c r="B357" s="257" t="s">
        <v>2374</v>
      </c>
      <c r="C357" s="221">
        <v>360.0</v>
      </c>
      <c r="D357" s="222">
        <v>394.0</v>
      </c>
      <c r="E357" s="222">
        <v>119.0</v>
      </c>
      <c r="F357" s="222">
        <v>27.0</v>
      </c>
      <c r="G357" s="223" t="s">
        <v>164</v>
      </c>
      <c r="H357" s="221">
        <v>72.8</v>
      </c>
      <c r="I357" s="222">
        <v>72.8</v>
      </c>
      <c r="J357" s="222">
        <v>65.1</v>
      </c>
      <c r="K357" s="222" t="s">
        <v>170</v>
      </c>
      <c r="L357" s="222" t="s">
        <v>44</v>
      </c>
      <c r="M357" s="223" t="s">
        <v>170</v>
      </c>
      <c r="N357" s="221">
        <v>3.0</v>
      </c>
      <c r="O357" s="222" t="s">
        <v>2002</v>
      </c>
      <c r="P357" s="222">
        <v>25.0</v>
      </c>
      <c r="Q357" s="222">
        <v>2300.0</v>
      </c>
      <c r="R357" s="224">
        <v>64.95</v>
      </c>
      <c r="S357" s="224">
        <v>2.93</v>
      </c>
      <c r="T357" s="225">
        <v>36.9</v>
      </c>
      <c r="U357" s="226">
        <v>52.0</v>
      </c>
      <c r="V357" s="221" t="s">
        <v>166</v>
      </c>
      <c r="W357" s="241" t="s">
        <v>170</v>
      </c>
      <c r="X357" s="222" t="s">
        <v>170</v>
      </c>
      <c r="Y357" s="223" t="s">
        <v>170</v>
      </c>
      <c r="Z357" s="221" t="s">
        <v>166</v>
      </c>
      <c r="AA357" s="222" t="s">
        <v>174</v>
      </c>
      <c r="AB357" s="222" t="s">
        <v>166</v>
      </c>
      <c r="AC357" s="222" t="s">
        <v>174</v>
      </c>
      <c r="AD357" s="222" t="s">
        <v>166</v>
      </c>
      <c r="AE357" s="222" t="s">
        <v>174</v>
      </c>
      <c r="AF357" s="222" t="s">
        <v>166</v>
      </c>
      <c r="AG357" s="222" t="s">
        <v>170</v>
      </c>
      <c r="AH357" s="229"/>
    </row>
    <row r="358">
      <c r="A358" s="282" t="s">
        <v>2367</v>
      </c>
      <c r="B358" s="257" t="s">
        <v>2375</v>
      </c>
      <c r="C358" s="221">
        <v>360.0</v>
      </c>
      <c r="D358" s="222">
        <v>394.0</v>
      </c>
      <c r="E358" s="222">
        <v>119.0</v>
      </c>
      <c r="F358" s="222">
        <v>27.0</v>
      </c>
      <c r="G358" s="223" t="s">
        <v>164</v>
      </c>
      <c r="H358" s="221">
        <v>72.8</v>
      </c>
      <c r="I358" s="222">
        <v>72.8</v>
      </c>
      <c r="J358" s="222">
        <v>65.1</v>
      </c>
      <c r="K358" s="222" t="s">
        <v>170</v>
      </c>
      <c r="L358" s="222" t="s">
        <v>44</v>
      </c>
      <c r="M358" s="223" t="s">
        <v>170</v>
      </c>
      <c r="N358" s="221">
        <v>3.0</v>
      </c>
      <c r="O358" s="283" t="s">
        <v>2002</v>
      </c>
      <c r="P358" s="284">
        <v>25.0</v>
      </c>
      <c r="Q358" s="285">
        <v>2300.0</v>
      </c>
      <c r="R358" s="286">
        <v>64.95</v>
      </c>
      <c r="S358" s="287">
        <v>2.93</v>
      </c>
      <c r="T358" s="288">
        <v>36.9</v>
      </c>
      <c r="U358" s="289">
        <v>52.0</v>
      </c>
      <c r="V358" s="221" t="s">
        <v>166</v>
      </c>
      <c r="W358" s="241" t="s">
        <v>170</v>
      </c>
      <c r="X358" s="222" t="s">
        <v>170</v>
      </c>
      <c r="Y358" s="223" t="s">
        <v>170</v>
      </c>
      <c r="Z358" s="221" t="s">
        <v>166</v>
      </c>
      <c r="AA358" s="222" t="s">
        <v>174</v>
      </c>
      <c r="AB358" s="222" t="s">
        <v>166</v>
      </c>
      <c r="AC358" s="222" t="s">
        <v>174</v>
      </c>
      <c r="AD358" s="222" t="s">
        <v>166</v>
      </c>
      <c r="AE358" s="222" t="s">
        <v>174</v>
      </c>
      <c r="AF358" s="222" t="s">
        <v>166</v>
      </c>
      <c r="AG358" s="222" t="s">
        <v>170</v>
      </c>
      <c r="AH358" s="229"/>
    </row>
    <row r="359">
      <c r="A359" s="282" t="s">
        <v>2367</v>
      </c>
      <c r="B359" s="257" t="s">
        <v>2376</v>
      </c>
      <c r="C359" s="221">
        <v>240.0</v>
      </c>
      <c r="D359" s="222">
        <v>277.0</v>
      </c>
      <c r="E359" s="222">
        <v>119.0</v>
      </c>
      <c r="F359" s="222">
        <v>27.0</v>
      </c>
      <c r="G359" s="223" t="s">
        <v>164</v>
      </c>
      <c r="H359" s="221">
        <v>82.0</v>
      </c>
      <c r="I359" s="222">
        <v>82.0</v>
      </c>
      <c r="J359" s="222">
        <v>74.0</v>
      </c>
      <c r="K359" s="222" t="s">
        <v>170</v>
      </c>
      <c r="L359" s="222" t="s">
        <v>44</v>
      </c>
      <c r="M359" s="223" t="s">
        <v>170</v>
      </c>
      <c r="N359" s="221">
        <v>2.0</v>
      </c>
      <c r="O359" s="222" t="s">
        <v>2002</v>
      </c>
      <c r="P359" s="222">
        <v>25.0</v>
      </c>
      <c r="Q359" s="222">
        <v>2500.0</v>
      </c>
      <c r="R359" s="224">
        <v>60.07</v>
      </c>
      <c r="S359" s="224">
        <v>3.14</v>
      </c>
      <c r="T359" s="225">
        <v>37.6</v>
      </c>
      <c r="U359" s="226">
        <v>52.0</v>
      </c>
      <c r="V359" s="221" t="s">
        <v>166</v>
      </c>
      <c r="W359" s="241" t="s">
        <v>166</v>
      </c>
      <c r="X359" s="222" t="s">
        <v>174</v>
      </c>
      <c r="Y359" s="223" t="s">
        <v>174</v>
      </c>
      <c r="Z359" s="221" t="s">
        <v>166</v>
      </c>
      <c r="AA359" s="222" t="s">
        <v>174</v>
      </c>
      <c r="AB359" s="222" t="s">
        <v>166</v>
      </c>
      <c r="AC359" s="222" t="s">
        <v>174</v>
      </c>
      <c r="AD359" s="222" t="s">
        <v>174</v>
      </c>
      <c r="AE359" s="222" t="s">
        <v>174</v>
      </c>
      <c r="AF359" s="222" t="s">
        <v>174</v>
      </c>
      <c r="AG359" s="229" t="s">
        <v>2003</v>
      </c>
      <c r="AH359" s="229"/>
    </row>
    <row r="360">
      <c r="A360" s="282" t="s">
        <v>2367</v>
      </c>
      <c r="B360" s="257" t="s">
        <v>2377</v>
      </c>
      <c r="C360" s="221">
        <v>280.0</v>
      </c>
      <c r="D360" s="222">
        <v>312.0</v>
      </c>
      <c r="E360" s="222">
        <v>140.0</v>
      </c>
      <c r="F360" s="222">
        <v>27.0</v>
      </c>
      <c r="G360" s="223" t="s">
        <v>164</v>
      </c>
      <c r="H360" s="221">
        <v>82.0</v>
      </c>
      <c r="I360" s="222">
        <v>82.0</v>
      </c>
      <c r="J360" s="222">
        <v>74.0</v>
      </c>
      <c r="K360" s="222" t="s">
        <v>170</v>
      </c>
      <c r="L360" s="222" t="s">
        <v>44</v>
      </c>
      <c r="M360" s="223" t="s">
        <v>170</v>
      </c>
      <c r="N360" s="221">
        <v>2.0</v>
      </c>
      <c r="O360" s="222" t="s">
        <v>2018</v>
      </c>
      <c r="P360" s="222">
        <v>25.0</v>
      </c>
      <c r="Q360" s="222">
        <v>2300.0</v>
      </c>
      <c r="R360" s="224">
        <v>89.18</v>
      </c>
      <c r="S360" s="224">
        <v>4.62</v>
      </c>
      <c r="T360" s="225">
        <v>44.4</v>
      </c>
      <c r="U360" s="226">
        <v>52.0</v>
      </c>
      <c r="V360" s="221" t="s">
        <v>166</v>
      </c>
      <c r="W360" s="241" t="s">
        <v>166</v>
      </c>
      <c r="X360" s="222" t="s">
        <v>174</v>
      </c>
      <c r="Y360" s="223" t="s">
        <v>174</v>
      </c>
      <c r="Z360" s="221" t="s">
        <v>166</v>
      </c>
      <c r="AA360" s="222" t="s">
        <v>174</v>
      </c>
      <c r="AB360" s="222" t="s">
        <v>166</v>
      </c>
      <c r="AC360" s="222" t="s">
        <v>174</v>
      </c>
      <c r="AD360" s="222" t="s">
        <v>174</v>
      </c>
      <c r="AE360" s="222" t="s">
        <v>174</v>
      </c>
      <c r="AF360" s="222" t="s">
        <v>174</v>
      </c>
      <c r="AG360" s="229" t="s">
        <v>2003</v>
      </c>
      <c r="AH360" s="229"/>
    </row>
    <row r="361">
      <c r="A361" s="282" t="s">
        <v>2367</v>
      </c>
      <c r="B361" s="257" t="s">
        <v>2378</v>
      </c>
      <c r="C361" s="221">
        <v>360.0</v>
      </c>
      <c r="D361" s="222">
        <v>394.0</v>
      </c>
      <c r="E361" s="222">
        <v>119.0</v>
      </c>
      <c r="F361" s="222">
        <v>27.0</v>
      </c>
      <c r="G361" s="223" t="s">
        <v>164</v>
      </c>
      <c r="H361" s="221">
        <v>82.0</v>
      </c>
      <c r="I361" s="222">
        <v>82.0</v>
      </c>
      <c r="J361" s="222">
        <v>74.0</v>
      </c>
      <c r="K361" s="222" t="s">
        <v>170</v>
      </c>
      <c r="L361" s="222" t="s">
        <v>44</v>
      </c>
      <c r="M361" s="223" t="s">
        <v>170</v>
      </c>
      <c r="N361" s="221">
        <v>3.0</v>
      </c>
      <c r="O361" s="222" t="s">
        <v>2002</v>
      </c>
      <c r="P361" s="222">
        <v>25.0</v>
      </c>
      <c r="Q361" s="222">
        <v>2500.0</v>
      </c>
      <c r="R361" s="224">
        <v>60.07</v>
      </c>
      <c r="S361" s="224">
        <v>3.14</v>
      </c>
      <c r="T361" s="225">
        <v>37.6</v>
      </c>
      <c r="U361" s="226">
        <v>52.0</v>
      </c>
      <c r="V361" s="221" t="s">
        <v>166</v>
      </c>
      <c r="W361" s="241" t="s">
        <v>166</v>
      </c>
      <c r="X361" s="222" t="s">
        <v>174</v>
      </c>
      <c r="Y361" s="223" t="s">
        <v>174</v>
      </c>
      <c r="Z361" s="221" t="s">
        <v>166</v>
      </c>
      <c r="AA361" s="222" t="s">
        <v>174</v>
      </c>
      <c r="AB361" s="222" t="s">
        <v>166</v>
      </c>
      <c r="AC361" s="222" t="s">
        <v>174</v>
      </c>
      <c r="AD361" s="222" t="s">
        <v>174</v>
      </c>
      <c r="AE361" s="222" t="s">
        <v>174</v>
      </c>
      <c r="AF361" s="222" t="s">
        <v>174</v>
      </c>
      <c r="AG361" s="229" t="s">
        <v>2003</v>
      </c>
      <c r="AH361" s="229"/>
    </row>
    <row r="362">
      <c r="A362" s="282" t="s">
        <v>2367</v>
      </c>
      <c r="B362" s="257" t="s">
        <v>2379</v>
      </c>
      <c r="C362" s="221">
        <v>240.0</v>
      </c>
      <c r="D362" s="222">
        <v>277.0</v>
      </c>
      <c r="E362" s="222">
        <v>119.0</v>
      </c>
      <c r="F362" s="222">
        <v>27.0</v>
      </c>
      <c r="G362" s="223" t="s">
        <v>164</v>
      </c>
      <c r="H362" s="221">
        <v>87.6</v>
      </c>
      <c r="I362" s="222">
        <v>87.6</v>
      </c>
      <c r="J362" s="222">
        <v>77.7</v>
      </c>
      <c r="K362" s="222" t="s">
        <v>170</v>
      </c>
      <c r="L362" s="222" t="s">
        <v>44</v>
      </c>
      <c r="M362" s="223" t="s">
        <v>170</v>
      </c>
      <c r="N362" s="221">
        <v>2.0</v>
      </c>
      <c r="O362" s="222" t="s">
        <v>2002</v>
      </c>
      <c r="P362" s="222">
        <v>25.0</v>
      </c>
      <c r="Q362" s="222">
        <v>2400.0</v>
      </c>
      <c r="R362" s="224">
        <v>72.0</v>
      </c>
      <c r="S362" s="224">
        <v>3.15</v>
      </c>
      <c r="T362" s="225">
        <v>37.5</v>
      </c>
      <c r="U362" s="226">
        <v>52.0</v>
      </c>
      <c r="V362" s="221" t="s">
        <v>166</v>
      </c>
      <c r="W362" s="241" t="s">
        <v>170</v>
      </c>
      <c r="X362" s="222" t="s">
        <v>170</v>
      </c>
      <c r="Y362" s="223" t="s">
        <v>170</v>
      </c>
      <c r="Z362" s="221" t="s">
        <v>166</v>
      </c>
      <c r="AA362" s="222" t="s">
        <v>174</v>
      </c>
      <c r="AB362" s="222" t="s">
        <v>166</v>
      </c>
      <c r="AC362" s="222" t="s">
        <v>174</v>
      </c>
      <c r="AD362" s="222" t="s">
        <v>166</v>
      </c>
      <c r="AE362" s="222" t="s">
        <v>174</v>
      </c>
      <c r="AF362" s="222" t="s">
        <v>166</v>
      </c>
      <c r="AG362" s="222" t="s">
        <v>170</v>
      </c>
      <c r="AH362" s="229"/>
    </row>
    <row r="363">
      <c r="A363" s="282" t="s">
        <v>2367</v>
      </c>
      <c r="B363" s="257" t="s">
        <v>2380</v>
      </c>
      <c r="C363" s="221">
        <v>360.0</v>
      </c>
      <c r="D363" s="222">
        <v>394.0</v>
      </c>
      <c r="E363" s="222">
        <v>119.0</v>
      </c>
      <c r="F363" s="222">
        <v>27.0</v>
      </c>
      <c r="G363" s="223" t="s">
        <v>164</v>
      </c>
      <c r="H363" s="221">
        <v>87.6</v>
      </c>
      <c r="I363" s="222">
        <v>87.6</v>
      </c>
      <c r="J363" s="222">
        <v>77.7</v>
      </c>
      <c r="K363" s="222" t="s">
        <v>170</v>
      </c>
      <c r="L363" s="222" t="s">
        <v>44</v>
      </c>
      <c r="M363" s="223" t="s">
        <v>170</v>
      </c>
      <c r="N363" s="221">
        <v>3.0</v>
      </c>
      <c r="O363" s="222" t="s">
        <v>2002</v>
      </c>
      <c r="P363" s="222">
        <v>25.0</v>
      </c>
      <c r="Q363" s="222">
        <v>2400.0</v>
      </c>
      <c r="R363" s="224">
        <v>72.0</v>
      </c>
      <c r="S363" s="224">
        <v>3.15</v>
      </c>
      <c r="T363" s="225">
        <v>37.5</v>
      </c>
      <c r="U363" s="226">
        <v>52.0</v>
      </c>
      <c r="V363" s="221" t="s">
        <v>166</v>
      </c>
      <c r="W363" s="241" t="s">
        <v>170</v>
      </c>
      <c r="X363" s="222" t="s">
        <v>170</v>
      </c>
      <c r="Y363" s="223" t="s">
        <v>170</v>
      </c>
      <c r="Z363" s="221" t="s">
        <v>166</v>
      </c>
      <c r="AA363" s="222" t="s">
        <v>174</v>
      </c>
      <c r="AB363" s="222" t="s">
        <v>166</v>
      </c>
      <c r="AC363" s="222" t="s">
        <v>174</v>
      </c>
      <c r="AD363" s="222" t="s">
        <v>166</v>
      </c>
      <c r="AE363" s="222" t="s">
        <v>174</v>
      </c>
      <c r="AF363" s="222" t="s">
        <v>166</v>
      </c>
      <c r="AG363" s="222" t="s">
        <v>170</v>
      </c>
      <c r="AH363" s="229"/>
    </row>
    <row r="364">
      <c r="A364" s="290" t="s">
        <v>2367</v>
      </c>
      <c r="B364" s="271" t="s">
        <v>2381</v>
      </c>
      <c r="C364" s="232">
        <v>360.0</v>
      </c>
      <c r="D364" s="233">
        <v>394.0</v>
      </c>
      <c r="E364" s="233">
        <v>119.0</v>
      </c>
      <c r="F364" s="233">
        <v>27.0</v>
      </c>
      <c r="G364" s="234" t="s">
        <v>164</v>
      </c>
      <c r="H364" s="232">
        <v>87.6</v>
      </c>
      <c r="I364" s="233">
        <v>87.6</v>
      </c>
      <c r="J364" s="233">
        <v>77.7</v>
      </c>
      <c r="K364" s="233" t="s">
        <v>170</v>
      </c>
      <c r="L364" s="233" t="s">
        <v>44</v>
      </c>
      <c r="M364" s="234" t="s">
        <v>170</v>
      </c>
      <c r="N364" s="232">
        <v>3.0</v>
      </c>
      <c r="O364" s="233" t="s">
        <v>2002</v>
      </c>
      <c r="P364" s="233">
        <v>25.0</v>
      </c>
      <c r="Q364" s="233">
        <v>2400.0</v>
      </c>
      <c r="R364" s="235">
        <v>72.0</v>
      </c>
      <c r="S364" s="235">
        <v>3.15</v>
      </c>
      <c r="T364" s="236">
        <v>37.5</v>
      </c>
      <c r="U364" s="237">
        <v>52.0</v>
      </c>
      <c r="V364" s="232" t="s">
        <v>166</v>
      </c>
      <c r="W364" s="247" t="s">
        <v>170</v>
      </c>
      <c r="X364" s="233" t="s">
        <v>170</v>
      </c>
      <c r="Y364" s="234" t="s">
        <v>170</v>
      </c>
      <c r="Z364" s="232" t="s">
        <v>166</v>
      </c>
      <c r="AA364" s="233" t="s">
        <v>174</v>
      </c>
      <c r="AB364" s="233" t="s">
        <v>166</v>
      </c>
      <c r="AC364" s="233" t="s">
        <v>174</v>
      </c>
      <c r="AD364" s="233" t="s">
        <v>166</v>
      </c>
      <c r="AE364" s="233" t="s">
        <v>174</v>
      </c>
      <c r="AF364" s="233" t="s">
        <v>166</v>
      </c>
      <c r="AG364" s="233" t="s">
        <v>170</v>
      </c>
      <c r="AH364" s="240"/>
    </row>
    <row r="365">
      <c r="A365" s="282" t="s">
        <v>1611</v>
      </c>
      <c r="B365" s="257" t="s">
        <v>2382</v>
      </c>
      <c r="C365" s="221">
        <v>120.0</v>
      </c>
      <c r="D365" s="222">
        <v>154.0</v>
      </c>
      <c r="E365" s="222">
        <v>120.0</v>
      </c>
      <c r="F365" s="222">
        <v>27.0</v>
      </c>
      <c r="G365" s="223" t="s">
        <v>164</v>
      </c>
      <c r="H365" s="221">
        <v>72.0</v>
      </c>
      <c r="I365" s="222">
        <v>72.0</v>
      </c>
      <c r="J365" s="222">
        <v>47.3</v>
      </c>
      <c r="K365" s="222">
        <v>2100.0</v>
      </c>
      <c r="L365" s="222" t="s">
        <v>44</v>
      </c>
      <c r="M365" s="223">
        <v>330.0</v>
      </c>
      <c r="N365" s="221">
        <v>1.0</v>
      </c>
      <c r="O365" s="222" t="s">
        <v>2002</v>
      </c>
      <c r="P365" s="222">
        <v>25.0</v>
      </c>
      <c r="Q365" s="222">
        <v>1800.0</v>
      </c>
      <c r="R365" s="224">
        <v>74.5</v>
      </c>
      <c r="S365" s="224">
        <v>2.15</v>
      </c>
      <c r="T365" s="225">
        <v>35.2</v>
      </c>
      <c r="U365" s="226">
        <v>52.0</v>
      </c>
      <c r="V365" s="221" t="s">
        <v>174</v>
      </c>
      <c r="W365" s="241" t="s">
        <v>166</v>
      </c>
      <c r="X365" s="222" t="s">
        <v>166</v>
      </c>
      <c r="Y365" s="223" t="s">
        <v>166</v>
      </c>
      <c r="Z365" s="221" t="s">
        <v>174</v>
      </c>
      <c r="AA365" s="222" t="s">
        <v>174</v>
      </c>
      <c r="AB365" s="222" t="s">
        <v>166</v>
      </c>
      <c r="AC365" s="222" t="s">
        <v>174</v>
      </c>
      <c r="AD365" s="222" t="s">
        <v>174</v>
      </c>
      <c r="AE365" s="222" t="s">
        <v>170</v>
      </c>
      <c r="AF365" s="222" t="s">
        <v>174</v>
      </c>
      <c r="AG365" s="222" t="s">
        <v>170</v>
      </c>
      <c r="AH365" s="222"/>
    </row>
    <row r="366">
      <c r="A366" s="174" t="s">
        <v>1611</v>
      </c>
      <c r="B366" s="257" t="s">
        <v>2383</v>
      </c>
      <c r="C366" s="221">
        <v>240.0</v>
      </c>
      <c r="D366" s="222">
        <v>276.0</v>
      </c>
      <c r="E366" s="222">
        <v>120.0</v>
      </c>
      <c r="F366" s="222">
        <v>27.0</v>
      </c>
      <c r="G366" s="223" t="s">
        <v>164</v>
      </c>
      <c r="H366" s="221">
        <v>72.0</v>
      </c>
      <c r="I366" s="222">
        <v>72.0</v>
      </c>
      <c r="J366" s="222">
        <v>47.3</v>
      </c>
      <c r="K366" s="222">
        <v>2100.0</v>
      </c>
      <c r="L366" s="222" t="s">
        <v>44</v>
      </c>
      <c r="M366" s="223">
        <v>400.0</v>
      </c>
      <c r="N366" s="221">
        <v>2.0</v>
      </c>
      <c r="O366" s="222" t="s">
        <v>2002</v>
      </c>
      <c r="P366" s="222">
        <v>25.0</v>
      </c>
      <c r="Q366" s="222">
        <v>1800.0</v>
      </c>
      <c r="R366" s="224">
        <v>74.5</v>
      </c>
      <c r="S366" s="224">
        <v>2.15</v>
      </c>
      <c r="T366" s="225">
        <v>35.2</v>
      </c>
      <c r="U366" s="226">
        <v>52.0</v>
      </c>
      <c r="V366" s="227" t="s">
        <v>174</v>
      </c>
      <c r="W366" s="228" t="s">
        <v>166</v>
      </c>
      <c r="X366" s="222" t="s">
        <v>166</v>
      </c>
      <c r="Y366" s="223" t="s">
        <v>166</v>
      </c>
      <c r="Z366" s="221" t="s">
        <v>174</v>
      </c>
      <c r="AA366" s="222" t="s">
        <v>174</v>
      </c>
      <c r="AB366" s="222" t="s">
        <v>166</v>
      </c>
      <c r="AC366" s="222" t="s">
        <v>174</v>
      </c>
      <c r="AD366" s="222" t="s">
        <v>174</v>
      </c>
      <c r="AE366" s="222" t="s">
        <v>170</v>
      </c>
      <c r="AF366" s="222" t="s">
        <v>174</v>
      </c>
      <c r="AG366" s="222" t="s">
        <v>170</v>
      </c>
      <c r="AH366" s="222"/>
    </row>
    <row r="367">
      <c r="A367" s="174" t="s">
        <v>1611</v>
      </c>
      <c r="B367" s="257" t="s">
        <v>2384</v>
      </c>
      <c r="C367" s="221">
        <v>240.0</v>
      </c>
      <c r="D367" s="222">
        <v>276.0</v>
      </c>
      <c r="E367" s="222">
        <v>120.0</v>
      </c>
      <c r="F367" s="222">
        <v>27.0</v>
      </c>
      <c r="G367" s="223" t="s">
        <v>164</v>
      </c>
      <c r="H367" s="221">
        <v>72.0</v>
      </c>
      <c r="I367" s="222">
        <v>72.0</v>
      </c>
      <c r="J367" s="222">
        <v>47.3</v>
      </c>
      <c r="K367" s="222">
        <v>2100.0</v>
      </c>
      <c r="L367" s="222" t="s">
        <v>44</v>
      </c>
      <c r="M367" s="223">
        <v>400.0</v>
      </c>
      <c r="N367" s="221">
        <v>2.0</v>
      </c>
      <c r="O367" s="222" t="s">
        <v>2002</v>
      </c>
      <c r="P367" s="222">
        <v>25.0</v>
      </c>
      <c r="Q367" s="222">
        <v>1800.0</v>
      </c>
      <c r="R367" s="224">
        <v>74.5</v>
      </c>
      <c r="S367" s="224">
        <v>2.15</v>
      </c>
      <c r="T367" s="225">
        <v>35.2</v>
      </c>
      <c r="U367" s="226">
        <v>52.0</v>
      </c>
      <c r="V367" s="227" t="s">
        <v>174</v>
      </c>
      <c r="W367" s="228" t="s">
        <v>166</v>
      </c>
      <c r="X367" s="222" t="s">
        <v>166</v>
      </c>
      <c r="Y367" s="223" t="s">
        <v>166</v>
      </c>
      <c r="Z367" s="221" t="s">
        <v>174</v>
      </c>
      <c r="AA367" s="222" t="s">
        <v>174</v>
      </c>
      <c r="AB367" s="222" t="s">
        <v>166</v>
      </c>
      <c r="AC367" s="222" t="s">
        <v>174</v>
      </c>
      <c r="AD367" s="222" t="s">
        <v>174</v>
      </c>
      <c r="AE367" s="222" t="s">
        <v>170</v>
      </c>
      <c r="AF367" s="222" t="s">
        <v>174</v>
      </c>
      <c r="AG367" s="222" t="s">
        <v>170</v>
      </c>
      <c r="AH367" s="222"/>
    </row>
    <row r="368">
      <c r="A368" s="174" t="s">
        <v>1611</v>
      </c>
      <c r="B368" s="257" t="s">
        <v>2385</v>
      </c>
      <c r="C368" s="221">
        <v>240.0</v>
      </c>
      <c r="D368" s="222">
        <v>276.0</v>
      </c>
      <c r="E368" s="222">
        <v>120.0</v>
      </c>
      <c r="F368" s="222">
        <v>27.0</v>
      </c>
      <c r="G368" s="223" t="s">
        <v>164</v>
      </c>
      <c r="H368" s="221">
        <v>72.0</v>
      </c>
      <c r="I368" s="222">
        <v>72.0</v>
      </c>
      <c r="J368" s="222">
        <v>47.3</v>
      </c>
      <c r="K368" s="222">
        <v>2100.0</v>
      </c>
      <c r="L368" s="222" t="s">
        <v>44</v>
      </c>
      <c r="M368" s="223">
        <v>400.0</v>
      </c>
      <c r="N368" s="221">
        <v>2.0</v>
      </c>
      <c r="O368" s="222" t="s">
        <v>2002</v>
      </c>
      <c r="P368" s="222">
        <v>25.0</v>
      </c>
      <c r="Q368" s="222">
        <v>2000.0</v>
      </c>
      <c r="R368" s="224">
        <v>56.5</v>
      </c>
      <c r="S368" s="224">
        <v>1.99</v>
      </c>
      <c r="T368" s="225">
        <v>31.5</v>
      </c>
      <c r="U368" s="226">
        <v>52.0</v>
      </c>
      <c r="V368" s="227" t="s">
        <v>174</v>
      </c>
      <c r="W368" s="228" t="s">
        <v>166</v>
      </c>
      <c r="X368" s="222" t="s">
        <v>166</v>
      </c>
      <c r="Y368" s="223" t="s">
        <v>166</v>
      </c>
      <c r="Z368" s="221" t="s">
        <v>174</v>
      </c>
      <c r="AA368" s="222" t="s">
        <v>174</v>
      </c>
      <c r="AB368" s="222" t="s">
        <v>166</v>
      </c>
      <c r="AC368" s="222" t="s">
        <v>174</v>
      </c>
      <c r="AD368" s="222" t="s">
        <v>174</v>
      </c>
      <c r="AE368" s="222" t="s">
        <v>170</v>
      </c>
      <c r="AF368" s="222" t="s">
        <v>174</v>
      </c>
      <c r="AG368" s="222" t="s">
        <v>170</v>
      </c>
      <c r="AH368" s="222"/>
    </row>
    <row r="369">
      <c r="A369" s="174" t="s">
        <v>1611</v>
      </c>
      <c r="B369" s="257" t="s">
        <v>2386</v>
      </c>
      <c r="C369" s="221">
        <v>240.0</v>
      </c>
      <c r="D369" s="222">
        <v>276.0</v>
      </c>
      <c r="E369" s="222">
        <v>120.0</v>
      </c>
      <c r="F369" s="222">
        <v>27.0</v>
      </c>
      <c r="G369" s="223" t="s">
        <v>164</v>
      </c>
      <c r="H369" s="221">
        <v>72.0</v>
      </c>
      <c r="I369" s="222">
        <v>72.0</v>
      </c>
      <c r="J369" s="222">
        <v>47.3</v>
      </c>
      <c r="K369" s="222">
        <v>2100.0</v>
      </c>
      <c r="L369" s="222" t="s">
        <v>44</v>
      </c>
      <c r="M369" s="223">
        <v>400.0</v>
      </c>
      <c r="N369" s="221">
        <v>2.0</v>
      </c>
      <c r="O369" s="222" t="s">
        <v>2002</v>
      </c>
      <c r="P369" s="222">
        <v>25.0</v>
      </c>
      <c r="Q369" s="222">
        <v>1800.0</v>
      </c>
      <c r="R369" s="224">
        <v>74.5</v>
      </c>
      <c r="S369" s="224">
        <v>2.15</v>
      </c>
      <c r="T369" s="225">
        <v>35.2</v>
      </c>
      <c r="U369" s="226">
        <v>52.0</v>
      </c>
      <c r="V369" s="227" t="s">
        <v>174</v>
      </c>
      <c r="W369" s="228" t="s">
        <v>166</v>
      </c>
      <c r="X369" s="222" t="s">
        <v>166</v>
      </c>
      <c r="Y369" s="223" t="s">
        <v>166</v>
      </c>
      <c r="Z369" s="221" t="s">
        <v>166</v>
      </c>
      <c r="AA369" s="222" t="s">
        <v>174</v>
      </c>
      <c r="AB369" s="222" t="s">
        <v>166</v>
      </c>
      <c r="AC369" s="222" t="s">
        <v>174</v>
      </c>
      <c r="AD369" s="222" t="s">
        <v>166</v>
      </c>
      <c r="AE369" s="222" t="s">
        <v>174</v>
      </c>
      <c r="AF369" s="222" t="s">
        <v>174</v>
      </c>
      <c r="AG369" s="222" t="s">
        <v>170</v>
      </c>
      <c r="AH369" s="222"/>
    </row>
    <row r="370">
      <c r="A370" s="174" t="s">
        <v>1611</v>
      </c>
      <c r="B370" s="257" t="s">
        <v>2387</v>
      </c>
      <c r="C370" s="221">
        <v>240.0</v>
      </c>
      <c r="D370" s="222">
        <v>276.0</v>
      </c>
      <c r="E370" s="222">
        <v>120.0</v>
      </c>
      <c r="F370" s="222">
        <v>27.0</v>
      </c>
      <c r="G370" s="223" t="s">
        <v>164</v>
      </c>
      <c r="H370" s="221">
        <v>72.0</v>
      </c>
      <c r="I370" s="222">
        <v>72.0</v>
      </c>
      <c r="J370" s="222">
        <v>47.3</v>
      </c>
      <c r="K370" s="222">
        <v>2100.0</v>
      </c>
      <c r="L370" s="222" t="s">
        <v>44</v>
      </c>
      <c r="M370" s="223">
        <v>400.0</v>
      </c>
      <c r="N370" s="221">
        <v>2.0</v>
      </c>
      <c r="O370" s="222" t="s">
        <v>2002</v>
      </c>
      <c r="P370" s="222">
        <v>25.0</v>
      </c>
      <c r="Q370" s="222">
        <v>1800.0</v>
      </c>
      <c r="R370" s="224">
        <v>74.5</v>
      </c>
      <c r="S370" s="224">
        <v>2.15</v>
      </c>
      <c r="T370" s="225">
        <v>35.2</v>
      </c>
      <c r="U370" s="226">
        <v>52.0</v>
      </c>
      <c r="V370" s="227" t="s">
        <v>174</v>
      </c>
      <c r="W370" s="228" t="s">
        <v>166</v>
      </c>
      <c r="X370" s="222" t="s">
        <v>166</v>
      </c>
      <c r="Y370" s="223" t="s">
        <v>166</v>
      </c>
      <c r="Z370" s="221" t="s">
        <v>166</v>
      </c>
      <c r="AA370" s="222" t="s">
        <v>174</v>
      </c>
      <c r="AB370" s="222" t="s">
        <v>166</v>
      </c>
      <c r="AC370" s="222" t="s">
        <v>174</v>
      </c>
      <c r="AD370" s="222" t="s">
        <v>166</v>
      </c>
      <c r="AE370" s="222" t="s">
        <v>174</v>
      </c>
      <c r="AF370" s="222" t="s">
        <v>174</v>
      </c>
      <c r="AG370" s="222" t="s">
        <v>170</v>
      </c>
      <c r="AH370" s="222"/>
    </row>
    <row r="371">
      <c r="A371" s="174" t="s">
        <v>1611</v>
      </c>
      <c r="B371" s="257" t="s">
        <v>2388</v>
      </c>
      <c r="C371" s="221">
        <v>360.0</v>
      </c>
      <c r="D371" s="222">
        <v>397.0</v>
      </c>
      <c r="E371" s="222">
        <v>120.0</v>
      </c>
      <c r="F371" s="222">
        <v>27.0</v>
      </c>
      <c r="G371" s="223" t="s">
        <v>164</v>
      </c>
      <c r="H371" s="221">
        <v>72.0</v>
      </c>
      <c r="I371" s="222">
        <v>72.0</v>
      </c>
      <c r="J371" s="222">
        <v>47.3</v>
      </c>
      <c r="K371" s="222">
        <v>2100.0</v>
      </c>
      <c r="L371" s="222" t="s">
        <v>44</v>
      </c>
      <c r="M371" s="223">
        <v>465.0</v>
      </c>
      <c r="N371" s="221">
        <v>3.0</v>
      </c>
      <c r="O371" s="222" t="s">
        <v>2002</v>
      </c>
      <c r="P371" s="222">
        <v>25.0</v>
      </c>
      <c r="Q371" s="222">
        <v>1800.0</v>
      </c>
      <c r="R371" s="224">
        <v>74.5</v>
      </c>
      <c r="S371" s="224">
        <v>2.15</v>
      </c>
      <c r="T371" s="225">
        <v>35.2</v>
      </c>
      <c r="U371" s="226">
        <v>52.0</v>
      </c>
      <c r="V371" s="227" t="s">
        <v>174</v>
      </c>
      <c r="W371" s="228" t="s">
        <v>166</v>
      </c>
      <c r="X371" s="222" t="s">
        <v>166</v>
      </c>
      <c r="Y371" s="223" t="s">
        <v>166</v>
      </c>
      <c r="Z371" s="221" t="s">
        <v>166</v>
      </c>
      <c r="AA371" s="222" t="s">
        <v>174</v>
      </c>
      <c r="AB371" s="222" t="s">
        <v>166</v>
      </c>
      <c r="AC371" s="222" t="s">
        <v>174</v>
      </c>
      <c r="AD371" s="222" t="s">
        <v>174</v>
      </c>
      <c r="AE371" s="222" t="s">
        <v>170</v>
      </c>
      <c r="AF371" s="222" t="s">
        <v>174</v>
      </c>
      <c r="AG371" s="222" t="s">
        <v>170</v>
      </c>
      <c r="AH371" s="222"/>
    </row>
    <row r="372">
      <c r="A372" s="174" t="s">
        <v>1611</v>
      </c>
      <c r="B372" s="257" t="s">
        <v>2389</v>
      </c>
      <c r="C372" s="221">
        <v>360.0</v>
      </c>
      <c r="D372" s="222">
        <v>397.0</v>
      </c>
      <c r="E372" s="222">
        <v>120.0</v>
      </c>
      <c r="F372" s="222">
        <v>27.0</v>
      </c>
      <c r="G372" s="223" t="s">
        <v>164</v>
      </c>
      <c r="H372" s="221">
        <v>72.0</v>
      </c>
      <c r="I372" s="222">
        <v>72.0</v>
      </c>
      <c r="J372" s="222">
        <v>47.3</v>
      </c>
      <c r="K372" s="222">
        <v>2100.0</v>
      </c>
      <c r="L372" s="222" t="s">
        <v>44</v>
      </c>
      <c r="M372" s="223">
        <v>465.0</v>
      </c>
      <c r="N372" s="221">
        <v>3.0</v>
      </c>
      <c r="O372" s="222" t="s">
        <v>2002</v>
      </c>
      <c r="P372" s="222">
        <v>25.0</v>
      </c>
      <c r="Q372" s="222">
        <v>1800.0</v>
      </c>
      <c r="R372" s="224">
        <v>74.5</v>
      </c>
      <c r="S372" s="224">
        <v>2.15</v>
      </c>
      <c r="T372" s="225">
        <v>35.2</v>
      </c>
      <c r="U372" s="226">
        <v>52.0</v>
      </c>
      <c r="V372" s="227" t="s">
        <v>174</v>
      </c>
      <c r="W372" s="228" t="s">
        <v>166</v>
      </c>
      <c r="X372" s="222" t="s">
        <v>166</v>
      </c>
      <c r="Y372" s="223" t="s">
        <v>166</v>
      </c>
      <c r="Z372" s="221" t="s">
        <v>166</v>
      </c>
      <c r="AA372" s="222" t="s">
        <v>174</v>
      </c>
      <c r="AB372" s="222" t="s">
        <v>166</v>
      </c>
      <c r="AC372" s="222" t="s">
        <v>174</v>
      </c>
      <c r="AD372" s="222" t="s">
        <v>174</v>
      </c>
      <c r="AE372" s="222" t="s">
        <v>170</v>
      </c>
      <c r="AF372" s="222" t="s">
        <v>174</v>
      </c>
      <c r="AG372" s="222" t="s">
        <v>170</v>
      </c>
      <c r="AH372" s="222"/>
    </row>
    <row r="373">
      <c r="A373" s="174" t="s">
        <v>1611</v>
      </c>
      <c r="B373" s="257" t="s">
        <v>2390</v>
      </c>
      <c r="C373" s="221">
        <v>240.0</v>
      </c>
      <c r="D373" s="222">
        <v>274.0</v>
      </c>
      <c r="E373" s="222">
        <v>120.0</v>
      </c>
      <c r="F373" s="222">
        <v>27.0</v>
      </c>
      <c r="G373" s="223" t="s">
        <v>164</v>
      </c>
      <c r="H373" s="221">
        <v>68.0</v>
      </c>
      <c r="I373" s="222">
        <v>65.0</v>
      </c>
      <c r="J373" s="222">
        <v>36.0</v>
      </c>
      <c r="K373" s="222">
        <v>2100.0</v>
      </c>
      <c r="L373" s="222" t="s">
        <v>44</v>
      </c>
      <c r="M373" s="223">
        <v>330.0</v>
      </c>
      <c r="N373" s="221">
        <v>2.0</v>
      </c>
      <c r="O373" s="222" t="s">
        <v>2002</v>
      </c>
      <c r="P373" s="222">
        <v>25.0</v>
      </c>
      <c r="Q373" s="222">
        <v>2000.0</v>
      </c>
      <c r="R373" s="224">
        <v>55.2</v>
      </c>
      <c r="S373" s="224">
        <v>2.13</v>
      </c>
      <c r="T373" s="225">
        <v>33.5</v>
      </c>
      <c r="U373" s="226">
        <v>52.0</v>
      </c>
      <c r="V373" s="227" t="s">
        <v>166</v>
      </c>
      <c r="W373" s="228" t="s">
        <v>174</v>
      </c>
      <c r="X373" s="222" t="s">
        <v>166</v>
      </c>
      <c r="Y373" s="223" t="s">
        <v>170</v>
      </c>
      <c r="Z373" s="221" t="s">
        <v>174</v>
      </c>
      <c r="AA373" s="222" t="s">
        <v>174</v>
      </c>
      <c r="AB373" s="222" t="s">
        <v>174</v>
      </c>
      <c r="AC373" s="222" t="s">
        <v>174</v>
      </c>
      <c r="AD373" s="222" t="s">
        <v>174</v>
      </c>
      <c r="AE373" s="222" t="s">
        <v>170</v>
      </c>
      <c r="AF373" s="222" t="s">
        <v>174</v>
      </c>
      <c r="AG373" s="222" t="s">
        <v>170</v>
      </c>
      <c r="AH373" s="222"/>
    </row>
    <row r="374">
      <c r="A374" s="174" t="s">
        <v>1611</v>
      </c>
      <c r="B374" s="257" t="s">
        <v>2391</v>
      </c>
      <c r="C374" s="221">
        <v>240.0</v>
      </c>
      <c r="D374" s="222">
        <v>274.0</v>
      </c>
      <c r="E374" s="222">
        <v>120.0</v>
      </c>
      <c r="F374" s="222">
        <v>27.0</v>
      </c>
      <c r="G374" s="223" t="s">
        <v>164</v>
      </c>
      <c r="H374" s="221">
        <v>84.0</v>
      </c>
      <c r="I374" s="222">
        <v>84.0</v>
      </c>
      <c r="J374" s="222">
        <v>46.5</v>
      </c>
      <c r="K374" s="222">
        <v>2400.0</v>
      </c>
      <c r="L374" s="222" t="s">
        <v>44</v>
      </c>
      <c r="M374" s="223">
        <v>350.0</v>
      </c>
      <c r="N374" s="221">
        <v>2.0</v>
      </c>
      <c r="O374" s="222" t="s">
        <v>2002</v>
      </c>
      <c r="P374" s="222">
        <v>25.0</v>
      </c>
      <c r="Q374" s="222">
        <v>2000.0</v>
      </c>
      <c r="R374" s="224">
        <v>56.5</v>
      </c>
      <c r="S374" s="224">
        <v>1.99</v>
      </c>
      <c r="T374" s="225">
        <v>31.5</v>
      </c>
      <c r="U374" s="226">
        <v>52.0</v>
      </c>
      <c r="V374" s="227" t="s">
        <v>174</v>
      </c>
      <c r="W374" s="228" t="s">
        <v>166</v>
      </c>
      <c r="X374" s="222" t="s">
        <v>166</v>
      </c>
      <c r="Y374" s="223" t="s">
        <v>166</v>
      </c>
      <c r="Z374" s="221" t="s">
        <v>174</v>
      </c>
      <c r="AA374" s="222" t="s">
        <v>174</v>
      </c>
      <c r="AB374" s="222" t="s">
        <v>166</v>
      </c>
      <c r="AC374" s="222" t="s">
        <v>174</v>
      </c>
      <c r="AD374" s="222" t="s">
        <v>174</v>
      </c>
      <c r="AE374" s="222" t="s">
        <v>170</v>
      </c>
      <c r="AF374" s="222" t="s">
        <v>174</v>
      </c>
      <c r="AG374" s="222" t="s">
        <v>170</v>
      </c>
      <c r="AH374" s="222"/>
    </row>
    <row r="375">
      <c r="A375" s="174" t="s">
        <v>1611</v>
      </c>
      <c r="B375" s="257" t="s">
        <v>2392</v>
      </c>
      <c r="C375" s="221">
        <v>240.0</v>
      </c>
      <c r="D375" s="222">
        <v>270.0</v>
      </c>
      <c r="E375" s="222">
        <v>120.0</v>
      </c>
      <c r="F375" s="222">
        <v>27.0</v>
      </c>
      <c r="G375" s="223" t="s">
        <v>164</v>
      </c>
      <c r="H375" s="221">
        <v>72.0</v>
      </c>
      <c r="I375" s="222">
        <v>72.0</v>
      </c>
      <c r="J375" s="222">
        <v>54.0</v>
      </c>
      <c r="K375" s="222">
        <v>2100.0</v>
      </c>
      <c r="L375" s="222" t="s">
        <v>44</v>
      </c>
      <c r="M375" s="223">
        <v>400.0</v>
      </c>
      <c r="N375" s="221">
        <v>2.0</v>
      </c>
      <c r="O375" s="222" t="s">
        <v>2002</v>
      </c>
      <c r="P375" s="222">
        <v>25.0</v>
      </c>
      <c r="Q375" s="222">
        <v>1800.0</v>
      </c>
      <c r="R375" s="224">
        <v>82.5</v>
      </c>
      <c r="S375" s="224">
        <v>2.55</v>
      </c>
      <c r="T375" s="225">
        <v>35.2</v>
      </c>
      <c r="U375" s="226">
        <v>52.0</v>
      </c>
      <c r="V375" s="227" t="s">
        <v>166</v>
      </c>
      <c r="W375" s="228" t="s">
        <v>166</v>
      </c>
      <c r="X375" s="222" t="s">
        <v>166</v>
      </c>
      <c r="Y375" s="223" t="s">
        <v>166</v>
      </c>
      <c r="Z375" s="221" t="s">
        <v>166</v>
      </c>
      <c r="AA375" s="222" t="s">
        <v>174</v>
      </c>
      <c r="AB375" s="222" t="s">
        <v>166</v>
      </c>
      <c r="AC375" s="222" t="s">
        <v>174</v>
      </c>
      <c r="AD375" s="222" t="s">
        <v>166</v>
      </c>
      <c r="AE375" s="222" t="s">
        <v>174</v>
      </c>
      <c r="AF375" s="222" t="s">
        <v>174</v>
      </c>
      <c r="AG375" s="222" t="s">
        <v>170</v>
      </c>
      <c r="AH375" s="222"/>
    </row>
    <row r="376">
      <c r="A376" s="174" t="s">
        <v>1611</v>
      </c>
      <c r="B376" s="257" t="s">
        <v>2393</v>
      </c>
      <c r="C376" s="221">
        <v>360.0</v>
      </c>
      <c r="D376" s="222">
        <v>396.0</v>
      </c>
      <c r="E376" s="222">
        <v>120.0</v>
      </c>
      <c r="F376" s="222">
        <v>27.0</v>
      </c>
      <c r="G376" s="223" t="s">
        <v>164</v>
      </c>
      <c r="H376" s="221">
        <v>84.0</v>
      </c>
      <c r="I376" s="222">
        <v>84.0</v>
      </c>
      <c r="J376" s="222">
        <v>46.5</v>
      </c>
      <c r="K376" s="222">
        <v>2400.0</v>
      </c>
      <c r="L376" s="222" t="s">
        <v>44</v>
      </c>
      <c r="M376" s="223">
        <v>465.0</v>
      </c>
      <c r="N376" s="221">
        <v>3.0</v>
      </c>
      <c r="O376" s="222" t="s">
        <v>2002</v>
      </c>
      <c r="P376" s="222">
        <v>25.0</v>
      </c>
      <c r="Q376" s="222">
        <v>2000.0</v>
      </c>
      <c r="R376" s="224">
        <v>56.5</v>
      </c>
      <c r="S376" s="224">
        <v>1.99</v>
      </c>
      <c r="T376" s="225">
        <v>31.5</v>
      </c>
      <c r="U376" s="226">
        <v>52.0</v>
      </c>
      <c r="V376" s="227" t="s">
        <v>174</v>
      </c>
      <c r="W376" s="228" t="s">
        <v>166</v>
      </c>
      <c r="X376" s="222" t="s">
        <v>166</v>
      </c>
      <c r="Y376" s="223" t="s">
        <v>166</v>
      </c>
      <c r="Z376" s="221" t="s">
        <v>174</v>
      </c>
      <c r="AA376" s="222" t="s">
        <v>174</v>
      </c>
      <c r="AB376" s="222" t="s">
        <v>166</v>
      </c>
      <c r="AC376" s="222" t="s">
        <v>174</v>
      </c>
      <c r="AD376" s="222" t="s">
        <v>174</v>
      </c>
      <c r="AE376" s="222" t="s">
        <v>170</v>
      </c>
      <c r="AF376" s="222" t="s">
        <v>174</v>
      </c>
      <c r="AG376" s="222" t="s">
        <v>170</v>
      </c>
      <c r="AH376" s="222"/>
    </row>
    <row r="377">
      <c r="A377" s="174" t="s">
        <v>1611</v>
      </c>
      <c r="B377" s="257" t="s">
        <v>2394</v>
      </c>
      <c r="C377" s="221">
        <v>240.0</v>
      </c>
      <c r="D377" s="222">
        <v>276.0</v>
      </c>
      <c r="E377" s="222">
        <v>120.0</v>
      </c>
      <c r="F377" s="222">
        <v>27.0</v>
      </c>
      <c r="G377" s="223" t="s">
        <v>164</v>
      </c>
      <c r="H377" s="221">
        <v>72.0</v>
      </c>
      <c r="I377" s="222">
        <v>72.0</v>
      </c>
      <c r="J377" s="222">
        <v>58.0</v>
      </c>
      <c r="K377" s="222">
        <v>2100.0</v>
      </c>
      <c r="L377" s="222" t="s">
        <v>44</v>
      </c>
      <c r="M377" s="223">
        <v>400.0</v>
      </c>
      <c r="N377" s="221">
        <v>2.0</v>
      </c>
      <c r="O377" s="222" t="s">
        <v>2002</v>
      </c>
      <c r="P377" s="222">
        <v>25.0</v>
      </c>
      <c r="Q377" s="222">
        <v>1800.0</v>
      </c>
      <c r="R377" s="224">
        <v>76.16</v>
      </c>
      <c r="S377" s="224">
        <v>2.16</v>
      </c>
      <c r="T377" s="225">
        <v>35.2</v>
      </c>
      <c r="U377" s="226">
        <v>52.0</v>
      </c>
      <c r="V377" s="227" t="s">
        <v>170</v>
      </c>
      <c r="W377" s="228" t="s">
        <v>170</v>
      </c>
      <c r="X377" s="222" t="s">
        <v>170</v>
      </c>
      <c r="Y377" s="223" t="s">
        <v>170</v>
      </c>
      <c r="Z377" s="221" t="s">
        <v>166</v>
      </c>
      <c r="AA377" s="222" t="s">
        <v>174</v>
      </c>
      <c r="AB377" s="222" t="s">
        <v>166</v>
      </c>
      <c r="AC377" s="222" t="s">
        <v>174</v>
      </c>
      <c r="AD377" s="222" t="s">
        <v>166</v>
      </c>
      <c r="AE377" s="222" t="s">
        <v>174</v>
      </c>
      <c r="AF377" s="222" t="s">
        <v>174</v>
      </c>
      <c r="AG377" s="222" t="s">
        <v>170</v>
      </c>
      <c r="AH377" s="222"/>
    </row>
    <row r="378">
      <c r="A378" s="174" t="s">
        <v>1611</v>
      </c>
      <c r="B378" s="257" t="s">
        <v>2395</v>
      </c>
      <c r="C378" s="221">
        <v>240.0</v>
      </c>
      <c r="D378" s="222">
        <v>276.0</v>
      </c>
      <c r="E378" s="222">
        <v>120.0</v>
      </c>
      <c r="F378" s="222">
        <v>27.0</v>
      </c>
      <c r="G378" s="223" t="s">
        <v>164</v>
      </c>
      <c r="H378" s="221">
        <v>72.0</v>
      </c>
      <c r="I378" s="222">
        <v>72.0</v>
      </c>
      <c r="J378" s="222">
        <v>58.0</v>
      </c>
      <c r="K378" s="222">
        <v>2100.0</v>
      </c>
      <c r="L378" s="222" t="s">
        <v>44</v>
      </c>
      <c r="M378" s="223">
        <v>400.0</v>
      </c>
      <c r="N378" s="221">
        <v>2.0</v>
      </c>
      <c r="O378" s="222" t="s">
        <v>2002</v>
      </c>
      <c r="P378" s="222">
        <v>25.0</v>
      </c>
      <c r="Q378" s="222">
        <v>1800.0</v>
      </c>
      <c r="R378" s="224">
        <v>76.16</v>
      </c>
      <c r="S378" s="224">
        <v>2.16</v>
      </c>
      <c r="T378" s="225">
        <v>35.2</v>
      </c>
      <c r="U378" s="226">
        <v>52.0</v>
      </c>
      <c r="V378" s="227" t="s">
        <v>170</v>
      </c>
      <c r="W378" s="228" t="s">
        <v>170</v>
      </c>
      <c r="X378" s="222" t="s">
        <v>170</v>
      </c>
      <c r="Y378" s="223" t="s">
        <v>170</v>
      </c>
      <c r="Z378" s="221" t="s">
        <v>166</v>
      </c>
      <c r="AA378" s="222" t="s">
        <v>174</v>
      </c>
      <c r="AB378" s="222" t="s">
        <v>166</v>
      </c>
      <c r="AC378" s="222" t="s">
        <v>174</v>
      </c>
      <c r="AD378" s="222" t="s">
        <v>166</v>
      </c>
      <c r="AE378" s="222" t="s">
        <v>174</v>
      </c>
      <c r="AF378" s="222" t="s">
        <v>174</v>
      </c>
      <c r="AG378" s="222" t="s">
        <v>170</v>
      </c>
      <c r="AH378" s="222"/>
    </row>
    <row r="379">
      <c r="A379" s="174" t="s">
        <v>1611</v>
      </c>
      <c r="B379" s="257" t="s">
        <v>2396</v>
      </c>
      <c r="C379" s="221">
        <v>120.0</v>
      </c>
      <c r="D379" s="222">
        <v>154.0</v>
      </c>
      <c r="E379" s="222">
        <v>120.0</v>
      </c>
      <c r="F379" s="222">
        <v>27.0</v>
      </c>
      <c r="G379" s="223" t="s">
        <v>164</v>
      </c>
      <c r="H379" s="221">
        <v>72.0</v>
      </c>
      <c r="I379" s="222">
        <v>72.0</v>
      </c>
      <c r="J379" s="222">
        <v>47.3</v>
      </c>
      <c r="K379" s="222">
        <v>2100.0</v>
      </c>
      <c r="L379" s="222" t="s">
        <v>44</v>
      </c>
      <c r="M379" s="223">
        <v>330.0</v>
      </c>
      <c r="N379" s="221">
        <v>1.0</v>
      </c>
      <c r="O379" s="222" t="s">
        <v>2002</v>
      </c>
      <c r="P379" s="222">
        <v>25.0</v>
      </c>
      <c r="Q379" s="222">
        <v>1800.0</v>
      </c>
      <c r="R379" s="224">
        <v>74.5</v>
      </c>
      <c r="S379" s="224">
        <v>2.15</v>
      </c>
      <c r="T379" s="225">
        <v>35.2</v>
      </c>
      <c r="U379" s="226">
        <v>52.0</v>
      </c>
      <c r="V379" s="227" t="s">
        <v>170</v>
      </c>
      <c r="W379" s="228" t="s">
        <v>170</v>
      </c>
      <c r="X379" s="222" t="s">
        <v>170</v>
      </c>
      <c r="Y379" s="223" t="s">
        <v>170</v>
      </c>
      <c r="Z379" s="221" t="s">
        <v>174</v>
      </c>
      <c r="AA379" s="222" t="s">
        <v>174</v>
      </c>
      <c r="AB379" s="222" t="s">
        <v>166</v>
      </c>
      <c r="AC379" s="222" t="s">
        <v>174</v>
      </c>
      <c r="AD379" s="222" t="s">
        <v>174</v>
      </c>
      <c r="AE379" s="222" t="s">
        <v>170</v>
      </c>
      <c r="AF379" s="222" t="s">
        <v>174</v>
      </c>
      <c r="AG379" s="222" t="s">
        <v>170</v>
      </c>
      <c r="AH379" s="222"/>
    </row>
    <row r="380">
      <c r="A380" s="174" t="s">
        <v>1611</v>
      </c>
      <c r="B380" s="257" t="s">
        <v>2397</v>
      </c>
      <c r="C380" s="221">
        <v>120.0</v>
      </c>
      <c r="D380" s="222">
        <v>154.0</v>
      </c>
      <c r="E380" s="222">
        <v>120.0</v>
      </c>
      <c r="F380" s="222">
        <v>27.0</v>
      </c>
      <c r="G380" s="223" t="s">
        <v>164</v>
      </c>
      <c r="H380" s="221">
        <v>72.0</v>
      </c>
      <c r="I380" s="222">
        <v>72.0</v>
      </c>
      <c r="J380" s="222">
        <v>47.3</v>
      </c>
      <c r="K380" s="222">
        <v>2100.0</v>
      </c>
      <c r="L380" s="222" t="s">
        <v>44</v>
      </c>
      <c r="M380" s="223">
        <v>330.0</v>
      </c>
      <c r="N380" s="221">
        <v>1.0</v>
      </c>
      <c r="O380" s="222" t="s">
        <v>2002</v>
      </c>
      <c r="P380" s="222">
        <v>25.0</v>
      </c>
      <c r="Q380" s="222">
        <v>1800.0</v>
      </c>
      <c r="R380" s="224">
        <v>74.5</v>
      </c>
      <c r="S380" s="224">
        <v>2.15</v>
      </c>
      <c r="T380" s="225">
        <v>35.2</v>
      </c>
      <c r="U380" s="226">
        <v>52.0</v>
      </c>
      <c r="V380" s="227" t="s">
        <v>170</v>
      </c>
      <c r="W380" s="228" t="s">
        <v>170</v>
      </c>
      <c r="X380" s="222" t="s">
        <v>170</v>
      </c>
      <c r="Y380" s="223" t="s">
        <v>170</v>
      </c>
      <c r="Z380" s="221" t="s">
        <v>174</v>
      </c>
      <c r="AA380" s="222" t="s">
        <v>174</v>
      </c>
      <c r="AB380" s="222" t="s">
        <v>166</v>
      </c>
      <c r="AC380" s="222" t="s">
        <v>174</v>
      </c>
      <c r="AD380" s="222" t="s">
        <v>174</v>
      </c>
      <c r="AE380" s="222" t="s">
        <v>170</v>
      </c>
      <c r="AF380" s="222" t="s">
        <v>174</v>
      </c>
      <c r="AG380" s="222" t="s">
        <v>170</v>
      </c>
      <c r="AH380" s="222"/>
    </row>
    <row r="381">
      <c r="A381" s="174" t="s">
        <v>1611</v>
      </c>
      <c r="B381" s="257" t="s">
        <v>2398</v>
      </c>
      <c r="C381" s="221">
        <v>240.0</v>
      </c>
      <c r="D381" s="222">
        <v>276.0</v>
      </c>
      <c r="E381" s="222">
        <v>120.0</v>
      </c>
      <c r="F381" s="222">
        <v>27.0</v>
      </c>
      <c r="G381" s="223" t="s">
        <v>164</v>
      </c>
      <c r="H381" s="221">
        <v>72.0</v>
      </c>
      <c r="I381" s="222">
        <v>72.0</v>
      </c>
      <c r="J381" s="222">
        <v>47.3</v>
      </c>
      <c r="K381" s="222">
        <v>2100.0</v>
      </c>
      <c r="L381" s="222" t="s">
        <v>44</v>
      </c>
      <c r="M381" s="223">
        <v>400.0</v>
      </c>
      <c r="N381" s="221">
        <v>2.0</v>
      </c>
      <c r="O381" s="222" t="s">
        <v>2002</v>
      </c>
      <c r="P381" s="222">
        <v>25.0</v>
      </c>
      <c r="Q381" s="222">
        <v>1800.0</v>
      </c>
      <c r="R381" s="224">
        <v>74.5</v>
      </c>
      <c r="S381" s="224">
        <v>2.15</v>
      </c>
      <c r="T381" s="225">
        <v>35.2</v>
      </c>
      <c r="U381" s="226">
        <v>52.0</v>
      </c>
      <c r="V381" s="227" t="s">
        <v>170</v>
      </c>
      <c r="W381" s="228" t="s">
        <v>170</v>
      </c>
      <c r="X381" s="222" t="s">
        <v>170</v>
      </c>
      <c r="Y381" s="223" t="s">
        <v>170</v>
      </c>
      <c r="Z381" s="221" t="s">
        <v>174</v>
      </c>
      <c r="AA381" s="222" t="s">
        <v>174</v>
      </c>
      <c r="AB381" s="222" t="s">
        <v>166</v>
      </c>
      <c r="AC381" s="222" t="s">
        <v>174</v>
      </c>
      <c r="AD381" s="222" t="s">
        <v>174</v>
      </c>
      <c r="AE381" s="222" t="s">
        <v>174</v>
      </c>
      <c r="AF381" s="222" t="s">
        <v>174</v>
      </c>
      <c r="AG381" s="222" t="s">
        <v>170</v>
      </c>
      <c r="AH381" s="222"/>
    </row>
    <row r="382">
      <c r="A382" s="174" t="s">
        <v>1611</v>
      </c>
      <c r="B382" s="257" t="s">
        <v>2399</v>
      </c>
      <c r="C382" s="221">
        <v>240.0</v>
      </c>
      <c r="D382" s="222">
        <v>276.0</v>
      </c>
      <c r="E382" s="222">
        <v>120.0</v>
      </c>
      <c r="F382" s="222">
        <v>27.0</v>
      </c>
      <c r="G382" s="223" t="s">
        <v>164</v>
      </c>
      <c r="H382" s="221">
        <v>72.0</v>
      </c>
      <c r="I382" s="222">
        <v>72.0</v>
      </c>
      <c r="J382" s="222">
        <v>47.3</v>
      </c>
      <c r="K382" s="222">
        <v>2100.0</v>
      </c>
      <c r="L382" s="222" t="s">
        <v>44</v>
      </c>
      <c r="M382" s="223">
        <v>400.0</v>
      </c>
      <c r="N382" s="221">
        <v>2.0</v>
      </c>
      <c r="O382" s="222" t="s">
        <v>2002</v>
      </c>
      <c r="P382" s="222">
        <v>25.0</v>
      </c>
      <c r="Q382" s="222">
        <v>1800.0</v>
      </c>
      <c r="R382" s="224">
        <v>74.5</v>
      </c>
      <c r="S382" s="224">
        <v>2.15</v>
      </c>
      <c r="T382" s="225">
        <v>35.2</v>
      </c>
      <c r="U382" s="226">
        <v>52.0</v>
      </c>
      <c r="V382" s="227" t="s">
        <v>170</v>
      </c>
      <c r="W382" s="228" t="s">
        <v>170</v>
      </c>
      <c r="X382" s="222" t="s">
        <v>170</v>
      </c>
      <c r="Y382" s="223" t="s">
        <v>170</v>
      </c>
      <c r="Z382" s="221" t="s">
        <v>174</v>
      </c>
      <c r="AA382" s="222" t="s">
        <v>174</v>
      </c>
      <c r="AB382" s="222" t="s">
        <v>166</v>
      </c>
      <c r="AC382" s="222" t="s">
        <v>174</v>
      </c>
      <c r="AD382" s="222" t="s">
        <v>174</v>
      </c>
      <c r="AE382" s="222" t="s">
        <v>170</v>
      </c>
      <c r="AF382" s="222" t="s">
        <v>174</v>
      </c>
      <c r="AG382" s="222" t="s">
        <v>170</v>
      </c>
      <c r="AH382" s="222"/>
    </row>
    <row r="383">
      <c r="A383" s="174" t="s">
        <v>1611</v>
      </c>
      <c r="B383" s="257" t="s">
        <v>2400</v>
      </c>
      <c r="C383" s="221">
        <v>280.0</v>
      </c>
      <c r="D383" s="222">
        <v>311.0</v>
      </c>
      <c r="E383" s="222">
        <v>140.0</v>
      </c>
      <c r="F383" s="222">
        <v>27.0</v>
      </c>
      <c r="G383" s="223" t="s">
        <v>164</v>
      </c>
      <c r="H383" s="221">
        <v>70.0</v>
      </c>
      <c r="I383" s="222">
        <v>70.0</v>
      </c>
      <c r="J383" s="222">
        <v>50.0</v>
      </c>
      <c r="K383" s="222">
        <v>2100.0</v>
      </c>
      <c r="L383" s="222" t="s">
        <v>44</v>
      </c>
      <c r="M383" s="223">
        <v>400.0</v>
      </c>
      <c r="N383" s="221">
        <v>2.0</v>
      </c>
      <c r="O383" s="222" t="s">
        <v>2018</v>
      </c>
      <c r="P383" s="222">
        <v>25.0</v>
      </c>
      <c r="Q383" s="222">
        <v>1600.0</v>
      </c>
      <c r="R383" s="224">
        <v>76.8</v>
      </c>
      <c r="S383" s="224">
        <v>2.14</v>
      </c>
      <c r="T383" s="225">
        <v>32.6</v>
      </c>
      <c r="U383" s="226">
        <v>52.0</v>
      </c>
      <c r="V383" s="227" t="s">
        <v>166</v>
      </c>
      <c r="W383" s="228" t="s">
        <v>166</v>
      </c>
      <c r="X383" s="222" t="s">
        <v>166</v>
      </c>
      <c r="Y383" s="223" t="s">
        <v>170</v>
      </c>
      <c r="Z383" s="221" t="s">
        <v>166</v>
      </c>
      <c r="AA383" s="222" t="s">
        <v>174</v>
      </c>
      <c r="AB383" s="222" t="s">
        <v>166</v>
      </c>
      <c r="AC383" s="222" t="s">
        <v>174</v>
      </c>
      <c r="AD383" s="222" t="s">
        <v>166</v>
      </c>
      <c r="AE383" s="222" t="s">
        <v>174</v>
      </c>
      <c r="AF383" s="222" t="s">
        <v>174</v>
      </c>
      <c r="AG383" s="222" t="s">
        <v>170</v>
      </c>
      <c r="AH383" s="222"/>
    </row>
    <row r="384">
      <c r="A384" s="174" t="s">
        <v>1611</v>
      </c>
      <c r="B384" s="257" t="s">
        <v>2401</v>
      </c>
      <c r="C384" s="221">
        <v>360.0</v>
      </c>
      <c r="D384" s="222">
        <v>394.0</v>
      </c>
      <c r="E384" s="222">
        <v>120.0</v>
      </c>
      <c r="F384" s="222">
        <v>27.0</v>
      </c>
      <c r="G384" s="223" t="s">
        <v>164</v>
      </c>
      <c r="H384" s="221">
        <v>72.0</v>
      </c>
      <c r="I384" s="222">
        <v>72.0</v>
      </c>
      <c r="J384" s="222">
        <v>47.3</v>
      </c>
      <c r="K384" s="222">
        <v>2100.0</v>
      </c>
      <c r="L384" s="222" t="s">
        <v>44</v>
      </c>
      <c r="M384" s="223">
        <v>465.0</v>
      </c>
      <c r="N384" s="221">
        <v>3.0</v>
      </c>
      <c r="O384" s="222" t="s">
        <v>2002</v>
      </c>
      <c r="P384" s="222">
        <v>25.0</v>
      </c>
      <c r="Q384" s="222">
        <v>1800.0</v>
      </c>
      <c r="R384" s="224">
        <v>74.5</v>
      </c>
      <c r="S384" s="224">
        <v>2.15</v>
      </c>
      <c r="T384" s="225">
        <v>35.2</v>
      </c>
      <c r="U384" s="226">
        <v>52.0</v>
      </c>
      <c r="V384" s="227" t="s">
        <v>166</v>
      </c>
      <c r="W384" s="228" t="s">
        <v>166</v>
      </c>
      <c r="X384" s="222" t="s">
        <v>166</v>
      </c>
      <c r="Y384" s="223" t="s">
        <v>170</v>
      </c>
      <c r="Z384" s="221" t="s">
        <v>166</v>
      </c>
      <c r="AA384" s="222" t="s">
        <v>174</v>
      </c>
      <c r="AB384" s="222" t="s">
        <v>166</v>
      </c>
      <c r="AC384" s="222" t="s">
        <v>174</v>
      </c>
      <c r="AD384" s="222" t="s">
        <v>174</v>
      </c>
      <c r="AE384" s="222" t="s">
        <v>170</v>
      </c>
      <c r="AF384" s="222" t="s">
        <v>174</v>
      </c>
      <c r="AG384" s="222" t="s">
        <v>170</v>
      </c>
      <c r="AH384" s="222"/>
    </row>
    <row r="385">
      <c r="A385" s="174" t="s">
        <v>1611</v>
      </c>
      <c r="B385" s="257" t="s">
        <v>2402</v>
      </c>
      <c r="C385" s="221">
        <v>240.0</v>
      </c>
      <c r="D385" s="222">
        <v>285.0</v>
      </c>
      <c r="E385" s="222">
        <v>120.0</v>
      </c>
      <c r="F385" s="222">
        <v>30.0</v>
      </c>
      <c r="G385" s="223" t="s">
        <v>164</v>
      </c>
      <c r="H385" s="221">
        <v>72.0</v>
      </c>
      <c r="I385" s="222">
        <v>72.0</v>
      </c>
      <c r="J385" s="222">
        <v>46.7</v>
      </c>
      <c r="K385" s="222">
        <v>6500.0</v>
      </c>
      <c r="L385" s="222" t="s">
        <v>2010</v>
      </c>
      <c r="M385" s="223">
        <v>400.0</v>
      </c>
      <c r="N385" s="221">
        <v>2.0</v>
      </c>
      <c r="O385" s="222" t="s">
        <v>2403</v>
      </c>
      <c r="P385" s="222">
        <v>27.0</v>
      </c>
      <c r="Q385" s="222">
        <v>2000.0</v>
      </c>
      <c r="R385" s="224">
        <v>56.5</v>
      </c>
      <c r="S385" s="224">
        <v>1.99</v>
      </c>
      <c r="T385" s="225">
        <v>31.5</v>
      </c>
      <c r="U385" s="226">
        <v>57.0</v>
      </c>
      <c r="V385" s="227" t="s">
        <v>166</v>
      </c>
      <c r="W385" s="228" t="s">
        <v>174</v>
      </c>
      <c r="X385" s="222" t="s">
        <v>166</v>
      </c>
      <c r="Y385" s="223" t="s">
        <v>166</v>
      </c>
      <c r="Z385" s="221" t="s">
        <v>166</v>
      </c>
      <c r="AA385" s="222" t="s">
        <v>174</v>
      </c>
      <c r="AB385" s="222" t="s">
        <v>166</v>
      </c>
      <c r="AC385" s="222" t="s">
        <v>174</v>
      </c>
      <c r="AD385" s="222" t="s">
        <v>166</v>
      </c>
      <c r="AE385" s="222" t="s">
        <v>170</v>
      </c>
      <c r="AF385" s="222" t="s">
        <v>174</v>
      </c>
      <c r="AG385" s="222" t="s">
        <v>170</v>
      </c>
      <c r="AH385" s="222"/>
    </row>
    <row r="386">
      <c r="A386" s="174" t="s">
        <v>1611</v>
      </c>
      <c r="B386" s="257" t="s">
        <v>2404</v>
      </c>
      <c r="C386" s="221">
        <v>240.0</v>
      </c>
      <c r="D386" s="222">
        <v>285.0</v>
      </c>
      <c r="E386" s="222">
        <v>120.0</v>
      </c>
      <c r="F386" s="222">
        <v>30.0</v>
      </c>
      <c r="G386" s="223" t="s">
        <v>164</v>
      </c>
      <c r="H386" s="221">
        <v>72.0</v>
      </c>
      <c r="I386" s="222">
        <v>72.0</v>
      </c>
      <c r="J386" s="222">
        <v>46.7</v>
      </c>
      <c r="K386" s="222">
        <v>6500.0</v>
      </c>
      <c r="L386" s="222" t="s">
        <v>2010</v>
      </c>
      <c r="M386" s="223">
        <v>400.0</v>
      </c>
      <c r="N386" s="221">
        <v>2.0</v>
      </c>
      <c r="O386" s="222" t="s">
        <v>2403</v>
      </c>
      <c r="P386" s="222">
        <v>27.0</v>
      </c>
      <c r="Q386" s="222">
        <v>2000.0</v>
      </c>
      <c r="R386" s="224">
        <v>56.5</v>
      </c>
      <c r="S386" s="224">
        <v>1.99</v>
      </c>
      <c r="T386" s="225">
        <v>31.5</v>
      </c>
      <c r="U386" s="226">
        <v>57.0</v>
      </c>
      <c r="V386" s="227" t="s">
        <v>166</v>
      </c>
      <c r="W386" s="228" t="s">
        <v>174</v>
      </c>
      <c r="X386" s="222" t="s">
        <v>166</v>
      </c>
      <c r="Y386" s="223" t="s">
        <v>166</v>
      </c>
      <c r="Z386" s="221" t="s">
        <v>166</v>
      </c>
      <c r="AA386" s="222" t="s">
        <v>174</v>
      </c>
      <c r="AB386" s="222" t="s">
        <v>166</v>
      </c>
      <c r="AC386" s="222" t="s">
        <v>174</v>
      </c>
      <c r="AD386" s="222" t="s">
        <v>166</v>
      </c>
      <c r="AE386" s="222" t="s">
        <v>170</v>
      </c>
      <c r="AF386" s="222" t="s">
        <v>174</v>
      </c>
      <c r="AG386" s="222" t="s">
        <v>170</v>
      </c>
      <c r="AH386" s="222"/>
    </row>
    <row r="387">
      <c r="A387" s="174" t="s">
        <v>1611</v>
      </c>
      <c r="B387" s="257" t="s">
        <v>2405</v>
      </c>
      <c r="C387" s="221">
        <v>120.0</v>
      </c>
      <c r="D387" s="222">
        <v>154.0</v>
      </c>
      <c r="E387" s="222">
        <v>120.0</v>
      </c>
      <c r="F387" s="222">
        <v>27.0</v>
      </c>
      <c r="G387" s="223" t="s">
        <v>164</v>
      </c>
      <c r="H387" s="221">
        <v>68.0</v>
      </c>
      <c r="I387" s="222">
        <v>68.0</v>
      </c>
      <c r="J387" s="222">
        <v>35.6</v>
      </c>
      <c r="K387" s="222">
        <v>2100.0</v>
      </c>
      <c r="L387" s="222" t="s">
        <v>44</v>
      </c>
      <c r="M387" s="223">
        <v>315.0</v>
      </c>
      <c r="N387" s="221">
        <v>1.0</v>
      </c>
      <c r="O387" s="222" t="s">
        <v>2002</v>
      </c>
      <c r="P387" s="222">
        <v>25.0</v>
      </c>
      <c r="Q387" s="222">
        <v>1500.0</v>
      </c>
      <c r="R387" s="224">
        <v>62.0</v>
      </c>
      <c r="S387" s="224">
        <v>1.78</v>
      </c>
      <c r="T387" s="225">
        <v>26.4</v>
      </c>
      <c r="U387" s="226">
        <v>52.0</v>
      </c>
      <c r="V387" s="227" t="s">
        <v>170</v>
      </c>
      <c r="W387" s="228" t="s">
        <v>170</v>
      </c>
      <c r="X387" s="222" t="s">
        <v>170</v>
      </c>
      <c r="Y387" s="223" t="s">
        <v>170</v>
      </c>
      <c r="Z387" s="221" t="s">
        <v>174</v>
      </c>
      <c r="AA387" s="222" t="s">
        <v>174</v>
      </c>
      <c r="AB387" s="222" t="s">
        <v>166</v>
      </c>
      <c r="AC387" s="222" t="s">
        <v>174</v>
      </c>
      <c r="AD387" s="222" t="s">
        <v>174</v>
      </c>
      <c r="AE387" s="222" t="s">
        <v>170</v>
      </c>
      <c r="AF387" s="222" t="s">
        <v>174</v>
      </c>
      <c r="AG387" s="222" t="s">
        <v>170</v>
      </c>
      <c r="AH387" s="222"/>
    </row>
    <row r="388">
      <c r="A388" s="174" t="s">
        <v>1611</v>
      </c>
      <c r="B388" s="257" t="s">
        <v>2406</v>
      </c>
      <c r="C388" s="221">
        <v>240.0</v>
      </c>
      <c r="D388" s="222">
        <v>274.0</v>
      </c>
      <c r="E388" s="222">
        <v>120.0</v>
      </c>
      <c r="F388" s="222">
        <v>27.0</v>
      </c>
      <c r="G388" s="223" t="s">
        <v>164</v>
      </c>
      <c r="H388" s="221">
        <v>72.0</v>
      </c>
      <c r="I388" s="222">
        <v>72.0</v>
      </c>
      <c r="J388" s="222">
        <v>52.0</v>
      </c>
      <c r="K388" s="222">
        <v>2100.0</v>
      </c>
      <c r="L388" s="222" t="s">
        <v>44</v>
      </c>
      <c r="M388" s="223">
        <v>400.0</v>
      </c>
      <c r="N388" s="221">
        <v>2.0</v>
      </c>
      <c r="O388" s="222" t="s">
        <v>2002</v>
      </c>
      <c r="P388" s="222">
        <v>25.0</v>
      </c>
      <c r="Q388" s="222">
        <v>2000.0</v>
      </c>
      <c r="R388" s="224">
        <v>55.2</v>
      </c>
      <c r="S388" s="224">
        <v>2.13</v>
      </c>
      <c r="T388" s="225">
        <v>33.5</v>
      </c>
      <c r="U388" s="226">
        <v>52.0</v>
      </c>
      <c r="V388" s="227" t="s">
        <v>166</v>
      </c>
      <c r="W388" s="228" t="s">
        <v>174</v>
      </c>
      <c r="X388" s="222" t="s">
        <v>166</v>
      </c>
      <c r="Y388" s="223" t="s">
        <v>166</v>
      </c>
      <c r="Z388" s="221" t="s">
        <v>174</v>
      </c>
      <c r="AA388" s="222" t="s">
        <v>174</v>
      </c>
      <c r="AB388" s="222" t="s">
        <v>166</v>
      </c>
      <c r="AC388" s="222" t="s">
        <v>174</v>
      </c>
      <c r="AD388" s="222" t="s">
        <v>174</v>
      </c>
      <c r="AE388" s="222" t="s">
        <v>170</v>
      </c>
      <c r="AF388" s="222" t="s">
        <v>174</v>
      </c>
      <c r="AG388" s="222" t="s">
        <v>170</v>
      </c>
      <c r="AH388" s="222"/>
    </row>
    <row r="389">
      <c r="A389" s="174" t="s">
        <v>1611</v>
      </c>
      <c r="B389" s="257" t="s">
        <v>2407</v>
      </c>
      <c r="C389" s="221">
        <v>240.0</v>
      </c>
      <c r="D389" s="222">
        <v>274.0</v>
      </c>
      <c r="E389" s="222">
        <v>120.0</v>
      </c>
      <c r="F389" s="222">
        <v>27.0</v>
      </c>
      <c r="G389" s="223" t="s">
        <v>164</v>
      </c>
      <c r="H389" s="221">
        <v>72.0</v>
      </c>
      <c r="I389" s="222">
        <v>72.0</v>
      </c>
      <c r="J389" s="222">
        <v>62.0</v>
      </c>
      <c r="K389" s="222">
        <v>2100.0</v>
      </c>
      <c r="L389" s="222" t="s">
        <v>44</v>
      </c>
      <c r="M389" s="223">
        <v>400.0</v>
      </c>
      <c r="N389" s="221">
        <v>2.0</v>
      </c>
      <c r="O389" s="222" t="s">
        <v>2002</v>
      </c>
      <c r="P389" s="222">
        <v>25.0</v>
      </c>
      <c r="Q389" s="222">
        <v>2000.0</v>
      </c>
      <c r="R389" s="224">
        <v>55.2</v>
      </c>
      <c r="S389" s="224">
        <v>2.13</v>
      </c>
      <c r="T389" s="225">
        <v>33.5</v>
      </c>
      <c r="U389" s="226">
        <v>52.0</v>
      </c>
      <c r="V389" s="227" t="s">
        <v>166</v>
      </c>
      <c r="W389" s="228" t="s">
        <v>174</v>
      </c>
      <c r="X389" s="222" t="s">
        <v>166</v>
      </c>
      <c r="Y389" s="223" t="s">
        <v>166</v>
      </c>
      <c r="Z389" s="221" t="s">
        <v>166</v>
      </c>
      <c r="AA389" s="222" t="s">
        <v>174</v>
      </c>
      <c r="AB389" s="222" t="s">
        <v>166</v>
      </c>
      <c r="AC389" s="222" t="s">
        <v>174</v>
      </c>
      <c r="AD389" s="222" t="s">
        <v>166</v>
      </c>
      <c r="AE389" s="222" t="s">
        <v>170</v>
      </c>
      <c r="AF389" s="222" t="s">
        <v>174</v>
      </c>
      <c r="AG389" s="222" t="s">
        <v>170</v>
      </c>
      <c r="AH389" s="222"/>
    </row>
    <row r="390">
      <c r="A390" s="174" t="s">
        <v>1611</v>
      </c>
      <c r="B390" s="257" t="s">
        <v>2408</v>
      </c>
      <c r="C390" s="221">
        <v>240.0</v>
      </c>
      <c r="D390" s="222">
        <v>274.0</v>
      </c>
      <c r="E390" s="222">
        <v>120.0</v>
      </c>
      <c r="F390" s="222">
        <v>27.0</v>
      </c>
      <c r="G390" s="223" t="s">
        <v>164</v>
      </c>
      <c r="H390" s="221">
        <v>72.0</v>
      </c>
      <c r="I390" s="222">
        <v>72.0</v>
      </c>
      <c r="J390" s="222">
        <v>62.0</v>
      </c>
      <c r="K390" s="222">
        <v>2100.0</v>
      </c>
      <c r="L390" s="222" t="s">
        <v>44</v>
      </c>
      <c r="M390" s="223">
        <v>400.0</v>
      </c>
      <c r="N390" s="221">
        <v>2.0</v>
      </c>
      <c r="O390" s="222" t="s">
        <v>2002</v>
      </c>
      <c r="P390" s="222">
        <v>25.0</v>
      </c>
      <c r="Q390" s="222">
        <v>2000.0</v>
      </c>
      <c r="R390" s="224">
        <v>55.2</v>
      </c>
      <c r="S390" s="224">
        <v>2.13</v>
      </c>
      <c r="T390" s="225">
        <v>33.5</v>
      </c>
      <c r="U390" s="226">
        <v>52.0</v>
      </c>
      <c r="V390" s="227" t="s">
        <v>166</v>
      </c>
      <c r="W390" s="228" t="s">
        <v>174</v>
      </c>
      <c r="X390" s="222" t="s">
        <v>166</v>
      </c>
      <c r="Y390" s="223" t="s">
        <v>166</v>
      </c>
      <c r="Z390" s="221" t="s">
        <v>166</v>
      </c>
      <c r="AA390" s="222" t="s">
        <v>174</v>
      </c>
      <c r="AB390" s="222" t="s">
        <v>166</v>
      </c>
      <c r="AC390" s="222" t="s">
        <v>174</v>
      </c>
      <c r="AD390" s="222" t="s">
        <v>166</v>
      </c>
      <c r="AE390" s="222" t="s">
        <v>170</v>
      </c>
      <c r="AF390" s="222" t="s">
        <v>174</v>
      </c>
      <c r="AG390" s="222" t="s">
        <v>170</v>
      </c>
      <c r="AH390" s="222"/>
    </row>
    <row r="391">
      <c r="A391" s="174" t="s">
        <v>1611</v>
      </c>
      <c r="B391" s="257" t="s">
        <v>2409</v>
      </c>
      <c r="C391" s="221">
        <v>240.0</v>
      </c>
      <c r="D391" s="222">
        <v>274.0</v>
      </c>
      <c r="E391" s="222">
        <v>120.0</v>
      </c>
      <c r="F391" s="222">
        <v>27.0</v>
      </c>
      <c r="G391" s="223" t="s">
        <v>164</v>
      </c>
      <c r="H391" s="221">
        <v>72.0</v>
      </c>
      <c r="I391" s="222">
        <v>72.0</v>
      </c>
      <c r="J391" s="222">
        <v>52.0</v>
      </c>
      <c r="K391" s="222">
        <v>2100.0</v>
      </c>
      <c r="L391" s="222" t="s">
        <v>44</v>
      </c>
      <c r="M391" s="223">
        <v>400.0</v>
      </c>
      <c r="N391" s="221">
        <v>2.0</v>
      </c>
      <c r="O391" s="222" t="s">
        <v>2002</v>
      </c>
      <c r="P391" s="222">
        <v>25.0</v>
      </c>
      <c r="Q391" s="222">
        <v>2000.0</v>
      </c>
      <c r="R391" s="224">
        <v>55.2</v>
      </c>
      <c r="S391" s="224">
        <v>2.13</v>
      </c>
      <c r="T391" s="225">
        <v>33.5</v>
      </c>
      <c r="U391" s="226">
        <v>52.0</v>
      </c>
      <c r="V391" s="227" t="s">
        <v>166</v>
      </c>
      <c r="W391" s="228" t="s">
        <v>174</v>
      </c>
      <c r="X391" s="222" t="s">
        <v>166</v>
      </c>
      <c r="Y391" s="223" t="s">
        <v>166</v>
      </c>
      <c r="Z391" s="221" t="s">
        <v>166</v>
      </c>
      <c r="AA391" s="222" t="s">
        <v>174</v>
      </c>
      <c r="AB391" s="222" t="s">
        <v>166</v>
      </c>
      <c r="AC391" s="222" t="s">
        <v>174</v>
      </c>
      <c r="AD391" s="222" t="s">
        <v>166</v>
      </c>
      <c r="AE391" s="222" t="s">
        <v>174</v>
      </c>
      <c r="AF391" s="222" t="s">
        <v>174</v>
      </c>
      <c r="AG391" s="222" t="s">
        <v>170</v>
      </c>
      <c r="AH391" s="222"/>
    </row>
    <row r="392">
      <c r="A392" s="174" t="s">
        <v>1611</v>
      </c>
      <c r="B392" s="257" t="s">
        <v>2410</v>
      </c>
      <c r="C392" s="221">
        <v>360.0</v>
      </c>
      <c r="D392" s="222">
        <v>394.0</v>
      </c>
      <c r="E392" s="222">
        <v>120.0</v>
      </c>
      <c r="F392" s="222">
        <v>27.0</v>
      </c>
      <c r="G392" s="223" t="s">
        <v>164</v>
      </c>
      <c r="H392" s="221">
        <v>72.0</v>
      </c>
      <c r="I392" s="222">
        <v>72.0</v>
      </c>
      <c r="J392" s="222">
        <v>52.0</v>
      </c>
      <c r="K392" s="222">
        <v>2100.0</v>
      </c>
      <c r="L392" s="222" t="s">
        <v>44</v>
      </c>
      <c r="M392" s="223">
        <v>465.0</v>
      </c>
      <c r="N392" s="221">
        <v>3.0</v>
      </c>
      <c r="O392" s="222" t="s">
        <v>2002</v>
      </c>
      <c r="P392" s="222">
        <v>25.0</v>
      </c>
      <c r="Q392" s="222">
        <v>2000.0</v>
      </c>
      <c r="R392" s="224">
        <v>55.2</v>
      </c>
      <c r="S392" s="224">
        <v>2.13</v>
      </c>
      <c r="T392" s="225">
        <v>33.5</v>
      </c>
      <c r="U392" s="226">
        <v>52.0</v>
      </c>
      <c r="V392" s="227" t="s">
        <v>166</v>
      </c>
      <c r="W392" s="228" t="s">
        <v>174</v>
      </c>
      <c r="X392" s="222" t="s">
        <v>166</v>
      </c>
      <c r="Y392" s="223" t="s">
        <v>166</v>
      </c>
      <c r="Z392" s="221" t="s">
        <v>166</v>
      </c>
      <c r="AA392" s="222" t="s">
        <v>174</v>
      </c>
      <c r="AB392" s="222" t="s">
        <v>166</v>
      </c>
      <c r="AC392" s="222" t="s">
        <v>174</v>
      </c>
      <c r="AD392" s="222" t="s">
        <v>166</v>
      </c>
      <c r="AE392" s="222" t="s">
        <v>174</v>
      </c>
      <c r="AF392" s="222" t="s">
        <v>174</v>
      </c>
      <c r="AG392" s="222" t="s">
        <v>170</v>
      </c>
      <c r="AH392" s="222"/>
    </row>
    <row r="393">
      <c r="A393" s="174" t="s">
        <v>1611</v>
      </c>
      <c r="B393" s="257" t="s">
        <v>2411</v>
      </c>
      <c r="C393" s="221">
        <v>240.0</v>
      </c>
      <c r="D393" s="222">
        <v>276.0</v>
      </c>
      <c r="E393" s="222">
        <v>120.0</v>
      </c>
      <c r="F393" s="222">
        <v>27.0</v>
      </c>
      <c r="G393" s="223" t="s">
        <v>164</v>
      </c>
      <c r="H393" s="221">
        <v>76.0</v>
      </c>
      <c r="I393" s="222">
        <v>76.0</v>
      </c>
      <c r="J393" s="222">
        <v>58.0</v>
      </c>
      <c r="K393" s="222">
        <v>2500.0</v>
      </c>
      <c r="L393" s="222" t="s">
        <v>44</v>
      </c>
      <c r="M393" s="223">
        <v>400.0</v>
      </c>
      <c r="N393" s="221">
        <v>2.0</v>
      </c>
      <c r="O393" s="222" t="s">
        <v>2002</v>
      </c>
      <c r="P393" s="222">
        <v>27.0</v>
      </c>
      <c r="Q393" s="222">
        <v>2000.0</v>
      </c>
      <c r="R393" s="224">
        <v>78.0</v>
      </c>
      <c r="S393" s="224">
        <v>2.68</v>
      </c>
      <c r="T393" s="225">
        <v>29.9</v>
      </c>
      <c r="U393" s="226">
        <v>54.0</v>
      </c>
      <c r="V393" s="227" t="s">
        <v>170</v>
      </c>
      <c r="W393" s="228" t="s">
        <v>170</v>
      </c>
      <c r="X393" s="222" t="s">
        <v>170</v>
      </c>
      <c r="Y393" s="223" t="s">
        <v>170</v>
      </c>
      <c r="Z393" s="221" t="s">
        <v>166</v>
      </c>
      <c r="AA393" s="222" t="s">
        <v>174</v>
      </c>
      <c r="AB393" s="222" t="s">
        <v>166</v>
      </c>
      <c r="AC393" s="222" t="s">
        <v>174</v>
      </c>
      <c r="AD393" s="222" t="s">
        <v>166</v>
      </c>
      <c r="AE393" s="222" t="s">
        <v>174</v>
      </c>
      <c r="AF393" s="222" t="s">
        <v>174</v>
      </c>
      <c r="AG393" s="222" t="s">
        <v>170</v>
      </c>
      <c r="AH393" s="222"/>
    </row>
    <row r="394">
      <c r="A394" s="174" t="s">
        <v>1611</v>
      </c>
      <c r="B394" s="257" t="s">
        <v>2412</v>
      </c>
      <c r="C394" s="221">
        <v>240.0</v>
      </c>
      <c r="D394" s="222">
        <v>276.0</v>
      </c>
      <c r="E394" s="222">
        <v>120.0</v>
      </c>
      <c r="F394" s="222">
        <v>27.0</v>
      </c>
      <c r="G394" s="223" t="s">
        <v>164</v>
      </c>
      <c r="H394" s="221">
        <v>76.0</v>
      </c>
      <c r="I394" s="222">
        <v>76.0</v>
      </c>
      <c r="J394" s="222">
        <v>58.0</v>
      </c>
      <c r="K394" s="222">
        <v>2500.0</v>
      </c>
      <c r="L394" s="222" t="s">
        <v>44</v>
      </c>
      <c r="M394" s="223">
        <v>400.0</v>
      </c>
      <c r="N394" s="221">
        <v>2.0</v>
      </c>
      <c r="O394" s="222" t="s">
        <v>2002</v>
      </c>
      <c r="P394" s="222">
        <v>27.0</v>
      </c>
      <c r="Q394" s="222">
        <v>2000.0</v>
      </c>
      <c r="R394" s="224">
        <v>78.0</v>
      </c>
      <c r="S394" s="224">
        <v>2.68</v>
      </c>
      <c r="T394" s="225">
        <v>29.9</v>
      </c>
      <c r="U394" s="226">
        <v>54.0</v>
      </c>
      <c r="V394" s="227" t="s">
        <v>170</v>
      </c>
      <c r="W394" s="228" t="s">
        <v>170</v>
      </c>
      <c r="X394" s="222" t="s">
        <v>170</v>
      </c>
      <c r="Y394" s="223" t="s">
        <v>170</v>
      </c>
      <c r="Z394" s="221" t="s">
        <v>166</v>
      </c>
      <c r="AA394" s="222" t="s">
        <v>174</v>
      </c>
      <c r="AB394" s="222" t="s">
        <v>166</v>
      </c>
      <c r="AC394" s="222" t="s">
        <v>174</v>
      </c>
      <c r="AD394" s="222" t="s">
        <v>166</v>
      </c>
      <c r="AE394" s="222" t="s">
        <v>174</v>
      </c>
      <c r="AF394" s="222" t="s">
        <v>174</v>
      </c>
      <c r="AG394" s="222" t="s">
        <v>170</v>
      </c>
      <c r="AH394" s="222"/>
    </row>
    <row r="395">
      <c r="A395" s="174" t="s">
        <v>1611</v>
      </c>
      <c r="B395" s="257" t="s">
        <v>2413</v>
      </c>
      <c r="C395" s="221">
        <v>360.0</v>
      </c>
      <c r="D395" s="222">
        <v>397.0</v>
      </c>
      <c r="E395" s="222">
        <v>120.0</v>
      </c>
      <c r="F395" s="222">
        <v>27.0</v>
      </c>
      <c r="G395" s="223" t="s">
        <v>164</v>
      </c>
      <c r="H395" s="221">
        <v>76.0</v>
      </c>
      <c r="I395" s="222">
        <v>76.0</v>
      </c>
      <c r="J395" s="222">
        <v>58.0</v>
      </c>
      <c r="K395" s="222">
        <v>2500.0</v>
      </c>
      <c r="L395" s="222" t="s">
        <v>44</v>
      </c>
      <c r="M395" s="223">
        <v>465.0</v>
      </c>
      <c r="N395" s="221">
        <v>3.0</v>
      </c>
      <c r="O395" s="222" t="s">
        <v>2002</v>
      </c>
      <c r="P395" s="222">
        <v>27.0</v>
      </c>
      <c r="Q395" s="222">
        <v>2000.0</v>
      </c>
      <c r="R395" s="224">
        <v>78.0</v>
      </c>
      <c r="S395" s="224">
        <v>2.68</v>
      </c>
      <c r="T395" s="225">
        <v>29.9</v>
      </c>
      <c r="U395" s="226">
        <v>54.0</v>
      </c>
      <c r="V395" s="227" t="s">
        <v>170</v>
      </c>
      <c r="W395" s="228" t="s">
        <v>170</v>
      </c>
      <c r="X395" s="222" t="s">
        <v>170</v>
      </c>
      <c r="Y395" s="223" t="s">
        <v>170</v>
      </c>
      <c r="Z395" s="221" t="s">
        <v>166</v>
      </c>
      <c r="AA395" s="222" t="s">
        <v>174</v>
      </c>
      <c r="AB395" s="222" t="s">
        <v>166</v>
      </c>
      <c r="AC395" s="222" t="s">
        <v>174</v>
      </c>
      <c r="AD395" s="222" t="s">
        <v>166</v>
      </c>
      <c r="AE395" s="222" t="s">
        <v>174</v>
      </c>
      <c r="AF395" s="222" t="s">
        <v>174</v>
      </c>
      <c r="AG395" s="222" t="s">
        <v>170</v>
      </c>
      <c r="AH395" s="222"/>
    </row>
    <row r="396">
      <c r="A396" s="174" t="s">
        <v>1611</v>
      </c>
      <c r="B396" s="257" t="s">
        <v>2414</v>
      </c>
      <c r="C396" s="221">
        <v>360.0</v>
      </c>
      <c r="D396" s="222">
        <v>397.0</v>
      </c>
      <c r="E396" s="222">
        <v>120.0</v>
      </c>
      <c r="F396" s="222">
        <v>27.0</v>
      </c>
      <c r="G396" s="223" t="s">
        <v>164</v>
      </c>
      <c r="H396" s="221">
        <v>76.0</v>
      </c>
      <c r="I396" s="222">
        <v>76.0</v>
      </c>
      <c r="J396" s="222">
        <v>58.0</v>
      </c>
      <c r="K396" s="222">
        <v>2500.0</v>
      </c>
      <c r="L396" s="222" t="s">
        <v>44</v>
      </c>
      <c r="M396" s="223">
        <v>465.0</v>
      </c>
      <c r="N396" s="221">
        <v>3.0</v>
      </c>
      <c r="O396" s="222" t="s">
        <v>2002</v>
      </c>
      <c r="P396" s="222">
        <v>27.0</v>
      </c>
      <c r="Q396" s="222">
        <v>2000.0</v>
      </c>
      <c r="R396" s="224">
        <v>78.0</v>
      </c>
      <c r="S396" s="224">
        <v>2.68</v>
      </c>
      <c r="T396" s="225">
        <v>29.9</v>
      </c>
      <c r="U396" s="226">
        <v>54.0</v>
      </c>
      <c r="V396" s="227" t="s">
        <v>170</v>
      </c>
      <c r="W396" s="228" t="s">
        <v>170</v>
      </c>
      <c r="X396" s="222" t="s">
        <v>170</v>
      </c>
      <c r="Y396" s="223" t="s">
        <v>170</v>
      </c>
      <c r="Z396" s="221" t="s">
        <v>166</v>
      </c>
      <c r="AA396" s="222" t="s">
        <v>174</v>
      </c>
      <c r="AB396" s="222" t="s">
        <v>166</v>
      </c>
      <c r="AC396" s="222" t="s">
        <v>174</v>
      </c>
      <c r="AD396" s="222" t="s">
        <v>166</v>
      </c>
      <c r="AE396" s="222" t="s">
        <v>174</v>
      </c>
      <c r="AF396" s="222" t="s">
        <v>174</v>
      </c>
      <c r="AG396" s="222" t="s">
        <v>170</v>
      </c>
      <c r="AH396" s="222"/>
    </row>
    <row r="397">
      <c r="A397" s="174" t="s">
        <v>1611</v>
      </c>
      <c r="B397" s="257" t="s">
        <v>2415</v>
      </c>
      <c r="C397" s="221">
        <v>240.0</v>
      </c>
      <c r="D397" s="222">
        <v>274.0</v>
      </c>
      <c r="E397" s="222">
        <v>120.0</v>
      </c>
      <c r="F397" s="222">
        <v>27.0</v>
      </c>
      <c r="G397" s="223" t="s">
        <v>164</v>
      </c>
      <c r="H397" s="221">
        <v>72.0</v>
      </c>
      <c r="I397" s="222">
        <v>72.0</v>
      </c>
      <c r="J397" s="222">
        <v>52.0</v>
      </c>
      <c r="K397" s="222">
        <v>2100.0</v>
      </c>
      <c r="L397" s="222" t="s">
        <v>44</v>
      </c>
      <c r="M397" s="223">
        <v>400.0</v>
      </c>
      <c r="N397" s="221">
        <v>2.0</v>
      </c>
      <c r="O397" s="222" t="s">
        <v>2002</v>
      </c>
      <c r="P397" s="222">
        <v>25.0</v>
      </c>
      <c r="Q397" s="222">
        <v>2000.0</v>
      </c>
      <c r="R397" s="224">
        <v>55.2</v>
      </c>
      <c r="S397" s="224">
        <v>2.13</v>
      </c>
      <c r="T397" s="225">
        <v>33.5</v>
      </c>
      <c r="U397" s="226">
        <v>52.0</v>
      </c>
      <c r="V397" s="227" t="s">
        <v>166</v>
      </c>
      <c r="W397" s="228" t="s">
        <v>174</v>
      </c>
      <c r="X397" s="222" t="s">
        <v>166</v>
      </c>
      <c r="Y397" s="223" t="s">
        <v>166</v>
      </c>
      <c r="Z397" s="221" t="s">
        <v>174</v>
      </c>
      <c r="AA397" s="222" t="s">
        <v>174</v>
      </c>
      <c r="AB397" s="222" t="s">
        <v>166</v>
      </c>
      <c r="AC397" s="222" t="s">
        <v>174</v>
      </c>
      <c r="AD397" s="222" t="s">
        <v>174</v>
      </c>
      <c r="AE397" s="222" t="s">
        <v>170</v>
      </c>
      <c r="AF397" s="222" t="s">
        <v>174</v>
      </c>
      <c r="AG397" s="222" t="s">
        <v>170</v>
      </c>
      <c r="AH397" s="222"/>
    </row>
    <row r="398">
      <c r="A398" s="174" t="s">
        <v>1611</v>
      </c>
      <c r="B398" s="257" t="s">
        <v>2416</v>
      </c>
      <c r="C398" s="221">
        <v>240.0</v>
      </c>
      <c r="D398" s="222">
        <v>274.0</v>
      </c>
      <c r="E398" s="222">
        <v>120.0</v>
      </c>
      <c r="F398" s="222">
        <v>27.0</v>
      </c>
      <c r="G398" s="223" t="s">
        <v>164</v>
      </c>
      <c r="H398" s="221">
        <v>72.0</v>
      </c>
      <c r="I398" s="222">
        <v>72.0</v>
      </c>
      <c r="J398" s="222">
        <v>52.0</v>
      </c>
      <c r="K398" s="222">
        <v>2100.0</v>
      </c>
      <c r="L398" s="222" t="s">
        <v>44</v>
      </c>
      <c r="M398" s="223">
        <v>400.0</v>
      </c>
      <c r="N398" s="221">
        <v>2.0</v>
      </c>
      <c r="O398" s="222" t="s">
        <v>2002</v>
      </c>
      <c r="P398" s="222">
        <v>25.0</v>
      </c>
      <c r="Q398" s="222">
        <v>1500.0</v>
      </c>
      <c r="R398" s="224">
        <v>62.0</v>
      </c>
      <c r="S398" s="224">
        <v>1.78</v>
      </c>
      <c r="T398" s="225">
        <v>26.4</v>
      </c>
      <c r="U398" s="226">
        <v>52.0</v>
      </c>
      <c r="V398" s="227" t="s">
        <v>166</v>
      </c>
      <c r="W398" s="228" t="s">
        <v>174</v>
      </c>
      <c r="X398" s="222" t="s">
        <v>166</v>
      </c>
      <c r="Y398" s="223" t="s">
        <v>166</v>
      </c>
      <c r="Z398" s="221" t="s">
        <v>174</v>
      </c>
      <c r="AA398" s="222" t="s">
        <v>174</v>
      </c>
      <c r="AB398" s="222" t="s">
        <v>166</v>
      </c>
      <c r="AC398" s="222" t="s">
        <v>174</v>
      </c>
      <c r="AD398" s="222" t="s">
        <v>174</v>
      </c>
      <c r="AE398" s="222" t="s">
        <v>170</v>
      </c>
      <c r="AF398" s="222" t="s">
        <v>174</v>
      </c>
      <c r="AG398" s="222" t="s">
        <v>170</v>
      </c>
      <c r="AH398" s="222"/>
    </row>
    <row r="399">
      <c r="A399" s="174" t="s">
        <v>1611</v>
      </c>
      <c r="B399" s="257" t="s">
        <v>2417</v>
      </c>
      <c r="C399" s="221">
        <v>240.0</v>
      </c>
      <c r="D399" s="222">
        <v>274.0</v>
      </c>
      <c r="E399" s="222">
        <v>120.0</v>
      </c>
      <c r="F399" s="222">
        <v>27.0</v>
      </c>
      <c r="G399" s="223" t="s">
        <v>164</v>
      </c>
      <c r="H399" s="221">
        <v>72.0</v>
      </c>
      <c r="I399" s="222">
        <v>72.0</v>
      </c>
      <c r="J399" s="222">
        <v>52.0</v>
      </c>
      <c r="K399" s="222">
        <v>2100.0</v>
      </c>
      <c r="L399" s="222" t="s">
        <v>44</v>
      </c>
      <c r="M399" s="223">
        <v>400.0</v>
      </c>
      <c r="N399" s="221">
        <v>2.0</v>
      </c>
      <c r="O399" s="222" t="s">
        <v>2002</v>
      </c>
      <c r="P399" s="222">
        <v>25.0</v>
      </c>
      <c r="Q399" s="222">
        <v>1500.0</v>
      </c>
      <c r="R399" s="224">
        <v>62.0</v>
      </c>
      <c r="S399" s="224">
        <v>1.78</v>
      </c>
      <c r="T399" s="225">
        <v>26.4</v>
      </c>
      <c r="U399" s="226">
        <v>52.0</v>
      </c>
      <c r="V399" s="227" t="s">
        <v>166</v>
      </c>
      <c r="W399" s="228" t="s">
        <v>174</v>
      </c>
      <c r="X399" s="222" t="s">
        <v>166</v>
      </c>
      <c r="Y399" s="223" t="s">
        <v>166</v>
      </c>
      <c r="Z399" s="221" t="s">
        <v>174</v>
      </c>
      <c r="AA399" s="222" t="s">
        <v>174</v>
      </c>
      <c r="AB399" s="222" t="s">
        <v>166</v>
      </c>
      <c r="AC399" s="222" t="s">
        <v>174</v>
      </c>
      <c r="AD399" s="222" t="s">
        <v>174</v>
      </c>
      <c r="AE399" s="222" t="s">
        <v>170</v>
      </c>
      <c r="AF399" s="222" t="s">
        <v>174</v>
      </c>
      <c r="AG399" s="222" t="s">
        <v>170</v>
      </c>
      <c r="AH399" s="222"/>
    </row>
    <row r="400">
      <c r="A400" s="174" t="s">
        <v>1611</v>
      </c>
      <c r="B400" s="257" t="s">
        <v>2418</v>
      </c>
      <c r="C400" s="221">
        <v>240.0</v>
      </c>
      <c r="D400" s="222">
        <v>274.0</v>
      </c>
      <c r="E400" s="222">
        <v>120.0</v>
      </c>
      <c r="F400" s="222">
        <v>27.0</v>
      </c>
      <c r="G400" s="223" t="s">
        <v>164</v>
      </c>
      <c r="H400" s="221">
        <v>72.0</v>
      </c>
      <c r="I400" s="222">
        <v>72.0</v>
      </c>
      <c r="J400" s="222">
        <v>58.0</v>
      </c>
      <c r="K400" s="222">
        <v>2100.0</v>
      </c>
      <c r="L400" s="222" t="s">
        <v>44</v>
      </c>
      <c r="M400" s="223">
        <v>400.0</v>
      </c>
      <c r="N400" s="221">
        <v>2.0</v>
      </c>
      <c r="O400" s="222" t="s">
        <v>2002</v>
      </c>
      <c r="P400" s="222">
        <v>25.0</v>
      </c>
      <c r="Q400" s="222">
        <v>1500.0</v>
      </c>
      <c r="R400" s="224">
        <v>68.2</v>
      </c>
      <c r="S400" s="224">
        <v>1.87</v>
      </c>
      <c r="T400" s="225">
        <v>30.5</v>
      </c>
      <c r="U400" s="226">
        <v>52.0</v>
      </c>
      <c r="V400" s="227" t="s">
        <v>166</v>
      </c>
      <c r="W400" s="228" t="s">
        <v>174</v>
      </c>
      <c r="X400" s="222" t="s">
        <v>166</v>
      </c>
      <c r="Y400" s="223" t="s">
        <v>166</v>
      </c>
      <c r="Z400" s="221" t="s">
        <v>166</v>
      </c>
      <c r="AA400" s="222" t="s">
        <v>174</v>
      </c>
      <c r="AB400" s="222" t="s">
        <v>166</v>
      </c>
      <c r="AC400" s="222" t="s">
        <v>174</v>
      </c>
      <c r="AD400" s="222" t="s">
        <v>166</v>
      </c>
      <c r="AE400" s="222" t="s">
        <v>170</v>
      </c>
      <c r="AF400" s="222" t="s">
        <v>174</v>
      </c>
      <c r="AG400" s="222" t="s">
        <v>170</v>
      </c>
      <c r="AH400" s="222"/>
    </row>
    <row r="401">
      <c r="A401" s="174" t="s">
        <v>1611</v>
      </c>
      <c r="B401" s="257" t="s">
        <v>2419</v>
      </c>
      <c r="C401" s="221">
        <v>240.0</v>
      </c>
      <c r="D401" s="222">
        <v>274.0</v>
      </c>
      <c r="E401" s="222">
        <v>120.0</v>
      </c>
      <c r="F401" s="222">
        <v>27.0</v>
      </c>
      <c r="G401" s="223" t="s">
        <v>164</v>
      </c>
      <c r="H401" s="221">
        <v>72.0</v>
      </c>
      <c r="I401" s="222">
        <v>72.0</v>
      </c>
      <c r="J401" s="222">
        <v>58.0</v>
      </c>
      <c r="K401" s="222">
        <v>2100.0</v>
      </c>
      <c r="L401" s="222" t="s">
        <v>44</v>
      </c>
      <c r="M401" s="223">
        <v>400.0</v>
      </c>
      <c r="N401" s="221">
        <v>2.0</v>
      </c>
      <c r="O401" s="222" t="s">
        <v>2002</v>
      </c>
      <c r="P401" s="222">
        <v>25.0</v>
      </c>
      <c r="Q401" s="222">
        <v>1500.0</v>
      </c>
      <c r="R401" s="224">
        <v>68.2</v>
      </c>
      <c r="S401" s="224">
        <v>1.87</v>
      </c>
      <c r="T401" s="225">
        <v>30.5</v>
      </c>
      <c r="U401" s="226">
        <v>52.0</v>
      </c>
      <c r="V401" s="227" t="s">
        <v>166</v>
      </c>
      <c r="W401" s="228" t="s">
        <v>174</v>
      </c>
      <c r="X401" s="222" t="s">
        <v>166</v>
      </c>
      <c r="Y401" s="223" t="s">
        <v>166</v>
      </c>
      <c r="Z401" s="221" t="s">
        <v>166</v>
      </c>
      <c r="AA401" s="222" t="s">
        <v>174</v>
      </c>
      <c r="AB401" s="222" t="s">
        <v>166</v>
      </c>
      <c r="AC401" s="222" t="s">
        <v>174</v>
      </c>
      <c r="AD401" s="222" t="s">
        <v>166</v>
      </c>
      <c r="AE401" s="222" t="s">
        <v>170</v>
      </c>
      <c r="AF401" s="222" t="s">
        <v>174</v>
      </c>
      <c r="AG401" s="222" t="s">
        <v>170</v>
      </c>
      <c r="AH401" s="222"/>
    </row>
    <row r="402">
      <c r="A402" s="174" t="s">
        <v>1611</v>
      </c>
      <c r="B402" s="257" t="s">
        <v>2420</v>
      </c>
      <c r="C402" s="221">
        <v>360.0</v>
      </c>
      <c r="D402" s="222">
        <v>397.0</v>
      </c>
      <c r="E402" s="222">
        <v>120.0</v>
      </c>
      <c r="F402" s="222">
        <v>27.0</v>
      </c>
      <c r="G402" s="223" t="s">
        <v>164</v>
      </c>
      <c r="H402" s="221">
        <v>72.0</v>
      </c>
      <c r="I402" s="222">
        <v>72.0</v>
      </c>
      <c r="J402" s="222">
        <v>52.0</v>
      </c>
      <c r="K402" s="222">
        <v>2100.0</v>
      </c>
      <c r="L402" s="222" t="s">
        <v>44</v>
      </c>
      <c r="M402" s="223">
        <v>465.0</v>
      </c>
      <c r="N402" s="221">
        <v>3.0</v>
      </c>
      <c r="O402" s="222" t="s">
        <v>2002</v>
      </c>
      <c r="P402" s="222">
        <v>25.0</v>
      </c>
      <c r="Q402" s="222">
        <v>2000.0</v>
      </c>
      <c r="R402" s="224">
        <v>55.2</v>
      </c>
      <c r="S402" s="224">
        <v>2.13</v>
      </c>
      <c r="T402" s="225">
        <v>33.5</v>
      </c>
      <c r="U402" s="226">
        <v>52.0</v>
      </c>
      <c r="V402" s="227" t="s">
        <v>166</v>
      </c>
      <c r="W402" s="228" t="s">
        <v>174</v>
      </c>
      <c r="X402" s="222" t="s">
        <v>166</v>
      </c>
      <c r="Y402" s="223" t="s">
        <v>166</v>
      </c>
      <c r="Z402" s="221" t="s">
        <v>174</v>
      </c>
      <c r="AA402" s="222" t="s">
        <v>174</v>
      </c>
      <c r="AB402" s="222" t="s">
        <v>166</v>
      </c>
      <c r="AC402" s="222" t="s">
        <v>174</v>
      </c>
      <c r="AD402" s="222" t="s">
        <v>174</v>
      </c>
      <c r="AE402" s="222" t="s">
        <v>170</v>
      </c>
      <c r="AF402" s="222" t="s">
        <v>174</v>
      </c>
      <c r="AG402" s="222" t="s">
        <v>170</v>
      </c>
      <c r="AH402" s="222"/>
    </row>
    <row r="403">
      <c r="A403" s="174" t="s">
        <v>1611</v>
      </c>
      <c r="B403" s="257" t="s">
        <v>2421</v>
      </c>
      <c r="C403" s="221">
        <v>360.0</v>
      </c>
      <c r="D403" s="222">
        <v>397.0</v>
      </c>
      <c r="E403" s="222">
        <v>120.0</v>
      </c>
      <c r="F403" s="222">
        <v>27.0</v>
      </c>
      <c r="G403" s="223" t="s">
        <v>164</v>
      </c>
      <c r="H403" s="221">
        <v>72.0</v>
      </c>
      <c r="I403" s="222">
        <v>72.0</v>
      </c>
      <c r="J403" s="222">
        <v>52.0</v>
      </c>
      <c r="K403" s="222">
        <v>2100.0</v>
      </c>
      <c r="L403" s="222" t="s">
        <v>44</v>
      </c>
      <c r="M403" s="223">
        <v>465.0</v>
      </c>
      <c r="N403" s="221">
        <v>3.0</v>
      </c>
      <c r="O403" s="222" t="s">
        <v>2002</v>
      </c>
      <c r="P403" s="222">
        <v>25.0</v>
      </c>
      <c r="Q403" s="222">
        <v>1500.0</v>
      </c>
      <c r="R403" s="224">
        <v>62.0</v>
      </c>
      <c r="S403" s="224">
        <v>1.78</v>
      </c>
      <c r="T403" s="225">
        <v>26.4</v>
      </c>
      <c r="U403" s="226">
        <v>52.0</v>
      </c>
      <c r="V403" s="227" t="s">
        <v>166</v>
      </c>
      <c r="W403" s="228" t="s">
        <v>174</v>
      </c>
      <c r="X403" s="222" t="s">
        <v>166</v>
      </c>
      <c r="Y403" s="223" t="s">
        <v>166</v>
      </c>
      <c r="Z403" s="221" t="s">
        <v>166</v>
      </c>
      <c r="AA403" s="222" t="s">
        <v>174</v>
      </c>
      <c r="AB403" s="222" t="s">
        <v>166</v>
      </c>
      <c r="AC403" s="222" t="s">
        <v>174</v>
      </c>
      <c r="AD403" s="222" t="s">
        <v>174</v>
      </c>
      <c r="AE403" s="222" t="s">
        <v>170</v>
      </c>
      <c r="AF403" s="222" t="s">
        <v>174</v>
      </c>
      <c r="AG403" s="222" t="s">
        <v>170</v>
      </c>
      <c r="AH403" s="222"/>
    </row>
    <row r="404">
      <c r="A404" s="174" t="s">
        <v>1611</v>
      </c>
      <c r="B404" s="257" t="s">
        <v>2422</v>
      </c>
      <c r="C404" s="221">
        <v>360.0</v>
      </c>
      <c r="D404" s="222">
        <v>397.0</v>
      </c>
      <c r="E404" s="222">
        <v>120.0</v>
      </c>
      <c r="F404" s="222">
        <v>27.0</v>
      </c>
      <c r="G404" s="223" t="s">
        <v>164</v>
      </c>
      <c r="H404" s="221">
        <v>72.0</v>
      </c>
      <c r="I404" s="222">
        <v>72.0</v>
      </c>
      <c r="J404" s="222">
        <v>52.0</v>
      </c>
      <c r="K404" s="222">
        <v>2100.0</v>
      </c>
      <c r="L404" s="222" t="s">
        <v>44</v>
      </c>
      <c r="M404" s="223">
        <v>465.0</v>
      </c>
      <c r="N404" s="221">
        <v>3.0</v>
      </c>
      <c r="O404" s="222" t="s">
        <v>2002</v>
      </c>
      <c r="P404" s="222">
        <v>25.0</v>
      </c>
      <c r="Q404" s="222">
        <v>1500.0</v>
      </c>
      <c r="R404" s="224">
        <v>62.0</v>
      </c>
      <c r="S404" s="224">
        <v>1.78</v>
      </c>
      <c r="T404" s="225">
        <v>26.4</v>
      </c>
      <c r="U404" s="226">
        <v>52.0</v>
      </c>
      <c r="V404" s="227" t="s">
        <v>166</v>
      </c>
      <c r="W404" s="228" t="s">
        <v>174</v>
      </c>
      <c r="X404" s="222" t="s">
        <v>166</v>
      </c>
      <c r="Y404" s="223" t="s">
        <v>166</v>
      </c>
      <c r="Z404" s="221" t="s">
        <v>166</v>
      </c>
      <c r="AA404" s="222" t="s">
        <v>174</v>
      </c>
      <c r="AB404" s="222" t="s">
        <v>166</v>
      </c>
      <c r="AC404" s="222" t="s">
        <v>174</v>
      </c>
      <c r="AD404" s="222" t="s">
        <v>174</v>
      </c>
      <c r="AE404" s="222" t="s">
        <v>170</v>
      </c>
      <c r="AF404" s="222" t="s">
        <v>174</v>
      </c>
      <c r="AG404" s="222" t="s">
        <v>170</v>
      </c>
      <c r="AH404" s="222"/>
    </row>
    <row r="405">
      <c r="A405" s="174" t="s">
        <v>1611</v>
      </c>
      <c r="B405" s="257" t="s">
        <v>2423</v>
      </c>
      <c r="C405" s="221">
        <v>360.0</v>
      </c>
      <c r="D405" s="222">
        <v>397.0</v>
      </c>
      <c r="E405" s="222">
        <v>120.0</v>
      </c>
      <c r="F405" s="222">
        <v>27.0</v>
      </c>
      <c r="G405" s="223" t="s">
        <v>164</v>
      </c>
      <c r="H405" s="221">
        <v>72.0</v>
      </c>
      <c r="I405" s="222">
        <v>72.0</v>
      </c>
      <c r="J405" s="222">
        <v>58.0</v>
      </c>
      <c r="K405" s="222">
        <v>2100.0</v>
      </c>
      <c r="L405" s="222" t="s">
        <v>44</v>
      </c>
      <c r="M405" s="223">
        <v>465.0</v>
      </c>
      <c r="N405" s="221">
        <v>3.0</v>
      </c>
      <c r="O405" s="222" t="s">
        <v>2002</v>
      </c>
      <c r="P405" s="222">
        <v>25.0</v>
      </c>
      <c r="Q405" s="222">
        <v>1500.0</v>
      </c>
      <c r="R405" s="224">
        <v>68.2</v>
      </c>
      <c r="S405" s="224">
        <v>1.87</v>
      </c>
      <c r="T405" s="225">
        <v>30.5</v>
      </c>
      <c r="U405" s="226">
        <v>52.0</v>
      </c>
      <c r="V405" s="227" t="s">
        <v>166</v>
      </c>
      <c r="W405" s="228" t="s">
        <v>174</v>
      </c>
      <c r="X405" s="222" t="s">
        <v>166</v>
      </c>
      <c r="Y405" s="223" t="s">
        <v>166</v>
      </c>
      <c r="Z405" s="221" t="s">
        <v>166</v>
      </c>
      <c r="AA405" s="222" t="s">
        <v>174</v>
      </c>
      <c r="AB405" s="222" t="s">
        <v>166</v>
      </c>
      <c r="AC405" s="222" t="s">
        <v>174</v>
      </c>
      <c r="AD405" s="222" t="s">
        <v>166</v>
      </c>
      <c r="AE405" s="222" t="s">
        <v>174</v>
      </c>
      <c r="AF405" s="222" t="s">
        <v>174</v>
      </c>
      <c r="AG405" s="222" t="s">
        <v>170</v>
      </c>
      <c r="AH405" s="222"/>
    </row>
    <row r="406">
      <c r="A406" s="291" t="s">
        <v>1611</v>
      </c>
      <c r="B406" s="271" t="s">
        <v>2424</v>
      </c>
      <c r="C406" s="232">
        <v>360.0</v>
      </c>
      <c r="D406" s="233">
        <v>397.0</v>
      </c>
      <c r="E406" s="233">
        <v>120.0</v>
      </c>
      <c r="F406" s="233">
        <v>27.0</v>
      </c>
      <c r="G406" s="234" t="s">
        <v>164</v>
      </c>
      <c r="H406" s="232">
        <v>72.0</v>
      </c>
      <c r="I406" s="233">
        <v>72.0</v>
      </c>
      <c r="J406" s="233">
        <v>58.0</v>
      </c>
      <c r="K406" s="233">
        <v>2100.0</v>
      </c>
      <c r="L406" s="233" t="s">
        <v>44</v>
      </c>
      <c r="M406" s="234">
        <v>465.0</v>
      </c>
      <c r="N406" s="232">
        <v>3.0</v>
      </c>
      <c r="O406" s="233" t="s">
        <v>2002</v>
      </c>
      <c r="P406" s="233">
        <v>25.0</v>
      </c>
      <c r="Q406" s="233">
        <v>1500.0</v>
      </c>
      <c r="R406" s="235">
        <v>68.2</v>
      </c>
      <c r="S406" s="235">
        <v>1.87</v>
      </c>
      <c r="T406" s="236">
        <v>30.5</v>
      </c>
      <c r="U406" s="237">
        <v>52.0</v>
      </c>
      <c r="V406" s="238" t="s">
        <v>166</v>
      </c>
      <c r="W406" s="239" t="s">
        <v>174</v>
      </c>
      <c r="X406" s="233" t="s">
        <v>166</v>
      </c>
      <c r="Y406" s="234" t="s">
        <v>166</v>
      </c>
      <c r="Z406" s="232" t="s">
        <v>166</v>
      </c>
      <c r="AA406" s="233" t="s">
        <v>174</v>
      </c>
      <c r="AB406" s="233" t="s">
        <v>166</v>
      </c>
      <c r="AC406" s="233" t="s">
        <v>174</v>
      </c>
      <c r="AD406" s="233" t="s">
        <v>166</v>
      </c>
      <c r="AE406" s="233" t="s">
        <v>174</v>
      </c>
      <c r="AF406" s="233" t="s">
        <v>174</v>
      </c>
      <c r="AG406" s="233" t="s">
        <v>170</v>
      </c>
      <c r="AH406" s="233"/>
    </row>
    <row r="407">
      <c r="A407" s="282" t="s">
        <v>2425</v>
      </c>
      <c r="B407" s="257" t="s">
        <v>2426</v>
      </c>
      <c r="C407" s="221">
        <v>240.0</v>
      </c>
      <c r="D407" s="222">
        <v>277.0</v>
      </c>
      <c r="E407" s="222">
        <v>120.0</v>
      </c>
      <c r="F407" s="222">
        <v>27.0</v>
      </c>
      <c r="G407" s="223" t="s">
        <v>164</v>
      </c>
      <c r="H407" s="221">
        <v>100.0</v>
      </c>
      <c r="I407" s="222">
        <v>100.0</v>
      </c>
      <c r="J407" s="222">
        <v>75.0</v>
      </c>
      <c r="K407" s="222">
        <v>5200.0</v>
      </c>
      <c r="L407" s="222" t="s">
        <v>2126</v>
      </c>
      <c r="M407" s="223">
        <v>400.0</v>
      </c>
      <c r="N407" s="221">
        <v>2.0</v>
      </c>
      <c r="O407" s="222" t="s">
        <v>2002</v>
      </c>
      <c r="P407" s="222">
        <v>25.0</v>
      </c>
      <c r="Q407" s="222">
        <v>1800.0</v>
      </c>
      <c r="R407" s="224">
        <v>82.96</v>
      </c>
      <c r="S407" s="224">
        <v>2.31</v>
      </c>
      <c r="T407" s="225">
        <v>35.5</v>
      </c>
      <c r="U407" s="226">
        <v>52.0</v>
      </c>
      <c r="V407" s="221" t="s">
        <v>166</v>
      </c>
      <c r="W407" s="241" t="s">
        <v>174</v>
      </c>
      <c r="X407" s="222" t="s">
        <v>166</v>
      </c>
      <c r="Y407" s="223" t="s">
        <v>174</v>
      </c>
      <c r="Z407" s="221" t="s">
        <v>174</v>
      </c>
      <c r="AA407" s="222" t="s">
        <v>174</v>
      </c>
      <c r="AB407" s="222" t="s">
        <v>166</v>
      </c>
      <c r="AC407" s="222" t="s">
        <v>174</v>
      </c>
      <c r="AD407" s="222" t="s">
        <v>174</v>
      </c>
      <c r="AE407" s="222" t="s">
        <v>170</v>
      </c>
      <c r="AF407" s="222" t="s">
        <v>174</v>
      </c>
      <c r="AG407" s="222" t="s">
        <v>2127</v>
      </c>
      <c r="AH407" s="222"/>
    </row>
    <row r="408">
      <c r="A408" s="174" t="s">
        <v>2425</v>
      </c>
      <c r="B408" s="257" t="s">
        <v>2427</v>
      </c>
      <c r="C408" s="221">
        <v>360.0</v>
      </c>
      <c r="D408" s="222">
        <v>397.0</v>
      </c>
      <c r="E408" s="222">
        <v>120.0</v>
      </c>
      <c r="F408" s="222">
        <v>27.0</v>
      </c>
      <c r="G408" s="223" t="s">
        <v>164</v>
      </c>
      <c r="H408" s="221">
        <v>100.0</v>
      </c>
      <c r="I408" s="222">
        <v>100.0</v>
      </c>
      <c r="J408" s="222">
        <v>75.0</v>
      </c>
      <c r="K408" s="222">
        <v>5200.0</v>
      </c>
      <c r="L408" s="222" t="s">
        <v>2126</v>
      </c>
      <c r="M408" s="223">
        <v>450.0</v>
      </c>
      <c r="N408" s="221">
        <v>3.0</v>
      </c>
      <c r="O408" s="222" t="s">
        <v>2002</v>
      </c>
      <c r="P408" s="222">
        <v>25.0</v>
      </c>
      <c r="Q408" s="222">
        <v>1800.0</v>
      </c>
      <c r="R408" s="224">
        <v>82.96</v>
      </c>
      <c r="S408" s="224">
        <v>2.31</v>
      </c>
      <c r="T408" s="225">
        <v>35.5</v>
      </c>
      <c r="U408" s="226">
        <v>52.0</v>
      </c>
      <c r="V408" s="221" t="s">
        <v>166</v>
      </c>
      <c r="W408" s="241" t="s">
        <v>174</v>
      </c>
      <c r="X408" s="222" t="s">
        <v>166</v>
      </c>
      <c r="Y408" s="223" t="s">
        <v>174</v>
      </c>
      <c r="Z408" s="221" t="s">
        <v>174</v>
      </c>
      <c r="AA408" s="222" t="s">
        <v>174</v>
      </c>
      <c r="AB408" s="222" t="s">
        <v>166</v>
      </c>
      <c r="AC408" s="222" t="s">
        <v>174</v>
      </c>
      <c r="AD408" s="222" t="s">
        <v>174</v>
      </c>
      <c r="AE408" s="222" t="s">
        <v>170</v>
      </c>
      <c r="AF408" s="222" t="s">
        <v>174</v>
      </c>
      <c r="AG408" s="222" t="s">
        <v>2127</v>
      </c>
      <c r="AH408" s="222"/>
    </row>
    <row r="409">
      <c r="A409" s="174" t="s">
        <v>2425</v>
      </c>
      <c r="B409" s="257" t="s">
        <v>2428</v>
      </c>
      <c r="C409" s="221">
        <v>240.0</v>
      </c>
      <c r="D409" s="222">
        <v>277.0</v>
      </c>
      <c r="E409" s="222">
        <v>120.0</v>
      </c>
      <c r="F409" s="222">
        <v>27.0</v>
      </c>
      <c r="G409" s="223" t="s">
        <v>164</v>
      </c>
      <c r="H409" s="221">
        <v>87.3</v>
      </c>
      <c r="I409" s="222">
        <v>75.0</v>
      </c>
      <c r="J409" s="222">
        <v>68.0</v>
      </c>
      <c r="K409" s="222">
        <v>5200.0</v>
      </c>
      <c r="L409" s="222" t="s">
        <v>2126</v>
      </c>
      <c r="M409" s="223">
        <v>400.0</v>
      </c>
      <c r="N409" s="221">
        <v>2.0</v>
      </c>
      <c r="O409" s="222" t="s">
        <v>2002</v>
      </c>
      <c r="P409" s="222">
        <v>25.0</v>
      </c>
      <c r="Q409" s="222">
        <v>1800.0</v>
      </c>
      <c r="R409" s="224">
        <v>82.96</v>
      </c>
      <c r="S409" s="224">
        <v>2.31</v>
      </c>
      <c r="T409" s="225">
        <v>25.0</v>
      </c>
      <c r="U409" s="226">
        <v>52.0</v>
      </c>
      <c r="V409" s="227" t="s">
        <v>166</v>
      </c>
      <c r="W409" s="228" t="s">
        <v>174</v>
      </c>
      <c r="X409" s="222" t="s">
        <v>166</v>
      </c>
      <c r="Y409" s="223" t="s">
        <v>166</v>
      </c>
      <c r="Z409" s="221" t="s">
        <v>174</v>
      </c>
      <c r="AA409" s="222" t="s">
        <v>174</v>
      </c>
      <c r="AB409" s="222" t="s">
        <v>166</v>
      </c>
      <c r="AC409" s="222" t="s">
        <v>174</v>
      </c>
      <c r="AD409" s="222" t="s">
        <v>174</v>
      </c>
      <c r="AE409" s="222" t="s">
        <v>174</v>
      </c>
      <c r="AF409" s="222" t="s">
        <v>174</v>
      </c>
      <c r="AG409" s="222" t="s">
        <v>2127</v>
      </c>
      <c r="AH409" s="222"/>
    </row>
    <row r="410">
      <c r="A410" s="174" t="s">
        <v>2425</v>
      </c>
      <c r="B410" s="257" t="s">
        <v>2429</v>
      </c>
      <c r="C410" s="221">
        <v>360.0</v>
      </c>
      <c r="D410" s="222">
        <v>397.0</v>
      </c>
      <c r="E410" s="222">
        <v>120.0</v>
      </c>
      <c r="F410" s="222">
        <v>27.0</v>
      </c>
      <c r="G410" s="223" t="s">
        <v>164</v>
      </c>
      <c r="H410" s="221">
        <v>87.3</v>
      </c>
      <c r="I410" s="222">
        <v>75.0</v>
      </c>
      <c r="J410" s="222">
        <v>68.0</v>
      </c>
      <c r="K410" s="222">
        <v>5200.0</v>
      </c>
      <c r="L410" s="222" t="s">
        <v>2126</v>
      </c>
      <c r="M410" s="223">
        <v>450.0</v>
      </c>
      <c r="N410" s="221">
        <v>3.0</v>
      </c>
      <c r="O410" s="222" t="s">
        <v>2002</v>
      </c>
      <c r="P410" s="222">
        <v>25.0</v>
      </c>
      <c r="Q410" s="222">
        <v>1800.0</v>
      </c>
      <c r="R410" s="224">
        <v>82.96</v>
      </c>
      <c r="S410" s="224">
        <v>2.31</v>
      </c>
      <c r="T410" s="225">
        <v>25.0</v>
      </c>
      <c r="U410" s="226">
        <v>52.0</v>
      </c>
      <c r="V410" s="227" t="s">
        <v>166</v>
      </c>
      <c r="W410" s="228" t="s">
        <v>174</v>
      </c>
      <c r="X410" s="222" t="s">
        <v>166</v>
      </c>
      <c r="Y410" s="223" t="s">
        <v>166</v>
      </c>
      <c r="Z410" s="221" t="s">
        <v>174</v>
      </c>
      <c r="AA410" s="222" t="s">
        <v>174</v>
      </c>
      <c r="AB410" s="222" t="s">
        <v>166</v>
      </c>
      <c r="AC410" s="222" t="s">
        <v>174</v>
      </c>
      <c r="AD410" s="222" t="s">
        <v>174</v>
      </c>
      <c r="AE410" s="222" t="s">
        <v>174</v>
      </c>
      <c r="AF410" s="222" t="s">
        <v>174</v>
      </c>
      <c r="AG410" s="222" t="s">
        <v>2127</v>
      </c>
      <c r="AH410" s="222"/>
    </row>
    <row r="411">
      <c r="A411" s="174" t="s">
        <v>2425</v>
      </c>
      <c r="B411" s="257" t="s">
        <v>2430</v>
      </c>
      <c r="C411" s="221">
        <v>240.0</v>
      </c>
      <c r="D411" s="222">
        <v>277.0</v>
      </c>
      <c r="E411" s="222">
        <v>120.0</v>
      </c>
      <c r="F411" s="222">
        <v>27.0</v>
      </c>
      <c r="G411" s="223" t="s">
        <v>164</v>
      </c>
      <c r="H411" s="221">
        <v>68.0</v>
      </c>
      <c r="I411" s="222">
        <v>68.0</v>
      </c>
      <c r="J411" s="222">
        <v>100.0</v>
      </c>
      <c r="K411" s="222">
        <v>2400.0</v>
      </c>
      <c r="L411" s="222" t="s">
        <v>44</v>
      </c>
      <c r="M411" s="223">
        <v>400.0</v>
      </c>
      <c r="N411" s="221">
        <v>2.0</v>
      </c>
      <c r="O411" s="222" t="s">
        <v>2002</v>
      </c>
      <c r="P411" s="222">
        <v>26.0</v>
      </c>
      <c r="Q411" s="222">
        <v>2500.0</v>
      </c>
      <c r="R411" s="224">
        <v>101.5</v>
      </c>
      <c r="S411" s="224">
        <v>4.22</v>
      </c>
      <c r="T411" s="225">
        <v>23.0</v>
      </c>
      <c r="U411" s="226">
        <v>53.0</v>
      </c>
      <c r="V411" s="227" t="s">
        <v>166</v>
      </c>
      <c r="W411" s="228" t="s">
        <v>174</v>
      </c>
      <c r="X411" s="222" t="s">
        <v>166</v>
      </c>
      <c r="Y411" s="223" t="s">
        <v>174</v>
      </c>
      <c r="Z411" s="221" t="s">
        <v>174</v>
      </c>
      <c r="AA411" s="222" t="s">
        <v>174</v>
      </c>
      <c r="AB411" s="222" t="s">
        <v>166</v>
      </c>
      <c r="AC411" s="222" t="s">
        <v>174</v>
      </c>
      <c r="AD411" s="222" t="s">
        <v>174</v>
      </c>
      <c r="AE411" s="222" t="s">
        <v>170</v>
      </c>
      <c r="AF411" s="222" t="s">
        <v>174</v>
      </c>
      <c r="AG411" s="222" t="s">
        <v>170</v>
      </c>
      <c r="AH411" s="222"/>
    </row>
    <row r="412">
      <c r="A412" s="174" t="s">
        <v>2425</v>
      </c>
      <c r="B412" s="257" t="s">
        <v>2431</v>
      </c>
      <c r="C412" s="221">
        <v>240.0</v>
      </c>
      <c r="D412" s="222">
        <v>277.0</v>
      </c>
      <c r="E412" s="222">
        <v>120.0</v>
      </c>
      <c r="F412" s="222">
        <v>27.0</v>
      </c>
      <c r="G412" s="223" t="s">
        <v>164</v>
      </c>
      <c r="H412" s="221">
        <v>68.0</v>
      </c>
      <c r="I412" s="222">
        <v>68.0</v>
      </c>
      <c r="J412" s="222">
        <v>100.0</v>
      </c>
      <c r="K412" s="222">
        <v>2400.0</v>
      </c>
      <c r="L412" s="222" t="s">
        <v>44</v>
      </c>
      <c r="M412" s="223">
        <v>400.0</v>
      </c>
      <c r="N412" s="221">
        <v>2.0</v>
      </c>
      <c r="O412" s="222" t="s">
        <v>2002</v>
      </c>
      <c r="P412" s="222">
        <v>26.0</v>
      </c>
      <c r="Q412" s="222">
        <v>2500.0</v>
      </c>
      <c r="R412" s="224">
        <v>101.5</v>
      </c>
      <c r="S412" s="224">
        <v>4.22</v>
      </c>
      <c r="T412" s="225">
        <v>23.0</v>
      </c>
      <c r="U412" s="226">
        <v>53.0</v>
      </c>
      <c r="V412" s="227" t="s">
        <v>166</v>
      </c>
      <c r="W412" s="228" t="s">
        <v>174</v>
      </c>
      <c r="X412" s="222" t="s">
        <v>166</v>
      </c>
      <c r="Y412" s="223" t="s">
        <v>174</v>
      </c>
      <c r="Z412" s="221" t="s">
        <v>174</v>
      </c>
      <c r="AA412" s="222" t="s">
        <v>174</v>
      </c>
      <c r="AB412" s="222" t="s">
        <v>166</v>
      </c>
      <c r="AC412" s="222" t="s">
        <v>174</v>
      </c>
      <c r="AD412" s="222" t="s">
        <v>174</v>
      </c>
      <c r="AE412" s="222" t="s">
        <v>170</v>
      </c>
      <c r="AF412" s="222" t="s">
        <v>174</v>
      </c>
      <c r="AG412" s="222" t="s">
        <v>170</v>
      </c>
      <c r="AH412" s="222"/>
    </row>
    <row r="413">
      <c r="A413" s="174" t="s">
        <v>2425</v>
      </c>
      <c r="B413" s="257" t="s">
        <v>2432</v>
      </c>
      <c r="C413" s="221">
        <v>360.0</v>
      </c>
      <c r="D413" s="222">
        <v>397.0</v>
      </c>
      <c r="E413" s="222">
        <v>120.0</v>
      </c>
      <c r="F413" s="222">
        <v>27.0</v>
      </c>
      <c r="G413" s="223" t="s">
        <v>164</v>
      </c>
      <c r="H413" s="221">
        <v>68.0</v>
      </c>
      <c r="I413" s="222">
        <v>68.0</v>
      </c>
      <c r="J413" s="222">
        <v>100.0</v>
      </c>
      <c r="K413" s="222">
        <v>2400.0</v>
      </c>
      <c r="L413" s="222" t="s">
        <v>44</v>
      </c>
      <c r="M413" s="223">
        <v>400.0</v>
      </c>
      <c r="N413" s="221">
        <v>3.0</v>
      </c>
      <c r="O413" s="222" t="s">
        <v>2002</v>
      </c>
      <c r="P413" s="222">
        <v>26.0</v>
      </c>
      <c r="Q413" s="222">
        <v>2500.0</v>
      </c>
      <c r="R413" s="224">
        <v>101.5</v>
      </c>
      <c r="S413" s="224">
        <v>4.22</v>
      </c>
      <c r="T413" s="225">
        <v>23.0</v>
      </c>
      <c r="U413" s="226">
        <v>53.0</v>
      </c>
      <c r="V413" s="227" t="s">
        <v>166</v>
      </c>
      <c r="W413" s="228" t="s">
        <v>174</v>
      </c>
      <c r="X413" s="222" t="s">
        <v>166</v>
      </c>
      <c r="Y413" s="223" t="s">
        <v>174</v>
      </c>
      <c r="Z413" s="221" t="s">
        <v>174</v>
      </c>
      <c r="AA413" s="222" t="s">
        <v>174</v>
      </c>
      <c r="AB413" s="222" t="s">
        <v>166</v>
      </c>
      <c r="AC413" s="222" t="s">
        <v>174</v>
      </c>
      <c r="AD413" s="222" t="s">
        <v>174</v>
      </c>
      <c r="AE413" s="222" t="s">
        <v>170</v>
      </c>
      <c r="AF413" s="222" t="s">
        <v>174</v>
      </c>
      <c r="AG413" s="222" t="s">
        <v>170</v>
      </c>
      <c r="AH413" s="222"/>
    </row>
    <row r="414">
      <c r="A414" s="291" t="s">
        <v>2425</v>
      </c>
      <c r="B414" s="271" t="s">
        <v>2433</v>
      </c>
      <c r="C414" s="232">
        <v>360.0</v>
      </c>
      <c r="D414" s="233">
        <v>397.0</v>
      </c>
      <c r="E414" s="233">
        <v>120.0</v>
      </c>
      <c r="F414" s="233">
        <v>27.0</v>
      </c>
      <c r="G414" s="234" t="s">
        <v>164</v>
      </c>
      <c r="H414" s="232">
        <v>68.0</v>
      </c>
      <c r="I414" s="233">
        <v>68.0</v>
      </c>
      <c r="J414" s="233">
        <v>100.0</v>
      </c>
      <c r="K414" s="233">
        <v>2400.0</v>
      </c>
      <c r="L414" s="233" t="s">
        <v>44</v>
      </c>
      <c r="M414" s="234">
        <v>400.0</v>
      </c>
      <c r="N414" s="232">
        <v>3.0</v>
      </c>
      <c r="O414" s="233" t="s">
        <v>2002</v>
      </c>
      <c r="P414" s="233">
        <v>26.0</v>
      </c>
      <c r="Q414" s="233">
        <v>2500.0</v>
      </c>
      <c r="R414" s="235">
        <v>101.5</v>
      </c>
      <c r="S414" s="235">
        <v>4.22</v>
      </c>
      <c r="T414" s="236">
        <v>23.0</v>
      </c>
      <c r="U414" s="237">
        <v>53.0</v>
      </c>
      <c r="V414" s="238" t="s">
        <v>166</v>
      </c>
      <c r="W414" s="239" t="s">
        <v>174</v>
      </c>
      <c r="X414" s="233" t="s">
        <v>166</v>
      </c>
      <c r="Y414" s="234" t="s">
        <v>174</v>
      </c>
      <c r="Z414" s="232" t="s">
        <v>174</v>
      </c>
      <c r="AA414" s="233" t="s">
        <v>174</v>
      </c>
      <c r="AB414" s="233" t="s">
        <v>166</v>
      </c>
      <c r="AC414" s="233" t="s">
        <v>174</v>
      </c>
      <c r="AD414" s="233" t="s">
        <v>174</v>
      </c>
      <c r="AE414" s="233" t="s">
        <v>170</v>
      </c>
      <c r="AF414" s="233" t="s">
        <v>174</v>
      </c>
      <c r="AG414" s="233" t="s">
        <v>170</v>
      </c>
      <c r="AH414" s="233"/>
    </row>
    <row r="415">
      <c r="A415" s="272" t="s">
        <v>1630</v>
      </c>
      <c r="B415" s="257" t="s">
        <v>2434</v>
      </c>
      <c r="C415" s="221">
        <v>240.0</v>
      </c>
      <c r="D415" s="222">
        <v>277.0</v>
      </c>
      <c r="E415" s="222">
        <v>120.0</v>
      </c>
      <c r="F415" s="222">
        <v>27.0</v>
      </c>
      <c r="G415" s="223" t="s">
        <v>164</v>
      </c>
      <c r="H415" s="221">
        <v>82.4</v>
      </c>
      <c r="I415" s="222">
        <v>68.3</v>
      </c>
      <c r="J415" s="222">
        <v>59.7</v>
      </c>
      <c r="K415" s="222">
        <v>2500.0</v>
      </c>
      <c r="L415" s="222" t="s">
        <v>44</v>
      </c>
      <c r="M415" s="223" t="s">
        <v>170</v>
      </c>
      <c r="N415" s="221">
        <v>2.0</v>
      </c>
      <c r="O415" s="222" t="s">
        <v>2002</v>
      </c>
      <c r="P415" s="222">
        <v>32.0</v>
      </c>
      <c r="Q415" s="222">
        <v>1800.0</v>
      </c>
      <c r="R415" s="224">
        <v>85.4</v>
      </c>
      <c r="S415" s="224" t="s">
        <v>170</v>
      </c>
      <c r="T415" s="225">
        <v>35.1</v>
      </c>
      <c r="U415" s="226">
        <v>59.0</v>
      </c>
      <c r="V415" s="221" t="s">
        <v>166</v>
      </c>
      <c r="W415" s="241" t="s">
        <v>174</v>
      </c>
      <c r="X415" s="222" t="s">
        <v>166</v>
      </c>
      <c r="Y415" s="223" t="s">
        <v>166</v>
      </c>
      <c r="Z415" s="221" t="s">
        <v>166</v>
      </c>
      <c r="AA415" s="222" t="s">
        <v>174</v>
      </c>
      <c r="AB415" s="222" t="s">
        <v>166</v>
      </c>
      <c r="AC415" s="222" t="s">
        <v>174</v>
      </c>
      <c r="AD415" s="222" t="s">
        <v>166</v>
      </c>
      <c r="AE415" s="222" t="s">
        <v>174</v>
      </c>
      <c r="AF415" s="222" t="s">
        <v>174</v>
      </c>
      <c r="AG415" s="222" t="s">
        <v>170</v>
      </c>
      <c r="AH415" s="222"/>
    </row>
    <row r="416">
      <c r="A416" s="272" t="s">
        <v>1630</v>
      </c>
      <c r="B416" s="257" t="s">
        <v>2435</v>
      </c>
      <c r="C416" s="221">
        <v>360.0</v>
      </c>
      <c r="D416" s="222">
        <v>397.0</v>
      </c>
      <c r="E416" s="222">
        <v>120.0</v>
      </c>
      <c r="F416" s="222">
        <v>27.0</v>
      </c>
      <c r="G416" s="223" t="s">
        <v>164</v>
      </c>
      <c r="H416" s="221">
        <v>82.4</v>
      </c>
      <c r="I416" s="222">
        <v>68.3</v>
      </c>
      <c r="J416" s="222">
        <v>59.7</v>
      </c>
      <c r="K416" s="222">
        <v>2500.0</v>
      </c>
      <c r="L416" s="222" t="s">
        <v>44</v>
      </c>
      <c r="M416" s="223" t="s">
        <v>170</v>
      </c>
      <c r="N416" s="221">
        <v>3.0</v>
      </c>
      <c r="O416" s="222" t="s">
        <v>2002</v>
      </c>
      <c r="P416" s="222">
        <v>32.0</v>
      </c>
      <c r="Q416" s="222">
        <v>1800.0</v>
      </c>
      <c r="R416" s="224">
        <v>85.4</v>
      </c>
      <c r="S416" s="224" t="s">
        <v>170</v>
      </c>
      <c r="T416" s="225">
        <v>35.1</v>
      </c>
      <c r="U416" s="226">
        <v>59.0</v>
      </c>
      <c r="V416" s="221" t="s">
        <v>166</v>
      </c>
      <c r="W416" s="241" t="s">
        <v>174</v>
      </c>
      <c r="X416" s="222" t="s">
        <v>166</v>
      </c>
      <c r="Y416" s="223" t="s">
        <v>166</v>
      </c>
      <c r="Z416" s="221" t="s">
        <v>166</v>
      </c>
      <c r="AA416" s="222" t="s">
        <v>174</v>
      </c>
      <c r="AB416" s="222" t="s">
        <v>166</v>
      </c>
      <c r="AC416" s="222" t="s">
        <v>174</v>
      </c>
      <c r="AD416" s="222" t="s">
        <v>166</v>
      </c>
      <c r="AE416" s="222" t="s">
        <v>174</v>
      </c>
      <c r="AF416" s="222" t="s">
        <v>174</v>
      </c>
      <c r="AG416" s="222" t="s">
        <v>170</v>
      </c>
      <c r="AH416" s="222"/>
    </row>
    <row r="417">
      <c r="A417" s="272" t="s">
        <v>1630</v>
      </c>
      <c r="B417" s="257" t="s">
        <v>2436</v>
      </c>
      <c r="C417" s="221">
        <v>240.0</v>
      </c>
      <c r="D417" s="222">
        <v>276.8</v>
      </c>
      <c r="E417" s="222">
        <v>119.2</v>
      </c>
      <c r="F417" s="222">
        <v>27.2</v>
      </c>
      <c r="G417" s="223" t="s">
        <v>164</v>
      </c>
      <c r="H417" s="221">
        <v>91.0</v>
      </c>
      <c r="I417" s="222">
        <v>80.0</v>
      </c>
      <c r="J417" s="222">
        <v>71.0</v>
      </c>
      <c r="K417" s="222">
        <v>2600.0</v>
      </c>
      <c r="L417" s="222" t="s">
        <v>44</v>
      </c>
      <c r="M417" s="223" t="s">
        <v>170</v>
      </c>
      <c r="N417" s="221">
        <v>2.0</v>
      </c>
      <c r="O417" s="222" t="s">
        <v>2002</v>
      </c>
      <c r="P417" s="222">
        <v>25.0</v>
      </c>
      <c r="Q417" s="222">
        <v>1800.0</v>
      </c>
      <c r="R417" s="224">
        <v>71.6</v>
      </c>
      <c r="S417" s="224" t="s">
        <v>170</v>
      </c>
      <c r="T417" s="225">
        <v>29.8</v>
      </c>
      <c r="U417" s="226">
        <v>52.2</v>
      </c>
      <c r="V417" s="221" t="s">
        <v>166</v>
      </c>
      <c r="W417" s="241" t="s">
        <v>174</v>
      </c>
      <c r="X417" s="222" t="s">
        <v>166</v>
      </c>
      <c r="Y417" s="223" t="s">
        <v>166</v>
      </c>
      <c r="Z417" s="221" t="s">
        <v>174</v>
      </c>
      <c r="AA417" s="222" t="s">
        <v>174</v>
      </c>
      <c r="AB417" s="222" t="s">
        <v>174</v>
      </c>
      <c r="AC417" s="222" t="s">
        <v>174</v>
      </c>
      <c r="AD417" s="222" t="s">
        <v>174</v>
      </c>
      <c r="AE417" s="222" t="s">
        <v>170</v>
      </c>
      <c r="AF417" s="222" t="s">
        <v>174</v>
      </c>
      <c r="AG417" s="222" t="s">
        <v>170</v>
      </c>
      <c r="AH417" s="222"/>
    </row>
    <row r="418">
      <c r="A418" s="272" t="s">
        <v>1630</v>
      </c>
      <c r="B418" s="257" t="s">
        <v>2437</v>
      </c>
      <c r="C418" s="221">
        <v>360.0</v>
      </c>
      <c r="D418" s="222">
        <v>394.0</v>
      </c>
      <c r="E418" s="222">
        <v>119.2</v>
      </c>
      <c r="F418" s="222">
        <v>27.2</v>
      </c>
      <c r="G418" s="223" t="s">
        <v>164</v>
      </c>
      <c r="H418" s="221">
        <v>91.0</v>
      </c>
      <c r="I418" s="222">
        <v>80.0</v>
      </c>
      <c r="J418" s="222">
        <v>71.0</v>
      </c>
      <c r="K418" s="222">
        <v>2600.0</v>
      </c>
      <c r="L418" s="222" t="s">
        <v>44</v>
      </c>
      <c r="M418" s="223" t="s">
        <v>170</v>
      </c>
      <c r="N418" s="221">
        <v>3.0</v>
      </c>
      <c r="O418" s="222" t="s">
        <v>2002</v>
      </c>
      <c r="P418" s="222">
        <v>25.0</v>
      </c>
      <c r="Q418" s="222">
        <v>1800.0</v>
      </c>
      <c r="R418" s="224">
        <v>71.6</v>
      </c>
      <c r="S418" s="224" t="s">
        <v>170</v>
      </c>
      <c r="T418" s="225">
        <v>29.8</v>
      </c>
      <c r="U418" s="226">
        <v>52.2</v>
      </c>
      <c r="V418" s="221" t="s">
        <v>166</v>
      </c>
      <c r="W418" s="241" t="s">
        <v>174</v>
      </c>
      <c r="X418" s="222" t="s">
        <v>166</v>
      </c>
      <c r="Y418" s="223" t="s">
        <v>166</v>
      </c>
      <c r="Z418" s="221" t="s">
        <v>174</v>
      </c>
      <c r="AA418" s="222" t="s">
        <v>174</v>
      </c>
      <c r="AB418" s="222" t="s">
        <v>174</v>
      </c>
      <c r="AC418" s="222" t="s">
        <v>174</v>
      </c>
      <c r="AD418" s="222" t="s">
        <v>174</v>
      </c>
      <c r="AE418" s="222" t="s">
        <v>170</v>
      </c>
      <c r="AF418" s="222" t="s">
        <v>174</v>
      </c>
      <c r="AG418" s="222" t="s">
        <v>170</v>
      </c>
      <c r="AH418" s="222"/>
    </row>
    <row r="419">
      <c r="A419" s="272" t="s">
        <v>1630</v>
      </c>
      <c r="B419" s="257" t="s">
        <v>2438</v>
      </c>
      <c r="C419" s="221">
        <v>240.0</v>
      </c>
      <c r="D419" s="222">
        <v>276.8</v>
      </c>
      <c r="E419" s="222">
        <v>119.2</v>
      </c>
      <c r="F419" s="222">
        <v>27.2</v>
      </c>
      <c r="G419" s="223" t="s">
        <v>164</v>
      </c>
      <c r="H419" s="221">
        <v>80.3</v>
      </c>
      <c r="I419" s="222">
        <v>71.0</v>
      </c>
      <c r="J419" s="222">
        <v>48.0</v>
      </c>
      <c r="K419" s="222">
        <v>2600.0</v>
      </c>
      <c r="L419" s="222" t="s">
        <v>44</v>
      </c>
      <c r="M419" s="223" t="s">
        <v>170</v>
      </c>
      <c r="N419" s="221">
        <v>2.0</v>
      </c>
      <c r="O419" s="222" t="s">
        <v>2002</v>
      </c>
      <c r="P419" s="222">
        <v>25.0</v>
      </c>
      <c r="Q419" s="222">
        <v>1800.0</v>
      </c>
      <c r="R419" s="224">
        <v>66.81</v>
      </c>
      <c r="S419" s="224" t="s">
        <v>170</v>
      </c>
      <c r="T419" s="225">
        <v>37.2</v>
      </c>
      <c r="U419" s="226">
        <v>52.2</v>
      </c>
      <c r="V419" s="221" t="s">
        <v>166</v>
      </c>
      <c r="W419" s="241" t="s">
        <v>174</v>
      </c>
      <c r="X419" s="222" t="s">
        <v>166</v>
      </c>
      <c r="Y419" s="223" t="s">
        <v>174</v>
      </c>
      <c r="Z419" s="221" t="s">
        <v>174</v>
      </c>
      <c r="AA419" s="222" t="s">
        <v>174</v>
      </c>
      <c r="AB419" s="222" t="s">
        <v>174</v>
      </c>
      <c r="AC419" s="222" t="s">
        <v>174</v>
      </c>
      <c r="AD419" s="222" t="s">
        <v>174</v>
      </c>
      <c r="AE419" s="222" t="s">
        <v>170</v>
      </c>
      <c r="AF419" s="222" t="s">
        <v>174</v>
      </c>
      <c r="AG419" s="222" t="s">
        <v>170</v>
      </c>
      <c r="AH419" s="222"/>
    </row>
    <row r="420">
      <c r="A420" s="272" t="s">
        <v>1630</v>
      </c>
      <c r="B420" s="257" t="s">
        <v>2439</v>
      </c>
      <c r="C420" s="221">
        <v>240.0</v>
      </c>
      <c r="D420" s="222">
        <v>274.0</v>
      </c>
      <c r="E420" s="222">
        <v>120.0</v>
      </c>
      <c r="F420" s="222">
        <v>27.0</v>
      </c>
      <c r="G420" s="223" t="s">
        <v>164</v>
      </c>
      <c r="H420" s="221">
        <v>80.3</v>
      </c>
      <c r="I420" s="222">
        <v>71.0</v>
      </c>
      <c r="J420" s="222">
        <v>48.0</v>
      </c>
      <c r="K420" s="222">
        <v>2600.0</v>
      </c>
      <c r="L420" s="222" t="s">
        <v>44</v>
      </c>
      <c r="M420" s="223" t="s">
        <v>170</v>
      </c>
      <c r="N420" s="221">
        <v>2.0</v>
      </c>
      <c r="O420" s="222" t="s">
        <v>2002</v>
      </c>
      <c r="P420" s="222">
        <v>25.0</v>
      </c>
      <c r="Q420" s="222">
        <v>1800.0</v>
      </c>
      <c r="R420" s="224">
        <v>66.81</v>
      </c>
      <c r="S420" s="224" t="s">
        <v>170</v>
      </c>
      <c r="T420" s="225">
        <v>37.2</v>
      </c>
      <c r="U420" s="226">
        <v>52.0</v>
      </c>
      <c r="V420" s="221" t="s">
        <v>166</v>
      </c>
      <c r="W420" s="241" t="s">
        <v>174</v>
      </c>
      <c r="X420" s="222" t="s">
        <v>166</v>
      </c>
      <c r="Y420" s="223" t="s">
        <v>166</v>
      </c>
      <c r="Z420" s="221" t="s">
        <v>174</v>
      </c>
      <c r="AA420" s="222" t="s">
        <v>174</v>
      </c>
      <c r="AB420" s="222" t="s">
        <v>174</v>
      </c>
      <c r="AC420" s="222" t="s">
        <v>174</v>
      </c>
      <c r="AD420" s="222" t="s">
        <v>174</v>
      </c>
      <c r="AE420" s="222" t="s">
        <v>170</v>
      </c>
      <c r="AF420" s="222" t="s">
        <v>174</v>
      </c>
      <c r="AG420" s="222" t="s">
        <v>170</v>
      </c>
      <c r="AH420" s="222"/>
    </row>
    <row r="421">
      <c r="A421" s="272" t="s">
        <v>1630</v>
      </c>
      <c r="B421" s="257" t="s">
        <v>2440</v>
      </c>
      <c r="C421" s="221">
        <v>240.0</v>
      </c>
      <c r="D421" s="222">
        <v>274.0</v>
      </c>
      <c r="E421" s="222">
        <v>120.0</v>
      </c>
      <c r="F421" s="222">
        <v>27.0</v>
      </c>
      <c r="G421" s="223" t="s">
        <v>164</v>
      </c>
      <c r="H421" s="221">
        <v>80.3</v>
      </c>
      <c r="I421" s="222">
        <v>71.0</v>
      </c>
      <c r="J421" s="222">
        <v>48.0</v>
      </c>
      <c r="K421" s="222">
        <v>2500.0</v>
      </c>
      <c r="L421" s="222" t="s">
        <v>44</v>
      </c>
      <c r="M421" s="223" t="s">
        <v>170</v>
      </c>
      <c r="N421" s="221">
        <v>2.0</v>
      </c>
      <c r="O421" s="222" t="s">
        <v>2002</v>
      </c>
      <c r="P421" s="222">
        <v>25.0</v>
      </c>
      <c r="Q421" s="222">
        <v>1500.0</v>
      </c>
      <c r="R421" s="224">
        <v>66.81</v>
      </c>
      <c r="S421" s="224" t="s">
        <v>170</v>
      </c>
      <c r="T421" s="225">
        <v>37.2</v>
      </c>
      <c r="U421" s="226">
        <v>52.0</v>
      </c>
      <c r="V421" s="221" t="s">
        <v>166</v>
      </c>
      <c r="W421" s="241" t="s">
        <v>166</v>
      </c>
      <c r="X421" s="222" t="s">
        <v>166</v>
      </c>
      <c r="Y421" s="223" t="s">
        <v>166</v>
      </c>
      <c r="Z421" s="221" t="s">
        <v>174</v>
      </c>
      <c r="AA421" s="222" t="s">
        <v>174</v>
      </c>
      <c r="AB421" s="222" t="s">
        <v>174</v>
      </c>
      <c r="AC421" s="222" t="s">
        <v>174</v>
      </c>
      <c r="AD421" s="222" t="s">
        <v>174</v>
      </c>
      <c r="AE421" s="222" t="s">
        <v>170</v>
      </c>
      <c r="AF421" s="222" t="s">
        <v>174</v>
      </c>
      <c r="AG421" s="222" t="s">
        <v>170</v>
      </c>
      <c r="AH421" s="222"/>
    </row>
    <row r="422">
      <c r="A422" s="272" t="s">
        <v>1630</v>
      </c>
      <c r="B422" s="257" t="s">
        <v>2441</v>
      </c>
      <c r="C422" s="221">
        <v>240.0</v>
      </c>
      <c r="D422" s="222">
        <v>274.0</v>
      </c>
      <c r="E422" s="222">
        <v>120.0</v>
      </c>
      <c r="F422" s="222">
        <v>27.0</v>
      </c>
      <c r="G422" s="223" t="s">
        <v>164</v>
      </c>
      <c r="H422" s="221">
        <v>80.3</v>
      </c>
      <c r="I422" s="222">
        <v>71.0</v>
      </c>
      <c r="J422" s="222">
        <v>48.0</v>
      </c>
      <c r="K422" s="222">
        <v>2500.0</v>
      </c>
      <c r="L422" s="222" t="s">
        <v>44</v>
      </c>
      <c r="M422" s="223" t="s">
        <v>170</v>
      </c>
      <c r="N422" s="221">
        <v>2.0</v>
      </c>
      <c r="O422" s="222" t="s">
        <v>2002</v>
      </c>
      <c r="P422" s="222">
        <v>25.0</v>
      </c>
      <c r="Q422" s="222">
        <v>1500.0</v>
      </c>
      <c r="R422" s="224">
        <v>66.81</v>
      </c>
      <c r="S422" s="224" t="s">
        <v>170</v>
      </c>
      <c r="T422" s="225">
        <v>37.2</v>
      </c>
      <c r="U422" s="226">
        <v>52.0</v>
      </c>
      <c r="V422" s="221" t="s">
        <v>166</v>
      </c>
      <c r="W422" s="241" t="s">
        <v>166</v>
      </c>
      <c r="X422" s="222" t="s">
        <v>166</v>
      </c>
      <c r="Y422" s="223" t="s">
        <v>166</v>
      </c>
      <c r="Z422" s="221" t="s">
        <v>174</v>
      </c>
      <c r="AA422" s="222" t="s">
        <v>174</v>
      </c>
      <c r="AB422" s="222" t="s">
        <v>174</v>
      </c>
      <c r="AC422" s="222" t="s">
        <v>174</v>
      </c>
      <c r="AD422" s="222" t="s">
        <v>174</v>
      </c>
      <c r="AE422" s="222" t="s">
        <v>170</v>
      </c>
      <c r="AF422" s="222" t="s">
        <v>174</v>
      </c>
      <c r="AG422" s="222" t="s">
        <v>170</v>
      </c>
      <c r="AH422" s="222"/>
    </row>
    <row r="423">
      <c r="A423" s="272" t="s">
        <v>1630</v>
      </c>
      <c r="B423" s="257" t="s">
        <v>2442</v>
      </c>
      <c r="C423" s="221">
        <v>360.0</v>
      </c>
      <c r="D423" s="222">
        <v>394.0</v>
      </c>
      <c r="E423" s="222">
        <v>119.2</v>
      </c>
      <c r="F423" s="222">
        <v>27.0</v>
      </c>
      <c r="G423" s="223" t="s">
        <v>164</v>
      </c>
      <c r="H423" s="221">
        <v>80.3</v>
      </c>
      <c r="I423" s="222">
        <v>71.0</v>
      </c>
      <c r="J423" s="222">
        <v>48.0</v>
      </c>
      <c r="K423" s="222">
        <v>2600.0</v>
      </c>
      <c r="L423" s="222" t="s">
        <v>44</v>
      </c>
      <c r="M423" s="223" t="s">
        <v>170</v>
      </c>
      <c r="N423" s="221">
        <v>3.0</v>
      </c>
      <c r="O423" s="222" t="s">
        <v>2002</v>
      </c>
      <c r="P423" s="222">
        <v>25.0</v>
      </c>
      <c r="Q423" s="222">
        <v>1800.0</v>
      </c>
      <c r="R423" s="224">
        <v>66.81</v>
      </c>
      <c r="S423" s="224" t="s">
        <v>170</v>
      </c>
      <c r="T423" s="225">
        <v>37.2</v>
      </c>
      <c r="U423" s="226">
        <v>52.0</v>
      </c>
      <c r="V423" s="221" t="s">
        <v>166</v>
      </c>
      <c r="W423" s="241" t="s">
        <v>174</v>
      </c>
      <c r="X423" s="222" t="s">
        <v>166</v>
      </c>
      <c r="Y423" s="223" t="s">
        <v>174</v>
      </c>
      <c r="Z423" s="221" t="s">
        <v>174</v>
      </c>
      <c r="AA423" s="222" t="s">
        <v>174</v>
      </c>
      <c r="AB423" s="222" t="s">
        <v>174</v>
      </c>
      <c r="AC423" s="222" t="s">
        <v>174</v>
      </c>
      <c r="AD423" s="222" t="s">
        <v>174</v>
      </c>
      <c r="AE423" s="222" t="s">
        <v>170</v>
      </c>
      <c r="AF423" s="222" t="s">
        <v>174</v>
      </c>
      <c r="AG423" s="222" t="s">
        <v>170</v>
      </c>
      <c r="AH423" s="222"/>
    </row>
    <row r="424">
      <c r="A424" s="272" t="s">
        <v>1630</v>
      </c>
      <c r="B424" s="257" t="s">
        <v>2443</v>
      </c>
      <c r="C424" s="221">
        <v>240.0</v>
      </c>
      <c r="D424" s="222">
        <v>274.0</v>
      </c>
      <c r="E424" s="222">
        <v>120.0</v>
      </c>
      <c r="F424" s="222">
        <v>27.0</v>
      </c>
      <c r="G424" s="223" t="s">
        <v>164</v>
      </c>
      <c r="H424" s="221">
        <v>80.3</v>
      </c>
      <c r="I424" s="222">
        <v>67.0</v>
      </c>
      <c r="J424" s="222">
        <v>46.0</v>
      </c>
      <c r="K424" s="222">
        <v>2500.0</v>
      </c>
      <c r="L424" s="222" t="s">
        <v>44</v>
      </c>
      <c r="M424" s="223" t="s">
        <v>170</v>
      </c>
      <c r="N424" s="221">
        <v>2.0</v>
      </c>
      <c r="O424" s="222" t="s">
        <v>2002</v>
      </c>
      <c r="P424" s="222">
        <v>25.0</v>
      </c>
      <c r="Q424" s="222">
        <v>1800.0</v>
      </c>
      <c r="R424" s="224">
        <v>71.0</v>
      </c>
      <c r="S424" s="224" t="s">
        <v>170</v>
      </c>
      <c r="T424" s="225">
        <v>35.7</v>
      </c>
      <c r="U424" s="226">
        <v>52.0</v>
      </c>
      <c r="V424" s="221" t="s">
        <v>166</v>
      </c>
      <c r="W424" s="241" t="s">
        <v>174</v>
      </c>
      <c r="X424" s="222" t="s">
        <v>166</v>
      </c>
      <c r="Y424" s="223" t="s">
        <v>166</v>
      </c>
      <c r="Z424" s="221" t="s">
        <v>174</v>
      </c>
      <c r="AA424" s="222" t="s">
        <v>174</v>
      </c>
      <c r="AB424" s="222" t="s">
        <v>174</v>
      </c>
      <c r="AC424" s="222" t="s">
        <v>174</v>
      </c>
      <c r="AD424" s="222" t="s">
        <v>174</v>
      </c>
      <c r="AE424" s="222" t="s">
        <v>170</v>
      </c>
      <c r="AF424" s="222" t="s">
        <v>174</v>
      </c>
      <c r="AG424" s="222" t="s">
        <v>170</v>
      </c>
      <c r="AH424" s="222"/>
    </row>
    <row r="425">
      <c r="A425" s="272" t="s">
        <v>1630</v>
      </c>
      <c r="B425" s="257" t="s">
        <v>2444</v>
      </c>
      <c r="C425" s="221">
        <v>240.0</v>
      </c>
      <c r="D425" s="222">
        <v>274.0</v>
      </c>
      <c r="E425" s="222">
        <v>120.0</v>
      </c>
      <c r="F425" s="222">
        <v>27.0</v>
      </c>
      <c r="G425" s="223" t="s">
        <v>164</v>
      </c>
      <c r="H425" s="221">
        <v>93.0</v>
      </c>
      <c r="I425" s="222">
        <v>67.0</v>
      </c>
      <c r="J425" s="222">
        <v>46.0</v>
      </c>
      <c r="K425" s="222">
        <v>2500.0</v>
      </c>
      <c r="L425" s="222" t="s">
        <v>44</v>
      </c>
      <c r="M425" s="223" t="s">
        <v>170</v>
      </c>
      <c r="N425" s="221">
        <v>2.0</v>
      </c>
      <c r="O425" s="222" t="s">
        <v>2002</v>
      </c>
      <c r="P425" s="222">
        <v>25.0</v>
      </c>
      <c r="Q425" s="222">
        <v>1800.0</v>
      </c>
      <c r="R425" s="224">
        <v>71.0</v>
      </c>
      <c r="S425" s="224" t="s">
        <v>170</v>
      </c>
      <c r="T425" s="225">
        <v>35.7</v>
      </c>
      <c r="U425" s="226">
        <v>52.0</v>
      </c>
      <c r="V425" s="221" t="s">
        <v>166</v>
      </c>
      <c r="W425" s="241" t="s">
        <v>174</v>
      </c>
      <c r="X425" s="222" t="s">
        <v>166</v>
      </c>
      <c r="Y425" s="223" t="s">
        <v>166</v>
      </c>
      <c r="Z425" s="221" t="s">
        <v>174</v>
      </c>
      <c r="AA425" s="222" t="s">
        <v>174</v>
      </c>
      <c r="AB425" s="222" t="s">
        <v>166</v>
      </c>
      <c r="AC425" s="222" t="s">
        <v>174</v>
      </c>
      <c r="AD425" s="222" t="s">
        <v>166</v>
      </c>
      <c r="AE425" s="222" t="s">
        <v>174</v>
      </c>
      <c r="AF425" s="222" t="s">
        <v>174</v>
      </c>
      <c r="AG425" s="222" t="s">
        <v>170</v>
      </c>
      <c r="AH425" s="222"/>
    </row>
    <row r="426">
      <c r="A426" s="272" t="s">
        <v>1630</v>
      </c>
      <c r="B426" s="257" t="s">
        <v>2445</v>
      </c>
      <c r="C426" s="221">
        <v>240.0</v>
      </c>
      <c r="D426" s="222">
        <v>276.8</v>
      </c>
      <c r="E426" s="222">
        <v>119.2</v>
      </c>
      <c r="F426" s="222">
        <v>27.2</v>
      </c>
      <c r="G426" s="223" t="s">
        <v>164</v>
      </c>
      <c r="H426" s="221">
        <v>80.3</v>
      </c>
      <c r="I426" s="222">
        <v>67.0</v>
      </c>
      <c r="J426" s="222">
        <v>46.0</v>
      </c>
      <c r="K426" s="222">
        <v>2500.0</v>
      </c>
      <c r="L426" s="222" t="s">
        <v>44</v>
      </c>
      <c r="M426" s="223" t="s">
        <v>170</v>
      </c>
      <c r="N426" s="221">
        <v>2.0</v>
      </c>
      <c r="O426" s="222" t="s">
        <v>2002</v>
      </c>
      <c r="P426" s="222">
        <v>25.0</v>
      </c>
      <c r="Q426" s="222">
        <v>1800.0</v>
      </c>
      <c r="R426" s="224">
        <v>71.0</v>
      </c>
      <c r="S426" s="224" t="s">
        <v>170</v>
      </c>
      <c r="T426" s="225">
        <v>35.7</v>
      </c>
      <c r="U426" s="226">
        <v>52.2</v>
      </c>
      <c r="V426" s="221" t="s">
        <v>166</v>
      </c>
      <c r="W426" s="241" t="s">
        <v>174</v>
      </c>
      <c r="X426" s="222" t="s">
        <v>166</v>
      </c>
      <c r="Y426" s="223" t="s">
        <v>166</v>
      </c>
      <c r="Z426" s="221" t="s">
        <v>174</v>
      </c>
      <c r="AA426" s="222" t="s">
        <v>174</v>
      </c>
      <c r="AB426" s="222" t="s">
        <v>166</v>
      </c>
      <c r="AC426" s="222" t="s">
        <v>174</v>
      </c>
      <c r="AD426" s="222" t="s">
        <v>166</v>
      </c>
      <c r="AE426" s="222" t="s">
        <v>174</v>
      </c>
      <c r="AF426" s="222" t="s">
        <v>174</v>
      </c>
      <c r="AG426" s="222" t="s">
        <v>170</v>
      </c>
      <c r="AH426" s="222"/>
    </row>
    <row r="427">
      <c r="A427" s="272" t="s">
        <v>1630</v>
      </c>
      <c r="B427" s="257" t="s">
        <v>2446</v>
      </c>
      <c r="C427" s="221">
        <v>240.0</v>
      </c>
      <c r="D427" s="222">
        <v>274.0</v>
      </c>
      <c r="E427" s="222">
        <v>120.0</v>
      </c>
      <c r="F427" s="222">
        <v>27.0</v>
      </c>
      <c r="G427" s="223" t="s">
        <v>164</v>
      </c>
      <c r="H427" s="221">
        <v>80.3</v>
      </c>
      <c r="I427" s="222">
        <v>67.0</v>
      </c>
      <c r="J427" s="222">
        <v>46.0</v>
      </c>
      <c r="K427" s="222">
        <v>2500.0</v>
      </c>
      <c r="L427" s="222" t="s">
        <v>44</v>
      </c>
      <c r="M427" s="223" t="s">
        <v>170</v>
      </c>
      <c r="N427" s="221">
        <v>2.0</v>
      </c>
      <c r="O427" s="222" t="s">
        <v>2002</v>
      </c>
      <c r="P427" s="222">
        <v>25.0</v>
      </c>
      <c r="Q427" s="222">
        <v>1800.0</v>
      </c>
      <c r="R427" s="224">
        <v>71.0</v>
      </c>
      <c r="S427" s="224" t="s">
        <v>170</v>
      </c>
      <c r="T427" s="225">
        <v>35.7</v>
      </c>
      <c r="U427" s="226">
        <v>52.0</v>
      </c>
      <c r="V427" s="221" t="s">
        <v>166</v>
      </c>
      <c r="W427" s="241" t="s">
        <v>166</v>
      </c>
      <c r="X427" s="222" t="s">
        <v>166</v>
      </c>
      <c r="Y427" s="223" t="s">
        <v>166</v>
      </c>
      <c r="Z427" s="221" t="s">
        <v>174</v>
      </c>
      <c r="AA427" s="222" t="s">
        <v>174</v>
      </c>
      <c r="AB427" s="222" t="s">
        <v>166</v>
      </c>
      <c r="AC427" s="222" t="s">
        <v>174</v>
      </c>
      <c r="AD427" s="222" t="s">
        <v>166</v>
      </c>
      <c r="AE427" s="222" t="s">
        <v>174</v>
      </c>
      <c r="AF427" s="222" t="s">
        <v>174</v>
      </c>
      <c r="AG427" s="222" t="s">
        <v>170</v>
      </c>
      <c r="AH427" s="222"/>
    </row>
    <row r="428">
      <c r="A428" s="272" t="s">
        <v>1630</v>
      </c>
      <c r="B428" s="257" t="s">
        <v>2447</v>
      </c>
      <c r="C428" s="221">
        <v>240.0</v>
      </c>
      <c r="D428" s="222">
        <v>274.0</v>
      </c>
      <c r="E428" s="222">
        <v>120.0</v>
      </c>
      <c r="F428" s="222">
        <v>27.0</v>
      </c>
      <c r="G428" s="223" t="s">
        <v>164</v>
      </c>
      <c r="H428" s="221">
        <v>80.3</v>
      </c>
      <c r="I428" s="222">
        <v>71.0</v>
      </c>
      <c r="J428" s="222">
        <v>48.0</v>
      </c>
      <c r="K428" s="222">
        <v>2500.0</v>
      </c>
      <c r="L428" s="222" t="s">
        <v>44</v>
      </c>
      <c r="M428" s="223" t="s">
        <v>170</v>
      </c>
      <c r="N428" s="221">
        <v>2.0</v>
      </c>
      <c r="O428" s="222" t="s">
        <v>2002</v>
      </c>
      <c r="P428" s="222">
        <v>25.0</v>
      </c>
      <c r="Q428" s="222">
        <v>1500.0</v>
      </c>
      <c r="R428" s="224">
        <v>66.81</v>
      </c>
      <c r="S428" s="224" t="s">
        <v>170</v>
      </c>
      <c r="T428" s="225">
        <v>37.2</v>
      </c>
      <c r="U428" s="226">
        <v>52.0</v>
      </c>
      <c r="V428" s="221" t="s">
        <v>166</v>
      </c>
      <c r="W428" s="241" t="s">
        <v>166</v>
      </c>
      <c r="X428" s="222" t="s">
        <v>166</v>
      </c>
      <c r="Y428" s="223" t="s">
        <v>166</v>
      </c>
      <c r="Z428" s="221" t="s">
        <v>174</v>
      </c>
      <c r="AA428" s="222" t="s">
        <v>174</v>
      </c>
      <c r="AB428" s="222" t="s">
        <v>166</v>
      </c>
      <c r="AC428" s="222" t="s">
        <v>174</v>
      </c>
      <c r="AD428" s="222" t="s">
        <v>166</v>
      </c>
      <c r="AE428" s="222" t="s">
        <v>174</v>
      </c>
      <c r="AF428" s="222" t="s">
        <v>174</v>
      </c>
      <c r="AG428" s="222" t="s">
        <v>170</v>
      </c>
      <c r="AH428" s="222"/>
    </row>
    <row r="429">
      <c r="A429" s="272" t="s">
        <v>1630</v>
      </c>
      <c r="B429" s="257" t="s">
        <v>2448</v>
      </c>
      <c r="C429" s="221">
        <v>360.0</v>
      </c>
      <c r="D429" s="222">
        <v>394.0</v>
      </c>
      <c r="E429" s="222">
        <v>120.0</v>
      </c>
      <c r="F429" s="222">
        <v>27.0</v>
      </c>
      <c r="G429" s="223" t="s">
        <v>164</v>
      </c>
      <c r="H429" s="221">
        <v>80.3</v>
      </c>
      <c r="I429" s="222">
        <v>67.0</v>
      </c>
      <c r="J429" s="222">
        <v>46.0</v>
      </c>
      <c r="K429" s="222">
        <v>2500.0</v>
      </c>
      <c r="L429" s="222" t="s">
        <v>44</v>
      </c>
      <c r="M429" s="223" t="s">
        <v>170</v>
      </c>
      <c r="N429" s="221">
        <v>3.0</v>
      </c>
      <c r="O429" s="222" t="s">
        <v>2002</v>
      </c>
      <c r="P429" s="222">
        <v>25.0</v>
      </c>
      <c r="Q429" s="222">
        <v>1800.0</v>
      </c>
      <c r="R429" s="224">
        <v>71.0</v>
      </c>
      <c r="S429" s="224" t="s">
        <v>170</v>
      </c>
      <c r="T429" s="225">
        <v>35.7</v>
      </c>
      <c r="U429" s="226">
        <v>52.0</v>
      </c>
      <c r="V429" s="221" t="s">
        <v>166</v>
      </c>
      <c r="W429" s="241" t="s">
        <v>174</v>
      </c>
      <c r="X429" s="222" t="s">
        <v>166</v>
      </c>
      <c r="Y429" s="223" t="s">
        <v>166</v>
      </c>
      <c r="Z429" s="221" t="s">
        <v>174</v>
      </c>
      <c r="AA429" s="222" t="s">
        <v>174</v>
      </c>
      <c r="AB429" s="222" t="s">
        <v>166</v>
      </c>
      <c r="AC429" s="222" t="s">
        <v>174</v>
      </c>
      <c r="AD429" s="222" t="s">
        <v>166</v>
      </c>
      <c r="AE429" s="222" t="s">
        <v>174</v>
      </c>
      <c r="AF429" s="222" t="s">
        <v>174</v>
      </c>
      <c r="AG429" s="222" t="s">
        <v>170</v>
      </c>
      <c r="AH429" s="222"/>
    </row>
    <row r="430">
      <c r="A430" s="272" t="s">
        <v>1630</v>
      </c>
      <c r="B430" s="257" t="s">
        <v>2449</v>
      </c>
      <c r="C430" s="221">
        <v>360.0</v>
      </c>
      <c r="D430" s="222">
        <v>394.0</v>
      </c>
      <c r="E430" s="222">
        <v>120.0</v>
      </c>
      <c r="F430" s="222">
        <v>27.0</v>
      </c>
      <c r="G430" s="223" t="s">
        <v>164</v>
      </c>
      <c r="H430" s="221">
        <v>93.0</v>
      </c>
      <c r="I430" s="222">
        <v>67.0</v>
      </c>
      <c r="J430" s="222">
        <v>46.0</v>
      </c>
      <c r="K430" s="222">
        <v>2500.0</v>
      </c>
      <c r="L430" s="222" t="s">
        <v>44</v>
      </c>
      <c r="M430" s="223" t="s">
        <v>170</v>
      </c>
      <c r="N430" s="221">
        <v>3.0</v>
      </c>
      <c r="O430" s="222" t="s">
        <v>2002</v>
      </c>
      <c r="P430" s="222">
        <v>25.0</v>
      </c>
      <c r="Q430" s="222">
        <v>1800.0</v>
      </c>
      <c r="R430" s="224">
        <v>71.0</v>
      </c>
      <c r="S430" s="224" t="s">
        <v>170</v>
      </c>
      <c r="T430" s="225">
        <v>35.7</v>
      </c>
      <c r="U430" s="226">
        <v>52.0</v>
      </c>
      <c r="V430" s="221" t="s">
        <v>166</v>
      </c>
      <c r="W430" s="241" t="s">
        <v>174</v>
      </c>
      <c r="X430" s="222" t="s">
        <v>166</v>
      </c>
      <c r="Y430" s="223" t="s">
        <v>166</v>
      </c>
      <c r="Z430" s="221" t="s">
        <v>174</v>
      </c>
      <c r="AA430" s="222" t="s">
        <v>174</v>
      </c>
      <c r="AB430" s="222" t="s">
        <v>166</v>
      </c>
      <c r="AC430" s="222" t="s">
        <v>174</v>
      </c>
      <c r="AD430" s="222" t="s">
        <v>166</v>
      </c>
      <c r="AE430" s="222" t="s">
        <v>174</v>
      </c>
      <c r="AF430" s="222" t="s">
        <v>174</v>
      </c>
      <c r="AG430" s="222" t="s">
        <v>170</v>
      </c>
      <c r="AH430" s="222"/>
    </row>
    <row r="431">
      <c r="A431" s="272" t="s">
        <v>1630</v>
      </c>
      <c r="B431" s="257" t="s">
        <v>2450</v>
      </c>
      <c r="C431" s="221">
        <v>360.0</v>
      </c>
      <c r="D431" s="222">
        <v>394.0</v>
      </c>
      <c r="E431" s="222">
        <v>119.2</v>
      </c>
      <c r="F431" s="222">
        <v>27.5</v>
      </c>
      <c r="G431" s="223" t="s">
        <v>164</v>
      </c>
      <c r="H431" s="221">
        <v>80.3</v>
      </c>
      <c r="I431" s="222">
        <v>67.0</v>
      </c>
      <c r="J431" s="222">
        <v>46.0</v>
      </c>
      <c r="K431" s="222">
        <v>2500.0</v>
      </c>
      <c r="L431" s="222" t="s">
        <v>44</v>
      </c>
      <c r="M431" s="223" t="s">
        <v>170</v>
      </c>
      <c r="N431" s="221">
        <v>3.0</v>
      </c>
      <c r="O431" s="222" t="s">
        <v>2002</v>
      </c>
      <c r="P431" s="222">
        <v>25.0</v>
      </c>
      <c r="Q431" s="222">
        <v>1800.0</v>
      </c>
      <c r="R431" s="224">
        <v>71.0</v>
      </c>
      <c r="S431" s="224" t="s">
        <v>170</v>
      </c>
      <c r="T431" s="225">
        <v>35.7</v>
      </c>
      <c r="U431" s="226">
        <v>52.5</v>
      </c>
      <c r="V431" s="221" t="s">
        <v>166</v>
      </c>
      <c r="W431" s="241" t="s">
        <v>174</v>
      </c>
      <c r="X431" s="222" t="s">
        <v>166</v>
      </c>
      <c r="Y431" s="223" t="s">
        <v>166</v>
      </c>
      <c r="Z431" s="221" t="s">
        <v>174</v>
      </c>
      <c r="AA431" s="222" t="s">
        <v>174</v>
      </c>
      <c r="AB431" s="222" t="s">
        <v>166</v>
      </c>
      <c r="AC431" s="222" t="s">
        <v>174</v>
      </c>
      <c r="AD431" s="222" t="s">
        <v>166</v>
      </c>
      <c r="AE431" s="222" t="s">
        <v>174</v>
      </c>
      <c r="AF431" s="222" t="s">
        <v>174</v>
      </c>
      <c r="AG431" s="222" t="s">
        <v>170</v>
      </c>
      <c r="AH431" s="222"/>
    </row>
    <row r="432">
      <c r="A432" s="272" t="s">
        <v>1630</v>
      </c>
      <c r="B432" s="257" t="s">
        <v>2451</v>
      </c>
      <c r="C432" s="221">
        <v>360.0</v>
      </c>
      <c r="D432" s="222">
        <v>394.0</v>
      </c>
      <c r="E432" s="222">
        <v>120.0</v>
      </c>
      <c r="F432" s="222">
        <v>27.0</v>
      </c>
      <c r="G432" s="223" t="s">
        <v>164</v>
      </c>
      <c r="H432" s="221">
        <v>80.3</v>
      </c>
      <c r="I432" s="222">
        <v>67.0</v>
      </c>
      <c r="J432" s="222">
        <v>46.0</v>
      </c>
      <c r="K432" s="222">
        <v>2500.0</v>
      </c>
      <c r="L432" s="222" t="s">
        <v>44</v>
      </c>
      <c r="M432" s="223" t="s">
        <v>170</v>
      </c>
      <c r="N432" s="221">
        <v>3.0</v>
      </c>
      <c r="O432" s="222" t="s">
        <v>2002</v>
      </c>
      <c r="P432" s="222">
        <v>25.0</v>
      </c>
      <c r="Q432" s="222">
        <v>1800.0</v>
      </c>
      <c r="R432" s="224">
        <v>71.0</v>
      </c>
      <c r="S432" s="224" t="s">
        <v>170</v>
      </c>
      <c r="T432" s="225">
        <v>35.7</v>
      </c>
      <c r="U432" s="226">
        <v>52.0</v>
      </c>
      <c r="V432" s="221" t="s">
        <v>166</v>
      </c>
      <c r="W432" s="241" t="s">
        <v>166</v>
      </c>
      <c r="X432" s="222" t="s">
        <v>166</v>
      </c>
      <c r="Y432" s="223" t="s">
        <v>166</v>
      </c>
      <c r="Z432" s="221" t="s">
        <v>174</v>
      </c>
      <c r="AA432" s="222" t="s">
        <v>174</v>
      </c>
      <c r="AB432" s="222" t="s">
        <v>166</v>
      </c>
      <c r="AC432" s="222" t="s">
        <v>174</v>
      </c>
      <c r="AD432" s="222" t="s">
        <v>166</v>
      </c>
      <c r="AE432" s="222" t="s">
        <v>174</v>
      </c>
      <c r="AF432" s="222" t="s">
        <v>174</v>
      </c>
      <c r="AG432" s="222" t="s">
        <v>170</v>
      </c>
      <c r="AH432" s="222"/>
    </row>
    <row r="433">
      <c r="A433" s="272" t="s">
        <v>1630</v>
      </c>
      <c r="B433" s="257" t="s">
        <v>2452</v>
      </c>
      <c r="C433" s="221">
        <v>360.0</v>
      </c>
      <c r="D433" s="222">
        <v>394.0</v>
      </c>
      <c r="E433" s="222">
        <v>120.0</v>
      </c>
      <c r="F433" s="222">
        <v>27.0</v>
      </c>
      <c r="G433" s="223" t="s">
        <v>164</v>
      </c>
      <c r="H433" s="221">
        <v>80.3</v>
      </c>
      <c r="I433" s="222">
        <v>71.0</v>
      </c>
      <c r="J433" s="222">
        <v>48.0</v>
      </c>
      <c r="K433" s="222">
        <v>2500.0</v>
      </c>
      <c r="L433" s="222" t="s">
        <v>44</v>
      </c>
      <c r="M433" s="223" t="s">
        <v>170</v>
      </c>
      <c r="N433" s="221">
        <v>3.0</v>
      </c>
      <c r="O433" s="222" t="s">
        <v>2002</v>
      </c>
      <c r="P433" s="222">
        <v>25.0</v>
      </c>
      <c r="Q433" s="222">
        <v>1500.0</v>
      </c>
      <c r="R433" s="224">
        <v>66.81</v>
      </c>
      <c r="S433" s="224" t="s">
        <v>170</v>
      </c>
      <c r="T433" s="225">
        <v>37.2</v>
      </c>
      <c r="U433" s="226">
        <v>52.0</v>
      </c>
      <c r="V433" s="221" t="s">
        <v>166</v>
      </c>
      <c r="W433" s="241" t="s">
        <v>166</v>
      </c>
      <c r="X433" s="222" t="s">
        <v>166</v>
      </c>
      <c r="Y433" s="223" t="s">
        <v>166</v>
      </c>
      <c r="Z433" s="221" t="s">
        <v>174</v>
      </c>
      <c r="AA433" s="222" t="s">
        <v>174</v>
      </c>
      <c r="AB433" s="222" t="s">
        <v>166</v>
      </c>
      <c r="AC433" s="222" t="s">
        <v>174</v>
      </c>
      <c r="AD433" s="222" t="s">
        <v>166</v>
      </c>
      <c r="AE433" s="222" t="s">
        <v>174</v>
      </c>
      <c r="AF433" s="222" t="s">
        <v>174</v>
      </c>
      <c r="AG433" s="222" t="s">
        <v>170</v>
      </c>
      <c r="AH433" s="222"/>
    </row>
    <row r="434">
      <c r="A434" s="272" t="s">
        <v>1630</v>
      </c>
      <c r="B434" s="257" t="s">
        <v>2453</v>
      </c>
      <c r="C434" s="221">
        <v>240.0</v>
      </c>
      <c r="D434" s="222">
        <v>277.0</v>
      </c>
      <c r="E434" s="222">
        <v>120.0</v>
      </c>
      <c r="F434" s="222">
        <v>27.0</v>
      </c>
      <c r="G434" s="223" t="s">
        <v>164</v>
      </c>
      <c r="H434" s="221">
        <v>87.0</v>
      </c>
      <c r="I434" s="222">
        <v>75.0</v>
      </c>
      <c r="J434" s="222">
        <v>66.0</v>
      </c>
      <c r="K434" s="222">
        <v>5200.0</v>
      </c>
      <c r="L434" s="222" t="s">
        <v>2126</v>
      </c>
      <c r="M434" s="223" t="s">
        <v>170</v>
      </c>
      <c r="N434" s="221">
        <v>2.0</v>
      </c>
      <c r="O434" s="222" t="s">
        <v>2002</v>
      </c>
      <c r="P434" s="222">
        <v>25.0</v>
      </c>
      <c r="Q434" s="222">
        <v>1800.0</v>
      </c>
      <c r="R434" s="224">
        <v>83.04</v>
      </c>
      <c r="S434" s="224" t="s">
        <v>170</v>
      </c>
      <c r="T434" s="225">
        <v>35.7</v>
      </c>
      <c r="U434" s="226">
        <v>52.0</v>
      </c>
      <c r="V434" s="221" t="s">
        <v>166</v>
      </c>
      <c r="W434" s="241" t="s">
        <v>174</v>
      </c>
      <c r="X434" s="222" t="s">
        <v>166</v>
      </c>
      <c r="Y434" s="223" t="s">
        <v>166</v>
      </c>
      <c r="Z434" s="221" t="s">
        <v>166</v>
      </c>
      <c r="AA434" s="222" t="s">
        <v>174</v>
      </c>
      <c r="AB434" s="222" t="s">
        <v>166</v>
      </c>
      <c r="AC434" s="222" t="s">
        <v>174</v>
      </c>
      <c r="AD434" s="222" t="s">
        <v>166</v>
      </c>
      <c r="AE434" s="222" t="s">
        <v>174</v>
      </c>
      <c r="AF434" s="222" t="s">
        <v>174</v>
      </c>
      <c r="AG434" s="222" t="s">
        <v>2127</v>
      </c>
      <c r="AH434" s="222"/>
    </row>
    <row r="435">
      <c r="A435" s="272" t="s">
        <v>1630</v>
      </c>
      <c r="B435" s="257" t="s">
        <v>2454</v>
      </c>
      <c r="C435" s="221">
        <v>360.0</v>
      </c>
      <c r="D435" s="222">
        <v>397.0</v>
      </c>
      <c r="E435" s="222">
        <v>120.0</v>
      </c>
      <c r="F435" s="222">
        <v>27.0</v>
      </c>
      <c r="G435" s="223" t="s">
        <v>164</v>
      </c>
      <c r="H435" s="221">
        <v>87.0</v>
      </c>
      <c r="I435" s="222">
        <v>75.0</v>
      </c>
      <c r="J435" s="222">
        <v>66.0</v>
      </c>
      <c r="K435" s="222">
        <v>5200.0</v>
      </c>
      <c r="L435" s="222" t="s">
        <v>2126</v>
      </c>
      <c r="M435" s="223" t="s">
        <v>170</v>
      </c>
      <c r="N435" s="221">
        <v>2.0</v>
      </c>
      <c r="O435" s="222" t="s">
        <v>2002</v>
      </c>
      <c r="P435" s="222">
        <v>25.0</v>
      </c>
      <c r="Q435" s="222">
        <v>1800.0</v>
      </c>
      <c r="R435" s="224">
        <v>83.04</v>
      </c>
      <c r="S435" s="224" t="s">
        <v>170</v>
      </c>
      <c r="T435" s="225">
        <v>35.7</v>
      </c>
      <c r="U435" s="226">
        <v>52.0</v>
      </c>
      <c r="V435" s="221" t="s">
        <v>166</v>
      </c>
      <c r="W435" s="241" t="s">
        <v>174</v>
      </c>
      <c r="X435" s="222" t="s">
        <v>166</v>
      </c>
      <c r="Y435" s="223" t="s">
        <v>166</v>
      </c>
      <c r="Z435" s="221" t="s">
        <v>166</v>
      </c>
      <c r="AA435" s="222" t="s">
        <v>174</v>
      </c>
      <c r="AB435" s="222" t="s">
        <v>166</v>
      </c>
      <c r="AC435" s="222" t="s">
        <v>174</v>
      </c>
      <c r="AD435" s="222" t="s">
        <v>166</v>
      </c>
      <c r="AE435" s="222" t="s">
        <v>174</v>
      </c>
      <c r="AF435" s="222" t="s">
        <v>174</v>
      </c>
      <c r="AG435" s="222" t="s">
        <v>2127</v>
      </c>
      <c r="AH435" s="222"/>
    </row>
    <row r="436">
      <c r="A436" s="272" t="s">
        <v>1630</v>
      </c>
      <c r="B436" s="257" t="s">
        <v>2455</v>
      </c>
      <c r="C436" s="221">
        <v>240.0</v>
      </c>
      <c r="D436" s="222">
        <v>277.0</v>
      </c>
      <c r="E436" s="222">
        <v>120.0</v>
      </c>
      <c r="F436" s="222">
        <v>27.0</v>
      </c>
      <c r="G436" s="223" t="s">
        <v>164</v>
      </c>
      <c r="H436" s="221">
        <v>89.2</v>
      </c>
      <c r="I436" s="222">
        <v>74.0</v>
      </c>
      <c r="J436" s="222">
        <v>51.8</v>
      </c>
      <c r="K436" s="222">
        <v>2500.0</v>
      </c>
      <c r="L436" s="222" t="s">
        <v>44</v>
      </c>
      <c r="M436" s="223" t="s">
        <v>170</v>
      </c>
      <c r="N436" s="221">
        <v>2.0</v>
      </c>
      <c r="O436" s="222" t="s">
        <v>2002</v>
      </c>
      <c r="P436" s="222">
        <v>25.0</v>
      </c>
      <c r="Q436" s="222">
        <v>1800.0</v>
      </c>
      <c r="R436" s="224">
        <v>66.19</v>
      </c>
      <c r="S436" s="224" t="s">
        <v>170</v>
      </c>
      <c r="T436" s="225">
        <v>35.4</v>
      </c>
      <c r="U436" s="226">
        <v>52.0</v>
      </c>
      <c r="V436" s="221" t="s">
        <v>166</v>
      </c>
      <c r="W436" s="241" t="s">
        <v>174</v>
      </c>
      <c r="X436" s="222" t="s">
        <v>166</v>
      </c>
      <c r="Y436" s="223" t="s">
        <v>166</v>
      </c>
      <c r="Z436" s="221" t="s">
        <v>166</v>
      </c>
      <c r="AA436" s="222" t="s">
        <v>174</v>
      </c>
      <c r="AB436" s="222" t="s">
        <v>166</v>
      </c>
      <c r="AC436" s="222" t="s">
        <v>174</v>
      </c>
      <c r="AD436" s="222" t="s">
        <v>166</v>
      </c>
      <c r="AE436" s="222" t="s">
        <v>174</v>
      </c>
      <c r="AF436" s="222" t="s">
        <v>174</v>
      </c>
      <c r="AG436" s="222" t="s">
        <v>170</v>
      </c>
      <c r="AH436" s="222"/>
    </row>
    <row r="437">
      <c r="A437" s="272" t="s">
        <v>1630</v>
      </c>
      <c r="B437" s="257" t="s">
        <v>2456</v>
      </c>
      <c r="C437" s="221">
        <v>240.0</v>
      </c>
      <c r="D437" s="222">
        <v>277.0</v>
      </c>
      <c r="E437" s="222">
        <v>120.0</v>
      </c>
      <c r="F437" s="222">
        <v>27.0</v>
      </c>
      <c r="G437" s="223" t="s">
        <v>164</v>
      </c>
      <c r="H437" s="221">
        <v>89.2</v>
      </c>
      <c r="I437" s="222">
        <v>74.0</v>
      </c>
      <c r="J437" s="222">
        <v>51.8</v>
      </c>
      <c r="K437" s="222">
        <v>2500.0</v>
      </c>
      <c r="L437" s="222" t="s">
        <v>44</v>
      </c>
      <c r="M437" s="223" t="s">
        <v>170</v>
      </c>
      <c r="N437" s="221">
        <v>2.0</v>
      </c>
      <c r="O437" s="222" t="s">
        <v>2002</v>
      </c>
      <c r="P437" s="222">
        <v>25.0</v>
      </c>
      <c r="Q437" s="222">
        <v>1800.0</v>
      </c>
      <c r="R437" s="224">
        <v>66.19</v>
      </c>
      <c r="S437" s="224" t="s">
        <v>170</v>
      </c>
      <c r="T437" s="225">
        <v>35.4</v>
      </c>
      <c r="U437" s="226">
        <v>52.0</v>
      </c>
      <c r="V437" s="221" t="s">
        <v>166</v>
      </c>
      <c r="W437" s="241" t="s">
        <v>174</v>
      </c>
      <c r="X437" s="222" t="s">
        <v>166</v>
      </c>
      <c r="Y437" s="223" t="s">
        <v>166</v>
      </c>
      <c r="Z437" s="221" t="s">
        <v>166</v>
      </c>
      <c r="AA437" s="222" t="s">
        <v>174</v>
      </c>
      <c r="AB437" s="222" t="s">
        <v>166</v>
      </c>
      <c r="AC437" s="222" t="s">
        <v>174</v>
      </c>
      <c r="AD437" s="222" t="s">
        <v>166</v>
      </c>
      <c r="AE437" s="222" t="s">
        <v>174</v>
      </c>
      <c r="AF437" s="222" t="s">
        <v>174</v>
      </c>
      <c r="AG437" s="222" t="s">
        <v>170</v>
      </c>
      <c r="AH437" s="222"/>
    </row>
    <row r="438">
      <c r="A438" s="272" t="s">
        <v>1630</v>
      </c>
      <c r="B438" s="257" t="s">
        <v>2457</v>
      </c>
      <c r="C438" s="221">
        <v>360.0</v>
      </c>
      <c r="D438" s="222">
        <v>397.0</v>
      </c>
      <c r="E438" s="222">
        <v>120.0</v>
      </c>
      <c r="F438" s="222">
        <v>27.0</v>
      </c>
      <c r="G438" s="223" t="s">
        <v>164</v>
      </c>
      <c r="H438" s="221">
        <v>89.2</v>
      </c>
      <c r="I438" s="222">
        <v>74.0</v>
      </c>
      <c r="J438" s="222">
        <v>51.8</v>
      </c>
      <c r="K438" s="222">
        <v>2500.0</v>
      </c>
      <c r="L438" s="222" t="s">
        <v>44</v>
      </c>
      <c r="M438" s="223" t="s">
        <v>170</v>
      </c>
      <c r="N438" s="221">
        <v>3.0</v>
      </c>
      <c r="O438" s="222" t="s">
        <v>2002</v>
      </c>
      <c r="P438" s="222">
        <v>25.0</v>
      </c>
      <c r="Q438" s="222">
        <v>1800.0</v>
      </c>
      <c r="R438" s="224">
        <v>66.19</v>
      </c>
      <c r="S438" s="224" t="s">
        <v>170</v>
      </c>
      <c r="T438" s="225">
        <v>35.4</v>
      </c>
      <c r="U438" s="226">
        <v>52.0</v>
      </c>
      <c r="V438" s="221" t="s">
        <v>166</v>
      </c>
      <c r="W438" s="241" t="s">
        <v>174</v>
      </c>
      <c r="X438" s="222" t="s">
        <v>166</v>
      </c>
      <c r="Y438" s="223" t="s">
        <v>166</v>
      </c>
      <c r="Z438" s="221" t="s">
        <v>166</v>
      </c>
      <c r="AA438" s="222" t="s">
        <v>174</v>
      </c>
      <c r="AB438" s="222" t="s">
        <v>166</v>
      </c>
      <c r="AC438" s="222" t="s">
        <v>174</v>
      </c>
      <c r="AD438" s="222" t="s">
        <v>166</v>
      </c>
      <c r="AE438" s="222" t="s">
        <v>174</v>
      </c>
      <c r="AF438" s="222" t="s">
        <v>174</v>
      </c>
      <c r="AG438" s="222" t="s">
        <v>170</v>
      </c>
      <c r="AH438" s="222"/>
    </row>
    <row r="439">
      <c r="A439" s="272" t="s">
        <v>1630</v>
      </c>
      <c r="B439" s="257" t="s">
        <v>2458</v>
      </c>
      <c r="C439" s="221">
        <v>360.0</v>
      </c>
      <c r="D439" s="222">
        <v>397.0</v>
      </c>
      <c r="E439" s="222">
        <v>120.0</v>
      </c>
      <c r="F439" s="222">
        <v>27.0</v>
      </c>
      <c r="G439" s="223" t="s">
        <v>164</v>
      </c>
      <c r="H439" s="221">
        <v>89.2</v>
      </c>
      <c r="I439" s="222">
        <v>74.0</v>
      </c>
      <c r="J439" s="222">
        <v>51.8</v>
      </c>
      <c r="K439" s="222">
        <v>2500.0</v>
      </c>
      <c r="L439" s="222" t="s">
        <v>44</v>
      </c>
      <c r="M439" s="223" t="s">
        <v>170</v>
      </c>
      <c r="N439" s="221">
        <v>3.0</v>
      </c>
      <c r="O439" s="222" t="s">
        <v>2002</v>
      </c>
      <c r="P439" s="222">
        <v>25.0</v>
      </c>
      <c r="Q439" s="222">
        <v>1800.0</v>
      </c>
      <c r="R439" s="224">
        <v>66.19</v>
      </c>
      <c r="S439" s="224" t="s">
        <v>170</v>
      </c>
      <c r="T439" s="225">
        <v>35.4</v>
      </c>
      <c r="U439" s="226">
        <v>52.0</v>
      </c>
      <c r="V439" s="221" t="s">
        <v>166</v>
      </c>
      <c r="W439" s="241" t="s">
        <v>174</v>
      </c>
      <c r="X439" s="222" t="s">
        <v>166</v>
      </c>
      <c r="Y439" s="223" t="s">
        <v>166</v>
      </c>
      <c r="Z439" s="221" t="s">
        <v>166</v>
      </c>
      <c r="AA439" s="222" t="s">
        <v>174</v>
      </c>
      <c r="AB439" s="222" t="s">
        <v>166</v>
      </c>
      <c r="AC439" s="222" t="s">
        <v>174</v>
      </c>
      <c r="AD439" s="222" t="s">
        <v>166</v>
      </c>
      <c r="AE439" s="222" t="s">
        <v>174</v>
      </c>
      <c r="AF439" s="222" t="s">
        <v>174</v>
      </c>
      <c r="AG439" s="222" t="s">
        <v>170</v>
      </c>
      <c r="AH439" s="222"/>
    </row>
    <row r="440">
      <c r="A440" s="272" t="s">
        <v>1630</v>
      </c>
      <c r="B440" s="257" t="s">
        <v>2459</v>
      </c>
      <c r="C440" s="221">
        <v>120.0</v>
      </c>
      <c r="D440" s="222">
        <v>154.0</v>
      </c>
      <c r="E440" s="222">
        <v>120.0</v>
      </c>
      <c r="F440" s="222">
        <v>27.0</v>
      </c>
      <c r="G440" s="223" t="s">
        <v>164</v>
      </c>
      <c r="H440" s="221">
        <v>84.0</v>
      </c>
      <c r="I440" s="222">
        <v>75.0</v>
      </c>
      <c r="J440" s="222">
        <v>60.0</v>
      </c>
      <c r="K440" s="222">
        <v>2500.0</v>
      </c>
      <c r="L440" s="222" t="s">
        <v>44</v>
      </c>
      <c r="M440" s="223" t="s">
        <v>170</v>
      </c>
      <c r="N440" s="221">
        <v>1.0</v>
      </c>
      <c r="O440" s="222" t="s">
        <v>2002</v>
      </c>
      <c r="P440" s="222">
        <v>25.0</v>
      </c>
      <c r="Q440" s="222">
        <v>1500.0</v>
      </c>
      <c r="R440" s="224">
        <v>38.6</v>
      </c>
      <c r="S440" s="224" t="s">
        <v>170</v>
      </c>
      <c r="T440" s="225">
        <v>26.1</v>
      </c>
      <c r="U440" s="226">
        <v>52.0</v>
      </c>
      <c r="V440" s="221" t="s">
        <v>174</v>
      </c>
      <c r="W440" s="241" t="s">
        <v>166</v>
      </c>
      <c r="X440" s="222" t="s">
        <v>166</v>
      </c>
      <c r="Y440" s="223" t="s">
        <v>166</v>
      </c>
      <c r="Z440" s="221" t="s">
        <v>174</v>
      </c>
      <c r="AA440" s="222" t="s">
        <v>174</v>
      </c>
      <c r="AB440" s="222" t="s">
        <v>166</v>
      </c>
      <c r="AC440" s="222" t="s">
        <v>174</v>
      </c>
      <c r="AD440" s="222" t="s">
        <v>174</v>
      </c>
      <c r="AE440" s="222" t="s">
        <v>170</v>
      </c>
      <c r="AF440" s="222" t="s">
        <v>174</v>
      </c>
      <c r="AG440" s="222" t="s">
        <v>170</v>
      </c>
      <c r="AH440" s="222"/>
    </row>
    <row r="441">
      <c r="A441" s="272" t="s">
        <v>1630</v>
      </c>
      <c r="B441" s="257" t="s">
        <v>2460</v>
      </c>
      <c r="C441" s="221">
        <v>240.0</v>
      </c>
      <c r="D441" s="222">
        <v>274.0</v>
      </c>
      <c r="E441" s="222">
        <v>120.0</v>
      </c>
      <c r="F441" s="222">
        <v>27.0</v>
      </c>
      <c r="G441" s="223" t="s">
        <v>164</v>
      </c>
      <c r="H441" s="221">
        <v>84.0</v>
      </c>
      <c r="I441" s="222">
        <v>75.0</v>
      </c>
      <c r="J441" s="222">
        <v>60.0</v>
      </c>
      <c r="K441" s="222">
        <v>2500.0</v>
      </c>
      <c r="L441" s="222" t="s">
        <v>44</v>
      </c>
      <c r="M441" s="223" t="s">
        <v>170</v>
      </c>
      <c r="N441" s="221">
        <v>2.0</v>
      </c>
      <c r="O441" s="222" t="s">
        <v>2002</v>
      </c>
      <c r="P441" s="222">
        <v>25.0</v>
      </c>
      <c r="Q441" s="222">
        <v>1500.0</v>
      </c>
      <c r="R441" s="224">
        <v>38.6</v>
      </c>
      <c r="S441" s="224" t="s">
        <v>170</v>
      </c>
      <c r="T441" s="225">
        <v>26.1</v>
      </c>
      <c r="U441" s="226">
        <v>52.0</v>
      </c>
      <c r="V441" s="221" t="s">
        <v>174</v>
      </c>
      <c r="W441" s="241" t="s">
        <v>166</v>
      </c>
      <c r="X441" s="222" t="s">
        <v>166</v>
      </c>
      <c r="Y441" s="223" t="s">
        <v>166</v>
      </c>
      <c r="Z441" s="221" t="s">
        <v>174</v>
      </c>
      <c r="AA441" s="222" t="s">
        <v>174</v>
      </c>
      <c r="AB441" s="222" t="s">
        <v>174</v>
      </c>
      <c r="AC441" s="222" t="s">
        <v>174</v>
      </c>
      <c r="AD441" s="222" t="s">
        <v>174</v>
      </c>
      <c r="AE441" s="222" t="s">
        <v>170</v>
      </c>
      <c r="AF441" s="222" t="s">
        <v>174</v>
      </c>
      <c r="AG441" s="222" t="s">
        <v>170</v>
      </c>
      <c r="AH441" s="222"/>
    </row>
    <row r="442">
      <c r="A442" s="272" t="s">
        <v>1630</v>
      </c>
      <c r="B442" s="257" t="s">
        <v>2461</v>
      </c>
      <c r="C442" s="221">
        <v>120.0</v>
      </c>
      <c r="D442" s="222">
        <v>154.0</v>
      </c>
      <c r="E442" s="222">
        <v>120.0</v>
      </c>
      <c r="F442" s="222">
        <v>27.0</v>
      </c>
      <c r="G442" s="223" t="s">
        <v>164</v>
      </c>
      <c r="H442" s="221">
        <v>70.0</v>
      </c>
      <c r="I442" s="222">
        <v>70.0</v>
      </c>
      <c r="J442" s="222">
        <v>48.0</v>
      </c>
      <c r="K442" s="222" t="s">
        <v>170</v>
      </c>
      <c r="L442" s="222" t="s">
        <v>44</v>
      </c>
      <c r="M442" s="223">
        <v>310.0</v>
      </c>
      <c r="N442" s="221">
        <v>1.0</v>
      </c>
      <c r="O442" s="222" t="s">
        <v>2002</v>
      </c>
      <c r="P442" s="222">
        <v>25.0</v>
      </c>
      <c r="Q442" s="222">
        <v>1500.0</v>
      </c>
      <c r="R442" s="224">
        <v>50.4</v>
      </c>
      <c r="S442" s="224" t="s">
        <v>170</v>
      </c>
      <c r="T442" s="225">
        <v>25.0</v>
      </c>
      <c r="U442" s="226">
        <v>52.0</v>
      </c>
      <c r="V442" s="221" t="s">
        <v>166</v>
      </c>
      <c r="W442" s="241" t="s">
        <v>166</v>
      </c>
      <c r="X442" s="222" t="s">
        <v>166</v>
      </c>
      <c r="Y442" s="223" t="s">
        <v>166</v>
      </c>
      <c r="Z442" s="221" t="s">
        <v>174</v>
      </c>
      <c r="AA442" s="222" t="s">
        <v>174</v>
      </c>
      <c r="AB442" s="222" t="s">
        <v>166</v>
      </c>
      <c r="AC442" s="222" t="s">
        <v>174</v>
      </c>
      <c r="AD442" s="222" t="s">
        <v>174</v>
      </c>
      <c r="AE442" s="222" t="s">
        <v>170</v>
      </c>
      <c r="AF442" s="222" t="s">
        <v>174</v>
      </c>
      <c r="AG442" s="222" t="s">
        <v>170</v>
      </c>
      <c r="AH442" s="222"/>
    </row>
    <row r="443">
      <c r="A443" s="272" t="s">
        <v>1630</v>
      </c>
      <c r="B443" s="257" t="s">
        <v>2462</v>
      </c>
      <c r="C443" s="221">
        <v>120.0</v>
      </c>
      <c r="D443" s="222">
        <v>154.0</v>
      </c>
      <c r="E443" s="222">
        <v>120.0</v>
      </c>
      <c r="F443" s="222">
        <v>27.0</v>
      </c>
      <c r="G443" s="223" t="s">
        <v>164</v>
      </c>
      <c r="H443" s="221">
        <v>70.0</v>
      </c>
      <c r="I443" s="222">
        <v>70.0</v>
      </c>
      <c r="J443" s="222">
        <v>48.0</v>
      </c>
      <c r="K443" s="222" t="s">
        <v>170</v>
      </c>
      <c r="L443" s="222" t="s">
        <v>44</v>
      </c>
      <c r="M443" s="223">
        <v>310.0</v>
      </c>
      <c r="N443" s="221">
        <v>1.0</v>
      </c>
      <c r="O443" s="222" t="s">
        <v>2002</v>
      </c>
      <c r="P443" s="222">
        <v>25.0</v>
      </c>
      <c r="Q443" s="222">
        <v>1500.0</v>
      </c>
      <c r="R443" s="224">
        <v>50.4</v>
      </c>
      <c r="S443" s="224" t="s">
        <v>170</v>
      </c>
      <c r="T443" s="225">
        <v>25.0</v>
      </c>
      <c r="U443" s="226">
        <v>52.0</v>
      </c>
      <c r="V443" s="221" t="s">
        <v>166</v>
      </c>
      <c r="W443" s="241" t="s">
        <v>166</v>
      </c>
      <c r="X443" s="222" t="s">
        <v>166</v>
      </c>
      <c r="Y443" s="223" t="s">
        <v>166</v>
      </c>
      <c r="Z443" s="221" t="s">
        <v>174</v>
      </c>
      <c r="AA443" s="222" t="s">
        <v>174</v>
      </c>
      <c r="AB443" s="222" t="s">
        <v>166</v>
      </c>
      <c r="AC443" s="222" t="s">
        <v>174</v>
      </c>
      <c r="AD443" s="222" t="s">
        <v>174</v>
      </c>
      <c r="AE443" s="222" t="s">
        <v>170</v>
      </c>
      <c r="AF443" s="222" t="s">
        <v>174</v>
      </c>
      <c r="AG443" s="222" t="s">
        <v>170</v>
      </c>
      <c r="AH443" s="222"/>
    </row>
    <row r="444">
      <c r="A444" s="272" t="s">
        <v>1630</v>
      </c>
      <c r="B444" s="257" t="s">
        <v>2463</v>
      </c>
      <c r="C444" s="221">
        <v>120.0</v>
      </c>
      <c r="D444" s="222">
        <v>154.0</v>
      </c>
      <c r="E444" s="222">
        <v>120.0</v>
      </c>
      <c r="F444" s="222">
        <v>27.0</v>
      </c>
      <c r="G444" s="223" t="s">
        <v>164</v>
      </c>
      <c r="H444" s="221">
        <v>70.0</v>
      </c>
      <c r="I444" s="222">
        <v>70.0</v>
      </c>
      <c r="J444" s="222">
        <v>48.0</v>
      </c>
      <c r="K444" s="222" t="s">
        <v>170</v>
      </c>
      <c r="L444" s="222" t="s">
        <v>44</v>
      </c>
      <c r="M444" s="223">
        <v>310.0</v>
      </c>
      <c r="N444" s="221">
        <v>1.0</v>
      </c>
      <c r="O444" s="222" t="s">
        <v>2002</v>
      </c>
      <c r="P444" s="222">
        <v>25.0</v>
      </c>
      <c r="Q444" s="222">
        <v>1500.0</v>
      </c>
      <c r="R444" s="224">
        <v>50.4</v>
      </c>
      <c r="S444" s="224" t="s">
        <v>170</v>
      </c>
      <c r="T444" s="225">
        <v>25.0</v>
      </c>
      <c r="U444" s="226">
        <v>52.0</v>
      </c>
      <c r="V444" s="221" t="s">
        <v>166</v>
      </c>
      <c r="W444" s="241" t="s">
        <v>166</v>
      </c>
      <c r="X444" s="222" t="s">
        <v>166</v>
      </c>
      <c r="Y444" s="223" t="s">
        <v>166</v>
      </c>
      <c r="Z444" s="221" t="s">
        <v>174</v>
      </c>
      <c r="AA444" s="222" t="s">
        <v>174</v>
      </c>
      <c r="AB444" s="222" t="s">
        <v>166</v>
      </c>
      <c r="AC444" s="222" t="s">
        <v>174</v>
      </c>
      <c r="AD444" s="222" t="s">
        <v>174</v>
      </c>
      <c r="AE444" s="222" t="s">
        <v>170</v>
      </c>
      <c r="AF444" s="222" t="s">
        <v>174</v>
      </c>
      <c r="AG444" s="222" t="s">
        <v>170</v>
      </c>
      <c r="AH444" s="222"/>
    </row>
    <row r="445">
      <c r="A445" s="272" t="s">
        <v>1630</v>
      </c>
      <c r="B445" s="257" t="s">
        <v>2464</v>
      </c>
      <c r="C445" s="221">
        <v>120.0</v>
      </c>
      <c r="D445" s="222">
        <v>155.0</v>
      </c>
      <c r="E445" s="222">
        <v>119.0</v>
      </c>
      <c r="F445" s="222">
        <v>27.2</v>
      </c>
      <c r="G445" s="223" t="s">
        <v>164</v>
      </c>
      <c r="H445" s="221">
        <v>91.0</v>
      </c>
      <c r="I445" s="222">
        <v>80.0</v>
      </c>
      <c r="J445" s="222">
        <v>61.0</v>
      </c>
      <c r="K445" s="222">
        <v>2500.0</v>
      </c>
      <c r="L445" s="222" t="s">
        <v>44</v>
      </c>
      <c r="M445" s="223" t="s">
        <v>170</v>
      </c>
      <c r="N445" s="221">
        <v>1.0</v>
      </c>
      <c r="O445" s="222" t="s">
        <v>2002</v>
      </c>
      <c r="P445" s="222">
        <v>25.0</v>
      </c>
      <c r="Q445" s="222">
        <v>1600.0</v>
      </c>
      <c r="R445" s="224">
        <v>42.8</v>
      </c>
      <c r="S445" s="224" t="s">
        <v>170</v>
      </c>
      <c r="T445" s="225">
        <v>26.0</v>
      </c>
      <c r="U445" s="226">
        <v>52.2</v>
      </c>
      <c r="V445" s="221" t="s">
        <v>166</v>
      </c>
      <c r="W445" s="241" t="s">
        <v>174</v>
      </c>
      <c r="X445" s="222" t="s">
        <v>166</v>
      </c>
      <c r="Y445" s="223" t="s">
        <v>166</v>
      </c>
      <c r="Z445" s="221" t="s">
        <v>174</v>
      </c>
      <c r="AA445" s="222" t="s">
        <v>174</v>
      </c>
      <c r="AB445" s="222" t="s">
        <v>174</v>
      </c>
      <c r="AC445" s="222" t="s">
        <v>174</v>
      </c>
      <c r="AD445" s="222" t="s">
        <v>174</v>
      </c>
      <c r="AE445" s="222" t="s">
        <v>170</v>
      </c>
      <c r="AF445" s="222" t="s">
        <v>174</v>
      </c>
      <c r="AG445" s="222" t="s">
        <v>170</v>
      </c>
      <c r="AH445" s="222"/>
    </row>
    <row r="446">
      <c r="A446" s="272" t="s">
        <v>1630</v>
      </c>
      <c r="B446" s="257" t="s">
        <v>2465</v>
      </c>
      <c r="C446" s="221">
        <v>240.0</v>
      </c>
      <c r="D446" s="222">
        <v>274.0</v>
      </c>
      <c r="E446" s="222">
        <v>120.0</v>
      </c>
      <c r="F446" s="222">
        <v>27.0</v>
      </c>
      <c r="G446" s="223" t="s">
        <v>164</v>
      </c>
      <c r="H446" s="221">
        <v>70.0</v>
      </c>
      <c r="I446" s="222">
        <v>70.0</v>
      </c>
      <c r="J446" s="222">
        <v>48.0</v>
      </c>
      <c r="K446" s="222" t="s">
        <v>170</v>
      </c>
      <c r="L446" s="222" t="s">
        <v>44</v>
      </c>
      <c r="M446" s="223">
        <v>310.0</v>
      </c>
      <c r="N446" s="221">
        <v>2.0</v>
      </c>
      <c r="O446" s="222" t="s">
        <v>2002</v>
      </c>
      <c r="P446" s="222">
        <v>25.0</v>
      </c>
      <c r="Q446" s="222">
        <v>1500.0</v>
      </c>
      <c r="R446" s="224">
        <v>50.4</v>
      </c>
      <c r="S446" s="224" t="s">
        <v>170</v>
      </c>
      <c r="T446" s="225">
        <v>25.0</v>
      </c>
      <c r="U446" s="226">
        <v>52.0</v>
      </c>
      <c r="V446" s="221" t="s">
        <v>166</v>
      </c>
      <c r="W446" s="241" t="s">
        <v>166</v>
      </c>
      <c r="X446" s="222" t="s">
        <v>166</v>
      </c>
      <c r="Y446" s="223" t="s">
        <v>166</v>
      </c>
      <c r="Z446" s="221" t="s">
        <v>174</v>
      </c>
      <c r="AA446" s="222" t="s">
        <v>174</v>
      </c>
      <c r="AB446" s="222" t="s">
        <v>166</v>
      </c>
      <c r="AC446" s="222" t="s">
        <v>174</v>
      </c>
      <c r="AD446" s="222" t="s">
        <v>174</v>
      </c>
      <c r="AE446" s="222" t="s">
        <v>170</v>
      </c>
      <c r="AF446" s="222" t="s">
        <v>174</v>
      </c>
      <c r="AG446" s="222" t="s">
        <v>170</v>
      </c>
      <c r="AH446" s="222"/>
    </row>
    <row r="447">
      <c r="A447" s="272" t="s">
        <v>1630</v>
      </c>
      <c r="B447" s="257" t="s">
        <v>2466</v>
      </c>
      <c r="C447" s="221">
        <v>240.0</v>
      </c>
      <c r="D447" s="222">
        <v>274.0</v>
      </c>
      <c r="E447" s="222">
        <v>120.0</v>
      </c>
      <c r="F447" s="222">
        <v>27.0</v>
      </c>
      <c r="G447" s="223" t="s">
        <v>164</v>
      </c>
      <c r="H447" s="221">
        <v>70.0</v>
      </c>
      <c r="I447" s="222">
        <v>70.0</v>
      </c>
      <c r="J447" s="222">
        <v>48.0</v>
      </c>
      <c r="K447" s="222" t="s">
        <v>170</v>
      </c>
      <c r="L447" s="222" t="s">
        <v>44</v>
      </c>
      <c r="M447" s="223">
        <v>310.0</v>
      </c>
      <c r="N447" s="221">
        <v>2.0</v>
      </c>
      <c r="O447" s="222" t="s">
        <v>2002</v>
      </c>
      <c r="P447" s="222">
        <v>25.0</v>
      </c>
      <c r="Q447" s="222">
        <v>1500.0</v>
      </c>
      <c r="R447" s="224">
        <v>50.4</v>
      </c>
      <c r="S447" s="224" t="s">
        <v>170</v>
      </c>
      <c r="T447" s="225">
        <v>25.0</v>
      </c>
      <c r="U447" s="226">
        <v>52.0</v>
      </c>
      <c r="V447" s="221" t="s">
        <v>166</v>
      </c>
      <c r="W447" s="241" t="s">
        <v>166</v>
      </c>
      <c r="X447" s="222" t="s">
        <v>166</v>
      </c>
      <c r="Y447" s="223" t="s">
        <v>166</v>
      </c>
      <c r="Z447" s="221" t="s">
        <v>174</v>
      </c>
      <c r="AA447" s="222" t="s">
        <v>174</v>
      </c>
      <c r="AB447" s="222" t="s">
        <v>166</v>
      </c>
      <c r="AC447" s="222" t="s">
        <v>174</v>
      </c>
      <c r="AD447" s="222" t="s">
        <v>174</v>
      </c>
      <c r="AE447" s="222" t="s">
        <v>170</v>
      </c>
      <c r="AF447" s="222" t="s">
        <v>174</v>
      </c>
      <c r="AG447" s="222" t="s">
        <v>170</v>
      </c>
      <c r="AH447" s="222"/>
    </row>
    <row r="448">
      <c r="A448" s="272" t="s">
        <v>1630</v>
      </c>
      <c r="B448" s="257" t="s">
        <v>2467</v>
      </c>
      <c r="C448" s="221">
        <v>240.0</v>
      </c>
      <c r="D448" s="222">
        <v>274.0</v>
      </c>
      <c r="E448" s="222">
        <v>120.0</v>
      </c>
      <c r="F448" s="222">
        <v>27.0</v>
      </c>
      <c r="G448" s="223" t="s">
        <v>164</v>
      </c>
      <c r="H448" s="221">
        <v>70.0</v>
      </c>
      <c r="I448" s="222">
        <v>70.0</v>
      </c>
      <c r="J448" s="222">
        <v>48.0</v>
      </c>
      <c r="K448" s="222" t="s">
        <v>170</v>
      </c>
      <c r="L448" s="222" t="s">
        <v>44</v>
      </c>
      <c r="M448" s="223">
        <v>310.0</v>
      </c>
      <c r="N448" s="221">
        <v>2.0</v>
      </c>
      <c r="O448" s="222" t="s">
        <v>2002</v>
      </c>
      <c r="P448" s="222">
        <v>25.0</v>
      </c>
      <c r="Q448" s="222">
        <v>1500.0</v>
      </c>
      <c r="R448" s="224">
        <v>50.4</v>
      </c>
      <c r="S448" s="224" t="s">
        <v>170</v>
      </c>
      <c r="T448" s="225">
        <v>25.0</v>
      </c>
      <c r="U448" s="226">
        <v>52.0</v>
      </c>
      <c r="V448" s="221" t="s">
        <v>166</v>
      </c>
      <c r="W448" s="241" t="s">
        <v>166</v>
      </c>
      <c r="X448" s="222" t="s">
        <v>166</v>
      </c>
      <c r="Y448" s="223" t="s">
        <v>166</v>
      </c>
      <c r="Z448" s="221" t="s">
        <v>174</v>
      </c>
      <c r="AA448" s="222" t="s">
        <v>174</v>
      </c>
      <c r="AB448" s="222" t="s">
        <v>166</v>
      </c>
      <c r="AC448" s="222" t="s">
        <v>174</v>
      </c>
      <c r="AD448" s="222" t="s">
        <v>174</v>
      </c>
      <c r="AE448" s="222" t="s">
        <v>170</v>
      </c>
      <c r="AF448" s="222" t="s">
        <v>174</v>
      </c>
      <c r="AG448" s="222" t="s">
        <v>170</v>
      </c>
      <c r="AH448" s="222"/>
    </row>
    <row r="449">
      <c r="A449" s="272" t="s">
        <v>1630</v>
      </c>
      <c r="B449" s="257" t="s">
        <v>2468</v>
      </c>
      <c r="C449" s="221">
        <v>240.0</v>
      </c>
      <c r="D449" s="222">
        <v>274.0</v>
      </c>
      <c r="E449" s="222">
        <v>120.0</v>
      </c>
      <c r="F449" s="222">
        <v>27.0</v>
      </c>
      <c r="G449" s="223" t="s">
        <v>164</v>
      </c>
      <c r="H449" s="221">
        <v>70.0</v>
      </c>
      <c r="I449" s="222">
        <v>70.0</v>
      </c>
      <c r="J449" s="222">
        <v>48.0</v>
      </c>
      <c r="K449" s="222" t="s">
        <v>170</v>
      </c>
      <c r="L449" s="222" t="s">
        <v>44</v>
      </c>
      <c r="M449" s="223">
        <v>360.0</v>
      </c>
      <c r="N449" s="221">
        <v>2.0</v>
      </c>
      <c r="O449" s="222" t="s">
        <v>2002</v>
      </c>
      <c r="P449" s="222">
        <v>25.0</v>
      </c>
      <c r="Q449" s="222">
        <v>1500.0</v>
      </c>
      <c r="R449" s="224">
        <v>50.4</v>
      </c>
      <c r="S449" s="224" t="s">
        <v>170</v>
      </c>
      <c r="T449" s="225">
        <v>25.0</v>
      </c>
      <c r="U449" s="226">
        <v>52.0</v>
      </c>
      <c r="V449" s="221" t="s">
        <v>166</v>
      </c>
      <c r="W449" s="241" t="s">
        <v>174</v>
      </c>
      <c r="X449" s="222" t="s">
        <v>166</v>
      </c>
      <c r="Y449" s="223" t="s">
        <v>166</v>
      </c>
      <c r="Z449" s="221" t="s">
        <v>174</v>
      </c>
      <c r="AA449" s="222" t="s">
        <v>174</v>
      </c>
      <c r="AB449" s="222" t="s">
        <v>166</v>
      </c>
      <c r="AC449" s="222" t="s">
        <v>174</v>
      </c>
      <c r="AD449" s="222" t="s">
        <v>174</v>
      </c>
      <c r="AE449" s="222" t="s">
        <v>170</v>
      </c>
      <c r="AF449" s="222" t="s">
        <v>174</v>
      </c>
      <c r="AG449" s="222" t="s">
        <v>170</v>
      </c>
      <c r="AH449" s="222"/>
    </row>
    <row r="450">
      <c r="A450" s="272" t="s">
        <v>1630</v>
      </c>
      <c r="B450" s="257" t="s">
        <v>2469</v>
      </c>
      <c r="C450" s="221">
        <v>240.0</v>
      </c>
      <c r="D450" s="222">
        <v>276.8</v>
      </c>
      <c r="E450" s="222">
        <v>119.2</v>
      </c>
      <c r="F450" s="222">
        <v>27.2</v>
      </c>
      <c r="G450" s="223" t="s">
        <v>164</v>
      </c>
      <c r="H450" s="221">
        <v>91.0</v>
      </c>
      <c r="I450" s="222">
        <v>80.0</v>
      </c>
      <c r="J450" s="222">
        <v>61.0</v>
      </c>
      <c r="K450" s="222">
        <v>2500.0</v>
      </c>
      <c r="L450" s="222" t="s">
        <v>44</v>
      </c>
      <c r="M450" s="223" t="s">
        <v>170</v>
      </c>
      <c r="N450" s="221">
        <v>2.0</v>
      </c>
      <c r="O450" s="222" t="s">
        <v>2002</v>
      </c>
      <c r="P450" s="222">
        <v>25.0</v>
      </c>
      <c r="Q450" s="222">
        <v>1600.0</v>
      </c>
      <c r="R450" s="224">
        <v>42.8</v>
      </c>
      <c r="S450" s="224" t="s">
        <v>170</v>
      </c>
      <c r="T450" s="225">
        <v>26.0</v>
      </c>
      <c r="U450" s="226">
        <v>52.2</v>
      </c>
      <c r="V450" s="221" t="s">
        <v>166</v>
      </c>
      <c r="W450" s="241" t="s">
        <v>174</v>
      </c>
      <c r="X450" s="222" t="s">
        <v>166</v>
      </c>
      <c r="Y450" s="223" t="s">
        <v>166</v>
      </c>
      <c r="Z450" s="221" t="s">
        <v>174</v>
      </c>
      <c r="AA450" s="222" t="s">
        <v>174</v>
      </c>
      <c r="AB450" s="222" t="s">
        <v>174</v>
      </c>
      <c r="AC450" s="222" t="s">
        <v>174</v>
      </c>
      <c r="AD450" s="222" t="s">
        <v>174</v>
      </c>
      <c r="AE450" s="222" t="s">
        <v>170</v>
      </c>
      <c r="AF450" s="222" t="s">
        <v>174</v>
      </c>
      <c r="AG450" s="222" t="s">
        <v>170</v>
      </c>
      <c r="AH450" s="222"/>
    </row>
    <row r="451">
      <c r="A451" s="272" t="s">
        <v>1630</v>
      </c>
      <c r="B451" s="257" t="s">
        <v>2470</v>
      </c>
      <c r="C451" s="221">
        <v>240.0</v>
      </c>
      <c r="D451" s="222">
        <v>274.0</v>
      </c>
      <c r="E451" s="222">
        <v>120.0</v>
      </c>
      <c r="F451" s="222">
        <v>27.0</v>
      </c>
      <c r="G451" s="223" t="s">
        <v>164</v>
      </c>
      <c r="H451" s="221">
        <v>91.0</v>
      </c>
      <c r="I451" s="222">
        <v>80.0</v>
      </c>
      <c r="J451" s="222">
        <v>61.0</v>
      </c>
      <c r="K451" s="222">
        <v>2500.0</v>
      </c>
      <c r="L451" s="222" t="s">
        <v>44</v>
      </c>
      <c r="M451" s="223" t="s">
        <v>170</v>
      </c>
      <c r="N451" s="221">
        <v>2.0</v>
      </c>
      <c r="O451" s="222" t="s">
        <v>2002</v>
      </c>
      <c r="P451" s="222">
        <v>25.0</v>
      </c>
      <c r="Q451" s="222">
        <v>1500.0</v>
      </c>
      <c r="R451" s="224">
        <v>62.8</v>
      </c>
      <c r="S451" s="224" t="s">
        <v>170</v>
      </c>
      <c r="T451" s="225">
        <v>29.5</v>
      </c>
      <c r="U451" s="226">
        <v>52.0</v>
      </c>
      <c r="V451" s="221" t="s">
        <v>166</v>
      </c>
      <c r="W451" s="241" t="s">
        <v>166</v>
      </c>
      <c r="X451" s="222" t="s">
        <v>166</v>
      </c>
      <c r="Y451" s="223" t="s">
        <v>166</v>
      </c>
      <c r="Z451" s="221" t="s">
        <v>174</v>
      </c>
      <c r="AA451" s="222" t="s">
        <v>174</v>
      </c>
      <c r="AB451" s="222" t="s">
        <v>174</v>
      </c>
      <c r="AC451" s="222" t="s">
        <v>174</v>
      </c>
      <c r="AD451" s="222" t="s">
        <v>174</v>
      </c>
      <c r="AE451" s="222" t="s">
        <v>170</v>
      </c>
      <c r="AF451" s="222" t="s">
        <v>174</v>
      </c>
      <c r="AG451" s="222" t="s">
        <v>170</v>
      </c>
      <c r="AH451" s="222"/>
    </row>
    <row r="452">
      <c r="A452" s="272" t="s">
        <v>1630</v>
      </c>
      <c r="B452" s="257" t="s">
        <v>2471</v>
      </c>
      <c r="C452" s="221">
        <v>360.0</v>
      </c>
      <c r="D452" s="222">
        <v>394.0</v>
      </c>
      <c r="E452" s="222">
        <v>120.0</v>
      </c>
      <c r="F452" s="222">
        <v>27.0</v>
      </c>
      <c r="G452" s="223" t="s">
        <v>164</v>
      </c>
      <c r="H452" s="221">
        <v>70.0</v>
      </c>
      <c r="I452" s="222">
        <v>70.0</v>
      </c>
      <c r="J452" s="222">
        <v>48.0</v>
      </c>
      <c r="K452" s="222" t="s">
        <v>170</v>
      </c>
      <c r="L452" s="222" t="s">
        <v>44</v>
      </c>
      <c r="M452" s="223" t="s">
        <v>170</v>
      </c>
      <c r="N452" s="221">
        <v>3.0</v>
      </c>
      <c r="O452" s="222" t="s">
        <v>2002</v>
      </c>
      <c r="P452" s="222">
        <v>25.0</v>
      </c>
      <c r="Q452" s="222">
        <v>1500.0</v>
      </c>
      <c r="R452" s="224">
        <v>50.4</v>
      </c>
      <c r="S452" s="224" t="s">
        <v>170</v>
      </c>
      <c r="T452" s="225">
        <v>25.0</v>
      </c>
      <c r="U452" s="226">
        <v>52.0</v>
      </c>
      <c r="V452" s="221" t="s">
        <v>166</v>
      </c>
      <c r="W452" s="241" t="s">
        <v>166</v>
      </c>
      <c r="X452" s="222" t="s">
        <v>166</v>
      </c>
      <c r="Y452" s="223" t="s">
        <v>166</v>
      </c>
      <c r="Z452" s="221" t="s">
        <v>174</v>
      </c>
      <c r="AA452" s="222" t="s">
        <v>174</v>
      </c>
      <c r="AB452" s="222" t="s">
        <v>166</v>
      </c>
      <c r="AC452" s="222" t="s">
        <v>174</v>
      </c>
      <c r="AD452" s="222" t="s">
        <v>174</v>
      </c>
      <c r="AE452" s="222" t="s">
        <v>170</v>
      </c>
      <c r="AF452" s="222" t="s">
        <v>174</v>
      </c>
      <c r="AG452" s="222" t="s">
        <v>170</v>
      </c>
      <c r="AH452" s="222"/>
    </row>
    <row r="453">
      <c r="A453" s="272" t="s">
        <v>1630</v>
      </c>
      <c r="B453" s="257" t="s">
        <v>2472</v>
      </c>
      <c r="C453" s="221">
        <v>360.0</v>
      </c>
      <c r="D453" s="222">
        <v>394.0</v>
      </c>
      <c r="E453" s="222">
        <v>119.2</v>
      </c>
      <c r="F453" s="222">
        <v>27.5</v>
      </c>
      <c r="G453" s="223" t="s">
        <v>164</v>
      </c>
      <c r="H453" s="221">
        <v>91.0</v>
      </c>
      <c r="I453" s="222">
        <v>80.0</v>
      </c>
      <c r="J453" s="222">
        <v>61.0</v>
      </c>
      <c r="K453" s="222">
        <v>2500.0</v>
      </c>
      <c r="L453" s="222" t="s">
        <v>44</v>
      </c>
      <c r="M453" s="223" t="s">
        <v>170</v>
      </c>
      <c r="N453" s="221">
        <v>3.0</v>
      </c>
      <c r="O453" s="222" t="s">
        <v>2002</v>
      </c>
      <c r="P453" s="222">
        <v>25.0</v>
      </c>
      <c r="Q453" s="222">
        <v>1600.0</v>
      </c>
      <c r="R453" s="224">
        <v>42.8</v>
      </c>
      <c r="S453" s="224" t="s">
        <v>170</v>
      </c>
      <c r="T453" s="225">
        <v>26.0</v>
      </c>
      <c r="U453" s="226">
        <v>52.5</v>
      </c>
      <c r="V453" s="221" t="s">
        <v>166</v>
      </c>
      <c r="W453" s="241" t="s">
        <v>174</v>
      </c>
      <c r="X453" s="222" t="s">
        <v>166</v>
      </c>
      <c r="Y453" s="223" t="s">
        <v>166</v>
      </c>
      <c r="Z453" s="221" t="s">
        <v>174</v>
      </c>
      <c r="AA453" s="222" t="s">
        <v>174</v>
      </c>
      <c r="AB453" s="222" t="s">
        <v>174</v>
      </c>
      <c r="AC453" s="222" t="s">
        <v>174</v>
      </c>
      <c r="AD453" s="222" t="s">
        <v>174</v>
      </c>
      <c r="AE453" s="222" t="s">
        <v>170</v>
      </c>
      <c r="AF453" s="222" t="s">
        <v>174</v>
      </c>
      <c r="AG453" s="222" t="s">
        <v>170</v>
      </c>
      <c r="AH453" s="222"/>
    </row>
    <row r="454">
      <c r="A454" s="272" t="s">
        <v>1630</v>
      </c>
      <c r="B454" s="257" t="s">
        <v>2473</v>
      </c>
      <c r="C454" s="221">
        <v>360.0</v>
      </c>
      <c r="D454" s="222">
        <v>394.0</v>
      </c>
      <c r="E454" s="222">
        <v>120.0</v>
      </c>
      <c r="F454" s="222">
        <v>27.0</v>
      </c>
      <c r="G454" s="223" t="s">
        <v>164</v>
      </c>
      <c r="H454" s="221">
        <v>91.0</v>
      </c>
      <c r="I454" s="222">
        <v>80.0</v>
      </c>
      <c r="J454" s="222">
        <v>61.0</v>
      </c>
      <c r="K454" s="222">
        <v>2500.0</v>
      </c>
      <c r="L454" s="222" t="s">
        <v>44</v>
      </c>
      <c r="M454" s="223" t="s">
        <v>170</v>
      </c>
      <c r="N454" s="221">
        <v>3.0</v>
      </c>
      <c r="O454" s="222" t="s">
        <v>2002</v>
      </c>
      <c r="P454" s="222">
        <v>25.0</v>
      </c>
      <c r="Q454" s="222">
        <v>1500.0</v>
      </c>
      <c r="R454" s="224">
        <v>62.8</v>
      </c>
      <c r="S454" s="224" t="s">
        <v>170</v>
      </c>
      <c r="T454" s="225">
        <v>29.5</v>
      </c>
      <c r="U454" s="226">
        <v>52.0</v>
      </c>
      <c r="V454" s="221" t="s">
        <v>166</v>
      </c>
      <c r="W454" s="241" t="s">
        <v>166</v>
      </c>
      <c r="X454" s="222" t="s">
        <v>166</v>
      </c>
      <c r="Y454" s="223" t="s">
        <v>166</v>
      </c>
      <c r="Z454" s="221" t="s">
        <v>174</v>
      </c>
      <c r="AA454" s="222" t="s">
        <v>174</v>
      </c>
      <c r="AB454" s="222" t="s">
        <v>174</v>
      </c>
      <c r="AC454" s="222" t="s">
        <v>174</v>
      </c>
      <c r="AD454" s="222" t="s">
        <v>174</v>
      </c>
      <c r="AE454" s="222" t="s">
        <v>170</v>
      </c>
      <c r="AF454" s="222" t="s">
        <v>174</v>
      </c>
      <c r="AG454" s="222" t="s">
        <v>170</v>
      </c>
      <c r="AH454" s="222"/>
    </row>
    <row r="455">
      <c r="A455" s="272" t="s">
        <v>1630</v>
      </c>
      <c r="B455" s="257" t="s">
        <v>2474</v>
      </c>
      <c r="C455" s="221">
        <v>120.0</v>
      </c>
      <c r="D455" s="222">
        <v>154.0</v>
      </c>
      <c r="E455" s="222">
        <v>120.0</v>
      </c>
      <c r="F455" s="222">
        <v>27.0</v>
      </c>
      <c r="G455" s="223" t="s">
        <v>164</v>
      </c>
      <c r="H455" s="221">
        <v>78.0</v>
      </c>
      <c r="I455" s="222">
        <v>75.0</v>
      </c>
      <c r="J455" s="222">
        <v>82.0</v>
      </c>
      <c r="K455" s="222">
        <v>2300.0</v>
      </c>
      <c r="L455" s="222" t="s">
        <v>44</v>
      </c>
      <c r="M455" s="223" t="s">
        <v>170</v>
      </c>
      <c r="N455" s="221">
        <v>1.0</v>
      </c>
      <c r="O455" s="222" t="s">
        <v>2002</v>
      </c>
      <c r="P455" s="222">
        <v>25.0</v>
      </c>
      <c r="Q455" s="222">
        <v>1500.0</v>
      </c>
      <c r="R455" s="224">
        <v>50.4</v>
      </c>
      <c r="S455" s="224" t="s">
        <v>170</v>
      </c>
      <c r="T455" s="225">
        <v>25.0</v>
      </c>
      <c r="U455" s="226">
        <v>52.0</v>
      </c>
      <c r="V455" s="221" t="s">
        <v>170</v>
      </c>
      <c r="W455" s="241" t="s">
        <v>170</v>
      </c>
      <c r="X455" s="222" t="s">
        <v>170</v>
      </c>
      <c r="Y455" s="223" t="s">
        <v>170</v>
      </c>
      <c r="Z455" s="221" t="s">
        <v>174</v>
      </c>
      <c r="AA455" s="222" t="s">
        <v>174</v>
      </c>
      <c r="AB455" s="222" t="s">
        <v>166</v>
      </c>
      <c r="AC455" s="222" t="s">
        <v>174</v>
      </c>
      <c r="AD455" s="222" t="s">
        <v>174</v>
      </c>
      <c r="AE455" s="222" t="s">
        <v>170</v>
      </c>
      <c r="AF455" s="222" t="s">
        <v>174</v>
      </c>
      <c r="AG455" s="222" t="s">
        <v>170</v>
      </c>
      <c r="AH455" s="222"/>
    </row>
    <row r="456">
      <c r="A456" s="272" t="s">
        <v>1630</v>
      </c>
      <c r="B456" s="257" t="s">
        <v>2475</v>
      </c>
      <c r="C456" s="221">
        <v>240.0</v>
      </c>
      <c r="D456" s="222">
        <v>274.0</v>
      </c>
      <c r="E456" s="222">
        <v>120.0</v>
      </c>
      <c r="F456" s="222">
        <v>27.0</v>
      </c>
      <c r="G456" s="223" t="s">
        <v>164</v>
      </c>
      <c r="H456" s="221">
        <v>78.0</v>
      </c>
      <c r="I456" s="222">
        <v>75.0</v>
      </c>
      <c r="J456" s="222">
        <v>82.0</v>
      </c>
      <c r="K456" s="222">
        <v>2300.0</v>
      </c>
      <c r="L456" s="222" t="s">
        <v>44</v>
      </c>
      <c r="M456" s="223" t="s">
        <v>170</v>
      </c>
      <c r="N456" s="221">
        <v>2.0</v>
      </c>
      <c r="O456" s="222" t="s">
        <v>2002</v>
      </c>
      <c r="P456" s="222">
        <v>25.0</v>
      </c>
      <c r="Q456" s="222">
        <v>1500.0</v>
      </c>
      <c r="R456" s="224">
        <v>50.4</v>
      </c>
      <c r="S456" s="224" t="s">
        <v>170</v>
      </c>
      <c r="T456" s="225">
        <v>25.0</v>
      </c>
      <c r="U456" s="226">
        <v>52.0</v>
      </c>
      <c r="V456" s="221" t="s">
        <v>170</v>
      </c>
      <c r="W456" s="241" t="s">
        <v>170</v>
      </c>
      <c r="X456" s="222" t="s">
        <v>170</v>
      </c>
      <c r="Y456" s="223" t="s">
        <v>170</v>
      </c>
      <c r="Z456" s="221" t="s">
        <v>174</v>
      </c>
      <c r="AA456" s="222" t="s">
        <v>174</v>
      </c>
      <c r="AB456" s="222" t="s">
        <v>166</v>
      </c>
      <c r="AC456" s="222" t="s">
        <v>174</v>
      </c>
      <c r="AD456" s="222" t="s">
        <v>174</v>
      </c>
      <c r="AE456" s="222" t="s">
        <v>170</v>
      </c>
      <c r="AF456" s="222" t="s">
        <v>174</v>
      </c>
      <c r="AG456" s="222" t="s">
        <v>170</v>
      </c>
      <c r="AH456" s="222"/>
    </row>
    <row r="457">
      <c r="A457" s="272" t="s">
        <v>1630</v>
      </c>
      <c r="B457" s="257" t="s">
        <v>2476</v>
      </c>
      <c r="C457" s="221">
        <v>240.0</v>
      </c>
      <c r="D457" s="222">
        <v>274.0</v>
      </c>
      <c r="E457" s="222">
        <v>120.0</v>
      </c>
      <c r="F457" s="222">
        <v>27.0</v>
      </c>
      <c r="G457" s="223" t="s">
        <v>164</v>
      </c>
      <c r="H457" s="221">
        <v>80.3</v>
      </c>
      <c r="I457" s="222">
        <v>71.0</v>
      </c>
      <c r="J457" s="222">
        <v>57.0</v>
      </c>
      <c r="K457" s="222">
        <v>2500.0</v>
      </c>
      <c r="L457" s="222" t="s">
        <v>44</v>
      </c>
      <c r="M457" s="223" t="s">
        <v>170</v>
      </c>
      <c r="N457" s="221">
        <v>2.0</v>
      </c>
      <c r="O457" s="222" t="s">
        <v>2002</v>
      </c>
      <c r="P457" s="222">
        <v>25.0</v>
      </c>
      <c r="Q457" s="222">
        <v>1800.0</v>
      </c>
      <c r="R457" s="224">
        <v>71.0</v>
      </c>
      <c r="S457" s="224" t="s">
        <v>170</v>
      </c>
      <c r="T457" s="225">
        <v>35.7</v>
      </c>
      <c r="U457" s="226">
        <v>52.0</v>
      </c>
      <c r="V457" s="221" t="s">
        <v>166</v>
      </c>
      <c r="W457" s="241" t="s">
        <v>174</v>
      </c>
      <c r="X457" s="222" t="s">
        <v>166</v>
      </c>
      <c r="Y457" s="223" t="s">
        <v>166</v>
      </c>
      <c r="Z457" s="221" t="s">
        <v>166</v>
      </c>
      <c r="AA457" s="222" t="s">
        <v>174</v>
      </c>
      <c r="AB457" s="222" t="s">
        <v>166</v>
      </c>
      <c r="AC457" s="222" t="s">
        <v>174</v>
      </c>
      <c r="AD457" s="222" t="s">
        <v>166</v>
      </c>
      <c r="AE457" s="222" t="s">
        <v>174</v>
      </c>
      <c r="AF457" s="222" t="s">
        <v>174</v>
      </c>
      <c r="AG457" s="222" t="s">
        <v>170</v>
      </c>
      <c r="AH457" s="222"/>
    </row>
    <row r="458">
      <c r="A458" s="272" t="s">
        <v>1630</v>
      </c>
      <c r="B458" s="257" t="s">
        <v>2477</v>
      </c>
      <c r="C458" s="221">
        <v>240.0</v>
      </c>
      <c r="D458" s="222">
        <v>274.0</v>
      </c>
      <c r="E458" s="222">
        <v>120.0</v>
      </c>
      <c r="F458" s="222">
        <v>27.0</v>
      </c>
      <c r="G458" s="223" t="s">
        <v>164</v>
      </c>
      <c r="H458" s="221">
        <v>80.3</v>
      </c>
      <c r="I458" s="222">
        <v>71.0</v>
      </c>
      <c r="J458" s="222">
        <v>57.0</v>
      </c>
      <c r="K458" s="222">
        <v>2500.0</v>
      </c>
      <c r="L458" s="222" t="s">
        <v>44</v>
      </c>
      <c r="M458" s="223" t="s">
        <v>170</v>
      </c>
      <c r="N458" s="221">
        <v>2.0</v>
      </c>
      <c r="O458" s="222" t="s">
        <v>2002</v>
      </c>
      <c r="P458" s="222">
        <v>25.0</v>
      </c>
      <c r="Q458" s="222">
        <v>1800.0</v>
      </c>
      <c r="R458" s="224">
        <v>71.0</v>
      </c>
      <c r="S458" s="224" t="s">
        <v>170</v>
      </c>
      <c r="T458" s="225">
        <v>35.7</v>
      </c>
      <c r="U458" s="226">
        <v>52.0</v>
      </c>
      <c r="V458" s="221" t="s">
        <v>166</v>
      </c>
      <c r="W458" s="241" t="s">
        <v>174</v>
      </c>
      <c r="X458" s="222" t="s">
        <v>166</v>
      </c>
      <c r="Y458" s="223" t="s">
        <v>166</v>
      </c>
      <c r="Z458" s="221" t="s">
        <v>166</v>
      </c>
      <c r="AA458" s="222" t="s">
        <v>174</v>
      </c>
      <c r="AB458" s="222" t="s">
        <v>166</v>
      </c>
      <c r="AC458" s="222" t="s">
        <v>174</v>
      </c>
      <c r="AD458" s="222" t="s">
        <v>166</v>
      </c>
      <c r="AE458" s="222" t="s">
        <v>174</v>
      </c>
      <c r="AF458" s="222" t="s">
        <v>174</v>
      </c>
      <c r="AG458" s="222" t="s">
        <v>170</v>
      </c>
      <c r="AH458" s="222"/>
    </row>
    <row r="459">
      <c r="A459" s="272" t="s">
        <v>1630</v>
      </c>
      <c r="B459" s="257" t="s">
        <v>2478</v>
      </c>
      <c r="C459" s="221">
        <v>280.0</v>
      </c>
      <c r="D459" s="222">
        <v>315.0</v>
      </c>
      <c r="E459" s="222">
        <v>138.0</v>
      </c>
      <c r="F459" s="222">
        <v>27.0</v>
      </c>
      <c r="G459" s="223" t="s">
        <v>164</v>
      </c>
      <c r="H459" s="221">
        <v>80.3</v>
      </c>
      <c r="I459" s="222">
        <v>71.0</v>
      </c>
      <c r="J459" s="222">
        <v>57.0</v>
      </c>
      <c r="K459" s="222">
        <v>2500.0</v>
      </c>
      <c r="L459" s="222" t="s">
        <v>44</v>
      </c>
      <c r="M459" s="223" t="s">
        <v>170</v>
      </c>
      <c r="N459" s="221">
        <v>2.0</v>
      </c>
      <c r="O459" s="222" t="s">
        <v>2018</v>
      </c>
      <c r="P459" s="222">
        <v>25.0</v>
      </c>
      <c r="Q459" s="222">
        <v>1700.0</v>
      </c>
      <c r="R459" s="224">
        <v>107.36</v>
      </c>
      <c r="S459" s="224" t="s">
        <v>170</v>
      </c>
      <c r="T459" s="225">
        <v>38.0</v>
      </c>
      <c r="U459" s="226">
        <v>52.0</v>
      </c>
      <c r="V459" s="221" t="s">
        <v>166</v>
      </c>
      <c r="W459" s="241" t="s">
        <v>174</v>
      </c>
      <c r="X459" s="222" t="s">
        <v>166</v>
      </c>
      <c r="Y459" s="223" t="s">
        <v>166</v>
      </c>
      <c r="Z459" s="221" t="s">
        <v>166</v>
      </c>
      <c r="AA459" s="222" t="s">
        <v>174</v>
      </c>
      <c r="AB459" s="222" t="s">
        <v>166</v>
      </c>
      <c r="AC459" s="222" t="s">
        <v>174</v>
      </c>
      <c r="AD459" s="222" t="s">
        <v>166</v>
      </c>
      <c r="AE459" s="222" t="s">
        <v>174</v>
      </c>
      <c r="AF459" s="222" t="s">
        <v>174</v>
      </c>
      <c r="AG459" s="222" t="s">
        <v>170</v>
      </c>
      <c r="AH459" s="222"/>
    </row>
    <row r="460">
      <c r="A460" s="272" t="s">
        <v>1630</v>
      </c>
      <c r="B460" s="257" t="s">
        <v>2479</v>
      </c>
      <c r="C460" s="221">
        <v>280.0</v>
      </c>
      <c r="D460" s="222">
        <v>315.0</v>
      </c>
      <c r="E460" s="222">
        <v>138.0</v>
      </c>
      <c r="F460" s="222">
        <v>27.0</v>
      </c>
      <c r="G460" s="223" t="s">
        <v>164</v>
      </c>
      <c r="H460" s="221">
        <v>80.3</v>
      </c>
      <c r="I460" s="222">
        <v>71.0</v>
      </c>
      <c r="J460" s="222">
        <v>57.0</v>
      </c>
      <c r="K460" s="222">
        <v>2500.0</v>
      </c>
      <c r="L460" s="222" t="s">
        <v>44</v>
      </c>
      <c r="M460" s="223" t="s">
        <v>170</v>
      </c>
      <c r="N460" s="221">
        <v>2.0</v>
      </c>
      <c r="O460" s="222" t="s">
        <v>2018</v>
      </c>
      <c r="P460" s="222">
        <v>25.0</v>
      </c>
      <c r="Q460" s="222">
        <v>1700.0</v>
      </c>
      <c r="R460" s="224">
        <v>107.36</v>
      </c>
      <c r="S460" s="224" t="s">
        <v>170</v>
      </c>
      <c r="T460" s="225">
        <v>38.0</v>
      </c>
      <c r="U460" s="226">
        <v>52.0</v>
      </c>
      <c r="V460" s="221" t="s">
        <v>166</v>
      </c>
      <c r="W460" s="241" t="s">
        <v>174</v>
      </c>
      <c r="X460" s="222" t="s">
        <v>166</v>
      </c>
      <c r="Y460" s="223" t="s">
        <v>166</v>
      </c>
      <c r="Z460" s="221" t="s">
        <v>166</v>
      </c>
      <c r="AA460" s="222" t="s">
        <v>174</v>
      </c>
      <c r="AB460" s="222" t="s">
        <v>166</v>
      </c>
      <c r="AC460" s="222" t="s">
        <v>174</v>
      </c>
      <c r="AD460" s="222" t="s">
        <v>166</v>
      </c>
      <c r="AE460" s="222" t="s">
        <v>174</v>
      </c>
      <c r="AF460" s="222" t="s">
        <v>174</v>
      </c>
      <c r="AG460" s="222" t="s">
        <v>170</v>
      </c>
      <c r="AH460" s="222"/>
    </row>
    <row r="461">
      <c r="A461" s="272" t="s">
        <v>1630</v>
      </c>
      <c r="B461" s="257" t="s">
        <v>2480</v>
      </c>
      <c r="C461" s="221">
        <v>360.0</v>
      </c>
      <c r="D461" s="222">
        <v>397.0</v>
      </c>
      <c r="E461" s="222">
        <v>120.0</v>
      </c>
      <c r="F461" s="222">
        <v>27.0</v>
      </c>
      <c r="G461" s="223" t="s">
        <v>164</v>
      </c>
      <c r="H461" s="221">
        <v>80.3</v>
      </c>
      <c r="I461" s="222">
        <v>71.0</v>
      </c>
      <c r="J461" s="222">
        <v>57.0</v>
      </c>
      <c r="K461" s="222">
        <v>2500.0</v>
      </c>
      <c r="L461" s="222" t="s">
        <v>44</v>
      </c>
      <c r="M461" s="223" t="s">
        <v>170</v>
      </c>
      <c r="N461" s="221">
        <v>3.0</v>
      </c>
      <c r="O461" s="222" t="s">
        <v>2002</v>
      </c>
      <c r="P461" s="222">
        <v>25.0</v>
      </c>
      <c r="Q461" s="222">
        <v>1800.0</v>
      </c>
      <c r="R461" s="224">
        <v>71.0</v>
      </c>
      <c r="S461" s="224" t="s">
        <v>170</v>
      </c>
      <c r="T461" s="225">
        <v>35.7</v>
      </c>
      <c r="U461" s="226">
        <v>52.0</v>
      </c>
      <c r="V461" s="221" t="s">
        <v>166</v>
      </c>
      <c r="W461" s="241" t="s">
        <v>174</v>
      </c>
      <c r="X461" s="222" t="s">
        <v>166</v>
      </c>
      <c r="Y461" s="223" t="s">
        <v>166</v>
      </c>
      <c r="Z461" s="221" t="s">
        <v>166</v>
      </c>
      <c r="AA461" s="222" t="s">
        <v>174</v>
      </c>
      <c r="AB461" s="222" t="s">
        <v>166</v>
      </c>
      <c r="AC461" s="222" t="s">
        <v>174</v>
      </c>
      <c r="AD461" s="222" t="s">
        <v>166</v>
      </c>
      <c r="AE461" s="222" t="s">
        <v>174</v>
      </c>
      <c r="AF461" s="222" t="s">
        <v>174</v>
      </c>
      <c r="AG461" s="222" t="s">
        <v>170</v>
      </c>
      <c r="AH461" s="222"/>
    </row>
    <row r="462">
      <c r="A462" s="272" t="s">
        <v>1630</v>
      </c>
      <c r="B462" s="257" t="s">
        <v>2481</v>
      </c>
      <c r="C462" s="221">
        <v>360.0</v>
      </c>
      <c r="D462" s="222">
        <v>397.0</v>
      </c>
      <c r="E462" s="222">
        <v>120.0</v>
      </c>
      <c r="F462" s="222">
        <v>27.0</v>
      </c>
      <c r="G462" s="223" t="s">
        <v>164</v>
      </c>
      <c r="H462" s="221">
        <v>80.3</v>
      </c>
      <c r="I462" s="222">
        <v>71.0</v>
      </c>
      <c r="J462" s="222">
        <v>57.0</v>
      </c>
      <c r="K462" s="222">
        <v>2500.0</v>
      </c>
      <c r="L462" s="222" t="s">
        <v>44</v>
      </c>
      <c r="M462" s="223" t="s">
        <v>170</v>
      </c>
      <c r="N462" s="221">
        <v>3.0</v>
      </c>
      <c r="O462" s="222" t="s">
        <v>2002</v>
      </c>
      <c r="P462" s="222">
        <v>25.0</v>
      </c>
      <c r="Q462" s="222">
        <v>1800.0</v>
      </c>
      <c r="R462" s="224">
        <v>71.0</v>
      </c>
      <c r="S462" s="224" t="s">
        <v>170</v>
      </c>
      <c r="T462" s="225">
        <v>35.7</v>
      </c>
      <c r="U462" s="226">
        <v>52.0</v>
      </c>
      <c r="V462" s="221" t="s">
        <v>166</v>
      </c>
      <c r="W462" s="241" t="s">
        <v>174</v>
      </c>
      <c r="X462" s="222" t="s">
        <v>166</v>
      </c>
      <c r="Y462" s="223" t="s">
        <v>166</v>
      </c>
      <c r="Z462" s="221" t="s">
        <v>166</v>
      </c>
      <c r="AA462" s="222" t="s">
        <v>174</v>
      </c>
      <c r="AB462" s="222" t="s">
        <v>166</v>
      </c>
      <c r="AC462" s="222" t="s">
        <v>174</v>
      </c>
      <c r="AD462" s="222" t="s">
        <v>166</v>
      </c>
      <c r="AE462" s="222" t="s">
        <v>174</v>
      </c>
      <c r="AF462" s="222" t="s">
        <v>174</v>
      </c>
      <c r="AG462" s="222" t="s">
        <v>170</v>
      </c>
      <c r="AH462" s="222"/>
    </row>
    <row r="463">
      <c r="A463" s="272" t="s">
        <v>1630</v>
      </c>
      <c r="B463" s="257" t="s">
        <v>2482</v>
      </c>
      <c r="C463" s="221">
        <v>240.0</v>
      </c>
      <c r="D463" s="222">
        <v>274.0</v>
      </c>
      <c r="E463" s="222">
        <v>120.0</v>
      </c>
      <c r="F463" s="222">
        <v>27.0</v>
      </c>
      <c r="G463" s="223" t="s">
        <v>164</v>
      </c>
      <c r="H463" s="221">
        <v>72.0</v>
      </c>
      <c r="I463" s="222">
        <v>70.5</v>
      </c>
      <c r="J463" s="222">
        <v>55.0</v>
      </c>
      <c r="K463" s="222">
        <v>2400.0</v>
      </c>
      <c r="L463" s="222" t="s">
        <v>44</v>
      </c>
      <c r="M463" s="223" t="s">
        <v>170</v>
      </c>
      <c r="N463" s="221">
        <v>2.0</v>
      </c>
      <c r="O463" s="222" t="s">
        <v>2002</v>
      </c>
      <c r="P463" s="222">
        <v>25.0</v>
      </c>
      <c r="Q463" s="222">
        <v>1800.0</v>
      </c>
      <c r="R463" s="224">
        <v>83.04</v>
      </c>
      <c r="S463" s="224" t="s">
        <v>170</v>
      </c>
      <c r="T463" s="225">
        <v>37.6</v>
      </c>
      <c r="U463" s="226">
        <v>52.0</v>
      </c>
      <c r="V463" s="221" t="s">
        <v>166</v>
      </c>
      <c r="W463" s="241" t="s">
        <v>174</v>
      </c>
      <c r="X463" s="222" t="s">
        <v>166</v>
      </c>
      <c r="Y463" s="223" t="s">
        <v>166</v>
      </c>
      <c r="Z463" s="221" t="s">
        <v>166</v>
      </c>
      <c r="AA463" s="222" t="s">
        <v>174</v>
      </c>
      <c r="AB463" s="222" t="s">
        <v>166</v>
      </c>
      <c r="AC463" s="222" t="s">
        <v>174</v>
      </c>
      <c r="AD463" s="222" t="s">
        <v>166</v>
      </c>
      <c r="AE463" s="222" t="s">
        <v>174</v>
      </c>
      <c r="AF463" s="222" t="s">
        <v>174</v>
      </c>
      <c r="AG463" s="222" t="s">
        <v>170</v>
      </c>
      <c r="AH463" s="222"/>
    </row>
    <row r="464">
      <c r="A464" s="272" t="s">
        <v>1630</v>
      </c>
      <c r="B464" s="257" t="s">
        <v>2483</v>
      </c>
      <c r="C464" s="221">
        <v>240.0</v>
      </c>
      <c r="D464" s="222">
        <v>274.0</v>
      </c>
      <c r="E464" s="222">
        <v>120.0</v>
      </c>
      <c r="F464" s="222">
        <v>27.0</v>
      </c>
      <c r="G464" s="223" t="s">
        <v>164</v>
      </c>
      <c r="H464" s="221">
        <v>72.0</v>
      </c>
      <c r="I464" s="222">
        <v>70.5</v>
      </c>
      <c r="J464" s="222">
        <v>55.0</v>
      </c>
      <c r="K464" s="222">
        <v>2400.0</v>
      </c>
      <c r="L464" s="222" t="s">
        <v>44</v>
      </c>
      <c r="M464" s="223" t="s">
        <v>170</v>
      </c>
      <c r="N464" s="221">
        <v>2.0</v>
      </c>
      <c r="O464" s="222" t="s">
        <v>2002</v>
      </c>
      <c r="P464" s="222">
        <v>25.0</v>
      </c>
      <c r="Q464" s="222">
        <v>1800.0</v>
      </c>
      <c r="R464" s="224">
        <v>83.04</v>
      </c>
      <c r="S464" s="224" t="s">
        <v>170</v>
      </c>
      <c r="T464" s="225">
        <v>37.6</v>
      </c>
      <c r="U464" s="226">
        <v>52.0</v>
      </c>
      <c r="V464" s="221" t="s">
        <v>166</v>
      </c>
      <c r="W464" s="241" t="s">
        <v>174</v>
      </c>
      <c r="X464" s="222" t="s">
        <v>166</v>
      </c>
      <c r="Y464" s="223" t="s">
        <v>166</v>
      </c>
      <c r="Z464" s="221" t="s">
        <v>166</v>
      </c>
      <c r="AA464" s="222" t="s">
        <v>174</v>
      </c>
      <c r="AB464" s="222" t="s">
        <v>166</v>
      </c>
      <c r="AC464" s="222" t="s">
        <v>174</v>
      </c>
      <c r="AD464" s="222" t="s">
        <v>166</v>
      </c>
      <c r="AE464" s="222" t="s">
        <v>174</v>
      </c>
      <c r="AF464" s="222" t="s">
        <v>174</v>
      </c>
      <c r="AG464" s="222" t="s">
        <v>170</v>
      </c>
      <c r="AH464" s="222"/>
    </row>
    <row r="465">
      <c r="A465" s="272" t="s">
        <v>1630</v>
      </c>
      <c r="B465" s="257" t="s">
        <v>2484</v>
      </c>
      <c r="C465" s="221">
        <v>360.0</v>
      </c>
      <c r="D465" s="222">
        <v>394.0</v>
      </c>
      <c r="E465" s="222">
        <v>120.0</v>
      </c>
      <c r="F465" s="222">
        <v>27.0</v>
      </c>
      <c r="G465" s="223" t="s">
        <v>164</v>
      </c>
      <c r="H465" s="221">
        <v>72.0</v>
      </c>
      <c r="I465" s="222">
        <v>70.5</v>
      </c>
      <c r="J465" s="222">
        <v>55.0</v>
      </c>
      <c r="K465" s="222">
        <v>2400.0</v>
      </c>
      <c r="L465" s="222" t="s">
        <v>44</v>
      </c>
      <c r="M465" s="223" t="s">
        <v>170</v>
      </c>
      <c r="N465" s="221">
        <v>3.0</v>
      </c>
      <c r="O465" s="222" t="s">
        <v>2002</v>
      </c>
      <c r="P465" s="222">
        <v>25.0</v>
      </c>
      <c r="Q465" s="222">
        <v>1800.0</v>
      </c>
      <c r="R465" s="224">
        <v>83.04</v>
      </c>
      <c r="S465" s="224" t="s">
        <v>170</v>
      </c>
      <c r="T465" s="225">
        <v>37.6</v>
      </c>
      <c r="U465" s="226">
        <v>52.0</v>
      </c>
      <c r="V465" s="221" t="s">
        <v>166</v>
      </c>
      <c r="W465" s="241" t="s">
        <v>174</v>
      </c>
      <c r="X465" s="222" t="s">
        <v>166</v>
      </c>
      <c r="Y465" s="223" t="s">
        <v>166</v>
      </c>
      <c r="Z465" s="221" t="s">
        <v>166</v>
      </c>
      <c r="AA465" s="222" t="s">
        <v>174</v>
      </c>
      <c r="AB465" s="222" t="s">
        <v>166</v>
      </c>
      <c r="AC465" s="222" t="s">
        <v>174</v>
      </c>
      <c r="AD465" s="222" t="s">
        <v>166</v>
      </c>
      <c r="AE465" s="222" t="s">
        <v>174</v>
      </c>
      <c r="AF465" s="222" t="s">
        <v>174</v>
      </c>
      <c r="AG465" s="222" t="s">
        <v>170</v>
      </c>
      <c r="AH465" s="222"/>
    </row>
    <row r="466">
      <c r="A466" s="273" t="s">
        <v>1630</v>
      </c>
      <c r="B466" s="271" t="s">
        <v>2485</v>
      </c>
      <c r="C466" s="232">
        <v>360.0</v>
      </c>
      <c r="D466" s="233">
        <v>394.0</v>
      </c>
      <c r="E466" s="233">
        <v>120.0</v>
      </c>
      <c r="F466" s="233">
        <v>27.0</v>
      </c>
      <c r="G466" s="234" t="s">
        <v>164</v>
      </c>
      <c r="H466" s="232">
        <v>72.0</v>
      </c>
      <c r="I466" s="233">
        <v>70.5</v>
      </c>
      <c r="J466" s="233">
        <v>55.0</v>
      </c>
      <c r="K466" s="233">
        <v>2400.0</v>
      </c>
      <c r="L466" s="233" t="s">
        <v>44</v>
      </c>
      <c r="M466" s="234" t="s">
        <v>170</v>
      </c>
      <c r="N466" s="232">
        <v>3.0</v>
      </c>
      <c r="O466" s="233" t="s">
        <v>2002</v>
      </c>
      <c r="P466" s="233">
        <v>25.0</v>
      </c>
      <c r="Q466" s="233">
        <v>1800.0</v>
      </c>
      <c r="R466" s="235">
        <v>83.04</v>
      </c>
      <c r="S466" s="235" t="s">
        <v>170</v>
      </c>
      <c r="T466" s="236">
        <v>37.6</v>
      </c>
      <c r="U466" s="237">
        <v>52.0</v>
      </c>
      <c r="V466" s="232" t="s">
        <v>166</v>
      </c>
      <c r="W466" s="247" t="s">
        <v>174</v>
      </c>
      <c r="X466" s="233" t="s">
        <v>166</v>
      </c>
      <c r="Y466" s="234" t="s">
        <v>166</v>
      </c>
      <c r="Z466" s="232" t="s">
        <v>166</v>
      </c>
      <c r="AA466" s="233" t="s">
        <v>174</v>
      </c>
      <c r="AB466" s="233" t="s">
        <v>166</v>
      </c>
      <c r="AC466" s="233" t="s">
        <v>174</v>
      </c>
      <c r="AD466" s="233" t="s">
        <v>166</v>
      </c>
      <c r="AE466" s="233" t="s">
        <v>174</v>
      </c>
      <c r="AF466" s="233" t="s">
        <v>174</v>
      </c>
      <c r="AG466" s="233" t="s">
        <v>170</v>
      </c>
      <c r="AH466" s="233"/>
    </row>
    <row r="467">
      <c r="A467" s="282" t="s">
        <v>942</v>
      </c>
      <c r="B467" s="257" t="s">
        <v>2486</v>
      </c>
      <c r="C467" s="221">
        <v>240.0</v>
      </c>
      <c r="D467" s="222">
        <v>273.0</v>
      </c>
      <c r="E467" s="222">
        <v>123.5</v>
      </c>
      <c r="F467" s="222">
        <v>27.0</v>
      </c>
      <c r="G467" s="223" t="s">
        <v>164</v>
      </c>
      <c r="H467" s="221">
        <v>87.1</v>
      </c>
      <c r="I467" s="222">
        <v>74.0</v>
      </c>
      <c r="J467" s="222">
        <v>62.0</v>
      </c>
      <c r="K467" s="222" t="s">
        <v>170</v>
      </c>
      <c r="L467" s="222" t="s">
        <v>44</v>
      </c>
      <c r="M467" s="223" t="s">
        <v>170</v>
      </c>
      <c r="N467" s="221">
        <v>2.0</v>
      </c>
      <c r="O467" s="222" t="s">
        <v>2002</v>
      </c>
      <c r="P467" s="222">
        <v>25.0</v>
      </c>
      <c r="Q467" s="222">
        <v>1900.0</v>
      </c>
      <c r="R467" s="224">
        <v>69.17</v>
      </c>
      <c r="S467" s="224">
        <v>2.6</v>
      </c>
      <c r="T467" s="225">
        <v>32.0</v>
      </c>
      <c r="U467" s="226">
        <v>52.0</v>
      </c>
      <c r="V467" s="221" t="s">
        <v>166</v>
      </c>
      <c r="W467" s="241" t="s">
        <v>174</v>
      </c>
      <c r="X467" s="222" t="s">
        <v>166</v>
      </c>
      <c r="Y467" s="223" t="s">
        <v>166</v>
      </c>
      <c r="Z467" s="221" t="s">
        <v>166</v>
      </c>
      <c r="AA467" s="222" t="s">
        <v>174</v>
      </c>
      <c r="AB467" s="222" t="s">
        <v>174</v>
      </c>
      <c r="AC467" s="222" t="s">
        <v>174</v>
      </c>
      <c r="AD467" s="222" t="s">
        <v>174</v>
      </c>
      <c r="AE467" s="222" t="s">
        <v>174</v>
      </c>
      <c r="AF467" s="222" t="s">
        <v>174</v>
      </c>
      <c r="AG467" s="229" t="s">
        <v>2327</v>
      </c>
      <c r="AH467" s="229"/>
    </row>
    <row r="468">
      <c r="A468" s="282" t="s">
        <v>942</v>
      </c>
      <c r="B468" s="257" t="s">
        <v>2487</v>
      </c>
      <c r="C468" s="221">
        <v>360.0</v>
      </c>
      <c r="D468" s="222">
        <v>397.5</v>
      </c>
      <c r="E468" s="222">
        <v>123.5</v>
      </c>
      <c r="F468" s="222">
        <v>27.0</v>
      </c>
      <c r="G468" s="223" t="s">
        <v>164</v>
      </c>
      <c r="H468" s="221">
        <v>87.1</v>
      </c>
      <c r="I468" s="222">
        <v>74.0</v>
      </c>
      <c r="J468" s="222">
        <v>62.0</v>
      </c>
      <c r="K468" s="222" t="s">
        <v>170</v>
      </c>
      <c r="L468" s="222" t="s">
        <v>44</v>
      </c>
      <c r="M468" s="223" t="s">
        <v>170</v>
      </c>
      <c r="N468" s="221">
        <v>3.0</v>
      </c>
      <c r="O468" s="222" t="s">
        <v>2002</v>
      </c>
      <c r="P468" s="222">
        <v>25.0</v>
      </c>
      <c r="Q468" s="222">
        <v>1900.0</v>
      </c>
      <c r="R468" s="224">
        <v>69.17</v>
      </c>
      <c r="S468" s="224">
        <v>2.6</v>
      </c>
      <c r="T468" s="225">
        <v>32.0</v>
      </c>
      <c r="U468" s="226">
        <v>52.0</v>
      </c>
      <c r="V468" s="221" t="s">
        <v>166</v>
      </c>
      <c r="W468" s="241" t="s">
        <v>174</v>
      </c>
      <c r="X468" s="222" t="s">
        <v>166</v>
      </c>
      <c r="Y468" s="223" t="s">
        <v>166</v>
      </c>
      <c r="Z468" s="221" t="s">
        <v>166</v>
      </c>
      <c r="AA468" s="222" t="s">
        <v>174</v>
      </c>
      <c r="AB468" s="222" t="s">
        <v>174</v>
      </c>
      <c r="AC468" s="222" t="s">
        <v>174</v>
      </c>
      <c r="AD468" s="222" t="s">
        <v>174</v>
      </c>
      <c r="AE468" s="222" t="s">
        <v>174</v>
      </c>
      <c r="AF468" s="222" t="s">
        <v>174</v>
      </c>
      <c r="AG468" s="229" t="s">
        <v>2327</v>
      </c>
      <c r="AH468" s="229"/>
    </row>
    <row r="469">
      <c r="A469" s="282" t="s">
        <v>942</v>
      </c>
      <c r="B469" s="257" t="s">
        <v>2488</v>
      </c>
      <c r="C469" s="221">
        <v>240.0</v>
      </c>
      <c r="D469" s="222">
        <v>273.0</v>
      </c>
      <c r="E469" s="222">
        <v>123.5</v>
      </c>
      <c r="F469" s="222">
        <v>27.0</v>
      </c>
      <c r="G469" s="223" t="s">
        <v>164</v>
      </c>
      <c r="H469" s="221">
        <v>87.1</v>
      </c>
      <c r="I469" s="222">
        <v>74.0</v>
      </c>
      <c r="J469" s="222">
        <v>62.0</v>
      </c>
      <c r="K469" s="222" t="s">
        <v>170</v>
      </c>
      <c r="L469" s="222" t="s">
        <v>44</v>
      </c>
      <c r="M469" s="223" t="s">
        <v>170</v>
      </c>
      <c r="N469" s="221">
        <v>2.0</v>
      </c>
      <c r="O469" s="222" t="s">
        <v>2002</v>
      </c>
      <c r="P469" s="222">
        <v>25.0</v>
      </c>
      <c r="Q469" s="222">
        <v>1900.0</v>
      </c>
      <c r="R469" s="224">
        <v>58.54</v>
      </c>
      <c r="S469" s="224">
        <v>2.54</v>
      </c>
      <c r="T469" s="225">
        <v>32.0</v>
      </c>
      <c r="U469" s="226">
        <v>52.0</v>
      </c>
      <c r="V469" s="221" t="s">
        <v>166</v>
      </c>
      <c r="W469" s="241" t="s">
        <v>174</v>
      </c>
      <c r="X469" s="222" t="s">
        <v>166</v>
      </c>
      <c r="Y469" s="223" t="s">
        <v>166</v>
      </c>
      <c r="Z469" s="221" t="s">
        <v>166</v>
      </c>
      <c r="AA469" s="222" t="s">
        <v>174</v>
      </c>
      <c r="AB469" s="222" t="s">
        <v>174</v>
      </c>
      <c r="AC469" s="222" t="s">
        <v>174</v>
      </c>
      <c r="AD469" s="222" t="s">
        <v>174</v>
      </c>
      <c r="AE469" s="222" t="s">
        <v>174</v>
      </c>
      <c r="AF469" s="222" t="s">
        <v>174</v>
      </c>
      <c r="AG469" s="229" t="s">
        <v>2327</v>
      </c>
      <c r="AH469" s="229"/>
    </row>
    <row r="470">
      <c r="A470" s="282" t="s">
        <v>942</v>
      </c>
      <c r="B470" s="257" t="s">
        <v>2489</v>
      </c>
      <c r="C470" s="221">
        <v>360.0</v>
      </c>
      <c r="D470" s="222">
        <v>397.5</v>
      </c>
      <c r="E470" s="222">
        <v>123.5</v>
      </c>
      <c r="F470" s="222">
        <v>27.0</v>
      </c>
      <c r="G470" s="223" t="s">
        <v>164</v>
      </c>
      <c r="H470" s="221">
        <v>87.1</v>
      </c>
      <c r="I470" s="222">
        <v>74.0</v>
      </c>
      <c r="J470" s="222">
        <v>62.0</v>
      </c>
      <c r="K470" s="222" t="s">
        <v>170</v>
      </c>
      <c r="L470" s="222" t="s">
        <v>44</v>
      </c>
      <c r="M470" s="223" t="s">
        <v>170</v>
      </c>
      <c r="N470" s="221">
        <v>3.0</v>
      </c>
      <c r="O470" s="222" t="s">
        <v>2002</v>
      </c>
      <c r="P470" s="222">
        <v>25.0</v>
      </c>
      <c r="Q470" s="222">
        <v>1900.0</v>
      </c>
      <c r="R470" s="224">
        <v>58.54</v>
      </c>
      <c r="S470" s="224">
        <v>2.54</v>
      </c>
      <c r="T470" s="225">
        <v>32.0</v>
      </c>
      <c r="U470" s="226">
        <v>52.0</v>
      </c>
      <c r="V470" s="221" t="s">
        <v>166</v>
      </c>
      <c r="W470" s="241" t="s">
        <v>174</v>
      </c>
      <c r="X470" s="222" t="s">
        <v>166</v>
      </c>
      <c r="Y470" s="223" t="s">
        <v>166</v>
      </c>
      <c r="Z470" s="221" t="s">
        <v>166</v>
      </c>
      <c r="AA470" s="222" t="s">
        <v>174</v>
      </c>
      <c r="AB470" s="222" t="s">
        <v>174</v>
      </c>
      <c r="AC470" s="222" t="s">
        <v>174</v>
      </c>
      <c r="AD470" s="222" t="s">
        <v>174</v>
      </c>
      <c r="AE470" s="222" t="s">
        <v>174</v>
      </c>
      <c r="AF470" s="222" t="s">
        <v>174</v>
      </c>
      <c r="AG470" s="229" t="s">
        <v>2327</v>
      </c>
      <c r="AH470" s="229"/>
    </row>
    <row r="471">
      <c r="A471" s="282" t="s">
        <v>942</v>
      </c>
      <c r="B471" s="279" t="s">
        <v>2490</v>
      </c>
      <c r="C471" s="221">
        <v>280.0</v>
      </c>
      <c r="D471" s="222">
        <v>319.5</v>
      </c>
      <c r="E471" s="222">
        <v>140.0</v>
      </c>
      <c r="F471" s="222">
        <v>30.0</v>
      </c>
      <c r="G471" s="223" t="s">
        <v>164</v>
      </c>
      <c r="H471" s="221">
        <v>73.05</v>
      </c>
      <c r="I471" s="222">
        <v>72.15</v>
      </c>
      <c r="J471" s="222">
        <v>61.98</v>
      </c>
      <c r="K471" s="222">
        <v>3600.0</v>
      </c>
      <c r="L471" s="222" t="s">
        <v>44</v>
      </c>
      <c r="M471" s="223">
        <v>385.0</v>
      </c>
      <c r="N471" s="221">
        <v>2.0</v>
      </c>
      <c r="O471" s="222" t="s">
        <v>2018</v>
      </c>
      <c r="P471" s="222">
        <v>25.0</v>
      </c>
      <c r="Q471" s="222">
        <v>1550.0</v>
      </c>
      <c r="R471" s="224">
        <v>89.7</v>
      </c>
      <c r="S471" s="224">
        <v>2.99</v>
      </c>
      <c r="T471" s="225">
        <v>26.7</v>
      </c>
      <c r="U471" s="226">
        <v>55.0</v>
      </c>
      <c r="V471" s="221" t="s">
        <v>166</v>
      </c>
      <c r="W471" s="241" t="s">
        <v>166</v>
      </c>
      <c r="X471" s="222" t="s">
        <v>174</v>
      </c>
      <c r="Y471" s="223" t="s">
        <v>174</v>
      </c>
      <c r="Z471" s="221" t="s">
        <v>166</v>
      </c>
      <c r="AA471" s="222" t="s">
        <v>174</v>
      </c>
      <c r="AB471" s="222" t="s">
        <v>166</v>
      </c>
      <c r="AC471" s="222" t="s">
        <v>174</v>
      </c>
      <c r="AD471" s="222" t="s">
        <v>166</v>
      </c>
      <c r="AE471" s="222" t="s">
        <v>174</v>
      </c>
      <c r="AF471" s="222" t="s">
        <v>166</v>
      </c>
      <c r="AG471" s="229" t="s">
        <v>2003</v>
      </c>
      <c r="AH471" s="229"/>
    </row>
    <row r="472" ht="18.0" customHeight="1">
      <c r="A472" s="282" t="s">
        <v>942</v>
      </c>
      <c r="B472" s="279" t="s">
        <v>2491</v>
      </c>
      <c r="C472" s="221">
        <v>360.0</v>
      </c>
      <c r="D472" s="222">
        <v>399.5</v>
      </c>
      <c r="E472" s="222">
        <v>120.0</v>
      </c>
      <c r="F472" s="222">
        <v>30.0</v>
      </c>
      <c r="G472" s="223" t="s">
        <v>164</v>
      </c>
      <c r="H472" s="221">
        <v>73.05</v>
      </c>
      <c r="I472" s="222">
        <v>72.15</v>
      </c>
      <c r="J472" s="222">
        <v>61.98</v>
      </c>
      <c r="K472" s="222">
        <v>3600.0</v>
      </c>
      <c r="L472" s="222" t="s">
        <v>44</v>
      </c>
      <c r="M472" s="223">
        <v>385.0</v>
      </c>
      <c r="N472" s="221">
        <v>3.0</v>
      </c>
      <c r="O472" s="222" t="s">
        <v>2002</v>
      </c>
      <c r="P472" s="222">
        <v>25.0</v>
      </c>
      <c r="Q472" s="222">
        <v>2450.0</v>
      </c>
      <c r="R472" s="224">
        <v>79.9</v>
      </c>
      <c r="S472" s="224">
        <v>3.26</v>
      </c>
      <c r="T472" s="225">
        <v>30.0</v>
      </c>
      <c r="U472" s="226">
        <v>55.0</v>
      </c>
      <c r="V472" s="221" t="s">
        <v>166</v>
      </c>
      <c r="W472" s="241" t="s">
        <v>166</v>
      </c>
      <c r="X472" s="222" t="s">
        <v>174</v>
      </c>
      <c r="Y472" s="223" t="s">
        <v>174</v>
      </c>
      <c r="Z472" s="221" t="s">
        <v>166</v>
      </c>
      <c r="AA472" s="222" t="s">
        <v>174</v>
      </c>
      <c r="AB472" s="222" t="s">
        <v>166</v>
      </c>
      <c r="AC472" s="222" t="s">
        <v>174</v>
      </c>
      <c r="AD472" s="222" t="s">
        <v>166</v>
      </c>
      <c r="AE472" s="222" t="s">
        <v>174</v>
      </c>
      <c r="AF472" s="222" t="s">
        <v>166</v>
      </c>
      <c r="AG472" s="229" t="s">
        <v>2003</v>
      </c>
      <c r="AH472" s="229"/>
    </row>
    <row r="473">
      <c r="A473" s="282" t="s">
        <v>942</v>
      </c>
      <c r="B473" s="279" t="s">
        <v>2492</v>
      </c>
      <c r="C473" s="221">
        <v>240.0</v>
      </c>
      <c r="D473" s="222">
        <v>277.5</v>
      </c>
      <c r="E473" s="222">
        <v>119.2</v>
      </c>
      <c r="F473" s="222">
        <v>27.0</v>
      </c>
      <c r="G473" s="223" t="s">
        <v>164</v>
      </c>
      <c r="H473" s="221">
        <v>74.0</v>
      </c>
      <c r="I473" s="222">
        <v>74.0</v>
      </c>
      <c r="J473" s="222">
        <v>69.0</v>
      </c>
      <c r="K473" s="222">
        <v>3200.0</v>
      </c>
      <c r="L473" s="222" t="s">
        <v>44</v>
      </c>
      <c r="M473" s="223" t="s">
        <v>170</v>
      </c>
      <c r="N473" s="221">
        <v>2.0</v>
      </c>
      <c r="O473" s="222" t="s">
        <v>2002</v>
      </c>
      <c r="P473" s="222">
        <v>25.0</v>
      </c>
      <c r="Q473" s="222">
        <v>2450.0</v>
      </c>
      <c r="R473" s="224">
        <v>89.1</v>
      </c>
      <c r="S473" s="224">
        <v>3.26</v>
      </c>
      <c r="T473" s="225">
        <v>35.4</v>
      </c>
      <c r="U473" s="226">
        <v>52.0</v>
      </c>
      <c r="V473" s="221" t="s">
        <v>166</v>
      </c>
      <c r="W473" s="241" t="s">
        <v>174</v>
      </c>
      <c r="X473" s="222" t="s">
        <v>174</v>
      </c>
      <c r="Y473" s="223" t="s">
        <v>174</v>
      </c>
      <c r="Z473" s="221" t="s">
        <v>166</v>
      </c>
      <c r="AA473" s="222" t="s">
        <v>174</v>
      </c>
      <c r="AB473" s="222" t="s">
        <v>166</v>
      </c>
      <c r="AC473" s="222" t="s">
        <v>174</v>
      </c>
      <c r="AD473" s="222" t="s">
        <v>166</v>
      </c>
      <c r="AE473" s="222" t="s">
        <v>174</v>
      </c>
      <c r="AF473" s="222" t="s">
        <v>166</v>
      </c>
      <c r="AG473" s="229" t="s">
        <v>2327</v>
      </c>
      <c r="AH473" s="229"/>
    </row>
    <row r="474">
      <c r="A474" s="282" t="s">
        <v>942</v>
      </c>
      <c r="B474" s="279" t="s">
        <v>2493</v>
      </c>
      <c r="C474" s="221">
        <v>360.0</v>
      </c>
      <c r="D474" s="222">
        <v>397.5</v>
      </c>
      <c r="E474" s="222">
        <v>119.2</v>
      </c>
      <c r="F474" s="222">
        <v>27.0</v>
      </c>
      <c r="G474" s="223" t="s">
        <v>164</v>
      </c>
      <c r="H474" s="221">
        <v>74.0</v>
      </c>
      <c r="I474" s="222">
        <v>74.0</v>
      </c>
      <c r="J474" s="222">
        <v>69.0</v>
      </c>
      <c r="K474" s="222">
        <v>3200.0</v>
      </c>
      <c r="L474" s="222" t="s">
        <v>44</v>
      </c>
      <c r="M474" s="223" t="s">
        <v>170</v>
      </c>
      <c r="N474" s="221">
        <v>3.0</v>
      </c>
      <c r="O474" s="222" t="s">
        <v>2002</v>
      </c>
      <c r="P474" s="222">
        <v>25.0</v>
      </c>
      <c r="Q474" s="222">
        <v>2450.0</v>
      </c>
      <c r="R474" s="224">
        <v>89.1</v>
      </c>
      <c r="S474" s="224">
        <v>3.26</v>
      </c>
      <c r="T474" s="225">
        <v>35.4</v>
      </c>
      <c r="U474" s="226">
        <v>52.0</v>
      </c>
      <c r="V474" s="221" t="s">
        <v>166</v>
      </c>
      <c r="W474" s="241" t="s">
        <v>174</v>
      </c>
      <c r="X474" s="222" t="s">
        <v>174</v>
      </c>
      <c r="Y474" s="223" t="s">
        <v>174</v>
      </c>
      <c r="Z474" s="221" t="s">
        <v>166</v>
      </c>
      <c r="AA474" s="222" t="s">
        <v>174</v>
      </c>
      <c r="AB474" s="222" t="s">
        <v>166</v>
      </c>
      <c r="AC474" s="222" t="s">
        <v>174</v>
      </c>
      <c r="AD474" s="222" t="s">
        <v>166</v>
      </c>
      <c r="AE474" s="222" t="s">
        <v>174</v>
      </c>
      <c r="AF474" s="222" t="s">
        <v>166</v>
      </c>
      <c r="AG474" s="229" t="s">
        <v>2327</v>
      </c>
      <c r="AH474" s="229"/>
    </row>
    <row r="475">
      <c r="A475" s="282" t="s">
        <v>942</v>
      </c>
      <c r="B475" s="279" t="s">
        <v>2494</v>
      </c>
      <c r="C475" s="221">
        <v>360.0</v>
      </c>
      <c r="D475" s="222">
        <v>396.0</v>
      </c>
      <c r="E475" s="222">
        <v>130.0</v>
      </c>
      <c r="F475" s="222">
        <v>32.0</v>
      </c>
      <c r="G475" s="223" t="s">
        <v>164</v>
      </c>
      <c r="H475" s="221">
        <v>74.0</v>
      </c>
      <c r="I475" s="222">
        <v>74.0</v>
      </c>
      <c r="J475" s="222">
        <v>79.0</v>
      </c>
      <c r="K475" s="222">
        <v>4200.0</v>
      </c>
      <c r="L475" s="222" t="s">
        <v>44</v>
      </c>
      <c r="M475" s="223" t="s">
        <v>170</v>
      </c>
      <c r="N475" s="221">
        <v>3.0</v>
      </c>
      <c r="O475" s="222" t="s">
        <v>2002</v>
      </c>
      <c r="P475" s="222">
        <v>28.0</v>
      </c>
      <c r="Q475" s="222">
        <v>3000.0</v>
      </c>
      <c r="R475" s="224">
        <v>108.29</v>
      </c>
      <c r="S475" s="224">
        <v>6.99</v>
      </c>
      <c r="T475" s="225">
        <v>39.9</v>
      </c>
      <c r="U475" s="226">
        <v>60.0</v>
      </c>
      <c r="V475" s="221" t="s">
        <v>166</v>
      </c>
      <c r="W475" s="241" t="s">
        <v>174</v>
      </c>
      <c r="X475" s="222" t="s">
        <v>174</v>
      </c>
      <c r="Y475" s="223" t="s">
        <v>174</v>
      </c>
      <c r="Z475" s="221" t="s">
        <v>166</v>
      </c>
      <c r="AA475" s="222" t="s">
        <v>174</v>
      </c>
      <c r="AB475" s="222" t="s">
        <v>166</v>
      </c>
      <c r="AC475" s="222" t="s">
        <v>174</v>
      </c>
      <c r="AD475" s="222" t="s">
        <v>166</v>
      </c>
      <c r="AE475" s="222" t="s">
        <v>174</v>
      </c>
      <c r="AF475" s="222" t="s">
        <v>166</v>
      </c>
      <c r="AG475" s="229" t="s">
        <v>2327</v>
      </c>
      <c r="AH475" s="229"/>
    </row>
    <row r="476">
      <c r="A476" s="282" t="s">
        <v>942</v>
      </c>
      <c r="B476" s="279" t="s">
        <v>2495</v>
      </c>
      <c r="C476" s="221">
        <v>240.0</v>
      </c>
      <c r="D476" s="222">
        <v>277.5</v>
      </c>
      <c r="E476" s="222">
        <v>119.2</v>
      </c>
      <c r="F476" s="222">
        <v>27.0</v>
      </c>
      <c r="G476" s="223" t="s">
        <v>164</v>
      </c>
      <c r="H476" s="221">
        <v>74.0</v>
      </c>
      <c r="I476" s="222">
        <v>74.0</v>
      </c>
      <c r="J476" s="222">
        <v>69.0</v>
      </c>
      <c r="K476" s="222">
        <v>3200.0</v>
      </c>
      <c r="L476" s="222" t="s">
        <v>44</v>
      </c>
      <c r="M476" s="223" t="s">
        <v>170</v>
      </c>
      <c r="N476" s="221">
        <v>2.0</v>
      </c>
      <c r="O476" s="222" t="s">
        <v>2002</v>
      </c>
      <c r="P476" s="222">
        <v>25.0</v>
      </c>
      <c r="Q476" s="222">
        <v>2100.0</v>
      </c>
      <c r="R476" s="224">
        <v>61.3</v>
      </c>
      <c r="S476" s="224">
        <v>2.66</v>
      </c>
      <c r="T476" s="225">
        <v>29.0</v>
      </c>
      <c r="U476" s="226">
        <v>52.0</v>
      </c>
      <c r="V476" s="221" t="s">
        <v>166</v>
      </c>
      <c r="W476" s="241" t="s">
        <v>174</v>
      </c>
      <c r="X476" s="222" t="s">
        <v>174</v>
      </c>
      <c r="Y476" s="223" t="s">
        <v>174</v>
      </c>
      <c r="Z476" s="221" t="s">
        <v>166</v>
      </c>
      <c r="AA476" s="222" t="s">
        <v>174</v>
      </c>
      <c r="AB476" s="222" t="s">
        <v>166</v>
      </c>
      <c r="AC476" s="222" t="s">
        <v>174</v>
      </c>
      <c r="AD476" s="222" t="s">
        <v>166</v>
      </c>
      <c r="AE476" s="222" t="s">
        <v>174</v>
      </c>
      <c r="AF476" s="222" t="s">
        <v>166</v>
      </c>
      <c r="AG476" s="229" t="s">
        <v>2327</v>
      </c>
      <c r="AH476" s="229"/>
    </row>
    <row r="477">
      <c r="A477" s="290" t="s">
        <v>942</v>
      </c>
      <c r="B477" s="281" t="s">
        <v>2496</v>
      </c>
      <c r="C477" s="232">
        <v>360.0</v>
      </c>
      <c r="D477" s="233">
        <v>397.5</v>
      </c>
      <c r="E477" s="233">
        <v>119.2</v>
      </c>
      <c r="F477" s="233">
        <v>27.0</v>
      </c>
      <c r="G477" s="234" t="s">
        <v>164</v>
      </c>
      <c r="H477" s="232">
        <v>74.0</v>
      </c>
      <c r="I477" s="233">
        <v>74.0</v>
      </c>
      <c r="J477" s="233">
        <v>69.0</v>
      </c>
      <c r="K477" s="233">
        <v>3200.0</v>
      </c>
      <c r="L477" s="233" t="s">
        <v>44</v>
      </c>
      <c r="M477" s="234" t="s">
        <v>170</v>
      </c>
      <c r="N477" s="232">
        <v>3.0</v>
      </c>
      <c r="O477" s="233" t="s">
        <v>2002</v>
      </c>
      <c r="P477" s="233">
        <v>25.0</v>
      </c>
      <c r="Q477" s="233">
        <v>2100.0</v>
      </c>
      <c r="R477" s="235">
        <v>61.3</v>
      </c>
      <c r="S477" s="235">
        <v>2.66</v>
      </c>
      <c r="T477" s="236">
        <v>29.0</v>
      </c>
      <c r="U477" s="237">
        <v>52.0</v>
      </c>
      <c r="V477" s="232" t="s">
        <v>166</v>
      </c>
      <c r="W477" s="247" t="s">
        <v>174</v>
      </c>
      <c r="X477" s="233" t="s">
        <v>174</v>
      </c>
      <c r="Y477" s="234" t="s">
        <v>174</v>
      </c>
      <c r="Z477" s="232" t="s">
        <v>166</v>
      </c>
      <c r="AA477" s="233" t="s">
        <v>174</v>
      </c>
      <c r="AB477" s="233" t="s">
        <v>166</v>
      </c>
      <c r="AC477" s="233" t="s">
        <v>174</v>
      </c>
      <c r="AD477" s="233" t="s">
        <v>166</v>
      </c>
      <c r="AE477" s="233" t="s">
        <v>174</v>
      </c>
      <c r="AF477" s="233" t="s">
        <v>166</v>
      </c>
      <c r="AG477" s="240" t="s">
        <v>2327</v>
      </c>
      <c r="AH477" s="240"/>
    </row>
    <row r="478">
      <c r="A478" s="282" t="str">
        <f t="shared" ref="A478:A506" si="1">HYPERLINK("https://www.msi.com/index.php","MSI")</f>
        <v>MSI</v>
      </c>
      <c r="B478" s="257" t="s">
        <v>2497</v>
      </c>
      <c r="C478" s="221">
        <v>120.0</v>
      </c>
      <c r="D478" s="222">
        <v>154.0</v>
      </c>
      <c r="E478" s="222">
        <v>120.0</v>
      </c>
      <c r="F478" s="222">
        <v>27.0</v>
      </c>
      <c r="G478" s="223" t="s">
        <v>164</v>
      </c>
      <c r="H478" s="221">
        <v>80.57</v>
      </c>
      <c r="I478" s="222">
        <v>66.82</v>
      </c>
      <c r="J478" s="222">
        <v>48.58</v>
      </c>
      <c r="K478" s="222">
        <v>4200.0</v>
      </c>
      <c r="L478" s="222" t="s">
        <v>2010</v>
      </c>
      <c r="M478" s="223">
        <v>320.0</v>
      </c>
      <c r="N478" s="221">
        <v>1.0</v>
      </c>
      <c r="O478" s="222" t="s">
        <v>2002</v>
      </c>
      <c r="P478" s="222">
        <v>25.0</v>
      </c>
      <c r="Q478" s="222">
        <v>2000.0</v>
      </c>
      <c r="R478" s="224">
        <v>78.73</v>
      </c>
      <c r="S478" s="224">
        <v>2.39</v>
      </c>
      <c r="T478" s="225">
        <v>34.3</v>
      </c>
      <c r="U478" s="226">
        <v>52.0</v>
      </c>
      <c r="V478" s="221" t="s">
        <v>166</v>
      </c>
      <c r="W478" s="241" t="s">
        <v>174</v>
      </c>
      <c r="X478" s="222" t="s">
        <v>166</v>
      </c>
      <c r="Y478" s="223" t="s">
        <v>166</v>
      </c>
      <c r="Z478" s="221" t="s">
        <v>174</v>
      </c>
      <c r="AA478" s="222" t="s">
        <v>174</v>
      </c>
      <c r="AB478" s="222" t="s">
        <v>166</v>
      </c>
      <c r="AC478" s="222" t="s">
        <v>174</v>
      </c>
      <c r="AD478" s="222" t="s">
        <v>174</v>
      </c>
      <c r="AE478" s="222" t="s">
        <v>170</v>
      </c>
      <c r="AF478" s="222" t="s">
        <v>174</v>
      </c>
      <c r="AG478" s="229" t="s">
        <v>2327</v>
      </c>
      <c r="AH478" s="229"/>
    </row>
    <row r="479">
      <c r="A479" s="282" t="str">
        <f t="shared" si="1"/>
        <v>MSI</v>
      </c>
      <c r="B479" s="257" t="s">
        <v>2498</v>
      </c>
      <c r="C479" s="221">
        <v>240.0</v>
      </c>
      <c r="D479" s="222">
        <v>274.0</v>
      </c>
      <c r="E479" s="222">
        <v>120.0</v>
      </c>
      <c r="F479" s="222">
        <v>27.0</v>
      </c>
      <c r="G479" s="223" t="s">
        <v>164</v>
      </c>
      <c r="H479" s="221">
        <v>80.57</v>
      </c>
      <c r="I479" s="222">
        <v>66.82</v>
      </c>
      <c r="J479" s="222">
        <v>48.58</v>
      </c>
      <c r="K479" s="222">
        <v>4200.0</v>
      </c>
      <c r="L479" s="222" t="s">
        <v>2010</v>
      </c>
      <c r="M479" s="223">
        <v>400.0</v>
      </c>
      <c r="N479" s="221">
        <v>2.0</v>
      </c>
      <c r="O479" s="222" t="s">
        <v>2002</v>
      </c>
      <c r="P479" s="222">
        <v>25.0</v>
      </c>
      <c r="Q479" s="222">
        <v>2000.0</v>
      </c>
      <c r="R479" s="224">
        <v>78.73</v>
      </c>
      <c r="S479" s="224">
        <v>2.39</v>
      </c>
      <c r="T479" s="225">
        <v>34.3</v>
      </c>
      <c r="U479" s="226">
        <v>52.0</v>
      </c>
      <c r="V479" s="221" t="s">
        <v>166</v>
      </c>
      <c r="W479" s="241" t="s">
        <v>174</v>
      </c>
      <c r="X479" s="222" t="s">
        <v>166</v>
      </c>
      <c r="Y479" s="223" t="s">
        <v>166</v>
      </c>
      <c r="Z479" s="221" t="s">
        <v>174</v>
      </c>
      <c r="AA479" s="222" t="s">
        <v>174</v>
      </c>
      <c r="AB479" s="222" t="s">
        <v>166</v>
      </c>
      <c r="AC479" s="222" t="s">
        <v>174</v>
      </c>
      <c r="AD479" s="222" t="s">
        <v>174</v>
      </c>
      <c r="AE479" s="222" t="s">
        <v>174</v>
      </c>
      <c r="AF479" s="222" t="s">
        <v>174</v>
      </c>
      <c r="AG479" s="229" t="s">
        <v>2327</v>
      </c>
      <c r="AH479" s="229"/>
    </row>
    <row r="480">
      <c r="A480" s="282" t="str">
        <f t="shared" si="1"/>
        <v>MSI</v>
      </c>
      <c r="B480" s="257" t="s">
        <v>2499</v>
      </c>
      <c r="C480" s="221">
        <v>240.0</v>
      </c>
      <c r="D480" s="222">
        <v>274.0</v>
      </c>
      <c r="E480" s="222">
        <v>120.0</v>
      </c>
      <c r="F480" s="222">
        <v>27.0</v>
      </c>
      <c r="G480" s="223" t="s">
        <v>164</v>
      </c>
      <c r="H480" s="221">
        <v>80.57</v>
      </c>
      <c r="I480" s="222">
        <v>66.82</v>
      </c>
      <c r="J480" s="222">
        <v>48.58</v>
      </c>
      <c r="K480" s="222">
        <v>4200.0</v>
      </c>
      <c r="L480" s="222" t="s">
        <v>2010</v>
      </c>
      <c r="M480" s="223">
        <v>400.0</v>
      </c>
      <c r="N480" s="221">
        <v>2.0</v>
      </c>
      <c r="O480" s="222" t="s">
        <v>2002</v>
      </c>
      <c r="P480" s="222">
        <v>25.0</v>
      </c>
      <c r="Q480" s="222">
        <v>2000.0</v>
      </c>
      <c r="R480" s="224">
        <v>78.73</v>
      </c>
      <c r="S480" s="224">
        <v>2.39</v>
      </c>
      <c r="T480" s="225">
        <v>34.3</v>
      </c>
      <c r="U480" s="226">
        <v>52.0</v>
      </c>
      <c r="V480" s="221" t="s">
        <v>166</v>
      </c>
      <c r="W480" s="241" t="s">
        <v>174</v>
      </c>
      <c r="X480" s="222" t="s">
        <v>166</v>
      </c>
      <c r="Y480" s="223" t="s">
        <v>166</v>
      </c>
      <c r="Z480" s="221" t="s">
        <v>174</v>
      </c>
      <c r="AA480" s="222" t="s">
        <v>174</v>
      </c>
      <c r="AB480" s="222" t="s">
        <v>166</v>
      </c>
      <c r="AC480" s="222" t="s">
        <v>174</v>
      </c>
      <c r="AD480" s="222" t="s">
        <v>174</v>
      </c>
      <c r="AE480" s="222" t="s">
        <v>174</v>
      </c>
      <c r="AF480" s="222" t="s">
        <v>174</v>
      </c>
      <c r="AG480" s="229" t="s">
        <v>2327</v>
      </c>
      <c r="AH480" s="229"/>
    </row>
    <row r="481">
      <c r="A481" s="282" t="str">
        <f t="shared" si="1"/>
        <v>MSI</v>
      </c>
      <c r="B481" s="257" t="s">
        <v>2500</v>
      </c>
      <c r="C481" s="221">
        <v>240.0</v>
      </c>
      <c r="D481" s="222">
        <v>274.0</v>
      </c>
      <c r="E481" s="222">
        <v>120.0</v>
      </c>
      <c r="F481" s="222">
        <v>27.0</v>
      </c>
      <c r="G481" s="223" t="s">
        <v>164</v>
      </c>
      <c r="H481" s="221">
        <v>80.57</v>
      </c>
      <c r="I481" s="222">
        <v>66.82</v>
      </c>
      <c r="J481" s="222">
        <v>48.58</v>
      </c>
      <c r="K481" s="222">
        <v>4200.0</v>
      </c>
      <c r="L481" s="222" t="s">
        <v>2010</v>
      </c>
      <c r="M481" s="223">
        <v>400.0</v>
      </c>
      <c r="N481" s="221">
        <v>2.0</v>
      </c>
      <c r="O481" s="222" t="s">
        <v>2002</v>
      </c>
      <c r="P481" s="222">
        <v>25.0</v>
      </c>
      <c r="Q481" s="222">
        <v>2000.0</v>
      </c>
      <c r="R481" s="224">
        <v>78.73</v>
      </c>
      <c r="S481" s="224">
        <v>2.39</v>
      </c>
      <c r="T481" s="225">
        <v>34.3</v>
      </c>
      <c r="U481" s="226">
        <v>52.0</v>
      </c>
      <c r="V481" s="221" t="s">
        <v>166</v>
      </c>
      <c r="W481" s="241" t="s">
        <v>174</v>
      </c>
      <c r="X481" s="222" t="s">
        <v>166</v>
      </c>
      <c r="Y481" s="223" t="s">
        <v>166</v>
      </c>
      <c r="Z481" s="221" t="s">
        <v>174</v>
      </c>
      <c r="AA481" s="222" t="s">
        <v>174</v>
      </c>
      <c r="AB481" s="222" t="s">
        <v>166</v>
      </c>
      <c r="AC481" s="222" t="s">
        <v>174</v>
      </c>
      <c r="AD481" s="222" t="s">
        <v>174</v>
      </c>
      <c r="AE481" s="222" t="s">
        <v>174</v>
      </c>
      <c r="AF481" s="222" t="s">
        <v>174</v>
      </c>
      <c r="AG481" s="229" t="s">
        <v>2327</v>
      </c>
      <c r="AH481" s="229"/>
    </row>
    <row r="482">
      <c r="A482" s="282" t="str">
        <f t="shared" si="1"/>
        <v>MSI</v>
      </c>
      <c r="B482" s="257" t="s">
        <v>2501</v>
      </c>
      <c r="C482" s="221">
        <v>240.0</v>
      </c>
      <c r="D482" s="222">
        <v>274.0</v>
      </c>
      <c r="E482" s="222">
        <v>120.0</v>
      </c>
      <c r="F482" s="222">
        <v>27.0</v>
      </c>
      <c r="G482" s="223" t="s">
        <v>164</v>
      </c>
      <c r="H482" s="221">
        <v>80.57</v>
      </c>
      <c r="I482" s="222">
        <v>66.82</v>
      </c>
      <c r="J482" s="222">
        <v>48.58</v>
      </c>
      <c r="K482" s="222">
        <v>4200.0</v>
      </c>
      <c r="L482" s="222" t="s">
        <v>2010</v>
      </c>
      <c r="M482" s="223">
        <v>400.0</v>
      </c>
      <c r="N482" s="221">
        <v>2.0</v>
      </c>
      <c r="O482" s="222" t="s">
        <v>2002</v>
      </c>
      <c r="P482" s="222">
        <v>25.0</v>
      </c>
      <c r="Q482" s="222">
        <v>2000.0</v>
      </c>
      <c r="R482" s="224">
        <v>78.73</v>
      </c>
      <c r="S482" s="224">
        <v>2.39</v>
      </c>
      <c r="T482" s="225">
        <v>34.3</v>
      </c>
      <c r="U482" s="226">
        <v>52.0</v>
      </c>
      <c r="V482" s="221" t="s">
        <v>166</v>
      </c>
      <c r="W482" s="241" t="s">
        <v>174</v>
      </c>
      <c r="X482" s="222" t="s">
        <v>166</v>
      </c>
      <c r="Y482" s="223" t="s">
        <v>166</v>
      </c>
      <c r="Z482" s="221" t="s">
        <v>174</v>
      </c>
      <c r="AA482" s="222" t="s">
        <v>174</v>
      </c>
      <c r="AB482" s="222" t="s">
        <v>166</v>
      </c>
      <c r="AC482" s="222" t="s">
        <v>174</v>
      </c>
      <c r="AD482" s="222" t="s">
        <v>174</v>
      </c>
      <c r="AE482" s="222" t="s">
        <v>170</v>
      </c>
      <c r="AF482" s="222" t="s">
        <v>174</v>
      </c>
      <c r="AG482" s="229" t="s">
        <v>2327</v>
      </c>
      <c r="AH482" s="229"/>
    </row>
    <row r="483">
      <c r="A483" s="282" t="str">
        <f t="shared" si="1"/>
        <v>MSI</v>
      </c>
      <c r="B483" s="257" t="s">
        <v>2502</v>
      </c>
      <c r="C483" s="221">
        <v>280.0</v>
      </c>
      <c r="D483" s="222">
        <v>312.0</v>
      </c>
      <c r="E483" s="222">
        <v>140.0</v>
      </c>
      <c r="F483" s="222">
        <v>27.0</v>
      </c>
      <c r="G483" s="223" t="s">
        <v>164</v>
      </c>
      <c r="H483" s="221">
        <v>80.57</v>
      </c>
      <c r="I483" s="222">
        <v>66.82</v>
      </c>
      <c r="J483" s="222">
        <v>48.58</v>
      </c>
      <c r="K483" s="222">
        <v>4200.0</v>
      </c>
      <c r="L483" s="222" t="s">
        <v>2010</v>
      </c>
      <c r="M483" s="223">
        <v>400.0</v>
      </c>
      <c r="N483" s="221">
        <v>2.0</v>
      </c>
      <c r="O483" s="222" t="s">
        <v>2018</v>
      </c>
      <c r="P483" s="222">
        <v>25.0</v>
      </c>
      <c r="Q483" s="222">
        <v>1800.0</v>
      </c>
      <c r="R483" s="224">
        <v>84.36</v>
      </c>
      <c r="S483" s="224">
        <v>2.29</v>
      </c>
      <c r="T483" s="225">
        <v>33.28</v>
      </c>
      <c r="U483" s="226">
        <v>52.0</v>
      </c>
      <c r="V483" s="221" t="s">
        <v>166</v>
      </c>
      <c r="W483" s="241" t="s">
        <v>174</v>
      </c>
      <c r="X483" s="222" t="s">
        <v>166</v>
      </c>
      <c r="Y483" s="223" t="s">
        <v>166</v>
      </c>
      <c r="Z483" s="221" t="s">
        <v>174</v>
      </c>
      <c r="AA483" s="222" t="s">
        <v>174</v>
      </c>
      <c r="AB483" s="222" t="s">
        <v>166</v>
      </c>
      <c r="AC483" s="222" t="s">
        <v>174</v>
      </c>
      <c r="AD483" s="222" t="s">
        <v>174</v>
      </c>
      <c r="AE483" s="222" t="s">
        <v>174</v>
      </c>
      <c r="AF483" s="222" t="s">
        <v>174</v>
      </c>
      <c r="AG483" s="229" t="s">
        <v>2327</v>
      </c>
      <c r="AH483" s="229"/>
    </row>
    <row r="484">
      <c r="A484" s="282" t="str">
        <f t="shared" si="1"/>
        <v>MSI</v>
      </c>
      <c r="B484" s="257" t="s">
        <v>2503</v>
      </c>
      <c r="C484" s="221">
        <v>280.0</v>
      </c>
      <c r="D484" s="222">
        <v>312.0</v>
      </c>
      <c r="E484" s="222">
        <v>140.0</v>
      </c>
      <c r="F484" s="222">
        <v>27.0</v>
      </c>
      <c r="G484" s="223" t="s">
        <v>164</v>
      </c>
      <c r="H484" s="221">
        <v>80.57</v>
      </c>
      <c r="I484" s="222">
        <v>66.82</v>
      </c>
      <c r="J484" s="222">
        <v>48.58</v>
      </c>
      <c r="K484" s="222">
        <v>4200.0</v>
      </c>
      <c r="L484" s="222" t="s">
        <v>2010</v>
      </c>
      <c r="M484" s="223">
        <v>400.0</v>
      </c>
      <c r="N484" s="221">
        <v>2.0</v>
      </c>
      <c r="O484" s="222" t="s">
        <v>2018</v>
      </c>
      <c r="P484" s="222">
        <v>25.0</v>
      </c>
      <c r="Q484" s="222">
        <v>1800.0</v>
      </c>
      <c r="R484" s="224">
        <v>84.36</v>
      </c>
      <c r="S484" s="224">
        <v>2.29</v>
      </c>
      <c r="T484" s="225">
        <v>33.28</v>
      </c>
      <c r="U484" s="226">
        <v>52.0</v>
      </c>
      <c r="V484" s="221" t="s">
        <v>166</v>
      </c>
      <c r="W484" s="241" t="s">
        <v>174</v>
      </c>
      <c r="X484" s="222" t="s">
        <v>166</v>
      </c>
      <c r="Y484" s="223" t="s">
        <v>166</v>
      </c>
      <c r="Z484" s="221" t="s">
        <v>174</v>
      </c>
      <c r="AA484" s="222" t="s">
        <v>174</v>
      </c>
      <c r="AB484" s="222" t="s">
        <v>166</v>
      </c>
      <c r="AC484" s="222" t="s">
        <v>174</v>
      </c>
      <c r="AD484" s="222" t="s">
        <v>174</v>
      </c>
      <c r="AE484" s="222" t="s">
        <v>174</v>
      </c>
      <c r="AF484" s="222" t="s">
        <v>174</v>
      </c>
      <c r="AG484" s="229" t="s">
        <v>2327</v>
      </c>
      <c r="AH484" s="229"/>
    </row>
    <row r="485">
      <c r="A485" s="282" t="str">
        <f t="shared" si="1"/>
        <v>MSI</v>
      </c>
      <c r="B485" s="257" t="s">
        <v>2504</v>
      </c>
      <c r="C485" s="221">
        <v>360.0</v>
      </c>
      <c r="D485" s="222">
        <v>394.0</v>
      </c>
      <c r="E485" s="222">
        <v>120.0</v>
      </c>
      <c r="F485" s="222">
        <v>27.0</v>
      </c>
      <c r="G485" s="223" t="s">
        <v>164</v>
      </c>
      <c r="H485" s="221">
        <v>80.57</v>
      </c>
      <c r="I485" s="222">
        <v>66.82</v>
      </c>
      <c r="J485" s="222">
        <v>48.58</v>
      </c>
      <c r="K485" s="222">
        <v>4200.0</v>
      </c>
      <c r="L485" s="222" t="s">
        <v>2010</v>
      </c>
      <c r="M485" s="223">
        <v>400.0</v>
      </c>
      <c r="N485" s="221">
        <v>3.0</v>
      </c>
      <c r="O485" s="222" t="s">
        <v>2002</v>
      </c>
      <c r="P485" s="222">
        <v>25.0</v>
      </c>
      <c r="Q485" s="222">
        <v>2000.0</v>
      </c>
      <c r="R485" s="224">
        <v>78.73</v>
      </c>
      <c r="S485" s="224">
        <v>2.39</v>
      </c>
      <c r="T485" s="225">
        <v>34.3</v>
      </c>
      <c r="U485" s="226">
        <v>52.0</v>
      </c>
      <c r="V485" s="221" t="s">
        <v>166</v>
      </c>
      <c r="W485" s="241" t="s">
        <v>174</v>
      </c>
      <c r="X485" s="222" t="s">
        <v>166</v>
      </c>
      <c r="Y485" s="223" t="s">
        <v>166</v>
      </c>
      <c r="Z485" s="221" t="s">
        <v>174</v>
      </c>
      <c r="AA485" s="222" t="s">
        <v>174</v>
      </c>
      <c r="AB485" s="222" t="s">
        <v>166</v>
      </c>
      <c r="AC485" s="222" t="s">
        <v>174</v>
      </c>
      <c r="AD485" s="222" t="s">
        <v>174</v>
      </c>
      <c r="AE485" s="222" t="s">
        <v>174</v>
      </c>
      <c r="AF485" s="222" t="s">
        <v>174</v>
      </c>
      <c r="AG485" s="229" t="s">
        <v>2327</v>
      </c>
      <c r="AH485" s="229"/>
    </row>
    <row r="486">
      <c r="A486" s="282" t="str">
        <f t="shared" si="1"/>
        <v>MSI</v>
      </c>
      <c r="B486" s="257" t="s">
        <v>2505</v>
      </c>
      <c r="C486" s="221">
        <v>360.0</v>
      </c>
      <c r="D486" s="222">
        <v>394.0</v>
      </c>
      <c r="E486" s="222">
        <v>120.0</v>
      </c>
      <c r="F486" s="222">
        <v>27.0</v>
      </c>
      <c r="G486" s="223" t="s">
        <v>164</v>
      </c>
      <c r="H486" s="221">
        <v>80.57</v>
      </c>
      <c r="I486" s="222">
        <v>66.82</v>
      </c>
      <c r="J486" s="222">
        <v>48.58</v>
      </c>
      <c r="K486" s="222">
        <v>4200.0</v>
      </c>
      <c r="L486" s="222" t="s">
        <v>2010</v>
      </c>
      <c r="M486" s="223">
        <v>400.0</v>
      </c>
      <c r="N486" s="221">
        <v>3.0</v>
      </c>
      <c r="O486" s="222" t="s">
        <v>2002</v>
      </c>
      <c r="P486" s="222">
        <v>25.0</v>
      </c>
      <c r="Q486" s="222">
        <v>2000.0</v>
      </c>
      <c r="R486" s="224">
        <v>78.73</v>
      </c>
      <c r="S486" s="224">
        <v>2.39</v>
      </c>
      <c r="T486" s="225">
        <v>34.3</v>
      </c>
      <c r="U486" s="226">
        <v>52.0</v>
      </c>
      <c r="V486" s="221" t="s">
        <v>166</v>
      </c>
      <c r="W486" s="241" t="s">
        <v>174</v>
      </c>
      <c r="X486" s="222" t="s">
        <v>166</v>
      </c>
      <c r="Y486" s="223" t="s">
        <v>166</v>
      </c>
      <c r="Z486" s="221" t="s">
        <v>174</v>
      </c>
      <c r="AA486" s="222" t="s">
        <v>174</v>
      </c>
      <c r="AB486" s="222" t="s">
        <v>166</v>
      </c>
      <c r="AC486" s="222" t="s">
        <v>174</v>
      </c>
      <c r="AD486" s="222" t="s">
        <v>174</v>
      </c>
      <c r="AE486" s="222" t="s">
        <v>174</v>
      </c>
      <c r="AF486" s="222" t="s">
        <v>174</v>
      </c>
      <c r="AG486" s="229" t="s">
        <v>2327</v>
      </c>
      <c r="AH486" s="229"/>
    </row>
    <row r="487">
      <c r="A487" s="282" t="str">
        <f t="shared" si="1"/>
        <v>MSI</v>
      </c>
      <c r="B487" s="257" t="s">
        <v>2506</v>
      </c>
      <c r="C487" s="221">
        <v>360.0</v>
      </c>
      <c r="D487" s="222">
        <v>394.0</v>
      </c>
      <c r="E487" s="222">
        <v>120.0</v>
      </c>
      <c r="F487" s="222">
        <v>27.0</v>
      </c>
      <c r="G487" s="223" t="s">
        <v>164</v>
      </c>
      <c r="H487" s="221">
        <v>80.57</v>
      </c>
      <c r="I487" s="222">
        <v>66.82</v>
      </c>
      <c r="J487" s="222">
        <v>48.58</v>
      </c>
      <c r="K487" s="222">
        <v>4200.0</v>
      </c>
      <c r="L487" s="222" t="s">
        <v>2010</v>
      </c>
      <c r="M487" s="223">
        <v>400.0</v>
      </c>
      <c r="N487" s="221">
        <v>3.0</v>
      </c>
      <c r="O487" s="222" t="s">
        <v>2002</v>
      </c>
      <c r="P487" s="222">
        <v>25.0</v>
      </c>
      <c r="Q487" s="222">
        <v>2000.0</v>
      </c>
      <c r="R487" s="224">
        <v>78.73</v>
      </c>
      <c r="S487" s="224">
        <v>2.39</v>
      </c>
      <c r="T487" s="225">
        <v>34.3</v>
      </c>
      <c r="U487" s="226">
        <v>52.0</v>
      </c>
      <c r="V487" s="221" t="s">
        <v>166</v>
      </c>
      <c r="W487" s="241" t="s">
        <v>174</v>
      </c>
      <c r="X487" s="222" t="s">
        <v>166</v>
      </c>
      <c r="Y487" s="223" t="s">
        <v>166</v>
      </c>
      <c r="Z487" s="221" t="s">
        <v>174</v>
      </c>
      <c r="AA487" s="222" t="s">
        <v>174</v>
      </c>
      <c r="AB487" s="222" t="s">
        <v>166</v>
      </c>
      <c r="AC487" s="222" t="s">
        <v>174</v>
      </c>
      <c r="AD487" s="222" t="s">
        <v>174</v>
      </c>
      <c r="AE487" s="222" t="s">
        <v>174</v>
      </c>
      <c r="AF487" s="222" t="s">
        <v>174</v>
      </c>
      <c r="AG487" s="229" t="s">
        <v>2327</v>
      </c>
      <c r="AH487" s="229"/>
    </row>
    <row r="488">
      <c r="A488" s="282" t="str">
        <f t="shared" si="1"/>
        <v>MSI</v>
      </c>
      <c r="B488" s="257" t="s">
        <v>2507</v>
      </c>
      <c r="C488" s="221">
        <v>120.0</v>
      </c>
      <c r="D488" s="222">
        <v>154.0</v>
      </c>
      <c r="E488" s="222">
        <v>120.0</v>
      </c>
      <c r="F488" s="222">
        <v>27.0</v>
      </c>
      <c r="G488" s="223" t="s">
        <v>164</v>
      </c>
      <c r="H488" s="221">
        <v>70.0</v>
      </c>
      <c r="I488" s="222">
        <v>70.0</v>
      </c>
      <c r="J488" s="222">
        <v>46.0</v>
      </c>
      <c r="K488" s="222">
        <v>4200.0</v>
      </c>
      <c r="L488" s="222" t="s">
        <v>2010</v>
      </c>
      <c r="M488" s="223">
        <v>320.0</v>
      </c>
      <c r="N488" s="221">
        <v>1.0</v>
      </c>
      <c r="O488" s="222" t="s">
        <v>2002</v>
      </c>
      <c r="P488" s="222">
        <v>25.0</v>
      </c>
      <c r="Q488" s="222">
        <v>2000.0</v>
      </c>
      <c r="R488" s="224">
        <v>78.73</v>
      </c>
      <c r="S488" s="224">
        <v>2.39</v>
      </c>
      <c r="T488" s="225">
        <v>34.3</v>
      </c>
      <c r="U488" s="226">
        <v>52.0</v>
      </c>
      <c r="V488" s="221" t="s">
        <v>166</v>
      </c>
      <c r="W488" s="241" t="s">
        <v>166</v>
      </c>
      <c r="X488" s="222" t="s">
        <v>166</v>
      </c>
      <c r="Y488" s="223" t="s">
        <v>174</v>
      </c>
      <c r="Z488" s="221" t="s">
        <v>174</v>
      </c>
      <c r="AA488" s="222" t="s">
        <v>174</v>
      </c>
      <c r="AB488" s="222" t="s">
        <v>166</v>
      </c>
      <c r="AC488" s="222" t="s">
        <v>174</v>
      </c>
      <c r="AD488" s="222" t="s">
        <v>174</v>
      </c>
      <c r="AE488" s="222" t="s">
        <v>174</v>
      </c>
      <c r="AF488" s="222" t="s">
        <v>174</v>
      </c>
      <c r="AG488" s="229" t="s">
        <v>2327</v>
      </c>
      <c r="AH488" s="229"/>
    </row>
    <row r="489">
      <c r="A489" s="282" t="str">
        <f t="shared" si="1"/>
        <v>MSI</v>
      </c>
      <c r="B489" s="257" t="s">
        <v>2508</v>
      </c>
      <c r="C489" s="221">
        <v>240.0</v>
      </c>
      <c r="D489" s="222">
        <v>274.0</v>
      </c>
      <c r="E489" s="222">
        <v>120.0</v>
      </c>
      <c r="F489" s="222">
        <v>27.0</v>
      </c>
      <c r="G489" s="223" t="s">
        <v>164</v>
      </c>
      <c r="H489" s="221">
        <v>70.0</v>
      </c>
      <c r="I489" s="222">
        <v>70.0</v>
      </c>
      <c r="J489" s="222">
        <v>46.0</v>
      </c>
      <c r="K489" s="222">
        <v>4200.0</v>
      </c>
      <c r="L489" s="222" t="s">
        <v>2010</v>
      </c>
      <c r="M489" s="223">
        <v>400.0</v>
      </c>
      <c r="N489" s="221">
        <v>2.0</v>
      </c>
      <c r="O489" s="222" t="s">
        <v>2002</v>
      </c>
      <c r="P489" s="222">
        <v>25.0</v>
      </c>
      <c r="Q489" s="222">
        <v>2000.0</v>
      </c>
      <c r="R489" s="224">
        <v>78.73</v>
      </c>
      <c r="S489" s="224">
        <v>2.39</v>
      </c>
      <c r="T489" s="225">
        <v>34.3</v>
      </c>
      <c r="U489" s="226">
        <v>52.0</v>
      </c>
      <c r="V489" s="221" t="s">
        <v>166</v>
      </c>
      <c r="W489" s="241" t="s">
        <v>166</v>
      </c>
      <c r="X489" s="222" t="s">
        <v>166</v>
      </c>
      <c r="Y489" s="223" t="s">
        <v>174</v>
      </c>
      <c r="Z489" s="221" t="s">
        <v>174</v>
      </c>
      <c r="AA489" s="222" t="s">
        <v>174</v>
      </c>
      <c r="AB489" s="222" t="s">
        <v>166</v>
      </c>
      <c r="AC489" s="222" t="s">
        <v>174</v>
      </c>
      <c r="AD489" s="222" t="s">
        <v>174</v>
      </c>
      <c r="AE489" s="222" t="s">
        <v>174</v>
      </c>
      <c r="AF489" s="222" t="s">
        <v>174</v>
      </c>
      <c r="AG489" s="229" t="s">
        <v>2327</v>
      </c>
      <c r="AH489" s="229"/>
    </row>
    <row r="490">
      <c r="A490" s="282" t="str">
        <f t="shared" si="1"/>
        <v>MSI</v>
      </c>
      <c r="B490" s="257" t="s">
        <v>2509</v>
      </c>
      <c r="C490" s="221">
        <v>240.0</v>
      </c>
      <c r="D490" s="222">
        <v>276.0</v>
      </c>
      <c r="E490" s="222">
        <v>120.0</v>
      </c>
      <c r="F490" s="222">
        <v>27.0</v>
      </c>
      <c r="G490" s="223" t="s">
        <v>164</v>
      </c>
      <c r="H490" s="221">
        <v>70.5</v>
      </c>
      <c r="I490" s="222">
        <v>70.5</v>
      </c>
      <c r="J490" s="222">
        <v>52.0</v>
      </c>
      <c r="K490" s="222">
        <v>4200.0</v>
      </c>
      <c r="L490" s="222" t="s">
        <v>2010</v>
      </c>
      <c r="M490" s="223">
        <v>400.0</v>
      </c>
      <c r="N490" s="221">
        <v>2.0</v>
      </c>
      <c r="O490" s="222" t="s">
        <v>2002</v>
      </c>
      <c r="P490" s="222">
        <v>25.0</v>
      </c>
      <c r="Q490" s="222">
        <v>2000.0</v>
      </c>
      <c r="R490" s="224">
        <v>78.73</v>
      </c>
      <c r="S490" s="224">
        <v>2.39</v>
      </c>
      <c r="T490" s="225">
        <v>34.3</v>
      </c>
      <c r="U490" s="226">
        <v>52.0</v>
      </c>
      <c r="V490" s="221" t="s">
        <v>166</v>
      </c>
      <c r="W490" s="241" t="s">
        <v>174</v>
      </c>
      <c r="X490" s="222" t="s">
        <v>166</v>
      </c>
      <c r="Y490" s="223" t="s">
        <v>166</v>
      </c>
      <c r="Z490" s="221" t="s">
        <v>174</v>
      </c>
      <c r="AA490" s="222" t="s">
        <v>174</v>
      </c>
      <c r="AB490" s="222" t="s">
        <v>166</v>
      </c>
      <c r="AC490" s="222" t="s">
        <v>174</v>
      </c>
      <c r="AD490" s="222" t="s">
        <v>174</v>
      </c>
      <c r="AE490" s="222" t="s">
        <v>174</v>
      </c>
      <c r="AF490" s="222" t="s">
        <v>174</v>
      </c>
      <c r="AG490" s="229" t="s">
        <v>2327</v>
      </c>
      <c r="AH490" s="229"/>
    </row>
    <row r="491">
      <c r="A491" s="282" t="str">
        <f t="shared" si="1"/>
        <v>MSI</v>
      </c>
      <c r="B491" s="257" t="s">
        <v>2510</v>
      </c>
      <c r="C491" s="221">
        <v>240.0</v>
      </c>
      <c r="D491" s="222">
        <v>276.0</v>
      </c>
      <c r="E491" s="222">
        <v>120.0</v>
      </c>
      <c r="F491" s="222">
        <v>27.0</v>
      </c>
      <c r="G491" s="223" t="s">
        <v>164</v>
      </c>
      <c r="H491" s="221">
        <v>70.5</v>
      </c>
      <c r="I491" s="222">
        <v>70.5</v>
      </c>
      <c r="J491" s="222">
        <v>52.0</v>
      </c>
      <c r="K491" s="222">
        <v>4200.0</v>
      </c>
      <c r="L491" s="222" t="s">
        <v>2010</v>
      </c>
      <c r="M491" s="223">
        <v>400.0</v>
      </c>
      <c r="N491" s="221">
        <v>2.0</v>
      </c>
      <c r="O491" s="222" t="s">
        <v>2002</v>
      </c>
      <c r="P491" s="222">
        <v>25.0</v>
      </c>
      <c r="Q491" s="222">
        <v>2000.0</v>
      </c>
      <c r="R491" s="224">
        <v>78.73</v>
      </c>
      <c r="S491" s="224">
        <v>2.39</v>
      </c>
      <c r="T491" s="225">
        <v>34.3</v>
      </c>
      <c r="U491" s="226">
        <v>52.0</v>
      </c>
      <c r="V491" s="221" t="s">
        <v>166</v>
      </c>
      <c r="W491" s="241" t="s">
        <v>174</v>
      </c>
      <c r="X491" s="222" t="s">
        <v>166</v>
      </c>
      <c r="Y491" s="223" t="s">
        <v>166</v>
      </c>
      <c r="Z491" s="221" t="s">
        <v>174</v>
      </c>
      <c r="AA491" s="222" t="s">
        <v>174</v>
      </c>
      <c r="AB491" s="222" t="s">
        <v>166</v>
      </c>
      <c r="AC491" s="222" t="s">
        <v>174</v>
      </c>
      <c r="AD491" s="222" t="s">
        <v>174</v>
      </c>
      <c r="AE491" s="222" t="s">
        <v>174</v>
      </c>
      <c r="AF491" s="222" t="s">
        <v>174</v>
      </c>
      <c r="AG491" s="229" t="s">
        <v>2327</v>
      </c>
      <c r="AH491" s="229"/>
    </row>
    <row r="492">
      <c r="A492" s="282" t="str">
        <f t="shared" si="1"/>
        <v>MSI</v>
      </c>
      <c r="B492" s="257" t="s">
        <v>2511</v>
      </c>
      <c r="C492" s="221">
        <v>280.0</v>
      </c>
      <c r="D492" s="222">
        <v>316.0</v>
      </c>
      <c r="E492" s="222">
        <v>140.0</v>
      </c>
      <c r="F492" s="222">
        <v>27.0</v>
      </c>
      <c r="G492" s="223" t="s">
        <v>164</v>
      </c>
      <c r="H492" s="221">
        <v>70.5</v>
      </c>
      <c r="I492" s="222">
        <v>70.5</v>
      </c>
      <c r="J492" s="222">
        <v>52.0</v>
      </c>
      <c r="K492" s="222">
        <v>4200.0</v>
      </c>
      <c r="L492" s="222" t="s">
        <v>2010</v>
      </c>
      <c r="M492" s="223">
        <v>400.0</v>
      </c>
      <c r="N492" s="221">
        <v>2.0</v>
      </c>
      <c r="O492" s="222" t="s">
        <v>2018</v>
      </c>
      <c r="P492" s="222">
        <v>25.0</v>
      </c>
      <c r="Q492" s="222">
        <v>1800.0</v>
      </c>
      <c r="R492" s="224">
        <v>84.36</v>
      </c>
      <c r="S492" s="224">
        <v>2.29</v>
      </c>
      <c r="T492" s="225">
        <v>33.28</v>
      </c>
      <c r="U492" s="226">
        <v>52.0</v>
      </c>
      <c r="V492" s="221" t="s">
        <v>166</v>
      </c>
      <c r="W492" s="241" t="s">
        <v>174</v>
      </c>
      <c r="X492" s="222" t="s">
        <v>166</v>
      </c>
      <c r="Y492" s="223" t="s">
        <v>166</v>
      </c>
      <c r="Z492" s="221" t="s">
        <v>174</v>
      </c>
      <c r="AA492" s="222" t="s">
        <v>174</v>
      </c>
      <c r="AB492" s="222" t="s">
        <v>166</v>
      </c>
      <c r="AC492" s="222" t="s">
        <v>174</v>
      </c>
      <c r="AD492" s="222" t="s">
        <v>174</v>
      </c>
      <c r="AE492" s="222" t="s">
        <v>174</v>
      </c>
      <c r="AF492" s="222" t="s">
        <v>174</v>
      </c>
      <c r="AG492" s="229" t="s">
        <v>2327</v>
      </c>
      <c r="AH492" s="229"/>
    </row>
    <row r="493">
      <c r="A493" s="282" t="str">
        <f t="shared" si="1"/>
        <v>MSI</v>
      </c>
      <c r="B493" s="257" t="s">
        <v>2512</v>
      </c>
      <c r="C493" s="221">
        <v>360.0</v>
      </c>
      <c r="D493" s="222">
        <v>396.0</v>
      </c>
      <c r="E493" s="222">
        <v>120.0</v>
      </c>
      <c r="F493" s="222">
        <v>27.0</v>
      </c>
      <c r="G493" s="223" t="s">
        <v>164</v>
      </c>
      <c r="H493" s="221">
        <v>70.5</v>
      </c>
      <c r="I493" s="222">
        <v>70.5</v>
      </c>
      <c r="J493" s="222">
        <v>52.0</v>
      </c>
      <c r="K493" s="222">
        <v>4200.0</v>
      </c>
      <c r="L493" s="222" t="s">
        <v>2010</v>
      </c>
      <c r="M493" s="223">
        <v>400.0</v>
      </c>
      <c r="N493" s="221">
        <v>3.0</v>
      </c>
      <c r="O493" s="222" t="s">
        <v>2002</v>
      </c>
      <c r="P493" s="222">
        <v>25.0</v>
      </c>
      <c r="Q493" s="222">
        <v>2000.0</v>
      </c>
      <c r="R493" s="224">
        <v>78.73</v>
      </c>
      <c r="S493" s="224">
        <v>2.39</v>
      </c>
      <c r="T493" s="225">
        <v>34.3</v>
      </c>
      <c r="U493" s="226">
        <v>52.0</v>
      </c>
      <c r="V493" s="221" t="s">
        <v>166</v>
      </c>
      <c r="W493" s="241" t="s">
        <v>174</v>
      </c>
      <c r="X493" s="222" t="s">
        <v>166</v>
      </c>
      <c r="Y493" s="223" t="s">
        <v>166</v>
      </c>
      <c r="Z493" s="221" t="s">
        <v>174</v>
      </c>
      <c r="AA493" s="222" t="s">
        <v>174</v>
      </c>
      <c r="AB493" s="222" t="s">
        <v>166</v>
      </c>
      <c r="AC493" s="222" t="s">
        <v>174</v>
      </c>
      <c r="AD493" s="222" t="s">
        <v>174</v>
      </c>
      <c r="AE493" s="222" t="s">
        <v>174</v>
      </c>
      <c r="AF493" s="222" t="s">
        <v>174</v>
      </c>
      <c r="AG493" s="229" t="s">
        <v>2327</v>
      </c>
      <c r="AH493" s="229"/>
    </row>
    <row r="494">
      <c r="A494" s="282" t="str">
        <f t="shared" si="1"/>
        <v>MSI</v>
      </c>
      <c r="B494" s="257" t="s">
        <v>2513</v>
      </c>
      <c r="C494" s="221">
        <v>240.0</v>
      </c>
      <c r="D494" s="222">
        <v>277.0</v>
      </c>
      <c r="E494" s="222">
        <v>119.2</v>
      </c>
      <c r="F494" s="222">
        <v>27.0</v>
      </c>
      <c r="G494" s="223" t="s">
        <v>164</v>
      </c>
      <c r="H494" s="221">
        <v>82.0</v>
      </c>
      <c r="I494" s="222">
        <v>82.0</v>
      </c>
      <c r="J494" s="222">
        <v>47.6</v>
      </c>
      <c r="K494" s="222">
        <v>3000.0</v>
      </c>
      <c r="L494" s="222" t="s">
        <v>44</v>
      </c>
      <c r="M494" s="223">
        <v>400.0</v>
      </c>
      <c r="N494" s="221">
        <v>2.0</v>
      </c>
      <c r="O494" s="222" t="s">
        <v>2002</v>
      </c>
      <c r="P494" s="222">
        <v>25.0</v>
      </c>
      <c r="Q494" s="222">
        <v>2300.0</v>
      </c>
      <c r="R494" s="224">
        <v>78.73</v>
      </c>
      <c r="S494" s="224">
        <v>3.68</v>
      </c>
      <c r="T494" s="225">
        <v>34.3</v>
      </c>
      <c r="U494" s="226">
        <v>52.0</v>
      </c>
      <c r="V494" s="221" t="s">
        <v>166</v>
      </c>
      <c r="W494" s="241" t="s">
        <v>174</v>
      </c>
      <c r="X494" s="222" t="s">
        <v>166</v>
      </c>
      <c r="Y494" s="223" t="s">
        <v>166</v>
      </c>
      <c r="Z494" s="221" t="s">
        <v>166</v>
      </c>
      <c r="AA494" s="222" t="s">
        <v>174</v>
      </c>
      <c r="AB494" s="222" t="s">
        <v>166</v>
      </c>
      <c r="AC494" s="222" t="s">
        <v>174</v>
      </c>
      <c r="AD494" s="222" t="s">
        <v>166</v>
      </c>
      <c r="AE494" s="222" t="s">
        <v>174</v>
      </c>
      <c r="AF494" s="222" t="s">
        <v>166</v>
      </c>
      <c r="AG494" s="292" t="s">
        <v>170</v>
      </c>
      <c r="AH494" s="292"/>
    </row>
    <row r="495">
      <c r="A495" s="282" t="str">
        <f t="shared" si="1"/>
        <v>MSI</v>
      </c>
      <c r="B495" s="257" t="s">
        <v>2514</v>
      </c>
      <c r="C495" s="221">
        <v>360.0</v>
      </c>
      <c r="D495" s="222">
        <v>394.0</v>
      </c>
      <c r="E495" s="222">
        <v>119.2</v>
      </c>
      <c r="F495" s="222">
        <v>27.0</v>
      </c>
      <c r="G495" s="223" t="s">
        <v>164</v>
      </c>
      <c r="H495" s="221">
        <v>82.0</v>
      </c>
      <c r="I495" s="222">
        <v>82.0</v>
      </c>
      <c r="J495" s="222">
        <v>47.6</v>
      </c>
      <c r="K495" s="222">
        <v>3000.0</v>
      </c>
      <c r="L495" s="222" t="s">
        <v>44</v>
      </c>
      <c r="M495" s="223">
        <v>400.0</v>
      </c>
      <c r="N495" s="221">
        <v>3.0</v>
      </c>
      <c r="O495" s="222" t="s">
        <v>2002</v>
      </c>
      <c r="P495" s="222">
        <v>25.0</v>
      </c>
      <c r="Q495" s="222">
        <v>2300.0</v>
      </c>
      <c r="R495" s="224">
        <v>78.73</v>
      </c>
      <c r="S495" s="224">
        <v>3.68</v>
      </c>
      <c r="T495" s="225">
        <v>34.3</v>
      </c>
      <c r="U495" s="226">
        <v>52.0</v>
      </c>
      <c r="V495" s="221" t="s">
        <v>166</v>
      </c>
      <c r="W495" s="241" t="s">
        <v>174</v>
      </c>
      <c r="X495" s="222" t="s">
        <v>166</v>
      </c>
      <c r="Y495" s="223" t="s">
        <v>166</v>
      </c>
      <c r="Z495" s="221" t="s">
        <v>166</v>
      </c>
      <c r="AA495" s="222" t="s">
        <v>174</v>
      </c>
      <c r="AB495" s="222" t="s">
        <v>166</v>
      </c>
      <c r="AC495" s="222" t="s">
        <v>174</v>
      </c>
      <c r="AD495" s="222" t="s">
        <v>166</v>
      </c>
      <c r="AE495" s="222" t="s">
        <v>174</v>
      </c>
      <c r="AF495" s="222" t="s">
        <v>166</v>
      </c>
      <c r="AG495" s="292" t="s">
        <v>170</v>
      </c>
      <c r="AH495" s="293" t="s">
        <v>214</v>
      </c>
    </row>
    <row r="496">
      <c r="A496" s="282" t="str">
        <f t="shared" si="1"/>
        <v>MSI</v>
      </c>
      <c r="B496" s="257" t="s">
        <v>2515</v>
      </c>
      <c r="C496" s="221">
        <v>240.0</v>
      </c>
      <c r="D496" s="222">
        <v>277.0</v>
      </c>
      <c r="E496" s="222">
        <v>120.0</v>
      </c>
      <c r="F496" s="222">
        <v>27.0</v>
      </c>
      <c r="G496" s="223" t="s">
        <v>164</v>
      </c>
      <c r="H496" s="221">
        <v>67.26</v>
      </c>
      <c r="I496" s="222">
        <v>59.95</v>
      </c>
      <c r="J496" s="222">
        <v>55.9</v>
      </c>
      <c r="K496" s="222">
        <v>3100.0</v>
      </c>
      <c r="L496" s="222" t="s">
        <v>44</v>
      </c>
      <c r="M496" s="223" t="s">
        <v>170</v>
      </c>
      <c r="N496" s="221">
        <v>2.0</v>
      </c>
      <c r="O496" s="222" t="s">
        <v>2002</v>
      </c>
      <c r="P496" s="222">
        <v>25.0</v>
      </c>
      <c r="Q496" s="222" t="s">
        <v>170</v>
      </c>
      <c r="R496" s="224">
        <v>78.73</v>
      </c>
      <c r="S496" s="224" t="s">
        <v>170</v>
      </c>
      <c r="T496" s="225" t="s">
        <v>170</v>
      </c>
      <c r="U496" s="226">
        <v>52.0</v>
      </c>
      <c r="V496" s="221" t="s">
        <v>166</v>
      </c>
      <c r="W496" s="241" t="s">
        <v>174</v>
      </c>
      <c r="X496" s="222" t="s">
        <v>166</v>
      </c>
      <c r="Y496" s="223" t="s">
        <v>166</v>
      </c>
      <c r="Z496" s="221" t="s">
        <v>166</v>
      </c>
      <c r="AA496" s="222" t="s">
        <v>174</v>
      </c>
      <c r="AB496" s="222" t="s">
        <v>166</v>
      </c>
      <c r="AC496" s="222" t="s">
        <v>174</v>
      </c>
      <c r="AD496" s="222" t="s">
        <v>166</v>
      </c>
      <c r="AE496" s="222" t="s">
        <v>174</v>
      </c>
      <c r="AF496" s="222" t="s">
        <v>174</v>
      </c>
      <c r="AG496" s="292" t="s">
        <v>170</v>
      </c>
      <c r="AH496" s="292"/>
    </row>
    <row r="497">
      <c r="A497" s="282" t="str">
        <f t="shared" si="1"/>
        <v>MSI</v>
      </c>
      <c r="B497" s="257" t="s">
        <v>2516</v>
      </c>
      <c r="C497" s="221">
        <v>360.0</v>
      </c>
      <c r="D497" s="222">
        <v>397.0</v>
      </c>
      <c r="E497" s="222">
        <v>120.0</v>
      </c>
      <c r="F497" s="222">
        <v>27.0</v>
      </c>
      <c r="G497" s="223" t="s">
        <v>164</v>
      </c>
      <c r="H497" s="221">
        <v>67.26</v>
      </c>
      <c r="I497" s="222">
        <v>59.95</v>
      </c>
      <c r="J497" s="222">
        <v>55.9</v>
      </c>
      <c r="K497" s="222">
        <v>3100.0</v>
      </c>
      <c r="L497" s="222" t="s">
        <v>44</v>
      </c>
      <c r="M497" s="223" t="s">
        <v>170</v>
      </c>
      <c r="N497" s="221">
        <v>3.0</v>
      </c>
      <c r="O497" s="222" t="s">
        <v>2002</v>
      </c>
      <c r="P497" s="222">
        <v>25.0</v>
      </c>
      <c r="Q497" s="222" t="s">
        <v>170</v>
      </c>
      <c r="R497" s="224">
        <v>78.73</v>
      </c>
      <c r="S497" s="224" t="s">
        <v>170</v>
      </c>
      <c r="T497" s="225" t="s">
        <v>170</v>
      </c>
      <c r="U497" s="226">
        <v>52.0</v>
      </c>
      <c r="V497" s="221" t="s">
        <v>166</v>
      </c>
      <c r="W497" s="241" t="s">
        <v>174</v>
      </c>
      <c r="X497" s="222" t="s">
        <v>166</v>
      </c>
      <c r="Y497" s="223" t="s">
        <v>166</v>
      </c>
      <c r="Z497" s="221" t="s">
        <v>166</v>
      </c>
      <c r="AA497" s="222" t="s">
        <v>174</v>
      </c>
      <c r="AB497" s="222" t="s">
        <v>166</v>
      </c>
      <c r="AC497" s="222" t="s">
        <v>174</v>
      </c>
      <c r="AD497" s="222" t="s">
        <v>166</v>
      </c>
      <c r="AE497" s="222" t="s">
        <v>174</v>
      </c>
      <c r="AF497" s="222" t="s">
        <v>174</v>
      </c>
      <c r="AG497" s="292" t="s">
        <v>170</v>
      </c>
      <c r="AH497" s="292"/>
    </row>
    <row r="498">
      <c r="A498" s="282" t="str">
        <f t="shared" si="1"/>
        <v>MSI</v>
      </c>
      <c r="B498" s="257" t="s">
        <v>2517</v>
      </c>
      <c r="C498" s="221">
        <v>240.0</v>
      </c>
      <c r="D498" s="222">
        <v>276.0</v>
      </c>
      <c r="E498" s="222">
        <v>120.0</v>
      </c>
      <c r="F498" s="222">
        <v>27.0</v>
      </c>
      <c r="G498" s="223" t="s">
        <v>164</v>
      </c>
      <c r="H498" s="221">
        <v>70.5</v>
      </c>
      <c r="I498" s="222">
        <v>70.5</v>
      </c>
      <c r="J498" s="222">
        <v>52.0</v>
      </c>
      <c r="K498" s="222">
        <v>4200.0</v>
      </c>
      <c r="L498" s="222" t="s">
        <v>2010</v>
      </c>
      <c r="M498" s="223">
        <v>400.0</v>
      </c>
      <c r="N498" s="221">
        <v>2.0</v>
      </c>
      <c r="O498" s="222" t="s">
        <v>2002</v>
      </c>
      <c r="P498" s="222">
        <v>25.0</v>
      </c>
      <c r="Q498" s="222">
        <v>2000.0</v>
      </c>
      <c r="R498" s="224">
        <v>78.73</v>
      </c>
      <c r="S498" s="224">
        <v>2.39</v>
      </c>
      <c r="T498" s="225">
        <v>34.3</v>
      </c>
      <c r="U498" s="226">
        <v>52.0</v>
      </c>
      <c r="V498" s="221" t="s">
        <v>166</v>
      </c>
      <c r="W498" s="241" t="s">
        <v>174</v>
      </c>
      <c r="X498" s="222" t="s">
        <v>166</v>
      </c>
      <c r="Y498" s="223" t="s">
        <v>166</v>
      </c>
      <c r="Z498" s="221" t="s">
        <v>174</v>
      </c>
      <c r="AA498" s="222" t="s">
        <v>174</v>
      </c>
      <c r="AB498" s="222" t="s">
        <v>166</v>
      </c>
      <c r="AC498" s="222" t="s">
        <v>174</v>
      </c>
      <c r="AD498" s="222" t="s">
        <v>174</v>
      </c>
      <c r="AE498" s="222" t="s">
        <v>174</v>
      </c>
      <c r="AF498" s="222" t="s">
        <v>174</v>
      </c>
      <c r="AG498" s="229" t="s">
        <v>2327</v>
      </c>
      <c r="AH498" s="229"/>
    </row>
    <row r="499">
      <c r="A499" s="282" t="str">
        <f t="shared" si="1"/>
        <v>MSI</v>
      </c>
      <c r="B499" s="257" t="s">
        <v>2518</v>
      </c>
      <c r="C499" s="221">
        <v>280.0</v>
      </c>
      <c r="D499" s="222">
        <v>316.0</v>
      </c>
      <c r="E499" s="222">
        <v>140.0</v>
      </c>
      <c r="F499" s="222">
        <v>27.0</v>
      </c>
      <c r="G499" s="223" t="s">
        <v>164</v>
      </c>
      <c r="H499" s="221">
        <v>70.5</v>
      </c>
      <c r="I499" s="222">
        <v>70.5</v>
      </c>
      <c r="J499" s="222">
        <v>52.0</v>
      </c>
      <c r="K499" s="222">
        <v>4200.0</v>
      </c>
      <c r="L499" s="222" t="s">
        <v>2010</v>
      </c>
      <c r="M499" s="223">
        <v>400.0</v>
      </c>
      <c r="N499" s="221">
        <v>2.0</v>
      </c>
      <c r="O499" s="222" t="s">
        <v>2018</v>
      </c>
      <c r="P499" s="222">
        <v>25.0</v>
      </c>
      <c r="Q499" s="222">
        <v>1800.0</v>
      </c>
      <c r="R499" s="224">
        <v>84.36</v>
      </c>
      <c r="S499" s="224">
        <v>2.29</v>
      </c>
      <c r="T499" s="225">
        <v>33.28</v>
      </c>
      <c r="U499" s="226">
        <v>52.0</v>
      </c>
      <c r="V499" s="221" t="s">
        <v>166</v>
      </c>
      <c r="W499" s="241" t="s">
        <v>174</v>
      </c>
      <c r="X499" s="222" t="s">
        <v>166</v>
      </c>
      <c r="Y499" s="223" t="s">
        <v>166</v>
      </c>
      <c r="Z499" s="221" t="s">
        <v>174</v>
      </c>
      <c r="AA499" s="222" t="s">
        <v>174</v>
      </c>
      <c r="AB499" s="222" t="s">
        <v>166</v>
      </c>
      <c r="AC499" s="222" t="s">
        <v>174</v>
      </c>
      <c r="AD499" s="222" t="s">
        <v>174</v>
      </c>
      <c r="AE499" s="222" t="s">
        <v>174</v>
      </c>
      <c r="AF499" s="222" t="s">
        <v>174</v>
      </c>
      <c r="AG499" s="229" t="s">
        <v>2327</v>
      </c>
      <c r="AH499" s="229"/>
    </row>
    <row r="500">
      <c r="A500" s="282" t="str">
        <f t="shared" si="1"/>
        <v>MSI</v>
      </c>
      <c r="B500" s="257" t="s">
        <v>2519</v>
      </c>
      <c r="C500" s="221">
        <v>360.0</v>
      </c>
      <c r="D500" s="222">
        <v>396.0</v>
      </c>
      <c r="E500" s="222">
        <v>120.0</v>
      </c>
      <c r="F500" s="222">
        <v>27.0</v>
      </c>
      <c r="G500" s="223" t="s">
        <v>164</v>
      </c>
      <c r="H500" s="221">
        <v>70.5</v>
      </c>
      <c r="I500" s="222">
        <v>70.5</v>
      </c>
      <c r="J500" s="222">
        <v>52.0</v>
      </c>
      <c r="K500" s="222">
        <v>4200.0</v>
      </c>
      <c r="L500" s="222" t="s">
        <v>2010</v>
      </c>
      <c r="M500" s="223">
        <v>400.0</v>
      </c>
      <c r="N500" s="221">
        <v>3.0</v>
      </c>
      <c r="O500" s="222" t="s">
        <v>2002</v>
      </c>
      <c r="P500" s="222">
        <v>25.0</v>
      </c>
      <c r="Q500" s="222">
        <v>2000.0</v>
      </c>
      <c r="R500" s="224">
        <v>78.73</v>
      </c>
      <c r="S500" s="224">
        <v>2.39</v>
      </c>
      <c r="T500" s="225">
        <v>34.3</v>
      </c>
      <c r="U500" s="226">
        <v>52.0</v>
      </c>
      <c r="V500" s="221" t="s">
        <v>166</v>
      </c>
      <c r="W500" s="241" t="s">
        <v>174</v>
      </c>
      <c r="X500" s="222" t="s">
        <v>166</v>
      </c>
      <c r="Y500" s="223" t="s">
        <v>166</v>
      </c>
      <c r="Z500" s="221" t="s">
        <v>174</v>
      </c>
      <c r="AA500" s="222" t="s">
        <v>174</v>
      </c>
      <c r="AB500" s="222" t="s">
        <v>166</v>
      </c>
      <c r="AC500" s="222" t="s">
        <v>174</v>
      </c>
      <c r="AD500" s="222" t="s">
        <v>174</v>
      </c>
      <c r="AE500" s="222" t="s">
        <v>174</v>
      </c>
      <c r="AF500" s="222" t="s">
        <v>174</v>
      </c>
      <c r="AG500" s="229" t="s">
        <v>2327</v>
      </c>
      <c r="AH500" s="229"/>
    </row>
    <row r="501">
      <c r="A501" s="282" t="str">
        <f t="shared" si="1"/>
        <v>MSI</v>
      </c>
      <c r="B501" s="257" t="s">
        <v>2520</v>
      </c>
      <c r="C501" s="221">
        <v>280.0</v>
      </c>
      <c r="D501" s="222">
        <v>314.8</v>
      </c>
      <c r="E501" s="222">
        <v>140.0</v>
      </c>
      <c r="F501" s="222">
        <v>27.0</v>
      </c>
      <c r="G501" s="223" t="s">
        <v>164</v>
      </c>
      <c r="H501" s="221">
        <v>95.0</v>
      </c>
      <c r="I501" s="222">
        <v>95.0</v>
      </c>
      <c r="J501" s="222">
        <v>83.53</v>
      </c>
      <c r="K501" s="222">
        <v>2800.0</v>
      </c>
      <c r="L501" s="222" t="s">
        <v>44</v>
      </c>
      <c r="M501" s="223">
        <v>400.0</v>
      </c>
      <c r="N501" s="221">
        <v>2.0</v>
      </c>
      <c r="O501" s="222" t="s">
        <v>2018</v>
      </c>
      <c r="P501" s="222">
        <v>25.0</v>
      </c>
      <c r="Q501" s="222">
        <v>1800.0</v>
      </c>
      <c r="R501" s="224">
        <v>82.27</v>
      </c>
      <c r="S501" s="224">
        <v>2.2</v>
      </c>
      <c r="T501" s="225">
        <v>24.9</v>
      </c>
      <c r="U501" s="226">
        <v>52.0</v>
      </c>
      <c r="V501" s="221" t="s">
        <v>166</v>
      </c>
      <c r="W501" s="241" t="s">
        <v>166</v>
      </c>
      <c r="X501" s="222" t="s">
        <v>174</v>
      </c>
      <c r="Y501" s="223" t="s">
        <v>174</v>
      </c>
      <c r="Z501" s="221" t="s">
        <v>174</v>
      </c>
      <c r="AA501" s="222" t="s">
        <v>174</v>
      </c>
      <c r="AB501" s="222" t="s">
        <v>166</v>
      </c>
      <c r="AC501" s="222" t="s">
        <v>174</v>
      </c>
      <c r="AD501" s="222" t="s">
        <v>174</v>
      </c>
      <c r="AE501" s="222" t="s">
        <v>174</v>
      </c>
      <c r="AF501" s="222" t="s">
        <v>174</v>
      </c>
      <c r="AG501" s="229" t="s">
        <v>2003</v>
      </c>
      <c r="AH501" s="229"/>
    </row>
    <row r="502">
      <c r="A502" s="282" t="str">
        <f t="shared" si="1"/>
        <v>MSI</v>
      </c>
      <c r="B502" s="257" t="s">
        <v>2521</v>
      </c>
      <c r="C502" s="221">
        <v>360.0</v>
      </c>
      <c r="D502" s="222">
        <v>394.0</v>
      </c>
      <c r="E502" s="222">
        <v>120.0</v>
      </c>
      <c r="F502" s="222">
        <v>27.0</v>
      </c>
      <c r="G502" s="223" t="s">
        <v>164</v>
      </c>
      <c r="H502" s="221">
        <v>95.0</v>
      </c>
      <c r="I502" s="222">
        <v>95.0</v>
      </c>
      <c r="J502" s="222">
        <v>83.53</v>
      </c>
      <c r="K502" s="222">
        <v>2800.0</v>
      </c>
      <c r="L502" s="222" t="s">
        <v>44</v>
      </c>
      <c r="M502" s="223">
        <v>400.0</v>
      </c>
      <c r="N502" s="221">
        <v>3.0</v>
      </c>
      <c r="O502" s="222" t="s">
        <v>2002</v>
      </c>
      <c r="P502" s="222">
        <v>25.0</v>
      </c>
      <c r="Q502" s="222">
        <v>2000.0</v>
      </c>
      <c r="R502" s="224">
        <v>56.2</v>
      </c>
      <c r="S502" s="224">
        <v>2.21</v>
      </c>
      <c r="T502" s="225">
        <v>22.7</v>
      </c>
      <c r="U502" s="226">
        <v>52.0</v>
      </c>
      <c r="V502" s="221" t="s">
        <v>166</v>
      </c>
      <c r="W502" s="241" t="s">
        <v>166</v>
      </c>
      <c r="X502" s="222" t="s">
        <v>174</v>
      </c>
      <c r="Y502" s="223" t="s">
        <v>174</v>
      </c>
      <c r="Z502" s="221" t="s">
        <v>174</v>
      </c>
      <c r="AA502" s="222" t="s">
        <v>174</v>
      </c>
      <c r="AB502" s="222" t="s">
        <v>166</v>
      </c>
      <c r="AC502" s="222" t="s">
        <v>174</v>
      </c>
      <c r="AD502" s="222" t="s">
        <v>166</v>
      </c>
      <c r="AE502" s="222" t="s">
        <v>174</v>
      </c>
      <c r="AF502" s="222" t="s">
        <v>174</v>
      </c>
      <c r="AG502" s="229" t="s">
        <v>2003</v>
      </c>
      <c r="AH502" s="229"/>
    </row>
    <row r="503">
      <c r="A503" s="282" t="str">
        <f t="shared" si="1"/>
        <v>MSI</v>
      </c>
      <c r="B503" s="257" t="s">
        <v>2522</v>
      </c>
      <c r="C503" s="221">
        <v>240.0</v>
      </c>
      <c r="D503" s="222">
        <v>272.5</v>
      </c>
      <c r="E503" s="222">
        <v>120.0</v>
      </c>
      <c r="F503" s="222">
        <v>27.0</v>
      </c>
      <c r="G503" s="223" t="s">
        <v>164</v>
      </c>
      <c r="H503" s="221">
        <v>94.66</v>
      </c>
      <c r="I503" s="222">
        <v>94.0</v>
      </c>
      <c r="J503" s="222">
        <v>83.36</v>
      </c>
      <c r="K503" s="222">
        <v>2800.0</v>
      </c>
      <c r="L503" s="222" t="s">
        <v>44</v>
      </c>
      <c r="M503" s="223">
        <v>400.0</v>
      </c>
      <c r="N503" s="221">
        <v>2.0</v>
      </c>
      <c r="O503" s="222" t="s">
        <v>2002</v>
      </c>
      <c r="P503" s="222">
        <v>25.0</v>
      </c>
      <c r="Q503" s="222">
        <v>2500.0</v>
      </c>
      <c r="R503" s="224">
        <v>77.4</v>
      </c>
      <c r="S503" s="224">
        <v>4.29</v>
      </c>
      <c r="T503" s="225">
        <v>39.9</v>
      </c>
      <c r="U503" s="226">
        <v>52.0</v>
      </c>
      <c r="V503" s="221" t="s">
        <v>166</v>
      </c>
      <c r="W503" s="241" t="s">
        <v>166</v>
      </c>
      <c r="X503" s="222" t="s">
        <v>174</v>
      </c>
      <c r="Y503" s="223" t="s">
        <v>174</v>
      </c>
      <c r="Z503" s="221" t="s">
        <v>174</v>
      </c>
      <c r="AA503" s="222" t="s">
        <v>174</v>
      </c>
      <c r="AB503" s="222" t="s">
        <v>166</v>
      </c>
      <c r="AC503" s="222" t="s">
        <v>174</v>
      </c>
      <c r="AD503" s="222" t="s">
        <v>174</v>
      </c>
      <c r="AE503" s="222" t="s">
        <v>174</v>
      </c>
      <c r="AF503" s="222" t="s">
        <v>174</v>
      </c>
      <c r="AG503" s="229" t="s">
        <v>2003</v>
      </c>
      <c r="AH503" s="229"/>
    </row>
    <row r="504">
      <c r="A504" s="282" t="str">
        <f t="shared" si="1"/>
        <v>MSI</v>
      </c>
      <c r="B504" s="257" t="s">
        <v>2523</v>
      </c>
      <c r="C504" s="221">
        <v>240.0</v>
      </c>
      <c r="D504" s="222">
        <v>272.5</v>
      </c>
      <c r="E504" s="222">
        <v>120.0</v>
      </c>
      <c r="F504" s="222">
        <v>27.0</v>
      </c>
      <c r="G504" s="223" t="s">
        <v>164</v>
      </c>
      <c r="H504" s="221">
        <v>94.66</v>
      </c>
      <c r="I504" s="222">
        <v>94.0</v>
      </c>
      <c r="J504" s="222">
        <v>83.36</v>
      </c>
      <c r="K504" s="222">
        <v>2800.0</v>
      </c>
      <c r="L504" s="222" t="s">
        <v>44</v>
      </c>
      <c r="M504" s="223">
        <v>400.0</v>
      </c>
      <c r="N504" s="221">
        <v>2.0</v>
      </c>
      <c r="O504" s="222" t="s">
        <v>2002</v>
      </c>
      <c r="P504" s="222">
        <v>25.0</v>
      </c>
      <c r="Q504" s="222">
        <v>2500.0</v>
      </c>
      <c r="R504" s="224">
        <v>77.4</v>
      </c>
      <c r="S504" s="224">
        <v>4.29</v>
      </c>
      <c r="T504" s="225">
        <v>39.9</v>
      </c>
      <c r="U504" s="226">
        <v>52.0</v>
      </c>
      <c r="V504" s="221" t="s">
        <v>166</v>
      </c>
      <c r="W504" s="241" t="s">
        <v>166</v>
      </c>
      <c r="X504" s="222" t="s">
        <v>174</v>
      </c>
      <c r="Y504" s="223" t="s">
        <v>174</v>
      </c>
      <c r="Z504" s="221" t="s">
        <v>174</v>
      </c>
      <c r="AA504" s="222" t="s">
        <v>174</v>
      </c>
      <c r="AB504" s="222" t="s">
        <v>166</v>
      </c>
      <c r="AC504" s="222" t="s">
        <v>174</v>
      </c>
      <c r="AD504" s="222" t="s">
        <v>174</v>
      </c>
      <c r="AE504" s="222" t="s">
        <v>174</v>
      </c>
      <c r="AF504" s="222" t="s">
        <v>174</v>
      </c>
      <c r="AG504" s="229" t="s">
        <v>2003</v>
      </c>
      <c r="AH504" s="229"/>
    </row>
    <row r="505">
      <c r="A505" s="282" t="str">
        <f t="shared" si="1"/>
        <v>MSI</v>
      </c>
      <c r="B505" s="257" t="s">
        <v>2524</v>
      </c>
      <c r="C505" s="221">
        <v>360.0</v>
      </c>
      <c r="D505" s="222">
        <v>394.0</v>
      </c>
      <c r="E505" s="222">
        <v>120.0</v>
      </c>
      <c r="F505" s="222">
        <v>27.0</v>
      </c>
      <c r="G505" s="223" t="s">
        <v>164</v>
      </c>
      <c r="H505" s="221">
        <v>94.66</v>
      </c>
      <c r="I505" s="222">
        <v>94.0</v>
      </c>
      <c r="J505" s="222">
        <v>83.36</v>
      </c>
      <c r="K505" s="222">
        <v>2800.0</v>
      </c>
      <c r="L505" s="222" t="s">
        <v>44</v>
      </c>
      <c r="M505" s="223">
        <v>400.0</v>
      </c>
      <c r="N505" s="221">
        <v>3.0</v>
      </c>
      <c r="O505" s="222" t="s">
        <v>2002</v>
      </c>
      <c r="P505" s="222">
        <v>25.0</v>
      </c>
      <c r="Q505" s="222">
        <v>2500.0</v>
      </c>
      <c r="R505" s="224">
        <v>77.4</v>
      </c>
      <c r="S505" s="224">
        <v>4.29</v>
      </c>
      <c r="T505" s="225">
        <v>39.9</v>
      </c>
      <c r="U505" s="226">
        <v>52.0</v>
      </c>
      <c r="V505" s="221" t="s">
        <v>166</v>
      </c>
      <c r="W505" s="241" t="s">
        <v>166</v>
      </c>
      <c r="X505" s="222" t="s">
        <v>174</v>
      </c>
      <c r="Y505" s="223" t="s">
        <v>174</v>
      </c>
      <c r="Z505" s="221" t="s">
        <v>174</v>
      </c>
      <c r="AA505" s="222" t="s">
        <v>174</v>
      </c>
      <c r="AB505" s="222" t="s">
        <v>166</v>
      </c>
      <c r="AC505" s="222" t="s">
        <v>174</v>
      </c>
      <c r="AD505" s="222" t="s">
        <v>166</v>
      </c>
      <c r="AE505" s="222" t="s">
        <v>174</v>
      </c>
      <c r="AF505" s="222" t="s">
        <v>174</v>
      </c>
      <c r="AG505" s="229" t="s">
        <v>2003</v>
      </c>
      <c r="AH505" s="229"/>
    </row>
    <row r="506">
      <c r="A506" s="290" t="str">
        <f t="shared" si="1"/>
        <v>MSI</v>
      </c>
      <c r="B506" s="271" t="s">
        <v>2525</v>
      </c>
      <c r="C506" s="232">
        <v>360.0</v>
      </c>
      <c r="D506" s="233">
        <v>394.0</v>
      </c>
      <c r="E506" s="233">
        <v>120.0</v>
      </c>
      <c r="F506" s="233">
        <v>27.0</v>
      </c>
      <c r="G506" s="234" t="s">
        <v>164</v>
      </c>
      <c r="H506" s="232">
        <v>94.66</v>
      </c>
      <c r="I506" s="233">
        <v>94.0</v>
      </c>
      <c r="J506" s="233">
        <v>83.36</v>
      </c>
      <c r="K506" s="233">
        <v>2800.0</v>
      </c>
      <c r="L506" s="233" t="s">
        <v>44</v>
      </c>
      <c r="M506" s="234">
        <v>400.0</v>
      </c>
      <c r="N506" s="232">
        <v>3.0</v>
      </c>
      <c r="O506" s="233" t="s">
        <v>2002</v>
      </c>
      <c r="P506" s="233">
        <v>25.0</v>
      </c>
      <c r="Q506" s="233">
        <v>2500.0</v>
      </c>
      <c r="R506" s="235">
        <v>77.4</v>
      </c>
      <c r="S506" s="235">
        <v>4.29</v>
      </c>
      <c r="T506" s="236">
        <v>39.9</v>
      </c>
      <c r="U506" s="237">
        <v>52.0</v>
      </c>
      <c r="V506" s="232" t="s">
        <v>166</v>
      </c>
      <c r="W506" s="247" t="s">
        <v>166</v>
      </c>
      <c r="X506" s="233" t="s">
        <v>174</v>
      </c>
      <c r="Y506" s="234" t="s">
        <v>174</v>
      </c>
      <c r="Z506" s="232" t="s">
        <v>174</v>
      </c>
      <c r="AA506" s="233" t="s">
        <v>174</v>
      </c>
      <c r="AB506" s="233" t="s">
        <v>166</v>
      </c>
      <c r="AC506" s="233" t="s">
        <v>174</v>
      </c>
      <c r="AD506" s="233" t="s">
        <v>166</v>
      </c>
      <c r="AE506" s="233" t="s">
        <v>174</v>
      </c>
      <c r="AF506" s="233" t="s">
        <v>174</v>
      </c>
      <c r="AG506" s="240" t="s">
        <v>2003</v>
      </c>
      <c r="AH506" s="240"/>
    </row>
    <row r="507">
      <c r="A507" s="255" t="s">
        <v>2526</v>
      </c>
      <c r="B507" s="257" t="s">
        <v>2527</v>
      </c>
      <c r="C507" s="221">
        <v>120.0</v>
      </c>
      <c r="D507" s="222">
        <v>152.0</v>
      </c>
      <c r="E507" s="222">
        <v>120.0</v>
      </c>
      <c r="F507" s="222">
        <v>32.0</v>
      </c>
      <c r="G507" s="223" t="s">
        <v>164</v>
      </c>
      <c r="H507" s="221">
        <v>66.0</v>
      </c>
      <c r="I507" s="222">
        <v>66.0</v>
      </c>
      <c r="J507" s="222">
        <v>43.0</v>
      </c>
      <c r="K507" s="222">
        <v>3000.0</v>
      </c>
      <c r="L507" s="222" t="s">
        <v>2010</v>
      </c>
      <c r="M507" s="223">
        <v>400.0</v>
      </c>
      <c r="N507" s="221">
        <v>1.0</v>
      </c>
      <c r="O507" s="222" t="s">
        <v>2002</v>
      </c>
      <c r="P507" s="222">
        <v>26.0</v>
      </c>
      <c r="Q507" s="222">
        <v>2000.0</v>
      </c>
      <c r="R507" s="224">
        <v>73.11</v>
      </c>
      <c r="S507" s="224">
        <v>2.93</v>
      </c>
      <c r="T507" s="225">
        <v>36.0</v>
      </c>
      <c r="U507" s="226">
        <v>58.0</v>
      </c>
      <c r="V507" s="221" t="s">
        <v>166</v>
      </c>
      <c r="W507" s="241" t="s">
        <v>174</v>
      </c>
      <c r="X507" s="222" t="s">
        <v>166</v>
      </c>
      <c r="Y507" s="223" t="s">
        <v>166</v>
      </c>
      <c r="Z507" s="221" t="s">
        <v>166</v>
      </c>
      <c r="AA507" s="222" t="s">
        <v>174</v>
      </c>
      <c r="AB507" s="222" t="s">
        <v>166</v>
      </c>
      <c r="AC507" s="222" t="s">
        <v>174</v>
      </c>
      <c r="AD507" s="222" t="s">
        <v>166</v>
      </c>
      <c r="AE507" s="222" t="s">
        <v>174</v>
      </c>
      <c r="AF507" s="222" t="s">
        <v>166</v>
      </c>
      <c r="AG507" s="229" t="s">
        <v>2327</v>
      </c>
      <c r="AH507" s="229"/>
    </row>
    <row r="508">
      <c r="A508" s="255" t="s">
        <v>2526</v>
      </c>
      <c r="B508" s="257" t="s">
        <v>2528</v>
      </c>
      <c r="C508" s="221">
        <v>240.0</v>
      </c>
      <c r="D508" s="222">
        <v>275.0</v>
      </c>
      <c r="E508" s="222">
        <v>123.0</v>
      </c>
      <c r="F508" s="222">
        <v>30.0</v>
      </c>
      <c r="G508" s="223" t="s">
        <v>164</v>
      </c>
      <c r="H508" s="221">
        <v>74.7</v>
      </c>
      <c r="I508" s="222">
        <v>74.7</v>
      </c>
      <c r="J508" s="222">
        <v>55.97</v>
      </c>
      <c r="K508" s="222">
        <v>2800.0</v>
      </c>
      <c r="L508" s="222" t="s">
        <v>44</v>
      </c>
      <c r="M508" s="223">
        <v>400.0</v>
      </c>
      <c r="N508" s="221">
        <v>2.0</v>
      </c>
      <c r="O508" s="222" t="s">
        <v>2002</v>
      </c>
      <c r="P508" s="222">
        <v>26.0</v>
      </c>
      <c r="Q508" s="222">
        <v>1800.0</v>
      </c>
      <c r="R508" s="224">
        <v>78.02</v>
      </c>
      <c r="S508" s="224">
        <v>2.7</v>
      </c>
      <c r="T508" s="225">
        <v>30.6</v>
      </c>
      <c r="U508" s="226">
        <v>56.0</v>
      </c>
      <c r="V508" s="221" t="s">
        <v>166</v>
      </c>
      <c r="W508" s="241" t="s">
        <v>166</v>
      </c>
      <c r="X508" s="222" t="s">
        <v>174</v>
      </c>
      <c r="Y508" s="223" t="s">
        <v>174</v>
      </c>
      <c r="Z508" s="221" t="s">
        <v>166</v>
      </c>
      <c r="AA508" s="222" t="s">
        <v>174</v>
      </c>
      <c r="AB508" s="222" t="s">
        <v>166</v>
      </c>
      <c r="AC508" s="222" t="s">
        <v>174</v>
      </c>
      <c r="AD508" s="222" t="s">
        <v>166</v>
      </c>
      <c r="AE508" s="222" t="s">
        <v>174</v>
      </c>
      <c r="AF508" s="222" t="s">
        <v>166</v>
      </c>
      <c r="AG508" s="229" t="s">
        <v>2003</v>
      </c>
      <c r="AH508" s="229"/>
    </row>
    <row r="509">
      <c r="A509" s="255" t="s">
        <v>2526</v>
      </c>
      <c r="B509" s="257" t="s">
        <v>2529</v>
      </c>
      <c r="C509" s="221">
        <v>240.0</v>
      </c>
      <c r="D509" s="222">
        <v>275.0</v>
      </c>
      <c r="E509" s="222">
        <v>123.0</v>
      </c>
      <c r="F509" s="222">
        <v>30.0</v>
      </c>
      <c r="G509" s="223" t="s">
        <v>164</v>
      </c>
      <c r="H509" s="221">
        <v>74.7</v>
      </c>
      <c r="I509" s="222">
        <v>74.7</v>
      </c>
      <c r="J509" s="222">
        <v>55.97</v>
      </c>
      <c r="K509" s="222">
        <v>2800.0</v>
      </c>
      <c r="L509" s="222" t="s">
        <v>44</v>
      </c>
      <c r="M509" s="223">
        <v>400.0</v>
      </c>
      <c r="N509" s="221">
        <v>2.0</v>
      </c>
      <c r="O509" s="222" t="s">
        <v>2002</v>
      </c>
      <c r="P509" s="222">
        <v>26.0</v>
      </c>
      <c r="Q509" s="222">
        <v>1800.0</v>
      </c>
      <c r="R509" s="224">
        <v>78.02</v>
      </c>
      <c r="S509" s="224">
        <v>2.7</v>
      </c>
      <c r="T509" s="225">
        <v>30.6</v>
      </c>
      <c r="U509" s="226">
        <v>56.0</v>
      </c>
      <c r="V509" s="221" t="s">
        <v>166</v>
      </c>
      <c r="W509" s="241" t="s">
        <v>166</v>
      </c>
      <c r="X509" s="222" t="s">
        <v>174</v>
      </c>
      <c r="Y509" s="223" t="s">
        <v>174</v>
      </c>
      <c r="Z509" s="221" t="s">
        <v>166</v>
      </c>
      <c r="AA509" s="222" t="s">
        <v>174</v>
      </c>
      <c r="AB509" s="222" t="s">
        <v>166</v>
      </c>
      <c r="AC509" s="222" t="s">
        <v>174</v>
      </c>
      <c r="AD509" s="222" t="s">
        <v>166</v>
      </c>
      <c r="AE509" s="222" t="s">
        <v>174</v>
      </c>
      <c r="AF509" s="222" t="s">
        <v>166</v>
      </c>
      <c r="AG509" s="229" t="s">
        <v>2003</v>
      </c>
      <c r="AH509" s="229"/>
    </row>
    <row r="510">
      <c r="A510" s="255" t="s">
        <v>2526</v>
      </c>
      <c r="B510" s="257" t="s">
        <v>2530</v>
      </c>
      <c r="C510" s="221">
        <v>280.0</v>
      </c>
      <c r="D510" s="222">
        <v>315.0</v>
      </c>
      <c r="E510" s="222">
        <v>143.0</v>
      </c>
      <c r="F510" s="222">
        <v>30.0</v>
      </c>
      <c r="G510" s="223" t="s">
        <v>164</v>
      </c>
      <c r="H510" s="221">
        <v>74.7</v>
      </c>
      <c r="I510" s="222">
        <v>74.7</v>
      </c>
      <c r="J510" s="222">
        <v>55.97</v>
      </c>
      <c r="K510" s="222">
        <v>2800.0</v>
      </c>
      <c r="L510" s="222" t="s">
        <v>44</v>
      </c>
      <c r="M510" s="223">
        <v>400.0</v>
      </c>
      <c r="N510" s="221">
        <v>2.0</v>
      </c>
      <c r="O510" s="222" t="s">
        <v>2018</v>
      </c>
      <c r="P510" s="222">
        <v>26.0</v>
      </c>
      <c r="Q510" s="222">
        <v>1500.0</v>
      </c>
      <c r="R510" s="224">
        <v>99.68</v>
      </c>
      <c r="S510" s="224">
        <v>2.75</v>
      </c>
      <c r="T510" s="225">
        <v>32.1</v>
      </c>
      <c r="U510" s="226">
        <v>56.0</v>
      </c>
      <c r="V510" s="221" t="s">
        <v>166</v>
      </c>
      <c r="W510" s="241" t="s">
        <v>166</v>
      </c>
      <c r="X510" s="222" t="s">
        <v>174</v>
      </c>
      <c r="Y510" s="223" t="s">
        <v>174</v>
      </c>
      <c r="Z510" s="221" t="s">
        <v>166</v>
      </c>
      <c r="AA510" s="222" t="s">
        <v>174</v>
      </c>
      <c r="AB510" s="222" t="s">
        <v>166</v>
      </c>
      <c r="AC510" s="222" t="s">
        <v>174</v>
      </c>
      <c r="AD510" s="222" t="s">
        <v>166</v>
      </c>
      <c r="AE510" s="222" t="s">
        <v>174</v>
      </c>
      <c r="AF510" s="222" t="s">
        <v>166</v>
      </c>
      <c r="AG510" s="229" t="s">
        <v>2003</v>
      </c>
      <c r="AH510" s="229"/>
    </row>
    <row r="511">
      <c r="A511" s="255" t="s">
        <v>2526</v>
      </c>
      <c r="B511" s="257" t="s">
        <v>2531</v>
      </c>
      <c r="C511" s="221">
        <v>280.0</v>
      </c>
      <c r="D511" s="222">
        <v>315.0</v>
      </c>
      <c r="E511" s="222">
        <v>143.0</v>
      </c>
      <c r="F511" s="222">
        <v>30.0</v>
      </c>
      <c r="G511" s="223" t="s">
        <v>164</v>
      </c>
      <c r="H511" s="221">
        <v>74.7</v>
      </c>
      <c r="I511" s="222">
        <v>74.7</v>
      </c>
      <c r="J511" s="222">
        <v>55.97</v>
      </c>
      <c r="K511" s="222">
        <v>2800.0</v>
      </c>
      <c r="L511" s="222" t="s">
        <v>44</v>
      </c>
      <c r="M511" s="223">
        <v>400.0</v>
      </c>
      <c r="N511" s="221">
        <v>2.0</v>
      </c>
      <c r="O511" s="222" t="s">
        <v>2018</v>
      </c>
      <c r="P511" s="222">
        <v>26.0</v>
      </c>
      <c r="Q511" s="222">
        <v>1500.0</v>
      </c>
      <c r="R511" s="224">
        <v>90.79</v>
      </c>
      <c r="S511" s="224">
        <v>3.22</v>
      </c>
      <c r="T511" s="225">
        <v>34.48</v>
      </c>
      <c r="U511" s="226">
        <v>56.0</v>
      </c>
      <c r="V511" s="221" t="s">
        <v>166</v>
      </c>
      <c r="W511" s="241" t="s">
        <v>166</v>
      </c>
      <c r="X511" s="222" t="s">
        <v>174</v>
      </c>
      <c r="Y511" s="223" t="s">
        <v>174</v>
      </c>
      <c r="Z511" s="221" t="s">
        <v>166</v>
      </c>
      <c r="AA511" s="222" t="s">
        <v>174</v>
      </c>
      <c r="AB511" s="222" t="s">
        <v>166</v>
      </c>
      <c r="AC511" s="222" t="s">
        <v>174</v>
      </c>
      <c r="AD511" s="222" t="s">
        <v>166</v>
      </c>
      <c r="AE511" s="222" t="s">
        <v>174</v>
      </c>
      <c r="AF511" s="222" t="s">
        <v>166</v>
      </c>
      <c r="AG511" s="229" t="s">
        <v>2003</v>
      </c>
      <c r="AH511" s="229"/>
    </row>
    <row r="512">
      <c r="A512" s="255" t="s">
        <v>2526</v>
      </c>
      <c r="B512" s="257" t="s">
        <v>2532</v>
      </c>
      <c r="C512" s="221">
        <v>360.0</v>
      </c>
      <c r="D512" s="222">
        <v>394.0</v>
      </c>
      <c r="E512" s="222">
        <v>121.0</v>
      </c>
      <c r="F512" s="222">
        <v>27.0</v>
      </c>
      <c r="G512" s="223" t="s">
        <v>164</v>
      </c>
      <c r="H512" s="221">
        <v>74.7</v>
      </c>
      <c r="I512" s="222">
        <v>74.7</v>
      </c>
      <c r="J512" s="222">
        <v>55.97</v>
      </c>
      <c r="K512" s="222">
        <v>2800.0</v>
      </c>
      <c r="L512" s="222" t="s">
        <v>44</v>
      </c>
      <c r="M512" s="223">
        <v>400.0</v>
      </c>
      <c r="N512" s="221">
        <v>3.0</v>
      </c>
      <c r="O512" s="222" t="s">
        <v>2002</v>
      </c>
      <c r="P512" s="222">
        <v>26.0</v>
      </c>
      <c r="Q512" s="222">
        <v>1800.0</v>
      </c>
      <c r="R512" s="224">
        <v>78.02</v>
      </c>
      <c r="S512" s="224">
        <v>2.7</v>
      </c>
      <c r="T512" s="225">
        <v>30.6</v>
      </c>
      <c r="U512" s="226">
        <v>53.0</v>
      </c>
      <c r="V512" s="221" t="s">
        <v>166</v>
      </c>
      <c r="W512" s="241" t="s">
        <v>166</v>
      </c>
      <c r="X512" s="222" t="s">
        <v>174</v>
      </c>
      <c r="Y512" s="223" t="s">
        <v>174</v>
      </c>
      <c r="Z512" s="221" t="s">
        <v>166</v>
      </c>
      <c r="AA512" s="222" t="s">
        <v>174</v>
      </c>
      <c r="AB512" s="222" t="s">
        <v>166</v>
      </c>
      <c r="AC512" s="222" t="s">
        <v>174</v>
      </c>
      <c r="AD512" s="222" t="s">
        <v>166</v>
      </c>
      <c r="AE512" s="222" t="s">
        <v>174</v>
      </c>
      <c r="AF512" s="222" t="s">
        <v>166</v>
      </c>
      <c r="AG512" s="229" t="s">
        <v>2003</v>
      </c>
      <c r="AH512" s="229"/>
    </row>
    <row r="513">
      <c r="A513" s="255" t="s">
        <v>2526</v>
      </c>
      <c r="B513" s="257" t="s">
        <v>2533</v>
      </c>
      <c r="C513" s="221">
        <v>360.0</v>
      </c>
      <c r="D513" s="222">
        <v>394.0</v>
      </c>
      <c r="E513" s="222">
        <v>121.0</v>
      </c>
      <c r="F513" s="222">
        <v>27.0</v>
      </c>
      <c r="G513" s="223" t="s">
        <v>164</v>
      </c>
      <c r="H513" s="221">
        <v>74.7</v>
      </c>
      <c r="I513" s="222">
        <v>74.7</v>
      </c>
      <c r="J513" s="222">
        <v>55.97</v>
      </c>
      <c r="K513" s="222">
        <v>2800.0</v>
      </c>
      <c r="L513" s="222" t="s">
        <v>44</v>
      </c>
      <c r="M513" s="223">
        <v>400.0</v>
      </c>
      <c r="N513" s="221">
        <v>3.0</v>
      </c>
      <c r="O513" s="222" t="s">
        <v>2002</v>
      </c>
      <c r="P513" s="222">
        <v>26.0</v>
      </c>
      <c r="Q513" s="222">
        <v>1800.0</v>
      </c>
      <c r="R513" s="224">
        <v>78.02</v>
      </c>
      <c r="S513" s="224">
        <v>2.7</v>
      </c>
      <c r="T513" s="225">
        <v>30.6</v>
      </c>
      <c r="U513" s="226">
        <v>53.0</v>
      </c>
      <c r="V513" s="221" t="s">
        <v>166</v>
      </c>
      <c r="W513" s="241" t="s">
        <v>166</v>
      </c>
      <c r="X513" s="222" t="s">
        <v>174</v>
      </c>
      <c r="Y513" s="223" t="s">
        <v>174</v>
      </c>
      <c r="Z513" s="221" t="s">
        <v>166</v>
      </c>
      <c r="AA513" s="222" t="s">
        <v>174</v>
      </c>
      <c r="AB513" s="222" t="s">
        <v>166</v>
      </c>
      <c r="AC513" s="222" t="s">
        <v>174</v>
      </c>
      <c r="AD513" s="222" t="s">
        <v>166</v>
      </c>
      <c r="AE513" s="222" t="s">
        <v>174</v>
      </c>
      <c r="AF513" s="222" t="s">
        <v>166</v>
      </c>
      <c r="AG513" s="229" t="s">
        <v>2003</v>
      </c>
      <c r="AH513" s="229"/>
    </row>
    <row r="514">
      <c r="A514" s="255" t="s">
        <v>2526</v>
      </c>
      <c r="B514" s="257" t="s">
        <v>2534</v>
      </c>
      <c r="C514" s="221">
        <v>240.0</v>
      </c>
      <c r="D514" s="222">
        <v>275.0</v>
      </c>
      <c r="E514" s="222">
        <v>123.0</v>
      </c>
      <c r="F514" s="222">
        <v>30.0</v>
      </c>
      <c r="G514" s="223" t="s">
        <v>164</v>
      </c>
      <c r="H514" s="221">
        <v>81.9</v>
      </c>
      <c r="I514" s="222">
        <v>81.9</v>
      </c>
      <c r="J514" s="222">
        <v>59.5</v>
      </c>
      <c r="K514" s="222">
        <v>2800.0</v>
      </c>
      <c r="L514" s="222" t="s">
        <v>44</v>
      </c>
      <c r="M514" s="223">
        <v>400.0</v>
      </c>
      <c r="N514" s="221">
        <v>2.0</v>
      </c>
      <c r="O514" s="222" t="s">
        <v>2002</v>
      </c>
      <c r="P514" s="222">
        <v>26.0</v>
      </c>
      <c r="Q514" s="222">
        <v>1800.0</v>
      </c>
      <c r="R514" s="224">
        <v>78.02</v>
      </c>
      <c r="S514" s="224">
        <v>2.7</v>
      </c>
      <c r="T514" s="225">
        <v>30.6</v>
      </c>
      <c r="U514" s="226">
        <v>56.0</v>
      </c>
      <c r="V514" s="221" t="s">
        <v>166</v>
      </c>
      <c r="W514" s="241" t="s">
        <v>166</v>
      </c>
      <c r="X514" s="222" t="s">
        <v>174</v>
      </c>
      <c r="Y514" s="223" t="s">
        <v>174</v>
      </c>
      <c r="Z514" s="221" t="s">
        <v>166</v>
      </c>
      <c r="AA514" s="222" t="s">
        <v>174</v>
      </c>
      <c r="AB514" s="222" t="s">
        <v>166</v>
      </c>
      <c r="AC514" s="222" t="s">
        <v>174</v>
      </c>
      <c r="AD514" s="222" t="s">
        <v>166</v>
      </c>
      <c r="AE514" s="222" t="s">
        <v>174</v>
      </c>
      <c r="AF514" s="222" t="s">
        <v>166</v>
      </c>
      <c r="AG514" s="229" t="s">
        <v>2003</v>
      </c>
      <c r="AH514" s="229"/>
    </row>
    <row r="515">
      <c r="A515" s="255" t="s">
        <v>2526</v>
      </c>
      <c r="B515" s="257" t="s">
        <v>2535</v>
      </c>
      <c r="C515" s="221">
        <v>240.0</v>
      </c>
      <c r="D515" s="222">
        <v>275.0</v>
      </c>
      <c r="E515" s="222">
        <v>123.0</v>
      </c>
      <c r="F515" s="222">
        <v>30.0</v>
      </c>
      <c r="G515" s="223" t="s">
        <v>164</v>
      </c>
      <c r="H515" s="221">
        <v>81.9</v>
      </c>
      <c r="I515" s="222">
        <v>81.9</v>
      </c>
      <c r="J515" s="222">
        <v>59.5</v>
      </c>
      <c r="K515" s="222">
        <v>2800.0</v>
      </c>
      <c r="L515" s="222" t="s">
        <v>44</v>
      </c>
      <c r="M515" s="223">
        <v>400.0</v>
      </c>
      <c r="N515" s="221">
        <v>2.0</v>
      </c>
      <c r="O515" s="222" t="s">
        <v>2002</v>
      </c>
      <c r="P515" s="222">
        <v>26.0</v>
      </c>
      <c r="Q515" s="222">
        <v>1500.0</v>
      </c>
      <c r="R515" s="224">
        <v>52.44</v>
      </c>
      <c r="S515" s="224">
        <v>1.35</v>
      </c>
      <c r="T515" s="225">
        <v>33.0</v>
      </c>
      <c r="U515" s="226">
        <v>56.0</v>
      </c>
      <c r="V515" s="221" t="s">
        <v>166</v>
      </c>
      <c r="W515" s="241" t="s">
        <v>166</v>
      </c>
      <c r="X515" s="222" t="s">
        <v>174</v>
      </c>
      <c r="Y515" s="223" t="s">
        <v>174</v>
      </c>
      <c r="Z515" s="221" t="s">
        <v>166</v>
      </c>
      <c r="AA515" s="222" t="s">
        <v>174</v>
      </c>
      <c r="AB515" s="222" t="s">
        <v>166</v>
      </c>
      <c r="AC515" s="222" t="s">
        <v>174</v>
      </c>
      <c r="AD515" s="222" t="s">
        <v>166</v>
      </c>
      <c r="AE515" s="222" t="s">
        <v>174</v>
      </c>
      <c r="AF515" s="222" t="s">
        <v>166</v>
      </c>
      <c r="AG515" s="229" t="s">
        <v>2003</v>
      </c>
      <c r="AH515" s="229"/>
    </row>
    <row r="516">
      <c r="A516" s="255" t="s">
        <v>2526</v>
      </c>
      <c r="B516" s="257" t="s">
        <v>2536</v>
      </c>
      <c r="C516" s="221">
        <v>280.0</v>
      </c>
      <c r="D516" s="222">
        <v>315.0</v>
      </c>
      <c r="E516" s="222">
        <v>143.0</v>
      </c>
      <c r="F516" s="222">
        <v>30.0</v>
      </c>
      <c r="G516" s="223" t="s">
        <v>164</v>
      </c>
      <c r="H516" s="221">
        <v>81.9</v>
      </c>
      <c r="I516" s="222">
        <v>81.9</v>
      </c>
      <c r="J516" s="222">
        <v>59.5</v>
      </c>
      <c r="K516" s="222">
        <v>2800.0</v>
      </c>
      <c r="L516" s="222" t="s">
        <v>44</v>
      </c>
      <c r="M516" s="223">
        <v>400.0</v>
      </c>
      <c r="N516" s="221">
        <v>2.0</v>
      </c>
      <c r="O516" s="222" t="s">
        <v>2018</v>
      </c>
      <c r="P516" s="222">
        <v>26.0</v>
      </c>
      <c r="Q516" s="222">
        <v>1500.0</v>
      </c>
      <c r="R516" s="224">
        <v>99.68</v>
      </c>
      <c r="S516" s="224">
        <v>2.75</v>
      </c>
      <c r="T516" s="225">
        <v>32.1</v>
      </c>
      <c r="U516" s="226">
        <v>56.0</v>
      </c>
      <c r="V516" s="221" t="s">
        <v>166</v>
      </c>
      <c r="W516" s="241" t="s">
        <v>166</v>
      </c>
      <c r="X516" s="222" t="s">
        <v>174</v>
      </c>
      <c r="Y516" s="223" t="s">
        <v>174</v>
      </c>
      <c r="Z516" s="221" t="s">
        <v>166</v>
      </c>
      <c r="AA516" s="222" t="s">
        <v>174</v>
      </c>
      <c r="AB516" s="222" t="s">
        <v>166</v>
      </c>
      <c r="AC516" s="222" t="s">
        <v>174</v>
      </c>
      <c r="AD516" s="222" t="s">
        <v>166</v>
      </c>
      <c r="AE516" s="222" t="s">
        <v>174</v>
      </c>
      <c r="AF516" s="222" t="s">
        <v>166</v>
      </c>
      <c r="AG516" s="229" t="s">
        <v>2003</v>
      </c>
      <c r="AH516" s="229"/>
    </row>
    <row r="517">
      <c r="A517" s="255" t="s">
        <v>2526</v>
      </c>
      <c r="B517" s="257" t="s">
        <v>2537</v>
      </c>
      <c r="C517" s="221">
        <v>280.0</v>
      </c>
      <c r="D517" s="222">
        <v>315.0</v>
      </c>
      <c r="E517" s="222">
        <v>143.0</v>
      </c>
      <c r="F517" s="222">
        <v>30.0</v>
      </c>
      <c r="G517" s="223" t="s">
        <v>164</v>
      </c>
      <c r="H517" s="221">
        <v>81.9</v>
      </c>
      <c r="I517" s="222">
        <v>81.9</v>
      </c>
      <c r="J517" s="222">
        <v>59.5</v>
      </c>
      <c r="K517" s="222">
        <v>2800.0</v>
      </c>
      <c r="L517" s="222" t="s">
        <v>44</v>
      </c>
      <c r="M517" s="223">
        <v>400.0</v>
      </c>
      <c r="N517" s="221">
        <v>2.0</v>
      </c>
      <c r="O517" s="222" t="s">
        <v>2018</v>
      </c>
      <c r="P517" s="222">
        <v>26.0</v>
      </c>
      <c r="Q517" s="222">
        <v>1500.0</v>
      </c>
      <c r="R517" s="224">
        <v>90.79</v>
      </c>
      <c r="S517" s="224">
        <v>3.22</v>
      </c>
      <c r="T517" s="225">
        <v>34.48</v>
      </c>
      <c r="U517" s="226">
        <v>56.0</v>
      </c>
      <c r="V517" s="221" t="s">
        <v>166</v>
      </c>
      <c r="W517" s="241" t="s">
        <v>166</v>
      </c>
      <c r="X517" s="222" t="s">
        <v>174</v>
      </c>
      <c r="Y517" s="223" t="s">
        <v>174</v>
      </c>
      <c r="Z517" s="221" t="s">
        <v>166</v>
      </c>
      <c r="AA517" s="222" t="s">
        <v>174</v>
      </c>
      <c r="AB517" s="222" t="s">
        <v>166</v>
      </c>
      <c r="AC517" s="222" t="s">
        <v>174</v>
      </c>
      <c r="AD517" s="222" t="s">
        <v>166</v>
      </c>
      <c r="AE517" s="222" t="s">
        <v>174</v>
      </c>
      <c r="AF517" s="222" t="s">
        <v>166</v>
      </c>
      <c r="AG517" s="229" t="s">
        <v>2003</v>
      </c>
      <c r="AH517" s="229"/>
    </row>
    <row r="518">
      <c r="A518" s="255" t="s">
        <v>2526</v>
      </c>
      <c r="B518" s="257" t="s">
        <v>2538</v>
      </c>
      <c r="C518" s="221">
        <v>360.0</v>
      </c>
      <c r="D518" s="222">
        <v>394.0</v>
      </c>
      <c r="E518" s="222">
        <v>121.0</v>
      </c>
      <c r="F518" s="222">
        <v>27.0</v>
      </c>
      <c r="G518" s="223" t="s">
        <v>164</v>
      </c>
      <c r="H518" s="221">
        <v>81.9</v>
      </c>
      <c r="I518" s="222">
        <v>81.9</v>
      </c>
      <c r="J518" s="222">
        <v>59.5</v>
      </c>
      <c r="K518" s="222">
        <v>2800.0</v>
      </c>
      <c r="L518" s="222" t="s">
        <v>44</v>
      </c>
      <c r="M518" s="223">
        <v>400.0</v>
      </c>
      <c r="N518" s="221">
        <v>3.0</v>
      </c>
      <c r="O518" s="222" t="s">
        <v>2002</v>
      </c>
      <c r="P518" s="222">
        <v>26.0</v>
      </c>
      <c r="Q518" s="222">
        <v>1800.0</v>
      </c>
      <c r="R518" s="224">
        <v>78.02</v>
      </c>
      <c r="S518" s="224">
        <v>2.7</v>
      </c>
      <c r="T518" s="225">
        <v>30.6</v>
      </c>
      <c r="U518" s="226">
        <v>53.0</v>
      </c>
      <c r="V518" s="221" t="s">
        <v>166</v>
      </c>
      <c r="W518" s="241" t="s">
        <v>166</v>
      </c>
      <c r="X518" s="222" t="s">
        <v>174</v>
      </c>
      <c r="Y518" s="223" t="s">
        <v>174</v>
      </c>
      <c r="Z518" s="221" t="s">
        <v>166</v>
      </c>
      <c r="AA518" s="222" t="s">
        <v>174</v>
      </c>
      <c r="AB518" s="222" t="s">
        <v>166</v>
      </c>
      <c r="AC518" s="222" t="s">
        <v>174</v>
      </c>
      <c r="AD518" s="222" t="s">
        <v>166</v>
      </c>
      <c r="AE518" s="222" t="s">
        <v>174</v>
      </c>
      <c r="AF518" s="222" t="s">
        <v>166</v>
      </c>
      <c r="AG518" s="229" t="s">
        <v>2003</v>
      </c>
      <c r="AH518" s="229"/>
    </row>
    <row r="519">
      <c r="A519" s="255" t="s">
        <v>2526</v>
      </c>
      <c r="B519" s="257" t="s">
        <v>2539</v>
      </c>
      <c r="C519" s="221">
        <v>360.0</v>
      </c>
      <c r="D519" s="222">
        <v>394.0</v>
      </c>
      <c r="E519" s="222">
        <v>121.0</v>
      </c>
      <c r="F519" s="222">
        <v>27.0</v>
      </c>
      <c r="G519" s="223" t="s">
        <v>164</v>
      </c>
      <c r="H519" s="221">
        <v>81.9</v>
      </c>
      <c r="I519" s="222">
        <v>81.9</v>
      </c>
      <c r="J519" s="222">
        <v>59.5</v>
      </c>
      <c r="K519" s="222">
        <v>2800.0</v>
      </c>
      <c r="L519" s="222" t="s">
        <v>44</v>
      </c>
      <c r="M519" s="223">
        <v>400.0</v>
      </c>
      <c r="N519" s="221">
        <v>3.0</v>
      </c>
      <c r="O519" s="222" t="s">
        <v>2002</v>
      </c>
      <c r="P519" s="222">
        <v>26.0</v>
      </c>
      <c r="Q519" s="222">
        <v>1800.0</v>
      </c>
      <c r="R519" s="224">
        <v>78.86</v>
      </c>
      <c r="S519" s="224">
        <v>2.57</v>
      </c>
      <c r="T519" s="225">
        <v>33.88</v>
      </c>
      <c r="U519" s="226">
        <v>53.0</v>
      </c>
      <c r="V519" s="221" t="s">
        <v>166</v>
      </c>
      <c r="W519" s="241" t="s">
        <v>166</v>
      </c>
      <c r="X519" s="222" t="s">
        <v>174</v>
      </c>
      <c r="Y519" s="223" t="s">
        <v>174</v>
      </c>
      <c r="Z519" s="221" t="s">
        <v>166</v>
      </c>
      <c r="AA519" s="222" t="s">
        <v>174</v>
      </c>
      <c r="AB519" s="222" t="s">
        <v>166</v>
      </c>
      <c r="AC519" s="222" t="s">
        <v>174</v>
      </c>
      <c r="AD519" s="222" t="s">
        <v>166</v>
      </c>
      <c r="AE519" s="222" t="s">
        <v>174</v>
      </c>
      <c r="AF519" s="222" t="s">
        <v>166</v>
      </c>
      <c r="AG519" s="229" t="s">
        <v>2003</v>
      </c>
      <c r="AH519" s="229"/>
    </row>
    <row r="520">
      <c r="A520" s="255" t="s">
        <v>2526</v>
      </c>
      <c r="B520" s="256" t="s">
        <v>2540</v>
      </c>
      <c r="C520" s="221">
        <v>120.0</v>
      </c>
      <c r="D520" s="222">
        <v>152.0</v>
      </c>
      <c r="E520" s="222">
        <v>120.0</v>
      </c>
      <c r="F520" s="222">
        <v>32.0</v>
      </c>
      <c r="G520" s="223" t="s">
        <v>164</v>
      </c>
      <c r="H520" s="221">
        <v>65.0</v>
      </c>
      <c r="I520" s="222">
        <v>65.0</v>
      </c>
      <c r="J520" s="222">
        <v>48.0</v>
      </c>
      <c r="K520" s="222">
        <v>3000.0</v>
      </c>
      <c r="L520" s="222" t="s">
        <v>2010</v>
      </c>
      <c r="M520" s="223">
        <v>400.0</v>
      </c>
      <c r="N520" s="221">
        <v>1.0</v>
      </c>
      <c r="O520" s="222" t="s">
        <v>2002</v>
      </c>
      <c r="P520" s="222">
        <v>26.0</v>
      </c>
      <c r="Q520" s="222">
        <v>2000.0</v>
      </c>
      <c r="R520" s="224">
        <v>73.11</v>
      </c>
      <c r="S520" s="224">
        <v>2.93</v>
      </c>
      <c r="T520" s="225">
        <v>36.0</v>
      </c>
      <c r="U520" s="226">
        <v>58.0</v>
      </c>
      <c r="V520" s="227" t="s">
        <v>166</v>
      </c>
      <c r="W520" s="228" t="s">
        <v>166</v>
      </c>
      <c r="X520" s="222" t="s">
        <v>174</v>
      </c>
      <c r="Y520" s="223" t="s">
        <v>166</v>
      </c>
      <c r="Z520" s="221" t="s">
        <v>174</v>
      </c>
      <c r="AA520" s="222" t="s">
        <v>174</v>
      </c>
      <c r="AB520" s="222" t="s">
        <v>166</v>
      </c>
      <c r="AC520" s="222" t="s">
        <v>174</v>
      </c>
      <c r="AD520" s="222" t="s">
        <v>166</v>
      </c>
      <c r="AE520" s="222" t="s">
        <v>174</v>
      </c>
      <c r="AF520" s="222" t="s">
        <v>174</v>
      </c>
      <c r="AG520" s="229" t="s">
        <v>2327</v>
      </c>
      <c r="AH520" s="229"/>
    </row>
    <row r="521">
      <c r="A521" s="255" t="s">
        <v>2526</v>
      </c>
      <c r="B521" s="256" t="s">
        <v>2541</v>
      </c>
      <c r="C521" s="221">
        <v>240.0</v>
      </c>
      <c r="D521" s="222">
        <v>275.0</v>
      </c>
      <c r="E521" s="222">
        <v>123.0</v>
      </c>
      <c r="F521" s="222">
        <v>30.0</v>
      </c>
      <c r="G521" s="223" t="s">
        <v>164</v>
      </c>
      <c r="H521" s="221">
        <v>80.0</v>
      </c>
      <c r="I521" s="222">
        <v>80.0</v>
      </c>
      <c r="J521" s="222">
        <v>55.0</v>
      </c>
      <c r="K521" s="222">
        <v>2800.0</v>
      </c>
      <c r="L521" s="222" t="s">
        <v>44</v>
      </c>
      <c r="M521" s="223">
        <v>400.0</v>
      </c>
      <c r="N521" s="221">
        <v>2.0</v>
      </c>
      <c r="O521" s="222" t="s">
        <v>2002</v>
      </c>
      <c r="P521" s="222">
        <v>26.0</v>
      </c>
      <c r="Q521" s="222">
        <v>2000.0</v>
      </c>
      <c r="R521" s="224">
        <v>73.11</v>
      </c>
      <c r="S521" s="224">
        <v>2.93</v>
      </c>
      <c r="T521" s="225">
        <v>36.0</v>
      </c>
      <c r="U521" s="226">
        <v>56.0</v>
      </c>
      <c r="V521" s="227" t="s">
        <v>166</v>
      </c>
      <c r="W521" s="228" t="s">
        <v>166</v>
      </c>
      <c r="X521" s="222" t="s">
        <v>174</v>
      </c>
      <c r="Y521" s="223" t="s">
        <v>174</v>
      </c>
      <c r="Z521" s="221" t="s">
        <v>166</v>
      </c>
      <c r="AA521" s="222" t="s">
        <v>174</v>
      </c>
      <c r="AB521" s="222" t="s">
        <v>166</v>
      </c>
      <c r="AC521" s="222" t="s">
        <v>174</v>
      </c>
      <c r="AD521" s="222" t="s">
        <v>174</v>
      </c>
      <c r="AE521" s="222" t="s">
        <v>174</v>
      </c>
      <c r="AF521" s="222" t="s">
        <v>174</v>
      </c>
      <c r="AG521" s="229" t="s">
        <v>2003</v>
      </c>
      <c r="AH521" s="229"/>
    </row>
    <row r="522">
      <c r="A522" s="255" t="s">
        <v>2526</v>
      </c>
      <c r="B522" s="256" t="s">
        <v>2542</v>
      </c>
      <c r="C522" s="221">
        <v>240.0</v>
      </c>
      <c r="D522" s="222">
        <v>275.0</v>
      </c>
      <c r="E522" s="222">
        <v>123.0</v>
      </c>
      <c r="F522" s="222">
        <v>30.0</v>
      </c>
      <c r="G522" s="223" t="s">
        <v>164</v>
      </c>
      <c r="H522" s="221">
        <v>80.0</v>
      </c>
      <c r="I522" s="222">
        <v>80.0</v>
      </c>
      <c r="J522" s="222">
        <v>55.0</v>
      </c>
      <c r="K522" s="222">
        <v>2800.0</v>
      </c>
      <c r="L522" s="222" t="s">
        <v>44</v>
      </c>
      <c r="M522" s="223">
        <v>400.0</v>
      </c>
      <c r="N522" s="221">
        <v>2.0</v>
      </c>
      <c r="O522" s="222" t="s">
        <v>2002</v>
      </c>
      <c r="P522" s="222">
        <v>26.0</v>
      </c>
      <c r="Q522" s="222">
        <v>1500.0</v>
      </c>
      <c r="R522" s="224">
        <v>52.44</v>
      </c>
      <c r="S522" s="224">
        <v>1.35</v>
      </c>
      <c r="T522" s="225">
        <v>33.0</v>
      </c>
      <c r="U522" s="226">
        <v>56.0</v>
      </c>
      <c r="V522" s="227" t="s">
        <v>166</v>
      </c>
      <c r="W522" s="228" t="s">
        <v>166</v>
      </c>
      <c r="X522" s="222" t="s">
        <v>174</v>
      </c>
      <c r="Y522" s="223" t="s">
        <v>174</v>
      </c>
      <c r="Z522" s="221" t="s">
        <v>166</v>
      </c>
      <c r="AA522" s="222" t="s">
        <v>174</v>
      </c>
      <c r="AB522" s="222" t="s">
        <v>166</v>
      </c>
      <c r="AC522" s="222" t="s">
        <v>174</v>
      </c>
      <c r="AD522" s="222" t="s">
        <v>174</v>
      </c>
      <c r="AE522" s="222" t="s">
        <v>174</v>
      </c>
      <c r="AF522" s="222" t="s">
        <v>174</v>
      </c>
      <c r="AG522" s="229" t="s">
        <v>2003</v>
      </c>
      <c r="AH522" s="229"/>
    </row>
    <row r="523">
      <c r="A523" s="255" t="s">
        <v>2526</v>
      </c>
      <c r="B523" s="256" t="s">
        <v>2543</v>
      </c>
      <c r="C523" s="221">
        <v>280.0</v>
      </c>
      <c r="D523" s="222">
        <v>315.0</v>
      </c>
      <c r="E523" s="222">
        <v>143.0</v>
      </c>
      <c r="F523" s="222">
        <v>30.0</v>
      </c>
      <c r="G523" s="223" t="s">
        <v>164</v>
      </c>
      <c r="H523" s="221">
        <v>80.0</v>
      </c>
      <c r="I523" s="222">
        <v>80.0</v>
      </c>
      <c r="J523" s="222">
        <v>55.0</v>
      </c>
      <c r="K523" s="222">
        <v>2800.0</v>
      </c>
      <c r="L523" s="222" t="s">
        <v>44</v>
      </c>
      <c r="M523" s="223">
        <v>400.0</v>
      </c>
      <c r="N523" s="221">
        <v>2.0</v>
      </c>
      <c r="O523" s="222" t="s">
        <v>2018</v>
      </c>
      <c r="P523" s="222">
        <v>26.0</v>
      </c>
      <c r="Q523" s="222">
        <v>1800.0</v>
      </c>
      <c r="R523" s="224">
        <v>98.17</v>
      </c>
      <c r="S523" s="224">
        <v>2.71</v>
      </c>
      <c r="T523" s="225">
        <v>38.0</v>
      </c>
      <c r="U523" s="226">
        <v>56.0</v>
      </c>
      <c r="V523" s="227" t="s">
        <v>166</v>
      </c>
      <c r="W523" s="228" t="s">
        <v>166</v>
      </c>
      <c r="X523" s="222" t="s">
        <v>174</v>
      </c>
      <c r="Y523" s="223" t="s">
        <v>174</v>
      </c>
      <c r="Z523" s="221" t="s">
        <v>166</v>
      </c>
      <c r="AA523" s="222" t="s">
        <v>174</v>
      </c>
      <c r="AB523" s="222" t="s">
        <v>166</v>
      </c>
      <c r="AC523" s="222" t="s">
        <v>174</v>
      </c>
      <c r="AD523" s="222" t="s">
        <v>174</v>
      </c>
      <c r="AE523" s="222" t="s">
        <v>174</v>
      </c>
      <c r="AF523" s="222" t="s">
        <v>174</v>
      </c>
      <c r="AG523" s="229" t="s">
        <v>2003</v>
      </c>
      <c r="AH523" s="229"/>
    </row>
    <row r="524">
      <c r="A524" s="255" t="s">
        <v>2526</v>
      </c>
      <c r="B524" s="256" t="s">
        <v>2544</v>
      </c>
      <c r="C524" s="221">
        <v>280.0</v>
      </c>
      <c r="D524" s="222">
        <v>315.0</v>
      </c>
      <c r="E524" s="222">
        <v>143.0</v>
      </c>
      <c r="F524" s="222">
        <v>30.0</v>
      </c>
      <c r="G524" s="223" t="s">
        <v>164</v>
      </c>
      <c r="H524" s="221">
        <v>80.0</v>
      </c>
      <c r="I524" s="222">
        <v>80.0</v>
      </c>
      <c r="J524" s="222">
        <v>55.0</v>
      </c>
      <c r="K524" s="222">
        <v>2800.0</v>
      </c>
      <c r="L524" s="222" t="s">
        <v>44</v>
      </c>
      <c r="M524" s="223">
        <v>400.0</v>
      </c>
      <c r="N524" s="221">
        <v>2.0</v>
      </c>
      <c r="O524" s="222" t="s">
        <v>2018</v>
      </c>
      <c r="P524" s="222">
        <v>26.0</v>
      </c>
      <c r="Q524" s="222">
        <v>1500.0</v>
      </c>
      <c r="R524" s="224">
        <v>91.19</v>
      </c>
      <c r="S524" s="224">
        <v>1.52</v>
      </c>
      <c r="T524" s="225">
        <v>33.0</v>
      </c>
      <c r="U524" s="226">
        <v>56.0</v>
      </c>
      <c r="V524" s="227" t="s">
        <v>166</v>
      </c>
      <c r="W524" s="228" t="s">
        <v>166</v>
      </c>
      <c r="X524" s="222" t="s">
        <v>174</v>
      </c>
      <c r="Y524" s="223" t="s">
        <v>174</v>
      </c>
      <c r="Z524" s="221" t="s">
        <v>166</v>
      </c>
      <c r="AA524" s="222" t="s">
        <v>174</v>
      </c>
      <c r="AB524" s="222" t="s">
        <v>166</v>
      </c>
      <c r="AC524" s="222" t="s">
        <v>174</v>
      </c>
      <c r="AD524" s="222" t="s">
        <v>174</v>
      </c>
      <c r="AE524" s="222" t="s">
        <v>174</v>
      </c>
      <c r="AF524" s="222" t="s">
        <v>174</v>
      </c>
      <c r="AG524" s="229" t="s">
        <v>2003</v>
      </c>
      <c r="AH524" s="229"/>
    </row>
    <row r="525">
      <c r="A525" s="255" t="s">
        <v>2526</v>
      </c>
      <c r="B525" s="257" t="s">
        <v>2545</v>
      </c>
      <c r="C525" s="221">
        <v>360.0</v>
      </c>
      <c r="D525" s="222">
        <v>394.0</v>
      </c>
      <c r="E525" s="222">
        <v>121.0</v>
      </c>
      <c r="F525" s="222">
        <v>27.0</v>
      </c>
      <c r="G525" s="223" t="s">
        <v>164</v>
      </c>
      <c r="H525" s="221">
        <v>80.0</v>
      </c>
      <c r="I525" s="222">
        <v>80.0</v>
      </c>
      <c r="J525" s="222">
        <v>55.0</v>
      </c>
      <c r="K525" s="222">
        <v>2800.0</v>
      </c>
      <c r="L525" s="222" t="s">
        <v>44</v>
      </c>
      <c r="M525" s="223">
        <v>400.0</v>
      </c>
      <c r="N525" s="221">
        <v>3.0</v>
      </c>
      <c r="O525" s="222" t="s">
        <v>2002</v>
      </c>
      <c r="P525" s="222">
        <v>26.0</v>
      </c>
      <c r="Q525" s="222">
        <v>2000.0</v>
      </c>
      <c r="R525" s="224">
        <v>73.11</v>
      </c>
      <c r="S525" s="224">
        <v>2.93</v>
      </c>
      <c r="T525" s="225">
        <v>36.0</v>
      </c>
      <c r="U525" s="226">
        <v>53.0</v>
      </c>
      <c r="V525" s="227" t="s">
        <v>166</v>
      </c>
      <c r="W525" s="228" t="s">
        <v>166</v>
      </c>
      <c r="X525" s="222" t="s">
        <v>174</v>
      </c>
      <c r="Y525" s="223" t="s">
        <v>174</v>
      </c>
      <c r="Z525" s="221" t="s">
        <v>166</v>
      </c>
      <c r="AA525" s="222" t="s">
        <v>174</v>
      </c>
      <c r="AB525" s="222" t="s">
        <v>166</v>
      </c>
      <c r="AC525" s="222" t="s">
        <v>174</v>
      </c>
      <c r="AD525" s="222" t="s">
        <v>174</v>
      </c>
      <c r="AE525" s="222" t="s">
        <v>174</v>
      </c>
      <c r="AF525" s="222" t="s">
        <v>174</v>
      </c>
      <c r="AG525" s="229" t="s">
        <v>2003</v>
      </c>
      <c r="AH525" s="229"/>
    </row>
    <row r="526">
      <c r="A526" s="255" t="s">
        <v>2526</v>
      </c>
      <c r="B526" s="257" t="s">
        <v>2546</v>
      </c>
      <c r="C526" s="221">
        <v>360.0</v>
      </c>
      <c r="D526" s="222">
        <v>394.0</v>
      </c>
      <c r="E526" s="222">
        <v>121.0</v>
      </c>
      <c r="F526" s="222">
        <v>27.0</v>
      </c>
      <c r="G526" s="223" t="s">
        <v>164</v>
      </c>
      <c r="H526" s="221">
        <v>80.0</v>
      </c>
      <c r="I526" s="222">
        <v>80.0</v>
      </c>
      <c r="J526" s="222">
        <v>55.0</v>
      </c>
      <c r="K526" s="222">
        <v>2800.0</v>
      </c>
      <c r="L526" s="222" t="s">
        <v>44</v>
      </c>
      <c r="M526" s="223">
        <v>400.0</v>
      </c>
      <c r="N526" s="221">
        <v>3.0</v>
      </c>
      <c r="O526" s="222" t="s">
        <v>2002</v>
      </c>
      <c r="P526" s="222">
        <v>26.0</v>
      </c>
      <c r="Q526" s="222">
        <v>1500.0</v>
      </c>
      <c r="R526" s="224">
        <v>52.44</v>
      </c>
      <c r="S526" s="224">
        <v>1.35</v>
      </c>
      <c r="T526" s="225">
        <v>33.0</v>
      </c>
      <c r="U526" s="226">
        <v>53.0</v>
      </c>
      <c r="V526" s="227" t="s">
        <v>166</v>
      </c>
      <c r="W526" s="228" t="s">
        <v>166</v>
      </c>
      <c r="X526" s="222" t="s">
        <v>174</v>
      </c>
      <c r="Y526" s="223" t="s">
        <v>174</v>
      </c>
      <c r="Z526" s="221" t="s">
        <v>166</v>
      </c>
      <c r="AA526" s="222" t="s">
        <v>174</v>
      </c>
      <c r="AB526" s="222" t="s">
        <v>166</v>
      </c>
      <c r="AC526" s="222" t="s">
        <v>174</v>
      </c>
      <c r="AD526" s="222" t="s">
        <v>174</v>
      </c>
      <c r="AE526" s="222" t="s">
        <v>174</v>
      </c>
      <c r="AF526" s="222" t="s">
        <v>174</v>
      </c>
      <c r="AG526" s="229" t="s">
        <v>2003</v>
      </c>
      <c r="AH526" s="229"/>
    </row>
    <row r="527">
      <c r="A527" s="255" t="s">
        <v>2526</v>
      </c>
      <c r="B527" s="256" t="s">
        <v>2547</v>
      </c>
      <c r="C527" s="221">
        <v>240.0</v>
      </c>
      <c r="D527" s="222">
        <v>275.0</v>
      </c>
      <c r="E527" s="222">
        <v>123.0</v>
      </c>
      <c r="F527" s="222">
        <v>30.0</v>
      </c>
      <c r="G527" s="223" t="s">
        <v>164</v>
      </c>
      <c r="H527" s="221">
        <v>79.0</v>
      </c>
      <c r="I527" s="222">
        <v>79.0</v>
      </c>
      <c r="J527" s="222">
        <v>52.4</v>
      </c>
      <c r="K527" s="222">
        <v>2800.0</v>
      </c>
      <c r="L527" s="222" t="s">
        <v>44</v>
      </c>
      <c r="M527" s="223">
        <v>400.0</v>
      </c>
      <c r="N527" s="221">
        <v>2.0</v>
      </c>
      <c r="O527" s="222" t="s">
        <v>2002</v>
      </c>
      <c r="P527" s="222">
        <v>26.0</v>
      </c>
      <c r="Q527" s="222">
        <v>2000.0</v>
      </c>
      <c r="R527" s="224">
        <v>73.11</v>
      </c>
      <c r="S527" s="224">
        <v>2.93</v>
      </c>
      <c r="T527" s="225">
        <v>36.0</v>
      </c>
      <c r="U527" s="226">
        <v>56.0</v>
      </c>
      <c r="V527" s="227" t="s">
        <v>166</v>
      </c>
      <c r="W527" s="228" t="s">
        <v>166</v>
      </c>
      <c r="X527" s="222" t="s">
        <v>174</v>
      </c>
      <c r="Y527" s="223" t="s">
        <v>174</v>
      </c>
      <c r="Z527" s="221" t="s">
        <v>166</v>
      </c>
      <c r="AA527" s="222" t="s">
        <v>174</v>
      </c>
      <c r="AB527" s="222" t="s">
        <v>166</v>
      </c>
      <c r="AC527" s="222" t="s">
        <v>174</v>
      </c>
      <c r="AD527" s="222" t="s">
        <v>174</v>
      </c>
      <c r="AE527" s="222" t="s">
        <v>174</v>
      </c>
      <c r="AF527" s="222" t="s">
        <v>174</v>
      </c>
      <c r="AG527" s="229" t="s">
        <v>2003</v>
      </c>
      <c r="AH527" s="229"/>
    </row>
    <row r="528">
      <c r="A528" s="255" t="s">
        <v>2526</v>
      </c>
      <c r="B528" s="257" t="s">
        <v>2548</v>
      </c>
      <c r="C528" s="221">
        <v>240.0</v>
      </c>
      <c r="D528" s="222">
        <v>275.0</v>
      </c>
      <c r="E528" s="222">
        <v>123.0</v>
      </c>
      <c r="F528" s="222">
        <v>30.0</v>
      </c>
      <c r="G528" s="223" t="s">
        <v>164</v>
      </c>
      <c r="H528" s="221">
        <v>79.0</v>
      </c>
      <c r="I528" s="222">
        <v>79.0</v>
      </c>
      <c r="J528" s="222">
        <v>52.0</v>
      </c>
      <c r="K528" s="222">
        <v>2800.0</v>
      </c>
      <c r="L528" s="222" t="s">
        <v>44</v>
      </c>
      <c r="M528" s="223">
        <v>400.0</v>
      </c>
      <c r="N528" s="221">
        <v>2.0</v>
      </c>
      <c r="O528" s="222" t="s">
        <v>2002</v>
      </c>
      <c r="P528" s="222">
        <v>26.0</v>
      </c>
      <c r="Q528" s="222">
        <v>1500.0</v>
      </c>
      <c r="R528" s="224">
        <v>52.44</v>
      </c>
      <c r="S528" s="224">
        <v>1.35</v>
      </c>
      <c r="T528" s="225">
        <v>33.0</v>
      </c>
      <c r="U528" s="226">
        <v>56.0</v>
      </c>
      <c r="V528" s="227" t="s">
        <v>166</v>
      </c>
      <c r="W528" s="228" t="s">
        <v>166</v>
      </c>
      <c r="X528" s="222" t="s">
        <v>174</v>
      </c>
      <c r="Y528" s="223" t="s">
        <v>174</v>
      </c>
      <c r="Z528" s="221" t="s">
        <v>166</v>
      </c>
      <c r="AA528" s="222" t="s">
        <v>174</v>
      </c>
      <c r="AB528" s="222" t="s">
        <v>166</v>
      </c>
      <c r="AC528" s="222" t="s">
        <v>174</v>
      </c>
      <c r="AD528" s="222" t="s">
        <v>174</v>
      </c>
      <c r="AE528" s="222" t="s">
        <v>174</v>
      </c>
      <c r="AF528" s="222" t="s">
        <v>174</v>
      </c>
      <c r="AG528" s="229" t="s">
        <v>2003</v>
      </c>
      <c r="AH528" s="229"/>
    </row>
    <row r="529">
      <c r="A529" s="255" t="s">
        <v>2526</v>
      </c>
      <c r="B529" s="256" t="s">
        <v>2549</v>
      </c>
      <c r="C529" s="221">
        <v>280.0</v>
      </c>
      <c r="D529" s="222">
        <v>315.0</v>
      </c>
      <c r="E529" s="222">
        <v>143.0</v>
      </c>
      <c r="F529" s="222">
        <v>30.0</v>
      </c>
      <c r="G529" s="223" t="s">
        <v>164</v>
      </c>
      <c r="H529" s="221">
        <v>79.0</v>
      </c>
      <c r="I529" s="222">
        <v>79.0</v>
      </c>
      <c r="J529" s="222">
        <v>52.0</v>
      </c>
      <c r="K529" s="222">
        <v>2800.0</v>
      </c>
      <c r="L529" s="222" t="s">
        <v>44</v>
      </c>
      <c r="M529" s="223">
        <v>400.0</v>
      </c>
      <c r="N529" s="221">
        <v>2.0</v>
      </c>
      <c r="O529" s="222" t="s">
        <v>2018</v>
      </c>
      <c r="P529" s="222">
        <v>26.0</v>
      </c>
      <c r="Q529" s="222">
        <v>1800.0</v>
      </c>
      <c r="R529" s="224">
        <v>98.17</v>
      </c>
      <c r="S529" s="224">
        <v>2.71</v>
      </c>
      <c r="T529" s="225">
        <v>38.0</v>
      </c>
      <c r="U529" s="226">
        <v>56.0</v>
      </c>
      <c r="V529" s="227" t="s">
        <v>166</v>
      </c>
      <c r="W529" s="228" t="s">
        <v>166</v>
      </c>
      <c r="X529" s="222" t="s">
        <v>174</v>
      </c>
      <c r="Y529" s="223" t="s">
        <v>174</v>
      </c>
      <c r="Z529" s="221" t="s">
        <v>166</v>
      </c>
      <c r="AA529" s="222" t="s">
        <v>174</v>
      </c>
      <c r="AB529" s="222" t="s">
        <v>166</v>
      </c>
      <c r="AC529" s="222" t="s">
        <v>174</v>
      </c>
      <c r="AD529" s="222" t="s">
        <v>174</v>
      </c>
      <c r="AE529" s="222" t="s">
        <v>174</v>
      </c>
      <c r="AF529" s="222" t="s">
        <v>174</v>
      </c>
      <c r="AG529" s="229" t="s">
        <v>2003</v>
      </c>
      <c r="AH529" s="229"/>
    </row>
    <row r="530">
      <c r="A530" s="255" t="s">
        <v>2526</v>
      </c>
      <c r="B530" s="257" t="s">
        <v>2550</v>
      </c>
      <c r="C530" s="221">
        <v>280.0</v>
      </c>
      <c r="D530" s="222">
        <v>315.0</v>
      </c>
      <c r="E530" s="222">
        <v>143.0</v>
      </c>
      <c r="F530" s="222">
        <v>30.0</v>
      </c>
      <c r="G530" s="223" t="s">
        <v>164</v>
      </c>
      <c r="H530" s="221">
        <v>79.0</v>
      </c>
      <c r="I530" s="222">
        <v>79.0</v>
      </c>
      <c r="J530" s="222">
        <v>52.0</v>
      </c>
      <c r="K530" s="222">
        <v>2800.0</v>
      </c>
      <c r="L530" s="222" t="s">
        <v>44</v>
      </c>
      <c r="M530" s="223">
        <v>400.0</v>
      </c>
      <c r="N530" s="221">
        <v>2.0</v>
      </c>
      <c r="O530" s="222" t="s">
        <v>2018</v>
      </c>
      <c r="P530" s="222">
        <v>26.0</v>
      </c>
      <c r="Q530" s="222">
        <v>1500.0</v>
      </c>
      <c r="R530" s="224">
        <v>91.19</v>
      </c>
      <c r="S530" s="224">
        <v>1.52</v>
      </c>
      <c r="T530" s="225">
        <v>33.0</v>
      </c>
      <c r="U530" s="226">
        <v>56.0</v>
      </c>
      <c r="V530" s="227" t="s">
        <v>166</v>
      </c>
      <c r="W530" s="228" t="s">
        <v>166</v>
      </c>
      <c r="X530" s="222" t="s">
        <v>174</v>
      </c>
      <c r="Y530" s="223" t="s">
        <v>174</v>
      </c>
      <c r="Z530" s="221" t="s">
        <v>166</v>
      </c>
      <c r="AA530" s="222" t="s">
        <v>174</v>
      </c>
      <c r="AB530" s="222" t="s">
        <v>166</v>
      </c>
      <c r="AC530" s="222" t="s">
        <v>174</v>
      </c>
      <c r="AD530" s="222" t="s">
        <v>174</v>
      </c>
      <c r="AE530" s="222" t="s">
        <v>174</v>
      </c>
      <c r="AF530" s="222" t="s">
        <v>174</v>
      </c>
      <c r="AG530" s="229" t="s">
        <v>2003</v>
      </c>
      <c r="AH530" s="229"/>
    </row>
    <row r="531">
      <c r="A531" s="255" t="s">
        <v>2526</v>
      </c>
      <c r="B531" s="257" t="s">
        <v>2551</v>
      </c>
      <c r="C531" s="221">
        <v>360.0</v>
      </c>
      <c r="D531" s="222">
        <v>394.0</v>
      </c>
      <c r="E531" s="222">
        <v>121.0</v>
      </c>
      <c r="F531" s="222">
        <v>27.0</v>
      </c>
      <c r="G531" s="223" t="s">
        <v>164</v>
      </c>
      <c r="H531" s="221">
        <v>79.0</v>
      </c>
      <c r="I531" s="222">
        <v>79.0</v>
      </c>
      <c r="J531" s="222">
        <v>52.0</v>
      </c>
      <c r="K531" s="222">
        <v>2800.0</v>
      </c>
      <c r="L531" s="222" t="s">
        <v>44</v>
      </c>
      <c r="M531" s="223">
        <v>400.0</v>
      </c>
      <c r="N531" s="221">
        <v>3.0</v>
      </c>
      <c r="O531" s="222" t="s">
        <v>2002</v>
      </c>
      <c r="P531" s="222">
        <v>26.0</v>
      </c>
      <c r="Q531" s="222">
        <v>2000.0</v>
      </c>
      <c r="R531" s="224">
        <v>73.11</v>
      </c>
      <c r="S531" s="224">
        <v>2.93</v>
      </c>
      <c r="T531" s="225">
        <v>36.0</v>
      </c>
      <c r="U531" s="226">
        <v>53.0</v>
      </c>
      <c r="V531" s="227" t="s">
        <v>166</v>
      </c>
      <c r="W531" s="228" t="s">
        <v>166</v>
      </c>
      <c r="X531" s="222" t="s">
        <v>174</v>
      </c>
      <c r="Y531" s="223" t="s">
        <v>174</v>
      </c>
      <c r="Z531" s="221" t="s">
        <v>166</v>
      </c>
      <c r="AA531" s="222" t="s">
        <v>174</v>
      </c>
      <c r="AB531" s="222" t="s">
        <v>166</v>
      </c>
      <c r="AC531" s="222" t="s">
        <v>174</v>
      </c>
      <c r="AD531" s="222" t="s">
        <v>174</v>
      </c>
      <c r="AE531" s="222" t="s">
        <v>174</v>
      </c>
      <c r="AF531" s="222" t="s">
        <v>174</v>
      </c>
      <c r="AG531" s="229" t="s">
        <v>2003</v>
      </c>
      <c r="AH531" s="229"/>
    </row>
    <row r="532">
      <c r="A532" s="268" t="s">
        <v>2526</v>
      </c>
      <c r="B532" s="271" t="s">
        <v>2552</v>
      </c>
      <c r="C532" s="232">
        <v>360.0</v>
      </c>
      <c r="D532" s="233">
        <v>394.0</v>
      </c>
      <c r="E532" s="233">
        <v>121.0</v>
      </c>
      <c r="F532" s="233">
        <v>27.0</v>
      </c>
      <c r="G532" s="234" t="s">
        <v>164</v>
      </c>
      <c r="H532" s="232">
        <v>79.0</v>
      </c>
      <c r="I532" s="233">
        <v>79.0</v>
      </c>
      <c r="J532" s="233">
        <v>52.0</v>
      </c>
      <c r="K532" s="233">
        <v>2800.0</v>
      </c>
      <c r="L532" s="233" t="s">
        <v>44</v>
      </c>
      <c r="M532" s="234">
        <v>400.0</v>
      </c>
      <c r="N532" s="232">
        <v>3.0</v>
      </c>
      <c r="O532" s="233" t="s">
        <v>2002</v>
      </c>
      <c r="P532" s="233">
        <v>26.0</v>
      </c>
      <c r="Q532" s="233">
        <v>1500.0</v>
      </c>
      <c r="R532" s="235">
        <v>52.44</v>
      </c>
      <c r="S532" s="235">
        <v>1.35</v>
      </c>
      <c r="T532" s="236">
        <v>33.0</v>
      </c>
      <c r="U532" s="237">
        <v>53.0</v>
      </c>
      <c r="V532" s="238" t="s">
        <v>166</v>
      </c>
      <c r="W532" s="239" t="s">
        <v>166</v>
      </c>
      <c r="X532" s="233" t="s">
        <v>174</v>
      </c>
      <c r="Y532" s="234" t="s">
        <v>174</v>
      </c>
      <c r="Z532" s="232" t="s">
        <v>166</v>
      </c>
      <c r="AA532" s="233" t="s">
        <v>174</v>
      </c>
      <c r="AB532" s="233" t="s">
        <v>166</v>
      </c>
      <c r="AC532" s="233" t="s">
        <v>174</v>
      </c>
      <c r="AD532" s="233" t="s">
        <v>174</v>
      </c>
      <c r="AE532" s="233" t="s">
        <v>174</v>
      </c>
      <c r="AF532" s="233" t="s">
        <v>174</v>
      </c>
      <c r="AG532" s="240" t="s">
        <v>2003</v>
      </c>
      <c r="AH532" s="240"/>
    </row>
    <row r="533">
      <c r="A533" s="272" t="s">
        <v>1085</v>
      </c>
      <c r="B533" s="257" t="s">
        <v>2553</v>
      </c>
      <c r="C533" s="221">
        <v>240.0</v>
      </c>
      <c r="D533" s="222">
        <v>277.0</v>
      </c>
      <c r="E533" s="222">
        <v>120.0</v>
      </c>
      <c r="F533" s="222">
        <v>27.0</v>
      </c>
      <c r="G533" s="223" t="s">
        <v>164</v>
      </c>
      <c r="H533" s="221">
        <v>76.0</v>
      </c>
      <c r="I533" s="222">
        <v>64.0</v>
      </c>
      <c r="J533" s="222">
        <v>51.4</v>
      </c>
      <c r="K533" s="222">
        <v>3100.0</v>
      </c>
      <c r="L533" s="222" t="s">
        <v>44</v>
      </c>
      <c r="M533" s="223">
        <v>400.0</v>
      </c>
      <c r="N533" s="221">
        <v>2.0</v>
      </c>
      <c r="O533" s="222" t="s">
        <v>2002</v>
      </c>
      <c r="P533" s="222">
        <v>30.0</v>
      </c>
      <c r="Q533" s="222">
        <v>2000.0</v>
      </c>
      <c r="R533" s="224">
        <v>64.3</v>
      </c>
      <c r="S533" s="224">
        <v>3.01</v>
      </c>
      <c r="T533" s="225">
        <v>30.2</v>
      </c>
      <c r="U533" s="226">
        <v>57.0</v>
      </c>
      <c r="V533" s="227" t="s">
        <v>166</v>
      </c>
      <c r="W533" s="228" t="s">
        <v>174</v>
      </c>
      <c r="X533" s="222" t="s">
        <v>166</v>
      </c>
      <c r="Y533" s="223" t="s">
        <v>166</v>
      </c>
      <c r="Z533" s="221" t="s">
        <v>166</v>
      </c>
      <c r="AA533" s="222" t="s">
        <v>174</v>
      </c>
      <c r="AB533" s="222" t="s">
        <v>166</v>
      </c>
      <c r="AC533" s="222" t="s">
        <v>174</v>
      </c>
      <c r="AD533" s="222" t="s">
        <v>166</v>
      </c>
      <c r="AE533" s="222" t="s">
        <v>174</v>
      </c>
      <c r="AF533" s="222" t="s">
        <v>174</v>
      </c>
      <c r="AG533" s="222" t="s">
        <v>170</v>
      </c>
      <c r="AH533" s="222"/>
    </row>
    <row r="534">
      <c r="A534" s="272" t="s">
        <v>1085</v>
      </c>
      <c r="B534" s="257" t="s">
        <v>2554</v>
      </c>
      <c r="C534" s="221">
        <v>240.0</v>
      </c>
      <c r="D534" s="222">
        <v>277.0</v>
      </c>
      <c r="E534" s="222">
        <v>120.0</v>
      </c>
      <c r="F534" s="222">
        <v>27.0</v>
      </c>
      <c r="G534" s="223" t="s">
        <v>164</v>
      </c>
      <c r="H534" s="221">
        <v>76.0</v>
      </c>
      <c r="I534" s="222">
        <v>64.0</v>
      </c>
      <c r="J534" s="222">
        <v>51.4</v>
      </c>
      <c r="K534" s="222">
        <v>3100.0</v>
      </c>
      <c r="L534" s="222" t="s">
        <v>44</v>
      </c>
      <c r="M534" s="223">
        <v>400.0</v>
      </c>
      <c r="N534" s="221">
        <v>2.0</v>
      </c>
      <c r="O534" s="222" t="s">
        <v>2002</v>
      </c>
      <c r="P534" s="222">
        <v>30.0</v>
      </c>
      <c r="Q534" s="222">
        <v>2000.0</v>
      </c>
      <c r="R534" s="224">
        <v>64.3</v>
      </c>
      <c r="S534" s="224">
        <v>3.01</v>
      </c>
      <c r="T534" s="225">
        <v>30.2</v>
      </c>
      <c r="U534" s="226">
        <v>57.0</v>
      </c>
      <c r="V534" s="227" t="s">
        <v>166</v>
      </c>
      <c r="W534" s="228" t="s">
        <v>174</v>
      </c>
      <c r="X534" s="222" t="s">
        <v>166</v>
      </c>
      <c r="Y534" s="223" t="s">
        <v>166</v>
      </c>
      <c r="Z534" s="221" t="s">
        <v>166</v>
      </c>
      <c r="AA534" s="222" t="s">
        <v>174</v>
      </c>
      <c r="AB534" s="222" t="s">
        <v>166</v>
      </c>
      <c r="AC534" s="222" t="s">
        <v>174</v>
      </c>
      <c r="AD534" s="222" t="s">
        <v>166</v>
      </c>
      <c r="AE534" s="222" t="s">
        <v>174</v>
      </c>
      <c r="AF534" s="222" t="s">
        <v>174</v>
      </c>
      <c r="AG534" s="222" t="s">
        <v>170</v>
      </c>
      <c r="AH534" s="222"/>
    </row>
    <row r="535">
      <c r="A535" s="272" t="s">
        <v>1085</v>
      </c>
      <c r="B535" s="257" t="s">
        <v>2555</v>
      </c>
      <c r="C535" s="221">
        <v>240.0</v>
      </c>
      <c r="D535" s="222">
        <v>273.0</v>
      </c>
      <c r="E535" s="222">
        <v>120.0</v>
      </c>
      <c r="F535" s="222">
        <v>27.0</v>
      </c>
      <c r="G535" s="223" t="s">
        <v>164</v>
      </c>
      <c r="H535" s="221">
        <v>93.0</v>
      </c>
      <c r="I535" s="222">
        <v>92.0</v>
      </c>
      <c r="J535" s="222">
        <v>41.0</v>
      </c>
      <c r="K535" s="222" t="s">
        <v>170</v>
      </c>
      <c r="L535" s="222" t="s">
        <v>44</v>
      </c>
      <c r="M535" s="223">
        <v>400.0</v>
      </c>
      <c r="N535" s="221">
        <v>2.0</v>
      </c>
      <c r="O535" s="222" t="s">
        <v>2002</v>
      </c>
      <c r="P535" s="222">
        <v>25.0</v>
      </c>
      <c r="Q535" s="222">
        <v>2200.0</v>
      </c>
      <c r="R535" s="224">
        <v>60.51</v>
      </c>
      <c r="S535" s="224">
        <v>3.41</v>
      </c>
      <c r="T535" s="225">
        <v>34.2</v>
      </c>
      <c r="U535" s="226">
        <v>52.0</v>
      </c>
      <c r="V535" s="221" t="s">
        <v>166</v>
      </c>
      <c r="W535" s="241" t="s">
        <v>174</v>
      </c>
      <c r="X535" s="222" t="s">
        <v>166</v>
      </c>
      <c r="Y535" s="223" t="s">
        <v>166</v>
      </c>
      <c r="Z535" s="221" t="s">
        <v>166</v>
      </c>
      <c r="AA535" s="222" t="s">
        <v>174</v>
      </c>
      <c r="AB535" s="222" t="s">
        <v>166</v>
      </c>
      <c r="AC535" s="222" t="s">
        <v>174</v>
      </c>
      <c r="AD535" s="222" t="s">
        <v>174</v>
      </c>
      <c r="AE535" s="222" t="s">
        <v>174</v>
      </c>
      <c r="AF535" s="222" t="s">
        <v>174</v>
      </c>
      <c r="AG535" s="229" t="s">
        <v>2003</v>
      </c>
      <c r="AH535" s="229"/>
    </row>
    <row r="536">
      <c r="A536" s="272" t="s">
        <v>1085</v>
      </c>
      <c r="B536" s="257" t="s">
        <v>2556</v>
      </c>
      <c r="C536" s="221">
        <v>240.0</v>
      </c>
      <c r="D536" s="222">
        <v>273.0</v>
      </c>
      <c r="E536" s="222">
        <v>120.0</v>
      </c>
      <c r="F536" s="222">
        <v>27.0</v>
      </c>
      <c r="G536" s="223" t="s">
        <v>164</v>
      </c>
      <c r="H536" s="221">
        <v>93.0</v>
      </c>
      <c r="I536" s="222">
        <v>92.0</v>
      </c>
      <c r="J536" s="222">
        <v>41.0</v>
      </c>
      <c r="K536" s="222" t="s">
        <v>170</v>
      </c>
      <c r="L536" s="222" t="s">
        <v>44</v>
      </c>
      <c r="M536" s="223">
        <v>400.0</v>
      </c>
      <c r="N536" s="221">
        <v>2.0</v>
      </c>
      <c r="O536" s="222" t="s">
        <v>2002</v>
      </c>
      <c r="P536" s="222">
        <v>25.0</v>
      </c>
      <c r="Q536" s="222">
        <v>2200.0</v>
      </c>
      <c r="R536" s="224">
        <v>60.51</v>
      </c>
      <c r="S536" s="224">
        <v>3.41</v>
      </c>
      <c r="T536" s="225">
        <v>34.2</v>
      </c>
      <c r="U536" s="226">
        <v>52.0</v>
      </c>
      <c r="V536" s="227" t="s">
        <v>166</v>
      </c>
      <c r="W536" s="228" t="s">
        <v>174</v>
      </c>
      <c r="X536" s="222" t="s">
        <v>166</v>
      </c>
      <c r="Y536" s="223" t="s">
        <v>166</v>
      </c>
      <c r="Z536" s="221" t="s">
        <v>166</v>
      </c>
      <c r="AA536" s="222" t="s">
        <v>174</v>
      </c>
      <c r="AB536" s="222" t="s">
        <v>166</v>
      </c>
      <c r="AC536" s="222" t="s">
        <v>174</v>
      </c>
      <c r="AD536" s="222" t="s">
        <v>174</v>
      </c>
      <c r="AE536" s="222" t="s">
        <v>174</v>
      </c>
      <c r="AF536" s="222" t="s">
        <v>174</v>
      </c>
      <c r="AG536" s="229" t="s">
        <v>2003</v>
      </c>
      <c r="AH536" s="229"/>
    </row>
    <row r="537">
      <c r="A537" s="272" t="s">
        <v>1085</v>
      </c>
      <c r="B537" s="257" t="s">
        <v>2557</v>
      </c>
      <c r="C537" s="221">
        <v>240.0</v>
      </c>
      <c r="D537" s="222">
        <v>273.0</v>
      </c>
      <c r="E537" s="222">
        <v>120.0</v>
      </c>
      <c r="F537" s="222">
        <v>38.0</v>
      </c>
      <c r="G537" s="223" t="s">
        <v>164</v>
      </c>
      <c r="H537" s="221">
        <v>93.0</v>
      </c>
      <c r="I537" s="222">
        <v>92.0</v>
      </c>
      <c r="J537" s="222">
        <v>41.0</v>
      </c>
      <c r="K537" s="222" t="s">
        <v>170</v>
      </c>
      <c r="L537" s="222" t="s">
        <v>44</v>
      </c>
      <c r="M537" s="223">
        <v>400.0</v>
      </c>
      <c r="N537" s="221">
        <v>2.0</v>
      </c>
      <c r="O537" s="222" t="s">
        <v>2002</v>
      </c>
      <c r="P537" s="222">
        <v>30.0</v>
      </c>
      <c r="Q537" s="222">
        <v>3000.0</v>
      </c>
      <c r="R537" s="224">
        <v>101.0</v>
      </c>
      <c r="S537" s="224">
        <v>7.11</v>
      </c>
      <c r="T537" s="225">
        <v>39.7</v>
      </c>
      <c r="U537" s="226">
        <v>68.0</v>
      </c>
      <c r="V537" s="227" t="s">
        <v>166</v>
      </c>
      <c r="W537" s="228" t="s">
        <v>174</v>
      </c>
      <c r="X537" s="222" t="s">
        <v>166</v>
      </c>
      <c r="Y537" s="223" t="s">
        <v>166</v>
      </c>
      <c r="Z537" s="221" t="s">
        <v>166</v>
      </c>
      <c r="AA537" s="222" t="s">
        <v>174</v>
      </c>
      <c r="AB537" s="222" t="s">
        <v>166</v>
      </c>
      <c r="AC537" s="222" t="s">
        <v>174</v>
      </c>
      <c r="AD537" s="222" t="s">
        <v>174</v>
      </c>
      <c r="AE537" s="222" t="s">
        <v>174</v>
      </c>
      <c r="AF537" s="222" t="s">
        <v>174</v>
      </c>
      <c r="AG537" s="229" t="s">
        <v>2003</v>
      </c>
      <c r="AH537" s="229"/>
    </row>
    <row r="538">
      <c r="A538" s="272" t="s">
        <v>1085</v>
      </c>
      <c r="B538" s="257" t="s">
        <v>2558</v>
      </c>
      <c r="C538" s="221">
        <v>240.0</v>
      </c>
      <c r="D538" s="222">
        <v>280.0</v>
      </c>
      <c r="E538" s="222">
        <v>120.0</v>
      </c>
      <c r="F538" s="222">
        <v>30.0</v>
      </c>
      <c r="G538" s="223" t="s">
        <v>164</v>
      </c>
      <c r="H538" s="221">
        <v>94.0</v>
      </c>
      <c r="I538" s="222">
        <v>93.0</v>
      </c>
      <c r="J538" s="222">
        <v>52.0</v>
      </c>
      <c r="K538" s="222">
        <v>2600.0</v>
      </c>
      <c r="L538" s="222" t="s">
        <v>44</v>
      </c>
      <c r="M538" s="223">
        <v>400.0</v>
      </c>
      <c r="N538" s="221">
        <v>2.0</v>
      </c>
      <c r="O538" s="222" t="s">
        <v>2002</v>
      </c>
      <c r="P538" s="222">
        <v>30.0</v>
      </c>
      <c r="Q538" s="222">
        <v>3000.0</v>
      </c>
      <c r="R538" s="224">
        <v>101.0</v>
      </c>
      <c r="S538" s="224">
        <v>7.11</v>
      </c>
      <c r="T538" s="225">
        <v>39.7</v>
      </c>
      <c r="U538" s="226">
        <v>60.0</v>
      </c>
      <c r="V538" s="227" t="s">
        <v>166</v>
      </c>
      <c r="W538" s="228" t="s">
        <v>174</v>
      </c>
      <c r="X538" s="222" t="s">
        <v>166</v>
      </c>
      <c r="Y538" s="223" t="s">
        <v>166</v>
      </c>
      <c r="Z538" s="221" t="s">
        <v>166</v>
      </c>
      <c r="AA538" s="222" t="s">
        <v>174</v>
      </c>
      <c r="AB538" s="222" t="s">
        <v>166</v>
      </c>
      <c r="AC538" s="222" t="s">
        <v>174</v>
      </c>
      <c r="AD538" s="222" t="s">
        <v>166</v>
      </c>
      <c r="AE538" s="222" t="s">
        <v>174</v>
      </c>
      <c r="AF538" s="222" t="s">
        <v>166</v>
      </c>
      <c r="AG538" s="229" t="s">
        <v>2003</v>
      </c>
      <c r="AH538" s="229"/>
    </row>
    <row r="539">
      <c r="A539" s="272" t="s">
        <v>1085</v>
      </c>
      <c r="B539" s="257" t="s">
        <v>2559</v>
      </c>
      <c r="C539" s="221">
        <v>280.0</v>
      </c>
      <c r="D539" s="222">
        <v>313.0</v>
      </c>
      <c r="E539" s="222">
        <v>140.0</v>
      </c>
      <c r="F539" s="222">
        <v>27.0</v>
      </c>
      <c r="G539" s="223" t="s">
        <v>164</v>
      </c>
      <c r="H539" s="221">
        <v>93.0</v>
      </c>
      <c r="I539" s="222">
        <v>92.0</v>
      </c>
      <c r="J539" s="222">
        <v>41.0</v>
      </c>
      <c r="K539" s="222" t="s">
        <v>170</v>
      </c>
      <c r="L539" s="222" t="s">
        <v>44</v>
      </c>
      <c r="M539" s="223">
        <v>400.0</v>
      </c>
      <c r="N539" s="221">
        <v>2.0</v>
      </c>
      <c r="O539" s="222" t="s">
        <v>2018</v>
      </c>
      <c r="P539" s="222">
        <v>25.0</v>
      </c>
      <c r="Q539" s="222">
        <v>2000.0</v>
      </c>
      <c r="R539" s="224">
        <v>93.05</v>
      </c>
      <c r="S539" s="224">
        <v>3.59</v>
      </c>
      <c r="T539" s="225">
        <v>39.1</v>
      </c>
      <c r="U539" s="226">
        <v>52.0</v>
      </c>
      <c r="V539" s="227" t="s">
        <v>166</v>
      </c>
      <c r="W539" s="228" t="s">
        <v>174</v>
      </c>
      <c r="X539" s="222" t="s">
        <v>166</v>
      </c>
      <c r="Y539" s="223" t="s">
        <v>166</v>
      </c>
      <c r="Z539" s="221" t="s">
        <v>166</v>
      </c>
      <c r="AA539" s="222" t="s">
        <v>174</v>
      </c>
      <c r="AB539" s="222" t="s">
        <v>166</v>
      </c>
      <c r="AC539" s="222" t="s">
        <v>174</v>
      </c>
      <c r="AD539" s="222" t="s">
        <v>174</v>
      </c>
      <c r="AE539" s="222" t="s">
        <v>174</v>
      </c>
      <c r="AF539" s="222" t="s">
        <v>174</v>
      </c>
      <c r="AG539" s="229" t="s">
        <v>2003</v>
      </c>
      <c r="AH539" s="229"/>
    </row>
    <row r="540">
      <c r="A540" s="272" t="s">
        <v>1085</v>
      </c>
      <c r="B540" s="257" t="s">
        <v>2560</v>
      </c>
      <c r="C540" s="221">
        <v>280.0</v>
      </c>
      <c r="D540" s="222">
        <v>313.0</v>
      </c>
      <c r="E540" s="222">
        <v>140.0</v>
      </c>
      <c r="F540" s="222">
        <v>27.0</v>
      </c>
      <c r="G540" s="223" t="s">
        <v>164</v>
      </c>
      <c r="H540" s="221">
        <v>93.0</v>
      </c>
      <c r="I540" s="222">
        <v>92.0</v>
      </c>
      <c r="J540" s="222">
        <v>41.0</v>
      </c>
      <c r="K540" s="222" t="s">
        <v>170</v>
      </c>
      <c r="L540" s="222" t="s">
        <v>44</v>
      </c>
      <c r="M540" s="223">
        <v>400.0</v>
      </c>
      <c r="N540" s="221">
        <v>2.0</v>
      </c>
      <c r="O540" s="222" t="s">
        <v>2018</v>
      </c>
      <c r="P540" s="222">
        <v>25.0</v>
      </c>
      <c r="Q540" s="222">
        <v>2200.0</v>
      </c>
      <c r="R540" s="224">
        <v>93.05</v>
      </c>
      <c r="S540" s="224">
        <v>3.59</v>
      </c>
      <c r="T540" s="225">
        <v>39.1</v>
      </c>
      <c r="U540" s="226">
        <v>52.0</v>
      </c>
      <c r="V540" s="227" t="s">
        <v>166</v>
      </c>
      <c r="W540" s="228" t="s">
        <v>174</v>
      </c>
      <c r="X540" s="222" t="s">
        <v>166</v>
      </c>
      <c r="Y540" s="223" t="s">
        <v>166</v>
      </c>
      <c r="Z540" s="221" t="s">
        <v>166</v>
      </c>
      <c r="AA540" s="222" t="s">
        <v>174</v>
      </c>
      <c r="AB540" s="222" t="s">
        <v>166</v>
      </c>
      <c r="AC540" s="222" t="s">
        <v>174</v>
      </c>
      <c r="AD540" s="222" t="s">
        <v>174</v>
      </c>
      <c r="AE540" s="222" t="s">
        <v>174</v>
      </c>
      <c r="AF540" s="222" t="s">
        <v>174</v>
      </c>
      <c r="AG540" s="229" t="s">
        <v>2003</v>
      </c>
      <c r="AH540" s="229"/>
    </row>
    <row r="541">
      <c r="A541" s="272" t="s">
        <v>1085</v>
      </c>
      <c r="B541" s="257" t="s">
        <v>2561</v>
      </c>
      <c r="C541" s="221">
        <v>360.0</v>
      </c>
      <c r="D541" s="222">
        <v>397.0</v>
      </c>
      <c r="E541" s="222">
        <v>120.0</v>
      </c>
      <c r="F541" s="222">
        <v>27.0</v>
      </c>
      <c r="G541" s="223" t="s">
        <v>164</v>
      </c>
      <c r="H541" s="221">
        <v>76.0</v>
      </c>
      <c r="I541" s="222">
        <v>64.0</v>
      </c>
      <c r="J541" s="222">
        <v>51.4</v>
      </c>
      <c r="K541" s="222">
        <v>3100.0</v>
      </c>
      <c r="L541" s="222" t="s">
        <v>44</v>
      </c>
      <c r="M541" s="223">
        <v>400.0</v>
      </c>
      <c r="N541" s="221">
        <v>3.0</v>
      </c>
      <c r="O541" s="222" t="s">
        <v>2002</v>
      </c>
      <c r="P541" s="222">
        <v>30.0</v>
      </c>
      <c r="Q541" s="222">
        <v>2000.0</v>
      </c>
      <c r="R541" s="224">
        <v>64.3</v>
      </c>
      <c r="S541" s="224">
        <v>3.01</v>
      </c>
      <c r="T541" s="225">
        <v>30.2</v>
      </c>
      <c r="U541" s="226">
        <v>57.0</v>
      </c>
      <c r="V541" s="227" t="s">
        <v>166</v>
      </c>
      <c r="W541" s="228" t="s">
        <v>174</v>
      </c>
      <c r="X541" s="222" t="s">
        <v>166</v>
      </c>
      <c r="Y541" s="223" t="s">
        <v>166</v>
      </c>
      <c r="Z541" s="221" t="s">
        <v>166</v>
      </c>
      <c r="AA541" s="222" t="s">
        <v>174</v>
      </c>
      <c r="AB541" s="222" t="s">
        <v>166</v>
      </c>
      <c r="AC541" s="222" t="s">
        <v>174</v>
      </c>
      <c r="AD541" s="222" t="s">
        <v>166</v>
      </c>
      <c r="AE541" s="222" t="s">
        <v>174</v>
      </c>
      <c r="AF541" s="222" t="s">
        <v>174</v>
      </c>
      <c r="AG541" s="222" t="s">
        <v>170</v>
      </c>
      <c r="AH541" s="222"/>
    </row>
    <row r="542">
      <c r="A542" s="272" t="s">
        <v>1085</v>
      </c>
      <c r="B542" s="257" t="s">
        <v>2562</v>
      </c>
      <c r="C542" s="221">
        <v>360.0</v>
      </c>
      <c r="D542" s="222">
        <v>397.0</v>
      </c>
      <c r="E542" s="222">
        <v>120.0</v>
      </c>
      <c r="F542" s="222">
        <v>27.0</v>
      </c>
      <c r="G542" s="223" t="s">
        <v>164</v>
      </c>
      <c r="H542" s="221">
        <v>76.0</v>
      </c>
      <c r="I542" s="222">
        <v>64.0</v>
      </c>
      <c r="J542" s="222">
        <v>51.4</v>
      </c>
      <c r="K542" s="222">
        <v>3100.0</v>
      </c>
      <c r="L542" s="222" t="s">
        <v>44</v>
      </c>
      <c r="M542" s="223">
        <v>400.0</v>
      </c>
      <c r="N542" s="221">
        <v>3.0</v>
      </c>
      <c r="O542" s="222" t="s">
        <v>2002</v>
      </c>
      <c r="P542" s="294">
        <v>30.0</v>
      </c>
      <c r="Q542" s="295">
        <v>2000.0</v>
      </c>
      <c r="R542" s="296">
        <v>64.3</v>
      </c>
      <c r="S542" s="297">
        <v>3.01</v>
      </c>
      <c r="T542" s="298">
        <v>30.2</v>
      </c>
      <c r="U542" s="299">
        <v>57.0</v>
      </c>
      <c r="V542" s="227" t="s">
        <v>166</v>
      </c>
      <c r="W542" s="228" t="s">
        <v>174</v>
      </c>
      <c r="X542" s="222" t="s">
        <v>166</v>
      </c>
      <c r="Y542" s="223" t="s">
        <v>166</v>
      </c>
      <c r="Z542" s="221" t="s">
        <v>166</v>
      </c>
      <c r="AA542" s="222" t="s">
        <v>174</v>
      </c>
      <c r="AB542" s="222" t="s">
        <v>166</v>
      </c>
      <c r="AC542" s="222" t="s">
        <v>174</v>
      </c>
      <c r="AD542" s="222" t="s">
        <v>166</v>
      </c>
      <c r="AE542" s="222" t="s">
        <v>174</v>
      </c>
      <c r="AF542" s="222" t="s">
        <v>174</v>
      </c>
      <c r="AG542" s="222" t="s">
        <v>170</v>
      </c>
      <c r="AH542" s="222"/>
    </row>
    <row r="543">
      <c r="A543" s="272" t="s">
        <v>1085</v>
      </c>
      <c r="B543" s="257" t="s">
        <v>2563</v>
      </c>
      <c r="C543" s="221">
        <v>360.0</v>
      </c>
      <c r="D543" s="222">
        <v>394.0</v>
      </c>
      <c r="E543" s="222">
        <v>120.0</v>
      </c>
      <c r="F543" s="222">
        <v>27.0</v>
      </c>
      <c r="G543" s="223" t="s">
        <v>164</v>
      </c>
      <c r="H543" s="221">
        <v>93.0</v>
      </c>
      <c r="I543" s="222">
        <v>92.0</v>
      </c>
      <c r="J543" s="222">
        <v>41.0</v>
      </c>
      <c r="K543" s="222" t="s">
        <v>170</v>
      </c>
      <c r="L543" s="222" t="s">
        <v>44</v>
      </c>
      <c r="M543" s="223">
        <v>400.0</v>
      </c>
      <c r="N543" s="221">
        <v>3.0</v>
      </c>
      <c r="O543" s="222" t="s">
        <v>2002</v>
      </c>
      <c r="P543" s="222">
        <v>25.0</v>
      </c>
      <c r="Q543" s="222">
        <v>2200.0</v>
      </c>
      <c r="R543" s="224">
        <v>60.51</v>
      </c>
      <c r="S543" s="224">
        <v>3.41</v>
      </c>
      <c r="T543" s="225">
        <v>34.2</v>
      </c>
      <c r="U543" s="226">
        <v>52.0</v>
      </c>
      <c r="V543" s="227" t="s">
        <v>166</v>
      </c>
      <c r="W543" s="228" t="s">
        <v>174</v>
      </c>
      <c r="X543" s="222" t="s">
        <v>166</v>
      </c>
      <c r="Y543" s="223" t="s">
        <v>166</v>
      </c>
      <c r="Z543" s="221" t="s">
        <v>166</v>
      </c>
      <c r="AA543" s="222" t="s">
        <v>174</v>
      </c>
      <c r="AB543" s="222" t="s">
        <v>166</v>
      </c>
      <c r="AC543" s="222" t="s">
        <v>174</v>
      </c>
      <c r="AD543" s="222" t="s">
        <v>174</v>
      </c>
      <c r="AE543" s="222" t="s">
        <v>174</v>
      </c>
      <c r="AF543" s="222" t="s">
        <v>174</v>
      </c>
      <c r="AG543" s="229" t="s">
        <v>2003</v>
      </c>
      <c r="AH543" s="229"/>
    </row>
    <row r="544">
      <c r="A544" s="272" t="s">
        <v>1085</v>
      </c>
      <c r="B544" s="257" t="s">
        <v>2564</v>
      </c>
      <c r="C544" s="221">
        <v>360.0</v>
      </c>
      <c r="D544" s="222">
        <v>394.0</v>
      </c>
      <c r="E544" s="222">
        <v>120.0</v>
      </c>
      <c r="F544" s="222">
        <v>27.0</v>
      </c>
      <c r="G544" s="223" t="s">
        <v>164</v>
      </c>
      <c r="H544" s="221">
        <v>93.0</v>
      </c>
      <c r="I544" s="222">
        <v>92.0</v>
      </c>
      <c r="J544" s="222">
        <v>41.0</v>
      </c>
      <c r="K544" s="222" t="s">
        <v>170</v>
      </c>
      <c r="L544" s="222" t="s">
        <v>44</v>
      </c>
      <c r="M544" s="223">
        <v>400.0</v>
      </c>
      <c r="N544" s="221">
        <v>3.0</v>
      </c>
      <c r="O544" s="222" t="s">
        <v>2002</v>
      </c>
      <c r="P544" s="222">
        <v>25.0</v>
      </c>
      <c r="Q544" s="222">
        <v>2200.0</v>
      </c>
      <c r="R544" s="224">
        <v>60.51</v>
      </c>
      <c r="S544" s="224">
        <v>3.41</v>
      </c>
      <c r="T544" s="225">
        <v>34.2</v>
      </c>
      <c r="U544" s="226">
        <v>52.0</v>
      </c>
      <c r="V544" s="227" t="s">
        <v>166</v>
      </c>
      <c r="W544" s="228" t="s">
        <v>174</v>
      </c>
      <c r="X544" s="222" t="s">
        <v>166</v>
      </c>
      <c r="Y544" s="223" t="s">
        <v>166</v>
      </c>
      <c r="Z544" s="221" t="s">
        <v>166</v>
      </c>
      <c r="AA544" s="222" t="s">
        <v>174</v>
      </c>
      <c r="AB544" s="222" t="s">
        <v>166</v>
      </c>
      <c r="AC544" s="222" t="s">
        <v>174</v>
      </c>
      <c r="AD544" s="222" t="s">
        <v>174</v>
      </c>
      <c r="AE544" s="222" t="s">
        <v>174</v>
      </c>
      <c r="AF544" s="222" t="s">
        <v>174</v>
      </c>
      <c r="AG544" s="229" t="s">
        <v>2003</v>
      </c>
      <c r="AH544" s="229"/>
    </row>
    <row r="545">
      <c r="A545" s="272" t="s">
        <v>1085</v>
      </c>
      <c r="B545" s="257" t="s">
        <v>2565</v>
      </c>
      <c r="C545" s="221">
        <v>360.0</v>
      </c>
      <c r="D545" s="222">
        <v>400.0</v>
      </c>
      <c r="E545" s="222">
        <v>120.0</v>
      </c>
      <c r="F545" s="222">
        <v>30.0</v>
      </c>
      <c r="G545" s="223" t="s">
        <v>164</v>
      </c>
      <c r="H545" s="221">
        <v>94.0</v>
      </c>
      <c r="I545" s="222">
        <v>93.0</v>
      </c>
      <c r="J545" s="222">
        <v>52.0</v>
      </c>
      <c r="K545" s="222">
        <v>2600.0</v>
      </c>
      <c r="L545" s="222" t="s">
        <v>44</v>
      </c>
      <c r="M545" s="223">
        <v>400.0</v>
      </c>
      <c r="N545" s="221">
        <v>3.0</v>
      </c>
      <c r="O545" s="222" t="s">
        <v>2002</v>
      </c>
      <c r="P545" s="222">
        <v>30.0</v>
      </c>
      <c r="Q545" s="222">
        <v>3000.0</v>
      </c>
      <c r="R545" s="224">
        <v>101.0</v>
      </c>
      <c r="S545" s="224">
        <v>7.11</v>
      </c>
      <c r="T545" s="225">
        <v>39.7</v>
      </c>
      <c r="U545" s="226">
        <v>60.0</v>
      </c>
      <c r="V545" s="227" t="s">
        <v>166</v>
      </c>
      <c r="W545" s="228" t="s">
        <v>174</v>
      </c>
      <c r="X545" s="222" t="s">
        <v>166</v>
      </c>
      <c r="Y545" s="223" t="s">
        <v>166</v>
      </c>
      <c r="Z545" s="221" t="s">
        <v>166</v>
      </c>
      <c r="AA545" s="222" t="s">
        <v>174</v>
      </c>
      <c r="AB545" s="222" t="s">
        <v>166</v>
      </c>
      <c r="AC545" s="222" t="s">
        <v>174</v>
      </c>
      <c r="AD545" s="222" t="s">
        <v>166</v>
      </c>
      <c r="AE545" s="222" t="s">
        <v>174</v>
      </c>
      <c r="AF545" s="222" t="s">
        <v>166</v>
      </c>
      <c r="AG545" s="229" t="s">
        <v>2003</v>
      </c>
      <c r="AH545" s="229"/>
    </row>
    <row r="546">
      <c r="A546" s="272" t="s">
        <v>1085</v>
      </c>
      <c r="B546" s="257" t="s">
        <v>2566</v>
      </c>
      <c r="C546" s="221">
        <v>420.0</v>
      </c>
      <c r="D546" s="222">
        <v>456.0</v>
      </c>
      <c r="E546" s="222">
        <v>138.5</v>
      </c>
      <c r="F546" s="222">
        <v>27.0</v>
      </c>
      <c r="G546" s="223" t="s">
        <v>164</v>
      </c>
      <c r="H546" s="221">
        <v>76.0</v>
      </c>
      <c r="I546" s="222">
        <v>64.0</v>
      </c>
      <c r="J546" s="222">
        <v>51.4</v>
      </c>
      <c r="K546" s="222">
        <v>3100.0</v>
      </c>
      <c r="L546" s="222" t="s">
        <v>44</v>
      </c>
      <c r="M546" s="223">
        <v>400.0</v>
      </c>
      <c r="N546" s="221">
        <v>3.0</v>
      </c>
      <c r="O546" s="222" t="s">
        <v>2018</v>
      </c>
      <c r="P546" s="222">
        <v>30.0</v>
      </c>
      <c r="Q546" s="222">
        <v>1800.0</v>
      </c>
      <c r="R546" s="224">
        <v>71.93</v>
      </c>
      <c r="S546" s="224">
        <v>3.32</v>
      </c>
      <c r="T546" s="225">
        <v>29.5</v>
      </c>
      <c r="U546" s="226">
        <v>57.0</v>
      </c>
      <c r="V546" s="227" t="s">
        <v>166</v>
      </c>
      <c r="W546" s="228" t="s">
        <v>174</v>
      </c>
      <c r="X546" s="222" t="s">
        <v>166</v>
      </c>
      <c r="Y546" s="223" t="s">
        <v>166</v>
      </c>
      <c r="Z546" s="221" t="s">
        <v>166</v>
      </c>
      <c r="AA546" s="222" t="s">
        <v>174</v>
      </c>
      <c r="AB546" s="222" t="s">
        <v>166</v>
      </c>
      <c r="AC546" s="222" t="s">
        <v>174</v>
      </c>
      <c r="AD546" s="222" t="s">
        <v>166</v>
      </c>
      <c r="AE546" s="222" t="s">
        <v>174</v>
      </c>
      <c r="AF546" s="222" t="s">
        <v>174</v>
      </c>
      <c r="AG546" s="222" t="s">
        <v>170</v>
      </c>
      <c r="AH546" s="222"/>
    </row>
    <row r="547">
      <c r="A547" s="273" t="s">
        <v>1085</v>
      </c>
      <c r="B547" s="271" t="s">
        <v>2567</v>
      </c>
      <c r="C547" s="232">
        <v>420.0</v>
      </c>
      <c r="D547" s="233">
        <v>456.0</v>
      </c>
      <c r="E547" s="233">
        <v>138.5</v>
      </c>
      <c r="F547" s="233">
        <v>27.0</v>
      </c>
      <c r="G547" s="234" t="s">
        <v>164</v>
      </c>
      <c r="H547" s="232">
        <v>76.0</v>
      </c>
      <c r="I547" s="233">
        <v>64.0</v>
      </c>
      <c r="J547" s="233">
        <v>51.4</v>
      </c>
      <c r="K547" s="233">
        <v>3100.0</v>
      </c>
      <c r="L547" s="233" t="s">
        <v>44</v>
      </c>
      <c r="M547" s="234">
        <v>400.0</v>
      </c>
      <c r="N547" s="232">
        <v>3.0</v>
      </c>
      <c r="O547" s="233" t="s">
        <v>2018</v>
      </c>
      <c r="P547" s="233">
        <v>30.0</v>
      </c>
      <c r="Q547" s="233">
        <v>1800.0</v>
      </c>
      <c r="R547" s="235">
        <v>71.93</v>
      </c>
      <c r="S547" s="235">
        <v>3.32</v>
      </c>
      <c r="T547" s="236">
        <v>29.5</v>
      </c>
      <c r="U547" s="237">
        <v>57.0</v>
      </c>
      <c r="V547" s="238" t="s">
        <v>166</v>
      </c>
      <c r="W547" s="239" t="s">
        <v>174</v>
      </c>
      <c r="X547" s="233" t="s">
        <v>166</v>
      </c>
      <c r="Y547" s="234" t="s">
        <v>166</v>
      </c>
      <c r="Z547" s="232" t="s">
        <v>166</v>
      </c>
      <c r="AA547" s="233" t="s">
        <v>174</v>
      </c>
      <c r="AB547" s="233" t="s">
        <v>166</v>
      </c>
      <c r="AC547" s="233" t="s">
        <v>174</v>
      </c>
      <c r="AD547" s="233" t="s">
        <v>166</v>
      </c>
      <c r="AE547" s="233" t="s">
        <v>174</v>
      </c>
      <c r="AF547" s="233" t="s">
        <v>174</v>
      </c>
      <c r="AG547" s="233" t="s">
        <v>170</v>
      </c>
      <c r="AH547" s="233"/>
    </row>
    <row r="548">
      <c r="A548" s="272" t="s">
        <v>1661</v>
      </c>
      <c r="B548" s="257" t="s">
        <v>2568</v>
      </c>
      <c r="C548" s="221">
        <v>240.0</v>
      </c>
      <c r="D548" s="222">
        <v>287.0</v>
      </c>
      <c r="E548" s="222">
        <v>120.0</v>
      </c>
      <c r="F548" s="222">
        <v>29.0</v>
      </c>
      <c r="G548" s="223" t="s">
        <v>164</v>
      </c>
      <c r="H548" s="221">
        <v>68.0</v>
      </c>
      <c r="I548" s="222">
        <v>65.0</v>
      </c>
      <c r="J548" s="222">
        <v>40.0</v>
      </c>
      <c r="K548" s="222">
        <v>4500.0</v>
      </c>
      <c r="L548" s="222" t="s">
        <v>2010</v>
      </c>
      <c r="M548" s="223">
        <v>375.0</v>
      </c>
      <c r="N548" s="221">
        <v>2.0</v>
      </c>
      <c r="O548" s="222" t="s">
        <v>2002</v>
      </c>
      <c r="P548" s="222">
        <v>25.0</v>
      </c>
      <c r="Q548" s="222">
        <v>1800.0</v>
      </c>
      <c r="R548" s="224">
        <v>75.0</v>
      </c>
      <c r="S548" s="224">
        <v>2.3</v>
      </c>
      <c r="T548" s="225">
        <v>28.0</v>
      </c>
      <c r="U548" s="226">
        <v>54.0</v>
      </c>
      <c r="V548" s="221" t="s">
        <v>166</v>
      </c>
      <c r="W548" s="241" t="s">
        <v>174</v>
      </c>
      <c r="X548" s="222" t="s">
        <v>166</v>
      </c>
      <c r="Y548" s="223" t="s">
        <v>174</v>
      </c>
      <c r="Z548" s="221" t="s">
        <v>174</v>
      </c>
      <c r="AA548" s="222" t="s">
        <v>174</v>
      </c>
      <c r="AB548" s="222" t="s">
        <v>174</v>
      </c>
      <c r="AC548" s="222" t="s">
        <v>174</v>
      </c>
      <c r="AD548" s="222" t="s">
        <v>174</v>
      </c>
      <c r="AE548" s="222" t="s">
        <v>174</v>
      </c>
      <c r="AF548" s="222" t="s">
        <v>174</v>
      </c>
      <c r="AG548" s="222" t="s">
        <v>170</v>
      </c>
      <c r="AH548" s="222"/>
    </row>
    <row r="549">
      <c r="A549" s="272" t="s">
        <v>1661</v>
      </c>
      <c r="B549" s="257" t="s">
        <v>2569</v>
      </c>
      <c r="C549" s="221">
        <v>360.0</v>
      </c>
      <c r="D549" s="222">
        <v>410.0</v>
      </c>
      <c r="E549" s="222">
        <v>120.0</v>
      </c>
      <c r="F549" s="222">
        <v>29.0</v>
      </c>
      <c r="G549" s="223" t="s">
        <v>164</v>
      </c>
      <c r="H549" s="221">
        <v>68.0</v>
      </c>
      <c r="I549" s="222">
        <v>65.0</v>
      </c>
      <c r="J549" s="222">
        <v>40.0</v>
      </c>
      <c r="K549" s="222">
        <v>4500.0</v>
      </c>
      <c r="L549" s="222" t="s">
        <v>2010</v>
      </c>
      <c r="M549" s="223">
        <v>480.0</v>
      </c>
      <c r="N549" s="221">
        <v>3.0</v>
      </c>
      <c r="O549" s="222" t="s">
        <v>2002</v>
      </c>
      <c r="P549" s="222">
        <v>25.0</v>
      </c>
      <c r="Q549" s="222">
        <v>1800.0</v>
      </c>
      <c r="R549" s="224">
        <v>75.0</v>
      </c>
      <c r="S549" s="224">
        <v>2.3</v>
      </c>
      <c r="T549" s="225">
        <v>28.0</v>
      </c>
      <c r="U549" s="226">
        <v>54.0</v>
      </c>
      <c r="V549" s="221" t="s">
        <v>166</v>
      </c>
      <c r="W549" s="241" t="s">
        <v>174</v>
      </c>
      <c r="X549" s="222" t="s">
        <v>166</v>
      </c>
      <c r="Y549" s="223" t="s">
        <v>174</v>
      </c>
      <c r="Z549" s="221" t="s">
        <v>174</v>
      </c>
      <c r="AA549" s="222" t="s">
        <v>174</v>
      </c>
      <c r="AB549" s="222" t="s">
        <v>174</v>
      </c>
      <c r="AC549" s="222" t="s">
        <v>174</v>
      </c>
      <c r="AD549" s="222" t="s">
        <v>174</v>
      </c>
      <c r="AE549" s="222" t="s">
        <v>174</v>
      </c>
      <c r="AF549" s="222" t="s">
        <v>174</v>
      </c>
      <c r="AG549" s="222" t="s">
        <v>170</v>
      </c>
      <c r="AH549" s="222"/>
    </row>
    <row r="550">
      <c r="A550" s="272" t="s">
        <v>1661</v>
      </c>
      <c r="B550" s="257" t="s">
        <v>2570</v>
      </c>
      <c r="C550" s="221">
        <v>120.0</v>
      </c>
      <c r="D550" s="222">
        <v>152.0</v>
      </c>
      <c r="E550" s="222">
        <v>120.0</v>
      </c>
      <c r="F550" s="222">
        <v>27.0</v>
      </c>
      <c r="G550" s="223" t="s">
        <v>164</v>
      </c>
      <c r="H550" s="221" t="s">
        <v>170</v>
      </c>
      <c r="I550" s="222" t="s">
        <v>170</v>
      </c>
      <c r="J550" s="222" t="s">
        <v>170</v>
      </c>
      <c r="K550" s="222">
        <v>5000.0</v>
      </c>
      <c r="L550" s="222" t="s">
        <v>2126</v>
      </c>
      <c r="M550" s="223" t="s">
        <v>170</v>
      </c>
      <c r="N550" s="221">
        <v>1.0</v>
      </c>
      <c r="O550" s="222" t="s">
        <v>2002</v>
      </c>
      <c r="P550" s="222">
        <v>25.0</v>
      </c>
      <c r="Q550" s="222">
        <v>1800.0</v>
      </c>
      <c r="R550" s="224">
        <v>42.17</v>
      </c>
      <c r="S550" s="224">
        <v>1.7</v>
      </c>
      <c r="T550" s="225">
        <v>23.0</v>
      </c>
      <c r="U550" s="226">
        <v>52.0</v>
      </c>
      <c r="V550" s="227" t="s">
        <v>174</v>
      </c>
      <c r="W550" s="228" t="s">
        <v>166</v>
      </c>
      <c r="X550" s="222" t="s">
        <v>166</v>
      </c>
      <c r="Y550" s="223" t="s">
        <v>166</v>
      </c>
      <c r="Z550" s="221" t="s">
        <v>174</v>
      </c>
      <c r="AA550" s="222" t="s">
        <v>174</v>
      </c>
      <c r="AB550" s="222" t="s">
        <v>174</v>
      </c>
      <c r="AC550" s="222" t="s">
        <v>174</v>
      </c>
      <c r="AD550" s="222" t="s">
        <v>174</v>
      </c>
      <c r="AE550" s="222" t="s">
        <v>174</v>
      </c>
      <c r="AF550" s="222" t="s">
        <v>174</v>
      </c>
      <c r="AG550" s="222" t="s">
        <v>2127</v>
      </c>
      <c r="AH550" s="222"/>
    </row>
    <row r="551">
      <c r="A551" s="272" t="s">
        <v>1661</v>
      </c>
      <c r="B551" s="257" t="s">
        <v>2571</v>
      </c>
      <c r="C551" s="221">
        <v>120.0</v>
      </c>
      <c r="D551" s="222">
        <v>152.0</v>
      </c>
      <c r="E551" s="222">
        <v>120.0</v>
      </c>
      <c r="F551" s="222">
        <v>27.0</v>
      </c>
      <c r="G551" s="223" t="s">
        <v>164</v>
      </c>
      <c r="H551" s="221" t="s">
        <v>170</v>
      </c>
      <c r="I551" s="222" t="s">
        <v>170</v>
      </c>
      <c r="J551" s="222" t="s">
        <v>170</v>
      </c>
      <c r="K551" s="222">
        <v>4500.0</v>
      </c>
      <c r="L551" s="222" t="s">
        <v>2126</v>
      </c>
      <c r="M551" s="223" t="s">
        <v>170</v>
      </c>
      <c r="N551" s="221">
        <v>1.0</v>
      </c>
      <c r="O551" s="222" t="s">
        <v>2002</v>
      </c>
      <c r="P551" s="222">
        <v>25.0</v>
      </c>
      <c r="Q551" s="222">
        <v>1800.0</v>
      </c>
      <c r="R551" s="224">
        <v>35.8</v>
      </c>
      <c r="S551" s="224">
        <v>1.16</v>
      </c>
      <c r="T551" s="225">
        <v>28.0</v>
      </c>
      <c r="U551" s="226">
        <v>52.0</v>
      </c>
      <c r="V551" s="227" t="s">
        <v>174</v>
      </c>
      <c r="W551" s="228" t="s">
        <v>166</v>
      </c>
      <c r="X551" s="222" t="s">
        <v>166</v>
      </c>
      <c r="Y551" s="223" t="s">
        <v>166</v>
      </c>
      <c r="Z551" s="221" t="s">
        <v>174</v>
      </c>
      <c r="AA551" s="222" t="s">
        <v>174</v>
      </c>
      <c r="AB551" s="222" t="s">
        <v>174</v>
      </c>
      <c r="AC551" s="222" t="s">
        <v>174</v>
      </c>
      <c r="AD551" s="222" t="s">
        <v>174</v>
      </c>
      <c r="AE551" s="222" t="s">
        <v>174</v>
      </c>
      <c r="AF551" s="222" t="s">
        <v>174</v>
      </c>
      <c r="AG551" s="222" t="s">
        <v>2127</v>
      </c>
      <c r="AH551" s="222"/>
    </row>
    <row r="552">
      <c r="A552" s="272" t="s">
        <v>1661</v>
      </c>
      <c r="B552" s="257" t="s">
        <v>2572</v>
      </c>
      <c r="C552" s="221">
        <v>140.0</v>
      </c>
      <c r="D552" s="222">
        <v>170.0</v>
      </c>
      <c r="E552" s="222">
        <v>138.0</v>
      </c>
      <c r="F552" s="222">
        <v>28.0</v>
      </c>
      <c r="G552" s="223" t="s">
        <v>164</v>
      </c>
      <c r="H552" s="249" t="s">
        <v>170</v>
      </c>
      <c r="I552" s="250" t="s">
        <v>170</v>
      </c>
      <c r="J552" s="250" t="s">
        <v>170</v>
      </c>
      <c r="K552" s="222">
        <v>4500.0</v>
      </c>
      <c r="L552" s="222" t="s">
        <v>2126</v>
      </c>
      <c r="M552" s="223" t="s">
        <v>170</v>
      </c>
      <c r="N552" s="221">
        <v>1.0</v>
      </c>
      <c r="O552" s="222" t="s">
        <v>2018</v>
      </c>
      <c r="P552" s="222">
        <v>25.0</v>
      </c>
      <c r="Q552" s="222">
        <v>1500.0</v>
      </c>
      <c r="R552" s="224">
        <v>65.19</v>
      </c>
      <c r="S552" s="224">
        <v>1.22</v>
      </c>
      <c r="T552" s="225">
        <v>30.0</v>
      </c>
      <c r="U552" s="226">
        <v>53.0</v>
      </c>
      <c r="V552" s="227" t="s">
        <v>174</v>
      </c>
      <c r="W552" s="228" t="s">
        <v>166</v>
      </c>
      <c r="X552" s="222" t="s">
        <v>166</v>
      </c>
      <c r="Y552" s="223" t="s">
        <v>166</v>
      </c>
      <c r="Z552" s="221" t="s">
        <v>174</v>
      </c>
      <c r="AA552" s="222" t="s">
        <v>174</v>
      </c>
      <c r="AB552" s="222" t="s">
        <v>174</v>
      </c>
      <c r="AC552" s="222" t="s">
        <v>174</v>
      </c>
      <c r="AD552" s="222" t="s">
        <v>174</v>
      </c>
      <c r="AE552" s="222" t="s">
        <v>174</v>
      </c>
      <c r="AF552" s="222" t="s">
        <v>174</v>
      </c>
      <c r="AG552" s="222" t="s">
        <v>2127</v>
      </c>
      <c r="AH552" s="222"/>
    </row>
    <row r="553">
      <c r="A553" s="272" t="s">
        <v>1661</v>
      </c>
      <c r="B553" s="257" t="s">
        <v>2573</v>
      </c>
      <c r="C553" s="221">
        <v>240.0</v>
      </c>
      <c r="D553" s="222">
        <v>272.0</v>
      </c>
      <c r="E553" s="222">
        <v>120.0</v>
      </c>
      <c r="F553" s="222">
        <v>27.0</v>
      </c>
      <c r="G553" s="223" t="s">
        <v>164</v>
      </c>
      <c r="H553" s="249" t="s">
        <v>170</v>
      </c>
      <c r="I553" s="250" t="s">
        <v>170</v>
      </c>
      <c r="J553" s="250" t="s">
        <v>170</v>
      </c>
      <c r="K553" s="222">
        <v>5000.0</v>
      </c>
      <c r="L553" s="222" t="s">
        <v>2126</v>
      </c>
      <c r="M553" s="223" t="s">
        <v>170</v>
      </c>
      <c r="N553" s="221">
        <v>2.0</v>
      </c>
      <c r="O553" s="222" t="s">
        <v>2002</v>
      </c>
      <c r="P553" s="222">
        <v>25.0</v>
      </c>
      <c r="Q553" s="222">
        <v>1800.0</v>
      </c>
      <c r="R553" s="224">
        <v>42.17</v>
      </c>
      <c r="S553" s="224">
        <v>1.7</v>
      </c>
      <c r="T553" s="225">
        <v>23.0</v>
      </c>
      <c r="U553" s="226">
        <v>52.0</v>
      </c>
      <c r="V553" s="227" t="s">
        <v>174</v>
      </c>
      <c r="W553" s="228" t="s">
        <v>166</v>
      </c>
      <c r="X553" s="222" t="s">
        <v>166</v>
      </c>
      <c r="Y553" s="223" t="s">
        <v>166</v>
      </c>
      <c r="Z553" s="221" t="s">
        <v>174</v>
      </c>
      <c r="AA553" s="222" t="s">
        <v>174</v>
      </c>
      <c r="AB553" s="222" t="s">
        <v>174</v>
      </c>
      <c r="AC553" s="222" t="s">
        <v>174</v>
      </c>
      <c r="AD553" s="222" t="s">
        <v>174</v>
      </c>
      <c r="AE553" s="222" t="s">
        <v>174</v>
      </c>
      <c r="AF553" s="222" t="s">
        <v>174</v>
      </c>
      <c r="AG553" s="222" t="s">
        <v>2127</v>
      </c>
      <c r="AH553" s="222"/>
    </row>
    <row r="554">
      <c r="A554" s="272" t="s">
        <v>1661</v>
      </c>
      <c r="B554" s="257" t="s">
        <v>2574</v>
      </c>
      <c r="C554" s="221">
        <v>240.0</v>
      </c>
      <c r="D554" s="222">
        <v>272.0</v>
      </c>
      <c r="E554" s="222">
        <v>120.0</v>
      </c>
      <c r="F554" s="222">
        <v>27.0</v>
      </c>
      <c r="G554" s="223" t="s">
        <v>164</v>
      </c>
      <c r="H554" s="249" t="s">
        <v>170</v>
      </c>
      <c r="I554" s="250" t="s">
        <v>170</v>
      </c>
      <c r="J554" s="250" t="s">
        <v>170</v>
      </c>
      <c r="K554" s="222">
        <v>4500.0</v>
      </c>
      <c r="L554" s="222" t="s">
        <v>2126</v>
      </c>
      <c r="M554" s="223" t="s">
        <v>170</v>
      </c>
      <c r="N554" s="221">
        <v>2.0</v>
      </c>
      <c r="O554" s="222" t="s">
        <v>2002</v>
      </c>
      <c r="P554" s="222">
        <v>25.0</v>
      </c>
      <c r="Q554" s="222">
        <v>1800.0</v>
      </c>
      <c r="R554" s="224">
        <v>35.8</v>
      </c>
      <c r="S554" s="224">
        <v>1.16</v>
      </c>
      <c r="T554" s="225">
        <v>28.0</v>
      </c>
      <c r="U554" s="226">
        <v>52.0</v>
      </c>
      <c r="V554" s="227" t="s">
        <v>174</v>
      </c>
      <c r="W554" s="228" t="s">
        <v>166</v>
      </c>
      <c r="X554" s="222" t="s">
        <v>166</v>
      </c>
      <c r="Y554" s="223" t="s">
        <v>166</v>
      </c>
      <c r="Z554" s="221" t="s">
        <v>174</v>
      </c>
      <c r="AA554" s="222" t="s">
        <v>174</v>
      </c>
      <c r="AB554" s="222" t="s">
        <v>174</v>
      </c>
      <c r="AC554" s="222" t="s">
        <v>174</v>
      </c>
      <c r="AD554" s="222" t="s">
        <v>174</v>
      </c>
      <c r="AE554" s="222" t="s">
        <v>174</v>
      </c>
      <c r="AF554" s="222" t="s">
        <v>174</v>
      </c>
      <c r="AG554" s="222" t="s">
        <v>2127</v>
      </c>
      <c r="AH554" s="222"/>
    </row>
    <row r="555">
      <c r="A555" s="272" t="s">
        <v>1661</v>
      </c>
      <c r="B555" s="257" t="s">
        <v>2575</v>
      </c>
      <c r="C555" s="221">
        <v>280.0</v>
      </c>
      <c r="D555" s="222">
        <v>311.0</v>
      </c>
      <c r="E555" s="222">
        <v>138.0</v>
      </c>
      <c r="F555" s="222">
        <v>28.0</v>
      </c>
      <c r="G555" s="223" t="s">
        <v>164</v>
      </c>
      <c r="H555" s="249" t="s">
        <v>170</v>
      </c>
      <c r="I555" s="250" t="s">
        <v>170</v>
      </c>
      <c r="J555" s="250" t="s">
        <v>170</v>
      </c>
      <c r="K555" s="222">
        <v>4500.0</v>
      </c>
      <c r="L555" s="222" t="s">
        <v>2126</v>
      </c>
      <c r="M555" s="223" t="s">
        <v>170</v>
      </c>
      <c r="N555" s="221">
        <v>2.0</v>
      </c>
      <c r="O555" s="222" t="s">
        <v>2018</v>
      </c>
      <c r="P555" s="222">
        <v>25.0</v>
      </c>
      <c r="Q555" s="222">
        <v>1500.0</v>
      </c>
      <c r="R555" s="224">
        <v>65.19</v>
      </c>
      <c r="S555" s="224">
        <v>1.22</v>
      </c>
      <c r="T555" s="225">
        <v>30.0</v>
      </c>
      <c r="U555" s="226">
        <v>53.0</v>
      </c>
      <c r="V555" s="227" t="s">
        <v>174</v>
      </c>
      <c r="W555" s="228" t="s">
        <v>166</v>
      </c>
      <c r="X555" s="222" t="s">
        <v>166</v>
      </c>
      <c r="Y555" s="223" t="s">
        <v>166</v>
      </c>
      <c r="Z555" s="221" t="s">
        <v>174</v>
      </c>
      <c r="AA555" s="222" t="s">
        <v>174</v>
      </c>
      <c r="AB555" s="222" t="s">
        <v>174</v>
      </c>
      <c r="AC555" s="222" t="s">
        <v>174</v>
      </c>
      <c r="AD555" s="222" t="s">
        <v>174</v>
      </c>
      <c r="AE555" s="222" t="s">
        <v>174</v>
      </c>
      <c r="AF555" s="222" t="s">
        <v>174</v>
      </c>
      <c r="AG555" s="222" t="s">
        <v>2127</v>
      </c>
      <c r="AH555" s="222"/>
    </row>
    <row r="556">
      <c r="A556" s="272" t="s">
        <v>1661</v>
      </c>
      <c r="B556" s="257" t="s">
        <v>2576</v>
      </c>
      <c r="C556" s="221">
        <v>360.0</v>
      </c>
      <c r="D556" s="222">
        <v>395.0</v>
      </c>
      <c r="E556" s="222">
        <v>120.0</v>
      </c>
      <c r="F556" s="222">
        <v>28.0</v>
      </c>
      <c r="G556" s="223" t="s">
        <v>164</v>
      </c>
      <c r="H556" s="249" t="s">
        <v>170</v>
      </c>
      <c r="I556" s="250" t="s">
        <v>170</v>
      </c>
      <c r="J556" s="250" t="s">
        <v>170</v>
      </c>
      <c r="K556" s="222">
        <v>5000.0</v>
      </c>
      <c r="L556" s="222" t="s">
        <v>2126</v>
      </c>
      <c r="M556" s="223" t="s">
        <v>170</v>
      </c>
      <c r="N556" s="221">
        <v>3.0</v>
      </c>
      <c r="O556" s="222" t="s">
        <v>2002</v>
      </c>
      <c r="P556" s="222">
        <v>25.0</v>
      </c>
      <c r="Q556" s="222">
        <v>1800.0</v>
      </c>
      <c r="R556" s="224">
        <v>42.17</v>
      </c>
      <c r="S556" s="224">
        <v>1.7</v>
      </c>
      <c r="T556" s="225">
        <v>23.0</v>
      </c>
      <c r="U556" s="226">
        <v>53.0</v>
      </c>
      <c r="V556" s="227" t="s">
        <v>174</v>
      </c>
      <c r="W556" s="228" t="s">
        <v>166</v>
      </c>
      <c r="X556" s="222" t="s">
        <v>166</v>
      </c>
      <c r="Y556" s="223" t="s">
        <v>166</v>
      </c>
      <c r="Z556" s="221" t="s">
        <v>174</v>
      </c>
      <c r="AA556" s="222" t="s">
        <v>174</v>
      </c>
      <c r="AB556" s="222" t="s">
        <v>174</v>
      </c>
      <c r="AC556" s="222" t="s">
        <v>174</v>
      </c>
      <c r="AD556" s="222" t="s">
        <v>174</v>
      </c>
      <c r="AE556" s="222" t="s">
        <v>174</v>
      </c>
      <c r="AF556" s="222" t="s">
        <v>174</v>
      </c>
      <c r="AG556" s="222" t="s">
        <v>2127</v>
      </c>
      <c r="AH556" s="222"/>
    </row>
    <row r="557">
      <c r="A557" s="273" t="s">
        <v>1661</v>
      </c>
      <c r="B557" s="271" t="s">
        <v>2577</v>
      </c>
      <c r="C557" s="232">
        <v>360.0</v>
      </c>
      <c r="D557" s="233">
        <v>395.0</v>
      </c>
      <c r="E557" s="233">
        <v>120.0</v>
      </c>
      <c r="F557" s="233">
        <v>28.0</v>
      </c>
      <c r="G557" s="234" t="s">
        <v>164</v>
      </c>
      <c r="H557" s="300" t="s">
        <v>170</v>
      </c>
      <c r="I557" s="301" t="s">
        <v>170</v>
      </c>
      <c r="J557" s="301" t="s">
        <v>170</v>
      </c>
      <c r="K557" s="233">
        <v>4500.0</v>
      </c>
      <c r="L557" s="233" t="s">
        <v>2126</v>
      </c>
      <c r="M557" s="234" t="s">
        <v>170</v>
      </c>
      <c r="N557" s="232">
        <v>3.0</v>
      </c>
      <c r="O557" s="233" t="s">
        <v>2002</v>
      </c>
      <c r="P557" s="233">
        <v>25.0</v>
      </c>
      <c r="Q557" s="233">
        <v>1800.0</v>
      </c>
      <c r="R557" s="235">
        <v>35.8</v>
      </c>
      <c r="S557" s="235">
        <v>1.16</v>
      </c>
      <c r="T557" s="236">
        <v>28.0</v>
      </c>
      <c r="U557" s="237">
        <v>53.0</v>
      </c>
      <c r="V557" s="238" t="s">
        <v>174</v>
      </c>
      <c r="W557" s="239" t="s">
        <v>166</v>
      </c>
      <c r="X557" s="233" t="s">
        <v>166</v>
      </c>
      <c r="Y557" s="234" t="s">
        <v>166</v>
      </c>
      <c r="Z557" s="232" t="s">
        <v>174</v>
      </c>
      <c r="AA557" s="233" t="s">
        <v>174</v>
      </c>
      <c r="AB557" s="233" t="s">
        <v>174</v>
      </c>
      <c r="AC557" s="233" t="s">
        <v>174</v>
      </c>
      <c r="AD557" s="233" t="s">
        <v>174</v>
      </c>
      <c r="AE557" s="233" t="s">
        <v>174</v>
      </c>
      <c r="AF557" s="233" t="s">
        <v>174</v>
      </c>
      <c r="AG557" s="233" t="s">
        <v>2127</v>
      </c>
      <c r="AH557" s="233"/>
    </row>
    <row r="558">
      <c r="A558" s="272" t="s">
        <v>1470</v>
      </c>
      <c r="B558" s="257" t="s">
        <v>2578</v>
      </c>
      <c r="C558" s="221">
        <v>240.0</v>
      </c>
      <c r="D558" s="222">
        <v>275.0</v>
      </c>
      <c r="E558" s="222">
        <v>123.0</v>
      </c>
      <c r="F558" s="222">
        <v>30.0</v>
      </c>
      <c r="G558" s="223" t="s">
        <v>164</v>
      </c>
      <c r="H558" s="221" t="s">
        <v>170</v>
      </c>
      <c r="I558" s="222" t="s">
        <v>170</v>
      </c>
      <c r="J558" s="222" t="s">
        <v>170</v>
      </c>
      <c r="K558" s="222">
        <v>2800.0</v>
      </c>
      <c r="L558" s="222" t="s">
        <v>44</v>
      </c>
      <c r="M558" s="223">
        <v>400.0</v>
      </c>
      <c r="N558" s="221">
        <v>2.0</v>
      </c>
      <c r="O558" s="222" t="s">
        <v>2002</v>
      </c>
      <c r="P558" s="222">
        <v>25.0</v>
      </c>
      <c r="Q558" s="222">
        <v>2200.0</v>
      </c>
      <c r="R558" s="224">
        <v>65.5</v>
      </c>
      <c r="S558" s="224">
        <v>2.47</v>
      </c>
      <c r="T558" s="225">
        <v>35.0</v>
      </c>
      <c r="U558" s="302">
        <v>57.0</v>
      </c>
      <c r="V558" s="227" t="s">
        <v>166</v>
      </c>
      <c r="W558" s="228" t="s">
        <v>166</v>
      </c>
      <c r="X558" s="222" t="s">
        <v>174</v>
      </c>
      <c r="Y558" s="223" t="s">
        <v>174</v>
      </c>
      <c r="Z558" s="221" t="s">
        <v>166</v>
      </c>
      <c r="AA558" s="222" t="s">
        <v>174</v>
      </c>
      <c r="AB558" s="222" t="s">
        <v>166</v>
      </c>
      <c r="AC558" s="222" t="s">
        <v>174</v>
      </c>
      <c r="AD558" s="222" t="s">
        <v>174</v>
      </c>
      <c r="AE558" s="222" t="s">
        <v>170</v>
      </c>
      <c r="AF558" s="222" t="s">
        <v>174</v>
      </c>
      <c r="AG558" s="229" t="s">
        <v>2003</v>
      </c>
      <c r="AH558" s="229"/>
    </row>
    <row r="559">
      <c r="A559" s="273" t="s">
        <v>1470</v>
      </c>
      <c r="B559" s="271" t="s">
        <v>2579</v>
      </c>
      <c r="C559" s="232">
        <v>360.0</v>
      </c>
      <c r="D559" s="233">
        <v>394.0</v>
      </c>
      <c r="E559" s="233">
        <v>121.0</v>
      </c>
      <c r="F559" s="233">
        <v>27.0</v>
      </c>
      <c r="G559" s="234" t="s">
        <v>164</v>
      </c>
      <c r="H559" s="232" t="s">
        <v>170</v>
      </c>
      <c r="I559" s="233" t="s">
        <v>170</v>
      </c>
      <c r="J559" s="233" t="s">
        <v>170</v>
      </c>
      <c r="K559" s="233">
        <v>2800.0</v>
      </c>
      <c r="L559" s="233" t="s">
        <v>44</v>
      </c>
      <c r="M559" s="234">
        <v>400.0</v>
      </c>
      <c r="N559" s="232">
        <v>3.0</v>
      </c>
      <c r="O559" s="233" t="s">
        <v>2002</v>
      </c>
      <c r="P559" s="233">
        <v>25.0</v>
      </c>
      <c r="Q559" s="233">
        <v>2200.0</v>
      </c>
      <c r="R559" s="235">
        <v>65.5</v>
      </c>
      <c r="S559" s="235">
        <v>2.47</v>
      </c>
      <c r="T559" s="236">
        <v>35.0</v>
      </c>
      <c r="U559" s="303">
        <v>57.0</v>
      </c>
      <c r="V559" s="238" t="s">
        <v>166</v>
      </c>
      <c r="W559" s="239" t="s">
        <v>166</v>
      </c>
      <c r="X559" s="233" t="s">
        <v>174</v>
      </c>
      <c r="Y559" s="234" t="s">
        <v>174</v>
      </c>
      <c r="Z559" s="232" t="s">
        <v>166</v>
      </c>
      <c r="AA559" s="233" t="s">
        <v>174</v>
      </c>
      <c r="AB559" s="233" t="s">
        <v>166</v>
      </c>
      <c r="AC559" s="233" t="s">
        <v>174</v>
      </c>
      <c r="AD559" s="233" t="s">
        <v>174</v>
      </c>
      <c r="AE559" s="233" t="s">
        <v>170</v>
      </c>
      <c r="AF559" s="233" t="s">
        <v>174</v>
      </c>
      <c r="AG559" s="240" t="s">
        <v>2003</v>
      </c>
      <c r="AH559" s="240"/>
    </row>
    <row r="560">
      <c r="A560" s="272" t="s">
        <v>2580</v>
      </c>
      <c r="B560" s="278" t="s">
        <v>2581</v>
      </c>
      <c r="C560" s="221">
        <v>120.0</v>
      </c>
      <c r="D560" s="222">
        <v>153.0</v>
      </c>
      <c r="E560" s="222">
        <v>120.0</v>
      </c>
      <c r="F560" s="222">
        <v>32.0</v>
      </c>
      <c r="G560" s="223" t="s">
        <v>164</v>
      </c>
      <c r="H560" s="221" t="s">
        <v>170</v>
      </c>
      <c r="I560" s="222" t="s">
        <v>170</v>
      </c>
      <c r="J560" s="222" t="s">
        <v>170</v>
      </c>
      <c r="K560" s="222" t="s">
        <v>170</v>
      </c>
      <c r="L560" s="222" t="s">
        <v>2010</v>
      </c>
      <c r="M560" s="223">
        <v>320.0</v>
      </c>
      <c r="N560" s="221">
        <v>1.0</v>
      </c>
      <c r="O560" s="222" t="s">
        <v>2002</v>
      </c>
      <c r="P560" s="222">
        <v>25.0</v>
      </c>
      <c r="Q560" s="222">
        <v>1800.0</v>
      </c>
      <c r="R560" s="224">
        <v>53.4</v>
      </c>
      <c r="S560" s="224">
        <v>1.48</v>
      </c>
      <c r="T560" s="225">
        <v>34.1</v>
      </c>
      <c r="U560" s="302">
        <v>57.0</v>
      </c>
      <c r="V560" s="221" t="s">
        <v>166</v>
      </c>
      <c r="W560" s="241" t="s">
        <v>166</v>
      </c>
      <c r="X560" s="222" t="s">
        <v>166</v>
      </c>
      <c r="Y560" s="223" t="s">
        <v>166</v>
      </c>
      <c r="Z560" s="221" t="s">
        <v>174</v>
      </c>
      <c r="AA560" s="222" t="s">
        <v>174</v>
      </c>
      <c r="AB560" s="222" t="s">
        <v>174</v>
      </c>
      <c r="AC560" s="222" t="s">
        <v>174</v>
      </c>
      <c r="AD560" s="222" t="s">
        <v>174</v>
      </c>
      <c r="AE560" s="222" t="s">
        <v>170</v>
      </c>
      <c r="AF560" s="222" t="s">
        <v>174</v>
      </c>
      <c r="AG560" s="229" t="s">
        <v>2327</v>
      </c>
      <c r="AH560" s="229"/>
    </row>
    <row r="561">
      <c r="A561" s="272" t="s">
        <v>2580</v>
      </c>
      <c r="B561" s="278" t="s">
        <v>2582</v>
      </c>
      <c r="C561" s="221">
        <v>120.0</v>
      </c>
      <c r="D561" s="222">
        <v>153.0</v>
      </c>
      <c r="E561" s="222">
        <v>120.0</v>
      </c>
      <c r="F561" s="222">
        <v>32.0</v>
      </c>
      <c r="G561" s="223" t="s">
        <v>164</v>
      </c>
      <c r="H561" s="221">
        <v>58.0</v>
      </c>
      <c r="I561" s="222">
        <v>58.0</v>
      </c>
      <c r="J561" s="222">
        <v>42.26</v>
      </c>
      <c r="K561" s="222" t="s">
        <v>170</v>
      </c>
      <c r="L561" s="222" t="s">
        <v>2010</v>
      </c>
      <c r="M561" s="223">
        <v>400.0</v>
      </c>
      <c r="N561" s="221">
        <v>1.0</v>
      </c>
      <c r="O561" s="222" t="s">
        <v>2002</v>
      </c>
      <c r="P561" s="222">
        <v>25.0</v>
      </c>
      <c r="Q561" s="222">
        <v>1800.0</v>
      </c>
      <c r="R561" s="224">
        <v>41.2</v>
      </c>
      <c r="S561" s="224" t="s">
        <v>170</v>
      </c>
      <c r="T561" s="225">
        <v>27.8</v>
      </c>
      <c r="U561" s="302">
        <v>57.0</v>
      </c>
      <c r="V561" s="227" t="s">
        <v>166</v>
      </c>
      <c r="W561" s="228" t="s">
        <v>174</v>
      </c>
      <c r="X561" s="222" t="s">
        <v>166</v>
      </c>
      <c r="Y561" s="223" t="s">
        <v>174</v>
      </c>
      <c r="Z561" s="221" t="s">
        <v>174</v>
      </c>
      <c r="AA561" s="222" t="s">
        <v>174</v>
      </c>
      <c r="AB561" s="222" t="s">
        <v>174</v>
      </c>
      <c r="AC561" s="222" t="s">
        <v>174</v>
      </c>
      <c r="AD561" s="222" t="s">
        <v>174</v>
      </c>
      <c r="AE561" s="222" t="s">
        <v>170</v>
      </c>
      <c r="AF561" s="222" t="s">
        <v>174</v>
      </c>
      <c r="AG561" s="229" t="s">
        <v>2327</v>
      </c>
      <c r="AH561" s="229"/>
    </row>
    <row r="562">
      <c r="A562" s="272" t="s">
        <v>2580</v>
      </c>
      <c r="B562" s="278" t="s">
        <v>2583</v>
      </c>
      <c r="C562" s="221">
        <v>240.0</v>
      </c>
      <c r="D562" s="222">
        <v>274.0</v>
      </c>
      <c r="E562" s="222">
        <v>122.0</v>
      </c>
      <c r="F562" s="222">
        <v>32.0</v>
      </c>
      <c r="G562" s="223" t="s">
        <v>164</v>
      </c>
      <c r="H562" s="221" t="s">
        <v>170</v>
      </c>
      <c r="I562" s="222" t="s">
        <v>170</v>
      </c>
      <c r="J562" s="222" t="s">
        <v>170</v>
      </c>
      <c r="K562" s="222" t="s">
        <v>170</v>
      </c>
      <c r="L562" s="222" t="s">
        <v>2010</v>
      </c>
      <c r="M562" s="223">
        <v>320.0</v>
      </c>
      <c r="N562" s="221">
        <v>2.0</v>
      </c>
      <c r="O562" s="222" t="s">
        <v>2002</v>
      </c>
      <c r="P562" s="222">
        <v>25.0</v>
      </c>
      <c r="Q562" s="222">
        <v>1800.0</v>
      </c>
      <c r="R562" s="224">
        <v>53.4</v>
      </c>
      <c r="S562" s="224">
        <v>1.48</v>
      </c>
      <c r="T562" s="225">
        <v>34.1</v>
      </c>
      <c r="U562" s="302">
        <v>57.0</v>
      </c>
      <c r="V562" s="227" t="s">
        <v>166</v>
      </c>
      <c r="W562" s="228" t="s">
        <v>166</v>
      </c>
      <c r="X562" s="222" t="s">
        <v>166</v>
      </c>
      <c r="Y562" s="223" t="s">
        <v>166</v>
      </c>
      <c r="Z562" s="221" t="s">
        <v>174</v>
      </c>
      <c r="AA562" s="222" t="s">
        <v>174</v>
      </c>
      <c r="AB562" s="222" t="s">
        <v>174</v>
      </c>
      <c r="AC562" s="222" t="s">
        <v>174</v>
      </c>
      <c r="AD562" s="222" t="s">
        <v>174</v>
      </c>
      <c r="AE562" s="222" t="s">
        <v>170</v>
      </c>
      <c r="AF562" s="222" t="s">
        <v>174</v>
      </c>
      <c r="AG562" s="229" t="s">
        <v>2327</v>
      </c>
      <c r="AH562" s="229"/>
    </row>
    <row r="563">
      <c r="A563" s="272" t="s">
        <v>2580</v>
      </c>
      <c r="B563" s="278" t="s">
        <v>2584</v>
      </c>
      <c r="C563" s="221">
        <v>240.0</v>
      </c>
      <c r="D563" s="222">
        <v>274.0</v>
      </c>
      <c r="E563" s="222">
        <v>122.0</v>
      </c>
      <c r="F563" s="222">
        <v>32.0</v>
      </c>
      <c r="G563" s="223" t="s">
        <v>164</v>
      </c>
      <c r="H563" s="221">
        <v>58.0</v>
      </c>
      <c r="I563" s="222">
        <v>58.0</v>
      </c>
      <c r="J563" s="222">
        <v>42.26</v>
      </c>
      <c r="K563" s="222" t="s">
        <v>170</v>
      </c>
      <c r="L563" s="222" t="s">
        <v>2010</v>
      </c>
      <c r="M563" s="223">
        <v>400.0</v>
      </c>
      <c r="N563" s="221">
        <v>2.0</v>
      </c>
      <c r="O563" s="222" t="s">
        <v>2002</v>
      </c>
      <c r="P563" s="222">
        <v>25.0</v>
      </c>
      <c r="Q563" s="222">
        <v>1500.0</v>
      </c>
      <c r="R563" s="224">
        <v>35.2</v>
      </c>
      <c r="S563" s="224" t="s">
        <v>170</v>
      </c>
      <c r="T563" s="225">
        <v>26.8</v>
      </c>
      <c r="U563" s="226">
        <v>57.0</v>
      </c>
      <c r="V563" s="227" t="s">
        <v>166</v>
      </c>
      <c r="W563" s="228" t="s">
        <v>174</v>
      </c>
      <c r="X563" s="222" t="s">
        <v>166</v>
      </c>
      <c r="Y563" s="223" t="s">
        <v>174</v>
      </c>
      <c r="Z563" s="221" t="s">
        <v>174</v>
      </c>
      <c r="AA563" s="222" t="s">
        <v>174</v>
      </c>
      <c r="AB563" s="222" t="s">
        <v>174</v>
      </c>
      <c r="AC563" s="222" t="s">
        <v>174</v>
      </c>
      <c r="AD563" s="222" t="s">
        <v>174</v>
      </c>
      <c r="AE563" s="222" t="s">
        <v>170</v>
      </c>
      <c r="AF563" s="222" t="s">
        <v>174</v>
      </c>
      <c r="AG563" s="229" t="s">
        <v>2327</v>
      </c>
      <c r="AH563" s="229"/>
    </row>
    <row r="564">
      <c r="A564" s="273" t="s">
        <v>2580</v>
      </c>
      <c r="B564" s="304" t="s">
        <v>2585</v>
      </c>
      <c r="C564" s="232">
        <v>360.0</v>
      </c>
      <c r="D564" s="233">
        <v>394.0</v>
      </c>
      <c r="E564" s="233">
        <v>120.0</v>
      </c>
      <c r="F564" s="233">
        <v>32.0</v>
      </c>
      <c r="G564" s="234" t="s">
        <v>164</v>
      </c>
      <c r="H564" s="232">
        <v>58.0</v>
      </c>
      <c r="I564" s="233">
        <v>58.0</v>
      </c>
      <c r="J564" s="233">
        <v>42.26</v>
      </c>
      <c r="K564" s="233" t="s">
        <v>170</v>
      </c>
      <c r="L564" s="233" t="s">
        <v>2010</v>
      </c>
      <c r="M564" s="234" t="s">
        <v>170</v>
      </c>
      <c r="N564" s="232">
        <v>3.0</v>
      </c>
      <c r="O564" s="233" t="s">
        <v>2002</v>
      </c>
      <c r="P564" s="233">
        <v>25.0</v>
      </c>
      <c r="Q564" s="233">
        <v>1800.0</v>
      </c>
      <c r="R564" s="235">
        <v>41.2</v>
      </c>
      <c r="S564" s="235" t="s">
        <v>170</v>
      </c>
      <c r="T564" s="236">
        <v>27.8</v>
      </c>
      <c r="U564" s="237">
        <v>57.0</v>
      </c>
      <c r="V564" s="238" t="s">
        <v>166</v>
      </c>
      <c r="W564" s="239" t="s">
        <v>174</v>
      </c>
      <c r="X564" s="233" t="s">
        <v>166</v>
      </c>
      <c r="Y564" s="234" t="s">
        <v>174</v>
      </c>
      <c r="Z564" s="232" t="s">
        <v>174</v>
      </c>
      <c r="AA564" s="233" t="s">
        <v>174</v>
      </c>
      <c r="AB564" s="233" t="s">
        <v>174</v>
      </c>
      <c r="AC564" s="233" t="s">
        <v>174</v>
      </c>
      <c r="AD564" s="233" t="s">
        <v>174</v>
      </c>
      <c r="AE564" s="233" t="s">
        <v>170</v>
      </c>
      <c r="AF564" s="233" t="s">
        <v>174</v>
      </c>
      <c r="AG564" s="240" t="s">
        <v>2327</v>
      </c>
      <c r="AH564" s="240"/>
    </row>
    <row r="565">
      <c r="A565" s="272" t="s">
        <v>1432</v>
      </c>
      <c r="B565" s="257" t="s">
        <v>2586</v>
      </c>
      <c r="C565" s="221">
        <v>240.0</v>
      </c>
      <c r="D565" s="222">
        <v>273.0</v>
      </c>
      <c r="E565" s="222">
        <v>120.5</v>
      </c>
      <c r="F565" s="222">
        <v>27.0</v>
      </c>
      <c r="G565" s="223" t="s">
        <v>164</v>
      </c>
      <c r="H565" s="221">
        <v>91.17</v>
      </c>
      <c r="I565" s="222">
        <v>72.8</v>
      </c>
      <c r="J565" s="222">
        <v>59.17</v>
      </c>
      <c r="K565" s="222">
        <v>2800.0</v>
      </c>
      <c r="L565" s="222" t="s">
        <v>44</v>
      </c>
      <c r="M565" s="223">
        <v>400.0</v>
      </c>
      <c r="N565" s="221">
        <v>2.0</v>
      </c>
      <c r="O565" s="222" t="s">
        <v>2002</v>
      </c>
      <c r="P565" s="222">
        <v>25.48</v>
      </c>
      <c r="Q565" s="222">
        <v>2400.0</v>
      </c>
      <c r="R565" s="224" t="s">
        <v>170</v>
      </c>
      <c r="S565" s="224" t="s">
        <v>170</v>
      </c>
      <c r="T565" s="225">
        <v>36.2</v>
      </c>
      <c r="U565" s="226">
        <v>52.480000000000004</v>
      </c>
      <c r="V565" s="227" t="s">
        <v>166</v>
      </c>
      <c r="W565" s="228" t="s">
        <v>174</v>
      </c>
      <c r="X565" s="222" t="s">
        <v>166</v>
      </c>
      <c r="Y565" s="223" t="s">
        <v>174</v>
      </c>
      <c r="Z565" s="221" t="s">
        <v>166</v>
      </c>
      <c r="AA565" s="222" t="s">
        <v>174</v>
      </c>
      <c r="AB565" s="222" t="s">
        <v>166</v>
      </c>
      <c r="AC565" s="222" t="s">
        <v>174</v>
      </c>
      <c r="AD565" s="222" t="s">
        <v>166</v>
      </c>
      <c r="AE565" s="222" t="s">
        <v>174</v>
      </c>
      <c r="AF565" s="222" t="s">
        <v>174</v>
      </c>
      <c r="AG565" s="229" t="s">
        <v>2003</v>
      </c>
      <c r="AH565" s="229"/>
    </row>
    <row r="566">
      <c r="A566" s="273" t="s">
        <v>1432</v>
      </c>
      <c r="B566" s="271" t="s">
        <v>2587</v>
      </c>
      <c r="C566" s="232">
        <v>360.0</v>
      </c>
      <c r="D566" s="233">
        <v>394.0</v>
      </c>
      <c r="E566" s="233">
        <v>120.5</v>
      </c>
      <c r="F566" s="233">
        <v>27.0</v>
      </c>
      <c r="G566" s="234" t="s">
        <v>164</v>
      </c>
      <c r="H566" s="232">
        <v>91.17</v>
      </c>
      <c r="I566" s="233">
        <v>72.8</v>
      </c>
      <c r="J566" s="233">
        <v>59.17</v>
      </c>
      <c r="K566" s="233">
        <v>2800.0</v>
      </c>
      <c r="L566" s="233" t="s">
        <v>44</v>
      </c>
      <c r="M566" s="234">
        <v>400.0</v>
      </c>
      <c r="N566" s="232">
        <v>3.0</v>
      </c>
      <c r="O566" s="233" t="s">
        <v>2002</v>
      </c>
      <c r="P566" s="233">
        <v>25.48</v>
      </c>
      <c r="Q566" s="233">
        <v>2400.0</v>
      </c>
      <c r="R566" s="235" t="s">
        <v>170</v>
      </c>
      <c r="S566" s="235" t="s">
        <v>170</v>
      </c>
      <c r="T566" s="236">
        <v>36.2</v>
      </c>
      <c r="U566" s="237">
        <v>52.480000000000004</v>
      </c>
      <c r="V566" s="238" t="s">
        <v>166</v>
      </c>
      <c r="W566" s="239" t="s">
        <v>174</v>
      </c>
      <c r="X566" s="233" t="s">
        <v>166</v>
      </c>
      <c r="Y566" s="234" t="s">
        <v>174</v>
      </c>
      <c r="Z566" s="232" t="s">
        <v>166</v>
      </c>
      <c r="AA566" s="233" t="s">
        <v>174</v>
      </c>
      <c r="AB566" s="233" t="s">
        <v>166</v>
      </c>
      <c r="AC566" s="233" t="s">
        <v>174</v>
      </c>
      <c r="AD566" s="233" t="s">
        <v>166</v>
      </c>
      <c r="AE566" s="233" t="s">
        <v>174</v>
      </c>
      <c r="AF566" s="233" t="s">
        <v>174</v>
      </c>
      <c r="AG566" s="240" t="s">
        <v>2003</v>
      </c>
      <c r="AH566" s="240"/>
    </row>
    <row r="567">
      <c r="A567" s="272" t="s">
        <v>2588</v>
      </c>
      <c r="B567" s="257" t="s">
        <v>2589</v>
      </c>
      <c r="C567" s="221">
        <v>240.0</v>
      </c>
      <c r="D567" s="222">
        <v>272.0</v>
      </c>
      <c r="E567" s="222">
        <v>121.0</v>
      </c>
      <c r="F567" s="222">
        <v>27.5</v>
      </c>
      <c r="G567" s="223" t="s">
        <v>164</v>
      </c>
      <c r="H567" s="221">
        <v>71.5</v>
      </c>
      <c r="I567" s="222">
        <v>71.5</v>
      </c>
      <c r="J567" s="222">
        <v>43.5</v>
      </c>
      <c r="K567" s="222">
        <v>3200.0</v>
      </c>
      <c r="L567" s="222" t="s">
        <v>44</v>
      </c>
      <c r="M567" s="223">
        <v>400.0</v>
      </c>
      <c r="N567" s="221">
        <v>2.0</v>
      </c>
      <c r="O567" s="222" t="s">
        <v>2002</v>
      </c>
      <c r="P567" s="222">
        <v>25.0</v>
      </c>
      <c r="Q567" s="222">
        <v>2000.0</v>
      </c>
      <c r="R567" s="224">
        <v>77.65</v>
      </c>
      <c r="S567" s="224">
        <v>2.9</v>
      </c>
      <c r="T567" s="225">
        <v>35.0</v>
      </c>
      <c r="U567" s="226">
        <v>52.5</v>
      </c>
      <c r="V567" s="227" t="s">
        <v>166</v>
      </c>
      <c r="W567" s="228" t="s">
        <v>174</v>
      </c>
      <c r="X567" s="222" t="s">
        <v>166</v>
      </c>
      <c r="Y567" s="223" t="s">
        <v>166</v>
      </c>
      <c r="Z567" s="221" t="s">
        <v>174</v>
      </c>
      <c r="AA567" s="222" t="s">
        <v>174</v>
      </c>
      <c r="AB567" s="222" t="s">
        <v>166</v>
      </c>
      <c r="AC567" s="222" t="s">
        <v>174</v>
      </c>
      <c r="AD567" s="222" t="s">
        <v>174</v>
      </c>
      <c r="AE567" s="222" t="s">
        <v>174</v>
      </c>
      <c r="AF567" s="222" t="s">
        <v>174</v>
      </c>
      <c r="AG567" s="222" t="s">
        <v>170</v>
      </c>
      <c r="AH567" s="222"/>
    </row>
    <row r="568">
      <c r="A568" s="272" t="s">
        <v>2588</v>
      </c>
      <c r="B568" s="257" t="s">
        <v>2590</v>
      </c>
      <c r="C568" s="221">
        <v>240.0</v>
      </c>
      <c r="D568" s="222">
        <v>272.0</v>
      </c>
      <c r="E568" s="222">
        <v>121.0</v>
      </c>
      <c r="F568" s="222">
        <v>27.5</v>
      </c>
      <c r="G568" s="223" t="s">
        <v>164</v>
      </c>
      <c r="H568" s="221">
        <v>71.5</v>
      </c>
      <c r="I568" s="222">
        <v>71.5</v>
      </c>
      <c r="J568" s="222">
        <v>52.3</v>
      </c>
      <c r="K568" s="222">
        <v>3200.0</v>
      </c>
      <c r="L568" s="222" t="s">
        <v>44</v>
      </c>
      <c r="M568" s="223">
        <v>400.0</v>
      </c>
      <c r="N568" s="221">
        <v>2.0</v>
      </c>
      <c r="O568" s="222" t="s">
        <v>2002</v>
      </c>
      <c r="P568" s="222">
        <v>25.0</v>
      </c>
      <c r="Q568" s="222">
        <v>2000.0</v>
      </c>
      <c r="R568" s="224">
        <v>77.65</v>
      </c>
      <c r="S568" s="224">
        <v>2.9</v>
      </c>
      <c r="T568" s="225">
        <v>35.0</v>
      </c>
      <c r="U568" s="226">
        <v>52.5</v>
      </c>
      <c r="V568" s="227" t="s">
        <v>166</v>
      </c>
      <c r="W568" s="228" t="s">
        <v>174</v>
      </c>
      <c r="X568" s="222" t="s">
        <v>166</v>
      </c>
      <c r="Y568" s="223" t="s">
        <v>166</v>
      </c>
      <c r="Z568" s="221" t="s">
        <v>174</v>
      </c>
      <c r="AA568" s="222" t="s">
        <v>174</v>
      </c>
      <c r="AB568" s="222" t="s">
        <v>166</v>
      </c>
      <c r="AC568" s="222" t="s">
        <v>174</v>
      </c>
      <c r="AD568" s="222" t="s">
        <v>174</v>
      </c>
      <c r="AE568" s="222" t="s">
        <v>174</v>
      </c>
      <c r="AF568" s="222" t="s">
        <v>174</v>
      </c>
      <c r="AG568" s="222" t="s">
        <v>170</v>
      </c>
      <c r="AH568" s="222"/>
    </row>
    <row r="569">
      <c r="A569" s="273" t="s">
        <v>2588</v>
      </c>
      <c r="B569" s="271" t="s">
        <v>2591</v>
      </c>
      <c r="C569" s="232">
        <v>360.0</v>
      </c>
      <c r="D569" s="233">
        <v>392.0</v>
      </c>
      <c r="E569" s="233">
        <v>121.0</v>
      </c>
      <c r="F569" s="233">
        <v>27.5</v>
      </c>
      <c r="G569" s="234" t="s">
        <v>164</v>
      </c>
      <c r="H569" s="232">
        <v>71.5</v>
      </c>
      <c r="I569" s="233">
        <v>71.5</v>
      </c>
      <c r="J569" s="233">
        <v>52.3</v>
      </c>
      <c r="K569" s="233">
        <v>3200.0</v>
      </c>
      <c r="L569" s="233" t="s">
        <v>44</v>
      </c>
      <c r="M569" s="234">
        <v>400.0</v>
      </c>
      <c r="N569" s="232">
        <v>3.0</v>
      </c>
      <c r="O569" s="233" t="s">
        <v>2002</v>
      </c>
      <c r="P569" s="233">
        <v>25.0</v>
      </c>
      <c r="Q569" s="233">
        <v>2000.0</v>
      </c>
      <c r="R569" s="235">
        <v>77.65</v>
      </c>
      <c r="S569" s="235">
        <v>2.9</v>
      </c>
      <c r="T569" s="236">
        <v>35.0</v>
      </c>
      <c r="U569" s="237">
        <v>52.5</v>
      </c>
      <c r="V569" s="238" t="s">
        <v>166</v>
      </c>
      <c r="W569" s="239" t="s">
        <v>174</v>
      </c>
      <c r="X569" s="233" t="s">
        <v>166</v>
      </c>
      <c r="Y569" s="234" t="s">
        <v>166</v>
      </c>
      <c r="Z569" s="232" t="s">
        <v>174</v>
      </c>
      <c r="AA569" s="233" t="s">
        <v>174</v>
      </c>
      <c r="AB569" s="233" t="s">
        <v>166</v>
      </c>
      <c r="AC569" s="233" t="s">
        <v>174</v>
      </c>
      <c r="AD569" s="233" t="s">
        <v>174</v>
      </c>
      <c r="AE569" s="233" t="s">
        <v>174</v>
      </c>
      <c r="AF569" s="233" t="s">
        <v>174</v>
      </c>
      <c r="AG569" s="233" t="s">
        <v>170</v>
      </c>
      <c r="AH569" s="233"/>
    </row>
    <row r="570">
      <c r="A570" s="272" t="s">
        <v>2592</v>
      </c>
      <c r="B570" s="257" t="s">
        <v>2593</v>
      </c>
      <c r="C570" s="221">
        <v>240.0</v>
      </c>
      <c r="D570" s="222">
        <v>275.0</v>
      </c>
      <c r="E570" s="222">
        <v>120.0</v>
      </c>
      <c r="F570" s="222">
        <v>28.0</v>
      </c>
      <c r="G570" s="223" t="s">
        <v>164</v>
      </c>
      <c r="H570" s="221">
        <v>95.0</v>
      </c>
      <c r="I570" s="222">
        <v>90.0</v>
      </c>
      <c r="J570" s="222">
        <v>48.5</v>
      </c>
      <c r="K570" s="222">
        <v>2600.0</v>
      </c>
      <c r="L570" s="222" t="s">
        <v>44</v>
      </c>
      <c r="M570" s="223">
        <v>390.0</v>
      </c>
      <c r="N570" s="221">
        <v>2.0</v>
      </c>
      <c r="O570" s="222" t="s">
        <v>2002</v>
      </c>
      <c r="P570" s="222">
        <v>26.0</v>
      </c>
      <c r="Q570" s="222">
        <v>1800.0</v>
      </c>
      <c r="R570" s="224" t="s">
        <v>170</v>
      </c>
      <c r="S570" s="224" t="s">
        <v>170</v>
      </c>
      <c r="T570" s="225" t="s">
        <v>170</v>
      </c>
      <c r="U570" s="226">
        <v>54.0</v>
      </c>
      <c r="V570" s="221" t="s">
        <v>166</v>
      </c>
      <c r="W570" s="241" t="s">
        <v>166</v>
      </c>
      <c r="X570" s="222" t="s">
        <v>166</v>
      </c>
      <c r="Y570" s="223" t="s">
        <v>174</v>
      </c>
      <c r="Z570" s="221" t="s">
        <v>166</v>
      </c>
      <c r="AA570" s="222" t="s">
        <v>174</v>
      </c>
      <c r="AB570" s="222" t="s">
        <v>166</v>
      </c>
      <c r="AC570" s="222" t="s">
        <v>174</v>
      </c>
      <c r="AD570" s="222" t="s">
        <v>166</v>
      </c>
      <c r="AE570" s="222" t="s">
        <v>174</v>
      </c>
      <c r="AF570" s="222" t="s">
        <v>174</v>
      </c>
      <c r="AG570" s="222" t="s">
        <v>170</v>
      </c>
      <c r="AH570" s="222"/>
    </row>
    <row r="571">
      <c r="A571" s="272" t="s">
        <v>2592</v>
      </c>
      <c r="B571" s="257" t="s">
        <v>2594</v>
      </c>
      <c r="C571" s="221">
        <v>240.0</v>
      </c>
      <c r="D571" s="222">
        <v>275.0</v>
      </c>
      <c r="E571" s="222">
        <v>120.0</v>
      </c>
      <c r="F571" s="222">
        <v>28.0</v>
      </c>
      <c r="G571" s="223" t="s">
        <v>164</v>
      </c>
      <c r="H571" s="221">
        <v>95.0</v>
      </c>
      <c r="I571" s="222">
        <v>90.0</v>
      </c>
      <c r="J571" s="222">
        <v>48.5</v>
      </c>
      <c r="K571" s="222">
        <v>2600.0</v>
      </c>
      <c r="L571" s="222" t="s">
        <v>44</v>
      </c>
      <c r="M571" s="223">
        <v>390.0</v>
      </c>
      <c r="N571" s="221">
        <v>2.0</v>
      </c>
      <c r="O571" s="222" t="s">
        <v>2002</v>
      </c>
      <c r="P571" s="222">
        <v>26.0</v>
      </c>
      <c r="Q571" s="222">
        <v>1800.0</v>
      </c>
      <c r="R571" s="224" t="s">
        <v>170</v>
      </c>
      <c r="S571" s="224" t="s">
        <v>170</v>
      </c>
      <c r="T571" s="225" t="s">
        <v>170</v>
      </c>
      <c r="U571" s="226">
        <v>54.0</v>
      </c>
      <c r="V571" s="227" t="s">
        <v>166</v>
      </c>
      <c r="W571" s="228" t="s">
        <v>174</v>
      </c>
      <c r="X571" s="222" t="s">
        <v>166</v>
      </c>
      <c r="Y571" s="223" t="s">
        <v>174</v>
      </c>
      <c r="Z571" s="221" t="s">
        <v>166</v>
      </c>
      <c r="AA571" s="222" t="s">
        <v>174</v>
      </c>
      <c r="AB571" s="222" t="s">
        <v>166</v>
      </c>
      <c r="AC571" s="222" t="s">
        <v>174</v>
      </c>
      <c r="AD571" s="222" t="s">
        <v>166</v>
      </c>
      <c r="AE571" s="222" t="s">
        <v>174</v>
      </c>
      <c r="AF571" s="222" t="s">
        <v>174</v>
      </c>
      <c r="AG571" s="222" t="s">
        <v>170</v>
      </c>
      <c r="AH571" s="222"/>
    </row>
    <row r="572">
      <c r="A572" s="272" t="s">
        <v>2592</v>
      </c>
      <c r="B572" s="257" t="s">
        <v>2595</v>
      </c>
      <c r="C572" s="221">
        <v>120.0</v>
      </c>
      <c r="D572" s="222">
        <v>155.0</v>
      </c>
      <c r="E572" s="222">
        <v>120.0</v>
      </c>
      <c r="F572" s="222">
        <v>28.0</v>
      </c>
      <c r="G572" s="223" t="s">
        <v>164</v>
      </c>
      <c r="H572" s="221">
        <v>89.0</v>
      </c>
      <c r="I572" s="222">
        <v>75.0</v>
      </c>
      <c r="J572" s="222">
        <v>45.0</v>
      </c>
      <c r="K572" s="222">
        <v>2500.0</v>
      </c>
      <c r="L572" s="222" t="s">
        <v>44</v>
      </c>
      <c r="M572" s="223">
        <v>380.0</v>
      </c>
      <c r="N572" s="221">
        <v>1.0</v>
      </c>
      <c r="O572" s="222" t="s">
        <v>2002</v>
      </c>
      <c r="P572" s="222">
        <v>25.0</v>
      </c>
      <c r="Q572" s="222">
        <v>2300.0</v>
      </c>
      <c r="R572" s="224" t="s">
        <v>170</v>
      </c>
      <c r="S572" s="224" t="s">
        <v>170</v>
      </c>
      <c r="T572" s="225" t="s">
        <v>170</v>
      </c>
      <c r="U572" s="226">
        <v>53.0</v>
      </c>
      <c r="V572" s="227" t="s">
        <v>174</v>
      </c>
      <c r="W572" s="228" t="s">
        <v>166</v>
      </c>
      <c r="X572" s="222" t="s">
        <v>166</v>
      </c>
      <c r="Y572" s="223" t="s">
        <v>174</v>
      </c>
      <c r="Z572" s="221" t="s">
        <v>174</v>
      </c>
      <c r="AA572" s="222" t="s">
        <v>174</v>
      </c>
      <c r="AB572" s="222" t="s">
        <v>166</v>
      </c>
      <c r="AC572" s="222" t="s">
        <v>174</v>
      </c>
      <c r="AD572" s="222" t="s">
        <v>166</v>
      </c>
      <c r="AE572" s="222" t="s">
        <v>174</v>
      </c>
      <c r="AF572" s="222" t="s">
        <v>174</v>
      </c>
      <c r="AG572" s="222" t="s">
        <v>170</v>
      </c>
      <c r="AH572" s="222"/>
    </row>
    <row r="573">
      <c r="A573" s="272" t="s">
        <v>2592</v>
      </c>
      <c r="B573" s="257" t="s">
        <v>2596</v>
      </c>
      <c r="C573" s="221">
        <v>240.0</v>
      </c>
      <c r="D573" s="222">
        <v>275.0</v>
      </c>
      <c r="E573" s="222">
        <v>120.0</v>
      </c>
      <c r="F573" s="222">
        <v>28.0</v>
      </c>
      <c r="G573" s="223" t="s">
        <v>164</v>
      </c>
      <c r="H573" s="221">
        <v>89.0</v>
      </c>
      <c r="I573" s="222">
        <v>75.0</v>
      </c>
      <c r="J573" s="222">
        <v>45.0</v>
      </c>
      <c r="K573" s="222">
        <v>2500.0</v>
      </c>
      <c r="L573" s="222" t="s">
        <v>44</v>
      </c>
      <c r="M573" s="223">
        <v>380.0</v>
      </c>
      <c r="N573" s="221">
        <v>2.0</v>
      </c>
      <c r="O573" s="222" t="s">
        <v>2002</v>
      </c>
      <c r="P573" s="222">
        <v>25.0</v>
      </c>
      <c r="Q573" s="222">
        <v>2300.0</v>
      </c>
      <c r="R573" s="224" t="s">
        <v>170</v>
      </c>
      <c r="S573" s="224" t="s">
        <v>170</v>
      </c>
      <c r="T573" s="225" t="s">
        <v>170</v>
      </c>
      <c r="U573" s="226">
        <v>53.0</v>
      </c>
      <c r="V573" s="227" t="s">
        <v>174</v>
      </c>
      <c r="W573" s="228" t="s">
        <v>166</v>
      </c>
      <c r="X573" s="222" t="s">
        <v>166</v>
      </c>
      <c r="Y573" s="223" t="s">
        <v>174</v>
      </c>
      <c r="Z573" s="221" t="s">
        <v>174</v>
      </c>
      <c r="AA573" s="222" t="s">
        <v>174</v>
      </c>
      <c r="AB573" s="222" t="s">
        <v>166</v>
      </c>
      <c r="AC573" s="222" t="s">
        <v>174</v>
      </c>
      <c r="AD573" s="222" t="s">
        <v>166</v>
      </c>
      <c r="AE573" s="222" t="s">
        <v>174</v>
      </c>
      <c r="AF573" s="222" t="s">
        <v>174</v>
      </c>
      <c r="AG573" s="222" t="s">
        <v>170</v>
      </c>
      <c r="AH573" s="222"/>
    </row>
    <row r="574">
      <c r="A574" s="272" t="s">
        <v>2592</v>
      </c>
      <c r="B574" s="257" t="s">
        <v>2597</v>
      </c>
      <c r="C574" s="221">
        <v>280.0</v>
      </c>
      <c r="D574" s="222">
        <v>310.0</v>
      </c>
      <c r="E574" s="222">
        <v>140.0</v>
      </c>
      <c r="F574" s="222">
        <v>28.0</v>
      </c>
      <c r="G574" s="223" t="s">
        <v>164</v>
      </c>
      <c r="H574" s="221">
        <v>89.0</v>
      </c>
      <c r="I574" s="222">
        <v>75.0</v>
      </c>
      <c r="J574" s="222">
        <v>45.0</v>
      </c>
      <c r="K574" s="222">
        <v>2500.0</v>
      </c>
      <c r="L574" s="222" t="s">
        <v>44</v>
      </c>
      <c r="M574" s="223">
        <v>380.0</v>
      </c>
      <c r="N574" s="221">
        <v>2.0</v>
      </c>
      <c r="O574" s="222" t="s">
        <v>2018</v>
      </c>
      <c r="P574" s="222">
        <v>25.0</v>
      </c>
      <c r="Q574" s="222">
        <v>1800.0</v>
      </c>
      <c r="R574" s="224" t="s">
        <v>170</v>
      </c>
      <c r="S574" s="224" t="s">
        <v>170</v>
      </c>
      <c r="T574" s="225" t="s">
        <v>170</v>
      </c>
      <c r="U574" s="226">
        <v>53.0</v>
      </c>
      <c r="V574" s="227" t="s">
        <v>174</v>
      </c>
      <c r="W574" s="228" t="s">
        <v>166</v>
      </c>
      <c r="X574" s="222" t="s">
        <v>166</v>
      </c>
      <c r="Y574" s="223" t="s">
        <v>174</v>
      </c>
      <c r="Z574" s="221" t="s">
        <v>174</v>
      </c>
      <c r="AA574" s="222" t="s">
        <v>174</v>
      </c>
      <c r="AB574" s="222" t="s">
        <v>166</v>
      </c>
      <c r="AC574" s="222" t="s">
        <v>174</v>
      </c>
      <c r="AD574" s="222" t="s">
        <v>166</v>
      </c>
      <c r="AE574" s="222" t="s">
        <v>174</v>
      </c>
      <c r="AF574" s="222" t="s">
        <v>174</v>
      </c>
      <c r="AG574" s="222" t="s">
        <v>170</v>
      </c>
      <c r="AH574" s="222"/>
    </row>
    <row r="575">
      <c r="A575" s="272" t="s">
        <v>2592</v>
      </c>
      <c r="B575" s="257" t="s">
        <v>2598</v>
      </c>
      <c r="C575" s="221">
        <v>360.0</v>
      </c>
      <c r="D575" s="222">
        <v>395.0</v>
      </c>
      <c r="E575" s="222">
        <v>120.0</v>
      </c>
      <c r="F575" s="222">
        <v>28.0</v>
      </c>
      <c r="G575" s="223" t="s">
        <v>164</v>
      </c>
      <c r="H575" s="221">
        <v>89.0</v>
      </c>
      <c r="I575" s="222">
        <v>75.0</v>
      </c>
      <c r="J575" s="222">
        <v>45.0</v>
      </c>
      <c r="K575" s="222">
        <v>2500.0</v>
      </c>
      <c r="L575" s="222" t="s">
        <v>44</v>
      </c>
      <c r="M575" s="305">
        <v>460.0</v>
      </c>
      <c r="N575" s="221">
        <v>3.0</v>
      </c>
      <c r="O575" s="222" t="s">
        <v>2002</v>
      </c>
      <c r="P575" s="222">
        <v>25.0</v>
      </c>
      <c r="Q575" s="222">
        <v>1600.0</v>
      </c>
      <c r="R575" s="224" t="s">
        <v>170</v>
      </c>
      <c r="S575" s="224" t="s">
        <v>170</v>
      </c>
      <c r="T575" s="225" t="s">
        <v>170</v>
      </c>
      <c r="U575" s="226">
        <v>53.0</v>
      </c>
      <c r="V575" s="227" t="s">
        <v>174</v>
      </c>
      <c r="W575" s="228" t="s">
        <v>166</v>
      </c>
      <c r="X575" s="222" t="s">
        <v>166</v>
      </c>
      <c r="Y575" s="223" t="s">
        <v>174</v>
      </c>
      <c r="Z575" s="221" t="s">
        <v>174</v>
      </c>
      <c r="AA575" s="222" t="s">
        <v>174</v>
      </c>
      <c r="AB575" s="222" t="s">
        <v>166</v>
      </c>
      <c r="AC575" s="222" t="s">
        <v>174</v>
      </c>
      <c r="AD575" s="222" t="s">
        <v>166</v>
      </c>
      <c r="AE575" s="222" t="s">
        <v>174</v>
      </c>
      <c r="AF575" s="222" t="s">
        <v>174</v>
      </c>
      <c r="AG575" s="222" t="s">
        <v>170</v>
      </c>
      <c r="AH575" s="222"/>
    </row>
    <row r="576">
      <c r="A576" s="272" t="s">
        <v>2592</v>
      </c>
      <c r="B576" s="257" t="s">
        <v>2599</v>
      </c>
      <c r="C576" s="221">
        <v>120.0</v>
      </c>
      <c r="D576" s="222">
        <v>155.0</v>
      </c>
      <c r="E576" s="222">
        <v>120.0</v>
      </c>
      <c r="F576" s="222">
        <v>28.0</v>
      </c>
      <c r="G576" s="223" t="s">
        <v>164</v>
      </c>
      <c r="H576" s="306">
        <v>89.0</v>
      </c>
      <c r="I576" s="307">
        <v>75.0</v>
      </c>
      <c r="J576" s="308">
        <v>45.0</v>
      </c>
      <c r="K576" s="309">
        <v>2500.0</v>
      </c>
      <c r="L576" s="309" t="s">
        <v>44</v>
      </c>
      <c r="M576" s="310">
        <v>460.0</v>
      </c>
      <c r="N576" s="221">
        <v>1.0</v>
      </c>
      <c r="O576" s="222" t="s">
        <v>2002</v>
      </c>
      <c r="P576" s="222">
        <v>25.0</v>
      </c>
      <c r="Q576" s="222">
        <v>2300.0</v>
      </c>
      <c r="R576" s="224" t="s">
        <v>170</v>
      </c>
      <c r="S576" s="224" t="s">
        <v>170</v>
      </c>
      <c r="T576" s="225" t="s">
        <v>170</v>
      </c>
      <c r="U576" s="226">
        <v>53.0</v>
      </c>
      <c r="V576" s="227" t="s">
        <v>166</v>
      </c>
      <c r="W576" s="228" t="s">
        <v>174</v>
      </c>
      <c r="X576" s="222" t="s">
        <v>166</v>
      </c>
      <c r="Y576" s="223" t="s">
        <v>174</v>
      </c>
      <c r="Z576" s="221" t="s">
        <v>174</v>
      </c>
      <c r="AA576" s="222" t="s">
        <v>174</v>
      </c>
      <c r="AB576" s="222" t="s">
        <v>166</v>
      </c>
      <c r="AC576" s="222" t="s">
        <v>174</v>
      </c>
      <c r="AD576" s="222" t="s">
        <v>166</v>
      </c>
      <c r="AE576" s="222" t="s">
        <v>174</v>
      </c>
      <c r="AF576" s="222" t="s">
        <v>174</v>
      </c>
      <c r="AG576" s="309" t="s">
        <v>170</v>
      </c>
      <c r="AH576" s="311"/>
    </row>
    <row r="577">
      <c r="A577" s="272" t="s">
        <v>2592</v>
      </c>
      <c r="B577" s="257" t="s">
        <v>2600</v>
      </c>
      <c r="C577" s="221">
        <v>240.0</v>
      </c>
      <c r="D577" s="222">
        <v>275.0</v>
      </c>
      <c r="E577" s="222">
        <v>120.0</v>
      </c>
      <c r="F577" s="222">
        <v>28.0</v>
      </c>
      <c r="G577" s="223" t="s">
        <v>164</v>
      </c>
      <c r="H577" s="221">
        <v>89.0</v>
      </c>
      <c r="I577" s="222">
        <v>75.0</v>
      </c>
      <c r="J577" s="222">
        <v>45.0</v>
      </c>
      <c r="K577" s="222">
        <v>2500.0</v>
      </c>
      <c r="L577" s="222" t="s">
        <v>44</v>
      </c>
      <c r="M577" s="223">
        <v>380.0</v>
      </c>
      <c r="N577" s="221">
        <v>2.0</v>
      </c>
      <c r="O577" s="222" t="s">
        <v>2002</v>
      </c>
      <c r="P577" s="222">
        <v>25.0</v>
      </c>
      <c r="Q577" s="222">
        <v>2300.0</v>
      </c>
      <c r="R577" s="224" t="s">
        <v>170</v>
      </c>
      <c r="S577" s="224" t="s">
        <v>170</v>
      </c>
      <c r="T577" s="225" t="s">
        <v>170</v>
      </c>
      <c r="U577" s="226">
        <v>53.0</v>
      </c>
      <c r="V577" s="227" t="s">
        <v>166</v>
      </c>
      <c r="W577" s="228" t="s">
        <v>174</v>
      </c>
      <c r="X577" s="222" t="s">
        <v>166</v>
      </c>
      <c r="Y577" s="223" t="s">
        <v>174</v>
      </c>
      <c r="Z577" s="221" t="s">
        <v>174</v>
      </c>
      <c r="AA577" s="222" t="s">
        <v>174</v>
      </c>
      <c r="AB577" s="222" t="s">
        <v>166</v>
      </c>
      <c r="AC577" s="222" t="s">
        <v>174</v>
      </c>
      <c r="AD577" s="222" t="s">
        <v>166</v>
      </c>
      <c r="AE577" s="222" t="s">
        <v>174</v>
      </c>
      <c r="AF577" s="222" t="s">
        <v>174</v>
      </c>
      <c r="AG577" s="222" t="s">
        <v>170</v>
      </c>
      <c r="AH577" s="222"/>
    </row>
    <row r="578">
      <c r="A578" s="272" t="s">
        <v>2592</v>
      </c>
      <c r="B578" s="257" t="s">
        <v>2601</v>
      </c>
      <c r="C578" s="221">
        <v>280.0</v>
      </c>
      <c r="D578" s="222">
        <v>310.0</v>
      </c>
      <c r="E578" s="222">
        <v>140.0</v>
      </c>
      <c r="F578" s="222">
        <v>28.0</v>
      </c>
      <c r="G578" s="223" t="s">
        <v>164</v>
      </c>
      <c r="H578" s="221">
        <v>89.0</v>
      </c>
      <c r="I578" s="222">
        <v>75.0</v>
      </c>
      <c r="J578" s="222">
        <v>45.0</v>
      </c>
      <c r="K578" s="222">
        <v>2500.0</v>
      </c>
      <c r="L578" s="222" t="s">
        <v>44</v>
      </c>
      <c r="M578" s="223">
        <v>380.0</v>
      </c>
      <c r="N578" s="221">
        <v>2.0</v>
      </c>
      <c r="O578" s="222" t="s">
        <v>2018</v>
      </c>
      <c r="P578" s="222">
        <v>25.0</v>
      </c>
      <c r="Q578" s="222">
        <v>1800.0</v>
      </c>
      <c r="R578" s="224" t="s">
        <v>170</v>
      </c>
      <c r="S578" s="224" t="s">
        <v>170</v>
      </c>
      <c r="T578" s="225" t="s">
        <v>170</v>
      </c>
      <c r="U578" s="226">
        <v>53.0</v>
      </c>
      <c r="V578" s="227" t="s">
        <v>166</v>
      </c>
      <c r="W578" s="228" t="s">
        <v>174</v>
      </c>
      <c r="X578" s="222" t="s">
        <v>166</v>
      </c>
      <c r="Y578" s="223" t="s">
        <v>174</v>
      </c>
      <c r="Z578" s="221" t="s">
        <v>174</v>
      </c>
      <c r="AA578" s="222" t="s">
        <v>174</v>
      </c>
      <c r="AB578" s="222" t="s">
        <v>166</v>
      </c>
      <c r="AC578" s="222" t="s">
        <v>174</v>
      </c>
      <c r="AD578" s="222" t="s">
        <v>166</v>
      </c>
      <c r="AE578" s="222" t="s">
        <v>174</v>
      </c>
      <c r="AF578" s="222" t="s">
        <v>174</v>
      </c>
      <c r="AG578" s="222" t="s">
        <v>170</v>
      </c>
      <c r="AH578" s="222"/>
    </row>
    <row r="579">
      <c r="A579" s="273" t="s">
        <v>2592</v>
      </c>
      <c r="B579" s="271" t="s">
        <v>2602</v>
      </c>
      <c r="C579" s="232">
        <v>360.0</v>
      </c>
      <c r="D579" s="233">
        <v>395.0</v>
      </c>
      <c r="E579" s="233">
        <v>120.0</v>
      </c>
      <c r="F579" s="233">
        <v>28.0</v>
      </c>
      <c r="G579" s="234" t="s">
        <v>164</v>
      </c>
      <c r="H579" s="232">
        <v>89.0</v>
      </c>
      <c r="I579" s="233">
        <v>75.0</v>
      </c>
      <c r="J579" s="233">
        <v>45.0</v>
      </c>
      <c r="K579" s="233">
        <v>2500.0</v>
      </c>
      <c r="L579" s="233" t="s">
        <v>44</v>
      </c>
      <c r="M579" s="234">
        <v>460.0</v>
      </c>
      <c r="N579" s="232">
        <v>3.0</v>
      </c>
      <c r="O579" s="233" t="s">
        <v>2002</v>
      </c>
      <c r="P579" s="233">
        <v>25.0</v>
      </c>
      <c r="Q579" s="233">
        <v>1600.0</v>
      </c>
      <c r="R579" s="235" t="s">
        <v>170</v>
      </c>
      <c r="S579" s="235" t="s">
        <v>170</v>
      </c>
      <c r="T579" s="236" t="s">
        <v>170</v>
      </c>
      <c r="U579" s="237">
        <v>53.0</v>
      </c>
      <c r="V579" s="238" t="s">
        <v>166</v>
      </c>
      <c r="W579" s="239" t="s">
        <v>174</v>
      </c>
      <c r="X579" s="233" t="s">
        <v>166</v>
      </c>
      <c r="Y579" s="234" t="s">
        <v>174</v>
      </c>
      <c r="Z579" s="232" t="s">
        <v>174</v>
      </c>
      <c r="AA579" s="233" t="s">
        <v>174</v>
      </c>
      <c r="AB579" s="233" t="s">
        <v>166</v>
      </c>
      <c r="AC579" s="233" t="s">
        <v>174</v>
      </c>
      <c r="AD579" s="233" t="s">
        <v>166</v>
      </c>
      <c r="AE579" s="233" t="s">
        <v>174</v>
      </c>
      <c r="AF579" s="233" t="s">
        <v>174</v>
      </c>
      <c r="AG579" s="233" t="s">
        <v>170</v>
      </c>
      <c r="AH579" s="233"/>
    </row>
    <row r="580">
      <c r="A580" s="272" t="s">
        <v>209</v>
      </c>
      <c r="B580" s="256" t="s">
        <v>2603</v>
      </c>
      <c r="C580" s="221">
        <v>240.0</v>
      </c>
      <c r="D580" s="222">
        <v>274.0</v>
      </c>
      <c r="E580" s="222">
        <v>120.0</v>
      </c>
      <c r="F580" s="222">
        <v>38.0</v>
      </c>
      <c r="G580" s="223" t="s">
        <v>164</v>
      </c>
      <c r="H580" s="221">
        <v>76.0</v>
      </c>
      <c r="I580" s="222">
        <v>76.0</v>
      </c>
      <c r="J580" s="222">
        <v>66.0</v>
      </c>
      <c r="K580" s="222">
        <v>3000.0</v>
      </c>
      <c r="L580" s="222" t="s">
        <v>44</v>
      </c>
      <c r="M580" s="223">
        <v>400.0</v>
      </c>
      <c r="N580" s="221">
        <v>2.0</v>
      </c>
      <c r="O580" s="222" t="s">
        <v>2002</v>
      </c>
      <c r="P580" s="222">
        <v>25.0</v>
      </c>
      <c r="Q580" s="222">
        <v>2200.0</v>
      </c>
      <c r="R580" s="224">
        <v>93.4</v>
      </c>
      <c r="S580" s="224">
        <v>3.18</v>
      </c>
      <c r="T580" s="225">
        <v>36.6</v>
      </c>
      <c r="U580" s="226">
        <v>63.0</v>
      </c>
      <c r="V580" s="221" t="s">
        <v>166</v>
      </c>
      <c r="W580" s="241" t="s">
        <v>174</v>
      </c>
      <c r="X580" s="222" t="s">
        <v>166</v>
      </c>
      <c r="Y580" s="223" t="s">
        <v>174</v>
      </c>
      <c r="Z580" s="221" t="s">
        <v>174</v>
      </c>
      <c r="AA580" s="222" t="s">
        <v>174</v>
      </c>
      <c r="AB580" s="222" t="s">
        <v>166</v>
      </c>
      <c r="AC580" s="222" t="s">
        <v>174</v>
      </c>
      <c r="AD580" s="222" t="s">
        <v>174</v>
      </c>
      <c r="AE580" s="222" t="s">
        <v>170</v>
      </c>
      <c r="AF580" s="222" t="s">
        <v>174</v>
      </c>
      <c r="AG580" s="229" t="s">
        <v>2327</v>
      </c>
      <c r="AH580" s="229"/>
    </row>
    <row r="581">
      <c r="A581" s="272" t="s">
        <v>209</v>
      </c>
      <c r="B581" s="256" t="s">
        <v>2604</v>
      </c>
      <c r="C581" s="221">
        <v>280.0</v>
      </c>
      <c r="D581" s="222">
        <v>314.0</v>
      </c>
      <c r="E581" s="222">
        <v>140.0</v>
      </c>
      <c r="F581" s="222">
        <v>28.0</v>
      </c>
      <c r="G581" s="223" t="s">
        <v>164</v>
      </c>
      <c r="H581" s="221">
        <v>76.0</v>
      </c>
      <c r="I581" s="222">
        <v>76.0</v>
      </c>
      <c r="J581" s="222">
        <v>66.0</v>
      </c>
      <c r="K581" s="222">
        <v>3000.0</v>
      </c>
      <c r="L581" s="222" t="s">
        <v>44</v>
      </c>
      <c r="M581" s="223">
        <v>400.0</v>
      </c>
      <c r="N581" s="221">
        <v>2.0</v>
      </c>
      <c r="O581" s="222" t="s">
        <v>2018</v>
      </c>
      <c r="P581" s="222">
        <v>25.0</v>
      </c>
      <c r="Q581" s="222">
        <v>1600.0</v>
      </c>
      <c r="R581" s="224">
        <v>99.2</v>
      </c>
      <c r="S581" s="224">
        <v>3.1</v>
      </c>
      <c r="T581" s="225">
        <v>23.4</v>
      </c>
      <c r="U581" s="226">
        <v>53.0</v>
      </c>
      <c r="V581" s="227" t="s">
        <v>166</v>
      </c>
      <c r="W581" s="228" t="s">
        <v>174</v>
      </c>
      <c r="X581" s="222" t="s">
        <v>166</v>
      </c>
      <c r="Y581" s="223" t="s">
        <v>174</v>
      </c>
      <c r="Z581" s="221" t="s">
        <v>174</v>
      </c>
      <c r="AA581" s="222" t="s">
        <v>174</v>
      </c>
      <c r="AB581" s="222" t="s">
        <v>166</v>
      </c>
      <c r="AC581" s="222" t="s">
        <v>174</v>
      </c>
      <c r="AD581" s="222" t="s">
        <v>174</v>
      </c>
      <c r="AE581" s="222" t="s">
        <v>170</v>
      </c>
      <c r="AF581" s="222" t="s">
        <v>174</v>
      </c>
      <c r="AG581" s="229" t="s">
        <v>2327</v>
      </c>
      <c r="AH581" s="229"/>
    </row>
    <row r="582">
      <c r="A582" s="272" t="s">
        <v>209</v>
      </c>
      <c r="B582" s="257" t="s">
        <v>2605</v>
      </c>
      <c r="C582" s="221">
        <v>360.0</v>
      </c>
      <c r="D582" s="222">
        <v>394.0</v>
      </c>
      <c r="E582" s="222">
        <v>120.0</v>
      </c>
      <c r="F582" s="222">
        <v>28.0</v>
      </c>
      <c r="G582" s="223" t="s">
        <v>164</v>
      </c>
      <c r="H582" s="221">
        <v>76.0</v>
      </c>
      <c r="I582" s="222">
        <v>76.0</v>
      </c>
      <c r="J582" s="222">
        <v>66.0</v>
      </c>
      <c r="K582" s="222">
        <v>3000.0</v>
      </c>
      <c r="L582" s="222" t="s">
        <v>44</v>
      </c>
      <c r="M582" s="223">
        <v>400.0</v>
      </c>
      <c r="N582" s="221">
        <v>3.0</v>
      </c>
      <c r="O582" s="222" t="s">
        <v>2002</v>
      </c>
      <c r="P582" s="222">
        <v>25.0</v>
      </c>
      <c r="Q582" s="222">
        <v>2200.0</v>
      </c>
      <c r="R582" s="224">
        <v>93.4</v>
      </c>
      <c r="S582" s="224">
        <v>3.18</v>
      </c>
      <c r="T582" s="225">
        <v>36.6</v>
      </c>
      <c r="U582" s="226">
        <v>53.0</v>
      </c>
      <c r="V582" s="227" t="s">
        <v>166</v>
      </c>
      <c r="W582" s="228" t="s">
        <v>174</v>
      </c>
      <c r="X582" s="222" t="s">
        <v>166</v>
      </c>
      <c r="Y582" s="223" t="s">
        <v>174</v>
      </c>
      <c r="Z582" s="221" t="s">
        <v>174</v>
      </c>
      <c r="AA582" s="222" t="s">
        <v>174</v>
      </c>
      <c r="AB582" s="222" t="s">
        <v>166</v>
      </c>
      <c r="AC582" s="222" t="s">
        <v>174</v>
      </c>
      <c r="AD582" s="222" t="s">
        <v>174</v>
      </c>
      <c r="AE582" s="222" t="s">
        <v>170</v>
      </c>
      <c r="AF582" s="222" t="s">
        <v>174</v>
      </c>
      <c r="AG582" s="229" t="s">
        <v>2327</v>
      </c>
      <c r="AH582" s="229"/>
    </row>
    <row r="583">
      <c r="A583" s="272" t="s">
        <v>209</v>
      </c>
      <c r="B583" s="257" t="s">
        <v>2606</v>
      </c>
      <c r="C583" s="221">
        <v>240.0</v>
      </c>
      <c r="D583" s="222">
        <v>277.0</v>
      </c>
      <c r="E583" s="222">
        <v>120.0</v>
      </c>
      <c r="F583" s="222">
        <v>28.0</v>
      </c>
      <c r="G583" s="223" t="s">
        <v>164</v>
      </c>
      <c r="H583" s="221">
        <v>84.0</v>
      </c>
      <c r="I583" s="222">
        <v>73.0</v>
      </c>
      <c r="J583" s="222">
        <v>70.0</v>
      </c>
      <c r="K583" s="222">
        <v>3100.0</v>
      </c>
      <c r="L583" s="222" t="s">
        <v>44</v>
      </c>
      <c r="M583" s="223">
        <v>460.0</v>
      </c>
      <c r="N583" s="221">
        <v>2.0</v>
      </c>
      <c r="O583" s="222" t="s">
        <v>2002</v>
      </c>
      <c r="P583" s="222">
        <v>25.0</v>
      </c>
      <c r="Q583" s="222">
        <v>2200.0</v>
      </c>
      <c r="R583" s="224">
        <v>75.74</v>
      </c>
      <c r="S583" s="224">
        <v>3.4</v>
      </c>
      <c r="T583" s="225">
        <v>33.1</v>
      </c>
      <c r="U583" s="226">
        <v>53.0</v>
      </c>
      <c r="V583" s="227" t="s">
        <v>166</v>
      </c>
      <c r="W583" s="228" t="s">
        <v>174</v>
      </c>
      <c r="X583" s="222" t="s">
        <v>166</v>
      </c>
      <c r="Y583" s="223" t="s">
        <v>166</v>
      </c>
      <c r="Z583" s="221" t="s">
        <v>166</v>
      </c>
      <c r="AA583" s="222" t="s">
        <v>174</v>
      </c>
      <c r="AB583" s="222" t="s">
        <v>166</v>
      </c>
      <c r="AC583" s="222" t="s">
        <v>174</v>
      </c>
      <c r="AD583" s="222" t="s">
        <v>166</v>
      </c>
      <c r="AE583" s="222" t="s">
        <v>174</v>
      </c>
      <c r="AF583" s="222" t="s">
        <v>174</v>
      </c>
      <c r="AG583" s="222" t="s">
        <v>170</v>
      </c>
      <c r="AH583" s="222"/>
    </row>
    <row r="584">
      <c r="A584" s="272" t="s">
        <v>209</v>
      </c>
      <c r="B584" s="257" t="s">
        <v>2607</v>
      </c>
      <c r="C584" s="221">
        <v>280.0</v>
      </c>
      <c r="D584" s="222">
        <v>314.0</v>
      </c>
      <c r="E584" s="222">
        <v>140.0</v>
      </c>
      <c r="F584" s="222">
        <v>28.0</v>
      </c>
      <c r="G584" s="223" t="s">
        <v>164</v>
      </c>
      <c r="H584" s="221">
        <v>84.0</v>
      </c>
      <c r="I584" s="222">
        <v>73.0</v>
      </c>
      <c r="J584" s="222">
        <v>70.0</v>
      </c>
      <c r="K584" s="222">
        <v>3100.0</v>
      </c>
      <c r="L584" s="222" t="s">
        <v>44</v>
      </c>
      <c r="M584" s="223">
        <v>460.0</v>
      </c>
      <c r="N584" s="221">
        <v>2.0</v>
      </c>
      <c r="O584" s="222" t="s">
        <v>2018</v>
      </c>
      <c r="P584" s="222">
        <v>25.0</v>
      </c>
      <c r="Q584" s="222">
        <v>1750.0</v>
      </c>
      <c r="R584" s="224">
        <v>93.29</v>
      </c>
      <c r="S584" s="224">
        <v>2.39</v>
      </c>
      <c r="T584" s="225">
        <v>30.8</v>
      </c>
      <c r="U584" s="226">
        <v>53.0</v>
      </c>
      <c r="V584" s="227" t="s">
        <v>166</v>
      </c>
      <c r="W584" s="228" t="s">
        <v>174</v>
      </c>
      <c r="X584" s="222" t="s">
        <v>166</v>
      </c>
      <c r="Y584" s="223" t="s">
        <v>166</v>
      </c>
      <c r="Z584" s="221" t="s">
        <v>166</v>
      </c>
      <c r="AA584" s="222" t="s">
        <v>174</v>
      </c>
      <c r="AB584" s="222" t="s">
        <v>166</v>
      </c>
      <c r="AC584" s="222" t="s">
        <v>174</v>
      </c>
      <c r="AD584" s="222" t="s">
        <v>166</v>
      </c>
      <c r="AE584" s="222" t="s">
        <v>174</v>
      </c>
      <c r="AF584" s="222" t="s">
        <v>174</v>
      </c>
      <c r="AG584" s="222" t="s">
        <v>170</v>
      </c>
      <c r="AH584" s="222"/>
    </row>
    <row r="585">
      <c r="A585" s="272" t="s">
        <v>209</v>
      </c>
      <c r="B585" s="257" t="s">
        <v>2608</v>
      </c>
      <c r="C585" s="221">
        <v>360.0</v>
      </c>
      <c r="D585" s="222">
        <v>396.0</v>
      </c>
      <c r="E585" s="222">
        <v>120.0</v>
      </c>
      <c r="F585" s="222">
        <v>28.0</v>
      </c>
      <c r="G585" s="223" t="s">
        <v>164</v>
      </c>
      <c r="H585" s="221">
        <v>84.0</v>
      </c>
      <c r="I585" s="222">
        <v>73.0</v>
      </c>
      <c r="J585" s="222">
        <v>70.0</v>
      </c>
      <c r="K585" s="222">
        <v>3100.0</v>
      </c>
      <c r="L585" s="222" t="s">
        <v>44</v>
      </c>
      <c r="M585" s="223">
        <v>460.0</v>
      </c>
      <c r="N585" s="221">
        <v>3.0</v>
      </c>
      <c r="O585" s="222" t="s">
        <v>2002</v>
      </c>
      <c r="P585" s="222">
        <v>25.0</v>
      </c>
      <c r="Q585" s="222">
        <v>2200.0</v>
      </c>
      <c r="R585" s="224">
        <v>75.74</v>
      </c>
      <c r="S585" s="224">
        <v>3.4</v>
      </c>
      <c r="T585" s="225">
        <v>33.1</v>
      </c>
      <c r="U585" s="226">
        <v>53.0</v>
      </c>
      <c r="V585" s="227" t="s">
        <v>166</v>
      </c>
      <c r="W585" s="228" t="s">
        <v>174</v>
      </c>
      <c r="X585" s="222" t="s">
        <v>166</v>
      </c>
      <c r="Y585" s="223" t="s">
        <v>166</v>
      </c>
      <c r="Z585" s="221" t="s">
        <v>166</v>
      </c>
      <c r="AA585" s="222" t="s">
        <v>174</v>
      </c>
      <c r="AB585" s="222" t="s">
        <v>166</v>
      </c>
      <c r="AC585" s="222" t="s">
        <v>174</v>
      </c>
      <c r="AD585" s="222" t="s">
        <v>166</v>
      </c>
      <c r="AE585" s="222" t="s">
        <v>174</v>
      </c>
      <c r="AF585" s="222" t="s">
        <v>174</v>
      </c>
      <c r="AG585" s="222" t="s">
        <v>170</v>
      </c>
      <c r="AH585" s="222"/>
    </row>
    <row r="586">
      <c r="A586" s="272" t="s">
        <v>209</v>
      </c>
      <c r="B586" s="257" t="s">
        <v>2609</v>
      </c>
      <c r="C586" s="221">
        <v>420.0</v>
      </c>
      <c r="D586" s="222">
        <v>456.0</v>
      </c>
      <c r="E586" s="222">
        <v>140.0</v>
      </c>
      <c r="F586" s="222">
        <v>28.0</v>
      </c>
      <c r="G586" s="223" t="s">
        <v>164</v>
      </c>
      <c r="H586" s="221">
        <v>84.0</v>
      </c>
      <c r="I586" s="222">
        <v>73.0</v>
      </c>
      <c r="J586" s="222">
        <v>70.0</v>
      </c>
      <c r="K586" s="222">
        <v>3100.0</v>
      </c>
      <c r="L586" s="222" t="s">
        <v>44</v>
      </c>
      <c r="M586" s="223">
        <v>460.0</v>
      </c>
      <c r="N586" s="221">
        <v>3.0</v>
      </c>
      <c r="O586" s="222" t="s">
        <v>2018</v>
      </c>
      <c r="P586" s="222">
        <v>25.0</v>
      </c>
      <c r="Q586" s="222">
        <v>1750.0</v>
      </c>
      <c r="R586" s="224">
        <v>93.29</v>
      </c>
      <c r="S586" s="224">
        <v>2.39</v>
      </c>
      <c r="T586" s="225">
        <v>30.8</v>
      </c>
      <c r="U586" s="226">
        <v>53.0</v>
      </c>
      <c r="V586" s="227" t="s">
        <v>166</v>
      </c>
      <c r="W586" s="228" t="s">
        <v>174</v>
      </c>
      <c r="X586" s="222" t="s">
        <v>166</v>
      </c>
      <c r="Y586" s="223" t="s">
        <v>166</v>
      </c>
      <c r="Z586" s="221" t="s">
        <v>166</v>
      </c>
      <c r="AA586" s="222" t="s">
        <v>174</v>
      </c>
      <c r="AB586" s="222" t="s">
        <v>166</v>
      </c>
      <c r="AC586" s="222" t="s">
        <v>174</v>
      </c>
      <c r="AD586" s="222" t="s">
        <v>166</v>
      </c>
      <c r="AE586" s="222" t="s">
        <v>174</v>
      </c>
      <c r="AF586" s="222" t="s">
        <v>174</v>
      </c>
      <c r="AG586" s="222" t="s">
        <v>170</v>
      </c>
      <c r="AH586" s="222"/>
    </row>
    <row r="587">
      <c r="A587" s="272" t="s">
        <v>209</v>
      </c>
      <c r="B587" s="256" t="s">
        <v>2610</v>
      </c>
      <c r="C587" s="221">
        <v>120.0</v>
      </c>
      <c r="D587" s="222">
        <v>153.0</v>
      </c>
      <c r="E587" s="222">
        <v>120.0</v>
      </c>
      <c r="F587" s="222">
        <v>28.0</v>
      </c>
      <c r="G587" s="223" t="s">
        <v>164</v>
      </c>
      <c r="H587" s="221">
        <v>61.0</v>
      </c>
      <c r="I587" s="222">
        <v>61.0</v>
      </c>
      <c r="J587" s="222">
        <v>50.0</v>
      </c>
      <c r="K587" s="222">
        <v>3400.0</v>
      </c>
      <c r="L587" s="222" t="s">
        <v>44</v>
      </c>
      <c r="M587" s="223">
        <v>400.0</v>
      </c>
      <c r="N587" s="221">
        <v>1.0</v>
      </c>
      <c r="O587" s="222" t="s">
        <v>2002</v>
      </c>
      <c r="P587" s="222">
        <v>25.0</v>
      </c>
      <c r="Q587" s="222">
        <v>2200.0</v>
      </c>
      <c r="R587" s="224">
        <v>94.0</v>
      </c>
      <c r="S587" s="224">
        <v>3.53</v>
      </c>
      <c r="T587" s="225">
        <v>35.6</v>
      </c>
      <c r="U587" s="226">
        <v>53.0</v>
      </c>
      <c r="V587" s="227" t="s">
        <v>166</v>
      </c>
      <c r="W587" s="228" t="s">
        <v>174</v>
      </c>
      <c r="X587" s="222" t="s">
        <v>166</v>
      </c>
      <c r="Y587" s="223" t="s">
        <v>166</v>
      </c>
      <c r="Z587" s="221" t="s">
        <v>174</v>
      </c>
      <c r="AA587" s="222" t="s">
        <v>174</v>
      </c>
      <c r="AB587" s="222" t="s">
        <v>174</v>
      </c>
      <c r="AC587" s="222" t="s">
        <v>174</v>
      </c>
      <c r="AD587" s="222" t="s">
        <v>174</v>
      </c>
      <c r="AE587" s="222" t="s">
        <v>174</v>
      </c>
      <c r="AF587" s="222" t="s">
        <v>174</v>
      </c>
      <c r="AG587" s="229" t="s">
        <v>2327</v>
      </c>
      <c r="AH587" s="229"/>
    </row>
    <row r="588">
      <c r="A588" s="272" t="s">
        <v>209</v>
      </c>
      <c r="B588" s="256" t="s">
        <v>2611</v>
      </c>
      <c r="C588" s="221">
        <v>240.0</v>
      </c>
      <c r="D588" s="222">
        <v>272.0</v>
      </c>
      <c r="E588" s="222">
        <v>120.0</v>
      </c>
      <c r="F588" s="222">
        <v>28.0</v>
      </c>
      <c r="G588" s="223" t="s">
        <v>164</v>
      </c>
      <c r="H588" s="221">
        <v>61.0</v>
      </c>
      <c r="I588" s="222">
        <v>61.0</v>
      </c>
      <c r="J588" s="222">
        <v>50.0</v>
      </c>
      <c r="K588" s="222">
        <v>3400.0</v>
      </c>
      <c r="L588" s="222" t="s">
        <v>44</v>
      </c>
      <c r="M588" s="223">
        <v>400.0</v>
      </c>
      <c r="N588" s="221">
        <v>2.0</v>
      </c>
      <c r="O588" s="222" t="s">
        <v>2002</v>
      </c>
      <c r="P588" s="222">
        <v>25.0</v>
      </c>
      <c r="Q588" s="222">
        <v>2200.0</v>
      </c>
      <c r="R588" s="224">
        <v>94.0</v>
      </c>
      <c r="S588" s="224">
        <v>3.53</v>
      </c>
      <c r="T588" s="225">
        <v>35.6</v>
      </c>
      <c r="U588" s="226">
        <v>53.0</v>
      </c>
      <c r="V588" s="227" t="s">
        <v>166</v>
      </c>
      <c r="W588" s="228" t="s">
        <v>174</v>
      </c>
      <c r="X588" s="222" t="s">
        <v>166</v>
      </c>
      <c r="Y588" s="223" t="s">
        <v>166</v>
      </c>
      <c r="Z588" s="221" t="s">
        <v>174</v>
      </c>
      <c r="AA588" s="222" t="s">
        <v>174</v>
      </c>
      <c r="AB588" s="222" t="s">
        <v>174</v>
      </c>
      <c r="AC588" s="222" t="s">
        <v>174</v>
      </c>
      <c r="AD588" s="222" t="s">
        <v>174</v>
      </c>
      <c r="AE588" s="222" t="s">
        <v>174</v>
      </c>
      <c r="AF588" s="222" t="s">
        <v>174</v>
      </c>
      <c r="AG588" s="229" t="s">
        <v>2327</v>
      </c>
      <c r="AH588" s="229"/>
    </row>
    <row r="589">
      <c r="A589" s="272" t="s">
        <v>209</v>
      </c>
      <c r="B589" s="256" t="s">
        <v>2612</v>
      </c>
      <c r="C589" s="221">
        <v>240.0</v>
      </c>
      <c r="D589" s="222">
        <v>272.0</v>
      </c>
      <c r="E589" s="222">
        <v>120.0</v>
      </c>
      <c r="F589" s="222">
        <v>28.0</v>
      </c>
      <c r="G589" s="223" t="s">
        <v>164</v>
      </c>
      <c r="H589" s="221">
        <v>61.0</v>
      </c>
      <c r="I589" s="222">
        <v>61.0</v>
      </c>
      <c r="J589" s="222">
        <v>50.0</v>
      </c>
      <c r="K589" s="222">
        <v>3400.0</v>
      </c>
      <c r="L589" s="222" t="s">
        <v>44</v>
      </c>
      <c r="M589" s="223">
        <v>400.0</v>
      </c>
      <c r="N589" s="221">
        <v>2.0</v>
      </c>
      <c r="O589" s="222" t="s">
        <v>2002</v>
      </c>
      <c r="P589" s="222">
        <v>25.0</v>
      </c>
      <c r="Q589" s="222">
        <v>2200.0</v>
      </c>
      <c r="R589" s="224">
        <v>94.0</v>
      </c>
      <c r="S589" s="224">
        <v>3.53</v>
      </c>
      <c r="T589" s="225">
        <v>35.6</v>
      </c>
      <c r="U589" s="226">
        <v>53.0</v>
      </c>
      <c r="V589" s="227" t="s">
        <v>166</v>
      </c>
      <c r="W589" s="228" t="s">
        <v>174</v>
      </c>
      <c r="X589" s="222" t="s">
        <v>166</v>
      </c>
      <c r="Y589" s="223" t="s">
        <v>166</v>
      </c>
      <c r="Z589" s="221" t="s">
        <v>174</v>
      </c>
      <c r="AA589" s="222" t="s">
        <v>174</v>
      </c>
      <c r="AB589" s="222" t="s">
        <v>174</v>
      </c>
      <c r="AC589" s="222" t="s">
        <v>174</v>
      </c>
      <c r="AD589" s="222" t="s">
        <v>174</v>
      </c>
      <c r="AE589" s="222" t="s">
        <v>174</v>
      </c>
      <c r="AF589" s="222" t="s">
        <v>174</v>
      </c>
      <c r="AG589" s="229" t="s">
        <v>2327</v>
      </c>
      <c r="AH589" s="229"/>
    </row>
    <row r="590">
      <c r="A590" s="272" t="s">
        <v>209</v>
      </c>
      <c r="B590" s="257" t="s">
        <v>2613</v>
      </c>
      <c r="C590" s="221">
        <v>360.0</v>
      </c>
      <c r="D590" s="222">
        <v>394.0</v>
      </c>
      <c r="E590" s="222">
        <v>120.0</v>
      </c>
      <c r="F590" s="222">
        <v>28.0</v>
      </c>
      <c r="G590" s="223" t="s">
        <v>164</v>
      </c>
      <c r="H590" s="221">
        <v>61.0</v>
      </c>
      <c r="I590" s="222">
        <v>61.0</v>
      </c>
      <c r="J590" s="222">
        <v>50.0</v>
      </c>
      <c r="K590" s="222">
        <v>3400.0</v>
      </c>
      <c r="L590" s="222" t="s">
        <v>44</v>
      </c>
      <c r="M590" s="223">
        <v>400.0</v>
      </c>
      <c r="N590" s="221">
        <v>3.0</v>
      </c>
      <c r="O590" s="222" t="s">
        <v>2002</v>
      </c>
      <c r="P590" s="222">
        <v>25.0</v>
      </c>
      <c r="Q590" s="222">
        <v>2200.0</v>
      </c>
      <c r="R590" s="224">
        <v>94.0</v>
      </c>
      <c r="S590" s="224">
        <v>3.53</v>
      </c>
      <c r="T590" s="225">
        <v>35.6</v>
      </c>
      <c r="U590" s="226">
        <v>53.0</v>
      </c>
      <c r="V590" s="227" t="s">
        <v>166</v>
      </c>
      <c r="W590" s="228" t="s">
        <v>174</v>
      </c>
      <c r="X590" s="222" t="s">
        <v>166</v>
      </c>
      <c r="Y590" s="223" t="s">
        <v>166</v>
      </c>
      <c r="Z590" s="221" t="s">
        <v>174</v>
      </c>
      <c r="AA590" s="222" t="s">
        <v>174</v>
      </c>
      <c r="AB590" s="222" t="s">
        <v>174</v>
      </c>
      <c r="AC590" s="222" t="s">
        <v>174</v>
      </c>
      <c r="AD590" s="222" t="s">
        <v>174</v>
      </c>
      <c r="AE590" s="222" t="s">
        <v>174</v>
      </c>
      <c r="AF590" s="222" t="s">
        <v>174</v>
      </c>
      <c r="AG590" s="229" t="s">
        <v>2327</v>
      </c>
      <c r="AH590" s="229"/>
    </row>
    <row r="591">
      <c r="A591" s="272" t="s">
        <v>209</v>
      </c>
      <c r="B591" s="257" t="s">
        <v>2614</v>
      </c>
      <c r="C591" s="221">
        <v>360.0</v>
      </c>
      <c r="D591" s="222">
        <v>394.0</v>
      </c>
      <c r="E591" s="222">
        <v>120.0</v>
      </c>
      <c r="F591" s="222">
        <v>28.0</v>
      </c>
      <c r="G591" s="223" t="s">
        <v>164</v>
      </c>
      <c r="H591" s="221">
        <v>61.0</v>
      </c>
      <c r="I591" s="222">
        <v>61.0</v>
      </c>
      <c r="J591" s="222">
        <v>50.0</v>
      </c>
      <c r="K591" s="222">
        <v>3400.0</v>
      </c>
      <c r="L591" s="222" t="s">
        <v>44</v>
      </c>
      <c r="M591" s="223">
        <v>400.0</v>
      </c>
      <c r="N591" s="221">
        <v>3.0</v>
      </c>
      <c r="O591" s="222" t="s">
        <v>2002</v>
      </c>
      <c r="P591" s="222">
        <v>25.0</v>
      </c>
      <c r="Q591" s="222">
        <v>2200.0</v>
      </c>
      <c r="R591" s="224">
        <v>94.0</v>
      </c>
      <c r="S591" s="224">
        <v>3.53</v>
      </c>
      <c r="T591" s="225">
        <v>35.6</v>
      </c>
      <c r="U591" s="226">
        <v>53.0</v>
      </c>
      <c r="V591" s="227" t="s">
        <v>166</v>
      </c>
      <c r="W591" s="228" t="s">
        <v>174</v>
      </c>
      <c r="X591" s="222" t="s">
        <v>166</v>
      </c>
      <c r="Y591" s="223" t="s">
        <v>166</v>
      </c>
      <c r="Z591" s="221" t="s">
        <v>174</v>
      </c>
      <c r="AA591" s="222" t="s">
        <v>174</v>
      </c>
      <c r="AB591" s="222" t="s">
        <v>174</v>
      </c>
      <c r="AC591" s="222" t="s">
        <v>174</v>
      </c>
      <c r="AD591" s="222" t="s">
        <v>174</v>
      </c>
      <c r="AE591" s="222" t="s">
        <v>174</v>
      </c>
      <c r="AF591" s="222" t="s">
        <v>174</v>
      </c>
      <c r="AG591" s="229" t="s">
        <v>2327</v>
      </c>
      <c r="AH591" s="229"/>
    </row>
    <row r="592">
      <c r="A592" s="272" t="s">
        <v>209</v>
      </c>
      <c r="B592" s="257" t="s">
        <v>2615</v>
      </c>
      <c r="C592" s="221">
        <v>240.0</v>
      </c>
      <c r="D592" s="222">
        <v>274.0</v>
      </c>
      <c r="E592" s="222">
        <v>122.0</v>
      </c>
      <c r="F592" s="222">
        <v>28.0</v>
      </c>
      <c r="G592" s="223" t="s">
        <v>164</v>
      </c>
      <c r="H592" s="221">
        <v>58.0</v>
      </c>
      <c r="I592" s="222">
        <v>58.0</v>
      </c>
      <c r="J592" s="222">
        <v>42.0</v>
      </c>
      <c r="K592" s="222">
        <v>2500.0</v>
      </c>
      <c r="L592" s="222" t="s">
        <v>44</v>
      </c>
      <c r="M592" s="223">
        <v>310.0</v>
      </c>
      <c r="N592" s="221">
        <v>2.0</v>
      </c>
      <c r="O592" s="222" t="s">
        <v>2002</v>
      </c>
      <c r="P592" s="222">
        <v>25.0</v>
      </c>
      <c r="Q592" s="222">
        <v>2200.0</v>
      </c>
      <c r="R592" s="224">
        <v>83.7</v>
      </c>
      <c r="S592" s="224">
        <v>2.63</v>
      </c>
      <c r="T592" s="225">
        <v>34.8</v>
      </c>
      <c r="U592" s="226">
        <v>53.0</v>
      </c>
      <c r="V592" s="227" t="s">
        <v>174</v>
      </c>
      <c r="W592" s="228" t="s">
        <v>166</v>
      </c>
      <c r="X592" s="222" t="s">
        <v>166</v>
      </c>
      <c r="Y592" s="223" t="s">
        <v>166</v>
      </c>
      <c r="Z592" s="221" t="s">
        <v>174</v>
      </c>
      <c r="AA592" s="222" t="s">
        <v>174</v>
      </c>
      <c r="AB592" s="222" t="s">
        <v>174</v>
      </c>
      <c r="AC592" s="222" t="s">
        <v>174</v>
      </c>
      <c r="AD592" s="222" t="s">
        <v>174</v>
      </c>
      <c r="AE592" s="222" t="s">
        <v>170</v>
      </c>
      <c r="AF592" s="222" t="s">
        <v>174</v>
      </c>
      <c r="AG592" s="229" t="s">
        <v>2327</v>
      </c>
      <c r="AH592" s="229"/>
    </row>
    <row r="593">
      <c r="A593" s="272" t="s">
        <v>209</v>
      </c>
      <c r="B593" s="257" t="s">
        <v>2616</v>
      </c>
      <c r="C593" s="221">
        <v>240.0</v>
      </c>
      <c r="D593" s="222">
        <v>273.0</v>
      </c>
      <c r="E593" s="222">
        <v>120.0</v>
      </c>
      <c r="F593" s="222">
        <v>22.0</v>
      </c>
      <c r="G593" s="223" t="s">
        <v>164</v>
      </c>
      <c r="H593" s="221">
        <v>65.0</v>
      </c>
      <c r="I593" s="222">
        <v>65.0</v>
      </c>
      <c r="J593" s="222">
        <v>39.2</v>
      </c>
      <c r="K593" s="222">
        <v>2500.0</v>
      </c>
      <c r="L593" s="222" t="s">
        <v>44</v>
      </c>
      <c r="M593" s="223">
        <v>310.0</v>
      </c>
      <c r="N593" s="221">
        <v>2.0</v>
      </c>
      <c r="O593" s="222" t="s">
        <v>2002</v>
      </c>
      <c r="P593" s="222">
        <v>15.0</v>
      </c>
      <c r="Q593" s="222">
        <v>2200.0</v>
      </c>
      <c r="R593" s="224">
        <v>35.85</v>
      </c>
      <c r="S593" s="224">
        <v>1.84</v>
      </c>
      <c r="T593" s="225">
        <v>27.4</v>
      </c>
      <c r="U593" s="226">
        <v>37.0</v>
      </c>
      <c r="V593" s="227" t="s">
        <v>166</v>
      </c>
      <c r="W593" s="228" t="s">
        <v>166</v>
      </c>
      <c r="X593" s="222" t="s">
        <v>166</v>
      </c>
      <c r="Y593" s="223" t="s">
        <v>166</v>
      </c>
      <c r="Z593" s="221" t="s">
        <v>174</v>
      </c>
      <c r="AA593" s="222" t="s">
        <v>174</v>
      </c>
      <c r="AB593" s="222" t="s">
        <v>174</v>
      </c>
      <c r="AC593" s="222" t="s">
        <v>174</v>
      </c>
      <c r="AD593" s="222" t="s">
        <v>174</v>
      </c>
      <c r="AE593" s="222" t="s">
        <v>170</v>
      </c>
      <c r="AF593" s="222" t="s">
        <v>174</v>
      </c>
      <c r="AG593" s="229" t="s">
        <v>2327</v>
      </c>
      <c r="AH593" s="229"/>
    </row>
    <row r="594">
      <c r="A594" s="272" t="s">
        <v>209</v>
      </c>
      <c r="B594" s="257" t="s">
        <v>2617</v>
      </c>
      <c r="C594" s="221">
        <v>120.0</v>
      </c>
      <c r="D594" s="222">
        <v>154.0</v>
      </c>
      <c r="E594" s="222">
        <v>120.0</v>
      </c>
      <c r="F594" s="222">
        <v>32.0</v>
      </c>
      <c r="G594" s="223" t="s">
        <v>164</v>
      </c>
      <c r="H594" s="221">
        <v>58.0</v>
      </c>
      <c r="I594" s="222">
        <v>58.0</v>
      </c>
      <c r="J594" s="222">
        <v>42.0</v>
      </c>
      <c r="K594" s="222">
        <v>2500.0</v>
      </c>
      <c r="L594" s="222" t="s">
        <v>44</v>
      </c>
      <c r="M594" s="223">
        <v>310.0</v>
      </c>
      <c r="N594" s="221">
        <v>1.0</v>
      </c>
      <c r="O594" s="222" t="s">
        <v>2002</v>
      </c>
      <c r="P594" s="222">
        <v>25.0</v>
      </c>
      <c r="Q594" s="222">
        <v>2200.0</v>
      </c>
      <c r="R594" s="224">
        <v>83.7</v>
      </c>
      <c r="S594" s="224">
        <v>2.64</v>
      </c>
      <c r="T594" s="225">
        <v>34.8</v>
      </c>
      <c r="U594" s="226">
        <v>57.0</v>
      </c>
      <c r="V594" s="227" t="s">
        <v>174</v>
      </c>
      <c r="W594" s="228" t="s">
        <v>166</v>
      </c>
      <c r="X594" s="222" t="s">
        <v>166</v>
      </c>
      <c r="Y594" s="223" t="s">
        <v>166</v>
      </c>
      <c r="Z594" s="221" t="s">
        <v>174</v>
      </c>
      <c r="AA594" s="222" t="s">
        <v>174</v>
      </c>
      <c r="AB594" s="222" t="s">
        <v>174</v>
      </c>
      <c r="AC594" s="222" t="s">
        <v>174</v>
      </c>
      <c r="AD594" s="222" t="s">
        <v>174</v>
      </c>
      <c r="AE594" s="222" t="s">
        <v>170</v>
      </c>
      <c r="AF594" s="222" t="s">
        <v>174</v>
      </c>
      <c r="AG594" s="229" t="s">
        <v>2327</v>
      </c>
      <c r="AH594" s="229"/>
    </row>
    <row r="595">
      <c r="A595" s="272" t="s">
        <v>209</v>
      </c>
      <c r="B595" s="257" t="s">
        <v>2618</v>
      </c>
      <c r="C595" s="221">
        <v>120.0</v>
      </c>
      <c r="D595" s="222">
        <v>154.0</v>
      </c>
      <c r="E595" s="222">
        <v>120.0</v>
      </c>
      <c r="F595" s="222">
        <v>22.0</v>
      </c>
      <c r="G595" s="223" t="s">
        <v>164</v>
      </c>
      <c r="H595" s="221">
        <v>74.0</v>
      </c>
      <c r="I595" s="222">
        <v>74.0</v>
      </c>
      <c r="J595" s="222">
        <v>41.0</v>
      </c>
      <c r="K595" s="222">
        <v>4200.0</v>
      </c>
      <c r="L595" s="222" t="s">
        <v>2010</v>
      </c>
      <c r="M595" s="223">
        <v>400.0</v>
      </c>
      <c r="N595" s="221">
        <v>1.0</v>
      </c>
      <c r="O595" s="222" t="s">
        <v>2002</v>
      </c>
      <c r="P595" s="222">
        <v>16.0</v>
      </c>
      <c r="Q595" s="222">
        <v>1800.0</v>
      </c>
      <c r="R595" s="224">
        <v>66.83</v>
      </c>
      <c r="S595" s="224">
        <v>2.59</v>
      </c>
      <c r="T595" s="225">
        <v>33.9</v>
      </c>
      <c r="U595" s="226">
        <v>38.0</v>
      </c>
      <c r="V595" s="227" t="s">
        <v>166</v>
      </c>
      <c r="W595" s="228" t="s">
        <v>174</v>
      </c>
      <c r="X595" s="222" t="s">
        <v>166</v>
      </c>
      <c r="Y595" s="223" t="s">
        <v>166</v>
      </c>
      <c r="Z595" s="221" t="s">
        <v>166</v>
      </c>
      <c r="AA595" s="222" t="s">
        <v>174</v>
      </c>
      <c r="AB595" s="222" t="s">
        <v>166</v>
      </c>
      <c r="AC595" s="222" t="s">
        <v>174</v>
      </c>
      <c r="AD595" s="222" t="s">
        <v>166</v>
      </c>
      <c r="AE595" s="222" t="s">
        <v>174</v>
      </c>
      <c r="AF595" s="222" t="s">
        <v>174</v>
      </c>
      <c r="AG595" s="229" t="s">
        <v>2327</v>
      </c>
      <c r="AH595" s="229"/>
    </row>
    <row r="596">
      <c r="A596" s="273" t="s">
        <v>209</v>
      </c>
      <c r="B596" s="271" t="s">
        <v>2619</v>
      </c>
      <c r="C596" s="232">
        <v>240.0</v>
      </c>
      <c r="D596" s="233">
        <v>275.0</v>
      </c>
      <c r="E596" s="233">
        <v>120.0</v>
      </c>
      <c r="F596" s="233">
        <v>22.0</v>
      </c>
      <c r="G596" s="234" t="s">
        <v>164</v>
      </c>
      <c r="H596" s="232">
        <v>74.0</v>
      </c>
      <c r="I596" s="233">
        <v>74.0</v>
      </c>
      <c r="J596" s="233">
        <v>41.0</v>
      </c>
      <c r="K596" s="233">
        <v>4200.0</v>
      </c>
      <c r="L596" s="233" t="s">
        <v>2010</v>
      </c>
      <c r="M596" s="234">
        <v>400.0</v>
      </c>
      <c r="N596" s="232">
        <v>2.0</v>
      </c>
      <c r="O596" s="233" t="s">
        <v>2002</v>
      </c>
      <c r="P596" s="233">
        <v>16.0</v>
      </c>
      <c r="Q596" s="233">
        <v>1800.0</v>
      </c>
      <c r="R596" s="235">
        <v>66.83</v>
      </c>
      <c r="S596" s="235">
        <v>2.59</v>
      </c>
      <c r="T596" s="236">
        <v>33.9</v>
      </c>
      <c r="U596" s="237">
        <v>38.0</v>
      </c>
      <c r="V596" s="238" t="s">
        <v>166</v>
      </c>
      <c r="W596" s="239" t="s">
        <v>174</v>
      </c>
      <c r="X596" s="233" t="s">
        <v>166</v>
      </c>
      <c r="Y596" s="234" t="s">
        <v>166</v>
      </c>
      <c r="Z596" s="232" t="s">
        <v>166</v>
      </c>
      <c r="AA596" s="233" t="s">
        <v>174</v>
      </c>
      <c r="AB596" s="233" t="s">
        <v>166</v>
      </c>
      <c r="AC596" s="233" t="s">
        <v>174</v>
      </c>
      <c r="AD596" s="233" t="s">
        <v>166</v>
      </c>
      <c r="AE596" s="233" t="s">
        <v>174</v>
      </c>
      <c r="AF596" s="233" t="s">
        <v>174</v>
      </c>
      <c r="AG596" s="240" t="s">
        <v>2327</v>
      </c>
      <c r="AH596" s="240"/>
    </row>
    <row r="597">
      <c r="A597" s="312" t="s">
        <v>2620</v>
      </c>
      <c r="B597" s="257" t="s">
        <v>2621</v>
      </c>
      <c r="C597" s="221">
        <v>360.0</v>
      </c>
      <c r="D597" s="222">
        <v>394.0</v>
      </c>
      <c r="E597" s="222">
        <v>120.0</v>
      </c>
      <c r="F597" s="222">
        <v>27.0</v>
      </c>
      <c r="G597" s="223" t="s">
        <v>164</v>
      </c>
      <c r="H597" s="221">
        <v>64.0</v>
      </c>
      <c r="I597" s="222">
        <v>64.0</v>
      </c>
      <c r="J597" s="222">
        <v>38.0</v>
      </c>
      <c r="K597" s="222">
        <v>2800.0</v>
      </c>
      <c r="L597" s="222" t="s">
        <v>44</v>
      </c>
      <c r="M597" s="223">
        <v>400.0</v>
      </c>
      <c r="N597" s="221">
        <v>3.0</v>
      </c>
      <c r="O597" s="222" t="s">
        <v>2002</v>
      </c>
      <c r="P597" s="222">
        <v>25.0</v>
      </c>
      <c r="Q597" s="222">
        <v>2200.0</v>
      </c>
      <c r="R597" s="224">
        <v>70.07</v>
      </c>
      <c r="S597" s="224">
        <v>3.88</v>
      </c>
      <c r="T597" s="225">
        <v>39.5</v>
      </c>
      <c r="U597" s="226">
        <v>52.0</v>
      </c>
      <c r="V597" s="227" t="s">
        <v>166</v>
      </c>
      <c r="W597" s="228" t="s">
        <v>174</v>
      </c>
      <c r="X597" s="222" t="s">
        <v>166</v>
      </c>
      <c r="Y597" s="223" t="s">
        <v>170</v>
      </c>
      <c r="Z597" s="221" t="s">
        <v>166</v>
      </c>
      <c r="AA597" s="222" t="s">
        <v>174</v>
      </c>
      <c r="AB597" s="222" t="s">
        <v>166</v>
      </c>
      <c r="AC597" s="222" t="s">
        <v>174</v>
      </c>
      <c r="AD597" s="222" t="s">
        <v>166</v>
      </c>
      <c r="AE597" s="222" t="s">
        <v>174</v>
      </c>
      <c r="AF597" s="222" t="s">
        <v>166</v>
      </c>
      <c r="AG597" s="229" t="s">
        <v>2003</v>
      </c>
      <c r="AH597" s="229"/>
    </row>
    <row r="598">
      <c r="A598" s="312" t="s">
        <v>2620</v>
      </c>
      <c r="B598" s="257" t="s">
        <v>2622</v>
      </c>
      <c r="C598" s="221">
        <v>240.0</v>
      </c>
      <c r="D598" s="222">
        <v>276.0</v>
      </c>
      <c r="E598" s="222">
        <v>120.0</v>
      </c>
      <c r="F598" s="222">
        <v>27.0</v>
      </c>
      <c r="G598" s="223" t="s">
        <v>164</v>
      </c>
      <c r="H598" s="221">
        <v>65.5</v>
      </c>
      <c r="I598" s="222">
        <v>65.5</v>
      </c>
      <c r="J598" s="222">
        <v>49.0</v>
      </c>
      <c r="K598" s="222">
        <v>4000.0</v>
      </c>
      <c r="L598" s="222" t="s">
        <v>2010</v>
      </c>
      <c r="M598" s="223">
        <v>400.0</v>
      </c>
      <c r="N598" s="221">
        <v>2.0</v>
      </c>
      <c r="O598" s="222" t="s">
        <v>2002</v>
      </c>
      <c r="P598" s="222">
        <v>25.0</v>
      </c>
      <c r="Q598" s="222">
        <v>2200.0</v>
      </c>
      <c r="R598" s="224">
        <v>93.97</v>
      </c>
      <c r="S598" s="224">
        <v>3.53</v>
      </c>
      <c r="T598" s="225">
        <v>35.6</v>
      </c>
      <c r="U598" s="226">
        <v>52.0</v>
      </c>
      <c r="V598" s="227" t="s">
        <v>166</v>
      </c>
      <c r="W598" s="228" t="s">
        <v>174</v>
      </c>
      <c r="X598" s="222" t="s">
        <v>166</v>
      </c>
      <c r="Y598" s="223" t="s">
        <v>170</v>
      </c>
      <c r="Z598" s="221" t="s">
        <v>174</v>
      </c>
      <c r="AA598" s="222" t="s">
        <v>174</v>
      </c>
      <c r="AB598" s="222" t="s">
        <v>166</v>
      </c>
      <c r="AC598" s="222" t="s">
        <v>174</v>
      </c>
      <c r="AD598" s="222" t="s">
        <v>174</v>
      </c>
      <c r="AE598" s="222" t="s">
        <v>174</v>
      </c>
      <c r="AF598" s="222" t="s">
        <v>174</v>
      </c>
      <c r="AG598" s="229" t="s">
        <v>2327</v>
      </c>
      <c r="AH598" s="229"/>
    </row>
    <row r="599">
      <c r="A599" s="312" t="s">
        <v>2620</v>
      </c>
      <c r="B599" s="257" t="s">
        <v>2623</v>
      </c>
      <c r="C599" s="221">
        <v>360.0</v>
      </c>
      <c r="D599" s="222">
        <v>396.0</v>
      </c>
      <c r="E599" s="222">
        <v>120.0</v>
      </c>
      <c r="F599" s="222">
        <v>27.0</v>
      </c>
      <c r="G599" s="223" t="s">
        <v>164</v>
      </c>
      <c r="H599" s="221">
        <v>65.5</v>
      </c>
      <c r="I599" s="222">
        <v>65.5</v>
      </c>
      <c r="J599" s="222">
        <v>49.0</v>
      </c>
      <c r="K599" s="222">
        <v>4000.0</v>
      </c>
      <c r="L599" s="222" t="s">
        <v>2010</v>
      </c>
      <c r="M599" s="223">
        <v>400.0</v>
      </c>
      <c r="N599" s="221">
        <v>3.0</v>
      </c>
      <c r="O599" s="222" t="s">
        <v>2002</v>
      </c>
      <c r="P599" s="222">
        <v>25.0</v>
      </c>
      <c r="Q599" s="222">
        <v>2200.0</v>
      </c>
      <c r="R599" s="224">
        <v>93.97</v>
      </c>
      <c r="S599" s="224">
        <v>3.53</v>
      </c>
      <c r="T599" s="225">
        <v>35.6</v>
      </c>
      <c r="U599" s="226">
        <v>52.0</v>
      </c>
      <c r="V599" s="227" t="s">
        <v>166</v>
      </c>
      <c r="W599" s="228" t="s">
        <v>174</v>
      </c>
      <c r="X599" s="222" t="s">
        <v>166</v>
      </c>
      <c r="Y599" s="223" t="s">
        <v>170</v>
      </c>
      <c r="Z599" s="221" t="s">
        <v>174</v>
      </c>
      <c r="AA599" s="222" t="s">
        <v>174</v>
      </c>
      <c r="AB599" s="222" t="s">
        <v>166</v>
      </c>
      <c r="AC599" s="222" t="s">
        <v>174</v>
      </c>
      <c r="AD599" s="222" t="s">
        <v>174</v>
      </c>
      <c r="AE599" s="222" t="s">
        <v>174</v>
      </c>
      <c r="AF599" s="222" t="s">
        <v>174</v>
      </c>
      <c r="AG599" s="229" t="s">
        <v>2327</v>
      </c>
      <c r="AH599" s="229"/>
    </row>
    <row r="600">
      <c r="A600" s="313" t="s">
        <v>2620</v>
      </c>
      <c r="B600" s="271" t="s">
        <v>2624</v>
      </c>
      <c r="C600" s="232">
        <v>360.0</v>
      </c>
      <c r="D600" s="233">
        <v>396.0</v>
      </c>
      <c r="E600" s="233">
        <v>120.0</v>
      </c>
      <c r="F600" s="233">
        <v>27.0</v>
      </c>
      <c r="G600" s="234" t="s">
        <v>164</v>
      </c>
      <c r="H600" s="232">
        <v>65.5</v>
      </c>
      <c r="I600" s="233">
        <v>65.5</v>
      </c>
      <c r="J600" s="233">
        <v>49.0</v>
      </c>
      <c r="K600" s="233">
        <v>4000.0</v>
      </c>
      <c r="L600" s="233" t="s">
        <v>2010</v>
      </c>
      <c r="M600" s="234">
        <v>400.0</v>
      </c>
      <c r="N600" s="232">
        <v>3.0</v>
      </c>
      <c r="O600" s="233" t="s">
        <v>2002</v>
      </c>
      <c r="P600" s="233">
        <v>25.0</v>
      </c>
      <c r="Q600" s="233">
        <v>2200.0</v>
      </c>
      <c r="R600" s="235">
        <v>70.07</v>
      </c>
      <c r="S600" s="235">
        <v>3.88</v>
      </c>
      <c r="T600" s="236">
        <v>39.5</v>
      </c>
      <c r="U600" s="237">
        <v>52.0</v>
      </c>
      <c r="V600" s="238" t="s">
        <v>166</v>
      </c>
      <c r="W600" s="239" t="s">
        <v>174</v>
      </c>
      <c r="X600" s="233" t="s">
        <v>166</v>
      </c>
      <c r="Y600" s="234" t="s">
        <v>170</v>
      </c>
      <c r="Z600" s="232" t="s">
        <v>174</v>
      </c>
      <c r="AA600" s="233" t="s">
        <v>174</v>
      </c>
      <c r="AB600" s="233" t="s">
        <v>166</v>
      </c>
      <c r="AC600" s="233" t="s">
        <v>174</v>
      </c>
      <c r="AD600" s="233" t="s">
        <v>174</v>
      </c>
      <c r="AE600" s="233" t="s">
        <v>174</v>
      </c>
      <c r="AF600" s="233" t="s">
        <v>174</v>
      </c>
      <c r="AG600" s="240" t="s">
        <v>2327</v>
      </c>
      <c r="AH600" s="240"/>
    </row>
    <row r="601">
      <c r="A601" s="314" t="s">
        <v>1634</v>
      </c>
      <c r="B601" s="257" t="s">
        <v>2625</v>
      </c>
      <c r="C601" s="221">
        <v>120.0</v>
      </c>
      <c r="D601" s="222">
        <v>157.0</v>
      </c>
      <c r="E601" s="222">
        <v>120.0</v>
      </c>
      <c r="F601" s="222">
        <v>27.0</v>
      </c>
      <c r="G601" s="223" t="s">
        <v>164</v>
      </c>
      <c r="H601" s="221">
        <v>61.7</v>
      </c>
      <c r="I601" s="222">
        <v>61.7</v>
      </c>
      <c r="J601" s="222">
        <v>53.8</v>
      </c>
      <c r="K601" s="222">
        <v>3300.0</v>
      </c>
      <c r="L601" s="222" t="s">
        <v>44</v>
      </c>
      <c r="M601" s="223">
        <v>300.0</v>
      </c>
      <c r="N601" s="221">
        <v>1.0</v>
      </c>
      <c r="O601" s="222" t="s">
        <v>2002</v>
      </c>
      <c r="P601" s="222">
        <v>25.0</v>
      </c>
      <c r="Q601" s="222">
        <v>1500.0</v>
      </c>
      <c r="R601" s="224">
        <v>66.17</v>
      </c>
      <c r="S601" s="224">
        <v>1.53</v>
      </c>
      <c r="T601" s="225">
        <v>25.6</v>
      </c>
      <c r="U601" s="226">
        <v>52.0</v>
      </c>
      <c r="V601" s="221" t="s">
        <v>166</v>
      </c>
      <c r="W601" s="241" t="s">
        <v>174</v>
      </c>
      <c r="X601" s="222" t="s">
        <v>166</v>
      </c>
      <c r="Y601" s="223" t="s">
        <v>170</v>
      </c>
      <c r="Z601" s="221" t="s">
        <v>166</v>
      </c>
      <c r="AA601" s="222" t="s">
        <v>174</v>
      </c>
      <c r="AB601" s="222" t="s">
        <v>166</v>
      </c>
      <c r="AC601" s="222" t="s">
        <v>174</v>
      </c>
      <c r="AD601" s="222" t="s">
        <v>166</v>
      </c>
      <c r="AE601" s="222" t="s">
        <v>174</v>
      </c>
      <c r="AF601" s="222" t="s">
        <v>174</v>
      </c>
      <c r="AG601" s="222" t="s">
        <v>170</v>
      </c>
      <c r="AH601" s="222"/>
    </row>
    <row r="602">
      <c r="A602" s="314" t="s">
        <v>1634</v>
      </c>
      <c r="B602" s="257" t="s">
        <v>2626</v>
      </c>
      <c r="C602" s="221">
        <v>240.0</v>
      </c>
      <c r="D602" s="222">
        <v>270.0</v>
      </c>
      <c r="E602" s="222">
        <v>120.0</v>
      </c>
      <c r="F602" s="222">
        <v>27.0</v>
      </c>
      <c r="G602" s="223" t="s">
        <v>164</v>
      </c>
      <c r="H602" s="221">
        <v>72.0</v>
      </c>
      <c r="I602" s="222">
        <v>72.0</v>
      </c>
      <c r="J602" s="222">
        <v>48.0</v>
      </c>
      <c r="K602" s="222">
        <v>2600.0</v>
      </c>
      <c r="L602" s="222" t="s">
        <v>44</v>
      </c>
      <c r="M602" s="223">
        <v>400.0</v>
      </c>
      <c r="N602" s="221">
        <v>2.0</v>
      </c>
      <c r="O602" s="222" t="s">
        <v>2002</v>
      </c>
      <c r="P602" s="222">
        <v>25.0</v>
      </c>
      <c r="Q602" s="222">
        <v>1550.0</v>
      </c>
      <c r="R602" s="224">
        <v>66.17</v>
      </c>
      <c r="S602" s="224">
        <v>1.53</v>
      </c>
      <c r="T602" s="225">
        <v>25.6</v>
      </c>
      <c r="U602" s="226">
        <v>52.0</v>
      </c>
      <c r="V602" s="221" t="s">
        <v>166</v>
      </c>
      <c r="W602" s="241" t="s">
        <v>174</v>
      </c>
      <c r="X602" s="222" t="s">
        <v>166</v>
      </c>
      <c r="Y602" s="223" t="s">
        <v>166</v>
      </c>
      <c r="Z602" s="221" t="s">
        <v>174</v>
      </c>
      <c r="AA602" s="222" t="s">
        <v>174</v>
      </c>
      <c r="AB602" s="222" t="s">
        <v>166</v>
      </c>
      <c r="AC602" s="222" t="s">
        <v>174</v>
      </c>
      <c r="AD602" s="222" t="s">
        <v>166</v>
      </c>
      <c r="AE602" s="222" t="s">
        <v>174</v>
      </c>
      <c r="AF602" s="222" t="s">
        <v>174</v>
      </c>
      <c r="AG602" s="222" t="s">
        <v>170</v>
      </c>
      <c r="AH602" s="222"/>
    </row>
    <row r="603">
      <c r="A603" s="314" t="s">
        <v>1634</v>
      </c>
      <c r="B603" s="257" t="s">
        <v>2627</v>
      </c>
      <c r="C603" s="221">
        <v>240.0</v>
      </c>
      <c r="D603" s="222">
        <v>277.0</v>
      </c>
      <c r="E603" s="222">
        <v>120.0</v>
      </c>
      <c r="F603" s="222">
        <v>27.0</v>
      </c>
      <c r="G603" s="223" t="s">
        <v>164</v>
      </c>
      <c r="H603" s="221">
        <v>72.0</v>
      </c>
      <c r="I603" s="222">
        <v>72.0</v>
      </c>
      <c r="J603" s="222">
        <v>48.0</v>
      </c>
      <c r="K603" s="222">
        <v>2600.0</v>
      </c>
      <c r="L603" s="222" t="s">
        <v>44</v>
      </c>
      <c r="M603" s="223">
        <v>400.0</v>
      </c>
      <c r="N603" s="221">
        <v>2.0</v>
      </c>
      <c r="O603" s="222" t="s">
        <v>2002</v>
      </c>
      <c r="P603" s="222">
        <v>25.0</v>
      </c>
      <c r="Q603" s="222">
        <v>2000.0</v>
      </c>
      <c r="R603" s="224">
        <v>68.9</v>
      </c>
      <c r="S603" s="224">
        <v>2.21</v>
      </c>
      <c r="T603" s="225">
        <v>28.2</v>
      </c>
      <c r="U603" s="226">
        <v>52.0</v>
      </c>
      <c r="V603" s="221" t="s">
        <v>166</v>
      </c>
      <c r="W603" s="241" t="s">
        <v>174</v>
      </c>
      <c r="X603" s="222" t="s">
        <v>166</v>
      </c>
      <c r="Y603" s="223" t="s">
        <v>170</v>
      </c>
      <c r="Z603" s="221" t="s">
        <v>174</v>
      </c>
      <c r="AA603" s="222" t="s">
        <v>174</v>
      </c>
      <c r="AB603" s="222" t="s">
        <v>166</v>
      </c>
      <c r="AC603" s="222" t="s">
        <v>174</v>
      </c>
      <c r="AD603" s="222" t="s">
        <v>166</v>
      </c>
      <c r="AE603" s="222" t="s">
        <v>174</v>
      </c>
      <c r="AF603" s="222" t="s">
        <v>174</v>
      </c>
      <c r="AG603" s="222" t="s">
        <v>170</v>
      </c>
      <c r="AH603" s="222"/>
    </row>
    <row r="604">
      <c r="A604" s="314" t="s">
        <v>1634</v>
      </c>
      <c r="B604" s="257" t="s">
        <v>2628</v>
      </c>
      <c r="C604" s="221">
        <v>240.0</v>
      </c>
      <c r="D604" s="222">
        <v>276.0</v>
      </c>
      <c r="E604" s="222">
        <v>120.0</v>
      </c>
      <c r="F604" s="222">
        <v>27.0</v>
      </c>
      <c r="G604" s="223" t="s">
        <v>164</v>
      </c>
      <c r="H604" s="221">
        <v>61.7</v>
      </c>
      <c r="I604" s="222">
        <v>61.7</v>
      </c>
      <c r="J604" s="222">
        <v>53.8</v>
      </c>
      <c r="K604" s="222">
        <v>3300.0</v>
      </c>
      <c r="L604" s="222" t="s">
        <v>44</v>
      </c>
      <c r="M604" s="223">
        <v>400.0</v>
      </c>
      <c r="N604" s="221">
        <v>2.0</v>
      </c>
      <c r="O604" s="222" t="s">
        <v>2002</v>
      </c>
      <c r="P604" s="222">
        <v>25.0</v>
      </c>
      <c r="Q604" s="222">
        <v>1500.0</v>
      </c>
      <c r="R604" s="224">
        <v>66.17</v>
      </c>
      <c r="S604" s="224">
        <v>1.53</v>
      </c>
      <c r="T604" s="225">
        <v>25.6</v>
      </c>
      <c r="U604" s="226">
        <v>52.0</v>
      </c>
      <c r="V604" s="221" t="s">
        <v>166</v>
      </c>
      <c r="W604" s="241" t="s">
        <v>174</v>
      </c>
      <c r="X604" s="222" t="s">
        <v>166</v>
      </c>
      <c r="Y604" s="223" t="s">
        <v>170</v>
      </c>
      <c r="Z604" s="221" t="s">
        <v>166</v>
      </c>
      <c r="AA604" s="222" t="s">
        <v>174</v>
      </c>
      <c r="AB604" s="222" t="s">
        <v>166</v>
      </c>
      <c r="AC604" s="222" t="s">
        <v>174</v>
      </c>
      <c r="AD604" s="222" t="s">
        <v>166</v>
      </c>
      <c r="AE604" s="222" t="s">
        <v>174</v>
      </c>
      <c r="AF604" s="222" t="s">
        <v>174</v>
      </c>
      <c r="AG604" s="222" t="s">
        <v>170</v>
      </c>
      <c r="AH604" s="222"/>
    </row>
    <row r="605">
      <c r="A605" s="314" t="s">
        <v>1634</v>
      </c>
      <c r="B605" s="257" t="s">
        <v>2629</v>
      </c>
      <c r="C605" s="221">
        <v>240.0</v>
      </c>
      <c r="D605" s="222">
        <v>270.0</v>
      </c>
      <c r="E605" s="222">
        <v>120.0</v>
      </c>
      <c r="F605" s="222">
        <v>27.0</v>
      </c>
      <c r="G605" s="223" t="s">
        <v>164</v>
      </c>
      <c r="H605" s="221">
        <v>72.0</v>
      </c>
      <c r="I605" s="222">
        <v>72.0</v>
      </c>
      <c r="J605" s="222">
        <v>48.0</v>
      </c>
      <c r="K605" s="222">
        <v>2600.0</v>
      </c>
      <c r="L605" s="222" t="s">
        <v>44</v>
      </c>
      <c r="M605" s="223">
        <v>400.0</v>
      </c>
      <c r="N605" s="221">
        <v>2.0</v>
      </c>
      <c r="O605" s="222" t="s">
        <v>2002</v>
      </c>
      <c r="P605" s="222">
        <v>25.0</v>
      </c>
      <c r="Q605" s="222">
        <v>1550.0</v>
      </c>
      <c r="R605" s="224">
        <v>66.17</v>
      </c>
      <c r="S605" s="224">
        <v>1.53</v>
      </c>
      <c r="T605" s="225">
        <v>25.6</v>
      </c>
      <c r="U605" s="226">
        <v>52.0</v>
      </c>
      <c r="V605" s="227" t="s">
        <v>166</v>
      </c>
      <c r="W605" s="228" t="s">
        <v>174</v>
      </c>
      <c r="X605" s="222" t="s">
        <v>166</v>
      </c>
      <c r="Y605" s="223" t="s">
        <v>166</v>
      </c>
      <c r="Z605" s="221" t="s">
        <v>174</v>
      </c>
      <c r="AA605" s="222" t="s">
        <v>174</v>
      </c>
      <c r="AB605" s="222" t="s">
        <v>166</v>
      </c>
      <c r="AC605" s="222" t="s">
        <v>174</v>
      </c>
      <c r="AD605" s="222" t="s">
        <v>166</v>
      </c>
      <c r="AE605" s="222" t="s">
        <v>174</v>
      </c>
      <c r="AF605" s="222" t="s">
        <v>174</v>
      </c>
      <c r="AG605" s="222" t="s">
        <v>170</v>
      </c>
      <c r="AH605" s="222"/>
    </row>
    <row r="606">
      <c r="A606" s="314" t="s">
        <v>1634</v>
      </c>
      <c r="B606" s="257" t="s">
        <v>2630</v>
      </c>
      <c r="C606" s="221">
        <v>240.0</v>
      </c>
      <c r="D606" s="222">
        <v>277.0</v>
      </c>
      <c r="E606" s="222">
        <v>120.0</v>
      </c>
      <c r="F606" s="222">
        <v>27.0</v>
      </c>
      <c r="G606" s="223" t="s">
        <v>164</v>
      </c>
      <c r="H606" s="221">
        <v>72.0</v>
      </c>
      <c r="I606" s="222">
        <v>72.0</v>
      </c>
      <c r="J606" s="222">
        <v>48.0</v>
      </c>
      <c r="K606" s="222">
        <v>2600.0</v>
      </c>
      <c r="L606" s="222" t="s">
        <v>44</v>
      </c>
      <c r="M606" s="223">
        <v>400.0</v>
      </c>
      <c r="N606" s="221">
        <v>2.0</v>
      </c>
      <c r="O606" s="222" t="s">
        <v>2002</v>
      </c>
      <c r="P606" s="222">
        <v>25.0</v>
      </c>
      <c r="Q606" s="222">
        <v>2000.0</v>
      </c>
      <c r="R606" s="224">
        <v>68.9</v>
      </c>
      <c r="S606" s="224">
        <v>2.21</v>
      </c>
      <c r="T606" s="225">
        <v>28.2</v>
      </c>
      <c r="U606" s="226">
        <v>52.0</v>
      </c>
      <c r="V606" s="221" t="s">
        <v>166</v>
      </c>
      <c r="W606" s="241" t="s">
        <v>174</v>
      </c>
      <c r="X606" s="222" t="s">
        <v>166</v>
      </c>
      <c r="Y606" s="223" t="s">
        <v>170</v>
      </c>
      <c r="Z606" s="221" t="s">
        <v>174</v>
      </c>
      <c r="AA606" s="222" t="s">
        <v>174</v>
      </c>
      <c r="AB606" s="222" t="s">
        <v>166</v>
      </c>
      <c r="AC606" s="222" t="s">
        <v>174</v>
      </c>
      <c r="AD606" s="222" t="s">
        <v>166</v>
      </c>
      <c r="AE606" s="222" t="s">
        <v>174</v>
      </c>
      <c r="AF606" s="222" t="s">
        <v>174</v>
      </c>
      <c r="AG606" s="222" t="s">
        <v>170</v>
      </c>
      <c r="AH606" s="222"/>
    </row>
    <row r="607">
      <c r="A607" s="314" t="s">
        <v>1634</v>
      </c>
      <c r="B607" s="257" t="s">
        <v>2631</v>
      </c>
      <c r="C607" s="221">
        <v>240.0</v>
      </c>
      <c r="D607" s="222">
        <v>276.0</v>
      </c>
      <c r="E607" s="222">
        <v>120.0</v>
      </c>
      <c r="F607" s="222">
        <v>27.0</v>
      </c>
      <c r="G607" s="223" t="s">
        <v>164</v>
      </c>
      <c r="H607" s="221">
        <v>61.7</v>
      </c>
      <c r="I607" s="222">
        <v>61.7</v>
      </c>
      <c r="J607" s="222">
        <v>53.8</v>
      </c>
      <c r="K607" s="222">
        <v>3300.0</v>
      </c>
      <c r="L607" s="222" t="s">
        <v>44</v>
      </c>
      <c r="M607" s="223">
        <v>400.0</v>
      </c>
      <c r="N607" s="221">
        <v>2.0</v>
      </c>
      <c r="O607" s="222" t="s">
        <v>2002</v>
      </c>
      <c r="P607" s="222">
        <v>25.0</v>
      </c>
      <c r="Q607" s="222">
        <v>1500.0</v>
      </c>
      <c r="R607" s="224">
        <v>66.17</v>
      </c>
      <c r="S607" s="224">
        <v>1.53</v>
      </c>
      <c r="T607" s="225">
        <v>25.6</v>
      </c>
      <c r="U607" s="226">
        <v>52.0</v>
      </c>
      <c r="V607" s="221" t="s">
        <v>166</v>
      </c>
      <c r="W607" s="241" t="s">
        <v>174</v>
      </c>
      <c r="X607" s="222" t="s">
        <v>166</v>
      </c>
      <c r="Y607" s="223" t="s">
        <v>170</v>
      </c>
      <c r="Z607" s="221" t="s">
        <v>166</v>
      </c>
      <c r="AA607" s="222" t="s">
        <v>174</v>
      </c>
      <c r="AB607" s="222" t="s">
        <v>166</v>
      </c>
      <c r="AC607" s="222" t="s">
        <v>174</v>
      </c>
      <c r="AD607" s="222" t="s">
        <v>166</v>
      </c>
      <c r="AE607" s="222" t="s">
        <v>174</v>
      </c>
      <c r="AF607" s="222" t="s">
        <v>174</v>
      </c>
      <c r="AG607" s="222" t="s">
        <v>170</v>
      </c>
      <c r="AH607" s="222"/>
    </row>
    <row r="608">
      <c r="A608" s="314" t="s">
        <v>1634</v>
      </c>
      <c r="B608" s="257" t="s">
        <v>2632</v>
      </c>
      <c r="C608" s="221">
        <v>360.0</v>
      </c>
      <c r="D608" s="222">
        <v>397.0</v>
      </c>
      <c r="E608" s="222">
        <v>120.0</v>
      </c>
      <c r="F608" s="222">
        <v>27.0</v>
      </c>
      <c r="G608" s="223" t="s">
        <v>164</v>
      </c>
      <c r="H608" s="221">
        <v>72.0</v>
      </c>
      <c r="I608" s="222">
        <v>72.0</v>
      </c>
      <c r="J608" s="222">
        <v>48.0</v>
      </c>
      <c r="K608" s="222">
        <v>2600.0</v>
      </c>
      <c r="L608" s="222" t="s">
        <v>44</v>
      </c>
      <c r="M608" s="223">
        <v>450.0</v>
      </c>
      <c r="N608" s="221">
        <v>3.0</v>
      </c>
      <c r="O608" s="222" t="s">
        <v>2002</v>
      </c>
      <c r="P608" s="222">
        <v>25.0</v>
      </c>
      <c r="Q608" s="222">
        <v>1550.0</v>
      </c>
      <c r="R608" s="224">
        <v>66.17</v>
      </c>
      <c r="S608" s="224">
        <v>1.53</v>
      </c>
      <c r="T608" s="225">
        <v>25.6</v>
      </c>
      <c r="U608" s="226">
        <v>52.0</v>
      </c>
      <c r="V608" s="227" t="s">
        <v>166</v>
      </c>
      <c r="W608" s="228" t="s">
        <v>174</v>
      </c>
      <c r="X608" s="222" t="s">
        <v>166</v>
      </c>
      <c r="Y608" s="223" t="s">
        <v>166</v>
      </c>
      <c r="Z608" s="221" t="s">
        <v>174</v>
      </c>
      <c r="AA608" s="222" t="s">
        <v>174</v>
      </c>
      <c r="AB608" s="222" t="s">
        <v>166</v>
      </c>
      <c r="AC608" s="222" t="s">
        <v>174</v>
      </c>
      <c r="AD608" s="222" t="s">
        <v>166</v>
      </c>
      <c r="AE608" s="222" t="s">
        <v>174</v>
      </c>
      <c r="AF608" s="222" t="s">
        <v>174</v>
      </c>
      <c r="AG608" s="222" t="s">
        <v>170</v>
      </c>
      <c r="AH608" s="222"/>
    </row>
    <row r="609">
      <c r="A609" s="314" t="s">
        <v>1634</v>
      </c>
      <c r="B609" s="257" t="s">
        <v>2633</v>
      </c>
      <c r="C609" s="221">
        <v>360.0</v>
      </c>
      <c r="D609" s="222">
        <v>397.0</v>
      </c>
      <c r="E609" s="222">
        <v>120.0</v>
      </c>
      <c r="F609" s="222">
        <v>27.0</v>
      </c>
      <c r="G609" s="223" t="s">
        <v>164</v>
      </c>
      <c r="H609" s="221">
        <v>72.0</v>
      </c>
      <c r="I609" s="222">
        <v>72.0</v>
      </c>
      <c r="J609" s="222">
        <v>48.0</v>
      </c>
      <c r="K609" s="222">
        <v>2600.0</v>
      </c>
      <c r="L609" s="222" t="s">
        <v>44</v>
      </c>
      <c r="M609" s="223">
        <v>450.0</v>
      </c>
      <c r="N609" s="221">
        <v>3.0</v>
      </c>
      <c r="O609" s="222" t="s">
        <v>2002</v>
      </c>
      <c r="P609" s="222">
        <v>25.0</v>
      </c>
      <c r="Q609" s="222">
        <v>2000.0</v>
      </c>
      <c r="R609" s="224">
        <v>68.9</v>
      </c>
      <c r="S609" s="224">
        <v>2.21</v>
      </c>
      <c r="T609" s="225">
        <v>28.2</v>
      </c>
      <c r="U609" s="226">
        <v>52.0</v>
      </c>
      <c r="V609" s="221" t="s">
        <v>166</v>
      </c>
      <c r="W609" s="241" t="s">
        <v>174</v>
      </c>
      <c r="X609" s="222" t="s">
        <v>166</v>
      </c>
      <c r="Y609" s="223" t="s">
        <v>170</v>
      </c>
      <c r="Z609" s="221" t="s">
        <v>174</v>
      </c>
      <c r="AA609" s="222" t="s">
        <v>174</v>
      </c>
      <c r="AB609" s="222" t="s">
        <v>166</v>
      </c>
      <c r="AC609" s="222" t="s">
        <v>174</v>
      </c>
      <c r="AD609" s="222" t="s">
        <v>166</v>
      </c>
      <c r="AE609" s="222" t="s">
        <v>174</v>
      </c>
      <c r="AF609" s="222" t="s">
        <v>174</v>
      </c>
      <c r="AG609" s="222" t="s">
        <v>170</v>
      </c>
      <c r="AH609" s="222"/>
    </row>
    <row r="610">
      <c r="A610" s="314" t="s">
        <v>1634</v>
      </c>
      <c r="B610" s="257" t="s">
        <v>2634</v>
      </c>
      <c r="C610" s="221">
        <v>360.0</v>
      </c>
      <c r="D610" s="222">
        <v>396.0</v>
      </c>
      <c r="E610" s="222">
        <v>120.0</v>
      </c>
      <c r="F610" s="222">
        <v>27.0</v>
      </c>
      <c r="G610" s="223" t="s">
        <v>164</v>
      </c>
      <c r="H610" s="221">
        <v>61.7</v>
      </c>
      <c r="I610" s="222">
        <v>61.7</v>
      </c>
      <c r="J610" s="222">
        <v>53.8</v>
      </c>
      <c r="K610" s="222">
        <v>3300.0</v>
      </c>
      <c r="L610" s="222" t="s">
        <v>44</v>
      </c>
      <c r="M610" s="223">
        <v>450.0</v>
      </c>
      <c r="N610" s="221">
        <v>3.0</v>
      </c>
      <c r="O610" s="222" t="s">
        <v>2002</v>
      </c>
      <c r="P610" s="222">
        <v>25.0</v>
      </c>
      <c r="Q610" s="222">
        <v>1500.0</v>
      </c>
      <c r="R610" s="224">
        <v>66.17</v>
      </c>
      <c r="S610" s="224">
        <v>1.53</v>
      </c>
      <c r="T610" s="225">
        <v>25.6</v>
      </c>
      <c r="U610" s="226">
        <v>52.0</v>
      </c>
      <c r="V610" s="221" t="s">
        <v>166</v>
      </c>
      <c r="W610" s="241" t="s">
        <v>174</v>
      </c>
      <c r="X610" s="222" t="s">
        <v>166</v>
      </c>
      <c r="Y610" s="223" t="s">
        <v>170</v>
      </c>
      <c r="Z610" s="221" t="s">
        <v>166</v>
      </c>
      <c r="AA610" s="222" t="s">
        <v>174</v>
      </c>
      <c r="AB610" s="222" t="s">
        <v>166</v>
      </c>
      <c r="AC610" s="222" t="s">
        <v>174</v>
      </c>
      <c r="AD610" s="222" t="s">
        <v>166</v>
      </c>
      <c r="AE610" s="222" t="s">
        <v>174</v>
      </c>
      <c r="AF610" s="222" t="s">
        <v>174</v>
      </c>
      <c r="AG610" s="222" t="s">
        <v>170</v>
      </c>
      <c r="AH610" s="222"/>
    </row>
    <row r="611">
      <c r="A611" s="314" t="s">
        <v>1634</v>
      </c>
      <c r="B611" s="257" t="s">
        <v>2635</v>
      </c>
      <c r="C611" s="221">
        <v>360.0</v>
      </c>
      <c r="D611" s="222">
        <v>397.0</v>
      </c>
      <c r="E611" s="222">
        <v>120.0</v>
      </c>
      <c r="F611" s="222">
        <v>27.0</v>
      </c>
      <c r="G611" s="223" t="s">
        <v>164</v>
      </c>
      <c r="H611" s="221">
        <v>72.0</v>
      </c>
      <c r="I611" s="222">
        <v>72.0</v>
      </c>
      <c r="J611" s="222">
        <v>48.0</v>
      </c>
      <c r="K611" s="222">
        <v>2600.0</v>
      </c>
      <c r="L611" s="222" t="s">
        <v>44</v>
      </c>
      <c r="M611" s="223">
        <v>450.0</v>
      </c>
      <c r="N611" s="221">
        <v>3.0</v>
      </c>
      <c r="O611" s="222" t="s">
        <v>2002</v>
      </c>
      <c r="P611" s="222">
        <v>25.0</v>
      </c>
      <c r="Q611" s="222">
        <v>1550.0</v>
      </c>
      <c r="R611" s="224">
        <v>66.17</v>
      </c>
      <c r="S611" s="224">
        <v>1.53</v>
      </c>
      <c r="T611" s="225">
        <v>25.6</v>
      </c>
      <c r="U611" s="226">
        <v>52.0</v>
      </c>
      <c r="V611" s="227" t="s">
        <v>166</v>
      </c>
      <c r="W611" s="228" t="s">
        <v>174</v>
      </c>
      <c r="X611" s="222" t="s">
        <v>166</v>
      </c>
      <c r="Y611" s="223" t="s">
        <v>166</v>
      </c>
      <c r="Z611" s="221" t="s">
        <v>174</v>
      </c>
      <c r="AA611" s="222" t="s">
        <v>174</v>
      </c>
      <c r="AB611" s="222" t="s">
        <v>166</v>
      </c>
      <c r="AC611" s="222" t="s">
        <v>174</v>
      </c>
      <c r="AD611" s="222" t="s">
        <v>166</v>
      </c>
      <c r="AE611" s="222" t="s">
        <v>174</v>
      </c>
      <c r="AF611" s="222" t="s">
        <v>174</v>
      </c>
      <c r="AG611" s="222" t="s">
        <v>170</v>
      </c>
      <c r="AH611" s="222"/>
    </row>
    <row r="612">
      <c r="A612" s="314" t="s">
        <v>1634</v>
      </c>
      <c r="B612" s="257" t="s">
        <v>2636</v>
      </c>
      <c r="C612" s="221">
        <v>360.0</v>
      </c>
      <c r="D612" s="222">
        <v>397.0</v>
      </c>
      <c r="E612" s="222">
        <v>120.0</v>
      </c>
      <c r="F612" s="222">
        <v>27.0</v>
      </c>
      <c r="G612" s="223" t="s">
        <v>164</v>
      </c>
      <c r="H612" s="221">
        <v>72.0</v>
      </c>
      <c r="I612" s="222">
        <v>72.0</v>
      </c>
      <c r="J612" s="222">
        <v>48.0</v>
      </c>
      <c r="K612" s="222">
        <v>2600.0</v>
      </c>
      <c r="L612" s="222" t="s">
        <v>44</v>
      </c>
      <c r="M612" s="223">
        <v>450.0</v>
      </c>
      <c r="N612" s="221">
        <v>3.0</v>
      </c>
      <c r="O612" s="222" t="s">
        <v>2002</v>
      </c>
      <c r="P612" s="222">
        <v>25.0</v>
      </c>
      <c r="Q612" s="222">
        <v>2000.0</v>
      </c>
      <c r="R612" s="224">
        <v>68.9</v>
      </c>
      <c r="S612" s="224">
        <v>2.21</v>
      </c>
      <c r="T612" s="225">
        <v>28.2</v>
      </c>
      <c r="U612" s="226">
        <v>52.0</v>
      </c>
      <c r="V612" s="221" t="s">
        <v>166</v>
      </c>
      <c r="W612" s="241" t="s">
        <v>174</v>
      </c>
      <c r="X612" s="222" t="s">
        <v>166</v>
      </c>
      <c r="Y612" s="223" t="s">
        <v>170</v>
      </c>
      <c r="Z612" s="221" t="s">
        <v>174</v>
      </c>
      <c r="AA612" s="222" t="s">
        <v>174</v>
      </c>
      <c r="AB612" s="222" t="s">
        <v>166</v>
      </c>
      <c r="AC612" s="222" t="s">
        <v>174</v>
      </c>
      <c r="AD612" s="222" t="s">
        <v>166</v>
      </c>
      <c r="AE612" s="222" t="s">
        <v>174</v>
      </c>
      <c r="AF612" s="222" t="s">
        <v>174</v>
      </c>
      <c r="AG612" s="222" t="s">
        <v>170</v>
      </c>
      <c r="AH612" s="222"/>
    </row>
    <row r="613">
      <c r="A613" s="314" t="s">
        <v>1634</v>
      </c>
      <c r="B613" s="257" t="s">
        <v>2637</v>
      </c>
      <c r="C613" s="221">
        <v>360.0</v>
      </c>
      <c r="D613" s="222">
        <v>396.0</v>
      </c>
      <c r="E613" s="222">
        <v>120.0</v>
      </c>
      <c r="F613" s="222">
        <v>27.0</v>
      </c>
      <c r="G613" s="223" t="s">
        <v>164</v>
      </c>
      <c r="H613" s="221">
        <v>61.7</v>
      </c>
      <c r="I613" s="222">
        <v>61.7</v>
      </c>
      <c r="J613" s="222">
        <v>53.8</v>
      </c>
      <c r="K613" s="222">
        <v>3300.0</v>
      </c>
      <c r="L613" s="222" t="s">
        <v>44</v>
      </c>
      <c r="M613" s="223">
        <v>450.0</v>
      </c>
      <c r="N613" s="221">
        <v>3.0</v>
      </c>
      <c r="O613" s="222" t="s">
        <v>2002</v>
      </c>
      <c r="P613" s="222">
        <v>25.0</v>
      </c>
      <c r="Q613" s="222">
        <v>1500.0</v>
      </c>
      <c r="R613" s="224">
        <v>66.17</v>
      </c>
      <c r="S613" s="224">
        <v>1.53</v>
      </c>
      <c r="T613" s="225">
        <v>25.6</v>
      </c>
      <c r="U613" s="226">
        <v>52.0</v>
      </c>
      <c r="V613" s="221" t="s">
        <v>166</v>
      </c>
      <c r="W613" s="241" t="s">
        <v>174</v>
      </c>
      <c r="X613" s="222" t="s">
        <v>166</v>
      </c>
      <c r="Y613" s="223" t="s">
        <v>170</v>
      </c>
      <c r="Z613" s="221" t="s">
        <v>166</v>
      </c>
      <c r="AA613" s="222" t="s">
        <v>174</v>
      </c>
      <c r="AB613" s="222" t="s">
        <v>166</v>
      </c>
      <c r="AC613" s="222" t="s">
        <v>174</v>
      </c>
      <c r="AD613" s="222" t="s">
        <v>166</v>
      </c>
      <c r="AE613" s="222" t="s">
        <v>174</v>
      </c>
      <c r="AF613" s="222" t="s">
        <v>174</v>
      </c>
      <c r="AG613" s="222" t="s">
        <v>170</v>
      </c>
      <c r="AH613" s="222"/>
    </row>
    <row r="614">
      <c r="A614" s="314" t="s">
        <v>1634</v>
      </c>
      <c r="B614" s="257" t="s">
        <v>2638</v>
      </c>
      <c r="C614" s="221">
        <v>240.0</v>
      </c>
      <c r="D614" s="222">
        <v>277.0</v>
      </c>
      <c r="E614" s="222">
        <v>120.0</v>
      </c>
      <c r="F614" s="222">
        <v>27.0</v>
      </c>
      <c r="G614" s="223" t="s">
        <v>164</v>
      </c>
      <c r="H614" s="221">
        <v>66.0</v>
      </c>
      <c r="I614" s="222">
        <v>66.0</v>
      </c>
      <c r="J614" s="222">
        <v>60.0</v>
      </c>
      <c r="K614" s="222">
        <v>3000.0</v>
      </c>
      <c r="L614" s="222" t="s">
        <v>44</v>
      </c>
      <c r="M614" s="223">
        <v>400.0</v>
      </c>
      <c r="N614" s="221">
        <v>2.0</v>
      </c>
      <c r="O614" s="222" t="s">
        <v>2002</v>
      </c>
      <c r="P614" s="222">
        <v>25.0</v>
      </c>
      <c r="Q614" s="222">
        <v>2150.0</v>
      </c>
      <c r="R614" s="224">
        <v>69.0</v>
      </c>
      <c r="S614" s="224">
        <v>2.87</v>
      </c>
      <c r="T614" s="225">
        <v>27.0</v>
      </c>
      <c r="U614" s="226">
        <v>52.0</v>
      </c>
      <c r="V614" s="221" t="s">
        <v>166</v>
      </c>
      <c r="W614" s="241" t="s">
        <v>174</v>
      </c>
      <c r="X614" s="222" t="s">
        <v>166</v>
      </c>
      <c r="Y614" s="223" t="s">
        <v>170</v>
      </c>
      <c r="Z614" s="221" t="s">
        <v>166</v>
      </c>
      <c r="AA614" s="222" t="s">
        <v>174</v>
      </c>
      <c r="AB614" s="222" t="s">
        <v>166</v>
      </c>
      <c r="AC614" s="222" t="s">
        <v>174</v>
      </c>
      <c r="AD614" s="222" t="s">
        <v>166</v>
      </c>
      <c r="AE614" s="222" t="s">
        <v>174</v>
      </c>
      <c r="AF614" s="222" t="s">
        <v>174</v>
      </c>
      <c r="AG614" s="222" t="s">
        <v>170</v>
      </c>
      <c r="AH614" s="222"/>
    </row>
    <row r="615">
      <c r="A615" s="314" t="s">
        <v>1634</v>
      </c>
      <c r="B615" s="257" t="s">
        <v>2639</v>
      </c>
      <c r="C615" s="221">
        <v>240.0</v>
      </c>
      <c r="D615" s="222">
        <v>277.0</v>
      </c>
      <c r="E615" s="222">
        <v>120.0</v>
      </c>
      <c r="F615" s="222">
        <v>27.0</v>
      </c>
      <c r="G615" s="223" t="s">
        <v>164</v>
      </c>
      <c r="H615" s="221">
        <v>66.0</v>
      </c>
      <c r="I615" s="222">
        <v>66.0</v>
      </c>
      <c r="J615" s="222">
        <v>60.0</v>
      </c>
      <c r="K615" s="222">
        <v>3000.0</v>
      </c>
      <c r="L615" s="222" t="s">
        <v>44</v>
      </c>
      <c r="M615" s="223">
        <v>400.0</v>
      </c>
      <c r="N615" s="221">
        <v>2.0</v>
      </c>
      <c r="O615" s="222" t="s">
        <v>2002</v>
      </c>
      <c r="P615" s="222">
        <v>25.0</v>
      </c>
      <c r="Q615" s="222">
        <v>2150.0</v>
      </c>
      <c r="R615" s="224">
        <v>69.0</v>
      </c>
      <c r="S615" s="224">
        <v>2.87</v>
      </c>
      <c r="T615" s="225">
        <v>27.0</v>
      </c>
      <c r="U615" s="226">
        <v>52.0</v>
      </c>
      <c r="V615" s="221" t="s">
        <v>166</v>
      </c>
      <c r="W615" s="241" t="s">
        <v>174</v>
      </c>
      <c r="X615" s="222" t="s">
        <v>166</v>
      </c>
      <c r="Y615" s="223" t="s">
        <v>170</v>
      </c>
      <c r="Z615" s="221" t="s">
        <v>166</v>
      </c>
      <c r="AA615" s="222" t="s">
        <v>174</v>
      </c>
      <c r="AB615" s="222" t="s">
        <v>166</v>
      </c>
      <c r="AC615" s="222" t="s">
        <v>174</v>
      </c>
      <c r="AD615" s="222" t="s">
        <v>166</v>
      </c>
      <c r="AE615" s="222" t="s">
        <v>174</v>
      </c>
      <c r="AF615" s="222" t="s">
        <v>174</v>
      </c>
      <c r="AG615" s="222" t="s">
        <v>170</v>
      </c>
      <c r="AH615" s="222"/>
    </row>
    <row r="616">
      <c r="A616" s="314" t="s">
        <v>1634</v>
      </c>
      <c r="B616" s="257" t="s">
        <v>2640</v>
      </c>
      <c r="C616" s="221">
        <v>360.0</v>
      </c>
      <c r="D616" s="222">
        <v>397.0</v>
      </c>
      <c r="E616" s="222">
        <v>120.0</v>
      </c>
      <c r="F616" s="222">
        <v>27.0</v>
      </c>
      <c r="G616" s="223" t="s">
        <v>164</v>
      </c>
      <c r="H616" s="221">
        <v>66.0</v>
      </c>
      <c r="I616" s="222">
        <v>66.0</v>
      </c>
      <c r="J616" s="222">
        <v>60.0</v>
      </c>
      <c r="K616" s="222">
        <v>3000.0</v>
      </c>
      <c r="L616" s="222" t="s">
        <v>44</v>
      </c>
      <c r="M616" s="223">
        <v>450.0</v>
      </c>
      <c r="N616" s="221">
        <v>3.0</v>
      </c>
      <c r="O616" s="222" t="s">
        <v>2002</v>
      </c>
      <c r="P616" s="222">
        <v>25.0</v>
      </c>
      <c r="Q616" s="222">
        <v>2150.0</v>
      </c>
      <c r="R616" s="224">
        <v>69.0</v>
      </c>
      <c r="S616" s="224">
        <v>2.87</v>
      </c>
      <c r="T616" s="225">
        <v>27.0</v>
      </c>
      <c r="U616" s="226">
        <v>52.0</v>
      </c>
      <c r="V616" s="221" t="s">
        <v>166</v>
      </c>
      <c r="W616" s="241" t="s">
        <v>174</v>
      </c>
      <c r="X616" s="222" t="s">
        <v>166</v>
      </c>
      <c r="Y616" s="223" t="s">
        <v>170</v>
      </c>
      <c r="Z616" s="221" t="s">
        <v>166</v>
      </c>
      <c r="AA616" s="222" t="s">
        <v>174</v>
      </c>
      <c r="AB616" s="222" t="s">
        <v>166</v>
      </c>
      <c r="AC616" s="222" t="s">
        <v>174</v>
      </c>
      <c r="AD616" s="222" t="s">
        <v>166</v>
      </c>
      <c r="AE616" s="222" t="s">
        <v>174</v>
      </c>
      <c r="AF616" s="222" t="s">
        <v>174</v>
      </c>
      <c r="AG616" s="222" t="s">
        <v>170</v>
      </c>
      <c r="AH616" s="222"/>
    </row>
    <row r="617">
      <c r="A617" s="314" t="s">
        <v>1634</v>
      </c>
      <c r="B617" s="257" t="s">
        <v>2641</v>
      </c>
      <c r="C617" s="221">
        <v>360.0</v>
      </c>
      <c r="D617" s="222">
        <v>397.0</v>
      </c>
      <c r="E617" s="222">
        <v>120.0</v>
      </c>
      <c r="F617" s="222">
        <v>27.0</v>
      </c>
      <c r="G617" s="223" t="s">
        <v>164</v>
      </c>
      <c r="H617" s="221">
        <v>66.0</v>
      </c>
      <c r="I617" s="222">
        <v>66.0</v>
      </c>
      <c r="J617" s="222">
        <v>60.0</v>
      </c>
      <c r="K617" s="222">
        <v>3000.0</v>
      </c>
      <c r="L617" s="222" t="s">
        <v>44</v>
      </c>
      <c r="M617" s="223">
        <v>450.0</v>
      </c>
      <c r="N617" s="221">
        <v>3.0</v>
      </c>
      <c r="O617" s="222" t="s">
        <v>2002</v>
      </c>
      <c r="P617" s="222">
        <v>25.0</v>
      </c>
      <c r="Q617" s="222">
        <v>2150.0</v>
      </c>
      <c r="R617" s="224">
        <v>69.0</v>
      </c>
      <c r="S617" s="224">
        <v>2.87</v>
      </c>
      <c r="T617" s="225">
        <v>27.0</v>
      </c>
      <c r="U617" s="226">
        <v>52.0</v>
      </c>
      <c r="V617" s="221" t="s">
        <v>166</v>
      </c>
      <c r="W617" s="241" t="s">
        <v>174</v>
      </c>
      <c r="X617" s="222" t="s">
        <v>166</v>
      </c>
      <c r="Y617" s="223" t="s">
        <v>170</v>
      </c>
      <c r="Z617" s="221" t="s">
        <v>166</v>
      </c>
      <c r="AA617" s="222" t="s">
        <v>174</v>
      </c>
      <c r="AB617" s="222" t="s">
        <v>166</v>
      </c>
      <c r="AC617" s="222" t="s">
        <v>174</v>
      </c>
      <c r="AD617" s="222" t="s">
        <v>166</v>
      </c>
      <c r="AE617" s="222" t="s">
        <v>174</v>
      </c>
      <c r="AF617" s="222" t="s">
        <v>174</v>
      </c>
      <c r="AG617" s="222" t="s">
        <v>170</v>
      </c>
      <c r="AH617" s="222"/>
    </row>
    <row r="618">
      <c r="A618" s="314" t="s">
        <v>1634</v>
      </c>
      <c r="B618" s="257" t="s">
        <v>2642</v>
      </c>
      <c r="C618" s="221">
        <v>360.0</v>
      </c>
      <c r="D618" s="222">
        <v>397.0</v>
      </c>
      <c r="E618" s="222">
        <v>120.0</v>
      </c>
      <c r="F618" s="222">
        <v>27.0</v>
      </c>
      <c r="G618" s="223" t="s">
        <v>164</v>
      </c>
      <c r="H618" s="221">
        <v>76.0</v>
      </c>
      <c r="I618" s="222">
        <v>76.0</v>
      </c>
      <c r="J618" s="222">
        <v>66.0</v>
      </c>
      <c r="K618" s="222" t="s">
        <v>170</v>
      </c>
      <c r="L618" s="222" t="s">
        <v>44</v>
      </c>
      <c r="M618" s="223">
        <v>400.0</v>
      </c>
      <c r="N618" s="221">
        <v>3.0</v>
      </c>
      <c r="O618" s="222" t="s">
        <v>2002</v>
      </c>
      <c r="P618" s="222">
        <v>25.6</v>
      </c>
      <c r="Q618" s="222">
        <v>2150.0</v>
      </c>
      <c r="R618" s="224">
        <v>69.0</v>
      </c>
      <c r="S618" s="224">
        <v>2.87</v>
      </c>
      <c r="T618" s="225">
        <v>27.0</v>
      </c>
      <c r="U618" s="226">
        <v>52.6</v>
      </c>
      <c r="V618" s="221" t="s">
        <v>166</v>
      </c>
      <c r="W618" s="241" t="s">
        <v>166</v>
      </c>
      <c r="X618" s="222" t="s">
        <v>174</v>
      </c>
      <c r="Y618" s="223" t="s">
        <v>170</v>
      </c>
      <c r="Z618" s="221" t="s">
        <v>166</v>
      </c>
      <c r="AA618" s="222" t="s">
        <v>174</v>
      </c>
      <c r="AB618" s="222" t="s">
        <v>166</v>
      </c>
      <c r="AC618" s="222" t="s">
        <v>174</v>
      </c>
      <c r="AD618" s="222" t="s">
        <v>166</v>
      </c>
      <c r="AE618" s="222" t="s">
        <v>174</v>
      </c>
      <c r="AF618" s="222" t="s">
        <v>174</v>
      </c>
      <c r="AG618" s="222" t="s">
        <v>170</v>
      </c>
      <c r="AH618" s="222"/>
    </row>
    <row r="619">
      <c r="A619" s="314" t="s">
        <v>1634</v>
      </c>
      <c r="B619" s="257" t="s">
        <v>2643</v>
      </c>
      <c r="C619" s="221">
        <v>360.0</v>
      </c>
      <c r="D619" s="222">
        <v>397.0</v>
      </c>
      <c r="E619" s="222">
        <v>120.0</v>
      </c>
      <c r="F619" s="222">
        <v>27.0</v>
      </c>
      <c r="G619" s="223" t="s">
        <v>164</v>
      </c>
      <c r="H619" s="221">
        <v>76.0</v>
      </c>
      <c r="I619" s="222">
        <v>76.0</v>
      </c>
      <c r="J619" s="222">
        <v>66.0</v>
      </c>
      <c r="K619" s="222" t="s">
        <v>170</v>
      </c>
      <c r="L619" s="222" t="s">
        <v>44</v>
      </c>
      <c r="M619" s="223">
        <v>400.0</v>
      </c>
      <c r="N619" s="221">
        <v>3.0</v>
      </c>
      <c r="O619" s="222" t="s">
        <v>2002</v>
      </c>
      <c r="P619" s="222">
        <v>25.0</v>
      </c>
      <c r="Q619" s="222">
        <v>2000.0</v>
      </c>
      <c r="R619" s="224">
        <v>72.37</v>
      </c>
      <c r="S619" s="224">
        <v>2.87</v>
      </c>
      <c r="T619" s="225">
        <v>27.7</v>
      </c>
      <c r="U619" s="226">
        <v>52.0</v>
      </c>
      <c r="V619" s="221" t="s">
        <v>166</v>
      </c>
      <c r="W619" s="241" t="s">
        <v>174</v>
      </c>
      <c r="X619" s="222" t="s">
        <v>174</v>
      </c>
      <c r="Y619" s="223" t="s">
        <v>170</v>
      </c>
      <c r="Z619" s="221" t="s">
        <v>166</v>
      </c>
      <c r="AA619" s="222" t="s">
        <v>174</v>
      </c>
      <c r="AB619" s="222" t="s">
        <v>166</v>
      </c>
      <c r="AC619" s="222" t="s">
        <v>174</v>
      </c>
      <c r="AD619" s="222" t="s">
        <v>166</v>
      </c>
      <c r="AE619" s="222" t="s">
        <v>174</v>
      </c>
      <c r="AF619" s="222" t="s">
        <v>174</v>
      </c>
      <c r="AG619" s="222" t="s">
        <v>170</v>
      </c>
      <c r="AH619" s="222"/>
    </row>
    <row r="620">
      <c r="A620" s="314" t="s">
        <v>1634</v>
      </c>
      <c r="B620" s="257" t="s">
        <v>2644</v>
      </c>
      <c r="C620" s="221">
        <v>240.0</v>
      </c>
      <c r="D620" s="222">
        <v>277.0</v>
      </c>
      <c r="E620" s="222">
        <v>120.0</v>
      </c>
      <c r="F620" s="222">
        <v>27.0</v>
      </c>
      <c r="G620" s="223" t="s">
        <v>164</v>
      </c>
      <c r="H620" s="221">
        <v>62.0</v>
      </c>
      <c r="I620" s="222">
        <v>62.0</v>
      </c>
      <c r="J620" s="222">
        <v>53.0</v>
      </c>
      <c r="K620" s="222">
        <v>3300.0</v>
      </c>
      <c r="L620" s="222" t="s">
        <v>44</v>
      </c>
      <c r="M620" s="223">
        <v>400.0</v>
      </c>
      <c r="N620" s="221">
        <v>2.0</v>
      </c>
      <c r="O620" s="222" t="s">
        <v>2002</v>
      </c>
      <c r="P620" s="222">
        <v>25.6</v>
      </c>
      <c r="Q620" s="222">
        <v>2150.0</v>
      </c>
      <c r="R620" s="224">
        <v>69.0</v>
      </c>
      <c r="S620" s="224">
        <v>2.87</v>
      </c>
      <c r="T620" s="225">
        <v>28.1</v>
      </c>
      <c r="U620" s="226">
        <v>52.6</v>
      </c>
      <c r="V620" s="221" t="s">
        <v>166</v>
      </c>
      <c r="W620" s="241" t="s">
        <v>174</v>
      </c>
      <c r="X620" s="222" t="s">
        <v>166</v>
      </c>
      <c r="Y620" s="223" t="s">
        <v>170</v>
      </c>
      <c r="Z620" s="221" t="s">
        <v>166</v>
      </c>
      <c r="AA620" s="222" t="s">
        <v>174</v>
      </c>
      <c r="AB620" s="222" t="s">
        <v>166</v>
      </c>
      <c r="AC620" s="222" t="s">
        <v>174</v>
      </c>
      <c r="AD620" s="222" t="s">
        <v>166</v>
      </c>
      <c r="AE620" s="222" t="s">
        <v>174</v>
      </c>
      <c r="AF620" s="222" t="s">
        <v>174</v>
      </c>
      <c r="AG620" s="222" t="s">
        <v>170</v>
      </c>
      <c r="AH620" s="222"/>
    </row>
    <row r="621">
      <c r="A621" s="314" t="s">
        <v>1634</v>
      </c>
      <c r="B621" s="257" t="s">
        <v>2645</v>
      </c>
      <c r="C621" s="221">
        <v>240.0</v>
      </c>
      <c r="D621" s="222">
        <v>277.0</v>
      </c>
      <c r="E621" s="222">
        <v>120.0</v>
      </c>
      <c r="F621" s="222">
        <v>27.0</v>
      </c>
      <c r="G621" s="223" t="s">
        <v>164</v>
      </c>
      <c r="H621" s="221">
        <v>62.0</v>
      </c>
      <c r="I621" s="222">
        <v>62.0</v>
      </c>
      <c r="J621" s="222">
        <v>53.0</v>
      </c>
      <c r="K621" s="222">
        <v>3300.0</v>
      </c>
      <c r="L621" s="222" t="s">
        <v>44</v>
      </c>
      <c r="M621" s="223">
        <v>400.0</v>
      </c>
      <c r="N621" s="221">
        <v>2.0</v>
      </c>
      <c r="O621" s="222" t="s">
        <v>2002</v>
      </c>
      <c r="P621" s="222">
        <v>25.6</v>
      </c>
      <c r="Q621" s="222">
        <v>2150.0</v>
      </c>
      <c r="R621" s="224">
        <v>69.0</v>
      </c>
      <c r="S621" s="224">
        <v>2.87</v>
      </c>
      <c r="T621" s="225">
        <v>28.1</v>
      </c>
      <c r="U621" s="226">
        <v>52.6</v>
      </c>
      <c r="V621" s="221" t="s">
        <v>166</v>
      </c>
      <c r="W621" s="241" t="s">
        <v>174</v>
      </c>
      <c r="X621" s="222" t="s">
        <v>166</v>
      </c>
      <c r="Y621" s="223" t="s">
        <v>170</v>
      </c>
      <c r="Z621" s="221" t="s">
        <v>166</v>
      </c>
      <c r="AA621" s="222" t="s">
        <v>174</v>
      </c>
      <c r="AB621" s="222" t="s">
        <v>166</v>
      </c>
      <c r="AC621" s="222" t="s">
        <v>174</v>
      </c>
      <c r="AD621" s="222" t="s">
        <v>166</v>
      </c>
      <c r="AE621" s="222" t="s">
        <v>174</v>
      </c>
      <c r="AF621" s="222" t="s">
        <v>174</v>
      </c>
      <c r="AG621" s="222" t="s">
        <v>170</v>
      </c>
      <c r="AH621" s="222"/>
    </row>
    <row r="622">
      <c r="A622" s="314" t="s">
        <v>1634</v>
      </c>
      <c r="B622" s="257" t="s">
        <v>2646</v>
      </c>
      <c r="C622" s="221">
        <v>360.0</v>
      </c>
      <c r="D622" s="222">
        <v>397.0</v>
      </c>
      <c r="E622" s="222">
        <v>120.0</v>
      </c>
      <c r="F622" s="222">
        <v>27.0</v>
      </c>
      <c r="G622" s="223" t="s">
        <v>164</v>
      </c>
      <c r="H622" s="221">
        <v>62.0</v>
      </c>
      <c r="I622" s="222">
        <v>62.0</v>
      </c>
      <c r="J622" s="222">
        <v>53.0</v>
      </c>
      <c r="K622" s="222">
        <v>3300.0</v>
      </c>
      <c r="L622" s="222" t="s">
        <v>44</v>
      </c>
      <c r="M622" s="223">
        <v>450.0</v>
      </c>
      <c r="N622" s="221">
        <v>3.0</v>
      </c>
      <c r="O622" s="222" t="s">
        <v>2002</v>
      </c>
      <c r="P622" s="222">
        <v>25.6</v>
      </c>
      <c r="Q622" s="222">
        <v>2150.0</v>
      </c>
      <c r="R622" s="224">
        <v>69.0</v>
      </c>
      <c r="S622" s="224">
        <v>2.87</v>
      </c>
      <c r="T622" s="225">
        <v>28.1</v>
      </c>
      <c r="U622" s="226">
        <v>52.6</v>
      </c>
      <c r="V622" s="221" t="s">
        <v>166</v>
      </c>
      <c r="W622" s="241" t="s">
        <v>174</v>
      </c>
      <c r="X622" s="222" t="s">
        <v>166</v>
      </c>
      <c r="Y622" s="223" t="s">
        <v>170</v>
      </c>
      <c r="Z622" s="221" t="s">
        <v>166</v>
      </c>
      <c r="AA622" s="222" t="s">
        <v>174</v>
      </c>
      <c r="AB622" s="222" t="s">
        <v>166</v>
      </c>
      <c r="AC622" s="222" t="s">
        <v>174</v>
      </c>
      <c r="AD622" s="222" t="s">
        <v>166</v>
      </c>
      <c r="AE622" s="222" t="s">
        <v>174</v>
      </c>
      <c r="AF622" s="222" t="s">
        <v>174</v>
      </c>
      <c r="AG622" s="222" t="s">
        <v>170</v>
      </c>
      <c r="AH622" s="222"/>
    </row>
    <row r="623">
      <c r="A623" s="314" t="s">
        <v>1634</v>
      </c>
      <c r="B623" s="257" t="s">
        <v>2647</v>
      </c>
      <c r="C623" s="221">
        <v>360.0</v>
      </c>
      <c r="D623" s="222">
        <v>397.0</v>
      </c>
      <c r="E623" s="222">
        <v>120.0</v>
      </c>
      <c r="F623" s="222">
        <v>27.0</v>
      </c>
      <c r="G623" s="223" t="s">
        <v>164</v>
      </c>
      <c r="H623" s="221">
        <v>62.0</v>
      </c>
      <c r="I623" s="222">
        <v>62.0</v>
      </c>
      <c r="J623" s="222">
        <v>53.0</v>
      </c>
      <c r="K623" s="222">
        <v>3300.0</v>
      </c>
      <c r="L623" s="222" t="s">
        <v>44</v>
      </c>
      <c r="M623" s="223">
        <v>450.0</v>
      </c>
      <c r="N623" s="221">
        <v>3.0</v>
      </c>
      <c r="O623" s="222" t="s">
        <v>2002</v>
      </c>
      <c r="P623" s="222">
        <v>25.6</v>
      </c>
      <c r="Q623" s="222">
        <v>2150.0</v>
      </c>
      <c r="R623" s="224">
        <v>69.0</v>
      </c>
      <c r="S623" s="224">
        <v>2.87</v>
      </c>
      <c r="T623" s="225">
        <v>28.1</v>
      </c>
      <c r="U623" s="226">
        <v>52.6</v>
      </c>
      <c r="V623" s="221" t="s">
        <v>166</v>
      </c>
      <c r="W623" s="241" t="s">
        <v>174</v>
      </c>
      <c r="X623" s="222" t="s">
        <v>166</v>
      </c>
      <c r="Y623" s="223" t="s">
        <v>170</v>
      </c>
      <c r="Z623" s="221" t="s">
        <v>166</v>
      </c>
      <c r="AA623" s="222" t="s">
        <v>174</v>
      </c>
      <c r="AB623" s="222" t="s">
        <v>166</v>
      </c>
      <c r="AC623" s="222" t="s">
        <v>174</v>
      </c>
      <c r="AD623" s="222" t="s">
        <v>166</v>
      </c>
      <c r="AE623" s="222" t="s">
        <v>174</v>
      </c>
      <c r="AF623" s="222" t="s">
        <v>174</v>
      </c>
      <c r="AG623" s="222" t="s">
        <v>170</v>
      </c>
      <c r="AH623" s="222"/>
    </row>
    <row r="624">
      <c r="A624" s="314" t="s">
        <v>1634</v>
      </c>
      <c r="B624" s="257" t="s">
        <v>2648</v>
      </c>
      <c r="C624" s="221">
        <v>240.0</v>
      </c>
      <c r="D624" s="222">
        <v>276.0</v>
      </c>
      <c r="E624" s="222">
        <v>120.0</v>
      </c>
      <c r="F624" s="222">
        <v>27.0</v>
      </c>
      <c r="G624" s="223" t="s">
        <v>164</v>
      </c>
      <c r="H624" s="221">
        <v>72.0</v>
      </c>
      <c r="I624" s="222">
        <v>72.0</v>
      </c>
      <c r="J624" s="222">
        <v>61.6</v>
      </c>
      <c r="K624" s="222">
        <v>2100.0</v>
      </c>
      <c r="L624" s="222" t="s">
        <v>44</v>
      </c>
      <c r="M624" s="223">
        <v>400.0</v>
      </c>
      <c r="N624" s="221">
        <v>2.0</v>
      </c>
      <c r="O624" s="222" t="s">
        <v>2002</v>
      </c>
      <c r="P624" s="222">
        <v>25.0</v>
      </c>
      <c r="Q624" s="222">
        <v>1500.0</v>
      </c>
      <c r="R624" s="224">
        <v>65.25</v>
      </c>
      <c r="S624" s="224">
        <v>1.99</v>
      </c>
      <c r="T624" s="225">
        <v>23.0</v>
      </c>
      <c r="U624" s="226">
        <v>52.0</v>
      </c>
      <c r="V624" s="227" t="s">
        <v>166</v>
      </c>
      <c r="W624" s="228" t="s">
        <v>174</v>
      </c>
      <c r="X624" s="222" t="s">
        <v>166</v>
      </c>
      <c r="Y624" s="223" t="s">
        <v>170</v>
      </c>
      <c r="Z624" s="221" t="s">
        <v>174</v>
      </c>
      <c r="AA624" s="222" t="s">
        <v>174</v>
      </c>
      <c r="AB624" s="222" t="s">
        <v>166</v>
      </c>
      <c r="AC624" s="222" t="s">
        <v>174</v>
      </c>
      <c r="AD624" s="222" t="s">
        <v>166</v>
      </c>
      <c r="AE624" s="222" t="s">
        <v>170</v>
      </c>
      <c r="AF624" s="222" t="s">
        <v>174</v>
      </c>
      <c r="AG624" s="222" t="s">
        <v>170</v>
      </c>
      <c r="AH624" s="222"/>
    </row>
    <row r="625">
      <c r="A625" s="314" t="s">
        <v>1634</v>
      </c>
      <c r="B625" s="257" t="s">
        <v>2649</v>
      </c>
      <c r="C625" s="221">
        <v>240.0</v>
      </c>
      <c r="D625" s="222">
        <v>276.0</v>
      </c>
      <c r="E625" s="222">
        <v>120.0</v>
      </c>
      <c r="F625" s="222">
        <v>27.0</v>
      </c>
      <c r="G625" s="223" t="s">
        <v>164</v>
      </c>
      <c r="H625" s="221">
        <v>72.0</v>
      </c>
      <c r="I625" s="222">
        <v>72.0</v>
      </c>
      <c r="J625" s="222">
        <v>61.6</v>
      </c>
      <c r="K625" s="222">
        <v>2100.0</v>
      </c>
      <c r="L625" s="222" t="s">
        <v>44</v>
      </c>
      <c r="M625" s="223">
        <v>400.0</v>
      </c>
      <c r="N625" s="221">
        <v>2.0</v>
      </c>
      <c r="O625" s="222" t="s">
        <v>2002</v>
      </c>
      <c r="P625" s="222">
        <v>25.0</v>
      </c>
      <c r="Q625" s="222">
        <v>1500.0</v>
      </c>
      <c r="R625" s="224">
        <v>66.17</v>
      </c>
      <c r="S625" s="224">
        <v>2.0</v>
      </c>
      <c r="T625" s="225">
        <v>23.0</v>
      </c>
      <c r="U625" s="226">
        <v>52.0</v>
      </c>
      <c r="V625" s="227" t="s">
        <v>166</v>
      </c>
      <c r="W625" s="228" t="s">
        <v>174</v>
      </c>
      <c r="X625" s="222" t="s">
        <v>166</v>
      </c>
      <c r="Y625" s="223" t="s">
        <v>170</v>
      </c>
      <c r="Z625" s="221" t="s">
        <v>174</v>
      </c>
      <c r="AA625" s="222" t="s">
        <v>174</v>
      </c>
      <c r="AB625" s="222" t="s">
        <v>166</v>
      </c>
      <c r="AC625" s="222" t="s">
        <v>174</v>
      </c>
      <c r="AD625" s="222" t="s">
        <v>166</v>
      </c>
      <c r="AE625" s="222" t="s">
        <v>170</v>
      </c>
      <c r="AF625" s="222" t="s">
        <v>174</v>
      </c>
      <c r="AG625" s="222" t="s">
        <v>170</v>
      </c>
      <c r="AH625" s="222"/>
    </row>
    <row r="626">
      <c r="A626" s="314" t="s">
        <v>1634</v>
      </c>
      <c r="B626" s="257" t="s">
        <v>2650</v>
      </c>
      <c r="C626" s="221">
        <v>280.0</v>
      </c>
      <c r="D626" s="222">
        <v>311.0</v>
      </c>
      <c r="E626" s="222">
        <v>138.0</v>
      </c>
      <c r="F626" s="222">
        <v>27.0</v>
      </c>
      <c r="G626" s="223" t="s">
        <v>164</v>
      </c>
      <c r="H626" s="221">
        <v>72.0</v>
      </c>
      <c r="I626" s="222">
        <v>72.0</v>
      </c>
      <c r="J626" s="222">
        <v>61.6</v>
      </c>
      <c r="K626" s="222">
        <v>2100.0</v>
      </c>
      <c r="L626" s="222" t="s">
        <v>44</v>
      </c>
      <c r="M626" s="223">
        <v>400.0</v>
      </c>
      <c r="N626" s="221">
        <v>2.0</v>
      </c>
      <c r="O626" s="222" t="s">
        <v>2018</v>
      </c>
      <c r="P626" s="222">
        <v>26.0</v>
      </c>
      <c r="Q626" s="222">
        <v>1500.0</v>
      </c>
      <c r="R626" s="224">
        <v>74.3</v>
      </c>
      <c r="S626" s="224">
        <v>2.0</v>
      </c>
      <c r="T626" s="225">
        <v>26.6</v>
      </c>
      <c r="U626" s="226">
        <v>53.0</v>
      </c>
      <c r="V626" s="227" t="s">
        <v>166</v>
      </c>
      <c r="W626" s="228" t="s">
        <v>174</v>
      </c>
      <c r="X626" s="222" t="s">
        <v>166</v>
      </c>
      <c r="Y626" s="223" t="s">
        <v>170</v>
      </c>
      <c r="Z626" s="221" t="s">
        <v>174</v>
      </c>
      <c r="AA626" s="222" t="s">
        <v>174</v>
      </c>
      <c r="AB626" s="222" t="s">
        <v>166</v>
      </c>
      <c r="AC626" s="222" t="s">
        <v>174</v>
      </c>
      <c r="AD626" s="222" t="s">
        <v>166</v>
      </c>
      <c r="AE626" s="222" t="s">
        <v>170</v>
      </c>
      <c r="AF626" s="222" t="s">
        <v>174</v>
      </c>
      <c r="AG626" s="222" t="s">
        <v>170</v>
      </c>
      <c r="AH626" s="222"/>
    </row>
    <row r="627">
      <c r="A627" s="314" t="s">
        <v>1634</v>
      </c>
      <c r="B627" s="257" t="s">
        <v>2651</v>
      </c>
      <c r="C627" s="221">
        <v>360.0</v>
      </c>
      <c r="D627" s="222">
        <v>397.0</v>
      </c>
      <c r="E627" s="222">
        <v>120.0</v>
      </c>
      <c r="F627" s="222">
        <v>27.0</v>
      </c>
      <c r="G627" s="223" t="s">
        <v>164</v>
      </c>
      <c r="H627" s="221">
        <v>72.0</v>
      </c>
      <c r="I627" s="222">
        <v>72.0</v>
      </c>
      <c r="J627" s="222">
        <v>61.6</v>
      </c>
      <c r="K627" s="222">
        <v>2100.0</v>
      </c>
      <c r="L627" s="222" t="s">
        <v>44</v>
      </c>
      <c r="M627" s="223">
        <v>465.0</v>
      </c>
      <c r="N627" s="221">
        <v>3.0</v>
      </c>
      <c r="O627" s="222" t="s">
        <v>2002</v>
      </c>
      <c r="P627" s="222">
        <v>25.0</v>
      </c>
      <c r="Q627" s="222">
        <v>1500.0</v>
      </c>
      <c r="R627" s="224">
        <v>65.25</v>
      </c>
      <c r="S627" s="224">
        <v>1.99</v>
      </c>
      <c r="T627" s="225">
        <v>23.0</v>
      </c>
      <c r="U627" s="226">
        <v>52.0</v>
      </c>
      <c r="V627" s="227" t="s">
        <v>166</v>
      </c>
      <c r="W627" s="228" t="s">
        <v>174</v>
      </c>
      <c r="X627" s="222" t="s">
        <v>166</v>
      </c>
      <c r="Y627" s="223" t="s">
        <v>170</v>
      </c>
      <c r="Z627" s="221" t="s">
        <v>174</v>
      </c>
      <c r="AA627" s="222" t="s">
        <v>174</v>
      </c>
      <c r="AB627" s="222" t="s">
        <v>166</v>
      </c>
      <c r="AC627" s="222" t="s">
        <v>174</v>
      </c>
      <c r="AD627" s="222" t="s">
        <v>166</v>
      </c>
      <c r="AE627" s="222" t="s">
        <v>170</v>
      </c>
      <c r="AF627" s="222" t="s">
        <v>174</v>
      </c>
      <c r="AG627" s="222" t="s">
        <v>170</v>
      </c>
      <c r="AH627" s="222"/>
    </row>
    <row r="628">
      <c r="A628" s="314" t="s">
        <v>1634</v>
      </c>
      <c r="B628" s="257" t="s">
        <v>2652</v>
      </c>
      <c r="C628" s="221">
        <v>360.0</v>
      </c>
      <c r="D628" s="222">
        <v>397.0</v>
      </c>
      <c r="E628" s="222">
        <v>120.0</v>
      </c>
      <c r="F628" s="222">
        <v>27.0</v>
      </c>
      <c r="G628" s="223" t="s">
        <v>164</v>
      </c>
      <c r="H628" s="221">
        <v>72.0</v>
      </c>
      <c r="I628" s="222">
        <v>72.0</v>
      </c>
      <c r="J628" s="222">
        <v>61.6</v>
      </c>
      <c r="K628" s="222">
        <v>2100.0</v>
      </c>
      <c r="L628" s="222" t="s">
        <v>44</v>
      </c>
      <c r="M628" s="223">
        <v>465.0</v>
      </c>
      <c r="N628" s="221">
        <v>3.0</v>
      </c>
      <c r="O628" s="222" t="s">
        <v>2002</v>
      </c>
      <c r="P628" s="222">
        <v>25.0</v>
      </c>
      <c r="Q628" s="222">
        <v>1500.0</v>
      </c>
      <c r="R628" s="224">
        <v>66.17</v>
      </c>
      <c r="S628" s="224">
        <v>2.0</v>
      </c>
      <c r="T628" s="225">
        <v>23.0</v>
      </c>
      <c r="U628" s="226">
        <v>52.0</v>
      </c>
      <c r="V628" s="227" t="s">
        <v>166</v>
      </c>
      <c r="W628" s="228" t="s">
        <v>174</v>
      </c>
      <c r="X628" s="222" t="s">
        <v>166</v>
      </c>
      <c r="Y628" s="223" t="s">
        <v>170</v>
      </c>
      <c r="Z628" s="221" t="s">
        <v>174</v>
      </c>
      <c r="AA628" s="222" t="s">
        <v>174</v>
      </c>
      <c r="AB628" s="222" t="s">
        <v>166</v>
      </c>
      <c r="AC628" s="222" t="s">
        <v>174</v>
      </c>
      <c r="AD628" s="222" t="s">
        <v>166</v>
      </c>
      <c r="AE628" s="222" t="s">
        <v>170</v>
      </c>
      <c r="AF628" s="222" t="s">
        <v>174</v>
      </c>
      <c r="AG628" s="222" t="s">
        <v>170</v>
      </c>
      <c r="AH628" s="222"/>
    </row>
    <row r="629">
      <c r="A629" s="314" t="s">
        <v>1634</v>
      </c>
      <c r="B629" s="257" t="s">
        <v>2653</v>
      </c>
      <c r="C629" s="221">
        <v>360.0</v>
      </c>
      <c r="D629" s="222">
        <v>394.0</v>
      </c>
      <c r="E629" s="222">
        <v>120.0</v>
      </c>
      <c r="F629" s="222">
        <v>27.0</v>
      </c>
      <c r="G629" s="223" t="s">
        <v>164</v>
      </c>
      <c r="H629" s="221">
        <v>66.0</v>
      </c>
      <c r="I629" s="222">
        <v>66.0</v>
      </c>
      <c r="J629" s="222">
        <v>50.0</v>
      </c>
      <c r="K629" s="222">
        <v>2800.0</v>
      </c>
      <c r="L629" s="222" t="s">
        <v>44</v>
      </c>
      <c r="M629" s="223">
        <v>400.0</v>
      </c>
      <c r="N629" s="221">
        <v>3.0</v>
      </c>
      <c r="O629" s="222" t="s">
        <v>2002</v>
      </c>
      <c r="P629" s="222">
        <v>25.6</v>
      </c>
      <c r="Q629" s="222">
        <v>2150.0</v>
      </c>
      <c r="R629" s="224">
        <v>69.0</v>
      </c>
      <c r="S629" s="224">
        <v>2.87</v>
      </c>
      <c r="T629" s="225">
        <v>28.1</v>
      </c>
      <c r="U629" s="226">
        <v>52.6</v>
      </c>
      <c r="V629" s="227" t="s">
        <v>166</v>
      </c>
      <c r="W629" s="228" t="s">
        <v>174</v>
      </c>
      <c r="X629" s="222" t="s">
        <v>166</v>
      </c>
      <c r="Y629" s="223" t="s">
        <v>170</v>
      </c>
      <c r="Z629" s="221" t="s">
        <v>166</v>
      </c>
      <c r="AA629" s="222" t="s">
        <v>174</v>
      </c>
      <c r="AB629" s="222" t="s">
        <v>166</v>
      </c>
      <c r="AC629" s="222" t="s">
        <v>174</v>
      </c>
      <c r="AD629" s="222" t="s">
        <v>166</v>
      </c>
      <c r="AE629" s="222" t="s">
        <v>174</v>
      </c>
      <c r="AF629" s="222" t="s">
        <v>166</v>
      </c>
      <c r="AG629" s="229" t="s">
        <v>2003</v>
      </c>
      <c r="AH629" s="229"/>
    </row>
    <row r="630">
      <c r="A630" s="314" t="s">
        <v>1634</v>
      </c>
      <c r="B630" s="257" t="s">
        <v>2654</v>
      </c>
      <c r="C630" s="221">
        <v>360.0</v>
      </c>
      <c r="D630" s="222">
        <v>394.0</v>
      </c>
      <c r="E630" s="222">
        <v>120.0</v>
      </c>
      <c r="F630" s="222">
        <v>27.0</v>
      </c>
      <c r="G630" s="223" t="s">
        <v>164</v>
      </c>
      <c r="H630" s="221">
        <v>66.0</v>
      </c>
      <c r="I630" s="222">
        <v>66.0</v>
      </c>
      <c r="J630" s="222">
        <v>50.0</v>
      </c>
      <c r="K630" s="222">
        <v>2800.0</v>
      </c>
      <c r="L630" s="222" t="s">
        <v>44</v>
      </c>
      <c r="M630" s="223">
        <v>400.0</v>
      </c>
      <c r="N630" s="221">
        <v>3.0</v>
      </c>
      <c r="O630" s="222" t="s">
        <v>2002</v>
      </c>
      <c r="P630" s="222">
        <v>25.6</v>
      </c>
      <c r="Q630" s="222">
        <v>2150.0</v>
      </c>
      <c r="R630" s="224">
        <v>69.0</v>
      </c>
      <c r="S630" s="224">
        <v>2.87</v>
      </c>
      <c r="T630" s="225">
        <v>28.1</v>
      </c>
      <c r="U630" s="226">
        <v>52.6</v>
      </c>
      <c r="V630" s="227" t="s">
        <v>166</v>
      </c>
      <c r="W630" s="228" t="s">
        <v>174</v>
      </c>
      <c r="X630" s="222" t="s">
        <v>166</v>
      </c>
      <c r="Y630" s="223" t="s">
        <v>170</v>
      </c>
      <c r="Z630" s="221" t="s">
        <v>166</v>
      </c>
      <c r="AA630" s="222" t="s">
        <v>174</v>
      </c>
      <c r="AB630" s="222" t="s">
        <v>166</v>
      </c>
      <c r="AC630" s="222" t="s">
        <v>174</v>
      </c>
      <c r="AD630" s="222" t="s">
        <v>166</v>
      </c>
      <c r="AE630" s="222" t="s">
        <v>174</v>
      </c>
      <c r="AF630" s="222" t="s">
        <v>166</v>
      </c>
      <c r="AG630" s="229" t="s">
        <v>2003</v>
      </c>
      <c r="AH630" s="229"/>
    </row>
    <row r="631">
      <c r="A631" s="314" t="s">
        <v>1634</v>
      </c>
      <c r="B631" s="257" t="s">
        <v>2655</v>
      </c>
      <c r="C631" s="221">
        <v>360.0</v>
      </c>
      <c r="D631" s="222">
        <v>397.0</v>
      </c>
      <c r="E631" s="222">
        <v>120.0</v>
      </c>
      <c r="F631" s="222">
        <v>27.0</v>
      </c>
      <c r="G631" s="223" t="s">
        <v>164</v>
      </c>
      <c r="H631" s="221">
        <v>73.0</v>
      </c>
      <c r="I631" s="222">
        <v>73.0</v>
      </c>
      <c r="J631" s="222">
        <v>53.0</v>
      </c>
      <c r="K631" s="222">
        <v>2800.0</v>
      </c>
      <c r="L631" s="222" t="s">
        <v>44</v>
      </c>
      <c r="M631" s="223">
        <v>450.0</v>
      </c>
      <c r="N631" s="221">
        <v>3.0</v>
      </c>
      <c r="O631" s="222" t="s">
        <v>2002</v>
      </c>
      <c r="P631" s="222">
        <v>25.6</v>
      </c>
      <c r="Q631" s="222">
        <v>2150.0</v>
      </c>
      <c r="R631" s="224">
        <v>69.0</v>
      </c>
      <c r="S631" s="224">
        <v>2.87</v>
      </c>
      <c r="T631" s="225">
        <v>28.1</v>
      </c>
      <c r="U631" s="226">
        <v>52.6</v>
      </c>
      <c r="V631" s="227" t="s">
        <v>166</v>
      </c>
      <c r="W631" s="228" t="s">
        <v>174</v>
      </c>
      <c r="X631" s="222" t="s">
        <v>166</v>
      </c>
      <c r="Y631" s="223" t="s">
        <v>170</v>
      </c>
      <c r="Z631" s="221" t="s">
        <v>174</v>
      </c>
      <c r="AA631" s="222" t="s">
        <v>174</v>
      </c>
      <c r="AB631" s="222" t="s">
        <v>166</v>
      </c>
      <c r="AC631" s="222" t="s">
        <v>174</v>
      </c>
      <c r="AD631" s="222" t="s">
        <v>166</v>
      </c>
      <c r="AE631" s="222" t="s">
        <v>174</v>
      </c>
      <c r="AF631" s="222" t="s">
        <v>174</v>
      </c>
      <c r="AG631" s="222" t="s">
        <v>170</v>
      </c>
      <c r="AH631" s="222"/>
    </row>
    <row r="632">
      <c r="A632" s="314" t="s">
        <v>1634</v>
      </c>
      <c r="B632" s="257" t="s">
        <v>2656</v>
      </c>
      <c r="C632" s="221">
        <v>360.0</v>
      </c>
      <c r="D632" s="222">
        <v>397.0</v>
      </c>
      <c r="E632" s="222">
        <v>120.0</v>
      </c>
      <c r="F632" s="222">
        <v>27.0</v>
      </c>
      <c r="G632" s="223" t="s">
        <v>164</v>
      </c>
      <c r="H632" s="221">
        <v>73.0</v>
      </c>
      <c r="I632" s="222">
        <v>73.0</v>
      </c>
      <c r="J632" s="222">
        <v>53.0</v>
      </c>
      <c r="K632" s="222">
        <v>2800.0</v>
      </c>
      <c r="L632" s="222" t="s">
        <v>44</v>
      </c>
      <c r="M632" s="223">
        <v>450.0</v>
      </c>
      <c r="N632" s="221">
        <v>3.0</v>
      </c>
      <c r="O632" s="222" t="s">
        <v>2002</v>
      </c>
      <c r="P632" s="222">
        <v>25.6</v>
      </c>
      <c r="Q632" s="222">
        <v>2150.0</v>
      </c>
      <c r="R632" s="224">
        <v>69.0</v>
      </c>
      <c r="S632" s="224">
        <v>2.87</v>
      </c>
      <c r="T632" s="225">
        <v>28.1</v>
      </c>
      <c r="U632" s="226">
        <v>52.6</v>
      </c>
      <c r="V632" s="227" t="s">
        <v>166</v>
      </c>
      <c r="W632" s="228" t="s">
        <v>174</v>
      </c>
      <c r="X632" s="222" t="s">
        <v>166</v>
      </c>
      <c r="Y632" s="223" t="s">
        <v>170</v>
      </c>
      <c r="Z632" s="221" t="s">
        <v>174</v>
      </c>
      <c r="AA632" s="222" t="s">
        <v>174</v>
      </c>
      <c r="AB632" s="222" t="s">
        <v>166</v>
      </c>
      <c r="AC632" s="222" t="s">
        <v>174</v>
      </c>
      <c r="AD632" s="222" t="s">
        <v>166</v>
      </c>
      <c r="AE632" s="222" t="s">
        <v>174</v>
      </c>
      <c r="AF632" s="222" t="s">
        <v>174</v>
      </c>
      <c r="AG632" s="222" t="s">
        <v>170</v>
      </c>
      <c r="AH632" s="222"/>
    </row>
    <row r="633">
      <c r="A633" s="314" t="s">
        <v>1634</v>
      </c>
      <c r="B633" s="257" t="s">
        <v>2657</v>
      </c>
      <c r="C633" s="221">
        <v>120.0</v>
      </c>
      <c r="D633" s="222">
        <v>157.0</v>
      </c>
      <c r="E633" s="222">
        <v>120.0</v>
      </c>
      <c r="F633" s="222">
        <v>27.0</v>
      </c>
      <c r="G633" s="223" t="s">
        <v>164</v>
      </c>
      <c r="H633" s="221">
        <v>72.0</v>
      </c>
      <c r="I633" s="222">
        <v>72.0</v>
      </c>
      <c r="J633" s="222">
        <v>52.5</v>
      </c>
      <c r="K633" s="222">
        <v>2800.0</v>
      </c>
      <c r="L633" s="222" t="s">
        <v>44</v>
      </c>
      <c r="M633" s="223">
        <v>300.0</v>
      </c>
      <c r="N633" s="221">
        <v>1.0</v>
      </c>
      <c r="O633" s="222" t="s">
        <v>2002</v>
      </c>
      <c r="P633" s="222">
        <v>25.0</v>
      </c>
      <c r="Q633" s="222">
        <v>1500.0</v>
      </c>
      <c r="R633" s="224">
        <v>66.17</v>
      </c>
      <c r="S633" s="224">
        <v>1.5</v>
      </c>
      <c r="T633" s="225">
        <v>25.6</v>
      </c>
      <c r="U633" s="226">
        <v>52.0</v>
      </c>
      <c r="V633" s="227" t="s">
        <v>166</v>
      </c>
      <c r="W633" s="228" t="s">
        <v>174</v>
      </c>
      <c r="X633" s="222" t="s">
        <v>166</v>
      </c>
      <c r="Y633" s="223" t="s">
        <v>166</v>
      </c>
      <c r="Z633" s="221" t="s">
        <v>174</v>
      </c>
      <c r="AA633" s="222" t="s">
        <v>174</v>
      </c>
      <c r="AB633" s="222" t="s">
        <v>166</v>
      </c>
      <c r="AC633" s="222" t="s">
        <v>174</v>
      </c>
      <c r="AD633" s="222" t="s">
        <v>166</v>
      </c>
      <c r="AE633" s="222" t="s">
        <v>174</v>
      </c>
      <c r="AF633" s="222" t="s">
        <v>174</v>
      </c>
      <c r="AG633" s="222" t="s">
        <v>170</v>
      </c>
      <c r="AH633" s="222"/>
    </row>
    <row r="634">
      <c r="A634" s="314" t="s">
        <v>1634</v>
      </c>
      <c r="B634" s="257" t="s">
        <v>2658</v>
      </c>
      <c r="C634" s="221">
        <v>120.0</v>
      </c>
      <c r="D634" s="222">
        <v>157.0</v>
      </c>
      <c r="E634" s="222">
        <v>120.0</v>
      </c>
      <c r="F634" s="222">
        <v>27.0</v>
      </c>
      <c r="G634" s="223" t="s">
        <v>164</v>
      </c>
      <c r="H634" s="221">
        <v>72.0</v>
      </c>
      <c r="I634" s="222">
        <v>72.0</v>
      </c>
      <c r="J634" s="222">
        <v>52.5</v>
      </c>
      <c r="K634" s="222">
        <v>2800.0</v>
      </c>
      <c r="L634" s="222" t="s">
        <v>44</v>
      </c>
      <c r="M634" s="223">
        <v>300.0</v>
      </c>
      <c r="N634" s="221">
        <v>1.0</v>
      </c>
      <c r="O634" s="222" t="s">
        <v>2002</v>
      </c>
      <c r="P634" s="222">
        <v>25.0</v>
      </c>
      <c r="Q634" s="222">
        <v>1500.0</v>
      </c>
      <c r="R634" s="224">
        <v>66.17</v>
      </c>
      <c r="S634" s="224">
        <v>1.53</v>
      </c>
      <c r="T634" s="225">
        <v>25.6</v>
      </c>
      <c r="U634" s="226">
        <v>52.0</v>
      </c>
      <c r="V634" s="227" t="s">
        <v>166</v>
      </c>
      <c r="W634" s="228" t="s">
        <v>174</v>
      </c>
      <c r="X634" s="222" t="s">
        <v>166</v>
      </c>
      <c r="Y634" s="223" t="s">
        <v>166</v>
      </c>
      <c r="Z634" s="221" t="s">
        <v>166</v>
      </c>
      <c r="AA634" s="222" t="s">
        <v>174</v>
      </c>
      <c r="AB634" s="222" t="s">
        <v>166</v>
      </c>
      <c r="AC634" s="222" t="s">
        <v>174</v>
      </c>
      <c r="AD634" s="222" t="s">
        <v>166</v>
      </c>
      <c r="AE634" s="222" t="s">
        <v>174</v>
      </c>
      <c r="AF634" s="222" t="s">
        <v>174</v>
      </c>
      <c r="AG634" s="222" t="s">
        <v>170</v>
      </c>
      <c r="AH634" s="222"/>
    </row>
    <row r="635">
      <c r="A635" s="314" t="s">
        <v>1634</v>
      </c>
      <c r="B635" s="257" t="s">
        <v>2659</v>
      </c>
      <c r="C635" s="221">
        <v>240.0</v>
      </c>
      <c r="D635" s="222">
        <v>277.0</v>
      </c>
      <c r="E635" s="222">
        <v>120.0</v>
      </c>
      <c r="F635" s="222">
        <v>27.0</v>
      </c>
      <c r="G635" s="223" t="s">
        <v>164</v>
      </c>
      <c r="H635" s="221">
        <v>72.0</v>
      </c>
      <c r="I635" s="222">
        <v>72.0</v>
      </c>
      <c r="J635" s="222">
        <v>52.5</v>
      </c>
      <c r="K635" s="222">
        <v>2800.0</v>
      </c>
      <c r="L635" s="222" t="s">
        <v>44</v>
      </c>
      <c r="M635" s="223">
        <v>400.0</v>
      </c>
      <c r="N635" s="221">
        <v>2.0</v>
      </c>
      <c r="O635" s="222" t="s">
        <v>2002</v>
      </c>
      <c r="P635" s="222">
        <v>25.0</v>
      </c>
      <c r="Q635" s="222">
        <v>1500.0</v>
      </c>
      <c r="R635" s="224">
        <v>66.17</v>
      </c>
      <c r="S635" s="224">
        <v>1.5</v>
      </c>
      <c r="T635" s="225">
        <v>25.6</v>
      </c>
      <c r="U635" s="226">
        <v>52.0</v>
      </c>
      <c r="V635" s="227" t="s">
        <v>166</v>
      </c>
      <c r="W635" s="228" t="s">
        <v>174</v>
      </c>
      <c r="X635" s="222" t="s">
        <v>166</v>
      </c>
      <c r="Y635" s="223" t="s">
        <v>166</v>
      </c>
      <c r="Z635" s="221" t="s">
        <v>174</v>
      </c>
      <c r="AA635" s="222" t="s">
        <v>174</v>
      </c>
      <c r="AB635" s="222" t="s">
        <v>166</v>
      </c>
      <c r="AC635" s="222" t="s">
        <v>174</v>
      </c>
      <c r="AD635" s="222" t="s">
        <v>166</v>
      </c>
      <c r="AE635" s="222" t="s">
        <v>174</v>
      </c>
      <c r="AF635" s="222" t="s">
        <v>174</v>
      </c>
      <c r="AG635" s="222" t="s">
        <v>170</v>
      </c>
      <c r="AH635" s="222"/>
    </row>
    <row r="636">
      <c r="A636" s="314" t="s">
        <v>1634</v>
      </c>
      <c r="B636" s="257" t="s">
        <v>2660</v>
      </c>
      <c r="C636" s="221">
        <v>240.0</v>
      </c>
      <c r="D636" s="222">
        <v>270.0</v>
      </c>
      <c r="E636" s="222">
        <v>120.0</v>
      </c>
      <c r="F636" s="222">
        <v>27.0</v>
      </c>
      <c r="G636" s="223" t="s">
        <v>164</v>
      </c>
      <c r="H636" s="221">
        <v>72.0</v>
      </c>
      <c r="I636" s="222">
        <v>72.0</v>
      </c>
      <c r="J636" s="222">
        <v>52.5</v>
      </c>
      <c r="K636" s="222">
        <v>2800.0</v>
      </c>
      <c r="L636" s="222" t="s">
        <v>44</v>
      </c>
      <c r="M636" s="223">
        <v>400.0</v>
      </c>
      <c r="N636" s="221">
        <v>2.0</v>
      </c>
      <c r="O636" s="222" t="s">
        <v>2002</v>
      </c>
      <c r="P636" s="222">
        <v>25.0</v>
      </c>
      <c r="Q636" s="222">
        <v>1500.0</v>
      </c>
      <c r="R636" s="224">
        <v>66.17</v>
      </c>
      <c r="S636" s="224">
        <v>1.53</v>
      </c>
      <c r="T636" s="225">
        <v>25.6</v>
      </c>
      <c r="U636" s="226">
        <v>52.0</v>
      </c>
      <c r="V636" s="227" t="s">
        <v>166</v>
      </c>
      <c r="W636" s="228" t="s">
        <v>174</v>
      </c>
      <c r="X636" s="222" t="s">
        <v>166</v>
      </c>
      <c r="Y636" s="223" t="s">
        <v>166</v>
      </c>
      <c r="Z636" s="221" t="s">
        <v>174</v>
      </c>
      <c r="AA636" s="222" t="s">
        <v>174</v>
      </c>
      <c r="AB636" s="222" t="s">
        <v>166</v>
      </c>
      <c r="AC636" s="222" t="s">
        <v>174</v>
      </c>
      <c r="AD636" s="222" t="s">
        <v>166</v>
      </c>
      <c r="AE636" s="222" t="s">
        <v>174</v>
      </c>
      <c r="AF636" s="222" t="s">
        <v>174</v>
      </c>
      <c r="AG636" s="222" t="s">
        <v>170</v>
      </c>
      <c r="AH636" s="222"/>
    </row>
    <row r="637">
      <c r="A637" s="314" t="s">
        <v>1634</v>
      </c>
      <c r="B637" s="257" t="s">
        <v>2661</v>
      </c>
      <c r="C637" s="221">
        <v>240.0</v>
      </c>
      <c r="D637" s="222">
        <v>270.0</v>
      </c>
      <c r="E637" s="222">
        <v>120.0</v>
      </c>
      <c r="F637" s="222">
        <v>27.0</v>
      </c>
      <c r="G637" s="223" t="s">
        <v>164</v>
      </c>
      <c r="H637" s="221">
        <v>72.0</v>
      </c>
      <c r="I637" s="222">
        <v>72.0</v>
      </c>
      <c r="J637" s="222">
        <v>52.5</v>
      </c>
      <c r="K637" s="222">
        <v>2800.0</v>
      </c>
      <c r="L637" s="222" t="s">
        <v>44</v>
      </c>
      <c r="M637" s="223">
        <v>450.0</v>
      </c>
      <c r="N637" s="221">
        <v>2.0</v>
      </c>
      <c r="O637" s="222" t="s">
        <v>2002</v>
      </c>
      <c r="P637" s="222">
        <v>25.6</v>
      </c>
      <c r="Q637" s="222">
        <v>2150.0</v>
      </c>
      <c r="R637" s="224">
        <v>69.0</v>
      </c>
      <c r="S637" s="224">
        <v>2.87</v>
      </c>
      <c r="T637" s="225">
        <v>28.1</v>
      </c>
      <c r="U637" s="226">
        <v>52.6</v>
      </c>
      <c r="V637" s="227" t="s">
        <v>166</v>
      </c>
      <c r="W637" s="228" t="s">
        <v>174</v>
      </c>
      <c r="X637" s="222" t="s">
        <v>166</v>
      </c>
      <c r="Y637" s="223" t="s">
        <v>166</v>
      </c>
      <c r="Z637" s="221" t="s">
        <v>174</v>
      </c>
      <c r="AA637" s="222" t="s">
        <v>174</v>
      </c>
      <c r="AB637" s="222" t="s">
        <v>166</v>
      </c>
      <c r="AC637" s="222" t="s">
        <v>174</v>
      </c>
      <c r="AD637" s="222" t="s">
        <v>166</v>
      </c>
      <c r="AE637" s="222" t="s">
        <v>174</v>
      </c>
      <c r="AF637" s="222" t="s">
        <v>174</v>
      </c>
      <c r="AG637" s="222" t="s">
        <v>170</v>
      </c>
      <c r="AH637" s="222"/>
    </row>
    <row r="638">
      <c r="A638" s="314" t="s">
        <v>1634</v>
      </c>
      <c r="B638" s="257" t="s">
        <v>2662</v>
      </c>
      <c r="C638" s="221">
        <v>240.0</v>
      </c>
      <c r="D638" s="222">
        <v>277.0</v>
      </c>
      <c r="E638" s="222">
        <v>120.0</v>
      </c>
      <c r="F638" s="222">
        <v>27.0</v>
      </c>
      <c r="G638" s="223" t="s">
        <v>164</v>
      </c>
      <c r="H638" s="221">
        <v>72.0</v>
      </c>
      <c r="I638" s="222">
        <v>72.0</v>
      </c>
      <c r="J638" s="222">
        <v>52.5</v>
      </c>
      <c r="K638" s="222">
        <v>5300.0</v>
      </c>
      <c r="L638" s="222" t="s">
        <v>2126</v>
      </c>
      <c r="M638" s="223">
        <v>450.0</v>
      </c>
      <c r="N638" s="221">
        <v>2.0</v>
      </c>
      <c r="O638" s="222" t="s">
        <v>2002</v>
      </c>
      <c r="P638" s="222">
        <v>25.6</v>
      </c>
      <c r="Q638" s="222">
        <v>2150.0</v>
      </c>
      <c r="R638" s="224">
        <v>69.0</v>
      </c>
      <c r="S638" s="224">
        <v>2.87</v>
      </c>
      <c r="T638" s="225">
        <v>28.1</v>
      </c>
      <c r="U638" s="226">
        <v>52.6</v>
      </c>
      <c r="V638" s="227" t="s">
        <v>166</v>
      </c>
      <c r="W638" s="228" t="s">
        <v>174</v>
      </c>
      <c r="X638" s="222" t="s">
        <v>166</v>
      </c>
      <c r="Y638" s="223" t="s">
        <v>170</v>
      </c>
      <c r="Z638" s="221" t="s">
        <v>174</v>
      </c>
      <c r="AA638" s="222" t="s">
        <v>174</v>
      </c>
      <c r="AB638" s="222" t="s">
        <v>166</v>
      </c>
      <c r="AC638" s="222" t="s">
        <v>174</v>
      </c>
      <c r="AD638" s="222" t="s">
        <v>166</v>
      </c>
      <c r="AE638" s="222" t="s">
        <v>174</v>
      </c>
      <c r="AF638" s="222" t="s">
        <v>174</v>
      </c>
      <c r="AG638" s="222" t="s">
        <v>2127</v>
      </c>
      <c r="AH638" s="222"/>
    </row>
    <row r="639">
      <c r="A639" s="314" t="s">
        <v>1634</v>
      </c>
      <c r="B639" s="257" t="s">
        <v>2663</v>
      </c>
      <c r="C639" s="221">
        <v>240.0</v>
      </c>
      <c r="D639" s="222">
        <v>277.0</v>
      </c>
      <c r="E639" s="222">
        <v>120.0</v>
      </c>
      <c r="F639" s="222">
        <v>27.0</v>
      </c>
      <c r="G639" s="223" t="s">
        <v>164</v>
      </c>
      <c r="H639" s="221">
        <v>72.0</v>
      </c>
      <c r="I639" s="222">
        <v>72.0</v>
      </c>
      <c r="J639" s="222">
        <v>52.5</v>
      </c>
      <c r="K639" s="222">
        <v>2800.0</v>
      </c>
      <c r="L639" s="222" t="s">
        <v>44</v>
      </c>
      <c r="M639" s="223">
        <v>400.0</v>
      </c>
      <c r="N639" s="221">
        <v>2.0</v>
      </c>
      <c r="O639" s="222" t="s">
        <v>2002</v>
      </c>
      <c r="P639" s="222">
        <v>25.0</v>
      </c>
      <c r="Q639" s="222">
        <v>1500.0</v>
      </c>
      <c r="R639" s="224">
        <v>66.17</v>
      </c>
      <c r="S639" s="224">
        <v>1.53</v>
      </c>
      <c r="T639" s="225">
        <v>25.6</v>
      </c>
      <c r="U639" s="226">
        <v>52.0</v>
      </c>
      <c r="V639" s="227" t="s">
        <v>166</v>
      </c>
      <c r="W639" s="228" t="s">
        <v>174</v>
      </c>
      <c r="X639" s="222" t="s">
        <v>166</v>
      </c>
      <c r="Y639" s="223" t="s">
        <v>170</v>
      </c>
      <c r="Z639" s="221" t="s">
        <v>174</v>
      </c>
      <c r="AA639" s="222" t="s">
        <v>174</v>
      </c>
      <c r="AB639" s="222" t="s">
        <v>166</v>
      </c>
      <c r="AC639" s="222" t="s">
        <v>174</v>
      </c>
      <c r="AD639" s="222" t="s">
        <v>166</v>
      </c>
      <c r="AE639" s="222" t="s">
        <v>174</v>
      </c>
      <c r="AF639" s="222" t="s">
        <v>174</v>
      </c>
      <c r="AG639" s="222" t="s">
        <v>170</v>
      </c>
      <c r="AH639" s="222"/>
    </row>
    <row r="640">
      <c r="A640" s="314" t="s">
        <v>1634</v>
      </c>
      <c r="B640" s="257" t="s">
        <v>2664</v>
      </c>
      <c r="C640" s="221">
        <v>280.0</v>
      </c>
      <c r="D640" s="222">
        <v>318.0</v>
      </c>
      <c r="E640" s="222">
        <v>140.0</v>
      </c>
      <c r="F640" s="222">
        <v>27.0</v>
      </c>
      <c r="G640" s="223" t="s">
        <v>164</v>
      </c>
      <c r="H640" s="221">
        <v>72.0</v>
      </c>
      <c r="I640" s="222">
        <v>72.0</v>
      </c>
      <c r="J640" s="222">
        <v>52.5</v>
      </c>
      <c r="K640" s="222">
        <v>5300.0</v>
      </c>
      <c r="L640" s="222" t="s">
        <v>2126</v>
      </c>
      <c r="M640" s="223">
        <v>400.0</v>
      </c>
      <c r="N640" s="221">
        <v>2.0</v>
      </c>
      <c r="O640" s="222" t="s">
        <v>2018</v>
      </c>
      <c r="P640" s="222">
        <v>25.0</v>
      </c>
      <c r="Q640" s="222">
        <v>2000.0</v>
      </c>
      <c r="R640" s="224">
        <v>110.4</v>
      </c>
      <c r="S640" s="224">
        <v>3.02</v>
      </c>
      <c r="T640" s="225">
        <v>31.4</v>
      </c>
      <c r="U640" s="226">
        <v>52.0</v>
      </c>
      <c r="V640" s="227" t="s">
        <v>166</v>
      </c>
      <c r="W640" s="228" t="s">
        <v>174</v>
      </c>
      <c r="X640" s="222" t="s">
        <v>166</v>
      </c>
      <c r="Y640" s="223" t="s">
        <v>170</v>
      </c>
      <c r="Z640" s="221" t="s">
        <v>174</v>
      </c>
      <c r="AA640" s="222" t="s">
        <v>174</v>
      </c>
      <c r="AB640" s="222" t="s">
        <v>166</v>
      </c>
      <c r="AC640" s="222" t="s">
        <v>174</v>
      </c>
      <c r="AD640" s="222" t="s">
        <v>166</v>
      </c>
      <c r="AE640" s="222" t="s">
        <v>174</v>
      </c>
      <c r="AF640" s="222" t="s">
        <v>174</v>
      </c>
      <c r="AG640" s="222" t="s">
        <v>2127</v>
      </c>
      <c r="AH640" s="222"/>
    </row>
    <row r="641">
      <c r="A641" s="314" t="s">
        <v>1634</v>
      </c>
      <c r="B641" s="257" t="s">
        <v>2665</v>
      </c>
      <c r="C641" s="221">
        <v>360.0</v>
      </c>
      <c r="D641" s="222">
        <v>397.0</v>
      </c>
      <c r="E641" s="222">
        <v>120.0</v>
      </c>
      <c r="F641" s="222">
        <v>27.0</v>
      </c>
      <c r="G641" s="223" t="s">
        <v>164</v>
      </c>
      <c r="H641" s="221">
        <v>72.0</v>
      </c>
      <c r="I641" s="222">
        <v>72.0</v>
      </c>
      <c r="J641" s="222">
        <v>52.5</v>
      </c>
      <c r="K641" s="222">
        <v>2800.0</v>
      </c>
      <c r="L641" s="222" t="s">
        <v>44</v>
      </c>
      <c r="M641" s="223">
        <v>450.0</v>
      </c>
      <c r="N641" s="221">
        <v>3.0</v>
      </c>
      <c r="O641" s="222" t="s">
        <v>2002</v>
      </c>
      <c r="P641" s="222">
        <v>25.0</v>
      </c>
      <c r="Q641" s="222">
        <v>1500.0</v>
      </c>
      <c r="R641" s="224">
        <v>66.17</v>
      </c>
      <c r="S641" s="224">
        <v>1.53</v>
      </c>
      <c r="T641" s="225">
        <v>25.6</v>
      </c>
      <c r="U641" s="226">
        <v>52.0</v>
      </c>
      <c r="V641" s="227" t="s">
        <v>166</v>
      </c>
      <c r="W641" s="228" t="s">
        <v>174</v>
      </c>
      <c r="X641" s="222" t="s">
        <v>166</v>
      </c>
      <c r="Y641" s="223" t="s">
        <v>166</v>
      </c>
      <c r="Z641" s="221" t="s">
        <v>174</v>
      </c>
      <c r="AA641" s="222" t="s">
        <v>174</v>
      </c>
      <c r="AB641" s="222" t="s">
        <v>166</v>
      </c>
      <c r="AC641" s="222" t="s">
        <v>174</v>
      </c>
      <c r="AD641" s="222" t="s">
        <v>166</v>
      </c>
      <c r="AE641" s="222" t="s">
        <v>174</v>
      </c>
      <c r="AF641" s="222" t="s">
        <v>174</v>
      </c>
      <c r="AG641" s="222" t="s">
        <v>170</v>
      </c>
      <c r="AH641" s="222"/>
    </row>
    <row r="642">
      <c r="A642" s="314" t="s">
        <v>1634</v>
      </c>
      <c r="B642" s="257" t="s">
        <v>2666</v>
      </c>
      <c r="C642" s="221">
        <v>360.0</v>
      </c>
      <c r="D642" s="222">
        <v>397.0</v>
      </c>
      <c r="E642" s="222">
        <v>120.0</v>
      </c>
      <c r="F642" s="222">
        <v>27.0</v>
      </c>
      <c r="G642" s="223" t="s">
        <v>164</v>
      </c>
      <c r="H642" s="221">
        <v>72.0</v>
      </c>
      <c r="I642" s="222">
        <v>72.0</v>
      </c>
      <c r="J642" s="222">
        <v>52.5</v>
      </c>
      <c r="K642" s="222">
        <v>2800.0</v>
      </c>
      <c r="L642" s="222" t="s">
        <v>44</v>
      </c>
      <c r="M642" s="223">
        <v>450.0</v>
      </c>
      <c r="N642" s="221">
        <v>3.0</v>
      </c>
      <c r="O642" s="222" t="s">
        <v>2002</v>
      </c>
      <c r="P642" s="222">
        <v>25.0</v>
      </c>
      <c r="Q642" s="222">
        <v>1500.0</v>
      </c>
      <c r="R642" s="224">
        <v>66.17</v>
      </c>
      <c r="S642" s="224">
        <v>1.53</v>
      </c>
      <c r="T642" s="225">
        <v>25.6</v>
      </c>
      <c r="U642" s="226">
        <v>52.0</v>
      </c>
      <c r="V642" s="227" t="s">
        <v>166</v>
      </c>
      <c r="W642" s="228" t="s">
        <v>174</v>
      </c>
      <c r="X642" s="222" t="s">
        <v>166</v>
      </c>
      <c r="Y642" s="223" t="s">
        <v>170</v>
      </c>
      <c r="Z642" s="221" t="s">
        <v>174</v>
      </c>
      <c r="AA642" s="222" t="s">
        <v>174</v>
      </c>
      <c r="AB642" s="222" t="s">
        <v>166</v>
      </c>
      <c r="AC642" s="222" t="s">
        <v>174</v>
      </c>
      <c r="AD642" s="222" t="s">
        <v>166</v>
      </c>
      <c r="AE642" s="222" t="s">
        <v>174</v>
      </c>
      <c r="AF642" s="222" t="s">
        <v>174</v>
      </c>
      <c r="AG642" s="222" t="s">
        <v>170</v>
      </c>
      <c r="AH642" s="222"/>
    </row>
    <row r="643">
      <c r="A643" s="314" t="s">
        <v>1634</v>
      </c>
      <c r="B643" s="257" t="s">
        <v>2667</v>
      </c>
      <c r="C643" s="221">
        <v>360.0</v>
      </c>
      <c r="D643" s="222">
        <v>397.0</v>
      </c>
      <c r="E643" s="222">
        <v>120.0</v>
      </c>
      <c r="F643" s="222">
        <v>27.0</v>
      </c>
      <c r="G643" s="223" t="s">
        <v>164</v>
      </c>
      <c r="H643" s="221">
        <v>72.0</v>
      </c>
      <c r="I643" s="222">
        <v>72.0</v>
      </c>
      <c r="J643" s="222">
        <v>52.5</v>
      </c>
      <c r="K643" s="222">
        <v>5300.0</v>
      </c>
      <c r="L643" s="222" t="s">
        <v>2126</v>
      </c>
      <c r="M643" s="223">
        <v>450.0</v>
      </c>
      <c r="N643" s="221">
        <v>3.0</v>
      </c>
      <c r="O643" s="222" t="s">
        <v>2002</v>
      </c>
      <c r="P643" s="222">
        <v>25.6</v>
      </c>
      <c r="Q643" s="222">
        <v>2150.0</v>
      </c>
      <c r="R643" s="224">
        <v>69.0</v>
      </c>
      <c r="S643" s="224">
        <v>2.87</v>
      </c>
      <c r="T643" s="225">
        <v>28.1</v>
      </c>
      <c r="U643" s="226">
        <v>52.6</v>
      </c>
      <c r="V643" s="227" t="s">
        <v>166</v>
      </c>
      <c r="W643" s="228" t="s">
        <v>174</v>
      </c>
      <c r="X643" s="222" t="s">
        <v>166</v>
      </c>
      <c r="Y643" s="223" t="s">
        <v>170</v>
      </c>
      <c r="Z643" s="221" t="s">
        <v>174</v>
      </c>
      <c r="AA643" s="222" t="s">
        <v>174</v>
      </c>
      <c r="AB643" s="222" t="s">
        <v>166</v>
      </c>
      <c r="AC643" s="222" t="s">
        <v>174</v>
      </c>
      <c r="AD643" s="222" t="s">
        <v>166</v>
      </c>
      <c r="AE643" s="222" t="s">
        <v>174</v>
      </c>
      <c r="AF643" s="222" t="s">
        <v>174</v>
      </c>
      <c r="AG643" s="222" t="s">
        <v>2127</v>
      </c>
      <c r="AH643" s="222"/>
    </row>
    <row r="644">
      <c r="A644" s="314" t="s">
        <v>1634</v>
      </c>
      <c r="B644" s="257" t="s">
        <v>2668</v>
      </c>
      <c r="C644" s="221">
        <v>360.0</v>
      </c>
      <c r="D644" s="222">
        <v>397.0</v>
      </c>
      <c r="E644" s="222">
        <v>120.0</v>
      </c>
      <c r="F644" s="222">
        <v>27.0</v>
      </c>
      <c r="G644" s="223" t="s">
        <v>164</v>
      </c>
      <c r="H644" s="221">
        <v>72.0</v>
      </c>
      <c r="I644" s="222">
        <v>72.0</v>
      </c>
      <c r="J644" s="222">
        <v>52.5</v>
      </c>
      <c r="K644" s="222">
        <v>2800.0</v>
      </c>
      <c r="L644" s="222" t="s">
        <v>44</v>
      </c>
      <c r="M644" s="223">
        <v>450.0</v>
      </c>
      <c r="N644" s="221">
        <v>3.0</v>
      </c>
      <c r="O644" s="222" t="s">
        <v>2002</v>
      </c>
      <c r="P644" s="222">
        <v>25.0</v>
      </c>
      <c r="Q644" s="222">
        <v>1500.0</v>
      </c>
      <c r="R644" s="224">
        <v>66.17</v>
      </c>
      <c r="S644" s="224">
        <v>1.53</v>
      </c>
      <c r="T644" s="225">
        <v>25.6</v>
      </c>
      <c r="U644" s="226">
        <v>52.0</v>
      </c>
      <c r="V644" s="227" t="s">
        <v>166</v>
      </c>
      <c r="W644" s="228" t="s">
        <v>174</v>
      </c>
      <c r="X644" s="222" t="s">
        <v>166</v>
      </c>
      <c r="Y644" s="223" t="s">
        <v>170</v>
      </c>
      <c r="Z644" s="221" t="s">
        <v>174</v>
      </c>
      <c r="AA644" s="222" t="s">
        <v>174</v>
      </c>
      <c r="AB644" s="222" t="s">
        <v>166</v>
      </c>
      <c r="AC644" s="222" t="s">
        <v>174</v>
      </c>
      <c r="AD644" s="222" t="s">
        <v>166</v>
      </c>
      <c r="AE644" s="222" t="s">
        <v>174</v>
      </c>
      <c r="AF644" s="222" t="s">
        <v>174</v>
      </c>
      <c r="AG644" s="222" t="s">
        <v>170</v>
      </c>
      <c r="AH644" s="222"/>
    </row>
    <row r="645">
      <c r="A645" s="314" t="s">
        <v>1634</v>
      </c>
      <c r="B645" s="257" t="s">
        <v>2669</v>
      </c>
      <c r="C645" s="221">
        <v>120.0</v>
      </c>
      <c r="D645" s="222">
        <v>157.0</v>
      </c>
      <c r="E645" s="222">
        <v>120.0</v>
      </c>
      <c r="F645" s="222">
        <v>27.0</v>
      </c>
      <c r="G645" s="223" t="s">
        <v>164</v>
      </c>
      <c r="H645" s="221">
        <v>72.0</v>
      </c>
      <c r="I645" s="222">
        <v>72.0</v>
      </c>
      <c r="J645" s="222">
        <v>52.5</v>
      </c>
      <c r="K645" s="222">
        <v>2800.0</v>
      </c>
      <c r="L645" s="222" t="s">
        <v>44</v>
      </c>
      <c r="M645" s="223">
        <v>300.0</v>
      </c>
      <c r="N645" s="221">
        <v>1.0</v>
      </c>
      <c r="O645" s="222" t="s">
        <v>2002</v>
      </c>
      <c r="P645" s="222">
        <v>25.0</v>
      </c>
      <c r="Q645" s="222">
        <v>1850.0</v>
      </c>
      <c r="R645" s="224">
        <v>82.0</v>
      </c>
      <c r="S645" s="224">
        <v>2.1</v>
      </c>
      <c r="T645" s="225">
        <v>29.6</v>
      </c>
      <c r="U645" s="226">
        <v>52.0</v>
      </c>
      <c r="V645" s="227" t="s">
        <v>166</v>
      </c>
      <c r="W645" s="228" t="s">
        <v>174</v>
      </c>
      <c r="X645" s="222" t="s">
        <v>166</v>
      </c>
      <c r="Y645" s="223" t="s">
        <v>166</v>
      </c>
      <c r="Z645" s="221" t="s">
        <v>174</v>
      </c>
      <c r="AA645" s="222" t="s">
        <v>174</v>
      </c>
      <c r="AB645" s="222" t="s">
        <v>166</v>
      </c>
      <c r="AC645" s="222" t="s">
        <v>174</v>
      </c>
      <c r="AD645" s="222" t="s">
        <v>166</v>
      </c>
      <c r="AE645" s="222" t="s">
        <v>174</v>
      </c>
      <c r="AF645" s="222" t="s">
        <v>174</v>
      </c>
      <c r="AG645" s="222" t="s">
        <v>170</v>
      </c>
      <c r="AH645" s="222"/>
    </row>
    <row r="646">
      <c r="A646" s="314" t="s">
        <v>1634</v>
      </c>
      <c r="B646" s="257" t="s">
        <v>2670</v>
      </c>
      <c r="C646" s="221">
        <v>240.0</v>
      </c>
      <c r="D646" s="222">
        <v>277.0</v>
      </c>
      <c r="E646" s="222">
        <v>120.0</v>
      </c>
      <c r="F646" s="222">
        <v>27.0</v>
      </c>
      <c r="G646" s="223" t="s">
        <v>164</v>
      </c>
      <c r="H646" s="221">
        <v>72.0</v>
      </c>
      <c r="I646" s="222">
        <v>72.0</v>
      </c>
      <c r="J646" s="222">
        <v>52.5</v>
      </c>
      <c r="K646" s="222">
        <v>2800.0</v>
      </c>
      <c r="L646" s="222" t="s">
        <v>44</v>
      </c>
      <c r="M646" s="223">
        <v>400.0</v>
      </c>
      <c r="N646" s="221">
        <v>2.0</v>
      </c>
      <c r="O646" s="222" t="s">
        <v>2002</v>
      </c>
      <c r="P646" s="222">
        <v>25.0</v>
      </c>
      <c r="Q646" s="222">
        <v>1850.0</v>
      </c>
      <c r="R646" s="224">
        <v>82.0</v>
      </c>
      <c r="S646" s="224">
        <v>2.1</v>
      </c>
      <c r="T646" s="225">
        <v>29.6</v>
      </c>
      <c r="U646" s="226">
        <v>52.0</v>
      </c>
      <c r="V646" s="227" t="s">
        <v>166</v>
      </c>
      <c r="W646" s="228" t="s">
        <v>174</v>
      </c>
      <c r="X646" s="222" t="s">
        <v>166</v>
      </c>
      <c r="Y646" s="223" t="s">
        <v>166</v>
      </c>
      <c r="Z646" s="221" t="s">
        <v>174</v>
      </c>
      <c r="AA646" s="222" t="s">
        <v>174</v>
      </c>
      <c r="AB646" s="222" t="s">
        <v>166</v>
      </c>
      <c r="AC646" s="222" t="s">
        <v>174</v>
      </c>
      <c r="AD646" s="222" t="s">
        <v>166</v>
      </c>
      <c r="AE646" s="222" t="s">
        <v>174</v>
      </c>
      <c r="AF646" s="222" t="s">
        <v>174</v>
      </c>
      <c r="AG646" s="222" t="s">
        <v>170</v>
      </c>
      <c r="AH646" s="222"/>
    </row>
    <row r="647">
      <c r="A647" s="314" t="s">
        <v>1634</v>
      </c>
      <c r="B647" s="257" t="s">
        <v>2671</v>
      </c>
      <c r="C647" s="221">
        <v>360.0</v>
      </c>
      <c r="D647" s="222">
        <v>397.0</v>
      </c>
      <c r="E647" s="222">
        <v>120.0</v>
      </c>
      <c r="F647" s="222">
        <v>27.0</v>
      </c>
      <c r="G647" s="223" t="s">
        <v>164</v>
      </c>
      <c r="H647" s="221">
        <v>72.0</v>
      </c>
      <c r="I647" s="222">
        <v>72.0</v>
      </c>
      <c r="J647" s="222">
        <v>52.5</v>
      </c>
      <c r="K647" s="222">
        <v>2800.0</v>
      </c>
      <c r="L647" s="222" t="s">
        <v>44</v>
      </c>
      <c r="M647" s="223">
        <v>450.0</v>
      </c>
      <c r="N647" s="221">
        <v>3.0</v>
      </c>
      <c r="O647" s="222" t="s">
        <v>2002</v>
      </c>
      <c r="P647" s="222">
        <v>25.0</v>
      </c>
      <c r="Q647" s="222">
        <v>1850.0</v>
      </c>
      <c r="R647" s="224">
        <v>82.0</v>
      </c>
      <c r="S647" s="224">
        <v>2.1</v>
      </c>
      <c r="T647" s="225">
        <v>29.6</v>
      </c>
      <c r="U647" s="226">
        <v>52.0</v>
      </c>
      <c r="V647" s="227" t="s">
        <v>166</v>
      </c>
      <c r="W647" s="228" t="s">
        <v>174</v>
      </c>
      <c r="X647" s="222" t="s">
        <v>166</v>
      </c>
      <c r="Y647" s="223" t="s">
        <v>166</v>
      </c>
      <c r="Z647" s="221" t="s">
        <v>174</v>
      </c>
      <c r="AA647" s="222" t="s">
        <v>174</v>
      </c>
      <c r="AB647" s="222" t="s">
        <v>166</v>
      </c>
      <c r="AC647" s="222" t="s">
        <v>174</v>
      </c>
      <c r="AD647" s="222" t="s">
        <v>166</v>
      </c>
      <c r="AE647" s="222" t="s">
        <v>174</v>
      </c>
      <c r="AF647" s="222" t="s">
        <v>174</v>
      </c>
      <c r="AG647" s="222" t="s">
        <v>170</v>
      </c>
      <c r="AH647" s="222"/>
    </row>
    <row r="648">
      <c r="A648" s="314" t="s">
        <v>1634</v>
      </c>
      <c r="B648" s="257" t="s">
        <v>2672</v>
      </c>
      <c r="C648" s="221">
        <v>240.0</v>
      </c>
      <c r="D648" s="222">
        <v>277.0</v>
      </c>
      <c r="E648" s="222">
        <v>120.0</v>
      </c>
      <c r="F648" s="222">
        <v>27.0</v>
      </c>
      <c r="G648" s="223" t="s">
        <v>164</v>
      </c>
      <c r="H648" s="221">
        <v>72.0</v>
      </c>
      <c r="I648" s="222">
        <v>72.0</v>
      </c>
      <c r="J648" s="222">
        <v>54.0</v>
      </c>
      <c r="K648" s="222">
        <v>5300.0</v>
      </c>
      <c r="L648" s="222" t="s">
        <v>2126</v>
      </c>
      <c r="M648" s="223">
        <v>400.0</v>
      </c>
      <c r="N648" s="221">
        <v>2.0</v>
      </c>
      <c r="O648" s="222" t="s">
        <v>2002</v>
      </c>
      <c r="P648" s="222">
        <v>25.0</v>
      </c>
      <c r="Q648" s="222">
        <v>2000.0</v>
      </c>
      <c r="R648" s="224">
        <v>72.37</v>
      </c>
      <c r="S648" s="224">
        <v>2.87</v>
      </c>
      <c r="T648" s="225">
        <v>27.7</v>
      </c>
      <c r="U648" s="226">
        <v>52.0</v>
      </c>
      <c r="V648" s="227" t="s">
        <v>166</v>
      </c>
      <c r="W648" s="228" t="s">
        <v>174</v>
      </c>
      <c r="X648" s="222" t="s">
        <v>166</v>
      </c>
      <c r="Y648" s="223" t="s">
        <v>170</v>
      </c>
      <c r="Z648" s="221" t="s">
        <v>174</v>
      </c>
      <c r="AA648" s="222" t="s">
        <v>174</v>
      </c>
      <c r="AB648" s="222" t="s">
        <v>166</v>
      </c>
      <c r="AC648" s="222" t="s">
        <v>174</v>
      </c>
      <c r="AD648" s="222" t="s">
        <v>166</v>
      </c>
      <c r="AE648" s="222" t="s">
        <v>174</v>
      </c>
      <c r="AF648" s="222" t="s">
        <v>174</v>
      </c>
      <c r="AG648" s="222" t="s">
        <v>2127</v>
      </c>
      <c r="AH648" s="222"/>
    </row>
    <row r="649">
      <c r="A649" s="314" t="s">
        <v>1634</v>
      </c>
      <c r="B649" s="257" t="s">
        <v>2673</v>
      </c>
      <c r="C649" s="221">
        <v>240.0</v>
      </c>
      <c r="D649" s="222">
        <v>277.0</v>
      </c>
      <c r="E649" s="222">
        <v>120.0</v>
      </c>
      <c r="F649" s="222">
        <v>27.0</v>
      </c>
      <c r="G649" s="223" t="s">
        <v>164</v>
      </c>
      <c r="H649" s="221">
        <v>72.0</v>
      </c>
      <c r="I649" s="222">
        <v>72.0</v>
      </c>
      <c r="J649" s="222">
        <v>54.0</v>
      </c>
      <c r="K649" s="222">
        <v>5300.0</v>
      </c>
      <c r="L649" s="222" t="s">
        <v>2126</v>
      </c>
      <c r="M649" s="223">
        <v>400.0</v>
      </c>
      <c r="N649" s="221">
        <v>2.0</v>
      </c>
      <c r="O649" s="222" t="s">
        <v>2002</v>
      </c>
      <c r="P649" s="222">
        <v>25.0</v>
      </c>
      <c r="Q649" s="222">
        <v>2000.0</v>
      </c>
      <c r="R649" s="224">
        <v>72.37</v>
      </c>
      <c r="S649" s="224">
        <v>2.87</v>
      </c>
      <c r="T649" s="225">
        <v>27.7</v>
      </c>
      <c r="U649" s="226">
        <v>52.0</v>
      </c>
      <c r="V649" s="227" t="s">
        <v>166</v>
      </c>
      <c r="W649" s="228" t="s">
        <v>174</v>
      </c>
      <c r="X649" s="222" t="s">
        <v>166</v>
      </c>
      <c r="Y649" s="223" t="s">
        <v>170</v>
      </c>
      <c r="Z649" s="221" t="s">
        <v>174</v>
      </c>
      <c r="AA649" s="222" t="s">
        <v>174</v>
      </c>
      <c r="AB649" s="222" t="s">
        <v>166</v>
      </c>
      <c r="AC649" s="222" t="s">
        <v>174</v>
      </c>
      <c r="AD649" s="222" t="s">
        <v>166</v>
      </c>
      <c r="AE649" s="222" t="s">
        <v>174</v>
      </c>
      <c r="AF649" s="222" t="s">
        <v>174</v>
      </c>
      <c r="AG649" s="222" t="s">
        <v>2127</v>
      </c>
      <c r="AH649" s="222"/>
    </row>
    <row r="650">
      <c r="A650" s="314" t="s">
        <v>1634</v>
      </c>
      <c r="B650" s="257" t="s">
        <v>2674</v>
      </c>
      <c r="C650" s="221">
        <v>240.0</v>
      </c>
      <c r="D650" s="222">
        <v>277.0</v>
      </c>
      <c r="E650" s="222">
        <v>120.0</v>
      </c>
      <c r="F650" s="222">
        <v>27.0</v>
      </c>
      <c r="G650" s="223" t="s">
        <v>164</v>
      </c>
      <c r="H650" s="221">
        <v>72.0</v>
      </c>
      <c r="I650" s="222">
        <v>72.0</v>
      </c>
      <c r="J650" s="222">
        <v>54.0</v>
      </c>
      <c r="K650" s="222">
        <v>5300.0</v>
      </c>
      <c r="L650" s="222" t="s">
        <v>2126</v>
      </c>
      <c r="M650" s="223">
        <v>400.0</v>
      </c>
      <c r="N650" s="221">
        <v>2.0</v>
      </c>
      <c r="O650" s="222" t="s">
        <v>2002</v>
      </c>
      <c r="P650" s="222">
        <v>25.0</v>
      </c>
      <c r="Q650" s="222">
        <v>2000.0</v>
      </c>
      <c r="R650" s="224">
        <v>72.37</v>
      </c>
      <c r="S650" s="224">
        <v>2.87</v>
      </c>
      <c r="T650" s="225">
        <v>27.7</v>
      </c>
      <c r="U650" s="226">
        <v>52.0</v>
      </c>
      <c r="V650" s="227" t="s">
        <v>166</v>
      </c>
      <c r="W650" s="228" t="s">
        <v>174</v>
      </c>
      <c r="X650" s="222" t="s">
        <v>166</v>
      </c>
      <c r="Y650" s="223" t="s">
        <v>170</v>
      </c>
      <c r="Z650" s="221" t="s">
        <v>174</v>
      </c>
      <c r="AA650" s="222" t="s">
        <v>174</v>
      </c>
      <c r="AB650" s="222" t="s">
        <v>166</v>
      </c>
      <c r="AC650" s="222" t="s">
        <v>174</v>
      </c>
      <c r="AD650" s="222" t="s">
        <v>166</v>
      </c>
      <c r="AE650" s="222" t="s">
        <v>174</v>
      </c>
      <c r="AF650" s="222" t="s">
        <v>174</v>
      </c>
      <c r="AG650" s="222" t="s">
        <v>2127</v>
      </c>
      <c r="AH650" s="222"/>
    </row>
    <row r="651">
      <c r="A651" s="314" t="s">
        <v>1634</v>
      </c>
      <c r="B651" s="257" t="s">
        <v>2675</v>
      </c>
      <c r="C651" s="221">
        <v>240.0</v>
      </c>
      <c r="D651" s="222">
        <v>277.0</v>
      </c>
      <c r="E651" s="222">
        <v>120.0</v>
      </c>
      <c r="F651" s="222">
        <v>27.0</v>
      </c>
      <c r="G651" s="223" t="s">
        <v>164</v>
      </c>
      <c r="H651" s="221">
        <v>72.0</v>
      </c>
      <c r="I651" s="222">
        <v>72.0</v>
      </c>
      <c r="J651" s="222">
        <v>54.0</v>
      </c>
      <c r="K651" s="222">
        <v>5300.0</v>
      </c>
      <c r="L651" s="222" t="s">
        <v>2126</v>
      </c>
      <c r="M651" s="223">
        <v>400.0</v>
      </c>
      <c r="N651" s="221">
        <v>2.0</v>
      </c>
      <c r="O651" s="222" t="s">
        <v>2002</v>
      </c>
      <c r="P651" s="222">
        <v>25.0</v>
      </c>
      <c r="Q651" s="222">
        <v>2000.0</v>
      </c>
      <c r="R651" s="224">
        <v>72.37</v>
      </c>
      <c r="S651" s="224">
        <v>2.87</v>
      </c>
      <c r="T651" s="225">
        <v>27.7</v>
      </c>
      <c r="U651" s="226">
        <v>52.0</v>
      </c>
      <c r="V651" s="227" t="s">
        <v>166</v>
      </c>
      <c r="W651" s="228" t="s">
        <v>174</v>
      </c>
      <c r="X651" s="222" t="s">
        <v>166</v>
      </c>
      <c r="Y651" s="223" t="s">
        <v>170</v>
      </c>
      <c r="Z651" s="221" t="s">
        <v>174</v>
      </c>
      <c r="AA651" s="222" t="s">
        <v>174</v>
      </c>
      <c r="AB651" s="222" t="s">
        <v>166</v>
      </c>
      <c r="AC651" s="222" t="s">
        <v>174</v>
      </c>
      <c r="AD651" s="222" t="s">
        <v>166</v>
      </c>
      <c r="AE651" s="222" t="s">
        <v>174</v>
      </c>
      <c r="AF651" s="222" t="s">
        <v>174</v>
      </c>
      <c r="AG651" s="222" t="s">
        <v>2127</v>
      </c>
      <c r="AH651" s="222"/>
    </row>
    <row r="652">
      <c r="A652" s="314" t="s">
        <v>1634</v>
      </c>
      <c r="B652" s="257" t="s">
        <v>2676</v>
      </c>
      <c r="C652" s="221">
        <v>360.0</v>
      </c>
      <c r="D652" s="222">
        <v>397.0</v>
      </c>
      <c r="E652" s="222">
        <v>120.0</v>
      </c>
      <c r="F652" s="222">
        <v>27.0</v>
      </c>
      <c r="G652" s="223" t="s">
        <v>164</v>
      </c>
      <c r="H652" s="221">
        <v>72.0</v>
      </c>
      <c r="I652" s="222">
        <v>72.0</v>
      </c>
      <c r="J652" s="222">
        <v>52.5</v>
      </c>
      <c r="K652" s="222">
        <v>5300.0</v>
      </c>
      <c r="L652" s="222" t="s">
        <v>2126</v>
      </c>
      <c r="M652" s="223">
        <v>450.0</v>
      </c>
      <c r="N652" s="221">
        <v>3.0</v>
      </c>
      <c r="O652" s="222" t="s">
        <v>2002</v>
      </c>
      <c r="P652" s="222">
        <v>25.0</v>
      </c>
      <c r="Q652" s="222">
        <v>2000.0</v>
      </c>
      <c r="R652" s="224">
        <v>72.37</v>
      </c>
      <c r="S652" s="224">
        <v>2.87</v>
      </c>
      <c r="T652" s="225">
        <v>27.7</v>
      </c>
      <c r="U652" s="226">
        <v>52.0</v>
      </c>
      <c r="V652" s="227" t="s">
        <v>166</v>
      </c>
      <c r="W652" s="228" t="s">
        <v>174</v>
      </c>
      <c r="X652" s="222" t="s">
        <v>166</v>
      </c>
      <c r="Y652" s="223" t="s">
        <v>170</v>
      </c>
      <c r="Z652" s="221" t="s">
        <v>174</v>
      </c>
      <c r="AA652" s="222" t="s">
        <v>174</v>
      </c>
      <c r="AB652" s="222" t="s">
        <v>166</v>
      </c>
      <c r="AC652" s="222" t="s">
        <v>174</v>
      </c>
      <c r="AD652" s="222" t="s">
        <v>166</v>
      </c>
      <c r="AE652" s="222" t="s">
        <v>174</v>
      </c>
      <c r="AF652" s="222" t="s">
        <v>174</v>
      </c>
      <c r="AG652" s="222" t="s">
        <v>2127</v>
      </c>
      <c r="AH652" s="222"/>
    </row>
    <row r="653">
      <c r="A653" s="314" t="s">
        <v>1634</v>
      </c>
      <c r="B653" s="257" t="s">
        <v>2677</v>
      </c>
      <c r="C653" s="221">
        <v>360.0</v>
      </c>
      <c r="D653" s="222">
        <v>397.0</v>
      </c>
      <c r="E653" s="222">
        <v>120.0</v>
      </c>
      <c r="F653" s="222">
        <v>27.0</v>
      </c>
      <c r="G653" s="223" t="s">
        <v>164</v>
      </c>
      <c r="H653" s="221">
        <v>72.0</v>
      </c>
      <c r="I653" s="222">
        <v>72.0</v>
      </c>
      <c r="J653" s="222">
        <v>54.0</v>
      </c>
      <c r="K653" s="222">
        <v>5300.0</v>
      </c>
      <c r="L653" s="222" t="s">
        <v>2126</v>
      </c>
      <c r="M653" s="223">
        <v>450.0</v>
      </c>
      <c r="N653" s="221">
        <v>3.0</v>
      </c>
      <c r="O653" s="222" t="s">
        <v>2002</v>
      </c>
      <c r="P653" s="222">
        <v>25.0</v>
      </c>
      <c r="Q653" s="222">
        <v>2000.0</v>
      </c>
      <c r="R653" s="224">
        <v>72.37</v>
      </c>
      <c r="S653" s="224">
        <v>2.87</v>
      </c>
      <c r="T653" s="225">
        <v>27.7</v>
      </c>
      <c r="U653" s="226">
        <v>52.0</v>
      </c>
      <c r="V653" s="227" t="s">
        <v>166</v>
      </c>
      <c r="W653" s="228" t="s">
        <v>174</v>
      </c>
      <c r="X653" s="222" t="s">
        <v>166</v>
      </c>
      <c r="Y653" s="223" t="s">
        <v>170</v>
      </c>
      <c r="Z653" s="221" t="s">
        <v>174</v>
      </c>
      <c r="AA653" s="222" t="s">
        <v>174</v>
      </c>
      <c r="AB653" s="222" t="s">
        <v>166</v>
      </c>
      <c r="AC653" s="222" t="s">
        <v>174</v>
      </c>
      <c r="AD653" s="222" t="s">
        <v>166</v>
      </c>
      <c r="AE653" s="222" t="s">
        <v>174</v>
      </c>
      <c r="AF653" s="222" t="s">
        <v>174</v>
      </c>
      <c r="AG653" s="222" t="s">
        <v>2127</v>
      </c>
      <c r="AH653" s="222"/>
    </row>
    <row r="654">
      <c r="A654" s="314" t="s">
        <v>1634</v>
      </c>
      <c r="B654" s="257" t="s">
        <v>2678</v>
      </c>
      <c r="C654" s="221">
        <v>360.0</v>
      </c>
      <c r="D654" s="222">
        <v>397.0</v>
      </c>
      <c r="E654" s="222">
        <v>120.0</v>
      </c>
      <c r="F654" s="222">
        <v>27.0</v>
      </c>
      <c r="G654" s="223" t="s">
        <v>164</v>
      </c>
      <c r="H654" s="221">
        <v>72.0</v>
      </c>
      <c r="I654" s="222">
        <v>72.0</v>
      </c>
      <c r="J654" s="222">
        <v>52.5</v>
      </c>
      <c r="K654" s="222">
        <v>5300.0</v>
      </c>
      <c r="L654" s="222" t="s">
        <v>2126</v>
      </c>
      <c r="M654" s="223">
        <v>450.0</v>
      </c>
      <c r="N654" s="221">
        <v>3.0</v>
      </c>
      <c r="O654" s="222" t="s">
        <v>2002</v>
      </c>
      <c r="P654" s="222">
        <v>25.0</v>
      </c>
      <c r="Q654" s="222">
        <v>2000.0</v>
      </c>
      <c r="R654" s="224">
        <v>72.37</v>
      </c>
      <c r="S654" s="224">
        <v>2.87</v>
      </c>
      <c r="T654" s="225">
        <v>27.7</v>
      </c>
      <c r="U654" s="226">
        <v>52.0</v>
      </c>
      <c r="V654" s="227" t="s">
        <v>166</v>
      </c>
      <c r="W654" s="228" t="s">
        <v>174</v>
      </c>
      <c r="X654" s="222" t="s">
        <v>166</v>
      </c>
      <c r="Y654" s="223" t="s">
        <v>170</v>
      </c>
      <c r="Z654" s="221" t="s">
        <v>174</v>
      </c>
      <c r="AA654" s="222" t="s">
        <v>174</v>
      </c>
      <c r="AB654" s="222" t="s">
        <v>166</v>
      </c>
      <c r="AC654" s="222" t="s">
        <v>174</v>
      </c>
      <c r="AD654" s="222" t="s">
        <v>166</v>
      </c>
      <c r="AE654" s="222" t="s">
        <v>174</v>
      </c>
      <c r="AF654" s="222" t="s">
        <v>174</v>
      </c>
      <c r="AG654" s="222" t="s">
        <v>2127</v>
      </c>
      <c r="AH654" s="222"/>
    </row>
    <row r="655">
      <c r="A655" s="314" t="s">
        <v>1634</v>
      </c>
      <c r="B655" s="257" t="s">
        <v>2679</v>
      </c>
      <c r="C655" s="221">
        <v>360.0</v>
      </c>
      <c r="D655" s="222">
        <v>397.0</v>
      </c>
      <c r="E655" s="222">
        <v>120.0</v>
      </c>
      <c r="F655" s="222">
        <v>27.0</v>
      </c>
      <c r="G655" s="223" t="s">
        <v>164</v>
      </c>
      <c r="H655" s="221">
        <v>72.0</v>
      </c>
      <c r="I655" s="222">
        <v>72.0</v>
      </c>
      <c r="J655" s="222">
        <v>54.0</v>
      </c>
      <c r="K655" s="222">
        <v>5300.0</v>
      </c>
      <c r="L655" s="222" t="s">
        <v>2126</v>
      </c>
      <c r="M655" s="223">
        <v>450.0</v>
      </c>
      <c r="N655" s="221">
        <v>3.0</v>
      </c>
      <c r="O655" s="222" t="s">
        <v>2002</v>
      </c>
      <c r="P655" s="222">
        <v>25.0</v>
      </c>
      <c r="Q655" s="222">
        <v>2000.0</v>
      </c>
      <c r="R655" s="224">
        <v>72.37</v>
      </c>
      <c r="S655" s="224">
        <v>2.87</v>
      </c>
      <c r="T655" s="225">
        <v>27.7</v>
      </c>
      <c r="U655" s="226">
        <v>52.0</v>
      </c>
      <c r="V655" s="227" t="s">
        <v>166</v>
      </c>
      <c r="W655" s="228" t="s">
        <v>174</v>
      </c>
      <c r="X655" s="222" t="s">
        <v>166</v>
      </c>
      <c r="Y655" s="223" t="s">
        <v>170</v>
      </c>
      <c r="Z655" s="221" t="s">
        <v>174</v>
      </c>
      <c r="AA655" s="222" t="s">
        <v>174</v>
      </c>
      <c r="AB655" s="222" t="s">
        <v>166</v>
      </c>
      <c r="AC655" s="222" t="s">
        <v>174</v>
      </c>
      <c r="AD655" s="222" t="s">
        <v>166</v>
      </c>
      <c r="AE655" s="222" t="s">
        <v>174</v>
      </c>
      <c r="AF655" s="222" t="s">
        <v>174</v>
      </c>
      <c r="AG655" s="222" t="s">
        <v>2127</v>
      </c>
      <c r="AH655" s="222"/>
    </row>
    <row r="656">
      <c r="A656" s="314" t="s">
        <v>1634</v>
      </c>
      <c r="B656" s="257" t="s">
        <v>2680</v>
      </c>
      <c r="C656" s="221">
        <v>240.0</v>
      </c>
      <c r="D656" s="222">
        <v>276.0</v>
      </c>
      <c r="E656" s="222">
        <v>120.0</v>
      </c>
      <c r="F656" s="222">
        <v>27.0</v>
      </c>
      <c r="G656" s="223" t="s">
        <v>164</v>
      </c>
      <c r="H656" s="221">
        <v>61.7</v>
      </c>
      <c r="I656" s="222">
        <v>61.7</v>
      </c>
      <c r="J656" s="222">
        <v>53.0</v>
      </c>
      <c r="K656" s="222">
        <v>3300.0</v>
      </c>
      <c r="L656" s="222" t="s">
        <v>44</v>
      </c>
      <c r="M656" s="223">
        <v>400.0</v>
      </c>
      <c r="N656" s="221">
        <v>2.0</v>
      </c>
      <c r="O656" s="222" t="s">
        <v>2002</v>
      </c>
      <c r="P656" s="222">
        <v>25.0</v>
      </c>
      <c r="Q656" s="222">
        <v>1850.0</v>
      </c>
      <c r="R656" s="224">
        <v>70.4</v>
      </c>
      <c r="S656" s="224">
        <v>2.64</v>
      </c>
      <c r="T656" s="225">
        <v>27.0</v>
      </c>
      <c r="U656" s="226">
        <v>52.0</v>
      </c>
      <c r="V656" s="227" t="s">
        <v>166</v>
      </c>
      <c r="W656" s="228" t="s">
        <v>174</v>
      </c>
      <c r="X656" s="222" t="s">
        <v>166</v>
      </c>
      <c r="Y656" s="223" t="s">
        <v>170</v>
      </c>
      <c r="Z656" s="221" t="s">
        <v>166</v>
      </c>
      <c r="AA656" s="222" t="s">
        <v>174</v>
      </c>
      <c r="AB656" s="222" t="s">
        <v>166</v>
      </c>
      <c r="AC656" s="222" t="s">
        <v>174</v>
      </c>
      <c r="AD656" s="222" t="s">
        <v>174</v>
      </c>
      <c r="AE656" s="222" t="s">
        <v>174</v>
      </c>
      <c r="AF656" s="222" t="s">
        <v>174</v>
      </c>
      <c r="AG656" s="222" t="s">
        <v>170</v>
      </c>
      <c r="AH656" s="222"/>
    </row>
    <row r="657">
      <c r="A657" s="314" t="s">
        <v>1634</v>
      </c>
      <c r="B657" s="257" t="s">
        <v>2681</v>
      </c>
      <c r="C657" s="221">
        <v>240.0</v>
      </c>
      <c r="D657" s="222">
        <v>276.0</v>
      </c>
      <c r="E657" s="222">
        <v>120.0</v>
      </c>
      <c r="F657" s="222">
        <v>27.0</v>
      </c>
      <c r="G657" s="223" t="s">
        <v>164</v>
      </c>
      <c r="H657" s="221">
        <v>61.7</v>
      </c>
      <c r="I657" s="222">
        <v>61.7</v>
      </c>
      <c r="J657" s="222">
        <v>53.0</v>
      </c>
      <c r="K657" s="222">
        <v>3300.0</v>
      </c>
      <c r="L657" s="222" t="s">
        <v>44</v>
      </c>
      <c r="M657" s="223">
        <v>400.0</v>
      </c>
      <c r="N657" s="221">
        <v>2.0</v>
      </c>
      <c r="O657" s="222" t="s">
        <v>2002</v>
      </c>
      <c r="P657" s="222">
        <v>25.0</v>
      </c>
      <c r="Q657" s="222">
        <v>1850.0</v>
      </c>
      <c r="R657" s="224">
        <v>70.4</v>
      </c>
      <c r="S657" s="224">
        <v>2.64</v>
      </c>
      <c r="T657" s="225">
        <v>27.0</v>
      </c>
      <c r="U657" s="226">
        <v>52.0</v>
      </c>
      <c r="V657" s="227" t="s">
        <v>166</v>
      </c>
      <c r="W657" s="228" t="s">
        <v>174</v>
      </c>
      <c r="X657" s="222" t="s">
        <v>166</v>
      </c>
      <c r="Y657" s="223" t="s">
        <v>170</v>
      </c>
      <c r="Z657" s="221" t="s">
        <v>166</v>
      </c>
      <c r="AA657" s="222" t="s">
        <v>174</v>
      </c>
      <c r="AB657" s="222" t="s">
        <v>166</v>
      </c>
      <c r="AC657" s="222" t="s">
        <v>174</v>
      </c>
      <c r="AD657" s="222" t="s">
        <v>174</v>
      </c>
      <c r="AE657" s="222" t="s">
        <v>174</v>
      </c>
      <c r="AF657" s="222" t="s">
        <v>174</v>
      </c>
      <c r="AG657" s="222" t="s">
        <v>170</v>
      </c>
      <c r="AH657" s="222"/>
    </row>
    <row r="658">
      <c r="A658" s="314" t="s">
        <v>1634</v>
      </c>
      <c r="B658" s="257" t="s">
        <v>2682</v>
      </c>
      <c r="C658" s="221">
        <v>240.0</v>
      </c>
      <c r="D658" s="222">
        <v>276.0</v>
      </c>
      <c r="E658" s="222">
        <v>120.0</v>
      </c>
      <c r="F658" s="222">
        <v>27.0</v>
      </c>
      <c r="G658" s="223" t="s">
        <v>164</v>
      </c>
      <c r="H658" s="221">
        <v>61.7</v>
      </c>
      <c r="I658" s="222">
        <v>61.7</v>
      </c>
      <c r="J658" s="222">
        <v>53.0</v>
      </c>
      <c r="K658" s="222">
        <v>3300.0</v>
      </c>
      <c r="L658" s="222" t="s">
        <v>44</v>
      </c>
      <c r="M658" s="223">
        <v>400.0</v>
      </c>
      <c r="N658" s="221">
        <v>2.0</v>
      </c>
      <c r="O658" s="222" t="s">
        <v>2002</v>
      </c>
      <c r="P658" s="222">
        <v>25.0</v>
      </c>
      <c r="Q658" s="222">
        <v>1850.0</v>
      </c>
      <c r="R658" s="224">
        <v>70.4</v>
      </c>
      <c r="S658" s="224">
        <v>2.64</v>
      </c>
      <c r="T658" s="225">
        <v>27.0</v>
      </c>
      <c r="U658" s="226">
        <v>52.0</v>
      </c>
      <c r="V658" s="227" t="s">
        <v>166</v>
      </c>
      <c r="W658" s="228" t="s">
        <v>174</v>
      </c>
      <c r="X658" s="222" t="s">
        <v>166</v>
      </c>
      <c r="Y658" s="223" t="s">
        <v>170</v>
      </c>
      <c r="Z658" s="221" t="s">
        <v>166</v>
      </c>
      <c r="AA658" s="222" t="s">
        <v>174</v>
      </c>
      <c r="AB658" s="222" t="s">
        <v>166</v>
      </c>
      <c r="AC658" s="222" t="s">
        <v>174</v>
      </c>
      <c r="AD658" s="222" t="s">
        <v>174</v>
      </c>
      <c r="AE658" s="222" t="s">
        <v>174</v>
      </c>
      <c r="AF658" s="222" t="s">
        <v>174</v>
      </c>
      <c r="AG658" s="222" t="s">
        <v>170</v>
      </c>
      <c r="AH658" s="222"/>
    </row>
    <row r="659">
      <c r="A659" s="314" t="s">
        <v>1634</v>
      </c>
      <c r="B659" s="257" t="s">
        <v>2683</v>
      </c>
      <c r="C659" s="221">
        <v>360.0</v>
      </c>
      <c r="D659" s="222">
        <v>396.0</v>
      </c>
      <c r="E659" s="222">
        <v>120.0</v>
      </c>
      <c r="F659" s="222">
        <v>27.0</v>
      </c>
      <c r="G659" s="223" t="s">
        <v>164</v>
      </c>
      <c r="H659" s="221">
        <v>61.7</v>
      </c>
      <c r="I659" s="222">
        <v>61.7</v>
      </c>
      <c r="J659" s="222">
        <v>53.0</v>
      </c>
      <c r="K659" s="222">
        <v>3300.0</v>
      </c>
      <c r="L659" s="222" t="s">
        <v>44</v>
      </c>
      <c r="M659" s="223">
        <v>450.0</v>
      </c>
      <c r="N659" s="221">
        <v>3.0</v>
      </c>
      <c r="O659" s="222" t="s">
        <v>2002</v>
      </c>
      <c r="P659" s="222">
        <v>25.0</v>
      </c>
      <c r="Q659" s="222">
        <v>1850.0</v>
      </c>
      <c r="R659" s="224">
        <v>70.4</v>
      </c>
      <c r="S659" s="224">
        <v>2.64</v>
      </c>
      <c r="T659" s="225">
        <v>27.0</v>
      </c>
      <c r="U659" s="226">
        <v>52.0</v>
      </c>
      <c r="V659" s="227" t="s">
        <v>166</v>
      </c>
      <c r="W659" s="228" t="s">
        <v>174</v>
      </c>
      <c r="X659" s="222" t="s">
        <v>166</v>
      </c>
      <c r="Y659" s="223" t="s">
        <v>170</v>
      </c>
      <c r="Z659" s="221" t="s">
        <v>166</v>
      </c>
      <c r="AA659" s="222" t="s">
        <v>174</v>
      </c>
      <c r="AB659" s="222" t="s">
        <v>166</v>
      </c>
      <c r="AC659" s="222" t="s">
        <v>174</v>
      </c>
      <c r="AD659" s="222" t="s">
        <v>166</v>
      </c>
      <c r="AE659" s="222" t="s">
        <v>174</v>
      </c>
      <c r="AF659" s="222" t="s">
        <v>174</v>
      </c>
      <c r="AG659" s="222" t="s">
        <v>170</v>
      </c>
      <c r="AH659" s="222"/>
    </row>
    <row r="660">
      <c r="A660" s="314" t="s">
        <v>1634</v>
      </c>
      <c r="B660" s="257" t="s">
        <v>2684</v>
      </c>
      <c r="C660" s="221">
        <v>360.0</v>
      </c>
      <c r="D660" s="222">
        <v>396.0</v>
      </c>
      <c r="E660" s="222">
        <v>120.0</v>
      </c>
      <c r="F660" s="222">
        <v>27.0</v>
      </c>
      <c r="G660" s="223" t="s">
        <v>164</v>
      </c>
      <c r="H660" s="221">
        <v>61.7</v>
      </c>
      <c r="I660" s="222">
        <v>61.7</v>
      </c>
      <c r="J660" s="222">
        <v>53.0</v>
      </c>
      <c r="K660" s="222">
        <v>3300.0</v>
      </c>
      <c r="L660" s="222" t="s">
        <v>44</v>
      </c>
      <c r="M660" s="223">
        <v>450.0</v>
      </c>
      <c r="N660" s="221">
        <v>3.0</v>
      </c>
      <c r="O660" s="222" t="s">
        <v>2002</v>
      </c>
      <c r="P660" s="222">
        <v>25.0</v>
      </c>
      <c r="Q660" s="222">
        <v>1850.0</v>
      </c>
      <c r="R660" s="224">
        <v>70.4</v>
      </c>
      <c r="S660" s="224">
        <v>2.64</v>
      </c>
      <c r="T660" s="225">
        <v>27.0</v>
      </c>
      <c r="U660" s="226">
        <v>52.0</v>
      </c>
      <c r="V660" s="227" t="s">
        <v>166</v>
      </c>
      <c r="W660" s="228" t="s">
        <v>174</v>
      </c>
      <c r="X660" s="222" t="s">
        <v>166</v>
      </c>
      <c r="Y660" s="223" t="s">
        <v>170</v>
      </c>
      <c r="Z660" s="221" t="s">
        <v>166</v>
      </c>
      <c r="AA660" s="222" t="s">
        <v>174</v>
      </c>
      <c r="AB660" s="222" t="s">
        <v>166</v>
      </c>
      <c r="AC660" s="222" t="s">
        <v>174</v>
      </c>
      <c r="AD660" s="222" t="s">
        <v>174</v>
      </c>
      <c r="AE660" s="222" t="s">
        <v>174</v>
      </c>
      <c r="AF660" s="222" t="s">
        <v>174</v>
      </c>
      <c r="AG660" s="222" t="s">
        <v>170</v>
      </c>
      <c r="AH660" s="222"/>
    </row>
    <row r="661">
      <c r="A661" s="314" t="s">
        <v>1634</v>
      </c>
      <c r="B661" s="257" t="s">
        <v>2685</v>
      </c>
      <c r="C661" s="221">
        <v>360.0</v>
      </c>
      <c r="D661" s="222">
        <v>396.0</v>
      </c>
      <c r="E661" s="222">
        <v>120.0</v>
      </c>
      <c r="F661" s="222">
        <v>27.0</v>
      </c>
      <c r="G661" s="223" t="s">
        <v>164</v>
      </c>
      <c r="H661" s="221">
        <v>61.7</v>
      </c>
      <c r="I661" s="222">
        <v>61.7</v>
      </c>
      <c r="J661" s="222">
        <v>53.0</v>
      </c>
      <c r="K661" s="222">
        <v>3300.0</v>
      </c>
      <c r="L661" s="222" t="s">
        <v>44</v>
      </c>
      <c r="M661" s="223">
        <v>450.0</v>
      </c>
      <c r="N661" s="221">
        <v>3.0</v>
      </c>
      <c r="O661" s="222" t="s">
        <v>2002</v>
      </c>
      <c r="P661" s="222">
        <v>25.0</v>
      </c>
      <c r="Q661" s="222">
        <v>1850.0</v>
      </c>
      <c r="R661" s="224">
        <v>70.4</v>
      </c>
      <c r="S661" s="224">
        <v>2.64</v>
      </c>
      <c r="T661" s="225">
        <v>27.0</v>
      </c>
      <c r="U661" s="226">
        <v>52.0</v>
      </c>
      <c r="V661" s="227" t="s">
        <v>166</v>
      </c>
      <c r="W661" s="228" t="s">
        <v>174</v>
      </c>
      <c r="X661" s="222" t="s">
        <v>166</v>
      </c>
      <c r="Y661" s="223" t="s">
        <v>170</v>
      </c>
      <c r="Z661" s="221" t="s">
        <v>166</v>
      </c>
      <c r="AA661" s="222" t="s">
        <v>174</v>
      </c>
      <c r="AB661" s="222" t="s">
        <v>166</v>
      </c>
      <c r="AC661" s="222" t="s">
        <v>174</v>
      </c>
      <c r="AD661" s="222" t="s">
        <v>174</v>
      </c>
      <c r="AE661" s="222" t="s">
        <v>174</v>
      </c>
      <c r="AF661" s="222" t="s">
        <v>174</v>
      </c>
      <c r="AG661" s="222" t="s">
        <v>170</v>
      </c>
      <c r="AH661" s="222"/>
    </row>
    <row r="662">
      <c r="A662" s="314" t="s">
        <v>1634</v>
      </c>
      <c r="B662" s="257" t="s">
        <v>2686</v>
      </c>
      <c r="C662" s="221">
        <v>240.0</v>
      </c>
      <c r="D662" s="222">
        <v>277.0</v>
      </c>
      <c r="E662" s="222">
        <v>120.0</v>
      </c>
      <c r="F662" s="222">
        <v>27.0</v>
      </c>
      <c r="G662" s="223" t="s">
        <v>164</v>
      </c>
      <c r="H662" s="221">
        <v>67.5</v>
      </c>
      <c r="I662" s="222">
        <v>67.0</v>
      </c>
      <c r="J662" s="222">
        <v>58.0</v>
      </c>
      <c r="K662" s="222">
        <v>3000.0</v>
      </c>
      <c r="L662" s="222" t="s">
        <v>44</v>
      </c>
      <c r="M662" s="223">
        <v>400.0</v>
      </c>
      <c r="N662" s="221">
        <v>2.0</v>
      </c>
      <c r="O662" s="222" t="s">
        <v>2002</v>
      </c>
      <c r="P662" s="222">
        <v>25.0</v>
      </c>
      <c r="Q662" s="222">
        <v>2150.0</v>
      </c>
      <c r="R662" s="224">
        <v>69.0</v>
      </c>
      <c r="S662" s="224">
        <v>2.87</v>
      </c>
      <c r="T662" s="225">
        <v>27.0</v>
      </c>
      <c r="U662" s="226">
        <v>52.0</v>
      </c>
      <c r="V662" s="227" t="s">
        <v>166</v>
      </c>
      <c r="W662" s="228" t="s">
        <v>174</v>
      </c>
      <c r="X662" s="222" t="s">
        <v>174</v>
      </c>
      <c r="Y662" s="223" t="s">
        <v>170</v>
      </c>
      <c r="Z662" s="221" t="s">
        <v>166</v>
      </c>
      <c r="AA662" s="222" t="s">
        <v>174</v>
      </c>
      <c r="AB662" s="222" t="s">
        <v>166</v>
      </c>
      <c r="AC662" s="222" t="s">
        <v>174</v>
      </c>
      <c r="AD662" s="222" t="s">
        <v>166</v>
      </c>
      <c r="AE662" s="222" t="s">
        <v>174</v>
      </c>
      <c r="AF662" s="222" t="s">
        <v>174</v>
      </c>
      <c r="AG662" s="222" t="s">
        <v>170</v>
      </c>
      <c r="AH662" s="222"/>
    </row>
    <row r="663">
      <c r="A663" s="314" t="s">
        <v>1634</v>
      </c>
      <c r="B663" s="257" t="s">
        <v>2687</v>
      </c>
      <c r="C663" s="221">
        <v>240.0</v>
      </c>
      <c r="D663" s="222">
        <v>277.0</v>
      </c>
      <c r="E663" s="222">
        <v>120.0</v>
      </c>
      <c r="F663" s="222">
        <v>27.0</v>
      </c>
      <c r="G663" s="223" t="s">
        <v>164</v>
      </c>
      <c r="H663" s="221">
        <v>67.5</v>
      </c>
      <c r="I663" s="222">
        <v>67.0</v>
      </c>
      <c r="J663" s="222">
        <v>58.0</v>
      </c>
      <c r="K663" s="222">
        <v>3000.0</v>
      </c>
      <c r="L663" s="222" t="s">
        <v>44</v>
      </c>
      <c r="M663" s="223">
        <v>400.0</v>
      </c>
      <c r="N663" s="221">
        <v>2.0</v>
      </c>
      <c r="O663" s="222" t="s">
        <v>2002</v>
      </c>
      <c r="P663" s="222">
        <v>25.0</v>
      </c>
      <c r="Q663" s="222">
        <v>2150.0</v>
      </c>
      <c r="R663" s="224">
        <v>69.0</v>
      </c>
      <c r="S663" s="224">
        <v>2.87</v>
      </c>
      <c r="T663" s="225">
        <v>27.0</v>
      </c>
      <c r="U663" s="226">
        <v>52.0</v>
      </c>
      <c r="V663" s="227" t="s">
        <v>166</v>
      </c>
      <c r="W663" s="228" t="s">
        <v>174</v>
      </c>
      <c r="X663" s="222" t="s">
        <v>174</v>
      </c>
      <c r="Y663" s="223" t="s">
        <v>170</v>
      </c>
      <c r="Z663" s="221" t="s">
        <v>166</v>
      </c>
      <c r="AA663" s="222" t="s">
        <v>174</v>
      </c>
      <c r="AB663" s="222" t="s">
        <v>166</v>
      </c>
      <c r="AC663" s="222" t="s">
        <v>174</v>
      </c>
      <c r="AD663" s="222" t="s">
        <v>166</v>
      </c>
      <c r="AE663" s="222" t="s">
        <v>174</v>
      </c>
      <c r="AF663" s="222" t="s">
        <v>174</v>
      </c>
      <c r="AG663" s="222" t="s">
        <v>170</v>
      </c>
      <c r="AH663" s="222"/>
    </row>
    <row r="664">
      <c r="A664" s="314" t="s">
        <v>1634</v>
      </c>
      <c r="B664" s="257" t="s">
        <v>2688</v>
      </c>
      <c r="C664" s="221">
        <v>360.0</v>
      </c>
      <c r="D664" s="222">
        <v>397.0</v>
      </c>
      <c r="E664" s="222">
        <v>120.0</v>
      </c>
      <c r="F664" s="222">
        <v>27.0</v>
      </c>
      <c r="G664" s="223" t="s">
        <v>164</v>
      </c>
      <c r="H664" s="221">
        <v>67.5</v>
      </c>
      <c r="I664" s="222">
        <v>67.0</v>
      </c>
      <c r="J664" s="222">
        <v>58.0</v>
      </c>
      <c r="K664" s="222">
        <v>3000.0</v>
      </c>
      <c r="L664" s="222" t="s">
        <v>44</v>
      </c>
      <c r="M664" s="223">
        <v>450.0</v>
      </c>
      <c r="N664" s="221">
        <v>3.0</v>
      </c>
      <c r="O664" s="222" t="s">
        <v>2002</v>
      </c>
      <c r="P664" s="222">
        <v>25.0</v>
      </c>
      <c r="Q664" s="222">
        <v>2150.0</v>
      </c>
      <c r="R664" s="224">
        <v>69.0</v>
      </c>
      <c r="S664" s="224">
        <v>2.87</v>
      </c>
      <c r="T664" s="225">
        <v>27.0</v>
      </c>
      <c r="U664" s="226">
        <v>52.0</v>
      </c>
      <c r="V664" s="227" t="s">
        <v>166</v>
      </c>
      <c r="W664" s="228" t="s">
        <v>174</v>
      </c>
      <c r="X664" s="222" t="s">
        <v>174</v>
      </c>
      <c r="Y664" s="223" t="s">
        <v>170</v>
      </c>
      <c r="Z664" s="221" t="s">
        <v>166</v>
      </c>
      <c r="AA664" s="222" t="s">
        <v>174</v>
      </c>
      <c r="AB664" s="222" t="s">
        <v>166</v>
      </c>
      <c r="AC664" s="222" t="s">
        <v>174</v>
      </c>
      <c r="AD664" s="222" t="s">
        <v>166</v>
      </c>
      <c r="AE664" s="222" t="s">
        <v>174</v>
      </c>
      <c r="AF664" s="222" t="s">
        <v>174</v>
      </c>
      <c r="AG664" s="222" t="s">
        <v>170</v>
      </c>
      <c r="AH664" s="222"/>
    </row>
    <row r="665">
      <c r="A665" s="314" t="s">
        <v>1634</v>
      </c>
      <c r="B665" s="257" t="s">
        <v>2689</v>
      </c>
      <c r="C665" s="221">
        <v>240.0</v>
      </c>
      <c r="D665" s="222">
        <v>277.0</v>
      </c>
      <c r="E665" s="222">
        <v>120.0</v>
      </c>
      <c r="F665" s="222">
        <v>27.0</v>
      </c>
      <c r="G665" s="223" t="s">
        <v>164</v>
      </c>
      <c r="H665" s="221">
        <v>69.2</v>
      </c>
      <c r="I665" s="222">
        <v>69.2</v>
      </c>
      <c r="J665" s="222">
        <v>60.0</v>
      </c>
      <c r="K665" s="222">
        <v>3000.0</v>
      </c>
      <c r="L665" s="222" t="s">
        <v>44</v>
      </c>
      <c r="M665" s="223">
        <v>400.0</v>
      </c>
      <c r="N665" s="221">
        <v>2.0</v>
      </c>
      <c r="O665" s="222" t="s">
        <v>2002</v>
      </c>
      <c r="P665" s="222">
        <v>25.0</v>
      </c>
      <c r="Q665" s="222">
        <v>2000.0</v>
      </c>
      <c r="R665" s="224">
        <v>70.84</v>
      </c>
      <c r="S665" s="224">
        <v>2.63</v>
      </c>
      <c r="T665" s="225">
        <v>22.1</v>
      </c>
      <c r="U665" s="226">
        <v>52.0</v>
      </c>
      <c r="V665" s="227" t="s">
        <v>166</v>
      </c>
      <c r="W665" s="228" t="s">
        <v>174</v>
      </c>
      <c r="X665" s="222" t="s">
        <v>174</v>
      </c>
      <c r="Y665" s="223" t="s">
        <v>170</v>
      </c>
      <c r="Z665" s="221" t="s">
        <v>166</v>
      </c>
      <c r="AA665" s="222" t="s">
        <v>174</v>
      </c>
      <c r="AB665" s="222" t="s">
        <v>166</v>
      </c>
      <c r="AC665" s="222" t="s">
        <v>174</v>
      </c>
      <c r="AD665" s="222" t="s">
        <v>166</v>
      </c>
      <c r="AE665" s="222" t="s">
        <v>174</v>
      </c>
      <c r="AF665" s="222" t="s">
        <v>174</v>
      </c>
      <c r="AG665" s="222" t="s">
        <v>170</v>
      </c>
      <c r="AH665" s="222"/>
    </row>
    <row r="666">
      <c r="A666" s="314" t="s">
        <v>1634</v>
      </c>
      <c r="B666" s="257" t="s">
        <v>2690</v>
      </c>
      <c r="C666" s="221">
        <v>240.0</v>
      </c>
      <c r="D666" s="222">
        <v>277.0</v>
      </c>
      <c r="E666" s="222">
        <v>120.0</v>
      </c>
      <c r="F666" s="222">
        <v>27.0</v>
      </c>
      <c r="G666" s="223" t="s">
        <v>164</v>
      </c>
      <c r="H666" s="221">
        <v>69.2</v>
      </c>
      <c r="I666" s="222">
        <v>69.2</v>
      </c>
      <c r="J666" s="222">
        <v>60.0</v>
      </c>
      <c r="K666" s="222">
        <v>3000.0</v>
      </c>
      <c r="L666" s="222" t="s">
        <v>44</v>
      </c>
      <c r="M666" s="223">
        <v>400.0</v>
      </c>
      <c r="N666" s="221">
        <v>2.0</v>
      </c>
      <c r="O666" s="222" t="s">
        <v>2002</v>
      </c>
      <c r="P666" s="222">
        <v>25.0</v>
      </c>
      <c r="Q666" s="222">
        <v>2000.0</v>
      </c>
      <c r="R666" s="224">
        <v>70.84</v>
      </c>
      <c r="S666" s="224">
        <v>2.63</v>
      </c>
      <c r="T666" s="225">
        <v>22.1</v>
      </c>
      <c r="U666" s="226">
        <v>52.0</v>
      </c>
      <c r="V666" s="227" t="s">
        <v>166</v>
      </c>
      <c r="W666" s="228" t="s">
        <v>174</v>
      </c>
      <c r="X666" s="222" t="s">
        <v>174</v>
      </c>
      <c r="Y666" s="223" t="s">
        <v>170</v>
      </c>
      <c r="Z666" s="221" t="s">
        <v>166</v>
      </c>
      <c r="AA666" s="222" t="s">
        <v>174</v>
      </c>
      <c r="AB666" s="222" t="s">
        <v>166</v>
      </c>
      <c r="AC666" s="222" t="s">
        <v>174</v>
      </c>
      <c r="AD666" s="222" t="s">
        <v>166</v>
      </c>
      <c r="AE666" s="222" t="s">
        <v>174</v>
      </c>
      <c r="AF666" s="222" t="s">
        <v>174</v>
      </c>
      <c r="AG666" s="222" t="s">
        <v>170</v>
      </c>
      <c r="AH666" s="222"/>
    </row>
    <row r="667">
      <c r="A667" s="314" t="s">
        <v>1634</v>
      </c>
      <c r="B667" s="257" t="s">
        <v>2691</v>
      </c>
      <c r="C667" s="221">
        <v>360.0</v>
      </c>
      <c r="D667" s="222">
        <v>397.0</v>
      </c>
      <c r="E667" s="222">
        <v>120.0</v>
      </c>
      <c r="F667" s="222">
        <v>27.0</v>
      </c>
      <c r="G667" s="223" t="s">
        <v>164</v>
      </c>
      <c r="H667" s="221">
        <v>69.2</v>
      </c>
      <c r="I667" s="222">
        <v>69.2</v>
      </c>
      <c r="J667" s="222">
        <v>60.0</v>
      </c>
      <c r="K667" s="222">
        <v>3000.0</v>
      </c>
      <c r="L667" s="222" t="s">
        <v>44</v>
      </c>
      <c r="M667" s="223">
        <v>450.0</v>
      </c>
      <c r="N667" s="221">
        <v>3.0</v>
      </c>
      <c r="O667" s="222" t="s">
        <v>2002</v>
      </c>
      <c r="P667" s="222">
        <v>25.0</v>
      </c>
      <c r="Q667" s="222">
        <v>2000.0</v>
      </c>
      <c r="R667" s="224">
        <v>70.84</v>
      </c>
      <c r="S667" s="224">
        <v>2.63</v>
      </c>
      <c r="T667" s="225">
        <v>22.1</v>
      </c>
      <c r="U667" s="226">
        <v>52.0</v>
      </c>
      <c r="V667" s="227" t="s">
        <v>166</v>
      </c>
      <c r="W667" s="228" t="s">
        <v>166</v>
      </c>
      <c r="X667" s="222" t="s">
        <v>174</v>
      </c>
      <c r="Y667" s="223" t="s">
        <v>170</v>
      </c>
      <c r="Z667" s="221" t="s">
        <v>166</v>
      </c>
      <c r="AA667" s="222" t="s">
        <v>174</v>
      </c>
      <c r="AB667" s="222" t="s">
        <v>166</v>
      </c>
      <c r="AC667" s="222" t="s">
        <v>174</v>
      </c>
      <c r="AD667" s="222" t="s">
        <v>166</v>
      </c>
      <c r="AE667" s="222" t="s">
        <v>174</v>
      </c>
      <c r="AF667" s="222" t="s">
        <v>174</v>
      </c>
      <c r="AG667" s="222" t="s">
        <v>170</v>
      </c>
      <c r="AH667" s="222"/>
    </row>
    <row r="668">
      <c r="A668" s="314" t="s">
        <v>1634</v>
      </c>
      <c r="B668" s="257" t="s">
        <v>2692</v>
      </c>
      <c r="C668" s="221">
        <v>360.0</v>
      </c>
      <c r="D668" s="222">
        <v>397.0</v>
      </c>
      <c r="E668" s="222">
        <v>120.0</v>
      </c>
      <c r="F668" s="222">
        <v>27.0</v>
      </c>
      <c r="G668" s="223" t="s">
        <v>164</v>
      </c>
      <c r="H668" s="221">
        <v>69.2</v>
      </c>
      <c r="I668" s="222">
        <v>69.2</v>
      </c>
      <c r="J668" s="222">
        <v>60.0</v>
      </c>
      <c r="K668" s="222">
        <v>3000.0</v>
      </c>
      <c r="L668" s="222" t="s">
        <v>44</v>
      </c>
      <c r="M668" s="223">
        <v>450.0</v>
      </c>
      <c r="N668" s="221">
        <v>3.0</v>
      </c>
      <c r="O668" s="222" t="s">
        <v>2002</v>
      </c>
      <c r="P668" s="222">
        <v>25.0</v>
      </c>
      <c r="Q668" s="222">
        <v>2000.0</v>
      </c>
      <c r="R668" s="224">
        <v>70.84</v>
      </c>
      <c r="S668" s="224">
        <v>2.63</v>
      </c>
      <c r="T668" s="225">
        <v>22.1</v>
      </c>
      <c r="U668" s="226">
        <v>52.0</v>
      </c>
      <c r="V668" s="227" t="s">
        <v>166</v>
      </c>
      <c r="W668" s="228" t="s">
        <v>174</v>
      </c>
      <c r="X668" s="222" t="s">
        <v>174</v>
      </c>
      <c r="Y668" s="223" t="s">
        <v>170</v>
      </c>
      <c r="Z668" s="221" t="s">
        <v>166</v>
      </c>
      <c r="AA668" s="222" t="s">
        <v>174</v>
      </c>
      <c r="AB668" s="222" t="s">
        <v>166</v>
      </c>
      <c r="AC668" s="222" t="s">
        <v>174</v>
      </c>
      <c r="AD668" s="222" t="s">
        <v>166</v>
      </c>
      <c r="AE668" s="222" t="s">
        <v>174</v>
      </c>
      <c r="AF668" s="222" t="s">
        <v>174</v>
      </c>
      <c r="AG668" s="222" t="s">
        <v>170</v>
      </c>
      <c r="AH668" s="222"/>
    </row>
    <row r="669">
      <c r="A669" s="314" t="s">
        <v>1634</v>
      </c>
      <c r="B669" s="257" t="s">
        <v>2693</v>
      </c>
      <c r="C669" s="221">
        <v>360.0</v>
      </c>
      <c r="D669" s="222">
        <v>397.0</v>
      </c>
      <c r="E669" s="222">
        <v>120.0</v>
      </c>
      <c r="F669" s="222">
        <v>27.0</v>
      </c>
      <c r="G669" s="223" t="s">
        <v>164</v>
      </c>
      <c r="H669" s="221">
        <v>69.2</v>
      </c>
      <c r="I669" s="222">
        <v>69.2</v>
      </c>
      <c r="J669" s="222">
        <v>60.0</v>
      </c>
      <c r="K669" s="222">
        <v>3000.0</v>
      </c>
      <c r="L669" s="222" t="s">
        <v>44</v>
      </c>
      <c r="M669" s="223">
        <v>450.0</v>
      </c>
      <c r="N669" s="221">
        <v>3.0</v>
      </c>
      <c r="O669" s="222" t="s">
        <v>2002</v>
      </c>
      <c r="P669" s="222">
        <v>25.0</v>
      </c>
      <c r="Q669" s="222">
        <v>2000.0</v>
      </c>
      <c r="R669" s="224">
        <v>70.84</v>
      </c>
      <c r="S669" s="224">
        <v>2.63</v>
      </c>
      <c r="T669" s="225">
        <v>22.1</v>
      </c>
      <c r="U669" s="226">
        <v>52.0</v>
      </c>
      <c r="V669" s="227" t="s">
        <v>166</v>
      </c>
      <c r="W669" s="228" t="s">
        <v>174</v>
      </c>
      <c r="X669" s="222" t="s">
        <v>174</v>
      </c>
      <c r="Y669" s="223" t="s">
        <v>170</v>
      </c>
      <c r="Z669" s="221" t="s">
        <v>166</v>
      </c>
      <c r="AA669" s="222" t="s">
        <v>174</v>
      </c>
      <c r="AB669" s="222" t="s">
        <v>166</v>
      </c>
      <c r="AC669" s="222" t="s">
        <v>174</v>
      </c>
      <c r="AD669" s="222" t="s">
        <v>166</v>
      </c>
      <c r="AE669" s="222" t="s">
        <v>174</v>
      </c>
      <c r="AF669" s="222" t="s">
        <v>174</v>
      </c>
      <c r="AG669" s="222" t="s">
        <v>170</v>
      </c>
      <c r="AH669" s="222"/>
    </row>
    <row r="670">
      <c r="A670" s="314" t="s">
        <v>1634</v>
      </c>
      <c r="B670" s="257" t="s">
        <v>2694</v>
      </c>
      <c r="C670" s="221">
        <v>420.0</v>
      </c>
      <c r="D670" s="222">
        <v>457.0</v>
      </c>
      <c r="E670" s="222">
        <v>140.0</v>
      </c>
      <c r="F670" s="222">
        <v>27.0</v>
      </c>
      <c r="G670" s="223" t="s">
        <v>164</v>
      </c>
      <c r="H670" s="221">
        <v>69.2</v>
      </c>
      <c r="I670" s="222">
        <v>69.2</v>
      </c>
      <c r="J670" s="222">
        <v>60.0</v>
      </c>
      <c r="K670" s="222">
        <v>3000.0</v>
      </c>
      <c r="L670" s="222" t="s">
        <v>44</v>
      </c>
      <c r="M670" s="223">
        <v>450.0</v>
      </c>
      <c r="N670" s="221">
        <v>3.0</v>
      </c>
      <c r="O670" s="222" t="s">
        <v>2018</v>
      </c>
      <c r="P670" s="222">
        <v>25.0</v>
      </c>
      <c r="Q670" s="222">
        <v>1750.0</v>
      </c>
      <c r="R670" s="224">
        <v>88.7</v>
      </c>
      <c r="S670" s="224">
        <v>2.37</v>
      </c>
      <c r="T670" s="225">
        <v>29.8</v>
      </c>
      <c r="U670" s="226">
        <v>52.0</v>
      </c>
      <c r="V670" s="227" t="s">
        <v>166</v>
      </c>
      <c r="W670" s="228" t="s">
        <v>174</v>
      </c>
      <c r="X670" s="222" t="s">
        <v>174</v>
      </c>
      <c r="Y670" s="223" t="s">
        <v>170</v>
      </c>
      <c r="Z670" s="221" t="s">
        <v>166</v>
      </c>
      <c r="AA670" s="222" t="s">
        <v>174</v>
      </c>
      <c r="AB670" s="222" t="s">
        <v>166</v>
      </c>
      <c r="AC670" s="222" t="s">
        <v>174</v>
      </c>
      <c r="AD670" s="222" t="s">
        <v>166</v>
      </c>
      <c r="AE670" s="222" t="s">
        <v>174</v>
      </c>
      <c r="AF670" s="222" t="s">
        <v>174</v>
      </c>
      <c r="AG670" s="222" t="s">
        <v>170</v>
      </c>
      <c r="AH670" s="222"/>
    </row>
    <row r="671">
      <c r="A671" s="314" t="s">
        <v>1634</v>
      </c>
      <c r="B671" s="257" t="s">
        <v>2695</v>
      </c>
      <c r="C671" s="221">
        <v>420.0</v>
      </c>
      <c r="D671" s="222">
        <v>457.0</v>
      </c>
      <c r="E671" s="222">
        <v>140.0</v>
      </c>
      <c r="F671" s="222">
        <v>27.0</v>
      </c>
      <c r="G671" s="223" t="s">
        <v>164</v>
      </c>
      <c r="H671" s="221">
        <v>69.2</v>
      </c>
      <c r="I671" s="222">
        <v>69.2</v>
      </c>
      <c r="J671" s="222">
        <v>60.0</v>
      </c>
      <c r="K671" s="222">
        <v>3000.0</v>
      </c>
      <c r="L671" s="222" t="s">
        <v>44</v>
      </c>
      <c r="M671" s="223">
        <v>450.0</v>
      </c>
      <c r="N671" s="221">
        <v>3.0</v>
      </c>
      <c r="O671" s="222" t="s">
        <v>2018</v>
      </c>
      <c r="P671" s="222">
        <v>25.0</v>
      </c>
      <c r="Q671" s="222">
        <v>1750.0</v>
      </c>
      <c r="R671" s="224">
        <v>88.7</v>
      </c>
      <c r="S671" s="224">
        <v>2.37</v>
      </c>
      <c r="T671" s="225">
        <v>29.8</v>
      </c>
      <c r="U671" s="226">
        <v>52.0</v>
      </c>
      <c r="V671" s="227" t="s">
        <v>166</v>
      </c>
      <c r="W671" s="228" t="s">
        <v>174</v>
      </c>
      <c r="X671" s="222" t="s">
        <v>174</v>
      </c>
      <c r="Y671" s="223" t="s">
        <v>170</v>
      </c>
      <c r="Z671" s="221" t="s">
        <v>166</v>
      </c>
      <c r="AA671" s="222" t="s">
        <v>174</v>
      </c>
      <c r="AB671" s="222" t="s">
        <v>166</v>
      </c>
      <c r="AC671" s="222" t="s">
        <v>174</v>
      </c>
      <c r="AD671" s="222" t="s">
        <v>166</v>
      </c>
      <c r="AE671" s="222" t="s">
        <v>174</v>
      </c>
      <c r="AF671" s="222" t="s">
        <v>174</v>
      </c>
      <c r="AG671" s="222" t="s">
        <v>170</v>
      </c>
      <c r="AH671" s="222"/>
    </row>
    <row r="672">
      <c r="A672" s="314" t="s">
        <v>1634</v>
      </c>
      <c r="B672" s="257" t="s">
        <v>2696</v>
      </c>
      <c r="C672" s="221">
        <v>360.0</v>
      </c>
      <c r="D672" s="222">
        <v>397.0</v>
      </c>
      <c r="E672" s="222">
        <v>120.0</v>
      </c>
      <c r="F672" s="222">
        <v>27.0</v>
      </c>
      <c r="G672" s="223" t="s">
        <v>164</v>
      </c>
      <c r="H672" s="221">
        <v>69.0</v>
      </c>
      <c r="I672" s="222">
        <v>69.0</v>
      </c>
      <c r="J672" s="222">
        <v>60.0</v>
      </c>
      <c r="K672" s="222" t="s">
        <v>170</v>
      </c>
      <c r="L672" s="222" t="s">
        <v>44</v>
      </c>
      <c r="M672" s="223">
        <v>400.0</v>
      </c>
      <c r="N672" s="221">
        <v>3.0</v>
      </c>
      <c r="O672" s="222" t="s">
        <v>2002</v>
      </c>
      <c r="P672" s="222">
        <v>25.0</v>
      </c>
      <c r="Q672" s="222">
        <v>2000.0</v>
      </c>
      <c r="R672" s="224">
        <v>70.84</v>
      </c>
      <c r="S672" s="224">
        <v>2.63</v>
      </c>
      <c r="T672" s="225">
        <v>22.1</v>
      </c>
      <c r="U672" s="226">
        <v>52.0</v>
      </c>
      <c r="V672" s="227" t="s">
        <v>166</v>
      </c>
      <c r="W672" s="228" t="s">
        <v>166</v>
      </c>
      <c r="X672" s="222" t="s">
        <v>174</v>
      </c>
      <c r="Y672" s="223" t="s">
        <v>170</v>
      </c>
      <c r="Z672" s="221" t="s">
        <v>166</v>
      </c>
      <c r="AA672" s="222" t="s">
        <v>174</v>
      </c>
      <c r="AB672" s="222" t="s">
        <v>166</v>
      </c>
      <c r="AC672" s="222" t="s">
        <v>174</v>
      </c>
      <c r="AD672" s="222" t="s">
        <v>166</v>
      </c>
      <c r="AE672" s="222" t="s">
        <v>174</v>
      </c>
      <c r="AF672" s="222" t="s">
        <v>174</v>
      </c>
      <c r="AG672" s="222" t="s">
        <v>170</v>
      </c>
      <c r="AH672" s="222"/>
    </row>
    <row r="673">
      <c r="A673" s="314" t="s">
        <v>1634</v>
      </c>
      <c r="B673" s="257" t="s">
        <v>2697</v>
      </c>
      <c r="C673" s="221">
        <v>360.0</v>
      </c>
      <c r="D673" s="222">
        <v>397.0</v>
      </c>
      <c r="E673" s="222">
        <v>120.0</v>
      </c>
      <c r="F673" s="222">
        <v>27.0</v>
      </c>
      <c r="G673" s="223" t="s">
        <v>164</v>
      </c>
      <c r="H673" s="221">
        <v>69.0</v>
      </c>
      <c r="I673" s="222">
        <v>69.0</v>
      </c>
      <c r="J673" s="222">
        <v>60.0</v>
      </c>
      <c r="K673" s="222" t="s">
        <v>170</v>
      </c>
      <c r="L673" s="222" t="s">
        <v>44</v>
      </c>
      <c r="M673" s="223">
        <v>400.0</v>
      </c>
      <c r="N673" s="221">
        <v>3.0</v>
      </c>
      <c r="O673" s="222" t="s">
        <v>2002</v>
      </c>
      <c r="P673" s="222">
        <v>25.0</v>
      </c>
      <c r="Q673" s="222">
        <v>2000.0</v>
      </c>
      <c r="R673" s="224">
        <v>70.84</v>
      </c>
      <c r="S673" s="224">
        <v>2.63</v>
      </c>
      <c r="T673" s="225">
        <v>22.1</v>
      </c>
      <c r="U673" s="226">
        <v>52.0</v>
      </c>
      <c r="V673" s="227" t="s">
        <v>166</v>
      </c>
      <c r="W673" s="228" t="s">
        <v>174</v>
      </c>
      <c r="X673" s="222" t="s">
        <v>174</v>
      </c>
      <c r="Y673" s="223" t="s">
        <v>170</v>
      </c>
      <c r="Z673" s="221" t="s">
        <v>166</v>
      </c>
      <c r="AA673" s="222" t="s">
        <v>174</v>
      </c>
      <c r="AB673" s="222" t="s">
        <v>166</v>
      </c>
      <c r="AC673" s="222" t="s">
        <v>174</v>
      </c>
      <c r="AD673" s="222" t="s">
        <v>166</v>
      </c>
      <c r="AE673" s="222" t="s">
        <v>174</v>
      </c>
      <c r="AF673" s="222" t="s">
        <v>174</v>
      </c>
      <c r="AG673" s="222" t="s">
        <v>170</v>
      </c>
      <c r="AH673" s="222"/>
    </row>
    <row r="674">
      <c r="A674" s="314" t="s">
        <v>1634</v>
      </c>
      <c r="B674" s="257" t="s">
        <v>2698</v>
      </c>
      <c r="C674" s="221">
        <v>360.0</v>
      </c>
      <c r="D674" s="222">
        <v>397.0</v>
      </c>
      <c r="E674" s="222">
        <v>120.0</v>
      </c>
      <c r="F674" s="222">
        <v>27.0</v>
      </c>
      <c r="G674" s="223" t="s">
        <v>164</v>
      </c>
      <c r="H674" s="221">
        <v>85.0</v>
      </c>
      <c r="I674" s="222">
        <v>74.0</v>
      </c>
      <c r="J674" s="222">
        <v>65.0</v>
      </c>
      <c r="K674" s="222" t="s">
        <v>170</v>
      </c>
      <c r="L674" s="222" t="s">
        <v>44</v>
      </c>
      <c r="M674" s="223">
        <v>400.0</v>
      </c>
      <c r="N674" s="221">
        <v>3.0</v>
      </c>
      <c r="O674" s="222" t="s">
        <v>2002</v>
      </c>
      <c r="P674" s="222">
        <v>25.0</v>
      </c>
      <c r="Q674" s="222">
        <v>2150.0</v>
      </c>
      <c r="R674" s="224">
        <v>69.0</v>
      </c>
      <c r="S674" s="224">
        <v>2.87</v>
      </c>
      <c r="T674" s="225">
        <v>27.0</v>
      </c>
      <c r="U674" s="226">
        <v>52.0</v>
      </c>
      <c r="V674" s="227" t="s">
        <v>166</v>
      </c>
      <c r="W674" s="228" t="s">
        <v>174</v>
      </c>
      <c r="X674" s="222" t="s">
        <v>174</v>
      </c>
      <c r="Y674" s="223" t="s">
        <v>170</v>
      </c>
      <c r="Z674" s="221" t="s">
        <v>166</v>
      </c>
      <c r="AA674" s="222" t="s">
        <v>174</v>
      </c>
      <c r="AB674" s="222" t="s">
        <v>166</v>
      </c>
      <c r="AC674" s="222" t="s">
        <v>174</v>
      </c>
      <c r="AD674" s="222" t="s">
        <v>166</v>
      </c>
      <c r="AE674" s="222" t="s">
        <v>174</v>
      </c>
      <c r="AF674" s="222" t="s">
        <v>174</v>
      </c>
      <c r="AG674" s="222" t="s">
        <v>170</v>
      </c>
      <c r="AH674" s="222"/>
    </row>
    <row r="675">
      <c r="A675" s="314" t="s">
        <v>1634</v>
      </c>
      <c r="B675" s="257" t="s">
        <v>2699</v>
      </c>
      <c r="C675" s="221">
        <v>360.0</v>
      </c>
      <c r="D675" s="222">
        <v>397.0</v>
      </c>
      <c r="E675" s="222">
        <v>120.0</v>
      </c>
      <c r="F675" s="222">
        <v>27.0</v>
      </c>
      <c r="G675" s="223" t="s">
        <v>164</v>
      </c>
      <c r="H675" s="221">
        <v>85.0</v>
      </c>
      <c r="I675" s="222">
        <v>74.0</v>
      </c>
      <c r="J675" s="222">
        <v>65.0</v>
      </c>
      <c r="K675" s="222" t="s">
        <v>170</v>
      </c>
      <c r="L675" s="222" t="s">
        <v>44</v>
      </c>
      <c r="M675" s="223">
        <v>400.0</v>
      </c>
      <c r="N675" s="221">
        <v>3.0</v>
      </c>
      <c r="O675" s="222" t="s">
        <v>2002</v>
      </c>
      <c r="P675" s="222">
        <v>25.0</v>
      </c>
      <c r="Q675" s="222">
        <v>2150.0</v>
      </c>
      <c r="R675" s="224">
        <v>69.0</v>
      </c>
      <c r="S675" s="224">
        <v>2.87</v>
      </c>
      <c r="T675" s="225">
        <v>27.0</v>
      </c>
      <c r="U675" s="226">
        <v>52.0</v>
      </c>
      <c r="V675" s="227" t="s">
        <v>166</v>
      </c>
      <c r="W675" s="228" t="s">
        <v>174</v>
      </c>
      <c r="X675" s="222" t="s">
        <v>174</v>
      </c>
      <c r="Y675" s="223" t="s">
        <v>170</v>
      </c>
      <c r="Z675" s="221" t="s">
        <v>166</v>
      </c>
      <c r="AA675" s="222" t="s">
        <v>174</v>
      </c>
      <c r="AB675" s="222" t="s">
        <v>166</v>
      </c>
      <c r="AC675" s="222" t="s">
        <v>174</v>
      </c>
      <c r="AD675" s="222" t="s">
        <v>166</v>
      </c>
      <c r="AE675" s="222" t="s">
        <v>174</v>
      </c>
      <c r="AF675" s="222" t="s">
        <v>174</v>
      </c>
      <c r="AG675" s="222" t="s">
        <v>170</v>
      </c>
      <c r="AH675" s="222"/>
    </row>
    <row r="676">
      <c r="A676" s="314" t="s">
        <v>1634</v>
      </c>
      <c r="B676" s="257" t="s">
        <v>2700</v>
      </c>
      <c r="C676" s="221">
        <v>240.0</v>
      </c>
      <c r="D676" s="222">
        <v>277.0</v>
      </c>
      <c r="E676" s="222">
        <v>120.0</v>
      </c>
      <c r="F676" s="222">
        <v>27.0</v>
      </c>
      <c r="G676" s="223" t="s">
        <v>164</v>
      </c>
      <c r="H676" s="221">
        <v>94.8</v>
      </c>
      <c r="I676" s="222">
        <v>70.0</v>
      </c>
      <c r="J676" s="222">
        <v>77.0</v>
      </c>
      <c r="K676" s="222" t="s">
        <v>170</v>
      </c>
      <c r="L676" s="222" t="s">
        <v>44</v>
      </c>
      <c r="M676" s="223" t="s">
        <v>170</v>
      </c>
      <c r="N676" s="221">
        <v>2.0</v>
      </c>
      <c r="O676" s="222" t="s">
        <v>2002</v>
      </c>
      <c r="P676" s="222">
        <v>25.0</v>
      </c>
      <c r="Q676" s="222">
        <v>1800.0</v>
      </c>
      <c r="R676" s="224">
        <v>77.28</v>
      </c>
      <c r="S676" s="224">
        <v>2.72</v>
      </c>
      <c r="T676" s="225">
        <v>25.0</v>
      </c>
      <c r="U676" s="226">
        <v>52.0</v>
      </c>
      <c r="V676" s="227" t="s">
        <v>174</v>
      </c>
      <c r="W676" s="228" t="s">
        <v>166</v>
      </c>
      <c r="X676" s="222" t="s">
        <v>166</v>
      </c>
      <c r="Y676" s="223" t="s">
        <v>166</v>
      </c>
      <c r="Z676" s="221" t="s">
        <v>166</v>
      </c>
      <c r="AA676" s="222" t="s">
        <v>174</v>
      </c>
      <c r="AB676" s="222" t="s">
        <v>174</v>
      </c>
      <c r="AC676" s="222" t="s">
        <v>174</v>
      </c>
      <c r="AD676" s="222" t="s">
        <v>174</v>
      </c>
      <c r="AE676" s="222" t="s">
        <v>170</v>
      </c>
      <c r="AF676" s="222" t="s">
        <v>174</v>
      </c>
      <c r="AG676" s="222" t="s">
        <v>170</v>
      </c>
      <c r="AH676" s="222"/>
    </row>
    <row r="677">
      <c r="A677" s="314" t="s">
        <v>1634</v>
      </c>
      <c r="B677" s="257" t="s">
        <v>2701</v>
      </c>
      <c r="C677" s="221">
        <v>240.0</v>
      </c>
      <c r="D677" s="222">
        <v>277.0</v>
      </c>
      <c r="E677" s="222">
        <v>120.0</v>
      </c>
      <c r="F677" s="222">
        <v>27.0</v>
      </c>
      <c r="G677" s="223" t="s">
        <v>1617</v>
      </c>
      <c r="H677" s="221">
        <v>94.8</v>
      </c>
      <c r="I677" s="222">
        <v>70.0</v>
      </c>
      <c r="J677" s="222">
        <v>77.0</v>
      </c>
      <c r="K677" s="222" t="s">
        <v>170</v>
      </c>
      <c r="L677" s="222" t="s">
        <v>44</v>
      </c>
      <c r="M677" s="223" t="s">
        <v>170</v>
      </c>
      <c r="N677" s="221">
        <v>2.0</v>
      </c>
      <c r="O677" s="222" t="s">
        <v>2002</v>
      </c>
      <c r="P677" s="222">
        <v>25.0</v>
      </c>
      <c r="Q677" s="222">
        <v>1800.0</v>
      </c>
      <c r="R677" s="224">
        <v>77.28</v>
      </c>
      <c r="S677" s="224">
        <v>2.72</v>
      </c>
      <c r="T677" s="225">
        <v>25.0</v>
      </c>
      <c r="U677" s="226">
        <v>52.0</v>
      </c>
      <c r="V677" s="227" t="s">
        <v>174</v>
      </c>
      <c r="W677" s="228" t="s">
        <v>166</v>
      </c>
      <c r="X677" s="222" t="s">
        <v>166</v>
      </c>
      <c r="Y677" s="223" t="s">
        <v>166</v>
      </c>
      <c r="Z677" s="221" t="s">
        <v>166</v>
      </c>
      <c r="AA677" s="222" t="s">
        <v>174</v>
      </c>
      <c r="AB677" s="222" t="s">
        <v>174</v>
      </c>
      <c r="AC677" s="222" t="s">
        <v>174</v>
      </c>
      <c r="AD677" s="222" t="s">
        <v>174</v>
      </c>
      <c r="AE677" s="222" t="s">
        <v>170</v>
      </c>
      <c r="AF677" s="222" t="s">
        <v>174</v>
      </c>
      <c r="AG677" s="222" t="s">
        <v>170</v>
      </c>
      <c r="AH677" s="222"/>
    </row>
    <row r="678">
      <c r="A678" s="314" t="s">
        <v>1634</v>
      </c>
      <c r="B678" s="257" t="s">
        <v>2702</v>
      </c>
      <c r="C678" s="221">
        <v>360.0</v>
      </c>
      <c r="D678" s="222">
        <v>394.0</v>
      </c>
      <c r="E678" s="222">
        <v>120.0</v>
      </c>
      <c r="F678" s="222">
        <v>27.0</v>
      </c>
      <c r="G678" s="223" t="s">
        <v>164</v>
      </c>
      <c r="H678" s="221">
        <v>94.8</v>
      </c>
      <c r="I678" s="222">
        <v>70.0</v>
      </c>
      <c r="J678" s="222">
        <v>77.0</v>
      </c>
      <c r="K678" s="222" t="s">
        <v>170</v>
      </c>
      <c r="L678" s="222" t="s">
        <v>44</v>
      </c>
      <c r="M678" s="223" t="s">
        <v>170</v>
      </c>
      <c r="N678" s="221">
        <v>3.0</v>
      </c>
      <c r="O678" s="222" t="s">
        <v>2002</v>
      </c>
      <c r="P678" s="222">
        <v>25.0</v>
      </c>
      <c r="Q678" s="222">
        <v>1800.0</v>
      </c>
      <c r="R678" s="224">
        <v>77.28</v>
      </c>
      <c r="S678" s="224">
        <v>2.72</v>
      </c>
      <c r="T678" s="225">
        <v>25.0</v>
      </c>
      <c r="U678" s="226">
        <v>52.0</v>
      </c>
      <c r="V678" s="227" t="s">
        <v>174</v>
      </c>
      <c r="W678" s="228" t="s">
        <v>166</v>
      </c>
      <c r="X678" s="222" t="s">
        <v>166</v>
      </c>
      <c r="Y678" s="223" t="s">
        <v>166</v>
      </c>
      <c r="Z678" s="221" t="s">
        <v>166</v>
      </c>
      <c r="AA678" s="222" t="s">
        <v>174</v>
      </c>
      <c r="AB678" s="222" t="s">
        <v>174</v>
      </c>
      <c r="AC678" s="222" t="s">
        <v>174</v>
      </c>
      <c r="AD678" s="222" t="s">
        <v>174</v>
      </c>
      <c r="AE678" s="222" t="s">
        <v>170</v>
      </c>
      <c r="AF678" s="222" t="s">
        <v>174</v>
      </c>
      <c r="AG678" s="222" t="s">
        <v>170</v>
      </c>
      <c r="AH678" s="222"/>
    </row>
    <row r="679">
      <c r="A679" s="315" t="s">
        <v>1634</v>
      </c>
      <c r="B679" s="271" t="s">
        <v>2703</v>
      </c>
      <c r="C679" s="232">
        <v>360.0</v>
      </c>
      <c r="D679" s="233">
        <v>394.0</v>
      </c>
      <c r="E679" s="233">
        <v>120.0</v>
      </c>
      <c r="F679" s="233">
        <v>27.0</v>
      </c>
      <c r="G679" s="234" t="s">
        <v>1617</v>
      </c>
      <c r="H679" s="232">
        <v>94.8</v>
      </c>
      <c r="I679" s="233">
        <v>70.0</v>
      </c>
      <c r="J679" s="233">
        <v>77.0</v>
      </c>
      <c r="K679" s="233" t="s">
        <v>170</v>
      </c>
      <c r="L679" s="233" t="s">
        <v>44</v>
      </c>
      <c r="M679" s="234" t="s">
        <v>170</v>
      </c>
      <c r="N679" s="232">
        <v>3.0</v>
      </c>
      <c r="O679" s="233" t="s">
        <v>2002</v>
      </c>
      <c r="P679" s="233">
        <v>25.0</v>
      </c>
      <c r="Q679" s="233">
        <v>1800.0</v>
      </c>
      <c r="R679" s="235">
        <v>77.28</v>
      </c>
      <c r="S679" s="235">
        <v>2.72</v>
      </c>
      <c r="T679" s="236">
        <v>25.0</v>
      </c>
      <c r="U679" s="237">
        <v>52.0</v>
      </c>
      <c r="V679" s="238" t="s">
        <v>174</v>
      </c>
      <c r="W679" s="239" t="s">
        <v>166</v>
      </c>
      <c r="X679" s="233" t="s">
        <v>166</v>
      </c>
      <c r="Y679" s="234" t="s">
        <v>166</v>
      </c>
      <c r="Z679" s="232" t="s">
        <v>166</v>
      </c>
      <c r="AA679" s="233" t="s">
        <v>174</v>
      </c>
      <c r="AB679" s="233" t="s">
        <v>174</v>
      </c>
      <c r="AC679" s="233" t="s">
        <v>174</v>
      </c>
      <c r="AD679" s="233" t="s">
        <v>174</v>
      </c>
      <c r="AE679" s="233" t="s">
        <v>170</v>
      </c>
      <c r="AF679" s="233" t="s">
        <v>174</v>
      </c>
      <c r="AG679" s="233" t="s">
        <v>170</v>
      </c>
      <c r="AH679" s="233"/>
    </row>
    <row r="680">
      <c r="A680" s="282" t="s">
        <v>1603</v>
      </c>
      <c r="B680" s="257" t="s">
        <v>2704</v>
      </c>
      <c r="C680" s="221">
        <v>240.0</v>
      </c>
      <c r="D680" s="222">
        <v>270.0</v>
      </c>
      <c r="E680" s="222">
        <v>120.0</v>
      </c>
      <c r="F680" s="222">
        <v>27.0</v>
      </c>
      <c r="G680" s="223" t="s">
        <v>164</v>
      </c>
      <c r="H680" s="221" t="s">
        <v>170</v>
      </c>
      <c r="I680" s="222" t="s">
        <v>170</v>
      </c>
      <c r="J680" s="222" t="s">
        <v>170</v>
      </c>
      <c r="K680" s="222">
        <v>3600.0</v>
      </c>
      <c r="L680" s="222" t="s">
        <v>44</v>
      </c>
      <c r="M680" s="223">
        <v>326.0</v>
      </c>
      <c r="N680" s="221">
        <v>2.0</v>
      </c>
      <c r="O680" s="222" t="s">
        <v>2002</v>
      </c>
      <c r="P680" s="222">
        <v>25.0</v>
      </c>
      <c r="Q680" s="222">
        <v>1500.0</v>
      </c>
      <c r="R680" s="224">
        <v>42.45</v>
      </c>
      <c r="S680" s="224">
        <v>1.45</v>
      </c>
      <c r="T680" s="225">
        <v>23.9</v>
      </c>
      <c r="U680" s="226">
        <v>52.0</v>
      </c>
      <c r="V680" s="221" t="s">
        <v>166</v>
      </c>
      <c r="W680" s="241" t="s">
        <v>166</v>
      </c>
      <c r="X680" s="222" t="s">
        <v>174</v>
      </c>
      <c r="Y680" s="223" t="s">
        <v>174</v>
      </c>
      <c r="Z680" s="221" t="s">
        <v>174</v>
      </c>
      <c r="AA680" s="222" t="s">
        <v>174</v>
      </c>
      <c r="AB680" s="222" t="s">
        <v>174</v>
      </c>
      <c r="AC680" s="222" t="s">
        <v>174</v>
      </c>
      <c r="AD680" s="222" t="s">
        <v>174</v>
      </c>
      <c r="AE680" s="222" t="s">
        <v>174</v>
      </c>
      <c r="AF680" s="222" t="s">
        <v>174</v>
      </c>
      <c r="AG680" s="222" t="s">
        <v>170</v>
      </c>
      <c r="AH680" s="222"/>
    </row>
    <row r="681">
      <c r="A681" s="174" t="s">
        <v>1603</v>
      </c>
      <c r="B681" s="257" t="s">
        <v>2705</v>
      </c>
      <c r="C681" s="221">
        <v>280.0</v>
      </c>
      <c r="D681" s="222">
        <v>312.0</v>
      </c>
      <c r="E681" s="222">
        <v>140.0</v>
      </c>
      <c r="F681" s="222">
        <v>27.0</v>
      </c>
      <c r="G681" s="223" t="s">
        <v>164</v>
      </c>
      <c r="H681" s="221" t="s">
        <v>170</v>
      </c>
      <c r="I681" s="222" t="s">
        <v>170</v>
      </c>
      <c r="J681" s="222" t="s">
        <v>170</v>
      </c>
      <c r="K681" s="222">
        <v>3600.0</v>
      </c>
      <c r="L681" s="222" t="s">
        <v>44</v>
      </c>
      <c r="M681" s="223">
        <v>326.0</v>
      </c>
      <c r="N681" s="221">
        <v>2.0</v>
      </c>
      <c r="O681" s="222" t="s">
        <v>2018</v>
      </c>
      <c r="P681" s="222">
        <v>25.0</v>
      </c>
      <c r="Q681" s="222">
        <v>1400.0</v>
      </c>
      <c r="R681" s="224">
        <v>60.87</v>
      </c>
      <c r="S681" s="224">
        <v>1.74</v>
      </c>
      <c r="T681" s="225">
        <v>26.2</v>
      </c>
      <c r="U681" s="226">
        <v>52.0</v>
      </c>
      <c r="V681" s="227" t="s">
        <v>166</v>
      </c>
      <c r="W681" s="228" t="s">
        <v>166</v>
      </c>
      <c r="X681" s="222" t="s">
        <v>174</v>
      </c>
      <c r="Y681" s="223" t="s">
        <v>174</v>
      </c>
      <c r="Z681" s="221" t="s">
        <v>174</v>
      </c>
      <c r="AA681" s="222" t="s">
        <v>174</v>
      </c>
      <c r="AB681" s="222" t="s">
        <v>174</v>
      </c>
      <c r="AC681" s="222" t="s">
        <v>174</v>
      </c>
      <c r="AD681" s="222" t="s">
        <v>174</v>
      </c>
      <c r="AE681" s="222" t="s">
        <v>174</v>
      </c>
      <c r="AF681" s="222" t="s">
        <v>174</v>
      </c>
      <c r="AG681" s="222" t="s">
        <v>170</v>
      </c>
      <c r="AH681" s="222"/>
    </row>
    <row r="682">
      <c r="A682" s="174" t="s">
        <v>1603</v>
      </c>
      <c r="B682" s="257" t="s">
        <v>2706</v>
      </c>
      <c r="C682" s="221">
        <v>360.0</v>
      </c>
      <c r="D682" s="222">
        <v>393.0</v>
      </c>
      <c r="E682" s="222">
        <v>120.0</v>
      </c>
      <c r="F682" s="222">
        <v>27.0</v>
      </c>
      <c r="G682" s="223" t="s">
        <v>164</v>
      </c>
      <c r="H682" s="221" t="s">
        <v>170</v>
      </c>
      <c r="I682" s="222" t="s">
        <v>170</v>
      </c>
      <c r="J682" s="222" t="s">
        <v>170</v>
      </c>
      <c r="K682" s="222">
        <v>3600.0</v>
      </c>
      <c r="L682" s="222" t="s">
        <v>44</v>
      </c>
      <c r="M682" s="223">
        <v>400.0</v>
      </c>
      <c r="N682" s="221">
        <v>3.0</v>
      </c>
      <c r="O682" s="222" t="s">
        <v>2002</v>
      </c>
      <c r="P682" s="222">
        <v>25.0</v>
      </c>
      <c r="Q682" s="222">
        <v>1500.0</v>
      </c>
      <c r="R682" s="224">
        <v>42.45</v>
      </c>
      <c r="S682" s="224">
        <v>1.45</v>
      </c>
      <c r="T682" s="225">
        <v>23.9</v>
      </c>
      <c r="U682" s="226">
        <v>52.0</v>
      </c>
      <c r="V682" s="227" t="s">
        <v>166</v>
      </c>
      <c r="W682" s="228" t="s">
        <v>166</v>
      </c>
      <c r="X682" s="222" t="s">
        <v>174</v>
      </c>
      <c r="Y682" s="223" t="s">
        <v>174</v>
      </c>
      <c r="Z682" s="221" t="s">
        <v>174</v>
      </c>
      <c r="AA682" s="222" t="s">
        <v>174</v>
      </c>
      <c r="AB682" s="222" t="s">
        <v>174</v>
      </c>
      <c r="AC682" s="222" t="s">
        <v>174</v>
      </c>
      <c r="AD682" s="222" t="s">
        <v>174</v>
      </c>
      <c r="AE682" s="222" t="s">
        <v>174</v>
      </c>
      <c r="AF682" s="222" t="s">
        <v>174</v>
      </c>
      <c r="AG682" s="222" t="s">
        <v>170</v>
      </c>
      <c r="AH682" s="222"/>
    </row>
    <row r="683">
      <c r="A683" s="174" t="s">
        <v>1603</v>
      </c>
      <c r="B683" s="257" t="s">
        <v>2707</v>
      </c>
      <c r="C683" s="221">
        <v>240.0</v>
      </c>
      <c r="D683" s="222">
        <v>273.0</v>
      </c>
      <c r="E683" s="222">
        <v>120.0</v>
      </c>
      <c r="F683" s="222">
        <v>27.0</v>
      </c>
      <c r="G683" s="223" t="s">
        <v>164</v>
      </c>
      <c r="H683" s="221" t="s">
        <v>170</v>
      </c>
      <c r="I683" s="222" t="s">
        <v>170</v>
      </c>
      <c r="J683" s="222" t="s">
        <v>170</v>
      </c>
      <c r="K683" s="222">
        <v>3200.0</v>
      </c>
      <c r="L683" s="222" t="s">
        <v>44</v>
      </c>
      <c r="M683" s="223">
        <v>410.0</v>
      </c>
      <c r="N683" s="221">
        <v>2.0</v>
      </c>
      <c r="O683" s="222" t="s">
        <v>2002</v>
      </c>
      <c r="P683" s="222">
        <v>25.0</v>
      </c>
      <c r="Q683" s="222">
        <v>1500.0</v>
      </c>
      <c r="R683" s="224">
        <v>59.28</v>
      </c>
      <c r="S683" s="224">
        <v>1.31</v>
      </c>
      <c r="T683" s="225">
        <v>28.2</v>
      </c>
      <c r="U683" s="226">
        <v>52.0</v>
      </c>
      <c r="V683" s="227" t="s">
        <v>166</v>
      </c>
      <c r="W683" s="228" t="s">
        <v>174</v>
      </c>
      <c r="X683" s="222" t="s">
        <v>166</v>
      </c>
      <c r="Y683" s="223" t="s">
        <v>166</v>
      </c>
      <c r="Z683" s="221" t="s">
        <v>174</v>
      </c>
      <c r="AA683" s="222" t="s">
        <v>174</v>
      </c>
      <c r="AB683" s="222" t="s">
        <v>166</v>
      </c>
      <c r="AC683" s="222" t="s">
        <v>174</v>
      </c>
      <c r="AD683" s="222" t="s">
        <v>174</v>
      </c>
      <c r="AE683" s="222" t="s">
        <v>174</v>
      </c>
      <c r="AF683" s="222" t="s">
        <v>174</v>
      </c>
      <c r="AG683" s="222" t="s">
        <v>170</v>
      </c>
      <c r="AH683" s="222"/>
    </row>
    <row r="684">
      <c r="A684" s="174" t="s">
        <v>1603</v>
      </c>
      <c r="B684" s="257" t="s">
        <v>2708</v>
      </c>
      <c r="C684" s="221">
        <v>240.0</v>
      </c>
      <c r="D684" s="222">
        <v>273.0</v>
      </c>
      <c r="E684" s="222">
        <v>120.0</v>
      </c>
      <c r="F684" s="222">
        <v>27.0</v>
      </c>
      <c r="G684" s="223" t="s">
        <v>164</v>
      </c>
      <c r="H684" s="221" t="s">
        <v>170</v>
      </c>
      <c r="I684" s="222" t="s">
        <v>170</v>
      </c>
      <c r="J684" s="222" t="s">
        <v>170</v>
      </c>
      <c r="K684" s="222">
        <v>3200.0</v>
      </c>
      <c r="L684" s="222" t="s">
        <v>44</v>
      </c>
      <c r="M684" s="223">
        <v>410.0</v>
      </c>
      <c r="N684" s="221">
        <v>2.0</v>
      </c>
      <c r="O684" s="222" t="s">
        <v>2002</v>
      </c>
      <c r="P684" s="222">
        <v>25.0</v>
      </c>
      <c r="Q684" s="222">
        <v>1500.0</v>
      </c>
      <c r="R684" s="224">
        <v>59.28</v>
      </c>
      <c r="S684" s="224">
        <v>1.31</v>
      </c>
      <c r="T684" s="225">
        <v>28.2</v>
      </c>
      <c r="U684" s="226">
        <v>52.0</v>
      </c>
      <c r="V684" s="227" t="s">
        <v>166</v>
      </c>
      <c r="W684" s="228" t="s">
        <v>174</v>
      </c>
      <c r="X684" s="222" t="s">
        <v>166</v>
      </c>
      <c r="Y684" s="223" t="s">
        <v>166</v>
      </c>
      <c r="Z684" s="221" t="s">
        <v>174</v>
      </c>
      <c r="AA684" s="222" t="s">
        <v>174</v>
      </c>
      <c r="AB684" s="222" t="s">
        <v>166</v>
      </c>
      <c r="AC684" s="222" t="s">
        <v>174</v>
      </c>
      <c r="AD684" s="222" t="s">
        <v>174</v>
      </c>
      <c r="AE684" s="222" t="s">
        <v>174</v>
      </c>
      <c r="AF684" s="222" t="s">
        <v>174</v>
      </c>
      <c r="AG684" s="222" t="s">
        <v>170</v>
      </c>
      <c r="AH684" s="222"/>
    </row>
    <row r="685">
      <c r="A685" s="174" t="s">
        <v>1603</v>
      </c>
      <c r="B685" s="257" t="s">
        <v>2709</v>
      </c>
      <c r="C685" s="221">
        <v>360.0</v>
      </c>
      <c r="D685" s="222">
        <v>394.0</v>
      </c>
      <c r="E685" s="222">
        <v>120.0</v>
      </c>
      <c r="F685" s="222">
        <v>27.0</v>
      </c>
      <c r="G685" s="223" t="s">
        <v>164</v>
      </c>
      <c r="H685" s="221" t="s">
        <v>170</v>
      </c>
      <c r="I685" s="222" t="s">
        <v>170</v>
      </c>
      <c r="J685" s="222" t="s">
        <v>170</v>
      </c>
      <c r="K685" s="222">
        <v>3200.0</v>
      </c>
      <c r="L685" s="222" t="s">
        <v>44</v>
      </c>
      <c r="M685" s="223">
        <v>410.0</v>
      </c>
      <c r="N685" s="221">
        <v>3.0</v>
      </c>
      <c r="O685" s="222" t="s">
        <v>2002</v>
      </c>
      <c r="P685" s="222">
        <v>25.0</v>
      </c>
      <c r="Q685" s="222">
        <v>1500.0</v>
      </c>
      <c r="R685" s="224">
        <v>59.28</v>
      </c>
      <c r="S685" s="224">
        <v>1.31</v>
      </c>
      <c r="T685" s="225">
        <v>28.2</v>
      </c>
      <c r="U685" s="226">
        <v>52.0</v>
      </c>
      <c r="V685" s="227" t="s">
        <v>166</v>
      </c>
      <c r="W685" s="228" t="s">
        <v>174</v>
      </c>
      <c r="X685" s="222" t="s">
        <v>166</v>
      </c>
      <c r="Y685" s="223" t="s">
        <v>166</v>
      </c>
      <c r="Z685" s="221" t="s">
        <v>174</v>
      </c>
      <c r="AA685" s="222" t="s">
        <v>174</v>
      </c>
      <c r="AB685" s="222" t="s">
        <v>166</v>
      </c>
      <c r="AC685" s="222" t="s">
        <v>174</v>
      </c>
      <c r="AD685" s="222" t="s">
        <v>174</v>
      </c>
      <c r="AE685" s="222" t="s">
        <v>174</v>
      </c>
      <c r="AF685" s="222" t="s">
        <v>174</v>
      </c>
      <c r="AG685" s="222" t="s">
        <v>170</v>
      </c>
      <c r="AH685" s="222"/>
    </row>
    <row r="686">
      <c r="A686" s="174" t="s">
        <v>1603</v>
      </c>
      <c r="B686" s="257" t="s">
        <v>2710</v>
      </c>
      <c r="C686" s="221">
        <v>360.0</v>
      </c>
      <c r="D686" s="222">
        <v>394.0</v>
      </c>
      <c r="E686" s="222">
        <v>120.0</v>
      </c>
      <c r="F686" s="222">
        <v>27.0</v>
      </c>
      <c r="G686" s="223" t="s">
        <v>164</v>
      </c>
      <c r="H686" s="221" t="s">
        <v>170</v>
      </c>
      <c r="I686" s="222" t="s">
        <v>170</v>
      </c>
      <c r="J686" s="222" t="s">
        <v>170</v>
      </c>
      <c r="K686" s="222">
        <v>3200.0</v>
      </c>
      <c r="L686" s="222" t="s">
        <v>44</v>
      </c>
      <c r="M686" s="223">
        <v>410.0</v>
      </c>
      <c r="N686" s="221">
        <v>3.0</v>
      </c>
      <c r="O686" s="222" t="s">
        <v>2002</v>
      </c>
      <c r="P686" s="222">
        <v>25.0</v>
      </c>
      <c r="Q686" s="222">
        <v>1500.0</v>
      </c>
      <c r="R686" s="224">
        <v>59.28</v>
      </c>
      <c r="S686" s="224">
        <v>1.31</v>
      </c>
      <c r="T686" s="225">
        <v>28.2</v>
      </c>
      <c r="U686" s="226">
        <v>52.0</v>
      </c>
      <c r="V686" s="227" t="s">
        <v>166</v>
      </c>
      <c r="W686" s="228" t="s">
        <v>174</v>
      </c>
      <c r="X686" s="222" t="s">
        <v>166</v>
      </c>
      <c r="Y686" s="223" t="s">
        <v>166</v>
      </c>
      <c r="Z686" s="221" t="s">
        <v>174</v>
      </c>
      <c r="AA686" s="222" t="s">
        <v>174</v>
      </c>
      <c r="AB686" s="222" t="s">
        <v>166</v>
      </c>
      <c r="AC686" s="222" t="s">
        <v>174</v>
      </c>
      <c r="AD686" s="222" t="s">
        <v>174</v>
      </c>
      <c r="AE686" s="222" t="s">
        <v>174</v>
      </c>
      <c r="AF686" s="222" t="s">
        <v>174</v>
      </c>
      <c r="AG686" s="222" t="s">
        <v>170</v>
      </c>
      <c r="AH686" s="222"/>
    </row>
    <row r="687">
      <c r="A687" s="174" t="s">
        <v>1603</v>
      </c>
      <c r="B687" s="257" t="s">
        <v>2711</v>
      </c>
      <c r="C687" s="221">
        <v>240.0</v>
      </c>
      <c r="D687" s="222">
        <v>273.0</v>
      </c>
      <c r="E687" s="222">
        <v>120.0</v>
      </c>
      <c r="F687" s="222">
        <v>27.0</v>
      </c>
      <c r="G687" s="223" t="s">
        <v>164</v>
      </c>
      <c r="H687" s="221" t="s">
        <v>170</v>
      </c>
      <c r="I687" s="222" t="s">
        <v>170</v>
      </c>
      <c r="J687" s="222" t="s">
        <v>170</v>
      </c>
      <c r="K687" s="222">
        <v>3200.0</v>
      </c>
      <c r="L687" s="222" t="s">
        <v>44</v>
      </c>
      <c r="M687" s="223">
        <v>400.0</v>
      </c>
      <c r="N687" s="221">
        <v>2.0</v>
      </c>
      <c r="O687" s="222" t="s">
        <v>2002</v>
      </c>
      <c r="P687" s="222">
        <v>25.0</v>
      </c>
      <c r="Q687" s="222">
        <v>2500.0</v>
      </c>
      <c r="R687" s="224">
        <v>72.69</v>
      </c>
      <c r="S687" s="224">
        <v>3.78</v>
      </c>
      <c r="T687" s="225">
        <v>28.1</v>
      </c>
      <c r="U687" s="226">
        <v>52.0</v>
      </c>
      <c r="V687" s="227" t="s">
        <v>166</v>
      </c>
      <c r="W687" s="228" t="s">
        <v>166</v>
      </c>
      <c r="X687" s="222" t="s">
        <v>174</v>
      </c>
      <c r="Y687" s="223" t="s">
        <v>166</v>
      </c>
      <c r="Z687" s="221" t="s">
        <v>174</v>
      </c>
      <c r="AA687" s="222" t="s">
        <v>174</v>
      </c>
      <c r="AB687" s="222" t="s">
        <v>166</v>
      </c>
      <c r="AC687" s="222" t="s">
        <v>174</v>
      </c>
      <c r="AD687" s="222" t="s">
        <v>174</v>
      </c>
      <c r="AE687" s="222" t="s">
        <v>174</v>
      </c>
      <c r="AF687" s="222" t="s">
        <v>174</v>
      </c>
      <c r="AG687" s="222" t="s">
        <v>170</v>
      </c>
      <c r="AH687" s="222"/>
    </row>
    <row r="688">
      <c r="A688" s="174" t="s">
        <v>1603</v>
      </c>
      <c r="B688" s="257" t="s">
        <v>2712</v>
      </c>
      <c r="C688" s="221">
        <v>360.0</v>
      </c>
      <c r="D688" s="222">
        <v>395.0</v>
      </c>
      <c r="E688" s="222">
        <v>120.0</v>
      </c>
      <c r="F688" s="222">
        <v>27.0</v>
      </c>
      <c r="G688" s="223" t="s">
        <v>164</v>
      </c>
      <c r="H688" s="221" t="s">
        <v>170</v>
      </c>
      <c r="I688" s="222" t="s">
        <v>170</v>
      </c>
      <c r="J688" s="222" t="s">
        <v>170</v>
      </c>
      <c r="K688" s="222">
        <v>3200.0</v>
      </c>
      <c r="L688" s="222" t="s">
        <v>44</v>
      </c>
      <c r="M688" s="223">
        <v>400.0</v>
      </c>
      <c r="N688" s="221">
        <v>3.0</v>
      </c>
      <c r="O688" s="222" t="s">
        <v>2002</v>
      </c>
      <c r="P688" s="222">
        <v>25.0</v>
      </c>
      <c r="Q688" s="222">
        <v>2500.0</v>
      </c>
      <c r="R688" s="224">
        <v>72.69</v>
      </c>
      <c r="S688" s="224">
        <v>3.78</v>
      </c>
      <c r="T688" s="225">
        <v>28.1</v>
      </c>
      <c r="U688" s="226">
        <v>52.0</v>
      </c>
      <c r="V688" s="227" t="s">
        <v>166</v>
      </c>
      <c r="W688" s="228" t="s">
        <v>166</v>
      </c>
      <c r="X688" s="222" t="s">
        <v>174</v>
      </c>
      <c r="Y688" s="223" t="s">
        <v>166</v>
      </c>
      <c r="Z688" s="221" t="s">
        <v>174</v>
      </c>
      <c r="AA688" s="222" t="s">
        <v>174</v>
      </c>
      <c r="AB688" s="222" t="s">
        <v>166</v>
      </c>
      <c r="AC688" s="222" t="s">
        <v>174</v>
      </c>
      <c r="AD688" s="222" t="s">
        <v>174</v>
      </c>
      <c r="AE688" s="222" t="s">
        <v>174</v>
      </c>
      <c r="AF688" s="222" t="s">
        <v>174</v>
      </c>
      <c r="AG688" s="222" t="s">
        <v>170</v>
      </c>
      <c r="AH688" s="222"/>
    </row>
    <row r="689">
      <c r="A689" s="174" t="s">
        <v>1603</v>
      </c>
      <c r="B689" s="257" t="s">
        <v>2713</v>
      </c>
      <c r="C689" s="221">
        <v>240.0</v>
      </c>
      <c r="D689" s="222">
        <v>270.0</v>
      </c>
      <c r="E689" s="222">
        <v>120.0</v>
      </c>
      <c r="F689" s="222">
        <v>27.0</v>
      </c>
      <c r="G689" s="223" t="s">
        <v>164</v>
      </c>
      <c r="H689" s="221" t="s">
        <v>170</v>
      </c>
      <c r="I689" s="222" t="s">
        <v>170</v>
      </c>
      <c r="J689" s="222" t="s">
        <v>170</v>
      </c>
      <c r="K689" s="222">
        <v>3600.0</v>
      </c>
      <c r="L689" s="222" t="s">
        <v>44</v>
      </c>
      <c r="M689" s="223">
        <v>326.0</v>
      </c>
      <c r="N689" s="221">
        <v>2.0</v>
      </c>
      <c r="O689" s="222" t="s">
        <v>2002</v>
      </c>
      <c r="P689" s="222">
        <v>25.0</v>
      </c>
      <c r="Q689" s="222">
        <v>1400.0</v>
      </c>
      <c r="R689" s="224">
        <v>42.34</v>
      </c>
      <c r="S689" s="224">
        <v>1.54</v>
      </c>
      <c r="T689" s="225">
        <v>24.7</v>
      </c>
      <c r="U689" s="226">
        <v>52.0</v>
      </c>
      <c r="V689" s="227" t="s">
        <v>166</v>
      </c>
      <c r="W689" s="228" t="s">
        <v>166</v>
      </c>
      <c r="X689" s="222" t="s">
        <v>174</v>
      </c>
      <c r="Y689" s="223" t="s">
        <v>166</v>
      </c>
      <c r="Z689" s="221" t="s">
        <v>174</v>
      </c>
      <c r="AA689" s="222" t="s">
        <v>174</v>
      </c>
      <c r="AB689" s="222" t="s">
        <v>174</v>
      </c>
      <c r="AC689" s="222" t="s">
        <v>174</v>
      </c>
      <c r="AD689" s="222" t="s">
        <v>174</v>
      </c>
      <c r="AE689" s="222" t="s">
        <v>174</v>
      </c>
      <c r="AF689" s="222" t="s">
        <v>174</v>
      </c>
      <c r="AG689" s="229" t="s">
        <v>2003</v>
      </c>
      <c r="AH689" s="229"/>
    </row>
    <row r="690">
      <c r="A690" s="174" t="s">
        <v>1603</v>
      </c>
      <c r="B690" s="257" t="s">
        <v>2714</v>
      </c>
      <c r="C690" s="221">
        <v>280.0</v>
      </c>
      <c r="D690" s="222">
        <v>312.0</v>
      </c>
      <c r="E690" s="222">
        <v>140.0</v>
      </c>
      <c r="F690" s="222">
        <v>27.0</v>
      </c>
      <c r="G690" s="223" t="s">
        <v>164</v>
      </c>
      <c r="H690" s="221" t="s">
        <v>170</v>
      </c>
      <c r="I690" s="222" t="s">
        <v>170</v>
      </c>
      <c r="J690" s="222" t="s">
        <v>170</v>
      </c>
      <c r="K690" s="222">
        <v>3600.0</v>
      </c>
      <c r="L690" s="222" t="s">
        <v>44</v>
      </c>
      <c r="M690" s="223" t="s">
        <v>170</v>
      </c>
      <c r="N690" s="221">
        <v>2.0</v>
      </c>
      <c r="O690" s="222" t="s">
        <v>2018</v>
      </c>
      <c r="P690" s="222">
        <v>25.0</v>
      </c>
      <c r="Q690" s="222">
        <v>1400.0</v>
      </c>
      <c r="R690" s="224">
        <v>63.19</v>
      </c>
      <c r="S690" s="224" t="s">
        <v>170</v>
      </c>
      <c r="T690" s="225">
        <v>24.7</v>
      </c>
      <c r="U690" s="226">
        <v>52.0</v>
      </c>
      <c r="V690" s="227" t="s">
        <v>166</v>
      </c>
      <c r="W690" s="228" t="s">
        <v>166</v>
      </c>
      <c r="X690" s="222" t="s">
        <v>174</v>
      </c>
      <c r="Y690" s="223" t="s">
        <v>166</v>
      </c>
      <c r="Z690" s="221" t="s">
        <v>174</v>
      </c>
      <c r="AA690" s="222" t="s">
        <v>174</v>
      </c>
      <c r="AB690" s="222" t="s">
        <v>166</v>
      </c>
      <c r="AC690" s="222" t="s">
        <v>174</v>
      </c>
      <c r="AD690" s="222" t="s">
        <v>174</v>
      </c>
      <c r="AE690" s="222" t="s">
        <v>174</v>
      </c>
      <c r="AF690" s="222" t="s">
        <v>174</v>
      </c>
      <c r="AG690" s="229" t="s">
        <v>2003</v>
      </c>
      <c r="AH690" s="229"/>
    </row>
    <row r="691">
      <c r="A691" s="174" t="s">
        <v>1603</v>
      </c>
      <c r="B691" s="257" t="s">
        <v>2715</v>
      </c>
      <c r="C691" s="221">
        <v>360.0</v>
      </c>
      <c r="D691" s="222">
        <v>393.0</v>
      </c>
      <c r="E691" s="222">
        <v>120.0</v>
      </c>
      <c r="F691" s="222">
        <v>27.0</v>
      </c>
      <c r="G691" s="223" t="s">
        <v>164</v>
      </c>
      <c r="H691" s="221" t="s">
        <v>170</v>
      </c>
      <c r="I691" s="222" t="s">
        <v>170</v>
      </c>
      <c r="J691" s="222" t="s">
        <v>170</v>
      </c>
      <c r="K691" s="222">
        <v>3600.0</v>
      </c>
      <c r="L691" s="222" t="s">
        <v>44</v>
      </c>
      <c r="M691" s="223">
        <v>326.0</v>
      </c>
      <c r="N691" s="221">
        <v>3.0</v>
      </c>
      <c r="O691" s="222" t="s">
        <v>2002</v>
      </c>
      <c r="P691" s="222">
        <v>25.0</v>
      </c>
      <c r="Q691" s="222">
        <v>1400.0</v>
      </c>
      <c r="R691" s="224">
        <v>42.34</v>
      </c>
      <c r="S691" s="224">
        <v>1.54</v>
      </c>
      <c r="T691" s="225">
        <v>24.7</v>
      </c>
      <c r="U691" s="226">
        <v>52.0</v>
      </c>
      <c r="V691" s="227" t="s">
        <v>166</v>
      </c>
      <c r="W691" s="228" t="s">
        <v>166</v>
      </c>
      <c r="X691" s="222" t="s">
        <v>174</v>
      </c>
      <c r="Y691" s="223" t="s">
        <v>166</v>
      </c>
      <c r="Z691" s="221" t="s">
        <v>174</v>
      </c>
      <c r="AA691" s="222" t="s">
        <v>174</v>
      </c>
      <c r="AB691" s="222" t="s">
        <v>174</v>
      </c>
      <c r="AC691" s="222" t="s">
        <v>174</v>
      </c>
      <c r="AD691" s="222" t="s">
        <v>174</v>
      </c>
      <c r="AE691" s="222" t="s">
        <v>174</v>
      </c>
      <c r="AF691" s="222" t="s">
        <v>174</v>
      </c>
      <c r="AG691" s="229" t="s">
        <v>2003</v>
      </c>
      <c r="AH691" s="229"/>
    </row>
    <row r="692">
      <c r="A692" s="174" t="s">
        <v>1603</v>
      </c>
      <c r="B692" s="257" t="s">
        <v>2716</v>
      </c>
      <c r="C692" s="221">
        <v>120.0</v>
      </c>
      <c r="D692" s="222">
        <v>153.0</v>
      </c>
      <c r="E692" s="222">
        <v>120.0</v>
      </c>
      <c r="F692" s="222">
        <v>27.0</v>
      </c>
      <c r="G692" s="223" t="s">
        <v>164</v>
      </c>
      <c r="H692" s="221" t="s">
        <v>170</v>
      </c>
      <c r="I692" s="222" t="s">
        <v>170</v>
      </c>
      <c r="J692" s="222" t="s">
        <v>170</v>
      </c>
      <c r="K692" s="222">
        <v>3300.0</v>
      </c>
      <c r="L692" s="222" t="s">
        <v>44</v>
      </c>
      <c r="M692" s="223">
        <v>400.0</v>
      </c>
      <c r="N692" s="221">
        <v>1.0</v>
      </c>
      <c r="O692" s="222" t="s">
        <v>2002</v>
      </c>
      <c r="P692" s="222">
        <v>25.0</v>
      </c>
      <c r="Q692" s="222">
        <v>1500.0</v>
      </c>
      <c r="R692" s="224">
        <v>59.28</v>
      </c>
      <c r="S692" s="224">
        <v>1.31</v>
      </c>
      <c r="T692" s="225">
        <v>28.2</v>
      </c>
      <c r="U692" s="226">
        <v>52.0</v>
      </c>
      <c r="V692" s="227" t="s">
        <v>166</v>
      </c>
      <c r="W692" s="228" t="s">
        <v>174</v>
      </c>
      <c r="X692" s="222" t="s">
        <v>166</v>
      </c>
      <c r="Y692" s="223" t="s">
        <v>166</v>
      </c>
      <c r="Z692" s="221" t="s">
        <v>174</v>
      </c>
      <c r="AA692" s="222" t="s">
        <v>174</v>
      </c>
      <c r="AB692" s="222" t="s">
        <v>166</v>
      </c>
      <c r="AC692" s="222" t="s">
        <v>174</v>
      </c>
      <c r="AD692" s="222" t="s">
        <v>166</v>
      </c>
      <c r="AE692" s="222" t="s">
        <v>174</v>
      </c>
      <c r="AF692" s="222" t="s">
        <v>166</v>
      </c>
      <c r="AG692" s="229" t="s">
        <v>2327</v>
      </c>
      <c r="AH692" s="229"/>
    </row>
    <row r="693">
      <c r="A693" s="174" t="s">
        <v>1603</v>
      </c>
      <c r="B693" s="257" t="s">
        <v>2717</v>
      </c>
      <c r="C693" s="221">
        <v>240.0</v>
      </c>
      <c r="D693" s="222">
        <v>273.0</v>
      </c>
      <c r="E693" s="222">
        <v>120.0</v>
      </c>
      <c r="F693" s="222">
        <v>27.0</v>
      </c>
      <c r="G693" s="223" t="s">
        <v>164</v>
      </c>
      <c r="H693" s="221" t="s">
        <v>170</v>
      </c>
      <c r="I693" s="222" t="s">
        <v>170</v>
      </c>
      <c r="J693" s="222" t="s">
        <v>170</v>
      </c>
      <c r="K693" s="222">
        <v>3300.0</v>
      </c>
      <c r="L693" s="222" t="s">
        <v>44</v>
      </c>
      <c r="M693" s="223">
        <v>400.0</v>
      </c>
      <c r="N693" s="221">
        <v>2.0</v>
      </c>
      <c r="O693" s="222" t="s">
        <v>2002</v>
      </c>
      <c r="P693" s="222">
        <v>25.0</v>
      </c>
      <c r="Q693" s="222">
        <v>1500.0</v>
      </c>
      <c r="R693" s="224">
        <v>59.28</v>
      </c>
      <c r="S693" s="224">
        <v>1.31</v>
      </c>
      <c r="T693" s="225">
        <v>28.2</v>
      </c>
      <c r="U693" s="226">
        <v>52.0</v>
      </c>
      <c r="V693" s="227" t="s">
        <v>166</v>
      </c>
      <c r="W693" s="228" t="s">
        <v>174</v>
      </c>
      <c r="X693" s="222" t="s">
        <v>166</v>
      </c>
      <c r="Y693" s="223" t="s">
        <v>166</v>
      </c>
      <c r="Z693" s="221" t="s">
        <v>174</v>
      </c>
      <c r="AA693" s="222" t="s">
        <v>174</v>
      </c>
      <c r="AB693" s="222" t="s">
        <v>174</v>
      </c>
      <c r="AC693" s="222" t="s">
        <v>174</v>
      </c>
      <c r="AD693" s="222" t="s">
        <v>166</v>
      </c>
      <c r="AE693" s="222" t="s">
        <v>174</v>
      </c>
      <c r="AF693" s="222" t="s">
        <v>166</v>
      </c>
      <c r="AG693" s="229" t="s">
        <v>2327</v>
      </c>
      <c r="AH693" s="229"/>
    </row>
    <row r="694">
      <c r="A694" s="174" t="s">
        <v>1603</v>
      </c>
      <c r="B694" s="257" t="s">
        <v>2718</v>
      </c>
      <c r="C694" s="221">
        <v>240.0</v>
      </c>
      <c r="D694" s="222">
        <v>273.0</v>
      </c>
      <c r="E694" s="222">
        <v>120.0</v>
      </c>
      <c r="F694" s="222">
        <v>27.0</v>
      </c>
      <c r="G694" s="223" t="s">
        <v>164</v>
      </c>
      <c r="H694" s="221" t="s">
        <v>170</v>
      </c>
      <c r="I694" s="222" t="s">
        <v>170</v>
      </c>
      <c r="J694" s="222" t="s">
        <v>170</v>
      </c>
      <c r="K694" s="222">
        <v>3300.0</v>
      </c>
      <c r="L694" s="222" t="s">
        <v>44</v>
      </c>
      <c r="M694" s="223">
        <v>400.0</v>
      </c>
      <c r="N694" s="221">
        <v>2.0</v>
      </c>
      <c r="O694" s="222" t="s">
        <v>2002</v>
      </c>
      <c r="P694" s="222">
        <v>25.0</v>
      </c>
      <c r="Q694" s="222">
        <v>1500.0</v>
      </c>
      <c r="R694" s="224">
        <v>59.28</v>
      </c>
      <c r="S694" s="224">
        <v>1.31</v>
      </c>
      <c r="T694" s="225">
        <v>28.2</v>
      </c>
      <c r="U694" s="226">
        <v>52.0</v>
      </c>
      <c r="V694" s="227" t="s">
        <v>166</v>
      </c>
      <c r="W694" s="228" t="s">
        <v>174</v>
      </c>
      <c r="X694" s="222" t="s">
        <v>166</v>
      </c>
      <c r="Y694" s="223" t="s">
        <v>166</v>
      </c>
      <c r="Z694" s="221" t="s">
        <v>174</v>
      </c>
      <c r="AA694" s="222" t="s">
        <v>174</v>
      </c>
      <c r="AB694" s="222" t="s">
        <v>166</v>
      </c>
      <c r="AC694" s="222" t="s">
        <v>174</v>
      </c>
      <c r="AD694" s="222" t="s">
        <v>174</v>
      </c>
      <c r="AE694" s="222" t="s">
        <v>174</v>
      </c>
      <c r="AF694" s="222" t="s">
        <v>174</v>
      </c>
      <c r="AG694" s="229" t="s">
        <v>2327</v>
      </c>
      <c r="AH694" s="229"/>
    </row>
    <row r="695">
      <c r="A695" s="174" t="s">
        <v>1603</v>
      </c>
      <c r="B695" s="279" t="s">
        <v>2719</v>
      </c>
      <c r="C695" s="221">
        <v>360.0</v>
      </c>
      <c r="D695" s="222">
        <v>395.0</v>
      </c>
      <c r="E695" s="222">
        <v>120.0</v>
      </c>
      <c r="F695" s="222">
        <v>27.0</v>
      </c>
      <c r="G695" s="223" t="s">
        <v>164</v>
      </c>
      <c r="H695" s="221" t="s">
        <v>170</v>
      </c>
      <c r="I695" s="222" t="s">
        <v>170</v>
      </c>
      <c r="J695" s="222" t="s">
        <v>170</v>
      </c>
      <c r="K695" s="222">
        <v>3300.0</v>
      </c>
      <c r="L695" s="222" t="s">
        <v>44</v>
      </c>
      <c r="M695" s="223">
        <v>400.0</v>
      </c>
      <c r="N695" s="221">
        <v>3.0</v>
      </c>
      <c r="O695" s="222" t="s">
        <v>2002</v>
      </c>
      <c r="P695" s="222">
        <v>25.0</v>
      </c>
      <c r="Q695" s="222">
        <v>1500.0</v>
      </c>
      <c r="R695" s="224">
        <v>59.28</v>
      </c>
      <c r="S695" s="224">
        <v>1.31</v>
      </c>
      <c r="T695" s="225">
        <v>28.2</v>
      </c>
      <c r="U695" s="226">
        <v>52.0</v>
      </c>
      <c r="V695" s="227" t="s">
        <v>166</v>
      </c>
      <c r="W695" s="228" t="s">
        <v>174</v>
      </c>
      <c r="X695" s="222" t="s">
        <v>166</v>
      </c>
      <c r="Y695" s="223" t="s">
        <v>166</v>
      </c>
      <c r="Z695" s="221" t="s">
        <v>174</v>
      </c>
      <c r="AA695" s="222" t="s">
        <v>174</v>
      </c>
      <c r="AB695" s="222" t="s">
        <v>166</v>
      </c>
      <c r="AC695" s="222" t="s">
        <v>174</v>
      </c>
      <c r="AD695" s="222" t="s">
        <v>174</v>
      </c>
      <c r="AE695" s="222" t="s">
        <v>174</v>
      </c>
      <c r="AF695" s="222" t="s">
        <v>174</v>
      </c>
      <c r="AG695" s="229" t="s">
        <v>2327</v>
      </c>
      <c r="AH695" s="229"/>
    </row>
    <row r="696">
      <c r="A696" s="174" t="s">
        <v>1603</v>
      </c>
      <c r="B696" s="279" t="s">
        <v>2720</v>
      </c>
      <c r="C696" s="221">
        <v>360.0</v>
      </c>
      <c r="D696" s="222">
        <v>395.0</v>
      </c>
      <c r="E696" s="222">
        <v>120.0</v>
      </c>
      <c r="F696" s="222">
        <v>27.0</v>
      </c>
      <c r="G696" s="223" t="s">
        <v>164</v>
      </c>
      <c r="H696" s="221" t="s">
        <v>170</v>
      </c>
      <c r="I696" s="222" t="s">
        <v>170</v>
      </c>
      <c r="J696" s="222" t="s">
        <v>170</v>
      </c>
      <c r="K696" s="222">
        <v>3300.0</v>
      </c>
      <c r="L696" s="222" t="s">
        <v>44</v>
      </c>
      <c r="M696" s="223">
        <v>400.0</v>
      </c>
      <c r="N696" s="221">
        <v>3.0</v>
      </c>
      <c r="O696" s="222" t="s">
        <v>2002</v>
      </c>
      <c r="P696" s="222">
        <v>25.0</v>
      </c>
      <c r="Q696" s="222">
        <v>1500.0</v>
      </c>
      <c r="R696" s="224">
        <v>59.28</v>
      </c>
      <c r="S696" s="224">
        <v>1.31</v>
      </c>
      <c r="T696" s="225">
        <v>28.2</v>
      </c>
      <c r="U696" s="226">
        <v>52.0</v>
      </c>
      <c r="V696" s="227" t="s">
        <v>166</v>
      </c>
      <c r="W696" s="228" t="s">
        <v>174</v>
      </c>
      <c r="X696" s="222" t="s">
        <v>166</v>
      </c>
      <c r="Y696" s="223" t="s">
        <v>166</v>
      </c>
      <c r="Z696" s="221" t="s">
        <v>174</v>
      </c>
      <c r="AA696" s="222" t="s">
        <v>174</v>
      </c>
      <c r="AB696" s="222" t="s">
        <v>166</v>
      </c>
      <c r="AC696" s="222" t="s">
        <v>174</v>
      </c>
      <c r="AD696" s="222" t="s">
        <v>174</v>
      </c>
      <c r="AE696" s="222" t="s">
        <v>174</v>
      </c>
      <c r="AF696" s="222" t="s">
        <v>174</v>
      </c>
      <c r="AG696" s="229" t="s">
        <v>2327</v>
      </c>
      <c r="AH696" s="229"/>
    </row>
    <row r="697">
      <c r="A697" s="174" t="s">
        <v>1603</v>
      </c>
      <c r="B697" s="279" t="s">
        <v>2721</v>
      </c>
      <c r="C697" s="221">
        <v>240.0</v>
      </c>
      <c r="D697" s="222">
        <v>273.0</v>
      </c>
      <c r="E697" s="222">
        <v>120.0</v>
      </c>
      <c r="F697" s="222">
        <v>27.0</v>
      </c>
      <c r="G697" s="223" t="s">
        <v>164</v>
      </c>
      <c r="H697" s="221" t="s">
        <v>170</v>
      </c>
      <c r="I697" s="222" t="s">
        <v>170</v>
      </c>
      <c r="J697" s="222" t="s">
        <v>170</v>
      </c>
      <c r="K697" s="222">
        <v>3300.0</v>
      </c>
      <c r="L697" s="222" t="s">
        <v>44</v>
      </c>
      <c r="M697" s="223">
        <v>400.0</v>
      </c>
      <c r="N697" s="221">
        <v>2.0</v>
      </c>
      <c r="O697" s="222" t="s">
        <v>2002</v>
      </c>
      <c r="P697" s="222">
        <v>25.0</v>
      </c>
      <c r="Q697" s="222">
        <v>2000.0</v>
      </c>
      <c r="R697" s="224">
        <v>58.35</v>
      </c>
      <c r="S697" s="224">
        <v>2.41</v>
      </c>
      <c r="T697" s="225">
        <v>22.3</v>
      </c>
      <c r="U697" s="226">
        <v>52.0</v>
      </c>
      <c r="V697" s="227" t="s">
        <v>166</v>
      </c>
      <c r="W697" s="228" t="s">
        <v>174</v>
      </c>
      <c r="X697" s="222" t="s">
        <v>166</v>
      </c>
      <c r="Y697" s="223" t="s">
        <v>166</v>
      </c>
      <c r="Z697" s="221" t="s">
        <v>174</v>
      </c>
      <c r="AA697" s="222" t="s">
        <v>174</v>
      </c>
      <c r="AB697" s="222" t="s">
        <v>166</v>
      </c>
      <c r="AC697" s="222" t="s">
        <v>174</v>
      </c>
      <c r="AD697" s="222" t="s">
        <v>174</v>
      </c>
      <c r="AE697" s="222" t="s">
        <v>174</v>
      </c>
      <c r="AF697" s="222" t="s">
        <v>174</v>
      </c>
      <c r="AG697" s="222" t="s">
        <v>170</v>
      </c>
      <c r="AH697" s="222"/>
    </row>
    <row r="698">
      <c r="A698" s="174" t="s">
        <v>1603</v>
      </c>
      <c r="B698" s="279" t="s">
        <v>2722</v>
      </c>
      <c r="C698" s="221">
        <v>240.0</v>
      </c>
      <c r="D698" s="222">
        <v>273.0</v>
      </c>
      <c r="E698" s="222">
        <v>120.0</v>
      </c>
      <c r="F698" s="222">
        <v>27.0</v>
      </c>
      <c r="G698" s="223" t="s">
        <v>164</v>
      </c>
      <c r="H698" s="221" t="s">
        <v>170</v>
      </c>
      <c r="I698" s="222" t="s">
        <v>170</v>
      </c>
      <c r="J698" s="222" t="s">
        <v>170</v>
      </c>
      <c r="K698" s="222">
        <v>3300.0</v>
      </c>
      <c r="L698" s="222" t="s">
        <v>44</v>
      </c>
      <c r="M698" s="223">
        <v>400.0</v>
      </c>
      <c r="N698" s="221">
        <v>2.0</v>
      </c>
      <c r="O698" s="222" t="s">
        <v>2002</v>
      </c>
      <c r="P698" s="222">
        <v>25.0</v>
      </c>
      <c r="Q698" s="222">
        <v>2000.0</v>
      </c>
      <c r="R698" s="224">
        <v>58.35</v>
      </c>
      <c r="S698" s="224">
        <v>2.41</v>
      </c>
      <c r="T698" s="225">
        <v>22.3</v>
      </c>
      <c r="U698" s="226">
        <v>52.0</v>
      </c>
      <c r="V698" s="227" t="s">
        <v>166</v>
      </c>
      <c r="W698" s="228" t="s">
        <v>174</v>
      </c>
      <c r="X698" s="222" t="s">
        <v>166</v>
      </c>
      <c r="Y698" s="223" t="s">
        <v>166</v>
      </c>
      <c r="Z698" s="221" t="s">
        <v>174</v>
      </c>
      <c r="AA698" s="222" t="s">
        <v>174</v>
      </c>
      <c r="AB698" s="222" t="s">
        <v>166</v>
      </c>
      <c r="AC698" s="222" t="s">
        <v>174</v>
      </c>
      <c r="AD698" s="222" t="s">
        <v>166</v>
      </c>
      <c r="AE698" s="222" t="s">
        <v>174</v>
      </c>
      <c r="AF698" s="222" t="s">
        <v>174</v>
      </c>
      <c r="AG698" s="222" t="s">
        <v>170</v>
      </c>
      <c r="AH698" s="222"/>
    </row>
    <row r="699">
      <c r="A699" s="174" t="s">
        <v>1603</v>
      </c>
      <c r="B699" s="279" t="s">
        <v>2723</v>
      </c>
      <c r="C699" s="221">
        <v>240.0</v>
      </c>
      <c r="D699" s="222">
        <v>273.0</v>
      </c>
      <c r="E699" s="222">
        <v>120.0</v>
      </c>
      <c r="F699" s="222">
        <v>27.0</v>
      </c>
      <c r="G699" s="223" t="s">
        <v>164</v>
      </c>
      <c r="H699" s="221" t="s">
        <v>170</v>
      </c>
      <c r="I699" s="222" t="s">
        <v>170</v>
      </c>
      <c r="J699" s="222" t="s">
        <v>170</v>
      </c>
      <c r="K699" s="222">
        <v>3300.0</v>
      </c>
      <c r="L699" s="222" t="s">
        <v>44</v>
      </c>
      <c r="M699" s="223">
        <v>400.0</v>
      </c>
      <c r="N699" s="221">
        <v>2.0</v>
      </c>
      <c r="O699" s="222" t="s">
        <v>2002</v>
      </c>
      <c r="P699" s="222">
        <v>25.0</v>
      </c>
      <c r="Q699" s="222">
        <v>2000.0</v>
      </c>
      <c r="R699" s="224">
        <v>58.35</v>
      </c>
      <c r="S699" s="224">
        <v>2.41</v>
      </c>
      <c r="T699" s="225">
        <v>22.3</v>
      </c>
      <c r="U699" s="226">
        <v>52.0</v>
      </c>
      <c r="V699" s="227" t="s">
        <v>166</v>
      </c>
      <c r="W699" s="228" t="s">
        <v>174</v>
      </c>
      <c r="X699" s="222" t="s">
        <v>166</v>
      </c>
      <c r="Y699" s="223" t="s">
        <v>166</v>
      </c>
      <c r="Z699" s="221" t="s">
        <v>174</v>
      </c>
      <c r="AA699" s="222" t="s">
        <v>174</v>
      </c>
      <c r="AB699" s="222" t="s">
        <v>166</v>
      </c>
      <c r="AC699" s="222" t="s">
        <v>174</v>
      </c>
      <c r="AD699" s="222" t="s">
        <v>166</v>
      </c>
      <c r="AE699" s="222" t="s">
        <v>174</v>
      </c>
      <c r="AF699" s="222" t="s">
        <v>174</v>
      </c>
      <c r="AG699" s="222" t="s">
        <v>170</v>
      </c>
      <c r="AH699" s="222"/>
    </row>
    <row r="700">
      <c r="A700" s="174" t="s">
        <v>1603</v>
      </c>
      <c r="B700" s="279" t="s">
        <v>2724</v>
      </c>
      <c r="C700" s="221">
        <v>280.0</v>
      </c>
      <c r="D700" s="222">
        <v>314.0</v>
      </c>
      <c r="E700" s="222">
        <v>140.0</v>
      </c>
      <c r="F700" s="222">
        <v>27.0</v>
      </c>
      <c r="G700" s="223" t="s">
        <v>164</v>
      </c>
      <c r="H700" s="221" t="s">
        <v>170</v>
      </c>
      <c r="I700" s="222" t="s">
        <v>170</v>
      </c>
      <c r="J700" s="222" t="s">
        <v>170</v>
      </c>
      <c r="K700" s="222">
        <v>3300.0</v>
      </c>
      <c r="L700" s="222" t="s">
        <v>44</v>
      </c>
      <c r="M700" s="223">
        <v>400.0</v>
      </c>
      <c r="N700" s="221">
        <v>2.0</v>
      </c>
      <c r="O700" s="222" t="s">
        <v>2018</v>
      </c>
      <c r="P700" s="222">
        <v>25.0</v>
      </c>
      <c r="Q700" s="222">
        <v>2000.0</v>
      </c>
      <c r="R700" s="224">
        <v>119.1</v>
      </c>
      <c r="S700" s="224">
        <v>3.54</v>
      </c>
      <c r="T700" s="225">
        <v>33.2</v>
      </c>
      <c r="U700" s="226">
        <v>52.0</v>
      </c>
      <c r="V700" s="227" t="s">
        <v>166</v>
      </c>
      <c r="W700" s="228" t="s">
        <v>174</v>
      </c>
      <c r="X700" s="222" t="s">
        <v>166</v>
      </c>
      <c r="Y700" s="223" t="s">
        <v>166</v>
      </c>
      <c r="Z700" s="221" t="s">
        <v>174</v>
      </c>
      <c r="AA700" s="222" t="s">
        <v>174</v>
      </c>
      <c r="AB700" s="222" t="s">
        <v>166</v>
      </c>
      <c r="AC700" s="222" t="s">
        <v>174</v>
      </c>
      <c r="AD700" s="222" t="s">
        <v>174</v>
      </c>
      <c r="AE700" s="222" t="s">
        <v>174</v>
      </c>
      <c r="AF700" s="222" t="s">
        <v>174</v>
      </c>
      <c r="AG700" s="222" t="s">
        <v>170</v>
      </c>
      <c r="AH700" s="222"/>
    </row>
    <row r="701">
      <c r="A701" s="174" t="s">
        <v>1603</v>
      </c>
      <c r="B701" s="279" t="s">
        <v>2725</v>
      </c>
      <c r="C701" s="221">
        <v>360.0</v>
      </c>
      <c r="D701" s="222">
        <v>395.0</v>
      </c>
      <c r="E701" s="222">
        <v>120.0</v>
      </c>
      <c r="F701" s="222">
        <v>27.0</v>
      </c>
      <c r="G701" s="223" t="s">
        <v>164</v>
      </c>
      <c r="H701" s="221" t="s">
        <v>170</v>
      </c>
      <c r="I701" s="222" t="s">
        <v>170</v>
      </c>
      <c r="J701" s="222" t="s">
        <v>170</v>
      </c>
      <c r="K701" s="222">
        <v>3300.0</v>
      </c>
      <c r="L701" s="222" t="s">
        <v>44</v>
      </c>
      <c r="M701" s="223">
        <v>400.0</v>
      </c>
      <c r="N701" s="221">
        <v>3.0</v>
      </c>
      <c r="O701" s="222" t="s">
        <v>2002</v>
      </c>
      <c r="P701" s="222">
        <v>25.0</v>
      </c>
      <c r="Q701" s="222">
        <v>2000.0</v>
      </c>
      <c r="R701" s="224">
        <v>58.35</v>
      </c>
      <c r="S701" s="224">
        <v>2.41</v>
      </c>
      <c r="T701" s="225">
        <v>22.3</v>
      </c>
      <c r="U701" s="226">
        <v>52.0</v>
      </c>
      <c r="V701" s="227" t="s">
        <v>166</v>
      </c>
      <c r="W701" s="228" t="s">
        <v>174</v>
      </c>
      <c r="X701" s="222" t="s">
        <v>166</v>
      </c>
      <c r="Y701" s="223" t="s">
        <v>166</v>
      </c>
      <c r="Z701" s="221" t="s">
        <v>174</v>
      </c>
      <c r="AA701" s="222" t="s">
        <v>174</v>
      </c>
      <c r="AB701" s="222" t="s">
        <v>166</v>
      </c>
      <c r="AC701" s="222" t="s">
        <v>174</v>
      </c>
      <c r="AD701" s="222" t="s">
        <v>166</v>
      </c>
      <c r="AE701" s="222" t="s">
        <v>174</v>
      </c>
      <c r="AF701" s="222" t="s">
        <v>174</v>
      </c>
      <c r="AG701" s="222" t="s">
        <v>170</v>
      </c>
      <c r="AH701" s="222"/>
    </row>
    <row r="702">
      <c r="A702" s="174" t="s">
        <v>1603</v>
      </c>
      <c r="B702" s="279" t="s">
        <v>2726</v>
      </c>
      <c r="C702" s="221">
        <v>240.0</v>
      </c>
      <c r="D702" s="222">
        <v>273.0</v>
      </c>
      <c r="E702" s="222">
        <v>120.0</v>
      </c>
      <c r="F702" s="222">
        <v>27.0</v>
      </c>
      <c r="G702" s="223" t="s">
        <v>164</v>
      </c>
      <c r="H702" s="221" t="s">
        <v>170</v>
      </c>
      <c r="I702" s="222" t="s">
        <v>170</v>
      </c>
      <c r="J702" s="222" t="s">
        <v>170</v>
      </c>
      <c r="K702" s="222">
        <v>3200.0</v>
      </c>
      <c r="L702" s="222" t="s">
        <v>44</v>
      </c>
      <c r="M702" s="223">
        <v>400.0</v>
      </c>
      <c r="N702" s="221">
        <v>2.0</v>
      </c>
      <c r="O702" s="222" t="s">
        <v>2002</v>
      </c>
      <c r="P702" s="222">
        <v>25.0</v>
      </c>
      <c r="Q702" s="222">
        <v>2500.0</v>
      </c>
      <c r="R702" s="224">
        <v>72.69</v>
      </c>
      <c r="S702" s="224">
        <v>3.78</v>
      </c>
      <c r="T702" s="225">
        <v>28.1</v>
      </c>
      <c r="U702" s="226">
        <v>52.0</v>
      </c>
      <c r="V702" s="227" t="s">
        <v>166</v>
      </c>
      <c r="W702" s="228" t="s">
        <v>166</v>
      </c>
      <c r="X702" s="222" t="s">
        <v>174</v>
      </c>
      <c r="Y702" s="223" t="s">
        <v>166</v>
      </c>
      <c r="Z702" s="221" t="s">
        <v>174</v>
      </c>
      <c r="AA702" s="222" t="s">
        <v>174</v>
      </c>
      <c r="AB702" s="222" t="s">
        <v>166</v>
      </c>
      <c r="AC702" s="222" t="s">
        <v>174</v>
      </c>
      <c r="AD702" s="222" t="s">
        <v>174</v>
      </c>
      <c r="AE702" s="222" t="s">
        <v>174</v>
      </c>
      <c r="AF702" s="222" t="s">
        <v>174</v>
      </c>
      <c r="AG702" s="222" t="s">
        <v>170</v>
      </c>
      <c r="AH702" s="222"/>
    </row>
    <row r="703">
      <c r="A703" s="174" t="s">
        <v>1603</v>
      </c>
      <c r="B703" s="257" t="s">
        <v>2727</v>
      </c>
      <c r="C703" s="221">
        <v>360.0</v>
      </c>
      <c r="D703" s="222">
        <v>395.0</v>
      </c>
      <c r="E703" s="222">
        <v>120.0</v>
      </c>
      <c r="F703" s="222">
        <v>27.0</v>
      </c>
      <c r="G703" s="223" t="s">
        <v>164</v>
      </c>
      <c r="H703" s="221" t="s">
        <v>170</v>
      </c>
      <c r="I703" s="222" t="s">
        <v>170</v>
      </c>
      <c r="J703" s="222" t="s">
        <v>170</v>
      </c>
      <c r="K703" s="222">
        <v>3200.0</v>
      </c>
      <c r="L703" s="222" t="s">
        <v>44</v>
      </c>
      <c r="M703" s="223">
        <v>400.0</v>
      </c>
      <c r="N703" s="221">
        <v>3.0</v>
      </c>
      <c r="O703" s="222" t="s">
        <v>2002</v>
      </c>
      <c r="P703" s="222">
        <v>25.0</v>
      </c>
      <c r="Q703" s="222">
        <v>2500.0</v>
      </c>
      <c r="R703" s="224">
        <v>72.69</v>
      </c>
      <c r="S703" s="224">
        <v>3.78</v>
      </c>
      <c r="T703" s="225">
        <v>28.1</v>
      </c>
      <c r="U703" s="226">
        <v>52.0</v>
      </c>
      <c r="V703" s="227" t="s">
        <v>166</v>
      </c>
      <c r="W703" s="228" t="s">
        <v>166</v>
      </c>
      <c r="X703" s="222" t="s">
        <v>174</v>
      </c>
      <c r="Y703" s="223" t="s">
        <v>166</v>
      </c>
      <c r="Z703" s="221" t="s">
        <v>174</v>
      </c>
      <c r="AA703" s="222" t="s">
        <v>174</v>
      </c>
      <c r="AB703" s="222" t="s">
        <v>166</v>
      </c>
      <c r="AC703" s="222" t="s">
        <v>174</v>
      </c>
      <c r="AD703" s="222" t="s">
        <v>174</v>
      </c>
      <c r="AE703" s="222" t="s">
        <v>174</v>
      </c>
      <c r="AF703" s="222" t="s">
        <v>174</v>
      </c>
      <c r="AG703" s="222" t="s">
        <v>170</v>
      </c>
      <c r="AH703" s="222"/>
    </row>
    <row r="704">
      <c r="A704" s="174" t="s">
        <v>1603</v>
      </c>
      <c r="B704" s="257" t="s">
        <v>2728</v>
      </c>
      <c r="C704" s="221">
        <v>120.0</v>
      </c>
      <c r="D704" s="222">
        <v>151.0</v>
      </c>
      <c r="E704" s="222">
        <v>120.0</v>
      </c>
      <c r="F704" s="222">
        <v>27.0</v>
      </c>
      <c r="G704" s="223" t="s">
        <v>164</v>
      </c>
      <c r="H704" s="221" t="s">
        <v>170</v>
      </c>
      <c r="I704" s="222" t="s">
        <v>170</v>
      </c>
      <c r="J704" s="222" t="s">
        <v>170</v>
      </c>
      <c r="K704" s="222">
        <v>3000.0</v>
      </c>
      <c r="L704" s="222" t="s">
        <v>44</v>
      </c>
      <c r="M704" s="223">
        <v>326.0</v>
      </c>
      <c r="N704" s="221">
        <v>1.0</v>
      </c>
      <c r="O704" s="222" t="s">
        <v>2002</v>
      </c>
      <c r="P704" s="222">
        <v>25.0</v>
      </c>
      <c r="Q704" s="222">
        <v>1500.0</v>
      </c>
      <c r="R704" s="224">
        <v>56.45</v>
      </c>
      <c r="S704" s="224">
        <v>1.59</v>
      </c>
      <c r="T704" s="225">
        <v>25.8</v>
      </c>
      <c r="U704" s="226">
        <v>52.0</v>
      </c>
      <c r="V704" s="227" t="s">
        <v>166</v>
      </c>
      <c r="W704" s="228" t="s">
        <v>174</v>
      </c>
      <c r="X704" s="222" t="s">
        <v>166</v>
      </c>
      <c r="Y704" s="223" t="s">
        <v>166</v>
      </c>
      <c r="Z704" s="221" t="s">
        <v>174</v>
      </c>
      <c r="AA704" s="222" t="s">
        <v>174</v>
      </c>
      <c r="AB704" s="222" t="s">
        <v>174</v>
      </c>
      <c r="AC704" s="222" t="s">
        <v>174</v>
      </c>
      <c r="AD704" s="222" t="s">
        <v>174</v>
      </c>
      <c r="AE704" s="222" t="s">
        <v>174</v>
      </c>
      <c r="AF704" s="222" t="s">
        <v>174</v>
      </c>
      <c r="AG704" s="229" t="s">
        <v>2003</v>
      </c>
      <c r="AH704" s="229"/>
    </row>
    <row r="705">
      <c r="A705" s="174" t="s">
        <v>1603</v>
      </c>
      <c r="B705" s="257" t="s">
        <v>2729</v>
      </c>
      <c r="C705" s="221">
        <v>120.0</v>
      </c>
      <c r="D705" s="222">
        <v>151.0</v>
      </c>
      <c r="E705" s="222">
        <v>120.0</v>
      </c>
      <c r="F705" s="222">
        <v>27.0</v>
      </c>
      <c r="G705" s="223" t="s">
        <v>164</v>
      </c>
      <c r="H705" s="221" t="s">
        <v>170</v>
      </c>
      <c r="I705" s="222" t="s">
        <v>170</v>
      </c>
      <c r="J705" s="222" t="s">
        <v>170</v>
      </c>
      <c r="K705" s="222">
        <v>2900.0</v>
      </c>
      <c r="L705" s="222" t="s">
        <v>44</v>
      </c>
      <c r="M705" s="223">
        <v>300.0</v>
      </c>
      <c r="N705" s="221">
        <v>1.0</v>
      </c>
      <c r="O705" s="222" t="s">
        <v>2002</v>
      </c>
      <c r="P705" s="222">
        <v>25.0</v>
      </c>
      <c r="Q705" s="222">
        <v>2000.0</v>
      </c>
      <c r="R705" s="224">
        <v>81.32</v>
      </c>
      <c r="S705" s="224" t="s">
        <v>170</v>
      </c>
      <c r="T705" s="225">
        <v>27.36</v>
      </c>
      <c r="U705" s="226">
        <v>52.0</v>
      </c>
      <c r="V705" s="227" t="s">
        <v>166</v>
      </c>
      <c r="W705" s="228" t="s">
        <v>166</v>
      </c>
      <c r="X705" s="222" t="s">
        <v>166</v>
      </c>
      <c r="Y705" s="223" t="s">
        <v>166</v>
      </c>
      <c r="Z705" s="221" t="s">
        <v>174</v>
      </c>
      <c r="AA705" s="222" t="s">
        <v>174</v>
      </c>
      <c r="AB705" s="222" t="s">
        <v>174</v>
      </c>
      <c r="AC705" s="222" t="s">
        <v>174</v>
      </c>
      <c r="AD705" s="222" t="s">
        <v>174</v>
      </c>
      <c r="AE705" s="222" t="s">
        <v>174</v>
      </c>
      <c r="AF705" s="222" t="s">
        <v>174</v>
      </c>
      <c r="AG705" s="229" t="s">
        <v>2003</v>
      </c>
      <c r="AH705" s="229"/>
    </row>
    <row r="706">
      <c r="A706" s="174" t="s">
        <v>1603</v>
      </c>
      <c r="B706" s="257" t="s">
        <v>2730</v>
      </c>
      <c r="C706" s="221">
        <v>240.0</v>
      </c>
      <c r="D706" s="222">
        <v>270.0</v>
      </c>
      <c r="E706" s="222">
        <v>120.0</v>
      </c>
      <c r="F706" s="222">
        <v>27.0</v>
      </c>
      <c r="G706" s="223" t="s">
        <v>164</v>
      </c>
      <c r="H706" s="221" t="s">
        <v>170</v>
      </c>
      <c r="I706" s="222" t="s">
        <v>170</v>
      </c>
      <c r="J706" s="222" t="s">
        <v>170</v>
      </c>
      <c r="K706" s="222">
        <v>3600.0</v>
      </c>
      <c r="L706" s="222" t="s">
        <v>44</v>
      </c>
      <c r="M706" s="223">
        <v>326.0</v>
      </c>
      <c r="N706" s="221">
        <v>2.0</v>
      </c>
      <c r="O706" s="222" t="s">
        <v>2002</v>
      </c>
      <c r="P706" s="222">
        <v>25.0</v>
      </c>
      <c r="Q706" s="222">
        <v>1500.0</v>
      </c>
      <c r="R706" s="224">
        <v>56.45</v>
      </c>
      <c r="S706" s="224">
        <v>1.59</v>
      </c>
      <c r="T706" s="225">
        <v>25.8</v>
      </c>
      <c r="U706" s="226">
        <v>52.0</v>
      </c>
      <c r="V706" s="227" t="s">
        <v>166</v>
      </c>
      <c r="W706" s="228" t="s">
        <v>174</v>
      </c>
      <c r="X706" s="222" t="s">
        <v>166</v>
      </c>
      <c r="Y706" s="223" t="s">
        <v>166</v>
      </c>
      <c r="Z706" s="221" t="s">
        <v>174</v>
      </c>
      <c r="AA706" s="222" t="s">
        <v>174</v>
      </c>
      <c r="AB706" s="222" t="s">
        <v>174</v>
      </c>
      <c r="AC706" s="222" t="s">
        <v>174</v>
      </c>
      <c r="AD706" s="222" t="s">
        <v>174</v>
      </c>
      <c r="AE706" s="222" t="s">
        <v>174</v>
      </c>
      <c r="AF706" s="222" t="s">
        <v>174</v>
      </c>
      <c r="AG706" s="229" t="s">
        <v>2003</v>
      </c>
      <c r="AH706" s="229"/>
    </row>
    <row r="707">
      <c r="A707" s="174" t="s">
        <v>1603</v>
      </c>
      <c r="B707" s="257" t="s">
        <v>2731</v>
      </c>
      <c r="C707" s="221">
        <v>360.0</v>
      </c>
      <c r="D707" s="222">
        <v>394.0</v>
      </c>
      <c r="E707" s="222">
        <v>120.0</v>
      </c>
      <c r="F707" s="222">
        <v>27.0</v>
      </c>
      <c r="G707" s="223" t="s">
        <v>164</v>
      </c>
      <c r="H707" s="221" t="s">
        <v>170</v>
      </c>
      <c r="I707" s="222" t="s">
        <v>170</v>
      </c>
      <c r="J707" s="222" t="s">
        <v>170</v>
      </c>
      <c r="K707" s="222">
        <v>3600.0</v>
      </c>
      <c r="L707" s="222" t="s">
        <v>44</v>
      </c>
      <c r="M707" s="223">
        <v>400.0</v>
      </c>
      <c r="N707" s="221">
        <v>3.0</v>
      </c>
      <c r="O707" s="222" t="s">
        <v>2002</v>
      </c>
      <c r="P707" s="222">
        <v>25.0</v>
      </c>
      <c r="Q707" s="222">
        <v>1500.0</v>
      </c>
      <c r="R707" s="224">
        <v>56.45</v>
      </c>
      <c r="S707" s="224">
        <v>1.59</v>
      </c>
      <c r="T707" s="225">
        <v>25.8</v>
      </c>
      <c r="U707" s="226">
        <v>52.0</v>
      </c>
      <c r="V707" s="227" t="s">
        <v>166</v>
      </c>
      <c r="W707" s="228" t="s">
        <v>174</v>
      </c>
      <c r="X707" s="222" t="s">
        <v>166</v>
      </c>
      <c r="Y707" s="223" t="s">
        <v>166</v>
      </c>
      <c r="Z707" s="221" t="s">
        <v>174</v>
      </c>
      <c r="AA707" s="222" t="s">
        <v>174</v>
      </c>
      <c r="AB707" s="222" t="s">
        <v>166</v>
      </c>
      <c r="AC707" s="222" t="s">
        <v>174</v>
      </c>
      <c r="AD707" s="222" t="s">
        <v>166</v>
      </c>
      <c r="AE707" s="222" t="s">
        <v>174</v>
      </c>
      <c r="AF707" s="222" t="s">
        <v>174</v>
      </c>
      <c r="AG707" s="229" t="s">
        <v>2003</v>
      </c>
      <c r="AH707" s="229"/>
    </row>
    <row r="708">
      <c r="A708" s="174" t="s">
        <v>1603</v>
      </c>
      <c r="B708" s="257" t="s">
        <v>2732</v>
      </c>
      <c r="C708" s="221">
        <v>240.0</v>
      </c>
      <c r="D708" s="222">
        <v>270.0</v>
      </c>
      <c r="E708" s="222">
        <v>120.0</v>
      </c>
      <c r="F708" s="222">
        <v>27.0</v>
      </c>
      <c r="G708" s="223" t="s">
        <v>164</v>
      </c>
      <c r="H708" s="221" t="s">
        <v>170</v>
      </c>
      <c r="I708" s="222" t="s">
        <v>170</v>
      </c>
      <c r="J708" s="222" t="s">
        <v>170</v>
      </c>
      <c r="K708" s="222">
        <v>2900.0</v>
      </c>
      <c r="L708" s="222" t="s">
        <v>44</v>
      </c>
      <c r="M708" s="223">
        <v>326.0</v>
      </c>
      <c r="N708" s="221">
        <v>2.0</v>
      </c>
      <c r="O708" s="222" t="s">
        <v>2002</v>
      </c>
      <c r="P708" s="222">
        <v>25.0</v>
      </c>
      <c r="Q708" s="222">
        <v>2000.0</v>
      </c>
      <c r="R708" s="224">
        <v>99.0</v>
      </c>
      <c r="S708" s="224" t="s">
        <v>170</v>
      </c>
      <c r="T708" s="225">
        <v>20.0</v>
      </c>
      <c r="U708" s="226">
        <v>52.0</v>
      </c>
      <c r="V708" s="227" t="s">
        <v>166</v>
      </c>
      <c r="W708" s="228" t="s">
        <v>166</v>
      </c>
      <c r="X708" s="222" t="s">
        <v>166</v>
      </c>
      <c r="Y708" s="223" t="s">
        <v>166</v>
      </c>
      <c r="Z708" s="221" t="s">
        <v>174</v>
      </c>
      <c r="AA708" s="222" t="s">
        <v>174</v>
      </c>
      <c r="AB708" s="222" t="s">
        <v>174</v>
      </c>
      <c r="AC708" s="222" t="s">
        <v>174</v>
      </c>
      <c r="AD708" s="222" t="s">
        <v>174</v>
      </c>
      <c r="AE708" s="222" t="s">
        <v>170</v>
      </c>
      <c r="AF708" s="222" t="s">
        <v>174</v>
      </c>
      <c r="AG708" s="229" t="s">
        <v>2003</v>
      </c>
      <c r="AH708" s="229"/>
    </row>
    <row r="709">
      <c r="A709" s="174" t="s">
        <v>1603</v>
      </c>
      <c r="B709" s="257" t="s">
        <v>2733</v>
      </c>
      <c r="C709" s="221">
        <v>140.0</v>
      </c>
      <c r="D709" s="222">
        <v>172.0</v>
      </c>
      <c r="E709" s="222">
        <v>140.0</v>
      </c>
      <c r="F709" s="222">
        <v>27.0</v>
      </c>
      <c r="G709" s="223" t="s">
        <v>164</v>
      </c>
      <c r="H709" s="221" t="s">
        <v>170</v>
      </c>
      <c r="I709" s="222" t="s">
        <v>170</v>
      </c>
      <c r="J709" s="222" t="s">
        <v>170</v>
      </c>
      <c r="K709" s="222" t="s">
        <v>170</v>
      </c>
      <c r="L709" s="222" t="s">
        <v>44</v>
      </c>
      <c r="M709" s="223">
        <v>326.0</v>
      </c>
      <c r="N709" s="221">
        <v>1.0</v>
      </c>
      <c r="O709" s="222" t="s">
        <v>2018</v>
      </c>
      <c r="P709" s="222">
        <v>25.0</v>
      </c>
      <c r="Q709" s="222">
        <v>1500.0</v>
      </c>
      <c r="R709" s="224">
        <v>40.6</v>
      </c>
      <c r="S709" s="224">
        <v>2.01</v>
      </c>
      <c r="T709" s="225">
        <v>26.4</v>
      </c>
      <c r="U709" s="226">
        <v>52.0</v>
      </c>
      <c r="V709" s="227" t="s">
        <v>166</v>
      </c>
      <c r="W709" s="228" t="s">
        <v>166</v>
      </c>
      <c r="X709" s="222" t="s">
        <v>166</v>
      </c>
      <c r="Y709" s="223" t="s">
        <v>166</v>
      </c>
      <c r="Z709" s="221" t="s">
        <v>174</v>
      </c>
      <c r="AA709" s="222" t="s">
        <v>174</v>
      </c>
      <c r="AB709" s="222" t="s">
        <v>166</v>
      </c>
      <c r="AC709" s="222" t="s">
        <v>174</v>
      </c>
      <c r="AD709" s="222" t="s">
        <v>174</v>
      </c>
      <c r="AE709" s="222" t="s">
        <v>170</v>
      </c>
      <c r="AF709" s="222" t="s">
        <v>174</v>
      </c>
      <c r="AG709" s="229" t="s">
        <v>2003</v>
      </c>
      <c r="AH709" s="229"/>
    </row>
    <row r="710">
      <c r="A710" s="174" t="s">
        <v>1603</v>
      </c>
      <c r="B710" s="257" t="s">
        <v>2734</v>
      </c>
      <c r="C710" s="221">
        <v>280.0</v>
      </c>
      <c r="D710" s="222">
        <v>313.0</v>
      </c>
      <c r="E710" s="222">
        <v>139.0</v>
      </c>
      <c r="F710" s="222">
        <v>27.0</v>
      </c>
      <c r="G710" s="223" t="s">
        <v>164</v>
      </c>
      <c r="H710" s="221" t="s">
        <v>170</v>
      </c>
      <c r="I710" s="222" t="s">
        <v>170</v>
      </c>
      <c r="J710" s="222" t="s">
        <v>170</v>
      </c>
      <c r="K710" s="222" t="s">
        <v>170</v>
      </c>
      <c r="L710" s="222" t="s">
        <v>44</v>
      </c>
      <c r="M710" s="223">
        <v>326.0</v>
      </c>
      <c r="N710" s="221">
        <v>2.0</v>
      </c>
      <c r="O710" s="222" t="s">
        <v>2018</v>
      </c>
      <c r="P710" s="222">
        <v>25.0</v>
      </c>
      <c r="Q710" s="222">
        <v>1500.0</v>
      </c>
      <c r="R710" s="224">
        <v>40.6</v>
      </c>
      <c r="S710" s="224">
        <v>2.01</v>
      </c>
      <c r="T710" s="225">
        <v>26.4</v>
      </c>
      <c r="U710" s="226">
        <v>52.0</v>
      </c>
      <c r="V710" s="227" t="s">
        <v>166</v>
      </c>
      <c r="W710" s="228" t="s">
        <v>166</v>
      </c>
      <c r="X710" s="222" t="s">
        <v>166</v>
      </c>
      <c r="Y710" s="223" t="s">
        <v>166</v>
      </c>
      <c r="Z710" s="221" t="s">
        <v>174</v>
      </c>
      <c r="AA710" s="222" t="s">
        <v>174</v>
      </c>
      <c r="AB710" s="222" t="s">
        <v>166</v>
      </c>
      <c r="AC710" s="222" t="s">
        <v>174</v>
      </c>
      <c r="AD710" s="222" t="s">
        <v>174</v>
      </c>
      <c r="AE710" s="222" t="s">
        <v>170</v>
      </c>
      <c r="AF710" s="222" t="s">
        <v>174</v>
      </c>
      <c r="AG710" s="229" t="s">
        <v>2003</v>
      </c>
      <c r="AH710" s="229"/>
    </row>
    <row r="711">
      <c r="A711" s="174" t="s">
        <v>1603</v>
      </c>
      <c r="B711" s="257" t="s">
        <v>2735</v>
      </c>
      <c r="C711" s="221">
        <v>240.0</v>
      </c>
      <c r="D711" s="222">
        <v>270.0</v>
      </c>
      <c r="E711" s="222">
        <v>120.0</v>
      </c>
      <c r="F711" s="222">
        <v>27.0</v>
      </c>
      <c r="G711" s="223" t="s">
        <v>164</v>
      </c>
      <c r="H711" s="221" t="s">
        <v>170</v>
      </c>
      <c r="I711" s="222" t="s">
        <v>170</v>
      </c>
      <c r="J711" s="222" t="s">
        <v>170</v>
      </c>
      <c r="K711" s="222" t="s">
        <v>170</v>
      </c>
      <c r="L711" s="222" t="s">
        <v>44</v>
      </c>
      <c r="M711" s="223">
        <v>326.0</v>
      </c>
      <c r="N711" s="221">
        <v>2.0</v>
      </c>
      <c r="O711" s="222" t="s">
        <v>2002</v>
      </c>
      <c r="P711" s="222">
        <v>25.0</v>
      </c>
      <c r="Q711" s="222">
        <v>1500.0</v>
      </c>
      <c r="R711" s="224">
        <v>40.6</v>
      </c>
      <c r="S711" s="224">
        <v>2.01</v>
      </c>
      <c r="T711" s="225">
        <v>26.4</v>
      </c>
      <c r="U711" s="226">
        <v>52.0</v>
      </c>
      <c r="V711" s="227" t="s">
        <v>166</v>
      </c>
      <c r="W711" s="228" t="s">
        <v>166</v>
      </c>
      <c r="X711" s="222" t="s">
        <v>166</v>
      </c>
      <c r="Y711" s="223" t="s">
        <v>166</v>
      </c>
      <c r="Z711" s="221" t="s">
        <v>174</v>
      </c>
      <c r="AA711" s="222" t="s">
        <v>174</v>
      </c>
      <c r="AB711" s="222" t="s">
        <v>166</v>
      </c>
      <c r="AC711" s="222" t="s">
        <v>174</v>
      </c>
      <c r="AD711" s="222" t="s">
        <v>174</v>
      </c>
      <c r="AE711" s="222" t="s">
        <v>170</v>
      </c>
      <c r="AF711" s="222" t="s">
        <v>174</v>
      </c>
      <c r="AG711" s="229" t="s">
        <v>2003</v>
      </c>
      <c r="AH711" s="229"/>
    </row>
    <row r="712">
      <c r="A712" s="174" t="s">
        <v>1603</v>
      </c>
      <c r="B712" s="257" t="s">
        <v>2736</v>
      </c>
      <c r="C712" s="221">
        <v>280.0</v>
      </c>
      <c r="D712" s="222">
        <v>313.0</v>
      </c>
      <c r="E712" s="222">
        <v>139.0</v>
      </c>
      <c r="F712" s="222">
        <v>27.0</v>
      </c>
      <c r="G712" s="223" t="s">
        <v>164</v>
      </c>
      <c r="H712" s="221" t="s">
        <v>170</v>
      </c>
      <c r="I712" s="222" t="s">
        <v>170</v>
      </c>
      <c r="J712" s="222" t="s">
        <v>170</v>
      </c>
      <c r="K712" s="222" t="s">
        <v>170</v>
      </c>
      <c r="L712" s="222" t="s">
        <v>44</v>
      </c>
      <c r="M712" s="223">
        <v>326.0</v>
      </c>
      <c r="N712" s="221">
        <v>2.0</v>
      </c>
      <c r="O712" s="222" t="s">
        <v>2018</v>
      </c>
      <c r="P712" s="222">
        <v>25.0</v>
      </c>
      <c r="Q712" s="222">
        <v>1500.0</v>
      </c>
      <c r="R712" s="224">
        <v>40.6</v>
      </c>
      <c r="S712" s="224">
        <v>2.01</v>
      </c>
      <c r="T712" s="225">
        <v>26.4</v>
      </c>
      <c r="U712" s="226">
        <v>52.0</v>
      </c>
      <c r="V712" s="227" t="s">
        <v>166</v>
      </c>
      <c r="W712" s="228" t="s">
        <v>166</v>
      </c>
      <c r="X712" s="222" t="s">
        <v>166</v>
      </c>
      <c r="Y712" s="223" t="s">
        <v>166</v>
      </c>
      <c r="Z712" s="221" t="s">
        <v>174</v>
      </c>
      <c r="AA712" s="222" t="s">
        <v>174</v>
      </c>
      <c r="AB712" s="222" t="s">
        <v>166</v>
      </c>
      <c r="AC712" s="222" t="s">
        <v>174</v>
      </c>
      <c r="AD712" s="222" t="s">
        <v>174</v>
      </c>
      <c r="AE712" s="222" t="s">
        <v>170</v>
      </c>
      <c r="AF712" s="222" t="s">
        <v>174</v>
      </c>
      <c r="AG712" s="229" t="s">
        <v>2003</v>
      </c>
      <c r="AH712" s="229"/>
    </row>
    <row r="713">
      <c r="A713" s="174" t="s">
        <v>1603</v>
      </c>
      <c r="B713" s="257" t="s">
        <v>2737</v>
      </c>
      <c r="C713" s="221">
        <v>360.0</v>
      </c>
      <c r="D713" s="222">
        <v>392.0</v>
      </c>
      <c r="E713" s="222">
        <v>120.0</v>
      </c>
      <c r="F713" s="222">
        <v>27.0</v>
      </c>
      <c r="G713" s="223" t="s">
        <v>164</v>
      </c>
      <c r="H713" s="221" t="s">
        <v>170</v>
      </c>
      <c r="I713" s="222" t="s">
        <v>170</v>
      </c>
      <c r="J713" s="222" t="s">
        <v>170</v>
      </c>
      <c r="K713" s="222" t="s">
        <v>170</v>
      </c>
      <c r="L713" s="222" t="s">
        <v>44</v>
      </c>
      <c r="M713" s="223">
        <v>326.0</v>
      </c>
      <c r="N713" s="221">
        <v>3.0</v>
      </c>
      <c r="O713" s="222" t="s">
        <v>2002</v>
      </c>
      <c r="P713" s="222">
        <v>25.0</v>
      </c>
      <c r="Q713" s="222">
        <v>1500.0</v>
      </c>
      <c r="R713" s="224">
        <v>40.6</v>
      </c>
      <c r="S713" s="224">
        <v>2.01</v>
      </c>
      <c r="T713" s="225">
        <v>26.4</v>
      </c>
      <c r="U713" s="226">
        <v>52.0</v>
      </c>
      <c r="V713" s="227" t="s">
        <v>166</v>
      </c>
      <c r="W713" s="228" t="s">
        <v>166</v>
      </c>
      <c r="X713" s="222" t="s">
        <v>166</v>
      </c>
      <c r="Y713" s="223" t="s">
        <v>166</v>
      </c>
      <c r="Z713" s="221" t="s">
        <v>174</v>
      </c>
      <c r="AA713" s="222" t="s">
        <v>174</v>
      </c>
      <c r="AB713" s="222" t="s">
        <v>166</v>
      </c>
      <c r="AC713" s="222" t="s">
        <v>174</v>
      </c>
      <c r="AD713" s="222" t="s">
        <v>174</v>
      </c>
      <c r="AE713" s="222" t="s">
        <v>170</v>
      </c>
      <c r="AF713" s="222" t="s">
        <v>174</v>
      </c>
      <c r="AG713" s="229" t="s">
        <v>2003</v>
      </c>
      <c r="AH713" s="229"/>
    </row>
    <row r="714">
      <c r="A714" s="291" t="s">
        <v>1603</v>
      </c>
      <c r="B714" s="271" t="s">
        <v>2738</v>
      </c>
      <c r="C714" s="232">
        <v>360.0</v>
      </c>
      <c r="D714" s="233">
        <v>393.0</v>
      </c>
      <c r="E714" s="233">
        <v>120.0</v>
      </c>
      <c r="F714" s="233">
        <v>27.0</v>
      </c>
      <c r="G714" s="234" t="s">
        <v>164</v>
      </c>
      <c r="H714" s="232" t="s">
        <v>170</v>
      </c>
      <c r="I714" s="233" t="s">
        <v>170</v>
      </c>
      <c r="J714" s="233" t="s">
        <v>170</v>
      </c>
      <c r="K714" s="233">
        <v>3600.0</v>
      </c>
      <c r="L714" s="233" t="s">
        <v>44</v>
      </c>
      <c r="M714" s="234">
        <v>326.0</v>
      </c>
      <c r="N714" s="232">
        <v>3.0</v>
      </c>
      <c r="O714" s="233" t="s">
        <v>2002</v>
      </c>
      <c r="P714" s="233">
        <v>25.0</v>
      </c>
      <c r="Q714" s="233">
        <v>2000.0</v>
      </c>
      <c r="R714" s="235">
        <v>99.0</v>
      </c>
      <c r="S714" s="235" t="s">
        <v>170</v>
      </c>
      <c r="T714" s="236">
        <v>20.0</v>
      </c>
      <c r="U714" s="237">
        <v>52.0</v>
      </c>
      <c r="V714" s="238" t="s">
        <v>166</v>
      </c>
      <c r="W714" s="239" t="s">
        <v>166</v>
      </c>
      <c r="X714" s="233" t="s">
        <v>166</v>
      </c>
      <c r="Y714" s="234" t="s">
        <v>166</v>
      </c>
      <c r="Z714" s="232" t="s">
        <v>174</v>
      </c>
      <c r="AA714" s="233" t="s">
        <v>174</v>
      </c>
      <c r="AB714" s="233" t="s">
        <v>174</v>
      </c>
      <c r="AC714" s="233" t="s">
        <v>174</v>
      </c>
      <c r="AD714" s="233" t="s">
        <v>174</v>
      </c>
      <c r="AE714" s="233" t="s">
        <v>170</v>
      </c>
      <c r="AF714" s="233" t="s">
        <v>174</v>
      </c>
      <c r="AG714" s="240" t="s">
        <v>2003</v>
      </c>
      <c r="AH714" s="240"/>
    </row>
    <row r="715">
      <c r="A715" s="282" t="s">
        <v>1825</v>
      </c>
      <c r="B715" s="257" t="s">
        <v>2739</v>
      </c>
      <c r="C715" s="221">
        <v>240.0</v>
      </c>
      <c r="D715" s="222" t="s">
        <v>170</v>
      </c>
      <c r="E715" s="222" t="s">
        <v>170</v>
      </c>
      <c r="F715" s="222" t="s">
        <v>170</v>
      </c>
      <c r="G715" s="223" t="s">
        <v>164</v>
      </c>
      <c r="H715" s="221" t="s">
        <v>170</v>
      </c>
      <c r="I715" s="222" t="s">
        <v>170</v>
      </c>
      <c r="J715" s="222" t="s">
        <v>170</v>
      </c>
      <c r="K715" s="222" t="s">
        <v>170</v>
      </c>
      <c r="L715" s="222" t="s">
        <v>44</v>
      </c>
      <c r="M715" s="223" t="s">
        <v>170</v>
      </c>
      <c r="N715" s="221">
        <v>2.0</v>
      </c>
      <c r="O715" s="222" t="s">
        <v>2002</v>
      </c>
      <c r="P715" s="222">
        <v>25.0</v>
      </c>
      <c r="Q715" s="222">
        <v>2800.0</v>
      </c>
      <c r="R715" s="224">
        <v>58.8</v>
      </c>
      <c r="S715" s="224" t="s">
        <v>170</v>
      </c>
      <c r="T715" s="225">
        <v>27.2</v>
      </c>
      <c r="U715" s="226" t="s">
        <v>170</v>
      </c>
      <c r="V715" s="221" t="s">
        <v>166</v>
      </c>
      <c r="W715" s="241" t="s">
        <v>174</v>
      </c>
      <c r="X715" s="222" t="s">
        <v>166</v>
      </c>
      <c r="Y715" s="223" t="s">
        <v>170</v>
      </c>
      <c r="Z715" s="221" t="s">
        <v>174</v>
      </c>
      <c r="AA715" s="222" t="s">
        <v>174</v>
      </c>
      <c r="AB715" s="222" t="s">
        <v>174</v>
      </c>
      <c r="AC715" s="222" t="s">
        <v>174</v>
      </c>
      <c r="AD715" s="222" t="s">
        <v>174</v>
      </c>
      <c r="AE715" s="222" t="s">
        <v>170</v>
      </c>
      <c r="AF715" s="222" t="s">
        <v>174</v>
      </c>
      <c r="AG715" s="222" t="s">
        <v>170</v>
      </c>
      <c r="AH715" s="222"/>
    </row>
    <row r="716">
      <c r="A716" s="282" t="s">
        <v>1825</v>
      </c>
      <c r="B716" s="257" t="s">
        <v>2740</v>
      </c>
      <c r="C716" s="221">
        <v>240.0</v>
      </c>
      <c r="D716" s="222" t="s">
        <v>170</v>
      </c>
      <c r="E716" s="222" t="s">
        <v>170</v>
      </c>
      <c r="F716" s="222" t="s">
        <v>170</v>
      </c>
      <c r="G716" s="223" t="s">
        <v>164</v>
      </c>
      <c r="H716" s="221" t="s">
        <v>170</v>
      </c>
      <c r="I716" s="222" t="s">
        <v>170</v>
      </c>
      <c r="J716" s="222" t="s">
        <v>170</v>
      </c>
      <c r="K716" s="222" t="s">
        <v>170</v>
      </c>
      <c r="L716" s="222" t="s">
        <v>44</v>
      </c>
      <c r="M716" s="223" t="s">
        <v>170</v>
      </c>
      <c r="N716" s="221">
        <v>2.0</v>
      </c>
      <c r="O716" s="222" t="s">
        <v>2002</v>
      </c>
      <c r="P716" s="222">
        <v>25.0</v>
      </c>
      <c r="Q716" s="222">
        <v>2800.0</v>
      </c>
      <c r="R716" s="224">
        <v>58.8</v>
      </c>
      <c r="S716" s="224" t="s">
        <v>170</v>
      </c>
      <c r="T716" s="225">
        <v>27.2</v>
      </c>
      <c r="U716" s="226" t="s">
        <v>170</v>
      </c>
      <c r="V716" s="221" t="s">
        <v>166</v>
      </c>
      <c r="W716" s="241" t="s">
        <v>174</v>
      </c>
      <c r="X716" s="222" t="s">
        <v>166</v>
      </c>
      <c r="Y716" s="223" t="s">
        <v>170</v>
      </c>
      <c r="Z716" s="221" t="s">
        <v>174</v>
      </c>
      <c r="AA716" s="222" t="s">
        <v>174</v>
      </c>
      <c r="AB716" s="222" t="s">
        <v>174</v>
      </c>
      <c r="AC716" s="222" t="s">
        <v>174</v>
      </c>
      <c r="AD716" s="222" t="s">
        <v>174</v>
      </c>
      <c r="AE716" s="222" t="s">
        <v>170</v>
      </c>
      <c r="AF716" s="222" t="s">
        <v>174</v>
      </c>
      <c r="AG716" s="222" t="s">
        <v>170</v>
      </c>
      <c r="AH716" s="222"/>
    </row>
    <row r="717">
      <c r="A717" s="282" t="s">
        <v>1825</v>
      </c>
      <c r="B717" s="257" t="s">
        <v>2741</v>
      </c>
      <c r="C717" s="221">
        <v>360.0</v>
      </c>
      <c r="D717" s="222" t="s">
        <v>170</v>
      </c>
      <c r="E717" s="222" t="s">
        <v>170</v>
      </c>
      <c r="F717" s="222" t="s">
        <v>170</v>
      </c>
      <c r="G717" s="223" t="s">
        <v>164</v>
      </c>
      <c r="H717" s="221" t="s">
        <v>170</v>
      </c>
      <c r="I717" s="222" t="s">
        <v>170</v>
      </c>
      <c r="J717" s="222" t="s">
        <v>170</v>
      </c>
      <c r="K717" s="222">
        <v>2800.0</v>
      </c>
      <c r="L717" s="222" t="s">
        <v>44</v>
      </c>
      <c r="M717" s="223" t="s">
        <v>170</v>
      </c>
      <c r="N717" s="221">
        <v>3.0</v>
      </c>
      <c r="O717" s="222" t="s">
        <v>2002</v>
      </c>
      <c r="P717" s="222">
        <v>25.0</v>
      </c>
      <c r="Q717" s="222">
        <v>1800.0</v>
      </c>
      <c r="R717" s="224">
        <v>52.0</v>
      </c>
      <c r="S717" s="224" t="s">
        <v>170</v>
      </c>
      <c r="T717" s="225">
        <v>30.8</v>
      </c>
      <c r="U717" s="226" t="s">
        <v>170</v>
      </c>
      <c r="V717" s="221" t="s">
        <v>166</v>
      </c>
      <c r="W717" s="241" t="s">
        <v>174</v>
      </c>
      <c r="X717" s="222" t="s">
        <v>166</v>
      </c>
      <c r="Y717" s="223" t="s">
        <v>170</v>
      </c>
      <c r="Z717" s="221" t="s">
        <v>174</v>
      </c>
      <c r="AA717" s="222" t="s">
        <v>174</v>
      </c>
      <c r="AB717" s="222" t="s">
        <v>166</v>
      </c>
      <c r="AC717" s="222" t="s">
        <v>174</v>
      </c>
      <c r="AD717" s="222" t="s">
        <v>166</v>
      </c>
      <c r="AE717" s="222" t="s">
        <v>170</v>
      </c>
      <c r="AF717" s="222" t="s">
        <v>174</v>
      </c>
      <c r="AG717" s="222" t="s">
        <v>170</v>
      </c>
      <c r="AH717" s="222"/>
    </row>
    <row r="718">
      <c r="A718" s="290" t="s">
        <v>1825</v>
      </c>
      <c r="B718" s="271" t="s">
        <v>2742</v>
      </c>
      <c r="C718" s="232">
        <v>360.0</v>
      </c>
      <c r="D718" s="233" t="s">
        <v>170</v>
      </c>
      <c r="E718" s="233" t="s">
        <v>170</v>
      </c>
      <c r="F718" s="233" t="s">
        <v>170</v>
      </c>
      <c r="G718" s="234" t="s">
        <v>164</v>
      </c>
      <c r="H718" s="232" t="s">
        <v>170</v>
      </c>
      <c r="I718" s="233" t="s">
        <v>170</v>
      </c>
      <c r="J718" s="233" t="s">
        <v>170</v>
      </c>
      <c r="K718" s="233">
        <v>2800.0</v>
      </c>
      <c r="L718" s="233" t="s">
        <v>44</v>
      </c>
      <c r="M718" s="234" t="s">
        <v>170</v>
      </c>
      <c r="N718" s="232">
        <v>3.0</v>
      </c>
      <c r="O718" s="233" t="s">
        <v>2002</v>
      </c>
      <c r="P718" s="233">
        <v>25.0</v>
      </c>
      <c r="Q718" s="233">
        <v>1800.0</v>
      </c>
      <c r="R718" s="235">
        <v>52.0</v>
      </c>
      <c r="S718" s="235" t="s">
        <v>170</v>
      </c>
      <c r="T718" s="236">
        <v>30.8</v>
      </c>
      <c r="U718" s="237" t="s">
        <v>170</v>
      </c>
      <c r="V718" s="232" t="s">
        <v>166</v>
      </c>
      <c r="W718" s="247" t="s">
        <v>174</v>
      </c>
      <c r="X718" s="233" t="s">
        <v>166</v>
      </c>
      <c r="Y718" s="234" t="s">
        <v>170</v>
      </c>
      <c r="Z718" s="232" t="s">
        <v>174</v>
      </c>
      <c r="AA718" s="233" t="s">
        <v>174</v>
      </c>
      <c r="AB718" s="233" t="s">
        <v>166</v>
      </c>
      <c r="AC718" s="233" t="s">
        <v>174</v>
      </c>
      <c r="AD718" s="233" t="s">
        <v>166</v>
      </c>
      <c r="AE718" s="233" t="s">
        <v>170</v>
      </c>
      <c r="AF718" s="233" t="s">
        <v>174</v>
      </c>
      <c r="AG718" s="233" t="s">
        <v>170</v>
      </c>
      <c r="AH718" s="233"/>
    </row>
    <row r="719">
      <c r="A719" s="282" t="s">
        <v>2743</v>
      </c>
      <c r="B719" s="257" t="s">
        <v>2744</v>
      </c>
      <c r="C719" s="221">
        <v>120.0</v>
      </c>
      <c r="D719" s="222">
        <v>157.0</v>
      </c>
      <c r="E719" s="222">
        <v>120.0</v>
      </c>
      <c r="F719" s="222">
        <v>27.0</v>
      </c>
      <c r="G719" s="223" t="s">
        <v>164</v>
      </c>
      <c r="H719" s="221">
        <v>78.59</v>
      </c>
      <c r="I719" s="222">
        <v>70.52</v>
      </c>
      <c r="J719" s="222">
        <v>43.0</v>
      </c>
      <c r="K719" s="222">
        <v>2600.0</v>
      </c>
      <c r="L719" s="222" t="s">
        <v>44</v>
      </c>
      <c r="M719" s="223">
        <v>350.0</v>
      </c>
      <c r="N719" s="221">
        <v>1.0</v>
      </c>
      <c r="O719" s="222" t="s">
        <v>2002</v>
      </c>
      <c r="P719" s="222">
        <v>25.0</v>
      </c>
      <c r="Q719" s="222">
        <v>1800.0</v>
      </c>
      <c r="R719" s="224">
        <v>58.5</v>
      </c>
      <c r="S719" s="224">
        <v>2.39</v>
      </c>
      <c r="T719" s="225">
        <v>25.3</v>
      </c>
      <c r="U719" s="226">
        <v>52.0</v>
      </c>
      <c r="V719" s="221" t="s">
        <v>166</v>
      </c>
      <c r="W719" s="241" t="s">
        <v>174</v>
      </c>
      <c r="X719" s="222" t="s">
        <v>166</v>
      </c>
      <c r="Y719" s="223" t="s">
        <v>174</v>
      </c>
      <c r="Z719" s="221" t="s">
        <v>174</v>
      </c>
      <c r="AA719" s="222" t="s">
        <v>174</v>
      </c>
      <c r="AB719" s="222" t="s">
        <v>166</v>
      </c>
      <c r="AC719" s="222" t="s">
        <v>174</v>
      </c>
      <c r="AD719" s="222" t="s">
        <v>174</v>
      </c>
      <c r="AE719" s="222" t="s">
        <v>170</v>
      </c>
      <c r="AF719" s="222" t="s">
        <v>174</v>
      </c>
      <c r="AG719" s="222" t="s">
        <v>170</v>
      </c>
      <c r="AH719" s="222"/>
    </row>
    <row r="720">
      <c r="A720" s="174" t="s">
        <v>2743</v>
      </c>
      <c r="B720" s="257" t="s">
        <v>2745</v>
      </c>
      <c r="C720" s="221">
        <v>240.0</v>
      </c>
      <c r="D720" s="222">
        <v>277.0</v>
      </c>
      <c r="E720" s="222">
        <v>120.0</v>
      </c>
      <c r="F720" s="222">
        <v>27.0</v>
      </c>
      <c r="G720" s="223" t="s">
        <v>164</v>
      </c>
      <c r="H720" s="221">
        <v>78.59</v>
      </c>
      <c r="I720" s="222">
        <v>70.52</v>
      </c>
      <c r="J720" s="222">
        <v>43.0</v>
      </c>
      <c r="K720" s="222">
        <v>2600.0</v>
      </c>
      <c r="L720" s="222" t="s">
        <v>44</v>
      </c>
      <c r="M720" s="223">
        <v>350.0</v>
      </c>
      <c r="N720" s="221">
        <v>2.0</v>
      </c>
      <c r="O720" s="222" t="s">
        <v>2002</v>
      </c>
      <c r="P720" s="222">
        <v>25.0</v>
      </c>
      <c r="Q720" s="222">
        <v>1800.0</v>
      </c>
      <c r="R720" s="224">
        <v>58.5</v>
      </c>
      <c r="S720" s="224">
        <v>2.39</v>
      </c>
      <c r="T720" s="225">
        <v>25.3</v>
      </c>
      <c r="U720" s="226">
        <v>52.0</v>
      </c>
      <c r="V720" s="227" t="s">
        <v>166</v>
      </c>
      <c r="W720" s="228" t="s">
        <v>174</v>
      </c>
      <c r="X720" s="222" t="s">
        <v>166</v>
      </c>
      <c r="Y720" s="223" t="s">
        <v>174</v>
      </c>
      <c r="Z720" s="221" t="s">
        <v>174</v>
      </c>
      <c r="AA720" s="222" t="s">
        <v>174</v>
      </c>
      <c r="AB720" s="222" t="s">
        <v>166</v>
      </c>
      <c r="AC720" s="222" t="s">
        <v>174</v>
      </c>
      <c r="AD720" s="222" t="s">
        <v>174</v>
      </c>
      <c r="AE720" s="222" t="s">
        <v>170</v>
      </c>
      <c r="AF720" s="222" t="s">
        <v>174</v>
      </c>
      <c r="AG720" s="222" t="s">
        <v>170</v>
      </c>
      <c r="AH720" s="222"/>
    </row>
    <row r="721">
      <c r="A721" s="174" t="s">
        <v>2743</v>
      </c>
      <c r="B721" s="257" t="s">
        <v>2746</v>
      </c>
      <c r="C721" s="221">
        <v>360.0</v>
      </c>
      <c r="D721" s="222">
        <v>398.0</v>
      </c>
      <c r="E721" s="222">
        <v>120.0</v>
      </c>
      <c r="F721" s="222">
        <v>27.0</v>
      </c>
      <c r="G721" s="223" t="s">
        <v>164</v>
      </c>
      <c r="H721" s="221">
        <v>78.59</v>
      </c>
      <c r="I721" s="222">
        <v>70.52</v>
      </c>
      <c r="J721" s="222">
        <v>43.0</v>
      </c>
      <c r="K721" s="222">
        <v>2600.0</v>
      </c>
      <c r="L721" s="222" t="s">
        <v>44</v>
      </c>
      <c r="M721" s="223">
        <v>350.0</v>
      </c>
      <c r="N721" s="221">
        <v>3.0</v>
      </c>
      <c r="O721" s="222" t="s">
        <v>2002</v>
      </c>
      <c r="P721" s="222">
        <v>25.0</v>
      </c>
      <c r="Q721" s="222">
        <v>1800.0</v>
      </c>
      <c r="R721" s="224">
        <v>58.5</v>
      </c>
      <c r="S721" s="224">
        <v>2.39</v>
      </c>
      <c r="T721" s="225">
        <v>25.3</v>
      </c>
      <c r="U721" s="226">
        <v>52.0</v>
      </c>
      <c r="V721" s="227" t="s">
        <v>166</v>
      </c>
      <c r="W721" s="228" t="s">
        <v>174</v>
      </c>
      <c r="X721" s="222" t="s">
        <v>166</v>
      </c>
      <c r="Y721" s="223" t="s">
        <v>174</v>
      </c>
      <c r="Z721" s="221" t="s">
        <v>174</v>
      </c>
      <c r="AA721" s="222" t="s">
        <v>174</v>
      </c>
      <c r="AB721" s="222" t="s">
        <v>166</v>
      </c>
      <c r="AC721" s="222" t="s">
        <v>174</v>
      </c>
      <c r="AD721" s="222" t="s">
        <v>174</v>
      </c>
      <c r="AE721" s="222" t="s">
        <v>170</v>
      </c>
      <c r="AF721" s="222" t="s">
        <v>174</v>
      </c>
      <c r="AG721" s="222" t="s">
        <v>170</v>
      </c>
      <c r="AH721" s="222"/>
    </row>
    <row r="722">
      <c r="A722" s="174" t="s">
        <v>2743</v>
      </c>
      <c r="B722" s="257" t="s">
        <v>2747</v>
      </c>
      <c r="C722" s="221">
        <v>240.0</v>
      </c>
      <c r="D722" s="222">
        <v>277.0</v>
      </c>
      <c r="E722" s="222">
        <v>120.0</v>
      </c>
      <c r="F722" s="222">
        <v>27.0</v>
      </c>
      <c r="G722" s="223" t="s">
        <v>164</v>
      </c>
      <c r="H722" s="221">
        <v>78.59</v>
      </c>
      <c r="I722" s="222">
        <v>70.52</v>
      </c>
      <c r="J722" s="222">
        <v>43.0</v>
      </c>
      <c r="K722" s="222">
        <v>2600.0</v>
      </c>
      <c r="L722" s="222" t="s">
        <v>44</v>
      </c>
      <c r="M722" s="223">
        <v>350.0</v>
      </c>
      <c r="N722" s="221">
        <v>2.0</v>
      </c>
      <c r="O722" s="222" t="s">
        <v>2002</v>
      </c>
      <c r="P722" s="222">
        <v>25.0</v>
      </c>
      <c r="Q722" s="222">
        <v>1800.0</v>
      </c>
      <c r="R722" s="224">
        <v>58.5</v>
      </c>
      <c r="S722" s="224">
        <v>2.39</v>
      </c>
      <c r="T722" s="225">
        <v>25.3</v>
      </c>
      <c r="U722" s="226">
        <v>52.0</v>
      </c>
      <c r="V722" s="227" t="s">
        <v>166</v>
      </c>
      <c r="W722" s="228" t="s">
        <v>174</v>
      </c>
      <c r="X722" s="222" t="s">
        <v>166</v>
      </c>
      <c r="Y722" s="223" t="s">
        <v>174</v>
      </c>
      <c r="Z722" s="221" t="s">
        <v>174</v>
      </c>
      <c r="AA722" s="222" t="s">
        <v>174</v>
      </c>
      <c r="AB722" s="222" t="s">
        <v>166</v>
      </c>
      <c r="AC722" s="222" t="s">
        <v>174</v>
      </c>
      <c r="AD722" s="222" t="s">
        <v>174</v>
      </c>
      <c r="AE722" s="222" t="s">
        <v>170</v>
      </c>
      <c r="AF722" s="222" t="s">
        <v>174</v>
      </c>
      <c r="AG722" s="222" t="s">
        <v>170</v>
      </c>
      <c r="AH722" s="222"/>
    </row>
    <row r="723">
      <c r="A723" s="174" t="s">
        <v>2743</v>
      </c>
      <c r="B723" s="257" t="s">
        <v>2748</v>
      </c>
      <c r="C723" s="221">
        <v>240.0</v>
      </c>
      <c r="D723" s="222">
        <v>277.0</v>
      </c>
      <c r="E723" s="222">
        <v>120.0</v>
      </c>
      <c r="F723" s="222">
        <v>27.0</v>
      </c>
      <c r="G723" s="223" t="s">
        <v>164</v>
      </c>
      <c r="H723" s="221">
        <v>80.3</v>
      </c>
      <c r="I723" s="222">
        <v>71.0</v>
      </c>
      <c r="J723" s="222">
        <v>49.0</v>
      </c>
      <c r="K723" s="222">
        <v>2500.0</v>
      </c>
      <c r="L723" s="222" t="s">
        <v>44</v>
      </c>
      <c r="M723" s="223">
        <v>350.0</v>
      </c>
      <c r="N723" s="221">
        <v>2.0</v>
      </c>
      <c r="O723" s="222" t="s">
        <v>2002</v>
      </c>
      <c r="P723" s="222">
        <v>25.0</v>
      </c>
      <c r="Q723" s="222">
        <v>1800.0</v>
      </c>
      <c r="R723" s="224">
        <v>60.0</v>
      </c>
      <c r="S723" s="224">
        <v>1.81</v>
      </c>
      <c r="T723" s="225">
        <v>29.8</v>
      </c>
      <c r="U723" s="226">
        <v>52.0</v>
      </c>
      <c r="V723" s="227" t="s">
        <v>166</v>
      </c>
      <c r="W723" s="228" t="s">
        <v>174</v>
      </c>
      <c r="X723" s="222" t="s">
        <v>166</v>
      </c>
      <c r="Y723" s="223" t="s">
        <v>166</v>
      </c>
      <c r="Z723" s="221" t="s">
        <v>174</v>
      </c>
      <c r="AA723" s="222" t="s">
        <v>174</v>
      </c>
      <c r="AB723" s="222" t="s">
        <v>166</v>
      </c>
      <c r="AC723" s="222" t="s">
        <v>174</v>
      </c>
      <c r="AD723" s="222" t="s">
        <v>174</v>
      </c>
      <c r="AE723" s="222" t="s">
        <v>170</v>
      </c>
      <c r="AF723" s="222" t="s">
        <v>174</v>
      </c>
      <c r="AG723" s="222" t="s">
        <v>170</v>
      </c>
      <c r="AH723" s="222"/>
    </row>
    <row r="724">
      <c r="A724" s="174" t="s">
        <v>2743</v>
      </c>
      <c r="B724" s="278" t="s">
        <v>2749</v>
      </c>
      <c r="C724" s="221">
        <v>120.0</v>
      </c>
      <c r="D724" s="222">
        <v>154.0</v>
      </c>
      <c r="E724" s="222">
        <v>122.0</v>
      </c>
      <c r="F724" s="222">
        <v>27.0</v>
      </c>
      <c r="G724" s="223" t="s">
        <v>164</v>
      </c>
      <c r="H724" s="221">
        <v>58.0</v>
      </c>
      <c r="I724" s="222">
        <v>58.0</v>
      </c>
      <c r="J724" s="222">
        <v>35.0</v>
      </c>
      <c r="K724" s="222">
        <v>2600.0</v>
      </c>
      <c r="L724" s="222" t="s">
        <v>44</v>
      </c>
      <c r="M724" s="223" t="s">
        <v>170</v>
      </c>
      <c r="N724" s="221">
        <v>1.0</v>
      </c>
      <c r="O724" s="222" t="s">
        <v>2002</v>
      </c>
      <c r="P724" s="222">
        <v>25.0</v>
      </c>
      <c r="Q724" s="222">
        <v>1200.0</v>
      </c>
      <c r="R724" s="224">
        <v>55.9</v>
      </c>
      <c r="S724" s="224">
        <v>3.56</v>
      </c>
      <c r="T724" s="225">
        <v>25.0</v>
      </c>
      <c r="U724" s="226">
        <v>52.0</v>
      </c>
      <c r="V724" s="227" t="s">
        <v>170</v>
      </c>
      <c r="W724" s="228" t="s">
        <v>170</v>
      </c>
      <c r="X724" s="222" t="s">
        <v>170</v>
      </c>
      <c r="Y724" s="223" t="s">
        <v>170</v>
      </c>
      <c r="Z724" s="221" t="s">
        <v>174</v>
      </c>
      <c r="AA724" s="222" t="s">
        <v>174</v>
      </c>
      <c r="AB724" s="222" t="s">
        <v>174</v>
      </c>
      <c r="AC724" s="222" t="s">
        <v>174</v>
      </c>
      <c r="AD724" s="222" t="s">
        <v>174</v>
      </c>
      <c r="AE724" s="222" t="s">
        <v>170</v>
      </c>
      <c r="AF724" s="222" t="s">
        <v>174</v>
      </c>
      <c r="AG724" s="222" t="s">
        <v>170</v>
      </c>
      <c r="AH724" s="222"/>
    </row>
    <row r="725">
      <c r="A725" s="174" t="s">
        <v>2743</v>
      </c>
      <c r="B725" s="278" t="s">
        <v>2750</v>
      </c>
      <c r="C725" s="221">
        <v>240.0</v>
      </c>
      <c r="D725" s="222">
        <v>274.0</v>
      </c>
      <c r="E725" s="222">
        <v>122.0</v>
      </c>
      <c r="F725" s="222">
        <v>27.0</v>
      </c>
      <c r="G725" s="223" t="s">
        <v>164</v>
      </c>
      <c r="H725" s="221">
        <v>58.0</v>
      </c>
      <c r="I725" s="222">
        <v>58.0</v>
      </c>
      <c r="J725" s="222">
        <v>35.0</v>
      </c>
      <c r="K725" s="222">
        <v>2600.0</v>
      </c>
      <c r="L725" s="222" t="s">
        <v>44</v>
      </c>
      <c r="M725" s="223" t="s">
        <v>170</v>
      </c>
      <c r="N725" s="221">
        <v>2.0</v>
      </c>
      <c r="O725" s="222" t="s">
        <v>2002</v>
      </c>
      <c r="P725" s="222">
        <v>25.0</v>
      </c>
      <c r="Q725" s="222">
        <v>1200.0</v>
      </c>
      <c r="R725" s="224">
        <v>55.9</v>
      </c>
      <c r="S725" s="224">
        <v>3.56</v>
      </c>
      <c r="T725" s="225">
        <v>25.0</v>
      </c>
      <c r="U725" s="226">
        <v>52.0</v>
      </c>
      <c r="V725" s="227" t="s">
        <v>170</v>
      </c>
      <c r="W725" s="228" t="s">
        <v>170</v>
      </c>
      <c r="X725" s="222" t="s">
        <v>170</v>
      </c>
      <c r="Y725" s="223" t="s">
        <v>170</v>
      </c>
      <c r="Z725" s="221" t="s">
        <v>174</v>
      </c>
      <c r="AA725" s="222" t="s">
        <v>174</v>
      </c>
      <c r="AB725" s="222" t="s">
        <v>174</v>
      </c>
      <c r="AC725" s="222" t="s">
        <v>174</v>
      </c>
      <c r="AD725" s="222" t="s">
        <v>174</v>
      </c>
      <c r="AE725" s="222" t="s">
        <v>170</v>
      </c>
      <c r="AF725" s="222" t="s">
        <v>174</v>
      </c>
      <c r="AG725" s="222" t="s">
        <v>170</v>
      </c>
      <c r="AH725" s="222"/>
    </row>
    <row r="726">
      <c r="A726" s="174" t="s">
        <v>2743</v>
      </c>
      <c r="B726" s="257" t="s">
        <v>2751</v>
      </c>
      <c r="C726" s="221">
        <v>240.0</v>
      </c>
      <c r="D726" s="222">
        <v>274.0</v>
      </c>
      <c r="E726" s="222">
        <v>120.0</v>
      </c>
      <c r="F726" s="222">
        <v>27.0</v>
      </c>
      <c r="G726" s="223" t="s">
        <v>164</v>
      </c>
      <c r="H726" s="221">
        <v>80.0</v>
      </c>
      <c r="I726" s="222">
        <v>71.0</v>
      </c>
      <c r="J726" s="222">
        <v>50.0</v>
      </c>
      <c r="K726" s="222">
        <v>2800.0</v>
      </c>
      <c r="L726" s="222" t="s">
        <v>44</v>
      </c>
      <c r="M726" s="223">
        <v>380.0</v>
      </c>
      <c r="N726" s="221">
        <v>2.0</v>
      </c>
      <c r="O726" s="222" t="s">
        <v>2002</v>
      </c>
      <c r="P726" s="222">
        <v>25.0</v>
      </c>
      <c r="Q726" s="222">
        <v>1800.0</v>
      </c>
      <c r="R726" s="224">
        <v>82.2</v>
      </c>
      <c r="S726" s="224">
        <v>2.55</v>
      </c>
      <c r="T726" s="225">
        <v>25.3</v>
      </c>
      <c r="U726" s="226">
        <v>52.0</v>
      </c>
      <c r="V726" s="227" t="s">
        <v>166</v>
      </c>
      <c r="W726" s="228" t="s">
        <v>174</v>
      </c>
      <c r="X726" s="222" t="s">
        <v>170</v>
      </c>
      <c r="Y726" s="223" t="s">
        <v>170</v>
      </c>
      <c r="Z726" s="221" t="s">
        <v>174</v>
      </c>
      <c r="AA726" s="222" t="s">
        <v>174</v>
      </c>
      <c r="AB726" s="222" t="s">
        <v>166</v>
      </c>
      <c r="AC726" s="222" t="s">
        <v>174</v>
      </c>
      <c r="AD726" s="222" t="s">
        <v>166</v>
      </c>
      <c r="AE726" s="222" t="s">
        <v>174</v>
      </c>
      <c r="AF726" s="222" t="s">
        <v>174</v>
      </c>
      <c r="AG726" s="222" t="s">
        <v>170</v>
      </c>
      <c r="AH726" s="222"/>
    </row>
    <row r="727">
      <c r="A727" s="174" t="s">
        <v>2743</v>
      </c>
      <c r="B727" s="257" t="s">
        <v>2752</v>
      </c>
      <c r="C727" s="221">
        <v>240.0</v>
      </c>
      <c r="D727" s="222">
        <v>274.0</v>
      </c>
      <c r="E727" s="222">
        <v>120.0</v>
      </c>
      <c r="F727" s="222">
        <v>27.0</v>
      </c>
      <c r="G727" s="223" t="s">
        <v>164</v>
      </c>
      <c r="H727" s="221">
        <v>80.0</v>
      </c>
      <c r="I727" s="222">
        <v>71.0</v>
      </c>
      <c r="J727" s="222">
        <v>50.0</v>
      </c>
      <c r="K727" s="222">
        <v>2800.0</v>
      </c>
      <c r="L727" s="222" t="s">
        <v>44</v>
      </c>
      <c r="M727" s="223">
        <v>380.0</v>
      </c>
      <c r="N727" s="221">
        <v>2.0</v>
      </c>
      <c r="O727" s="222" t="s">
        <v>2002</v>
      </c>
      <c r="P727" s="222">
        <v>25.0</v>
      </c>
      <c r="Q727" s="222">
        <v>1800.0</v>
      </c>
      <c r="R727" s="224">
        <v>82.2</v>
      </c>
      <c r="S727" s="224">
        <v>2.55</v>
      </c>
      <c r="T727" s="225">
        <v>25.3</v>
      </c>
      <c r="U727" s="226">
        <v>52.0</v>
      </c>
      <c r="V727" s="227" t="s">
        <v>166</v>
      </c>
      <c r="W727" s="228" t="s">
        <v>174</v>
      </c>
      <c r="X727" s="222" t="s">
        <v>170</v>
      </c>
      <c r="Y727" s="223" t="s">
        <v>170</v>
      </c>
      <c r="Z727" s="221" t="s">
        <v>174</v>
      </c>
      <c r="AA727" s="222" t="s">
        <v>174</v>
      </c>
      <c r="AB727" s="222" t="s">
        <v>166</v>
      </c>
      <c r="AC727" s="222" t="s">
        <v>174</v>
      </c>
      <c r="AD727" s="222" t="s">
        <v>166</v>
      </c>
      <c r="AE727" s="222" t="s">
        <v>174</v>
      </c>
      <c r="AF727" s="222" t="s">
        <v>174</v>
      </c>
      <c r="AG727" s="222" t="s">
        <v>170</v>
      </c>
      <c r="AH727" s="222"/>
    </row>
    <row r="728">
      <c r="A728" s="174" t="s">
        <v>2743</v>
      </c>
      <c r="B728" s="257" t="s">
        <v>2753</v>
      </c>
      <c r="C728" s="221">
        <v>360.0</v>
      </c>
      <c r="D728" s="222">
        <v>394.0</v>
      </c>
      <c r="E728" s="222">
        <v>120.0</v>
      </c>
      <c r="F728" s="222">
        <v>27.0</v>
      </c>
      <c r="G728" s="223" t="s">
        <v>164</v>
      </c>
      <c r="H728" s="221">
        <v>80.0</v>
      </c>
      <c r="I728" s="222">
        <v>71.0</v>
      </c>
      <c r="J728" s="222">
        <v>50.0</v>
      </c>
      <c r="K728" s="222">
        <v>2800.0</v>
      </c>
      <c r="L728" s="222" t="s">
        <v>44</v>
      </c>
      <c r="M728" s="223">
        <v>400.0</v>
      </c>
      <c r="N728" s="221">
        <v>3.0</v>
      </c>
      <c r="O728" s="222" t="s">
        <v>2002</v>
      </c>
      <c r="P728" s="222">
        <v>25.0</v>
      </c>
      <c r="Q728" s="222">
        <v>1800.0</v>
      </c>
      <c r="R728" s="224">
        <v>82.2</v>
      </c>
      <c r="S728" s="224">
        <v>2.55</v>
      </c>
      <c r="T728" s="225">
        <v>25.3</v>
      </c>
      <c r="U728" s="226">
        <v>52.0</v>
      </c>
      <c r="V728" s="227" t="s">
        <v>166</v>
      </c>
      <c r="W728" s="228" t="s">
        <v>174</v>
      </c>
      <c r="X728" s="222" t="s">
        <v>170</v>
      </c>
      <c r="Y728" s="223" t="s">
        <v>170</v>
      </c>
      <c r="Z728" s="221" t="s">
        <v>174</v>
      </c>
      <c r="AA728" s="222" t="s">
        <v>174</v>
      </c>
      <c r="AB728" s="222" t="s">
        <v>166</v>
      </c>
      <c r="AC728" s="222" t="s">
        <v>174</v>
      </c>
      <c r="AD728" s="222" t="s">
        <v>166</v>
      </c>
      <c r="AE728" s="222" t="s">
        <v>174</v>
      </c>
      <c r="AF728" s="222" t="s">
        <v>174</v>
      </c>
      <c r="AG728" s="222" t="s">
        <v>170</v>
      </c>
      <c r="AH728" s="222"/>
    </row>
    <row r="729">
      <c r="A729" s="174" t="s">
        <v>2743</v>
      </c>
      <c r="B729" s="257" t="s">
        <v>2754</v>
      </c>
      <c r="C729" s="221">
        <v>240.0</v>
      </c>
      <c r="D729" s="222">
        <v>277.0</v>
      </c>
      <c r="E729" s="222">
        <v>120.0</v>
      </c>
      <c r="F729" s="222">
        <v>27.0</v>
      </c>
      <c r="G729" s="223" t="s">
        <v>164</v>
      </c>
      <c r="H729" s="221">
        <v>71.0</v>
      </c>
      <c r="I729" s="222">
        <v>69.0</v>
      </c>
      <c r="J729" s="222">
        <v>46.5</v>
      </c>
      <c r="K729" s="222">
        <v>2500.0</v>
      </c>
      <c r="L729" s="222" t="s">
        <v>44</v>
      </c>
      <c r="M729" s="223">
        <v>390.0</v>
      </c>
      <c r="N729" s="221">
        <v>2.0</v>
      </c>
      <c r="O729" s="222" t="s">
        <v>2002</v>
      </c>
      <c r="P729" s="222">
        <v>25.0</v>
      </c>
      <c r="Q729" s="222">
        <v>1800.0</v>
      </c>
      <c r="R729" s="224">
        <v>82.2</v>
      </c>
      <c r="S729" s="224">
        <v>2.55</v>
      </c>
      <c r="T729" s="225">
        <v>25.3</v>
      </c>
      <c r="U729" s="226">
        <v>52.0</v>
      </c>
      <c r="V729" s="227" t="s">
        <v>166</v>
      </c>
      <c r="W729" s="228" t="s">
        <v>174</v>
      </c>
      <c r="X729" s="222" t="s">
        <v>166</v>
      </c>
      <c r="Y729" s="223" t="s">
        <v>174</v>
      </c>
      <c r="Z729" s="221" t="s">
        <v>174</v>
      </c>
      <c r="AA729" s="222" t="s">
        <v>174</v>
      </c>
      <c r="AB729" s="222" t="s">
        <v>166</v>
      </c>
      <c r="AC729" s="222" t="s">
        <v>174</v>
      </c>
      <c r="AD729" s="222" t="s">
        <v>166</v>
      </c>
      <c r="AE729" s="222" t="s">
        <v>174</v>
      </c>
      <c r="AF729" s="222" t="s">
        <v>174</v>
      </c>
      <c r="AG729" s="222" t="s">
        <v>170</v>
      </c>
      <c r="AH729" s="222"/>
    </row>
  </sheetData>
  <autoFilter ref="$A$1:$AH$729"/>
  <customSheetViews>
    <customSheetView guid="{441D4807-AA36-4F43-8AA3-EAD2A923216B}" filter="1" showAutoFilter="1">
      <autoFilter ref="$A$1:$AH$729">
        <filterColumn colId="23">
          <filters>
            <filter val="-"/>
          </filters>
        </filterColumn>
      </autoFilter>
    </customSheetView>
    <customSheetView guid="{01069DCE-057A-47C2-824C-0A18357DE11F}" filter="1" showAutoFilter="1">
      <autoFilter ref="$A$1:$AH$729">
        <filterColumn colId="2">
          <filters>
            <filter val="360"/>
          </filters>
        </filterColumn>
      </autoFilter>
    </customSheetView>
    <customSheetView guid="{3A46AE70-E76F-4993-A787-477AFFC12683}" filter="1" showAutoFilter="1">
      <autoFilter ref="$A$1:$AH$729">
        <filterColumn colId="2">
          <filters>
            <filter val="420"/>
          </filters>
        </filterColumn>
      </autoFilter>
    </customSheetView>
    <customSheetView guid="{43E3EA58-A5AC-4A8A-AF4A-9EE9A7AB665A}" filter="1" showAutoFilter="1">
      <autoFilter ref="$A$1:$AH$729">
        <sortState ref="A1:AH729">
          <sortCondition ref="C1:C729"/>
        </sortState>
      </autoFilter>
    </customSheetView>
    <customSheetView guid="{93DCE7BC-5C36-478A-B7C9-C4F5D9E2B2BD}" filter="1" showAutoFilter="1">
      <autoFilter ref="$A$1:$AH$729">
        <sortState ref="A1:AH729">
          <sortCondition ref="J1:J729"/>
        </sortState>
      </autoFilter>
    </customSheetView>
    <customSheetView guid="{048B320F-842F-454E-85E6-4B0C5CE4CBA2}" filter="1" showAutoFilter="1">
      <autoFilter ref="$A$1:$AH$729">
        <filterColumn colId="2">
          <filters>
            <filter val="280"/>
          </filters>
        </filterColumn>
      </autoFilter>
    </customSheetView>
    <customSheetView guid="{91F3CE2B-0CD5-4095-A291-30D2B57D3622}" filter="1" showAutoFilter="1">
      <autoFilter ref="$A$1:$AH$729">
        <filterColumn colId="24">
          <filters>
            <filter val="-"/>
          </filters>
        </filterColumn>
      </autoFilter>
    </customSheetView>
    <customSheetView guid="{D85ECBD0-2D00-4B95-B62D-72EBC2A48C4E}" filter="1" showAutoFilter="1">
      <autoFilter ref="$A$1:$AH$729">
        <filterColumn colId="2">
          <filters>
            <filter val="140"/>
          </filters>
        </filterColumn>
      </autoFilter>
    </customSheetView>
    <customSheetView guid="{2356FFA4-586B-4DE6-BA2D-7442F1CAE6D0}" filter="1" showAutoFilter="1">
      <autoFilter ref="$A$1:$AH$729">
        <sortState ref="A1:AH729">
          <sortCondition ref="U1:U729"/>
        </sortState>
      </autoFilter>
    </customSheetView>
    <customSheetView guid="{3015F118-77C7-40D2-AE84-52AB7538C5B9}" filter="1" showAutoFilter="1">
      <autoFilter ref="$A$1:$AH$729">
        <filterColumn colId="2">
          <filters>
            <filter val="240"/>
          </filters>
        </filterColumn>
      </autoFilter>
    </customSheetView>
    <customSheetView guid="{F2898B29-BF31-4832-BD3F-74DB9E2ECEC0}" filter="1" showAutoFilter="1">
      <autoFilter ref="$A$1:$AH$729">
        <filterColumn colId="21">
          <filters>
            <filter val="Y"/>
          </filters>
        </filterColumn>
      </autoFilter>
    </customSheetView>
    <customSheetView guid="{6890B77D-197E-478A-9A61-D2A76B50FDCE}" filter="1" showAutoFilter="1">
      <autoFilter ref="$A$1:$AH$729">
        <sortState ref="A1:AH729">
          <sortCondition ref="A1:A729"/>
        </sortState>
      </autoFilter>
    </customSheetView>
    <customSheetView guid="{0D83B8EC-3FA3-4145-A4B2-D2B62D444BAD}" filter="1" showAutoFilter="1">
      <autoFilter ref="$A$1:$AH$729">
        <filterColumn colId="22">
          <filters>
            <filter val="Y"/>
          </filters>
        </filterColumn>
      </autoFilter>
    </customSheetView>
    <customSheetView guid="{3AE2894C-C3FA-4FFE-AC3E-B18D67CD9559}" filter="1" showAutoFilter="1">
      <autoFilter ref="$A$1:$AH$729">
        <filterColumn colId="2">
          <filters>
            <filter val="420"/>
            <filter val="92"/>
          </filters>
        </filterColumn>
      </autoFilter>
    </customSheetView>
    <customSheetView guid="{E95A43B7-D6BF-48F2-82C1-71755EC04036}" filter="1" showAutoFilter="1">
      <autoFilter ref="$A$1:$AH$729">
        <filterColumn colId="2">
          <filters>
            <filter val="120"/>
          </filters>
        </filterColumn>
      </autoFilter>
    </customSheetView>
  </customSheetViews>
  <conditionalFormatting sqref="Q2:Q729">
    <cfRule type="colorScale" priority="1">
      <colorScale>
        <cfvo type="min"/>
        <cfvo type="percentile" val="50"/>
        <cfvo type="max"/>
        <color rgb="FF57BB8A"/>
        <color rgb="FFFFD666"/>
        <color rgb="FFE67C73"/>
      </colorScale>
    </cfRule>
  </conditionalFormatting>
  <conditionalFormatting sqref="V2:AF729">
    <cfRule type="cellIs" dxfId="3" priority="2" operator="equal">
      <formula>"Y"</formula>
    </cfRule>
  </conditionalFormatting>
  <conditionalFormatting sqref="R2:R729">
    <cfRule type="colorScale" priority="3">
      <colorScale>
        <cfvo type="min"/>
        <cfvo type="percentile" val="50"/>
        <cfvo type="max"/>
        <color rgb="FFE67C73"/>
        <color rgb="FFFFD666"/>
        <color rgb="FF57BB8A"/>
      </colorScale>
    </cfRule>
  </conditionalFormatting>
  <conditionalFormatting sqref="S2:S729">
    <cfRule type="colorScale" priority="4">
      <colorScale>
        <cfvo type="min"/>
        <cfvo type="percentile" val="50"/>
        <cfvo type="max"/>
        <color rgb="FFE67C73"/>
        <color rgb="FFFFD666"/>
        <color rgb="FF57BB8A"/>
      </colorScale>
    </cfRule>
  </conditionalFormatting>
  <conditionalFormatting sqref="T2:T729">
    <cfRule type="colorScale" priority="5">
      <colorScale>
        <cfvo type="min"/>
        <cfvo type="percentile" val="50"/>
        <cfvo type="max"/>
        <color rgb="FF57BB8A"/>
        <color rgb="FFFFD666"/>
        <color rgb="FFE67C73"/>
      </colorScale>
    </cfRule>
  </conditionalFormatting>
  <conditionalFormatting sqref="F2:F729">
    <cfRule type="colorScale" priority="6">
      <colorScale>
        <cfvo type="min"/>
        <cfvo type="percentile" val="50"/>
        <cfvo type="max"/>
        <color rgb="FF57BB8A"/>
        <color rgb="FFFFD666"/>
        <color rgb="FFE67C73"/>
      </colorScale>
    </cfRule>
  </conditionalFormatting>
  <conditionalFormatting sqref="J2:J729">
    <cfRule type="colorScale" priority="7">
      <colorScale>
        <cfvo type="min"/>
        <cfvo type="percentile" val="50"/>
        <cfvo type="max"/>
        <color rgb="FF57BB8A"/>
        <color rgb="FFFFD666"/>
        <color rgb="FFE67C73"/>
      </colorScale>
    </cfRule>
  </conditionalFormatting>
  <conditionalFormatting sqref="K2:K729">
    <cfRule type="colorScale" priority="8">
      <colorScale>
        <cfvo type="min"/>
        <cfvo type="percentile" val="50"/>
        <cfvo type="max"/>
        <color rgb="FFE67C73"/>
        <color rgb="FFFFD666"/>
        <color rgb="FF57BB8A"/>
      </colorScale>
    </cfRule>
  </conditionalFormatting>
  <conditionalFormatting sqref="P2:P729">
    <cfRule type="colorScale" priority="9">
      <colorScale>
        <cfvo type="min"/>
        <cfvo type="percentile" val="50"/>
        <cfvo type="max"/>
        <color rgb="FF57BB8A"/>
        <color rgb="FFFFD666"/>
        <color rgb="FFE67C73"/>
      </colorScale>
    </cfRule>
  </conditionalFormatting>
  <conditionalFormatting sqref="U2:U729">
    <cfRule type="colorScale" priority="10">
      <colorScale>
        <cfvo type="formula" val="37"/>
        <cfvo type="percentile" val="50"/>
        <cfvo type="formula" val="65"/>
        <color rgb="FF57BB8A"/>
        <color rgb="FFFFD666"/>
        <color rgb="FFE67C73"/>
      </colorScale>
    </cfRule>
  </conditionalFormatting>
  <hyperlinks>
    <hyperlink r:id="rId2" ref="A2"/>
    <hyperlink r:id="rId3" ref="B2"/>
    <hyperlink r:id="rId4" ref="AG2"/>
    <hyperlink r:id="rId5" ref="A3"/>
    <hyperlink r:id="rId6" ref="B3"/>
    <hyperlink r:id="rId7" ref="AG3"/>
    <hyperlink r:id="rId8" ref="A4"/>
    <hyperlink r:id="rId9" ref="B4"/>
    <hyperlink r:id="rId10" ref="A5"/>
    <hyperlink r:id="rId11" ref="B5"/>
    <hyperlink r:id="rId12" ref="A6"/>
    <hyperlink r:id="rId13" ref="B6"/>
    <hyperlink r:id="rId14" ref="A7"/>
    <hyperlink r:id="rId15" ref="B7"/>
    <hyperlink r:id="rId16" ref="A8"/>
    <hyperlink r:id="rId17" ref="B8"/>
    <hyperlink r:id="rId18" ref="A9"/>
    <hyperlink r:id="rId19" ref="B9"/>
    <hyperlink r:id="rId20" ref="A10"/>
    <hyperlink r:id="rId21" ref="B10"/>
    <hyperlink r:id="rId22" ref="A11"/>
    <hyperlink r:id="rId23" ref="B11"/>
    <hyperlink r:id="rId24" ref="A12"/>
    <hyperlink r:id="rId25" ref="B12"/>
    <hyperlink r:id="rId26" ref="AG12"/>
    <hyperlink r:id="rId27" ref="A13"/>
    <hyperlink r:id="rId28" ref="B13"/>
    <hyperlink r:id="rId29" ref="AG13"/>
    <hyperlink r:id="rId30" ref="A14"/>
    <hyperlink r:id="rId31" ref="B14"/>
    <hyperlink r:id="rId32" ref="AG14"/>
    <hyperlink r:id="rId33" ref="A15"/>
    <hyperlink r:id="rId34" ref="B15"/>
    <hyperlink r:id="rId35" ref="AG15"/>
    <hyperlink r:id="rId36" ref="A16"/>
    <hyperlink r:id="rId37" ref="B16"/>
    <hyperlink r:id="rId38" ref="AG16"/>
    <hyperlink r:id="rId39" ref="A17"/>
    <hyperlink r:id="rId40" ref="B17"/>
    <hyperlink r:id="rId41" ref="AG17"/>
    <hyperlink r:id="rId42" ref="A18"/>
    <hyperlink r:id="rId43" ref="B18"/>
    <hyperlink r:id="rId44" ref="AG18"/>
    <hyperlink r:id="rId45" ref="A19"/>
    <hyperlink r:id="rId46" ref="B19"/>
    <hyperlink r:id="rId47" ref="AG19"/>
    <hyperlink r:id="rId48" ref="A20"/>
    <hyperlink r:id="rId49" ref="B20"/>
    <hyperlink r:id="rId50" ref="AG20"/>
    <hyperlink r:id="rId51" ref="A21"/>
    <hyperlink r:id="rId52" ref="B21"/>
    <hyperlink r:id="rId53" ref="AG21"/>
    <hyperlink r:id="rId54" ref="A22"/>
    <hyperlink r:id="rId55" ref="B22"/>
    <hyperlink r:id="rId56" ref="AG22"/>
    <hyperlink r:id="rId57" ref="A23"/>
    <hyperlink r:id="rId58" ref="B23"/>
    <hyperlink r:id="rId59" ref="AG23"/>
    <hyperlink r:id="rId60" ref="A24"/>
    <hyperlink r:id="rId61" ref="B24"/>
    <hyperlink r:id="rId62" ref="AG24"/>
    <hyperlink r:id="rId63" ref="A25"/>
    <hyperlink r:id="rId64" ref="B25"/>
    <hyperlink r:id="rId65" ref="AG25"/>
    <hyperlink r:id="rId66" ref="A26"/>
    <hyperlink r:id="rId67" ref="B26"/>
    <hyperlink r:id="rId68" ref="AG26"/>
    <hyperlink r:id="rId69" ref="A27"/>
    <hyperlink r:id="rId70" ref="B27"/>
    <hyperlink r:id="rId71" ref="AG27"/>
    <hyperlink r:id="rId72" ref="A28"/>
    <hyperlink r:id="rId73" ref="B28"/>
    <hyperlink r:id="rId74" ref="AG28"/>
    <hyperlink r:id="rId75" ref="A29"/>
    <hyperlink r:id="rId76" ref="AG29"/>
    <hyperlink r:id="rId77" ref="A30"/>
    <hyperlink r:id="rId78" ref="B30"/>
    <hyperlink r:id="rId79" ref="AG30"/>
    <hyperlink r:id="rId80" ref="A31"/>
    <hyperlink r:id="rId81" ref="B31"/>
    <hyperlink r:id="rId82" ref="AG31"/>
    <hyperlink r:id="rId83" ref="A32"/>
    <hyperlink r:id="rId84" ref="B32"/>
    <hyperlink r:id="rId85" ref="AG32"/>
    <hyperlink r:id="rId86" ref="A33"/>
    <hyperlink r:id="rId87" ref="B33"/>
    <hyperlink r:id="rId88" ref="AG33"/>
    <hyperlink r:id="rId89" ref="A34"/>
    <hyperlink r:id="rId90" ref="B34"/>
    <hyperlink r:id="rId91" ref="AG34"/>
    <hyperlink r:id="rId92" ref="A35"/>
    <hyperlink r:id="rId93" ref="B35"/>
    <hyperlink r:id="rId94" ref="AG35"/>
    <hyperlink r:id="rId95" ref="A36"/>
    <hyperlink r:id="rId96" ref="B36"/>
    <hyperlink r:id="rId97" ref="AG36"/>
    <hyperlink r:id="rId98" ref="A37"/>
    <hyperlink r:id="rId99" ref="B37"/>
    <hyperlink r:id="rId100" ref="AG37"/>
    <hyperlink r:id="rId101" ref="A38"/>
    <hyperlink r:id="rId102" ref="B38"/>
    <hyperlink r:id="rId103" ref="A39"/>
    <hyperlink r:id="rId104" ref="B39"/>
    <hyperlink r:id="rId105" ref="A40"/>
    <hyperlink r:id="rId106" ref="B40"/>
    <hyperlink r:id="rId107" ref="A41"/>
    <hyperlink r:id="rId108" ref="B41"/>
    <hyperlink r:id="rId109" ref="A42"/>
    <hyperlink r:id="rId110" ref="B42"/>
    <hyperlink r:id="rId111" ref="A43"/>
    <hyperlink r:id="rId112" ref="B43"/>
    <hyperlink r:id="rId113" ref="A44"/>
    <hyperlink r:id="rId114" ref="B44"/>
    <hyperlink r:id="rId115" ref="A45"/>
    <hyperlink r:id="rId116" ref="B45"/>
    <hyperlink r:id="rId117" ref="A46"/>
    <hyperlink r:id="rId118" ref="B46"/>
    <hyperlink r:id="rId119" ref="A47"/>
    <hyperlink r:id="rId120" ref="B47"/>
    <hyperlink r:id="rId121" ref="A48"/>
    <hyperlink r:id="rId122" ref="B48"/>
    <hyperlink r:id="rId123" ref="A49"/>
    <hyperlink r:id="rId124" ref="B49"/>
    <hyperlink r:id="rId125" ref="A50"/>
    <hyperlink r:id="rId126" ref="B50"/>
    <hyperlink r:id="rId127" ref="A51"/>
    <hyperlink r:id="rId128" ref="B51"/>
    <hyperlink r:id="rId129" ref="A52"/>
    <hyperlink r:id="rId130" ref="B52"/>
    <hyperlink r:id="rId131" ref="A53"/>
    <hyperlink r:id="rId132" ref="B53"/>
    <hyperlink r:id="rId133" ref="AG53"/>
    <hyperlink r:id="rId134" ref="A54"/>
    <hyperlink r:id="rId135" ref="B54"/>
    <hyperlink r:id="rId136" ref="AG54"/>
    <hyperlink r:id="rId137" ref="A55"/>
    <hyperlink r:id="rId138" ref="B55"/>
    <hyperlink r:id="rId139" ref="AG55"/>
    <hyperlink r:id="rId140" ref="A56"/>
    <hyperlink r:id="rId141" ref="B56"/>
    <hyperlink r:id="rId142" ref="AG56"/>
    <hyperlink r:id="rId143" ref="A57"/>
    <hyperlink r:id="rId144" ref="B57"/>
    <hyperlink r:id="rId145" ref="AG57"/>
    <hyperlink r:id="rId146" ref="A58"/>
    <hyperlink r:id="rId147" ref="B58"/>
    <hyperlink r:id="rId148" ref="AG58"/>
    <hyperlink r:id="rId149" ref="A59"/>
    <hyperlink r:id="rId150" ref="B59"/>
    <hyperlink r:id="rId151" ref="AG59"/>
    <hyperlink r:id="rId152" ref="A60"/>
    <hyperlink r:id="rId153" ref="B60"/>
    <hyperlink r:id="rId154" ref="AG60"/>
    <hyperlink r:id="rId155" ref="A61"/>
    <hyperlink r:id="rId156" ref="B61"/>
    <hyperlink r:id="rId157" ref="AG61"/>
    <hyperlink r:id="rId158" ref="A62"/>
    <hyperlink r:id="rId159" ref="B62"/>
    <hyperlink r:id="rId160" ref="AG62"/>
    <hyperlink r:id="rId161" ref="A63"/>
    <hyperlink r:id="rId162" ref="B63"/>
    <hyperlink r:id="rId163" ref="AG63"/>
    <hyperlink r:id="rId164" ref="A64"/>
    <hyperlink r:id="rId165" ref="B64"/>
    <hyperlink r:id="rId166" ref="AG64"/>
    <hyperlink r:id="rId167" ref="A65"/>
    <hyperlink r:id="rId168" ref="B65"/>
    <hyperlink r:id="rId169" ref="AG65"/>
    <hyperlink r:id="rId170" ref="A66"/>
    <hyperlink r:id="rId171" ref="B66"/>
    <hyperlink r:id="rId172" ref="AG66"/>
    <hyperlink r:id="rId173" ref="A67"/>
    <hyperlink r:id="rId174" ref="B67"/>
    <hyperlink r:id="rId175" ref="AG67"/>
    <hyperlink r:id="rId176" ref="A68"/>
    <hyperlink r:id="rId177" ref="B68"/>
    <hyperlink r:id="rId178" ref="AG68"/>
    <hyperlink r:id="rId179" ref="A69"/>
    <hyperlink r:id="rId180" ref="B69"/>
    <hyperlink r:id="rId181" ref="AG69"/>
    <hyperlink r:id="rId182" ref="A70"/>
    <hyperlink r:id="rId183" ref="B70"/>
    <hyperlink r:id="rId184" ref="AG70"/>
    <hyperlink r:id="rId185" ref="AH70"/>
    <hyperlink r:id="rId186" ref="A71"/>
    <hyperlink r:id="rId187" ref="B71"/>
    <hyperlink r:id="rId188" ref="AG71"/>
    <hyperlink r:id="rId189" ref="A72"/>
    <hyperlink r:id="rId190" ref="B72"/>
    <hyperlink r:id="rId191" ref="AG72"/>
    <hyperlink r:id="rId192" ref="A73"/>
    <hyperlink r:id="rId193" ref="B73"/>
    <hyperlink r:id="rId194" ref="AG73"/>
    <hyperlink r:id="rId195" ref="AH73"/>
    <hyperlink r:id="rId196" ref="A74"/>
    <hyperlink r:id="rId197" ref="B74"/>
    <hyperlink r:id="rId198" ref="AG74"/>
    <hyperlink r:id="rId199" ref="AH74"/>
    <hyperlink r:id="rId200" ref="A75"/>
    <hyperlink r:id="rId201" ref="B75"/>
    <hyperlink r:id="rId202" ref="AG75"/>
    <hyperlink r:id="rId203" ref="A76"/>
    <hyperlink r:id="rId204" ref="B76"/>
    <hyperlink r:id="rId205" ref="AG76"/>
    <hyperlink r:id="rId206" ref="AH76"/>
    <hyperlink r:id="rId207" ref="A77"/>
    <hyperlink r:id="rId208" ref="B77"/>
    <hyperlink r:id="rId209" ref="AG77"/>
    <hyperlink r:id="rId210" ref="AH77"/>
    <hyperlink r:id="rId211" ref="A78"/>
    <hyperlink r:id="rId212" ref="B78"/>
    <hyperlink r:id="rId213" ref="AG78"/>
    <hyperlink r:id="rId214" ref="A79"/>
    <hyperlink r:id="rId215" ref="B79"/>
    <hyperlink r:id="rId216" ref="AG79"/>
    <hyperlink r:id="rId217" ref="A80"/>
    <hyperlink r:id="rId218" ref="B80"/>
    <hyperlink r:id="rId219" ref="AG80"/>
    <hyperlink r:id="rId220" ref="A81"/>
    <hyperlink r:id="rId221" ref="B81"/>
    <hyperlink r:id="rId222" ref="AG81"/>
    <hyperlink r:id="rId223" ref="A82"/>
    <hyperlink r:id="rId224" ref="B82"/>
    <hyperlink r:id="rId225" ref="AG82"/>
    <hyperlink r:id="rId226" ref="A83"/>
    <hyperlink r:id="rId227" ref="B83"/>
    <hyperlink r:id="rId228" ref="AG83"/>
    <hyperlink r:id="rId229" ref="A84"/>
    <hyperlink r:id="rId230" ref="B84"/>
    <hyperlink r:id="rId231" ref="AG84"/>
    <hyperlink r:id="rId232" ref="A85"/>
    <hyperlink r:id="rId233" ref="B85"/>
    <hyperlink r:id="rId234" ref="AG85"/>
    <hyperlink r:id="rId235" ref="A86"/>
    <hyperlink r:id="rId236" ref="B86"/>
    <hyperlink r:id="rId237" ref="AG86"/>
    <hyperlink r:id="rId238" ref="A87"/>
    <hyperlink r:id="rId239" ref="B87"/>
    <hyperlink r:id="rId240" ref="AG87"/>
    <hyperlink r:id="rId241" ref="A88"/>
    <hyperlink r:id="rId242" ref="B88"/>
    <hyperlink r:id="rId243" ref="AG88"/>
    <hyperlink r:id="rId244" ref="A89"/>
    <hyperlink r:id="rId245" ref="B89"/>
    <hyperlink r:id="rId246" ref="AG89"/>
    <hyperlink r:id="rId247" ref="A90"/>
    <hyperlink r:id="rId248" ref="B90"/>
    <hyperlink r:id="rId249" ref="AG90"/>
    <hyperlink r:id="rId250" ref="A91"/>
    <hyperlink r:id="rId251" ref="B91"/>
    <hyperlink r:id="rId252" ref="AG91"/>
    <hyperlink r:id="rId253" ref="A92"/>
    <hyperlink r:id="rId254" ref="B92"/>
    <hyperlink r:id="rId255" ref="AG92"/>
    <hyperlink r:id="rId256" ref="A93"/>
    <hyperlink r:id="rId257" ref="B93"/>
    <hyperlink r:id="rId258" ref="AG93"/>
    <hyperlink r:id="rId259" ref="A94"/>
    <hyperlink r:id="rId260" ref="B94"/>
    <hyperlink r:id="rId261" ref="AG94"/>
    <hyperlink r:id="rId262" ref="A95"/>
    <hyperlink r:id="rId263" ref="B95"/>
    <hyperlink r:id="rId264" ref="AG95"/>
    <hyperlink r:id="rId265" ref="A96"/>
    <hyperlink r:id="rId266" ref="B96"/>
    <hyperlink r:id="rId267" ref="AG96"/>
    <hyperlink r:id="rId268" ref="A97"/>
    <hyperlink r:id="rId269" ref="B97"/>
    <hyperlink r:id="rId270" ref="AG97"/>
    <hyperlink r:id="rId271" ref="A98"/>
    <hyperlink r:id="rId272" ref="B98"/>
    <hyperlink r:id="rId273" ref="AG98"/>
    <hyperlink r:id="rId274" ref="A99"/>
    <hyperlink r:id="rId275" ref="B99"/>
    <hyperlink r:id="rId276" ref="AG99"/>
    <hyperlink r:id="rId277" ref="A100"/>
    <hyperlink r:id="rId278" ref="B100"/>
    <hyperlink r:id="rId279" ref="AG100"/>
    <hyperlink r:id="rId280" ref="A101"/>
    <hyperlink r:id="rId281" ref="B101"/>
    <hyperlink r:id="rId282" ref="AG101"/>
    <hyperlink r:id="rId283" ref="A102"/>
    <hyperlink r:id="rId284" ref="B102"/>
    <hyperlink r:id="rId285" ref="AG102"/>
    <hyperlink r:id="rId286" ref="A103"/>
    <hyperlink r:id="rId287" ref="B103"/>
    <hyperlink r:id="rId288" ref="AG103"/>
    <hyperlink r:id="rId289" ref="A104"/>
    <hyperlink r:id="rId290" ref="B104"/>
    <hyperlink r:id="rId291" ref="AG104"/>
    <hyperlink r:id="rId292" ref="A105"/>
    <hyperlink r:id="rId293" ref="B105"/>
    <hyperlink r:id="rId294" ref="AG105"/>
    <hyperlink r:id="rId295" ref="A106"/>
    <hyperlink r:id="rId296" ref="B106"/>
    <hyperlink r:id="rId297" ref="AG106"/>
    <hyperlink r:id="rId298" ref="A107"/>
    <hyperlink r:id="rId299" ref="B107"/>
    <hyperlink r:id="rId300" ref="AG107"/>
    <hyperlink r:id="rId301" ref="A108"/>
    <hyperlink r:id="rId302" ref="B108"/>
    <hyperlink r:id="rId303" ref="AG108"/>
    <hyperlink r:id="rId304" ref="A109"/>
    <hyperlink r:id="rId305" ref="B109"/>
    <hyperlink r:id="rId306" ref="AG109"/>
    <hyperlink r:id="rId307" ref="A110"/>
    <hyperlink r:id="rId308" ref="B110"/>
    <hyperlink r:id="rId309" ref="AG110"/>
    <hyperlink r:id="rId310" ref="A111"/>
    <hyperlink r:id="rId311" ref="B111"/>
    <hyperlink r:id="rId312" ref="AG111"/>
    <hyperlink r:id="rId313" ref="A112"/>
    <hyperlink r:id="rId314" ref="B112"/>
    <hyperlink r:id="rId315" ref="AG112"/>
    <hyperlink r:id="rId316" ref="A113"/>
    <hyperlink r:id="rId317" ref="B113"/>
    <hyperlink r:id="rId318" ref="AG113"/>
    <hyperlink r:id="rId319" ref="A114"/>
    <hyperlink r:id="rId320" ref="B114"/>
    <hyperlink r:id="rId321" ref="AG114"/>
    <hyperlink r:id="rId322" ref="A115"/>
    <hyperlink r:id="rId323" ref="B115"/>
    <hyperlink r:id="rId324" ref="AG115"/>
    <hyperlink r:id="rId325" ref="A116"/>
    <hyperlink r:id="rId326" ref="B116"/>
    <hyperlink r:id="rId327" ref="AG116"/>
    <hyperlink r:id="rId328" ref="A117"/>
    <hyperlink r:id="rId329" ref="B117"/>
    <hyperlink r:id="rId330" ref="AG117"/>
    <hyperlink r:id="rId331" ref="A118"/>
    <hyperlink r:id="rId332" ref="B118"/>
    <hyperlink r:id="rId333" ref="A119"/>
    <hyperlink r:id="rId334" ref="B119"/>
    <hyperlink r:id="rId335" ref="A120"/>
    <hyperlink r:id="rId336" ref="B120"/>
    <hyperlink r:id="rId337" ref="A121"/>
    <hyperlink r:id="rId338" ref="B121"/>
    <hyperlink r:id="rId339" ref="A122"/>
    <hyperlink r:id="rId340" ref="B122"/>
    <hyperlink r:id="rId341" ref="A123"/>
    <hyperlink r:id="rId342" ref="B123"/>
    <hyperlink r:id="rId343" ref="A124"/>
    <hyperlink r:id="rId344" ref="B124"/>
    <hyperlink r:id="rId345" ref="A125"/>
    <hyperlink r:id="rId346" ref="B125"/>
    <hyperlink r:id="rId347" ref="A126"/>
    <hyperlink r:id="rId348" ref="B126"/>
    <hyperlink r:id="rId349" ref="A127"/>
    <hyperlink r:id="rId350" ref="B127"/>
    <hyperlink r:id="rId351" ref="AH127"/>
    <hyperlink r:id="rId352" ref="A128"/>
    <hyperlink r:id="rId353" ref="B128"/>
    <hyperlink r:id="rId354" ref="A129"/>
    <hyperlink r:id="rId355" ref="B129"/>
    <hyperlink r:id="rId356" ref="A130"/>
    <hyperlink r:id="rId357" ref="B130"/>
    <hyperlink r:id="rId358" ref="A131"/>
    <hyperlink r:id="rId359" ref="B131"/>
    <hyperlink r:id="rId360" ref="A132"/>
    <hyperlink r:id="rId361" ref="B132"/>
    <hyperlink r:id="rId362" ref="A133"/>
    <hyperlink r:id="rId363" ref="B133"/>
    <hyperlink r:id="rId364" ref="A134"/>
    <hyperlink r:id="rId365" ref="B134"/>
    <hyperlink r:id="rId366" ref="AG134"/>
    <hyperlink r:id="rId367" ref="A135"/>
    <hyperlink r:id="rId368" ref="B135"/>
    <hyperlink r:id="rId369" ref="AG135"/>
    <hyperlink r:id="rId370" ref="A136"/>
    <hyperlink r:id="rId371" ref="B136"/>
    <hyperlink r:id="rId372" ref="AG136"/>
    <hyperlink r:id="rId373" ref="A137"/>
    <hyperlink r:id="rId374" ref="B137"/>
    <hyperlink r:id="rId375" ref="AG137"/>
    <hyperlink r:id="rId376" ref="A138"/>
    <hyperlink r:id="rId377" ref="B138"/>
    <hyperlink r:id="rId378" ref="AG138"/>
    <hyperlink r:id="rId379" ref="A139"/>
    <hyperlink r:id="rId380" ref="B139"/>
    <hyperlink r:id="rId381" ref="AG139"/>
    <hyperlink r:id="rId382" ref="A140"/>
    <hyperlink r:id="rId383" ref="B140"/>
    <hyperlink r:id="rId384" ref="AG140"/>
    <hyperlink r:id="rId385" ref="AH140"/>
    <hyperlink r:id="rId386" ref="A141"/>
    <hyperlink r:id="rId387" ref="B141"/>
    <hyperlink r:id="rId388" ref="AG141"/>
    <hyperlink r:id="rId389" ref="A142"/>
    <hyperlink r:id="rId390" ref="B142"/>
    <hyperlink r:id="rId391" ref="AG142"/>
    <hyperlink r:id="rId392" ref="A143"/>
    <hyperlink r:id="rId393" ref="B143"/>
    <hyperlink r:id="rId394" ref="AG143"/>
    <hyperlink r:id="rId395" ref="A144"/>
    <hyperlink r:id="rId396" ref="B144"/>
    <hyperlink r:id="rId397" ref="AG144"/>
    <hyperlink r:id="rId398" ref="A145"/>
    <hyperlink r:id="rId399" ref="B145"/>
    <hyperlink r:id="rId400" ref="AG145"/>
    <hyperlink r:id="rId401" ref="A146"/>
    <hyperlink r:id="rId402" ref="B146"/>
    <hyperlink r:id="rId403" ref="AG146"/>
    <hyperlink r:id="rId404" ref="A147"/>
    <hyperlink r:id="rId405" ref="B147"/>
    <hyperlink r:id="rId406" ref="AG147"/>
    <hyperlink r:id="rId407" ref="A148"/>
    <hyperlink r:id="rId408" ref="B148"/>
    <hyperlink r:id="rId409" ref="AG148"/>
    <hyperlink r:id="rId410" ref="A149"/>
    <hyperlink r:id="rId411" ref="B149"/>
    <hyperlink r:id="rId412" ref="AG149"/>
    <hyperlink r:id="rId413" ref="A150"/>
    <hyperlink r:id="rId414" ref="B150"/>
    <hyperlink r:id="rId415" ref="AG150"/>
    <hyperlink r:id="rId416" ref="A151"/>
    <hyperlink r:id="rId417" ref="B151"/>
    <hyperlink r:id="rId418" ref="AG151"/>
    <hyperlink r:id="rId419" ref="A152"/>
    <hyperlink r:id="rId420" ref="B152"/>
    <hyperlink r:id="rId421" ref="AG152"/>
    <hyperlink r:id="rId422" ref="A153"/>
    <hyperlink r:id="rId423" ref="B153"/>
    <hyperlink r:id="rId424" ref="AG153"/>
    <hyperlink r:id="rId425" ref="A154"/>
    <hyperlink r:id="rId426" ref="B154"/>
    <hyperlink r:id="rId427" ref="AG154"/>
    <hyperlink r:id="rId428" ref="A155"/>
    <hyperlink r:id="rId429" ref="B155"/>
    <hyperlink r:id="rId430" ref="AG155"/>
    <hyperlink r:id="rId431" ref="A156"/>
    <hyperlink r:id="rId432" ref="B156"/>
    <hyperlink r:id="rId433" ref="AG156"/>
    <hyperlink r:id="rId434" ref="A157"/>
    <hyperlink r:id="rId435" ref="B157"/>
    <hyperlink r:id="rId436" ref="AG157"/>
    <hyperlink r:id="rId437" ref="A158"/>
    <hyperlink r:id="rId438" ref="B158"/>
    <hyperlink r:id="rId439" ref="AG158"/>
    <hyperlink r:id="rId440" ref="A159"/>
    <hyperlink r:id="rId441" ref="B159"/>
    <hyperlink r:id="rId442" ref="AG159"/>
    <hyperlink r:id="rId443" ref="A160"/>
    <hyperlink r:id="rId444" ref="B160"/>
    <hyperlink r:id="rId445" ref="AG160"/>
    <hyperlink r:id="rId446" ref="A161"/>
    <hyperlink r:id="rId447" ref="B161"/>
    <hyperlink r:id="rId448" ref="AG161"/>
    <hyperlink r:id="rId449" ref="A162"/>
    <hyperlink r:id="rId450" ref="B162"/>
    <hyperlink r:id="rId451" ref="AG162"/>
    <hyperlink r:id="rId452" ref="A163"/>
    <hyperlink r:id="rId453" ref="B163"/>
    <hyperlink r:id="rId454" ref="AG163"/>
    <hyperlink r:id="rId455" ref="A164"/>
    <hyperlink r:id="rId456" ref="B164"/>
    <hyperlink r:id="rId457" ref="AG164"/>
    <hyperlink r:id="rId458" ref="A165"/>
    <hyperlink r:id="rId459" ref="B165"/>
    <hyperlink r:id="rId460" ref="AG165"/>
    <hyperlink r:id="rId461" ref="A166"/>
    <hyperlink r:id="rId462" ref="B166"/>
    <hyperlink r:id="rId463" ref="AG166"/>
    <hyperlink r:id="rId464" ref="A167"/>
    <hyperlink r:id="rId465" ref="B167"/>
    <hyperlink r:id="rId466" ref="AG167"/>
    <hyperlink r:id="rId467" ref="A168"/>
    <hyperlink r:id="rId468" ref="B168"/>
    <hyperlink r:id="rId469" ref="AG168"/>
    <hyperlink r:id="rId470" ref="A169"/>
    <hyperlink r:id="rId471" ref="B169"/>
    <hyperlink r:id="rId472" ref="AG169"/>
    <hyperlink r:id="rId473" ref="A170"/>
    <hyperlink r:id="rId474" ref="B170"/>
    <hyperlink r:id="rId475" ref="AG170"/>
    <hyperlink r:id="rId476" ref="A171"/>
    <hyperlink r:id="rId477" ref="B171"/>
    <hyperlink r:id="rId478" ref="AG171"/>
    <hyperlink r:id="rId479" ref="A172"/>
    <hyperlink r:id="rId480" ref="B172"/>
    <hyperlink r:id="rId481" ref="AG172"/>
    <hyperlink r:id="rId482" ref="A173"/>
    <hyperlink r:id="rId483" ref="B173"/>
    <hyperlink r:id="rId484" ref="AG173"/>
    <hyperlink r:id="rId485" ref="A174"/>
    <hyperlink r:id="rId486" ref="B174"/>
    <hyperlink r:id="rId487" ref="AG174"/>
    <hyperlink r:id="rId488" ref="A175"/>
    <hyperlink r:id="rId489" ref="B175"/>
    <hyperlink r:id="rId490" ref="AG175"/>
    <hyperlink r:id="rId491" ref="A176"/>
    <hyperlink r:id="rId492" ref="B176"/>
    <hyperlink r:id="rId493" ref="AG176"/>
    <hyperlink r:id="rId494" ref="A177"/>
    <hyperlink r:id="rId495" ref="B177"/>
    <hyperlink r:id="rId496" ref="AG177"/>
    <hyperlink r:id="rId497" ref="A178"/>
    <hyperlink r:id="rId498" ref="B178"/>
    <hyperlink r:id="rId499" ref="AG178"/>
    <hyperlink r:id="rId500" ref="A179"/>
    <hyperlink r:id="rId501" ref="B179"/>
    <hyperlink r:id="rId502" ref="AG179"/>
    <hyperlink r:id="rId503" ref="A180"/>
    <hyperlink r:id="rId504" ref="B180"/>
    <hyperlink r:id="rId505" ref="AG180"/>
    <hyperlink r:id="rId506" ref="A181"/>
    <hyperlink r:id="rId507" ref="B181"/>
    <hyperlink r:id="rId508" ref="AG181"/>
    <hyperlink r:id="rId509" ref="A182"/>
    <hyperlink r:id="rId510" ref="B182"/>
    <hyperlink r:id="rId511" ref="AG182"/>
    <hyperlink r:id="rId512" ref="A183"/>
    <hyperlink r:id="rId513" ref="B183"/>
    <hyperlink r:id="rId514" ref="AG183"/>
    <hyperlink r:id="rId515" ref="A184"/>
    <hyperlink r:id="rId516" ref="B184"/>
    <hyperlink r:id="rId517" ref="AG184"/>
    <hyperlink r:id="rId518" ref="A185"/>
    <hyperlink r:id="rId519" ref="B185"/>
    <hyperlink r:id="rId520" ref="AG185"/>
    <hyperlink r:id="rId521" ref="A186"/>
    <hyperlink r:id="rId522" ref="B186"/>
    <hyperlink r:id="rId523" ref="AG186"/>
    <hyperlink r:id="rId524" ref="A187"/>
    <hyperlink r:id="rId525" ref="B187"/>
    <hyperlink r:id="rId526" ref="AG187"/>
    <hyperlink r:id="rId527" ref="A188"/>
    <hyperlink r:id="rId528" ref="B188"/>
    <hyperlink r:id="rId529" ref="AG188"/>
    <hyperlink r:id="rId530" ref="A189"/>
    <hyperlink r:id="rId531" ref="B189"/>
    <hyperlink r:id="rId532" ref="AG189"/>
    <hyperlink r:id="rId533" ref="A190"/>
    <hyperlink r:id="rId534" ref="B190"/>
    <hyperlink r:id="rId535" ref="AG190"/>
    <hyperlink r:id="rId536" ref="A191"/>
    <hyperlink r:id="rId537" ref="B191"/>
    <hyperlink r:id="rId538" ref="AG191"/>
    <hyperlink r:id="rId539" ref="A192"/>
    <hyperlink r:id="rId540" ref="B192"/>
    <hyperlink r:id="rId541" ref="AG192"/>
    <hyperlink r:id="rId542" ref="A193"/>
    <hyperlink r:id="rId543" ref="B193"/>
    <hyperlink r:id="rId544" ref="AG193"/>
    <hyperlink r:id="rId545" ref="A194"/>
    <hyperlink r:id="rId546" location="tab-overview" ref="B194"/>
    <hyperlink r:id="rId547" ref="AG194"/>
    <hyperlink r:id="rId548" ref="A195"/>
    <hyperlink r:id="rId549" ref="B195"/>
    <hyperlink r:id="rId550" ref="AG195"/>
    <hyperlink r:id="rId551" ref="A196"/>
    <hyperlink r:id="rId552" location="tab-downloads" ref="B196"/>
    <hyperlink r:id="rId553" ref="AG196"/>
    <hyperlink r:id="rId554" ref="A197"/>
    <hyperlink r:id="rId555" ref="B197"/>
    <hyperlink r:id="rId556" ref="AG197"/>
    <hyperlink r:id="rId557" ref="A198"/>
    <hyperlink r:id="rId558" ref="B198"/>
    <hyperlink r:id="rId559" ref="AG198"/>
    <hyperlink r:id="rId560" ref="A199"/>
    <hyperlink r:id="rId561" ref="B199"/>
    <hyperlink r:id="rId562" ref="AG199"/>
    <hyperlink r:id="rId563" ref="A200"/>
    <hyperlink r:id="rId564" ref="B200"/>
    <hyperlink r:id="rId565" ref="AG200"/>
    <hyperlink r:id="rId566" ref="A201"/>
    <hyperlink r:id="rId567" ref="B201"/>
    <hyperlink r:id="rId568" ref="AG201"/>
    <hyperlink r:id="rId569" ref="A202"/>
    <hyperlink r:id="rId570" ref="B202"/>
    <hyperlink r:id="rId571" ref="AG202"/>
    <hyperlink r:id="rId572" ref="A203"/>
    <hyperlink r:id="rId573" ref="B203"/>
    <hyperlink r:id="rId574" ref="AG203"/>
    <hyperlink r:id="rId575" ref="A204"/>
    <hyperlink r:id="rId576" ref="B204"/>
    <hyperlink r:id="rId577" ref="AG204"/>
    <hyperlink r:id="rId578" ref="A205"/>
    <hyperlink r:id="rId579" ref="B205"/>
    <hyperlink r:id="rId580" ref="AG205"/>
    <hyperlink r:id="rId581" ref="A206"/>
    <hyperlink r:id="rId582" ref="B206"/>
    <hyperlink r:id="rId583" ref="AG206"/>
    <hyperlink r:id="rId584" ref="A207"/>
    <hyperlink r:id="rId585" ref="B207"/>
    <hyperlink r:id="rId586" ref="AG207"/>
    <hyperlink r:id="rId587" ref="A208"/>
    <hyperlink r:id="rId588" ref="B208"/>
    <hyperlink r:id="rId589" ref="AG208"/>
    <hyperlink r:id="rId590" ref="A209"/>
    <hyperlink r:id="rId591" ref="B209"/>
    <hyperlink r:id="rId592" ref="AG209"/>
    <hyperlink r:id="rId593" ref="A210"/>
    <hyperlink r:id="rId594" ref="B210"/>
    <hyperlink r:id="rId595" ref="AG210"/>
    <hyperlink r:id="rId596" ref="A211"/>
    <hyperlink r:id="rId597" ref="B211"/>
    <hyperlink r:id="rId598" ref="AG211"/>
    <hyperlink r:id="rId599" ref="A212"/>
    <hyperlink r:id="rId600" ref="B212"/>
    <hyperlink r:id="rId601" ref="AG212"/>
    <hyperlink r:id="rId602" ref="A213"/>
    <hyperlink r:id="rId603" ref="B213"/>
    <hyperlink r:id="rId604" ref="AG213"/>
    <hyperlink r:id="rId605" ref="A214"/>
    <hyperlink r:id="rId606" ref="B214"/>
    <hyperlink r:id="rId607" ref="AG214"/>
    <hyperlink r:id="rId608" ref="A215"/>
    <hyperlink r:id="rId609" ref="B215"/>
    <hyperlink r:id="rId610" ref="AG215"/>
    <hyperlink r:id="rId611" ref="A216"/>
    <hyperlink r:id="rId612" ref="B216"/>
    <hyperlink r:id="rId613" ref="AG216"/>
    <hyperlink r:id="rId614" ref="A217"/>
    <hyperlink r:id="rId615" ref="B217"/>
    <hyperlink r:id="rId616" ref="AG217"/>
    <hyperlink r:id="rId617" ref="AH217"/>
    <hyperlink r:id="rId618" ref="A218"/>
    <hyperlink r:id="rId619" ref="B218"/>
    <hyperlink r:id="rId620" ref="AG218"/>
    <hyperlink r:id="rId621" ref="A219"/>
    <hyperlink r:id="rId622" ref="B219"/>
    <hyperlink r:id="rId623" ref="AG219"/>
    <hyperlink r:id="rId624" ref="A220"/>
    <hyperlink r:id="rId625" ref="B220"/>
    <hyperlink r:id="rId626" ref="AG220"/>
    <hyperlink r:id="rId627" ref="A221"/>
    <hyperlink r:id="rId628" ref="B221"/>
    <hyperlink r:id="rId629" ref="AG221"/>
    <hyperlink r:id="rId630" ref="A222"/>
    <hyperlink r:id="rId631" ref="B222"/>
    <hyperlink r:id="rId632" ref="AG222"/>
    <hyperlink r:id="rId633" ref="A223"/>
    <hyperlink r:id="rId634" ref="B223"/>
    <hyperlink r:id="rId635" ref="AG223"/>
    <hyperlink r:id="rId636" ref="A224"/>
    <hyperlink r:id="rId637" ref="B224"/>
    <hyperlink r:id="rId638" ref="AG224"/>
    <hyperlink r:id="rId639" ref="A225"/>
    <hyperlink r:id="rId640" ref="B225"/>
    <hyperlink r:id="rId641" ref="AG225"/>
    <hyperlink r:id="rId642" ref="A226"/>
    <hyperlink r:id="rId643" ref="B226"/>
    <hyperlink r:id="rId644" ref="AG226"/>
    <hyperlink r:id="rId645" ref="A227"/>
    <hyperlink r:id="rId646" ref="B227"/>
    <hyperlink r:id="rId647" ref="A228"/>
    <hyperlink r:id="rId648" ref="B228"/>
    <hyperlink r:id="rId649" ref="A229"/>
    <hyperlink r:id="rId650" ref="A230"/>
    <hyperlink r:id="rId651" ref="B230"/>
    <hyperlink r:id="rId652" ref="A231"/>
    <hyperlink r:id="rId653" ref="B231"/>
    <hyperlink r:id="rId654" ref="A232"/>
    <hyperlink r:id="rId655" ref="B232"/>
    <hyperlink r:id="rId656" ref="A233"/>
    <hyperlink r:id="rId657" ref="B233"/>
    <hyperlink r:id="rId658" ref="A234"/>
    <hyperlink r:id="rId659" ref="B234"/>
    <hyperlink r:id="rId660" ref="A235"/>
    <hyperlink r:id="rId661" ref="B235"/>
    <hyperlink r:id="rId662" ref="A236"/>
    <hyperlink r:id="rId663" ref="B236"/>
    <hyperlink r:id="rId664" ref="A237"/>
    <hyperlink r:id="rId665" ref="B237"/>
    <hyperlink r:id="rId666" ref="A238"/>
    <hyperlink r:id="rId667" ref="B238"/>
    <hyperlink r:id="rId668" ref="A239"/>
    <hyperlink r:id="rId669" ref="B239"/>
    <hyperlink r:id="rId670" ref="A240"/>
    <hyperlink r:id="rId671" ref="B240"/>
    <hyperlink r:id="rId672" ref="AG240"/>
    <hyperlink r:id="rId673" ref="A241"/>
    <hyperlink r:id="rId674" ref="B241"/>
    <hyperlink r:id="rId675" ref="AG241"/>
    <hyperlink r:id="rId676" ref="A242"/>
    <hyperlink r:id="rId677" ref="B242"/>
    <hyperlink r:id="rId678" ref="AG242"/>
    <hyperlink r:id="rId679" ref="A243"/>
    <hyperlink r:id="rId680" ref="B243"/>
    <hyperlink r:id="rId681" ref="AG243"/>
    <hyperlink r:id="rId682" ref="A244"/>
    <hyperlink r:id="rId683" ref="B244"/>
    <hyperlink r:id="rId684" ref="AG244"/>
    <hyperlink r:id="rId685" ref="A245"/>
    <hyperlink r:id="rId686" ref="B245"/>
    <hyperlink r:id="rId687" ref="AG245"/>
    <hyperlink r:id="rId688" ref="A246"/>
    <hyperlink r:id="rId689" ref="B246"/>
    <hyperlink r:id="rId690" ref="AG246"/>
    <hyperlink r:id="rId691" ref="A247"/>
    <hyperlink r:id="rId692" ref="B247"/>
    <hyperlink r:id="rId693" ref="AG247"/>
    <hyperlink r:id="rId694" ref="A248"/>
    <hyperlink r:id="rId695" ref="B248"/>
    <hyperlink r:id="rId696" ref="AG248"/>
    <hyperlink r:id="rId697" ref="A249"/>
    <hyperlink r:id="rId698" ref="B249"/>
    <hyperlink r:id="rId699" ref="AG249"/>
    <hyperlink r:id="rId700" ref="A250"/>
    <hyperlink r:id="rId701" ref="B250"/>
    <hyperlink r:id="rId702" ref="AG250"/>
    <hyperlink r:id="rId703" ref="A251"/>
    <hyperlink r:id="rId704" ref="B251"/>
    <hyperlink r:id="rId705" ref="AG251"/>
    <hyperlink r:id="rId706" ref="A252"/>
    <hyperlink r:id="rId707" ref="B252"/>
    <hyperlink r:id="rId708" ref="AG252"/>
    <hyperlink r:id="rId709" ref="A253"/>
    <hyperlink r:id="rId710" ref="B253"/>
    <hyperlink r:id="rId711" ref="AG253"/>
    <hyperlink r:id="rId712" ref="A254"/>
    <hyperlink r:id="rId713" ref="B254"/>
    <hyperlink r:id="rId714" ref="AG254"/>
    <hyperlink r:id="rId715" ref="A255"/>
    <hyperlink r:id="rId716" ref="B255"/>
    <hyperlink r:id="rId717" ref="AG255"/>
    <hyperlink r:id="rId718" ref="A256"/>
    <hyperlink r:id="rId719" ref="B256"/>
    <hyperlink r:id="rId720" ref="AG256"/>
    <hyperlink r:id="rId721" ref="A257"/>
    <hyperlink r:id="rId722" ref="B257"/>
    <hyperlink r:id="rId723" ref="AG257"/>
    <hyperlink r:id="rId724" ref="A258"/>
    <hyperlink r:id="rId725" ref="B258"/>
    <hyperlink r:id="rId726" ref="AG258"/>
    <hyperlink r:id="rId727" ref="A259"/>
    <hyperlink r:id="rId728" ref="B259"/>
    <hyperlink r:id="rId729" ref="AG259"/>
    <hyperlink r:id="rId730" ref="A260"/>
    <hyperlink r:id="rId731" ref="B260"/>
    <hyperlink r:id="rId732" ref="AG260"/>
    <hyperlink r:id="rId733" ref="A261"/>
    <hyperlink r:id="rId734" ref="AG261"/>
    <hyperlink r:id="rId735" ref="A262"/>
    <hyperlink r:id="rId736" ref="B262"/>
    <hyperlink r:id="rId737" ref="AG262"/>
    <hyperlink r:id="rId738" ref="A263"/>
    <hyperlink r:id="rId739" ref="B263"/>
    <hyperlink r:id="rId740" ref="AG263"/>
    <hyperlink r:id="rId741" ref="A264"/>
    <hyperlink r:id="rId742" ref="B264"/>
    <hyperlink r:id="rId743" ref="AG264"/>
    <hyperlink r:id="rId744" ref="A265"/>
    <hyperlink r:id="rId745" ref="AG265"/>
    <hyperlink r:id="rId746" ref="A266"/>
    <hyperlink r:id="rId747" ref="B266"/>
    <hyperlink r:id="rId748" ref="AG266"/>
    <hyperlink r:id="rId749" ref="A267"/>
    <hyperlink r:id="rId750" ref="B267"/>
    <hyperlink r:id="rId751" ref="AG267"/>
    <hyperlink r:id="rId752" ref="A268"/>
    <hyperlink r:id="rId753" ref="B268"/>
    <hyperlink r:id="rId754" ref="AG268"/>
    <hyperlink r:id="rId755" ref="A269"/>
    <hyperlink r:id="rId756" ref="B269"/>
    <hyperlink r:id="rId757" ref="AG269"/>
    <hyperlink r:id="rId758" ref="A270"/>
    <hyperlink r:id="rId759" ref="B270"/>
    <hyperlink r:id="rId760" ref="AG270"/>
    <hyperlink r:id="rId761" ref="A271"/>
    <hyperlink r:id="rId762" ref="B271"/>
    <hyperlink r:id="rId763" ref="AG271"/>
    <hyperlink r:id="rId764" ref="A272"/>
    <hyperlink r:id="rId765" ref="B272"/>
    <hyperlink r:id="rId766" ref="AG272"/>
    <hyperlink r:id="rId767" ref="A273"/>
    <hyperlink r:id="rId768" ref="B273"/>
    <hyperlink r:id="rId769" ref="AG273"/>
    <hyperlink r:id="rId770" ref="A274"/>
    <hyperlink r:id="rId771" ref="B274"/>
    <hyperlink r:id="rId772" ref="AG274"/>
    <hyperlink r:id="rId773" ref="A275"/>
    <hyperlink r:id="rId774" ref="B275"/>
    <hyperlink r:id="rId775" ref="AG275"/>
    <hyperlink r:id="rId776" ref="A276"/>
    <hyperlink r:id="rId777" ref="B276"/>
    <hyperlink r:id="rId778" ref="AG276"/>
    <hyperlink r:id="rId779" ref="A277"/>
    <hyperlink r:id="rId780" ref="B277"/>
    <hyperlink r:id="rId781" ref="AG277"/>
    <hyperlink r:id="rId782" ref="A278"/>
    <hyperlink r:id="rId783" ref="B278"/>
    <hyperlink r:id="rId784" ref="AG278"/>
    <hyperlink r:id="rId785" ref="A279"/>
    <hyperlink r:id="rId786" ref="B279"/>
    <hyperlink r:id="rId787" ref="AG279"/>
    <hyperlink r:id="rId788" ref="A280"/>
    <hyperlink r:id="rId789" ref="B280"/>
    <hyperlink r:id="rId790" ref="AG280"/>
    <hyperlink r:id="rId791" ref="A281"/>
    <hyperlink r:id="rId792" ref="B281"/>
    <hyperlink r:id="rId793" ref="AG281"/>
    <hyperlink r:id="rId794" ref="A282"/>
    <hyperlink r:id="rId795" ref="B282"/>
    <hyperlink r:id="rId796" ref="AG282"/>
    <hyperlink r:id="rId797" ref="A283"/>
    <hyperlink r:id="rId798" ref="B283"/>
    <hyperlink r:id="rId799" ref="AG283"/>
    <hyperlink r:id="rId800" ref="A284"/>
    <hyperlink r:id="rId801" ref="B284"/>
    <hyperlink r:id="rId802" ref="AG284"/>
    <hyperlink r:id="rId803" ref="A285"/>
    <hyperlink r:id="rId804" ref="B285"/>
    <hyperlink r:id="rId805" ref="AG285"/>
    <hyperlink r:id="rId806" ref="A286"/>
    <hyperlink r:id="rId807" ref="B286"/>
    <hyperlink r:id="rId808" ref="AG286"/>
    <hyperlink r:id="rId809" ref="A287"/>
    <hyperlink r:id="rId810" ref="B287"/>
    <hyperlink r:id="rId811" ref="AG287"/>
    <hyperlink r:id="rId812" ref="A288"/>
    <hyperlink r:id="rId813" ref="B288"/>
    <hyperlink r:id="rId814" ref="AG288"/>
    <hyperlink r:id="rId815" ref="AH288"/>
    <hyperlink r:id="rId816" ref="A289"/>
    <hyperlink r:id="rId817" ref="B289"/>
    <hyperlink r:id="rId818" ref="AG289"/>
    <hyperlink r:id="rId819" ref="AH289"/>
    <hyperlink r:id="rId820" ref="A290"/>
    <hyperlink r:id="rId821" ref="AG290"/>
    <hyperlink r:id="rId822" ref="A291"/>
    <hyperlink r:id="rId823" ref="B291"/>
    <hyperlink r:id="rId824" ref="AG291"/>
    <hyperlink r:id="rId825" ref="A292"/>
    <hyperlink r:id="rId826" ref="B292"/>
    <hyperlink r:id="rId827" ref="AG292"/>
    <hyperlink r:id="rId828" ref="A293"/>
    <hyperlink r:id="rId829" ref="B293"/>
    <hyperlink r:id="rId830" ref="AG293"/>
    <hyperlink r:id="rId831" ref="A294"/>
    <hyperlink r:id="rId832" ref="B294"/>
    <hyperlink r:id="rId833" ref="AG294"/>
    <hyperlink r:id="rId834" ref="A295"/>
    <hyperlink r:id="rId835" ref="B295"/>
    <hyperlink r:id="rId836" ref="AG295"/>
    <hyperlink r:id="rId837" ref="A296"/>
    <hyperlink r:id="rId838" ref="B296"/>
    <hyperlink r:id="rId839" ref="AG296"/>
    <hyperlink r:id="rId840" ref="A297"/>
    <hyperlink r:id="rId841" ref="B297"/>
    <hyperlink r:id="rId842" ref="AG297"/>
    <hyperlink r:id="rId843" ref="A298"/>
    <hyperlink r:id="rId844" ref="B298"/>
    <hyperlink r:id="rId845" ref="AG298"/>
    <hyperlink r:id="rId846" ref="A299"/>
    <hyperlink r:id="rId847" ref="B299"/>
    <hyperlink r:id="rId848" ref="AG299"/>
    <hyperlink r:id="rId849" ref="A300"/>
    <hyperlink r:id="rId850" ref="B300"/>
    <hyperlink r:id="rId851" ref="AG300"/>
    <hyperlink r:id="rId852" ref="A301"/>
    <hyperlink r:id="rId853" ref="B301"/>
    <hyperlink r:id="rId854" ref="AG301"/>
    <hyperlink r:id="rId855" ref="A302"/>
    <hyperlink r:id="rId856" ref="B302"/>
    <hyperlink r:id="rId857" ref="AG302"/>
    <hyperlink r:id="rId858" ref="A303"/>
    <hyperlink r:id="rId859" ref="B303"/>
    <hyperlink r:id="rId860" ref="AG303"/>
    <hyperlink r:id="rId861" ref="AH303"/>
    <hyperlink r:id="rId862" ref="A304"/>
    <hyperlink r:id="rId863" ref="B304"/>
    <hyperlink r:id="rId864" ref="AG304"/>
    <hyperlink r:id="rId865" ref="A305"/>
    <hyperlink r:id="rId866" ref="B305"/>
    <hyperlink r:id="rId867" ref="AG305"/>
    <hyperlink r:id="rId868" ref="A306"/>
    <hyperlink r:id="rId869" ref="B306"/>
    <hyperlink r:id="rId870" ref="A307"/>
    <hyperlink r:id="rId871" ref="B307"/>
    <hyperlink r:id="rId872" ref="A308"/>
    <hyperlink r:id="rId873" ref="B308"/>
    <hyperlink r:id="rId874" ref="A309"/>
    <hyperlink r:id="rId875" ref="B309"/>
    <hyperlink r:id="rId876" ref="A310"/>
    <hyperlink r:id="rId877" ref="B310"/>
    <hyperlink r:id="rId878" ref="A311"/>
    <hyperlink r:id="rId879" ref="B311"/>
    <hyperlink r:id="rId880" ref="A312"/>
    <hyperlink r:id="rId881" ref="B312"/>
    <hyperlink r:id="rId882" ref="A313"/>
    <hyperlink r:id="rId883" ref="B313"/>
    <hyperlink r:id="rId884" ref="AG313"/>
    <hyperlink r:id="rId885" ref="A314"/>
    <hyperlink r:id="rId886" ref="B314"/>
    <hyperlink r:id="rId887" ref="AG314"/>
    <hyperlink r:id="rId888" ref="A315"/>
    <hyperlink r:id="rId889" ref="B315"/>
    <hyperlink r:id="rId890" ref="A316"/>
    <hyperlink r:id="rId891" ref="B316"/>
    <hyperlink r:id="rId892" ref="A317"/>
    <hyperlink r:id="rId893" ref="B317"/>
    <hyperlink r:id="rId894" ref="A318"/>
    <hyperlink r:id="rId895" ref="B318"/>
    <hyperlink r:id="rId896" ref="A319"/>
    <hyperlink r:id="rId897" ref="B319"/>
    <hyperlink r:id="rId898" ref="A320"/>
    <hyperlink r:id="rId899" ref="B320"/>
    <hyperlink r:id="rId900" ref="A321"/>
    <hyperlink r:id="rId901" ref="B321"/>
    <hyperlink r:id="rId902" ref="A322"/>
    <hyperlink r:id="rId903" ref="B322"/>
    <hyperlink r:id="rId904" ref="A323"/>
    <hyperlink r:id="rId905" ref="B323"/>
    <hyperlink r:id="rId906" ref="AG323"/>
    <hyperlink r:id="rId907" ref="A324"/>
    <hyperlink r:id="rId908" ref="B324"/>
    <hyperlink r:id="rId909" ref="AG324"/>
    <hyperlink r:id="rId910" ref="A325"/>
    <hyperlink r:id="rId911" ref="B325"/>
    <hyperlink r:id="rId912" ref="AG325"/>
    <hyperlink r:id="rId913" ref="A326"/>
    <hyperlink r:id="rId914" ref="AG326"/>
    <hyperlink r:id="rId915" ref="A327"/>
    <hyperlink r:id="rId916" ref="AG327"/>
    <hyperlink r:id="rId917" ref="A328"/>
    <hyperlink r:id="rId918" ref="AG328"/>
    <hyperlink r:id="rId919" ref="A329"/>
    <hyperlink r:id="rId920" ref="AG329"/>
    <hyperlink r:id="rId921" ref="A330"/>
    <hyperlink r:id="rId922" ref="AG330"/>
    <hyperlink r:id="rId923" ref="A331"/>
    <hyperlink r:id="rId924" ref="B331"/>
    <hyperlink r:id="rId925" ref="AG331"/>
    <hyperlink r:id="rId926" ref="A332"/>
    <hyperlink r:id="rId927" ref="B332"/>
    <hyperlink r:id="rId928" ref="AG332"/>
    <hyperlink r:id="rId929" ref="A333"/>
    <hyperlink r:id="rId930" ref="B333"/>
    <hyperlink r:id="rId931" ref="AG333"/>
    <hyperlink r:id="rId932" ref="A334"/>
    <hyperlink r:id="rId933" ref="B334"/>
    <hyperlink r:id="rId934" ref="AG334"/>
    <hyperlink r:id="rId935" ref="A335"/>
    <hyperlink r:id="rId936" ref="B335"/>
    <hyperlink r:id="rId937" ref="AG335"/>
    <hyperlink r:id="rId938" ref="A336"/>
    <hyperlink r:id="rId939" ref="B336"/>
    <hyperlink r:id="rId940" ref="AG336"/>
    <hyperlink r:id="rId941" ref="A337"/>
    <hyperlink r:id="rId942" ref="B337"/>
    <hyperlink r:id="rId943" ref="AG337"/>
    <hyperlink r:id="rId944" ref="A338"/>
    <hyperlink r:id="rId945" ref="B338"/>
    <hyperlink r:id="rId946" ref="AG338"/>
    <hyperlink r:id="rId947" ref="A339"/>
    <hyperlink r:id="rId948" ref="B339"/>
    <hyperlink r:id="rId949" ref="AG339"/>
    <hyperlink r:id="rId950" ref="A340"/>
    <hyperlink r:id="rId951" ref="B340"/>
    <hyperlink r:id="rId952" ref="AG340"/>
    <hyperlink r:id="rId953" ref="A341"/>
    <hyperlink r:id="rId954" ref="B341"/>
    <hyperlink r:id="rId955" ref="AG341"/>
    <hyperlink r:id="rId956" ref="A342"/>
    <hyperlink r:id="rId957" ref="B342"/>
    <hyperlink r:id="rId958" ref="AG342"/>
    <hyperlink r:id="rId959" ref="A343"/>
    <hyperlink r:id="rId960" ref="B343"/>
    <hyperlink r:id="rId961" ref="AG343"/>
    <hyperlink r:id="rId962" ref="A344"/>
    <hyperlink r:id="rId963" ref="B344"/>
    <hyperlink r:id="rId964" ref="AG344"/>
    <hyperlink r:id="rId965" ref="A345"/>
    <hyperlink r:id="rId966" ref="B345"/>
    <hyperlink r:id="rId967" ref="AG345"/>
    <hyperlink r:id="rId968" ref="A346"/>
    <hyperlink r:id="rId969" ref="B346"/>
    <hyperlink r:id="rId970" ref="AG346"/>
    <hyperlink r:id="rId971" ref="A347"/>
    <hyperlink r:id="rId972" ref="B347"/>
    <hyperlink r:id="rId973" ref="AG347"/>
    <hyperlink r:id="rId974" ref="A348"/>
    <hyperlink r:id="rId975" ref="B348"/>
    <hyperlink r:id="rId976" ref="A349"/>
    <hyperlink r:id="rId977" ref="B349"/>
    <hyperlink r:id="rId978" ref="A350"/>
    <hyperlink r:id="rId979" ref="B350"/>
    <hyperlink r:id="rId980" ref="A351"/>
    <hyperlink r:id="rId981" location="kf" ref="B351"/>
    <hyperlink r:id="rId982" ref="AG351"/>
    <hyperlink r:id="rId983" ref="A352"/>
    <hyperlink r:id="rId984" location="kf" ref="B352"/>
    <hyperlink r:id="rId985" ref="AG352"/>
    <hyperlink r:id="rId986" ref="A353"/>
    <hyperlink r:id="rId987" location="kf" ref="B353"/>
    <hyperlink r:id="rId988" ref="AG353"/>
    <hyperlink r:id="rId989" ref="A354"/>
    <hyperlink r:id="rId990" location="kf" ref="B354"/>
    <hyperlink r:id="rId991" ref="AG354"/>
    <hyperlink r:id="rId992" ref="A355"/>
    <hyperlink r:id="rId993" location="kf" ref="B355"/>
    <hyperlink r:id="rId994" ref="AG355"/>
    <hyperlink r:id="rId995" ref="A356"/>
    <hyperlink r:id="rId996" ref="B356"/>
    <hyperlink r:id="rId997" ref="A357"/>
    <hyperlink r:id="rId998" ref="B357"/>
    <hyperlink r:id="rId999" ref="A358"/>
    <hyperlink r:id="rId1000" ref="B358"/>
    <hyperlink r:id="rId1001" ref="A359"/>
    <hyperlink r:id="rId1002" location="ov" ref="B359"/>
    <hyperlink r:id="rId1003" ref="AG359"/>
    <hyperlink r:id="rId1004" ref="A360"/>
    <hyperlink r:id="rId1005" location="ov" ref="B360"/>
    <hyperlink r:id="rId1006" ref="AG360"/>
    <hyperlink r:id="rId1007" ref="A361"/>
    <hyperlink r:id="rId1008" location="kf" ref="B361"/>
    <hyperlink r:id="rId1009" ref="AG361"/>
    <hyperlink r:id="rId1010" ref="A362"/>
    <hyperlink r:id="rId1011" location="kf" ref="B362"/>
    <hyperlink r:id="rId1012" ref="A363"/>
    <hyperlink r:id="rId1013" location="kf" ref="B363"/>
    <hyperlink r:id="rId1014" ref="A364"/>
    <hyperlink r:id="rId1015" location="kf" ref="B364"/>
    <hyperlink r:id="rId1016" ref="A365"/>
    <hyperlink r:id="rId1017" ref="B365"/>
    <hyperlink r:id="rId1018" ref="A366"/>
    <hyperlink r:id="rId1019" ref="B366"/>
    <hyperlink r:id="rId1020" ref="A367"/>
    <hyperlink r:id="rId1021" ref="B367"/>
    <hyperlink r:id="rId1022" ref="A368"/>
    <hyperlink r:id="rId1023" ref="B368"/>
    <hyperlink r:id="rId1024" ref="A369"/>
    <hyperlink r:id="rId1025" ref="B369"/>
    <hyperlink r:id="rId1026" ref="A370"/>
    <hyperlink r:id="rId1027" ref="B370"/>
    <hyperlink r:id="rId1028" ref="A371"/>
    <hyperlink r:id="rId1029" ref="B371"/>
    <hyperlink r:id="rId1030" ref="A372"/>
    <hyperlink r:id="rId1031" ref="B372"/>
    <hyperlink r:id="rId1032" ref="A373"/>
    <hyperlink r:id="rId1033" ref="B373"/>
    <hyperlink r:id="rId1034" ref="A374"/>
    <hyperlink r:id="rId1035" ref="B374"/>
    <hyperlink r:id="rId1036" ref="A375"/>
    <hyperlink r:id="rId1037" ref="B375"/>
    <hyperlink r:id="rId1038" ref="A376"/>
    <hyperlink r:id="rId1039" ref="B376"/>
    <hyperlink r:id="rId1040" ref="A377"/>
    <hyperlink r:id="rId1041" ref="B377"/>
    <hyperlink r:id="rId1042" ref="A378"/>
    <hyperlink r:id="rId1043" ref="B378"/>
    <hyperlink r:id="rId1044" ref="A379"/>
    <hyperlink r:id="rId1045" ref="B379"/>
    <hyperlink r:id="rId1046" ref="A380"/>
    <hyperlink r:id="rId1047" ref="B380"/>
    <hyperlink r:id="rId1048" ref="A381"/>
    <hyperlink r:id="rId1049" ref="B381"/>
    <hyperlink r:id="rId1050" ref="A382"/>
    <hyperlink r:id="rId1051" ref="B382"/>
    <hyperlink r:id="rId1052" ref="A383"/>
    <hyperlink r:id="rId1053" ref="B383"/>
    <hyperlink r:id="rId1054" ref="A384"/>
    <hyperlink r:id="rId1055" ref="B384"/>
    <hyperlink r:id="rId1056" ref="A385"/>
    <hyperlink r:id="rId1057" ref="B385"/>
    <hyperlink r:id="rId1058" ref="A386"/>
    <hyperlink r:id="rId1059" ref="B386"/>
    <hyperlink r:id="rId1060" ref="A387"/>
    <hyperlink r:id="rId1061" ref="B387"/>
    <hyperlink r:id="rId1062" ref="A388"/>
    <hyperlink r:id="rId1063" ref="B388"/>
    <hyperlink r:id="rId1064" ref="A389"/>
    <hyperlink r:id="rId1065" ref="B389"/>
    <hyperlink r:id="rId1066" ref="A390"/>
    <hyperlink r:id="rId1067" ref="B390"/>
    <hyperlink r:id="rId1068" ref="A391"/>
    <hyperlink r:id="rId1069" ref="B391"/>
    <hyperlink r:id="rId1070" ref="A392"/>
    <hyperlink r:id="rId1071" ref="B392"/>
    <hyperlink r:id="rId1072" ref="A393"/>
    <hyperlink r:id="rId1073" ref="B393"/>
    <hyperlink r:id="rId1074" ref="A394"/>
    <hyperlink r:id="rId1075" ref="B394"/>
    <hyperlink r:id="rId1076" ref="A395"/>
    <hyperlink r:id="rId1077" ref="B395"/>
    <hyperlink r:id="rId1078" ref="A396"/>
    <hyperlink r:id="rId1079" ref="B396"/>
    <hyperlink r:id="rId1080" ref="A397"/>
    <hyperlink r:id="rId1081" ref="B397"/>
    <hyperlink r:id="rId1082" ref="A398"/>
    <hyperlink r:id="rId1083" ref="B398"/>
    <hyperlink r:id="rId1084" ref="A399"/>
    <hyperlink r:id="rId1085" ref="B399"/>
    <hyperlink r:id="rId1086" ref="A400"/>
    <hyperlink r:id="rId1087" ref="B400"/>
    <hyperlink r:id="rId1088" ref="A401"/>
    <hyperlink r:id="rId1089" ref="B401"/>
    <hyperlink r:id="rId1090" ref="A402"/>
    <hyperlink r:id="rId1091" ref="B402"/>
    <hyperlink r:id="rId1092" ref="A403"/>
    <hyperlink r:id="rId1093" ref="B403"/>
    <hyperlink r:id="rId1094" ref="A404"/>
    <hyperlink r:id="rId1095" ref="B404"/>
    <hyperlink r:id="rId1096" ref="A405"/>
    <hyperlink r:id="rId1097" ref="B405"/>
    <hyperlink r:id="rId1098" ref="A406"/>
    <hyperlink r:id="rId1099" ref="B406"/>
    <hyperlink r:id="rId1100" ref="A407"/>
    <hyperlink r:id="rId1101" ref="B407"/>
    <hyperlink r:id="rId1102" ref="A408"/>
    <hyperlink r:id="rId1103" ref="B408"/>
    <hyperlink r:id="rId1104" ref="A409"/>
    <hyperlink r:id="rId1105" ref="B409"/>
    <hyperlink r:id="rId1106" ref="A410"/>
    <hyperlink r:id="rId1107" ref="B410"/>
    <hyperlink r:id="rId1108" ref="A411"/>
    <hyperlink r:id="rId1109" ref="B411"/>
    <hyperlink r:id="rId1110" ref="A412"/>
    <hyperlink r:id="rId1111" ref="B412"/>
    <hyperlink r:id="rId1112" ref="A413"/>
    <hyperlink r:id="rId1113" ref="B413"/>
    <hyperlink r:id="rId1114" ref="A414"/>
    <hyperlink r:id="rId1115" ref="B414"/>
    <hyperlink r:id="rId1116" ref="A415"/>
    <hyperlink r:id="rId1117" ref="B415"/>
    <hyperlink r:id="rId1118" ref="A416"/>
    <hyperlink r:id="rId1119" ref="B416"/>
    <hyperlink r:id="rId1120" ref="A417"/>
    <hyperlink r:id="rId1121" ref="B417"/>
    <hyperlink r:id="rId1122" ref="A418"/>
    <hyperlink r:id="rId1123" ref="B418"/>
    <hyperlink r:id="rId1124" ref="A419"/>
    <hyperlink r:id="rId1125" ref="B419"/>
    <hyperlink r:id="rId1126" ref="A420"/>
    <hyperlink r:id="rId1127" ref="B420"/>
    <hyperlink r:id="rId1128" ref="A421"/>
    <hyperlink r:id="rId1129" ref="B421"/>
    <hyperlink r:id="rId1130" ref="A422"/>
    <hyperlink r:id="rId1131" ref="B422"/>
    <hyperlink r:id="rId1132" ref="A423"/>
    <hyperlink r:id="rId1133" ref="B423"/>
    <hyperlink r:id="rId1134" ref="A424"/>
    <hyperlink r:id="rId1135" ref="B424"/>
    <hyperlink r:id="rId1136" ref="A425"/>
    <hyperlink r:id="rId1137" ref="B425"/>
    <hyperlink r:id="rId1138" ref="A426"/>
    <hyperlink r:id="rId1139" ref="B426"/>
    <hyperlink r:id="rId1140" ref="A427"/>
    <hyperlink r:id="rId1141" ref="B427"/>
    <hyperlink r:id="rId1142" ref="A428"/>
    <hyperlink r:id="rId1143" ref="B428"/>
    <hyperlink r:id="rId1144" ref="A429"/>
    <hyperlink r:id="rId1145" ref="B429"/>
    <hyperlink r:id="rId1146" ref="A430"/>
    <hyperlink r:id="rId1147" ref="B430"/>
    <hyperlink r:id="rId1148" ref="A431"/>
    <hyperlink r:id="rId1149" ref="B431"/>
    <hyperlink r:id="rId1150" ref="A432"/>
    <hyperlink r:id="rId1151" ref="B432"/>
    <hyperlink r:id="rId1152" ref="A433"/>
    <hyperlink r:id="rId1153" ref="B433"/>
    <hyperlink r:id="rId1154" ref="A434"/>
    <hyperlink r:id="rId1155" ref="B434"/>
    <hyperlink r:id="rId1156" ref="A435"/>
    <hyperlink r:id="rId1157" ref="B435"/>
    <hyperlink r:id="rId1158" ref="A436"/>
    <hyperlink r:id="rId1159" ref="B436"/>
    <hyperlink r:id="rId1160" ref="A437"/>
    <hyperlink r:id="rId1161" ref="B437"/>
    <hyperlink r:id="rId1162" ref="A438"/>
    <hyperlink r:id="rId1163" ref="B438"/>
    <hyperlink r:id="rId1164" ref="A439"/>
    <hyperlink r:id="rId1165" ref="B439"/>
    <hyperlink r:id="rId1166" ref="A440"/>
    <hyperlink r:id="rId1167" ref="B440"/>
    <hyperlink r:id="rId1168" ref="A441"/>
    <hyperlink r:id="rId1169" ref="B441"/>
    <hyperlink r:id="rId1170" ref="A442"/>
    <hyperlink r:id="rId1171" ref="B442"/>
    <hyperlink r:id="rId1172" ref="A443"/>
    <hyperlink r:id="rId1173" ref="B443"/>
    <hyperlink r:id="rId1174" ref="A444"/>
    <hyperlink r:id="rId1175" ref="B444"/>
    <hyperlink r:id="rId1176" ref="A445"/>
    <hyperlink r:id="rId1177" ref="B445"/>
    <hyperlink r:id="rId1178" ref="A446"/>
    <hyperlink r:id="rId1179" ref="B446"/>
    <hyperlink r:id="rId1180" ref="A447"/>
    <hyperlink r:id="rId1181" ref="B447"/>
    <hyperlink r:id="rId1182" ref="A448"/>
    <hyperlink r:id="rId1183" ref="B448"/>
    <hyperlink r:id="rId1184" ref="A449"/>
    <hyperlink r:id="rId1185" ref="B449"/>
    <hyperlink r:id="rId1186" ref="A450"/>
    <hyperlink r:id="rId1187" ref="B450"/>
    <hyperlink r:id="rId1188" ref="A451"/>
    <hyperlink r:id="rId1189" ref="B451"/>
    <hyperlink r:id="rId1190" ref="A452"/>
    <hyperlink r:id="rId1191" ref="B452"/>
    <hyperlink r:id="rId1192" ref="A453"/>
    <hyperlink r:id="rId1193" ref="B453"/>
    <hyperlink r:id="rId1194" ref="A454"/>
    <hyperlink r:id="rId1195" ref="B454"/>
    <hyperlink r:id="rId1196" ref="A455"/>
    <hyperlink r:id="rId1197" ref="B455"/>
    <hyperlink r:id="rId1198" ref="A456"/>
    <hyperlink r:id="rId1199" ref="B456"/>
    <hyperlink r:id="rId1200" ref="A457"/>
    <hyperlink r:id="rId1201" ref="B457"/>
    <hyperlink r:id="rId1202" ref="A458"/>
    <hyperlink r:id="rId1203" ref="B458"/>
    <hyperlink r:id="rId1204" ref="A459"/>
    <hyperlink r:id="rId1205" ref="B459"/>
    <hyperlink r:id="rId1206" ref="A460"/>
    <hyperlink r:id="rId1207" ref="B460"/>
    <hyperlink r:id="rId1208" ref="A461"/>
    <hyperlink r:id="rId1209" ref="B461"/>
    <hyperlink r:id="rId1210" ref="A462"/>
    <hyperlink r:id="rId1211" ref="B462"/>
    <hyperlink r:id="rId1212" ref="A463"/>
    <hyperlink r:id="rId1213" ref="B463"/>
    <hyperlink r:id="rId1214" ref="A464"/>
    <hyperlink r:id="rId1215" ref="B464"/>
    <hyperlink r:id="rId1216" ref="A465"/>
    <hyperlink r:id="rId1217" ref="B465"/>
    <hyperlink r:id="rId1218" ref="A466"/>
    <hyperlink r:id="rId1219" ref="B466"/>
    <hyperlink r:id="rId1220" ref="A467"/>
    <hyperlink r:id="rId1221" ref="B467"/>
    <hyperlink r:id="rId1222" ref="AG467"/>
    <hyperlink r:id="rId1223" ref="A468"/>
    <hyperlink r:id="rId1224" ref="B468"/>
    <hyperlink r:id="rId1225" ref="AG468"/>
    <hyperlink r:id="rId1226" ref="A469"/>
    <hyperlink r:id="rId1227" ref="B469"/>
    <hyperlink r:id="rId1228" ref="AG469"/>
    <hyperlink r:id="rId1229" ref="A470"/>
    <hyperlink r:id="rId1230" ref="B470"/>
    <hyperlink r:id="rId1231" ref="AG470"/>
    <hyperlink r:id="rId1232" ref="A471"/>
    <hyperlink r:id="rId1233" ref="B471"/>
    <hyperlink r:id="rId1234" ref="AG471"/>
    <hyperlink r:id="rId1235" ref="A472"/>
    <hyperlink r:id="rId1236" ref="B472"/>
    <hyperlink r:id="rId1237" ref="AG472"/>
    <hyperlink r:id="rId1238" ref="A473"/>
    <hyperlink r:id="rId1239" ref="B473"/>
    <hyperlink r:id="rId1240" ref="AG473"/>
    <hyperlink r:id="rId1241" ref="A474"/>
    <hyperlink r:id="rId1242" ref="B474"/>
    <hyperlink r:id="rId1243" ref="AG474"/>
    <hyperlink r:id="rId1244" ref="A475"/>
    <hyperlink r:id="rId1245" ref="B475"/>
    <hyperlink r:id="rId1246" ref="AG475"/>
    <hyperlink r:id="rId1247" ref="A476"/>
    <hyperlink r:id="rId1248" ref="B476"/>
    <hyperlink r:id="rId1249" ref="AG476"/>
    <hyperlink r:id="rId1250" ref="A477"/>
    <hyperlink r:id="rId1251" ref="B477"/>
    <hyperlink r:id="rId1252" ref="AG477"/>
    <hyperlink r:id="rId1253" ref="B478"/>
    <hyperlink r:id="rId1254" ref="AG478"/>
    <hyperlink r:id="rId1255" ref="B479"/>
    <hyperlink r:id="rId1256" ref="AG479"/>
    <hyperlink r:id="rId1257" ref="B480"/>
    <hyperlink r:id="rId1258" ref="AG480"/>
    <hyperlink r:id="rId1259" ref="B481"/>
    <hyperlink r:id="rId1260" ref="AG481"/>
    <hyperlink r:id="rId1261" ref="B482"/>
    <hyperlink r:id="rId1262" ref="AG482"/>
    <hyperlink r:id="rId1263" ref="B483"/>
    <hyperlink r:id="rId1264" ref="AG483"/>
    <hyperlink r:id="rId1265" ref="B484"/>
    <hyperlink r:id="rId1266" ref="AG484"/>
    <hyperlink r:id="rId1267" ref="B485"/>
    <hyperlink r:id="rId1268" ref="AG485"/>
    <hyperlink r:id="rId1269" ref="B486"/>
    <hyperlink r:id="rId1270" ref="AG486"/>
    <hyperlink r:id="rId1271" ref="B487"/>
    <hyperlink r:id="rId1272" ref="AG487"/>
    <hyperlink r:id="rId1273" ref="B488"/>
    <hyperlink r:id="rId1274" ref="AG488"/>
    <hyperlink r:id="rId1275" ref="B489"/>
    <hyperlink r:id="rId1276" ref="AG489"/>
    <hyperlink r:id="rId1277" ref="B490"/>
    <hyperlink r:id="rId1278" ref="AG490"/>
    <hyperlink r:id="rId1279" ref="B491"/>
    <hyperlink r:id="rId1280" ref="AG491"/>
    <hyperlink r:id="rId1281" ref="B492"/>
    <hyperlink r:id="rId1282" ref="AG492"/>
    <hyperlink r:id="rId1283" ref="B493"/>
    <hyperlink r:id="rId1284" ref="AG493"/>
    <hyperlink r:id="rId1285" ref="B494"/>
    <hyperlink r:id="rId1286" ref="B495"/>
    <hyperlink r:id="rId1287" ref="AH495"/>
    <hyperlink r:id="rId1288" ref="B496"/>
    <hyperlink r:id="rId1289" ref="B497"/>
    <hyperlink r:id="rId1290" ref="B498"/>
    <hyperlink r:id="rId1291" ref="AG498"/>
    <hyperlink r:id="rId1292" ref="B499"/>
    <hyperlink r:id="rId1293" ref="AG499"/>
    <hyperlink r:id="rId1294" ref="B500"/>
    <hyperlink r:id="rId1295" ref="AG500"/>
    <hyperlink r:id="rId1296" ref="B501"/>
    <hyperlink r:id="rId1297" ref="AG501"/>
    <hyperlink r:id="rId1298" ref="B502"/>
    <hyperlink r:id="rId1299" ref="AG502"/>
    <hyperlink r:id="rId1300" ref="B503"/>
    <hyperlink r:id="rId1301" ref="AG503"/>
    <hyperlink r:id="rId1302" ref="B504"/>
    <hyperlink r:id="rId1303" ref="AG504"/>
    <hyperlink r:id="rId1304" ref="B505"/>
    <hyperlink r:id="rId1305" ref="AG505"/>
    <hyperlink r:id="rId1306" ref="B506"/>
    <hyperlink r:id="rId1307" ref="AG506"/>
    <hyperlink r:id="rId1308" ref="A507"/>
    <hyperlink r:id="rId1309" ref="B507"/>
    <hyperlink r:id="rId1310" ref="AG507"/>
    <hyperlink r:id="rId1311" ref="A508"/>
    <hyperlink r:id="rId1312" ref="B508"/>
    <hyperlink r:id="rId1313" ref="AG508"/>
    <hyperlink r:id="rId1314" ref="A509"/>
    <hyperlink r:id="rId1315" ref="B509"/>
    <hyperlink r:id="rId1316" ref="AG509"/>
    <hyperlink r:id="rId1317" ref="A510"/>
    <hyperlink r:id="rId1318" ref="B510"/>
    <hyperlink r:id="rId1319" ref="AG510"/>
    <hyperlink r:id="rId1320" ref="A511"/>
    <hyperlink r:id="rId1321" ref="B511"/>
    <hyperlink r:id="rId1322" ref="AG511"/>
    <hyperlink r:id="rId1323" ref="A512"/>
    <hyperlink r:id="rId1324" ref="B512"/>
    <hyperlink r:id="rId1325" ref="AG512"/>
    <hyperlink r:id="rId1326" ref="A513"/>
    <hyperlink r:id="rId1327" ref="B513"/>
    <hyperlink r:id="rId1328" ref="AG513"/>
    <hyperlink r:id="rId1329" ref="A514"/>
    <hyperlink r:id="rId1330" ref="B514"/>
    <hyperlink r:id="rId1331" ref="AG514"/>
    <hyperlink r:id="rId1332" ref="A515"/>
    <hyperlink r:id="rId1333" ref="B515"/>
    <hyperlink r:id="rId1334" ref="AG515"/>
    <hyperlink r:id="rId1335" ref="A516"/>
    <hyperlink r:id="rId1336" ref="B516"/>
    <hyperlink r:id="rId1337" ref="AG516"/>
    <hyperlink r:id="rId1338" ref="A517"/>
    <hyperlink r:id="rId1339" ref="B517"/>
    <hyperlink r:id="rId1340" ref="AG517"/>
    <hyperlink r:id="rId1341" ref="A518"/>
    <hyperlink r:id="rId1342" ref="B518"/>
    <hyperlink r:id="rId1343" ref="AG518"/>
    <hyperlink r:id="rId1344" ref="A519"/>
    <hyperlink r:id="rId1345" ref="B519"/>
    <hyperlink r:id="rId1346" ref="AG519"/>
    <hyperlink r:id="rId1347" ref="A520"/>
    <hyperlink r:id="rId1348" ref="B520"/>
    <hyperlink r:id="rId1349" ref="AG520"/>
    <hyperlink r:id="rId1350" ref="A521"/>
    <hyperlink r:id="rId1351" ref="B521"/>
    <hyperlink r:id="rId1352" ref="AG521"/>
    <hyperlink r:id="rId1353" ref="A522"/>
    <hyperlink r:id="rId1354" ref="B522"/>
    <hyperlink r:id="rId1355" ref="AG522"/>
    <hyperlink r:id="rId1356" ref="A523"/>
    <hyperlink r:id="rId1357" ref="B523"/>
    <hyperlink r:id="rId1358" ref="AG523"/>
    <hyperlink r:id="rId1359" ref="A524"/>
    <hyperlink r:id="rId1360" ref="B524"/>
    <hyperlink r:id="rId1361" ref="AG524"/>
    <hyperlink r:id="rId1362" ref="A525"/>
    <hyperlink r:id="rId1363" ref="B525"/>
    <hyperlink r:id="rId1364" ref="AG525"/>
    <hyperlink r:id="rId1365" ref="A526"/>
    <hyperlink r:id="rId1366" ref="B526"/>
    <hyperlink r:id="rId1367" ref="AG526"/>
    <hyperlink r:id="rId1368" ref="A527"/>
    <hyperlink r:id="rId1369" ref="B527"/>
    <hyperlink r:id="rId1370" ref="AG527"/>
    <hyperlink r:id="rId1371" ref="A528"/>
    <hyperlink r:id="rId1372" ref="B528"/>
    <hyperlink r:id="rId1373" ref="AG528"/>
    <hyperlink r:id="rId1374" ref="A529"/>
    <hyperlink r:id="rId1375" ref="B529"/>
    <hyperlink r:id="rId1376" ref="AG529"/>
    <hyperlink r:id="rId1377" ref="A530"/>
    <hyperlink r:id="rId1378" ref="B530"/>
    <hyperlink r:id="rId1379" ref="AG530"/>
    <hyperlink r:id="rId1380" ref="A531"/>
    <hyperlink r:id="rId1381" ref="B531"/>
    <hyperlink r:id="rId1382" ref="AG531"/>
    <hyperlink r:id="rId1383" ref="A532"/>
    <hyperlink r:id="rId1384" ref="B532"/>
    <hyperlink r:id="rId1385" ref="AG532"/>
    <hyperlink r:id="rId1386" ref="A533"/>
    <hyperlink r:id="rId1387" ref="B533"/>
    <hyperlink r:id="rId1388" ref="A534"/>
    <hyperlink r:id="rId1389" ref="B534"/>
    <hyperlink r:id="rId1390" ref="A535"/>
    <hyperlink r:id="rId1391" ref="B535"/>
    <hyperlink r:id="rId1392" ref="AG535"/>
    <hyperlink r:id="rId1393" ref="A536"/>
    <hyperlink r:id="rId1394" ref="B536"/>
    <hyperlink r:id="rId1395" ref="AG536"/>
    <hyperlink r:id="rId1396" ref="A537"/>
    <hyperlink r:id="rId1397" ref="B537"/>
    <hyperlink r:id="rId1398" ref="AG537"/>
    <hyperlink r:id="rId1399" ref="A538"/>
    <hyperlink r:id="rId1400" ref="B538"/>
    <hyperlink r:id="rId1401" ref="AG538"/>
    <hyperlink r:id="rId1402" ref="A539"/>
    <hyperlink r:id="rId1403" ref="B539"/>
    <hyperlink r:id="rId1404" ref="AG539"/>
    <hyperlink r:id="rId1405" ref="A540"/>
    <hyperlink r:id="rId1406" ref="B540"/>
    <hyperlink r:id="rId1407" ref="AG540"/>
    <hyperlink r:id="rId1408" ref="A541"/>
    <hyperlink r:id="rId1409" ref="B541"/>
    <hyperlink r:id="rId1410" ref="A542"/>
    <hyperlink r:id="rId1411" ref="B542"/>
    <hyperlink r:id="rId1412" ref="A543"/>
    <hyperlink r:id="rId1413" ref="B543"/>
    <hyperlink r:id="rId1414" ref="AG543"/>
    <hyperlink r:id="rId1415" ref="A544"/>
    <hyperlink r:id="rId1416" ref="B544"/>
    <hyperlink r:id="rId1417" ref="AG544"/>
    <hyperlink r:id="rId1418" ref="A545"/>
    <hyperlink r:id="rId1419" ref="B545"/>
    <hyperlink r:id="rId1420" ref="AG545"/>
    <hyperlink r:id="rId1421" ref="A546"/>
    <hyperlink r:id="rId1422" ref="B546"/>
    <hyperlink r:id="rId1423" ref="A547"/>
    <hyperlink r:id="rId1424" ref="B547"/>
    <hyperlink r:id="rId1425" ref="A548"/>
    <hyperlink r:id="rId1426" ref="B548"/>
    <hyperlink r:id="rId1427" ref="A549"/>
    <hyperlink r:id="rId1428" ref="B549"/>
    <hyperlink r:id="rId1429" ref="A550"/>
    <hyperlink r:id="rId1430" ref="B550"/>
    <hyperlink r:id="rId1431" ref="A551"/>
    <hyperlink r:id="rId1432" ref="B551"/>
    <hyperlink r:id="rId1433" ref="A552"/>
    <hyperlink r:id="rId1434" ref="B552"/>
    <hyperlink r:id="rId1435" ref="A553"/>
    <hyperlink r:id="rId1436" ref="B553"/>
    <hyperlink r:id="rId1437" ref="A554"/>
    <hyperlink r:id="rId1438" ref="B554"/>
    <hyperlink r:id="rId1439" ref="A555"/>
    <hyperlink r:id="rId1440" ref="B555"/>
    <hyperlink r:id="rId1441" ref="A556"/>
    <hyperlink r:id="rId1442" ref="B556"/>
    <hyperlink r:id="rId1443" ref="A557"/>
    <hyperlink r:id="rId1444" ref="B557"/>
    <hyperlink r:id="rId1445" ref="A558"/>
    <hyperlink r:id="rId1446" ref="B558"/>
    <hyperlink r:id="rId1447" ref="AG558"/>
    <hyperlink r:id="rId1448" ref="A559"/>
    <hyperlink r:id="rId1449" ref="B559"/>
    <hyperlink r:id="rId1450" ref="AG559"/>
    <hyperlink r:id="rId1451" ref="A560"/>
    <hyperlink r:id="rId1452" ref="AG560"/>
    <hyperlink r:id="rId1453" ref="A561"/>
    <hyperlink r:id="rId1454" ref="AG561"/>
    <hyperlink r:id="rId1455" ref="A562"/>
    <hyperlink r:id="rId1456" ref="AG562"/>
    <hyperlink r:id="rId1457" ref="A563"/>
    <hyperlink r:id="rId1458" ref="AG563"/>
    <hyperlink r:id="rId1459" ref="A564"/>
    <hyperlink r:id="rId1460" ref="AG564"/>
    <hyperlink r:id="rId1461" ref="A565"/>
    <hyperlink r:id="rId1462" ref="B565"/>
    <hyperlink r:id="rId1463" ref="AG565"/>
    <hyperlink r:id="rId1464" ref="A566"/>
    <hyperlink r:id="rId1465" ref="B566"/>
    <hyperlink r:id="rId1466" ref="AG566"/>
    <hyperlink r:id="rId1467" ref="A567"/>
    <hyperlink r:id="rId1468" location="desc" ref="B567"/>
    <hyperlink r:id="rId1469" ref="A568"/>
    <hyperlink r:id="rId1470" location="desc" ref="B568"/>
    <hyperlink r:id="rId1471" ref="A569"/>
    <hyperlink r:id="rId1472" location="desc" ref="B569"/>
    <hyperlink r:id="rId1473" ref="A570"/>
    <hyperlink r:id="rId1474" ref="B570"/>
    <hyperlink r:id="rId1475" ref="A571"/>
    <hyperlink r:id="rId1476" ref="B571"/>
    <hyperlink r:id="rId1477" ref="A572"/>
    <hyperlink r:id="rId1478" ref="B572"/>
    <hyperlink r:id="rId1479" ref="A573"/>
    <hyperlink r:id="rId1480" ref="B573"/>
    <hyperlink r:id="rId1481" ref="A574"/>
    <hyperlink r:id="rId1482" ref="B574"/>
    <hyperlink r:id="rId1483" ref="A575"/>
    <hyperlink r:id="rId1484" ref="B575"/>
    <hyperlink r:id="rId1485" ref="A576"/>
    <hyperlink r:id="rId1486" ref="B576"/>
    <hyperlink r:id="rId1487" ref="A577"/>
    <hyperlink r:id="rId1488" ref="B577"/>
    <hyperlink r:id="rId1489" ref="A578"/>
    <hyperlink r:id="rId1490" ref="B578"/>
    <hyperlink r:id="rId1491" ref="A579"/>
    <hyperlink r:id="rId1492" ref="B579"/>
    <hyperlink r:id="rId1493" ref="A580"/>
    <hyperlink r:id="rId1494" ref="B580"/>
    <hyperlink r:id="rId1495" ref="AG580"/>
    <hyperlink r:id="rId1496" ref="A581"/>
    <hyperlink r:id="rId1497" ref="B581"/>
    <hyperlink r:id="rId1498" ref="AG581"/>
    <hyperlink r:id="rId1499" ref="A582"/>
    <hyperlink r:id="rId1500" ref="B582"/>
    <hyperlink r:id="rId1501" ref="AG582"/>
    <hyperlink r:id="rId1502" ref="A583"/>
    <hyperlink r:id="rId1503" ref="B583"/>
    <hyperlink r:id="rId1504" ref="A584"/>
    <hyperlink r:id="rId1505" ref="B584"/>
    <hyperlink r:id="rId1506" ref="A585"/>
    <hyperlink r:id="rId1507" ref="B585"/>
    <hyperlink r:id="rId1508" ref="A586"/>
    <hyperlink r:id="rId1509" ref="B586"/>
    <hyperlink r:id="rId1510" ref="A587"/>
    <hyperlink r:id="rId1511" ref="B587"/>
    <hyperlink r:id="rId1512" ref="AG587"/>
    <hyperlink r:id="rId1513" ref="A588"/>
    <hyperlink r:id="rId1514" ref="B588"/>
    <hyperlink r:id="rId1515" ref="AG588"/>
    <hyperlink r:id="rId1516" ref="A589"/>
    <hyperlink r:id="rId1517" ref="B589"/>
    <hyperlink r:id="rId1518" ref="AG589"/>
    <hyperlink r:id="rId1519" ref="A590"/>
    <hyperlink r:id="rId1520" ref="B590"/>
    <hyperlink r:id="rId1521" ref="AG590"/>
    <hyperlink r:id="rId1522" ref="A591"/>
    <hyperlink r:id="rId1523" ref="B591"/>
    <hyperlink r:id="rId1524" ref="AG591"/>
    <hyperlink r:id="rId1525" ref="A592"/>
    <hyperlink r:id="rId1526" ref="B592"/>
    <hyperlink r:id="rId1527" ref="AG592"/>
    <hyperlink r:id="rId1528" ref="A593"/>
    <hyperlink r:id="rId1529" ref="B593"/>
    <hyperlink r:id="rId1530" ref="AG593"/>
    <hyperlink r:id="rId1531" ref="A594"/>
    <hyperlink r:id="rId1532" ref="B594"/>
    <hyperlink r:id="rId1533" ref="AG594"/>
    <hyperlink r:id="rId1534" ref="A595"/>
    <hyperlink r:id="rId1535" ref="B595"/>
    <hyperlink r:id="rId1536" ref="AG595"/>
    <hyperlink r:id="rId1537" ref="A596"/>
    <hyperlink r:id="rId1538" ref="B596"/>
    <hyperlink r:id="rId1539" ref="AG596"/>
    <hyperlink r:id="rId1540" ref="A597"/>
    <hyperlink r:id="rId1541" ref="B597"/>
    <hyperlink r:id="rId1542" ref="AG597"/>
    <hyperlink r:id="rId1543" ref="A598"/>
    <hyperlink r:id="rId1544" ref="B598"/>
    <hyperlink r:id="rId1545" ref="AG598"/>
    <hyperlink r:id="rId1546" ref="A599"/>
    <hyperlink r:id="rId1547" ref="B599"/>
    <hyperlink r:id="rId1548" ref="AG599"/>
    <hyperlink r:id="rId1549" ref="A600"/>
    <hyperlink r:id="rId1550" ref="B600"/>
    <hyperlink r:id="rId1551" ref="AG600"/>
    <hyperlink r:id="rId1552" ref="A601"/>
    <hyperlink r:id="rId1553" ref="B601"/>
    <hyperlink r:id="rId1554" ref="A602"/>
    <hyperlink r:id="rId1555" ref="B602"/>
    <hyperlink r:id="rId1556" ref="A603"/>
    <hyperlink r:id="rId1557" ref="B603"/>
    <hyperlink r:id="rId1558" ref="A604"/>
    <hyperlink r:id="rId1559" ref="B604"/>
    <hyperlink r:id="rId1560" ref="A605"/>
    <hyperlink r:id="rId1561" ref="B605"/>
    <hyperlink r:id="rId1562" ref="A606"/>
    <hyperlink r:id="rId1563" ref="B606"/>
    <hyperlink r:id="rId1564" ref="A607"/>
    <hyperlink r:id="rId1565" ref="B607"/>
    <hyperlink r:id="rId1566" ref="A608"/>
    <hyperlink r:id="rId1567" ref="B608"/>
    <hyperlink r:id="rId1568" ref="A609"/>
    <hyperlink r:id="rId1569" ref="B609"/>
    <hyperlink r:id="rId1570" ref="A610"/>
    <hyperlink r:id="rId1571" ref="B610"/>
    <hyperlink r:id="rId1572" ref="A611"/>
    <hyperlink r:id="rId1573" ref="B611"/>
    <hyperlink r:id="rId1574" ref="A612"/>
    <hyperlink r:id="rId1575" ref="B612"/>
    <hyperlink r:id="rId1576" ref="A613"/>
    <hyperlink r:id="rId1577" ref="B613"/>
    <hyperlink r:id="rId1578" ref="A614"/>
    <hyperlink r:id="rId1579" ref="B614"/>
    <hyperlink r:id="rId1580" ref="A615"/>
    <hyperlink r:id="rId1581" ref="B615"/>
    <hyperlink r:id="rId1582" ref="A616"/>
    <hyperlink r:id="rId1583" ref="B616"/>
    <hyperlink r:id="rId1584" ref="A617"/>
    <hyperlink r:id="rId1585" ref="B617"/>
    <hyperlink r:id="rId1586" ref="A618"/>
    <hyperlink r:id="rId1587" ref="B618"/>
    <hyperlink r:id="rId1588" ref="A619"/>
    <hyperlink r:id="rId1589" ref="B619"/>
    <hyperlink r:id="rId1590" ref="A620"/>
    <hyperlink r:id="rId1591" ref="B620"/>
    <hyperlink r:id="rId1592" ref="A621"/>
    <hyperlink r:id="rId1593" ref="B621"/>
    <hyperlink r:id="rId1594" ref="A622"/>
    <hyperlink r:id="rId1595" ref="B622"/>
    <hyperlink r:id="rId1596" ref="A623"/>
    <hyperlink r:id="rId1597" ref="B623"/>
    <hyperlink r:id="rId1598" ref="A624"/>
    <hyperlink r:id="rId1599" ref="B624"/>
    <hyperlink r:id="rId1600" ref="A625"/>
    <hyperlink r:id="rId1601" ref="B625"/>
    <hyperlink r:id="rId1602" ref="A626"/>
    <hyperlink r:id="rId1603" ref="B626"/>
    <hyperlink r:id="rId1604" ref="A627"/>
    <hyperlink r:id="rId1605" ref="B627"/>
    <hyperlink r:id="rId1606" ref="A628"/>
    <hyperlink r:id="rId1607" ref="B628"/>
    <hyperlink r:id="rId1608" ref="A629"/>
    <hyperlink r:id="rId1609" ref="B629"/>
    <hyperlink r:id="rId1610" ref="AG629"/>
    <hyperlink r:id="rId1611" ref="A630"/>
    <hyperlink r:id="rId1612" ref="B630"/>
    <hyperlink r:id="rId1613" ref="AG630"/>
    <hyperlink r:id="rId1614" ref="A631"/>
    <hyperlink r:id="rId1615" ref="B631"/>
    <hyperlink r:id="rId1616" ref="A632"/>
    <hyperlink r:id="rId1617" ref="B632"/>
    <hyperlink r:id="rId1618" ref="A633"/>
    <hyperlink r:id="rId1619" ref="B633"/>
    <hyperlink r:id="rId1620" ref="A634"/>
    <hyperlink r:id="rId1621" ref="B634"/>
    <hyperlink r:id="rId1622" ref="A635"/>
    <hyperlink r:id="rId1623" ref="B635"/>
    <hyperlink r:id="rId1624" ref="A636"/>
    <hyperlink r:id="rId1625" ref="B636"/>
    <hyperlink r:id="rId1626" ref="A637"/>
    <hyperlink r:id="rId1627" ref="B637"/>
    <hyperlink r:id="rId1628" ref="A638"/>
    <hyperlink r:id="rId1629" ref="B638"/>
    <hyperlink r:id="rId1630" ref="A639"/>
    <hyperlink r:id="rId1631" ref="B639"/>
    <hyperlink r:id="rId1632" ref="A640"/>
    <hyperlink r:id="rId1633" ref="B640"/>
    <hyperlink r:id="rId1634" ref="A641"/>
    <hyperlink r:id="rId1635" ref="B641"/>
    <hyperlink r:id="rId1636" ref="A642"/>
    <hyperlink r:id="rId1637" ref="B642"/>
    <hyperlink r:id="rId1638" ref="A643"/>
    <hyperlink r:id="rId1639" ref="B643"/>
    <hyperlink r:id="rId1640" ref="A644"/>
    <hyperlink r:id="rId1641" ref="B644"/>
    <hyperlink r:id="rId1642" ref="A645"/>
    <hyperlink r:id="rId1643" ref="B645"/>
    <hyperlink r:id="rId1644" ref="A646"/>
    <hyperlink r:id="rId1645" ref="B646"/>
    <hyperlink r:id="rId1646" ref="A647"/>
    <hyperlink r:id="rId1647" ref="B647"/>
    <hyperlink r:id="rId1648" ref="A648"/>
    <hyperlink r:id="rId1649" ref="B648"/>
    <hyperlink r:id="rId1650" ref="A649"/>
    <hyperlink r:id="rId1651" ref="B649"/>
    <hyperlink r:id="rId1652" ref="A650"/>
    <hyperlink r:id="rId1653" ref="B650"/>
    <hyperlink r:id="rId1654" ref="A651"/>
    <hyperlink r:id="rId1655" ref="B651"/>
    <hyperlink r:id="rId1656" ref="A652"/>
    <hyperlink r:id="rId1657" ref="B652"/>
    <hyperlink r:id="rId1658" ref="A653"/>
    <hyperlink r:id="rId1659" ref="B653"/>
    <hyperlink r:id="rId1660" ref="A654"/>
    <hyperlink r:id="rId1661" ref="B654"/>
    <hyperlink r:id="rId1662" ref="A655"/>
    <hyperlink r:id="rId1663" ref="B655"/>
    <hyperlink r:id="rId1664" ref="A656"/>
    <hyperlink r:id="rId1665" ref="B656"/>
    <hyperlink r:id="rId1666" ref="A657"/>
    <hyperlink r:id="rId1667" ref="B657"/>
    <hyperlink r:id="rId1668" ref="A658"/>
    <hyperlink r:id="rId1669" ref="B658"/>
    <hyperlink r:id="rId1670" ref="A659"/>
    <hyperlink r:id="rId1671" ref="B659"/>
    <hyperlink r:id="rId1672" ref="A660"/>
    <hyperlink r:id="rId1673" ref="B660"/>
    <hyperlink r:id="rId1674" ref="A661"/>
    <hyperlink r:id="rId1675" ref="B661"/>
    <hyperlink r:id="rId1676" ref="A662"/>
    <hyperlink r:id="rId1677" ref="B662"/>
    <hyperlink r:id="rId1678" ref="A663"/>
    <hyperlink r:id="rId1679" ref="B663"/>
    <hyperlink r:id="rId1680" ref="A664"/>
    <hyperlink r:id="rId1681" ref="B664"/>
    <hyperlink r:id="rId1682" ref="A665"/>
    <hyperlink r:id="rId1683" ref="B665"/>
    <hyperlink r:id="rId1684" ref="A666"/>
    <hyperlink r:id="rId1685" ref="B666"/>
    <hyperlink r:id="rId1686" ref="A667"/>
    <hyperlink r:id="rId1687" ref="B667"/>
    <hyperlink r:id="rId1688" ref="A668"/>
    <hyperlink r:id="rId1689" ref="B668"/>
    <hyperlink r:id="rId1690" ref="A669"/>
    <hyperlink r:id="rId1691" ref="B669"/>
    <hyperlink r:id="rId1692" ref="A670"/>
    <hyperlink r:id="rId1693" ref="B670"/>
    <hyperlink r:id="rId1694" ref="A671"/>
    <hyperlink r:id="rId1695" ref="B671"/>
    <hyperlink r:id="rId1696" ref="A672"/>
    <hyperlink r:id="rId1697" ref="B672"/>
    <hyperlink r:id="rId1698" ref="A673"/>
    <hyperlink r:id="rId1699" ref="B673"/>
    <hyperlink r:id="rId1700" ref="A674"/>
    <hyperlink r:id="rId1701" ref="B674"/>
    <hyperlink r:id="rId1702" ref="A675"/>
    <hyperlink r:id="rId1703" ref="B675"/>
    <hyperlink r:id="rId1704" ref="A676"/>
    <hyperlink r:id="rId1705" ref="B676"/>
    <hyperlink r:id="rId1706" ref="A677"/>
    <hyperlink r:id="rId1707" ref="B677"/>
    <hyperlink r:id="rId1708" ref="A678"/>
    <hyperlink r:id="rId1709" ref="B678"/>
    <hyperlink r:id="rId1710" ref="A679"/>
    <hyperlink r:id="rId1711" ref="B679"/>
    <hyperlink r:id="rId1712" ref="A680"/>
    <hyperlink r:id="rId1713" ref="B680"/>
    <hyperlink r:id="rId1714" ref="A681"/>
    <hyperlink r:id="rId1715" ref="B681"/>
    <hyperlink r:id="rId1716" ref="A682"/>
    <hyperlink r:id="rId1717" ref="B682"/>
    <hyperlink r:id="rId1718" ref="A683"/>
    <hyperlink r:id="rId1719" ref="B683"/>
    <hyperlink r:id="rId1720" ref="A684"/>
    <hyperlink r:id="rId1721" ref="B684"/>
    <hyperlink r:id="rId1722" ref="A685"/>
    <hyperlink r:id="rId1723" ref="B685"/>
    <hyperlink r:id="rId1724" ref="A686"/>
    <hyperlink r:id="rId1725" ref="B686"/>
    <hyperlink r:id="rId1726" ref="A687"/>
    <hyperlink r:id="rId1727" ref="B687"/>
    <hyperlink r:id="rId1728" ref="A688"/>
    <hyperlink r:id="rId1729" ref="B688"/>
    <hyperlink r:id="rId1730" ref="A689"/>
    <hyperlink r:id="rId1731" ref="B689"/>
    <hyperlink r:id="rId1732" ref="AG689"/>
    <hyperlink r:id="rId1733" ref="A690"/>
    <hyperlink r:id="rId1734" ref="B690"/>
    <hyperlink r:id="rId1735" ref="AG690"/>
    <hyperlink r:id="rId1736" ref="A691"/>
    <hyperlink r:id="rId1737" ref="B691"/>
    <hyperlink r:id="rId1738" ref="AG691"/>
    <hyperlink r:id="rId1739" ref="A692"/>
    <hyperlink r:id="rId1740" ref="B692"/>
    <hyperlink r:id="rId1741" ref="AG692"/>
    <hyperlink r:id="rId1742" ref="A693"/>
    <hyperlink r:id="rId1743" ref="B693"/>
    <hyperlink r:id="rId1744" ref="AG693"/>
    <hyperlink r:id="rId1745" ref="A694"/>
    <hyperlink r:id="rId1746" ref="B694"/>
    <hyperlink r:id="rId1747" ref="AG694"/>
    <hyperlink r:id="rId1748" ref="A695"/>
    <hyperlink r:id="rId1749" ref="B695"/>
    <hyperlink r:id="rId1750" ref="AG695"/>
    <hyperlink r:id="rId1751" ref="A696"/>
    <hyperlink r:id="rId1752" ref="B696"/>
    <hyperlink r:id="rId1753" ref="AG696"/>
    <hyperlink r:id="rId1754" ref="A697"/>
    <hyperlink r:id="rId1755" ref="B697"/>
    <hyperlink r:id="rId1756" ref="A698"/>
    <hyperlink r:id="rId1757" ref="B698"/>
    <hyperlink r:id="rId1758" ref="A699"/>
    <hyperlink r:id="rId1759" ref="B699"/>
    <hyperlink r:id="rId1760" ref="A700"/>
    <hyperlink r:id="rId1761" ref="B700"/>
    <hyperlink r:id="rId1762" ref="A701"/>
    <hyperlink r:id="rId1763" ref="B701"/>
    <hyperlink r:id="rId1764" ref="A702"/>
    <hyperlink r:id="rId1765" ref="B702"/>
    <hyperlink r:id="rId1766" ref="A703"/>
    <hyperlink r:id="rId1767" ref="B703"/>
    <hyperlink r:id="rId1768" ref="A704"/>
    <hyperlink r:id="rId1769" ref="B704"/>
    <hyperlink r:id="rId1770" ref="AG704"/>
    <hyperlink r:id="rId1771" ref="A705"/>
    <hyperlink r:id="rId1772" ref="B705"/>
    <hyperlink r:id="rId1773" ref="AG705"/>
    <hyperlink r:id="rId1774" ref="A706"/>
    <hyperlink r:id="rId1775" ref="B706"/>
    <hyperlink r:id="rId1776" ref="AG706"/>
    <hyperlink r:id="rId1777" ref="A707"/>
    <hyperlink r:id="rId1778" ref="B707"/>
    <hyperlink r:id="rId1779" ref="AG707"/>
    <hyperlink r:id="rId1780" ref="A708"/>
    <hyperlink r:id="rId1781" ref="B708"/>
    <hyperlink r:id="rId1782" ref="AG708"/>
    <hyperlink r:id="rId1783" ref="A709"/>
    <hyperlink r:id="rId1784" ref="B709"/>
    <hyperlink r:id="rId1785" ref="AG709"/>
    <hyperlink r:id="rId1786" ref="A710"/>
    <hyperlink r:id="rId1787" ref="B710"/>
    <hyperlink r:id="rId1788" ref="AG710"/>
    <hyperlink r:id="rId1789" ref="A711"/>
    <hyperlink r:id="rId1790" ref="B711"/>
    <hyperlink r:id="rId1791" ref="AG711"/>
    <hyperlink r:id="rId1792" ref="A712"/>
    <hyperlink r:id="rId1793" ref="B712"/>
    <hyperlink r:id="rId1794" ref="AG712"/>
    <hyperlink r:id="rId1795" ref="A713"/>
    <hyperlink r:id="rId1796" ref="B713"/>
    <hyperlink r:id="rId1797" ref="AG713"/>
    <hyperlink r:id="rId1798" ref="A714"/>
    <hyperlink r:id="rId1799" ref="B714"/>
    <hyperlink r:id="rId1800" ref="AG714"/>
    <hyperlink r:id="rId1801" ref="A715"/>
    <hyperlink r:id="rId1802" ref="B715"/>
    <hyperlink r:id="rId1803" ref="A716"/>
    <hyperlink r:id="rId1804" ref="B716"/>
    <hyperlink r:id="rId1805" ref="A717"/>
    <hyperlink r:id="rId1806" ref="B717"/>
    <hyperlink r:id="rId1807" ref="A718"/>
    <hyperlink r:id="rId1808" ref="B718"/>
    <hyperlink r:id="rId1809" ref="A719"/>
    <hyperlink r:id="rId1810" ref="B719"/>
    <hyperlink r:id="rId1811" ref="A720"/>
    <hyperlink r:id="rId1812" ref="B720"/>
    <hyperlink r:id="rId1813" ref="A721"/>
    <hyperlink r:id="rId1814" ref="B721"/>
    <hyperlink r:id="rId1815" ref="A722"/>
    <hyperlink r:id="rId1816" ref="B722"/>
    <hyperlink r:id="rId1817" ref="A723"/>
    <hyperlink r:id="rId1818" ref="B723"/>
    <hyperlink r:id="rId1819" ref="A724"/>
    <hyperlink r:id="rId1820" ref="A725"/>
    <hyperlink r:id="rId1821" ref="A726"/>
    <hyperlink r:id="rId1822" ref="B726"/>
    <hyperlink r:id="rId1823" ref="A727"/>
    <hyperlink r:id="rId1824" ref="B727"/>
    <hyperlink r:id="rId1825" ref="A728"/>
    <hyperlink r:id="rId1826" ref="B728"/>
    <hyperlink r:id="rId1827" ref="A729"/>
    <hyperlink r:id="rId1828" ref="B729"/>
  </hyperlinks>
  <drawing r:id="rId1829"/>
  <legacyDrawing r:id="rId183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6A5A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1.38"/>
    <col customWidth="1" min="2" max="2" width="32.63"/>
    <col customWidth="1" min="3" max="3" width="7.5"/>
    <col customWidth="1" min="4" max="5" width="5.63"/>
    <col customWidth="1" min="6" max="6" width="6.0"/>
    <col customWidth="1" min="7" max="12" width="5.63"/>
    <col customWidth="1" min="13" max="13" width="18.5"/>
    <col customWidth="1" min="14" max="17" width="5.63"/>
    <col customWidth="1" min="18" max="18" width="14.88"/>
  </cols>
  <sheetData>
    <row r="1" ht="93.0" customHeight="1">
      <c r="A1" s="32" t="s">
        <v>1579</v>
      </c>
      <c r="B1" s="316" t="s">
        <v>1976</v>
      </c>
      <c r="C1" s="317" t="s">
        <v>1590</v>
      </c>
      <c r="D1" s="36" t="s">
        <v>2755</v>
      </c>
      <c r="E1" s="36" t="s">
        <v>2756</v>
      </c>
      <c r="F1" s="36" t="s">
        <v>1592</v>
      </c>
      <c r="G1" s="36" t="s">
        <v>1593</v>
      </c>
      <c r="H1" s="36" t="s">
        <v>1594</v>
      </c>
      <c r="I1" s="36" t="s">
        <v>2757</v>
      </c>
      <c r="J1" s="36" t="s">
        <v>1585</v>
      </c>
      <c r="K1" s="36" t="s">
        <v>2758</v>
      </c>
      <c r="L1" s="36" t="s">
        <v>2759</v>
      </c>
      <c r="M1" s="318" t="s">
        <v>2760</v>
      </c>
      <c r="N1" s="34" t="s">
        <v>2761</v>
      </c>
      <c r="O1" s="36" t="s">
        <v>2762</v>
      </c>
      <c r="P1" s="36" t="s">
        <v>2763</v>
      </c>
      <c r="Q1" s="36" t="s">
        <v>2764</v>
      </c>
      <c r="R1" s="317" t="s">
        <v>1602</v>
      </c>
      <c r="S1" s="173"/>
      <c r="T1" s="173"/>
      <c r="U1" s="173"/>
      <c r="V1" s="173"/>
      <c r="W1" s="173"/>
      <c r="X1" s="173"/>
      <c r="Y1" s="173"/>
      <c r="Z1" s="173"/>
      <c r="AA1" s="173"/>
      <c r="AB1" s="173"/>
      <c r="AC1" s="173"/>
      <c r="AD1" s="173"/>
      <c r="AE1" s="173"/>
      <c r="AF1" s="173"/>
    </row>
    <row r="2">
      <c r="A2" s="312" t="s">
        <v>1706</v>
      </c>
      <c r="B2" s="319" t="s">
        <v>2765</v>
      </c>
      <c r="C2" s="320" t="s">
        <v>2766</v>
      </c>
      <c r="D2" s="320">
        <v>10.0</v>
      </c>
      <c r="E2" s="320">
        <v>4500.0</v>
      </c>
      <c r="F2" s="321">
        <v>4.82</v>
      </c>
      <c r="G2" s="321" t="s">
        <v>170</v>
      </c>
      <c r="H2" s="321">
        <v>24.3</v>
      </c>
      <c r="I2" s="321">
        <v>0.04</v>
      </c>
      <c r="J2" s="320">
        <v>15.5</v>
      </c>
      <c r="K2" s="320" t="s">
        <v>2767</v>
      </c>
      <c r="L2" s="320">
        <v>12.0</v>
      </c>
      <c r="M2" s="322" t="s">
        <v>170</v>
      </c>
      <c r="N2" s="320" t="s">
        <v>170</v>
      </c>
      <c r="O2" s="320" t="s">
        <v>166</v>
      </c>
      <c r="P2" s="320" t="s">
        <v>166</v>
      </c>
      <c r="Q2" s="320"/>
      <c r="R2" s="322"/>
    </row>
    <row r="3">
      <c r="A3" s="314" t="s">
        <v>1611</v>
      </c>
      <c r="B3" s="323" t="s">
        <v>2768</v>
      </c>
      <c r="C3" s="320" t="s">
        <v>2766</v>
      </c>
      <c r="D3" s="320">
        <v>10.0</v>
      </c>
      <c r="E3" s="320">
        <v>4500.0</v>
      </c>
      <c r="F3" s="321">
        <v>4.82</v>
      </c>
      <c r="G3" s="321" t="s">
        <v>170</v>
      </c>
      <c r="H3" s="321">
        <v>24.2</v>
      </c>
      <c r="I3" s="321">
        <v>0.08</v>
      </c>
      <c r="J3" s="320">
        <v>23.0</v>
      </c>
      <c r="K3" s="320" t="s">
        <v>2767</v>
      </c>
      <c r="L3" s="320">
        <v>12.0</v>
      </c>
      <c r="M3" s="322" t="s">
        <v>2769</v>
      </c>
      <c r="N3" s="320">
        <v>9.0</v>
      </c>
      <c r="O3" s="320" t="s">
        <v>166</v>
      </c>
      <c r="P3" s="320" t="s">
        <v>166</v>
      </c>
      <c r="Q3" s="320"/>
      <c r="R3" s="322"/>
    </row>
    <row r="4">
      <c r="A4" s="314" t="s">
        <v>1639</v>
      </c>
      <c r="B4" s="323" t="s">
        <v>2770</v>
      </c>
      <c r="C4" s="320" t="s">
        <v>2766</v>
      </c>
      <c r="D4" s="320">
        <v>10.0</v>
      </c>
      <c r="E4" s="320">
        <v>4500.0</v>
      </c>
      <c r="F4" s="321">
        <v>4.83</v>
      </c>
      <c r="G4" s="321">
        <v>1.78</v>
      </c>
      <c r="H4" s="321">
        <v>17.9</v>
      </c>
      <c r="I4" s="321">
        <v>0.05</v>
      </c>
      <c r="J4" s="320">
        <v>160.0</v>
      </c>
      <c r="K4" s="320" t="s">
        <v>2767</v>
      </c>
      <c r="L4" s="320">
        <v>5.0</v>
      </c>
      <c r="M4" s="322" t="s">
        <v>2771</v>
      </c>
      <c r="N4" s="320">
        <v>7.0</v>
      </c>
      <c r="O4" s="320" t="s">
        <v>166</v>
      </c>
      <c r="P4" s="320" t="s">
        <v>166</v>
      </c>
      <c r="Q4" s="320"/>
      <c r="R4" s="322"/>
    </row>
    <row r="5">
      <c r="A5" s="314" t="s">
        <v>1639</v>
      </c>
      <c r="B5" s="323" t="s">
        <v>2772</v>
      </c>
      <c r="C5" s="320" t="s">
        <v>2766</v>
      </c>
      <c r="D5" s="320">
        <v>10.0</v>
      </c>
      <c r="E5" s="320">
        <v>5000.0</v>
      </c>
      <c r="F5" s="321">
        <v>5.24</v>
      </c>
      <c r="G5" s="321">
        <v>1.95</v>
      </c>
      <c r="H5" s="321">
        <v>19.6</v>
      </c>
      <c r="I5" s="321">
        <v>0.07</v>
      </c>
      <c r="J5" s="320">
        <v>180.0</v>
      </c>
      <c r="K5" s="320" t="s">
        <v>2773</v>
      </c>
      <c r="L5" s="320">
        <v>5.0</v>
      </c>
      <c r="M5" s="322" t="s">
        <v>2771</v>
      </c>
      <c r="N5" s="320">
        <v>7.0</v>
      </c>
      <c r="O5" s="320" t="s">
        <v>166</v>
      </c>
      <c r="P5" s="320" t="s">
        <v>166</v>
      </c>
      <c r="Q5" s="320"/>
      <c r="R5" s="322"/>
    </row>
    <row r="6">
      <c r="A6" s="314" t="s">
        <v>1639</v>
      </c>
      <c r="B6" s="323" t="s">
        <v>2774</v>
      </c>
      <c r="C6" s="320" t="s">
        <v>2766</v>
      </c>
      <c r="D6" s="320">
        <v>10.0</v>
      </c>
      <c r="E6" s="320">
        <v>4500.0</v>
      </c>
      <c r="F6" s="321">
        <v>4.83</v>
      </c>
      <c r="G6" s="321">
        <v>1.78</v>
      </c>
      <c r="H6" s="321">
        <v>17.9</v>
      </c>
      <c r="I6" s="321">
        <v>0.05</v>
      </c>
      <c r="J6" s="320">
        <v>160.0</v>
      </c>
      <c r="K6" s="320" t="s">
        <v>2767</v>
      </c>
      <c r="L6" s="320">
        <v>12.0</v>
      </c>
      <c r="M6" s="322" t="s">
        <v>2771</v>
      </c>
      <c r="N6" s="320">
        <v>7.0</v>
      </c>
      <c r="O6" s="320" t="s">
        <v>166</v>
      </c>
      <c r="P6" s="320" t="s">
        <v>166</v>
      </c>
      <c r="Q6" s="320"/>
      <c r="R6" s="322"/>
    </row>
    <row r="7">
      <c r="A7" s="314" t="s">
        <v>1639</v>
      </c>
      <c r="B7" s="323" t="s">
        <v>2775</v>
      </c>
      <c r="C7" s="320" t="s">
        <v>2766</v>
      </c>
      <c r="D7" s="320">
        <v>10.0</v>
      </c>
      <c r="E7" s="320">
        <v>5000.0</v>
      </c>
      <c r="F7" s="321">
        <v>5.24</v>
      </c>
      <c r="G7" s="321">
        <v>1.95</v>
      </c>
      <c r="H7" s="321">
        <v>19.6</v>
      </c>
      <c r="I7" s="321">
        <v>0.04</v>
      </c>
      <c r="J7" s="320">
        <v>180.0</v>
      </c>
      <c r="K7" s="320" t="s">
        <v>2773</v>
      </c>
      <c r="L7" s="320">
        <v>12.0</v>
      </c>
      <c r="M7" s="322" t="s">
        <v>2771</v>
      </c>
      <c r="N7" s="320">
        <v>7.0</v>
      </c>
      <c r="O7" s="320" t="s">
        <v>166</v>
      </c>
      <c r="P7" s="320" t="s">
        <v>166</v>
      </c>
      <c r="Q7" s="320"/>
      <c r="R7" s="322"/>
    </row>
    <row r="8">
      <c r="A8" s="314" t="s">
        <v>1639</v>
      </c>
      <c r="B8" s="323" t="s">
        <v>2776</v>
      </c>
      <c r="C8" s="320" t="s">
        <v>2766</v>
      </c>
      <c r="D8" s="320">
        <v>20.0</v>
      </c>
      <c r="E8" s="320">
        <v>5000.0</v>
      </c>
      <c r="F8" s="321">
        <v>5.54</v>
      </c>
      <c r="G8" s="321">
        <v>2.26</v>
      </c>
      <c r="H8" s="321">
        <v>14.9</v>
      </c>
      <c r="I8" s="321">
        <v>0.1</v>
      </c>
      <c r="J8" s="320">
        <v>180.0</v>
      </c>
      <c r="K8" s="320" t="s">
        <v>2767</v>
      </c>
      <c r="L8" s="320">
        <v>5.0</v>
      </c>
      <c r="M8" s="322" t="s">
        <v>2771</v>
      </c>
      <c r="N8" s="320">
        <v>7.0</v>
      </c>
      <c r="O8" s="320" t="s">
        <v>166</v>
      </c>
      <c r="P8" s="320" t="s">
        <v>166</v>
      </c>
      <c r="Q8" s="320"/>
      <c r="R8" s="322"/>
    </row>
    <row r="9">
      <c r="A9" s="314" t="s">
        <v>1639</v>
      </c>
      <c r="B9" s="323" t="s">
        <v>2777</v>
      </c>
      <c r="C9" s="320" t="s">
        <v>2766</v>
      </c>
      <c r="D9" s="320">
        <v>20.0</v>
      </c>
      <c r="E9" s="320">
        <v>5000.0</v>
      </c>
      <c r="F9" s="321">
        <v>5.54</v>
      </c>
      <c r="G9" s="321">
        <v>2.26</v>
      </c>
      <c r="H9" s="321">
        <v>14.9</v>
      </c>
      <c r="I9" s="321">
        <v>0.1</v>
      </c>
      <c r="J9" s="320">
        <v>180.0</v>
      </c>
      <c r="K9" s="320" t="s">
        <v>2773</v>
      </c>
      <c r="L9" s="320">
        <v>5.0</v>
      </c>
      <c r="M9" s="322" t="s">
        <v>2771</v>
      </c>
      <c r="N9" s="320">
        <v>7.0</v>
      </c>
      <c r="O9" s="320" t="s">
        <v>166</v>
      </c>
      <c r="P9" s="320" t="s">
        <v>166</v>
      </c>
      <c r="Q9" s="320"/>
      <c r="R9" s="322"/>
    </row>
    <row r="10">
      <c r="A10" s="314" t="s">
        <v>1639</v>
      </c>
      <c r="B10" s="323" t="s">
        <v>2778</v>
      </c>
      <c r="C10" s="320" t="s">
        <v>2766</v>
      </c>
      <c r="D10" s="320">
        <v>20.0</v>
      </c>
      <c r="E10" s="320">
        <v>5000.0</v>
      </c>
      <c r="F10" s="321">
        <v>5.54</v>
      </c>
      <c r="G10" s="321">
        <v>2.26</v>
      </c>
      <c r="H10" s="321">
        <v>14.9</v>
      </c>
      <c r="I10" s="321">
        <v>0.05</v>
      </c>
      <c r="J10" s="320">
        <v>180.0</v>
      </c>
      <c r="K10" s="320" t="s">
        <v>2767</v>
      </c>
      <c r="L10" s="320">
        <v>12.0</v>
      </c>
      <c r="M10" s="322" t="s">
        <v>2771</v>
      </c>
      <c r="N10" s="320">
        <v>7.0</v>
      </c>
      <c r="O10" s="320" t="s">
        <v>166</v>
      </c>
      <c r="P10" s="320" t="s">
        <v>166</v>
      </c>
      <c r="Q10" s="320"/>
      <c r="R10" s="322"/>
    </row>
    <row r="11">
      <c r="A11" s="314" t="s">
        <v>1639</v>
      </c>
      <c r="B11" s="323" t="s">
        <v>2779</v>
      </c>
      <c r="C11" s="320" t="s">
        <v>2766</v>
      </c>
      <c r="D11" s="320">
        <v>20.0</v>
      </c>
      <c r="E11" s="320">
        <v>5000.0</v>
      </c>
      <c r="F11" s="321">
        <v>5.54</v>
      </c>
      <c r="G11" s="321">
        <v>2.26</v>
      </c>
      <c r="H11" s="321">
        <v>14.9</v>
      </c>
      <c r="I11" s="321">
        <v>0.05</v>
      </c>
      <c r="J11" s="320">
        <v>185.0</v>
      </c>
      <c r="K11" s="320" t="s">
        <v>2773</v>
      </c>
      <c r="L11" s="320">
        <v>12.0</v>
      </c>
      <c r="M11" s="322" t="s">
        <v>2771</v>
      </c>
      <c r="N11" s="320">
        <v>7.0</v>
      </c>
      <c r="O11" s="320" t="s">
        <v>166</v>
      </c>
      <c r="P11" s="320" t="s">
        <v>166</v>
      </c>
      <c r="Q11" s="320"/>
      <c r="R11" s="322"/>
    </row>
    <row r="12">
      <c r="A12" s="314" t="s">
        <v>1611</v>
      </c>
      <c r="B12" s="323" t="s">
        <v>2780</v>
      </c>
      <c r="C12" s="320" t="s">
        <v>2781</v>
      </c>
      <c r="D12" s="320">
        <v>10.0</v>
      </c>
      <c r="E12" s="320">
        <v>4500.0</v>
      </c>
      <c r="F12" s="321">
        <v>7.65</v>
      </c>
      <c r="G12" s="321" t="s">
        <v>170</v>
      </c>
      <c r="H12" s="321">
        <v>24.5</v>
      </c>
      <c r="I12" s="321">
        <v>0.08</v>
      </c>
      <c r="J12" s="320">
        <v>27.0</v>
      </c>
      <c r="K12" s="320" t="s">
        <v>2767</v>
      </c>
      <c r="L12" s="320">
        <v>12.0</v>
      </c>
      <c r="M12" s="322" t="s">
        <v>2769</v>
      </c>
      <c r="N12" s="320">
        <v>7.0</v>
      </c>
      <c r="O12" s="320" t="s">
        <v>166</v>
      </c>
      <c r="P12" s="320" t="s">
        <v>166</v>
      </c>
      <c r="Q12" s="320"/>
      <c r="R12" s="322"/>
    </row>
    <row r="13">
      <c r="A13" s="312" t="s">
        <v>1706</v>
      </c>
      <c r="B13" s="319" t="s">
        <v>2782</v>
      </c>
      <c r="C13" s="320" t="s">
        <v>2783</v>
      </c>
      <c r="D13" s="320">
        <v>12.0</v>
      </c>
      <c r="E13" s="320">
        <v>3000.0</v>
      </c>
      <c r="F13" s="321">
        <v>10.65</v>
      </c>
      <c r="G13" s="321" t="s">
        <v>170</v>
      </c>
      <c r="H13" s="321">
        <v>24.3</v>
      </c>
      <c r="I13" s="321">
        <v>0.12</v>
      </c>
      <c r="J13" s="320">
        <v>30.0</v>
      </c>
      <c r="K13" s="320" t="s">
        <v>2767</v>
      </c>
      <c r="L13" s="320">
        <v>12.0</v>
      </c>
      <c r="M13" s="322" t="s">
        <v>170</v>
      </c>
      <c r="N13" s="320" t="s">
        <v>170</v>
      </c>
      <c r="O13" s="320" t="s">
        <v>166</v>
      </c>
      <c r="P13" s="320" t="s">
        <v>166</v>
      </c>
      <c r="Q13" s="320"/>
      <c r="R13" s="322"/>
    </row>
    <row r="14">
      <c r="A14" s="314" t="s">
        <v>1611</v>
      </c>
      <c r="B14" s="323" t="s">
        <v>2784</v>
      </c>
      <c r="C14" s="320" t="s">
        <v>2783</v>
      </c>
      <c r="D14" s="320">
        <v>10.0</v>
      </c>
      <c r="E14" s="320">
        <v>3000.0</v>
      </c>
      <c r="F14" s="321">
        <v>10.65</v>
      </c>
      <c r="G14" s="321" t="s">
        <v>170</v>
      </c>
      <c r="H14" s="321">
        <v>24.4</v>
      </c>
      <c r="I14" s="321">
        <v>0.15</v>
      </c>
      <c r="J14" s="320">
        <v>30.0</v>
      </c>
      <c r="K14" s="320" t="s">
        <v>2767</v>
      </c>
      <c r="L14" s="320">
        <v>12.0</v>
      </c>
      <c r="M14" s="322" t="s">
        <v>2769</v>
      </c>
      <c r="N14" s="320">
        <v>9.0</v>
      </c>
      <c r="O14" s="320" t="s">
        <v>166</v>
      </c>
      <c r="P14" s="320" t="s">
        <v>166</v>
      </c>
      <c r="Q14" s="320"/>
      <c r="R14" s="322"/>
    </row>
    <row r="15">
      <c r="A15" s="312" t="s">
        <v>1706</v>
      </c>
      <c r="B15" s="319" t="s">
        <v>2785</v>
      </c>
      <c r="C15" s="320" t="s">
        <v>2786</v>
      </c>
      <c r="D15" s="320">
        <v>15.0</v>
      </c>
      <c r="E15" s="320">
        <v>3000.0</v>
      </c>
      <c r="F15" s="321">
        <v>25.62</v>
      </c>
      <c r="G15" s="321" t="s">
        <v>170</v>
      </c>
      <c r="H15" s="321">
        <v>26.7</v>
      </c>
      <c r="I15" s="321">
        <v>0.12</v>
      </c>
      <c r="J15" s="320">
        <v>52.0</v>
      </c>
      <c r="K15" s="320" t="s">
        <v>2767</v>
      </c>
      <c r="L15" s="320">
        <v>12.0</v>
      </c>
      <c r="M15" s="322" t="s">
        <v>170</v>
      </c>
      <c r="N15" s="320" t="s">
        <v>170</v>
      </c>
      <c r="O15" s="320" t="s">
        <v>166</v>
      </c>
      <c r="P15" s="320" t="s">
        <v>166</v>
      </c>
      <c r="Q15" s="320"/>
      <c r="R15" s="322"/>
    </row>
    <row r="16">
      <c r="A16" s="314" t="s">
        <v>1611</v>
      </c>
      <c r="B16" s="323" t="s">
        <v>2787</v>
      </c>
      <c r="C16" s="320" t="s">
        <v>2786</v>
      </c>
      <c r="D16" s="320">
        <v>15.0</v>
      </c>
      <c r="E16" s="320">
        <v>3000.0</v>
      </c>
      <c r="F16" s="321">
        <v>25.62</v>
      </c>
      <c r="G16" s="321" t="s">
        <v>170</v>
      </c>
      <c r="H16" s="321">
        <v>26.7</v>
      </c>
      <c r="I16" s="321">
        <v>0.15</v>
      </c>
      <c r="J16" s="320">
        <v>45.0</v>
      </c>
      <c r="K16" s="320" t="s">
        <v>2767</v>
      </c>
      <c r="L16" s="320">
        <v>12.0</v>
      </c>
      <c r="M16" s="322" t="s">
        <v>2769</v>
      </c>
      <c r="N16" s="320">
        <v>9.0</v>
      </c>
      <c r="O16" s="320" t="s">
        <v>166</v>
      </c>
      <c r="P16" s="320" t="s">
        <v>166</v>
      </c>
      <c r="Q16" s="320"/>
      <c r="R16" s="322"/>
    </row>
    <row r="17">
      <c r="A17" s="314" t="s">
        <v>2788</v>
      </c>
      <c r="B17" s="323" t="s">
        <v>2789</v>
      </c>
      <c r="C17" s="320" t="s">
        <v>2790</v>
      </c>
      <c r="D17" s="320">
        <v>10.8</v>
      </c>
      <c r="E17" s="320">
        <v>3000.0</v>
      </c>
      <c r="F17" s="321">
        <v>26.53</v>
      </c>
      <c r="G17" s="321">
        <v>1.81</v>
      </c>
      <c r="H17" s="321">
        <v>27.09</v>
      </c>
      <c r="I17" s="321" t="s">
        <v>170</v>
      </c>
      <c r="J17" s="320" t="s">
        <v>170</v>
      </c>
      <c r="K17" s="320" t="s">
        <v>2773</v>
      </c>
      <c r="L17" s="320">
        <v>12.0</v>
      </c>
      <c r="M17" s="322" t="s">
        <v>2791</v>
      </c>
      <c r="N17" s="320">
        <v>11.0</v>
      </c>
      <c r="O17" s="320" t="s">
        <v>166</v>
      </c>
      <c r="P17" s="320" t="s">
        <v>166</v>
      </c>
      <c r="Q17" s="320"/>
      <c r="R17" s="322"/>
    </row>
    <row r="18">
      <c r="A18" s="314" t="s">
        <v>1532</v>
      </c>
      <c r="B18" s="323" t="s">
        <v>2792</v>
      </c>
      <c r="C18" s="320" t="s">
        <v>2790</v>
      </c>
      <c r="D18" s="320">
        <v>15.0</v>
      </c>
      <c r="E18" s="320">
        <v>2000.0</v>
      </c>
      <c r="F18" s="321">
        <v>24.2</v>
      </c>
      <c r="G18" s="321">
        <v>1.43</v>
      </c>
      <c r="H18" s="321">
        <v>20.0</v>
      </c>
      <c r="I18" s="321">
        <v>0.12</v>
      </c>
      <c r="J18" s="320">
        <v>45.0</v>
      </c>
      <c r="K18" s="320" t="s">
        <v>2767</v>
      </c>
      <c r="L18" s="320">
        <v>12.0</v>
      </c>
      <c r="M18" s="322" t="s">
        <v>2793</v>
      </c>
      <c r="N18" s="320">
        <v>11.0</v>
      </c>
      <c r="O18" s="320" t="s">
        <v>166</v>
      </c>
      <c r="P18" s="320" t="s">
        <v>166</v>
      </c>
      <c r="Q18" s="320"/>
      <c r="R18" s="322"/>
    </row>
    <row r="19">
      <c r="A19" s="312" t="s">
        <v>2794</v>
      </c>
      <c r="B19" s="324" t="s">
        <v>2795</v>
      </c>
      <c r="C19" s="320" t="s">
        <v>2790</v>
      </c>
      <c r="D19" s="320">
        <v>15.0</v>
      </c>
      <c r="E19" s="320">
        <v>2500.0</v>
      </c>
      <c r="F19" s="321">
        <v>30.6</v>
      </c>
      <c r="G19" s="321" t="s">
        <v>170</v>
      </c>
      <c r="H19" s="321">
        <v>26.0</v>
      </c>
      <c r="I19" s="321">
        <v>0.1275</v>
      </c>
      <c r="J19" s="320">
        <v>55.0</v>
      </c>
      <c r="K19" s="320" t="s">
        <v>2773</v>
      </c>
      <c r="L19" s="320">
        <v>12.0</v>
      </c>
      <c r="M19" s="322" t="s">
        <v>2796</v>
      </c>
      <c r="N19" s="320">
        <v>9.0</v>
      </c>
      <c r="O19" s="320" t="s">
        <v>166</v>
      </c>
      <c r="P19" s="320" t="s">
        <v>166</v>
      </c>
      <c r="Q19" s="320"/>
      <c r="R19" s="322"/>
    </row>
    <row r="20">
      <c r="A20" s="314" t="s">
        <v>1387</v>
      </c>
      <c r="B20" s="324" t="s">
        <v>2797</v>
      </c>
      <c r="C20" s="320" t="s">
        <v>2790</v>
      </c>
      <c r="D20" s="320">
        <v>10.0</v>
      </c>
      <c r="E20" s="320">
        <v>3000.0</v>
      </c>
      <c r="F20" s="321">
        <v>25.8</v>
      </c>
      <c r="G20" s="321" t="s">
        <v>170</v>
      </c>
      <c r="H20" s="321">
        <v>30.7</v>
      </c>
      <c r="I20" s="321">
        <v>0.15</v>
      </c>
      <c r="J20" s="320">
        <v>37.7</v>
      </c>
      <c r="K20" s="320" t="s">
        <v>2773</v>
      </c>
      <c r="L20" s="320">
        <v>12.0</v>
      </c>
      <c r="M20" s="322" t="s">
        <v>2793</v>
      </c>
      <c r="N20" s="320">
        <v>11.0</v>
      </c>
      <c r="O20" s="320" t="s">
        <v>166</v>
      </c>
      <c r="P20" s="320" t="s">
        <v>166</v>
      </c>
      <c r="Q20" s="320"/>
      <c r="R20" s="322"/>
    </row>
    <row r="21">
      <c r="A21" s="314" t="s">
        <v>1634</v>
      </c>
      <c r="B21" s="324" t="s">
        <v>2798</v>
      </c>
      <c r="C21" s="320" t="s">
        <v>2790</v>
      </c>
      <c r="D21" s="320">
        <v>15.0</v>
      </c>
      <c r="E21" s="320">
        <v>2200.0</v>
      </c>
      <c r="F21" s="321">
        <v>28.4</v>
      </c>
      <c r="G21" s="321">
        <v>1.25</v>
      </c>
      <c r="H21" s="321">
        <v>23.3</v>
      </c>
      <c r="I21" s="321">
        <v>0.07</v>
      </c>
      <c r="J21" s="320">
        <v>55.0</v>
      </c>
      <c r="K21" s="320" t="s">
        <v>2773</v>
      </c>
      <c r="L21" s="320">
        <v>12.0</v>
      </c>
      <c r="M21" s="322" t="s">
        <v>2799</v>
      </c>
      <c r="N21" s="320">
        <v>9.0</v>
      </c>
      <c r="O21" s="320" t="s">
        <v>166</v>
      </c>
      <c r="P21" s="320" t="s">
        <v>166</v>
      </c>
      <c r="Q21" s="320"/>
      <c r="R21" s="322"/>
    </row>
    <row r="22">
      <c r="A22" s="314" t="s">
        <v>1486</v>
      </c>
      <c r="B22" s="323" t="s">
        <v>2800</v>
      </c>
      <c r="C22" s="320" t="s">
        <v>2801</v>
      </c>
      <c r="D22" s="320">
        <v>15.0</v>
      </c>
      <c r="E22" s="320">
        <v>2250.0</v>
      </c>
      <c r="F22" s="321">
        <v>40.5</v>
      </c>
      <c r="G22" s="321">
        <v>2.8</v>
      </c>
      <c r="H22" s="321">
        <v>30.0</v>
      </c>
      <c r="I22" s="321">
        <v>0.2</v>
      </c>
      <c r="J22" s="320">
        <v>62.0</v>
      </c>
      <c r="K22" s="320" t="s">
        <v>2773</v>
      </c>
      <c r="L22" s="320">
        <v>12.0</v>
      </c>
      <c r="M22" s="322" t="s">
        <v>2802</v>
      </c>
      <c r="N22" s="320">
        <v>11.0</v>
      </c>
      <c r="O22" s="320" t="s">
        <v>166</v>
      </c>
      <c r="P22" s="320" t="s">
        <v>166</v>
      </c>
      <c r="Q22" s="320"/>
      <c r="R22" s="322"/>
    </row>
    <row r="23">
      <c r="A23" s="312" t="s">
        <v>1706</v>
      </c>
      <c r="B23" s="319" t="s">
        <v>2803</v>
      </c>
      <c r="C23" s="320" t="s">
        <v>2801</v>
      </c>
      <c r="D23" s="320">
        <v>15.0</v>
      </c>
      <c r="E23" s="320" t="s">
        <v>170</v>
      </c>
      <c r="F23" s="321">
        <v>31.18</v>
      </c>
      <c r="G23" s="321">
        <v>4.8</v>
      </c>
      <c r="H23" s="321">
        <v>31.0</v>
      </c>
      <c r="I23" s="321" t="s">
        <v>170</v>
      </c>
      <c r="J23" s="320" t="s">
        <v>170</v>
      </c>
      <c r="K23" s="320" t="s">
        <v>2773</v>
      </c>
      <c r="L23" s="320">
        <v>12.0</v>
      </c>
      <c r="M23" s="322" t="s">
        <v>2804</v>
      </c>
      <c r="N23" s="320">
        <v>7.0</v>
      </c>
      <c r="O23" s="320" t="s">
        <v>166</v>
      </c>
      <c r="P23" s="320" t="s">
        <v>166</v>
      </c>
      <c r="Q23" s="320"/>
      <c r="R23" s="322"/>
    </row>
    <row r="24">
      <c r="A24" s="312" t="s">
        <v>254</v>
      </c>
      <c r="B24" s="324" t="s">
        <v>2805</v>
      </c>
      <c r="C24" s="320" t="s">
        <v>2801</v>
      </c>
      <c r="D24" s="320">
        <v>15.0</v>
      </c>
      <c r="E24" s="320">
        <v>2500.0</v>
      </c>
      <c r="F24" s="321">
        <v>38.95</v>
      </c>
      <c r="G24" s="321" t="s">
        <v>170</v>
      </c>
      <c r="H24" s="321">
        <v>33.0</v>
      </c>
      <c r="I24" s="321">
        <v>0.16</v>
      </c>
      <c r="J24" s="320" t="s">
        <v>170</v>
      </c>
      <c r="K24" s="320" t="s">
        <v>2773</v>
      </c>
      <c r="L24" s="320">
        <v>12.0</v>
      </c>
      <c r="M24" s="322" t="s">
        <v>2769</v>
      </c>
      <c r="N24" s="320">
        <v>11.0</v>
      </c>
      <c r="O24" s="320" t="s">
        <v>166</v>
      </c>
      <c r="P24" s="320" t="s">
        <v>166</v>
      </c>
      <c r="Q24" s="320"/>
      <c r="R24" s="322"/>
    </row>
    <row r="25">
      <c r="A25" s="314" t="s">
        <v>1611</v>
      </c>
      <c r="B25" s="323" t="s">
        <v>2806</v>
      </c>
      <c r="C25" s="320" t="s">
        <v>2801</v>
      </c>
      <c r="D25" s="320">
        <v>15.0</v>
      </c>
      <c r="E25" s="320">
        <v>2500.0</v>
      </c>
      <c r="F25" s="321">
        <v>44.3</v>
      </c>
      <c r="G25" s="321" t="s">
        <v>170</v>
      </c>
      <c r="H25" s="321">
        <v>33.0</v>
      </c>
      <c r="I25" s="321">
        <v>0.16</v>
      </c>
      <c r="J25" s="320">
        <v>60.0</v>
      </c>
      <c r="K25" s="320" t="s">
        <v>2773</v>
      </c>
      <c r="L25" s="320">
        <v>12.0</v>
      </c>
      <c r="M25" s="322" t="s">
        <v>2769</v>
      </c>
      <c r="N25" s="320">
        <v>11.0</v>
      </c>
      <c r="O25" s="320" t="s">
        <v>166</v>
      </c>
      <c r="P25" s="320" t="s">
        <v>166</v>
      </c>
      <c r="Q25" s="320"/>
      <c r="R25" s="322"/>
    </row>
    <row r="26">
      <c r="A26" s="314" t="s">
        <v>1611</v>
      </c>
      <c r="B26" s="325" t="s">
        <v>2807</v>
      </c>
      <c r="C26" s="320" t="s">
        <v>2801</v>
      </c>
      <c r="D26" s="320">
        <v>15.0</v>
      </c>
      <c r="E26" s="320">
        <v>2500.0</v>
      </c>
      <c r="F26" s="321">
        <v>44.3</v>
      </c>
      <c r="G26" s="321">
        <v>3.24</v>
      </c>
      <c r="H26" s="321">
        <v>33.4</v>
      </c>
      <c r="I26" s="321">
        <v>0.16</v>
      </c>
      <c r="J26" s="320">
        <v>80.0</v>
      </c>
      <c r="K26" s="320" t="s">
        <v>2773</v>
      </c>
      <c r="L26" s="320">
        <v>12.0</v>
      </c>
      <c r="M26" s="322" t="s">
        <v>2769</v>
      </c>
      <c r="N26" s="320">
        <v>11.0</v>
      </c>
      <c r="O26" s="320" t="s">
        <v>166</v>
      </c>
      <c r="P26" s="320" t="s">
        <v>174</v>
      </c>
      <c r="Q26" s="320"/>
      <c r="R26" s="322"/>
    </row>
    <row r="27">
      <c r="A27" s="314" t="s">
        <v>1611</v>
      </c>
      <c r="B27" s="324" t="s">
        <v>2808</v>
      </c>
      <c r="C27" s="320" t="s">
        <v>2801</v>
      </c>
      <c r="D27" s="320">
        <v>15.0</v>
      </c>
      <c r="E27" s="320">
        <v>2800.0</v>
      </c>
      <c r="F27" s="321">
        <v>46.0</v>
      </c>
      <c r="G27" s="321" t="s">
        <v>170</v>
      </c>
      <c r="H27" s="321">
        <v>35.2</v>
      </c>
      <c r="I27" s="321">
        <v>0.2</v>
      </c>
      <c r="J27" s="320">
        <v>90.0</v>
      </c>
      <c r="K27" s="320" t="s">
        <v>2773</v>
      </c>
      <c r="L27" s="320">
        <v>12.0</v>
      </c>
      <c r="M27" s="322" t="s">
        <v>2769</v>
      </c>
      <c r="N27" s="320">
        <v>11.0</v>
      </c>
      <c r="O27" s="320" t="s">
        <v>166</v>
      </c>
      <c r="P27" s="320" t="s">
        <v>166</v>
      </c>
      <c r="Q27" s="320"/>
      <c r="R27" s="322"/>
    </row>
    <row r="28">
      <c r="A28" s="314" t="s">
        <v>1611</v>
      </c>
      <c r="B28" s="324" t="s">
        <v>2809</v>
      </c>
      <c r="C28" s="320" t="s">
        <v>2801</v>
      </c>
      <c r="D28" s="320">
        <v>15.0</v>
      </c>
      <c r="E28" s="320">
        <v>2500.0</v>
      </c>
      <c r="F28" s="321">
        <v>44.3</v>
      </c>
      <c r="G28" s="321">
        <v>3.24</v>
      </c>
      <c r="H28" s="321">
        <v>33.4</v>
      </c>
      <c r="I28" s="321">
        <v>0.16</v>
      </c>
      <c r="J28" s="320">
        <v>80.0</v>
      </c>
      <c r="K28" s="320" t="s">
        <v>2773</v>
      </c>
      <c r="L28" s="320">
        <v>12.0</v>
      </c>
      <c r="M28" s="322" t="s">
        <v>2769</v>
      </c>
      <c r="N28" s="320">
        <v>11.0</v>
      </c>
      <c r="O28" s="320" t="s">
        <v>166</v>
      </c>
      <c r="P28" s="320" t="s">
        <v>174</v>
      </c>
      <c r="Q28" s="320"/>
      <c r="R28" s="322"/>
    </row>
    <row r="29">
      <c r="A29" s="314" t="s">
        <v>1639</v>
      </c>
      <c r="B29" s="324" t="s">
        <v>2810</v>
      </c>
      <c r="C29" s="320" t="s">
        <v>2801</v>
      </c>
      <c r="D29" s="320">
        <v>14.0</v>
      </c>
      <c r="E29" s="320">
        <v>2500.0</v>
      </c>
      <c r="F29" s="321">
        <v>33.87</v>
      </c>
      <c r="G29" s="321">
        <v>2.11</v>
      </c>
      <c r="H29" s="321">
        <v>23.6</v>
      </c>
      <c r="I29" s="321">
        <v>0.21</v>
      </c>
      <c r="J29" s="320">
        <v>186.0</v>
      </c>
      <c r="K29" s="320" t="s">
        <v>2773</v>
      </c>
      <c r="L29" s="320">
        <v>12.0</v>
      </c>
      <c r="M29" s="322" t="s">
        <v>2771</v>
      </c>
      <c r="N29" s="320">
        <v>9.0</v>
      </c>
      <c r="O29" s="320" t="s">
        <v>166</v>
      </c>
      <c r="P29" s="320" t="s">
        <v>166</v>
      </c>
      <c r="Q29" s="320"/>
      <c r="R29" s="322"/>
    </row>
    <row r="30">
      <c r="A30" s="314" t="s">
        <v>1639</v>
      </c>
      <c r="B30" s="323" t="s">
        <v>2811</v>
      </c>
      <c r="C30" s="320" t="s">
        <v>2801</v>
      </c>
      <c r="D30" s="320">
        <v>14.0</v>
      </c>
      <c r="E30" s="320">
        <v>2200.0</v>
      </c>
      <c r="F30" s="321">
        <v>29.74</v>
      </c>
      <c r="G30" s="321">
        <v>1.64</v>
      </c>
      <c r="H30" s="321">
        <v>19.9</v>
      </c>
      <c r="I30" s="321">
        <v>0.11</v>
      </c>
      <c r="J30" s="320">
        <v>205.0</v>
      </c>
      <c r="K30" s="320" t="s">
        <v>2773</v>
      </c>
      <c r="L30" s="320">
        <v>12.0</v>
      </c>
      <c r="M30" s="322" t="s">
        <v>2771</v>
      </c>
      <c r="N30" s="320">
        <v>9.0</v>
      </c>
      <c r="O30" s="320" t="s">
        <v>166</v>
      </c>
      <c r="P30" s="320" t="s">
        <v>166</v>
      </c>
      <c r="Q30" s="320"/>
      <c r="R30" s="322"/>
    </row>
    <row r="31">
      <c r="A31" s="314" t="s">
        <v>1387</v>
      </c>
      <c r="B31" s="324" t="s">
        <v>2812</v>
      </c>
      <c r="C31" s="320" t="s">
        <v>2801</v>
      </c>
      <c r="D31" s="320">
        <v>16.0</v>
      </c>
      <c r="E31" s="320">
        <v>2500.0</v>
      </c>
      <c r="F31" s="321">
        <v>41.3</v>
      </c>
      <c r="G31" s="321">
        <v>1.36</v>
      </c>
      <c r="H31" s="321">
        <v>23.2</v>
      </c>
      <c r="I31" s="321">
        <v>0.18</v>
      </c>
      <c r="J31" s="320">
        <v>70.0</v>
      </c>
      <c r="K31" s="320" t="s">
        <v>2773</v>
      </c>
      <c r="L31" s="320">
        <v>12.0</v>
      </c>
      <c r="M31" s="322" t="s">
        <v>2813</v>
      </c>
      <c r="N31" s="320">
        <v>11.0</v>
      </c>
      <c r="O31" s="320" t="s">
        <v>166</v>
      </c>
      <c r="P31" s="320" t="s">
        <v>166</v>
      </c>
      <c r="Q31" s="320"/>
      <c r="R31" s="322"/>
    </row>
    <row r="32">
      <c r="A32" s="314" t="s">
        <v>1387</v>
      </c>
      <c r="B32" s="324" t="s">
        <v>2814</v>
      </c>
      <c r="C32" s="320" t="s">
        <v>2801</v>
      </c>
      <c r="D32" s="320">
        <v>16.0</v>
      </c>
      <c r="E32" s="320">
        <v>2500.0</v>
      </c>
      <c r="F32" s="321">
        <v>41.3</v>
      </c>
      <c r="G32" s="321">
        <v>1.36</v>
      </c>
      <c r="H32" s="321">
        <v>23.2</v>
      </c>
      <c r="I32" s="321">
        <v>0.18</v>
      </c>
      <c r="J32" s="320">
        <v>75.0</v>
      </c>
      <c r="K32" s="320" t="s">
        <v>2773</v>
      </c>
      <c r="L32" s="320">
        <v>12.0</v>
      </c>
      <c r="M32" s="322" t="s">
        <v>2813</v>
      </c>
      <c r="N32" s="320">
        <v>11.0</v>
      </c>
      <c r="O32" s="320" t="s">
        <v>174</v>
      </c>
      <c r="P32" s="320" t="s">
        <v>166</v>
      </c>
      <c r="Q32" s="320"/>
      <c r="R32" s="322"/>
    </row>
    <row r="33">
      <c r="A33" s="314" t="s">
        <v>209</v>
      </c>
      <c r="B33" s="324" t="s">
        <v>2815</v>
      </c>
      <c r="C33" s="320" t="s">
        <v>2801</v>
      </c>
      <c r="D33" s="320">
        <v>15.2</v>
      </c>
      <c r="E33" s="320">
        <v>2500.0</v>
      </c>
      <c r="F33" s="321">
        <v>45.73</v>
      </c>
      <c r="G33" s="321">
        <v>2.29</v>
      </c>
      <c r="H33" s="321">
        <v>32.0</v>
      </c>
      <c r="I33" s="321">
        <v>0.32</v>
      </c>
      <c r="J33" s="320">
        <v>64.0</v>
      </c>
      <c r="K33" s="320" t="s">
        <v>2773</v>
      </c>
      <c r="L33" s="320">
        <v>12.0</v>
      </c>
      <c r="M33" s="322" t="s">
        <v>2769</v>
      </c>
      <c r="N33" s="320">
        <v>11.0</v>
      </c>
      <c r="O33" s="320" t="s">
        <v>166</v>
      </c>
      <c r="P33" s="320" t="s">
        <v>166</v>
      </c>
      <c r="Q33" s="320"/>
      <c r="R33" s="322"/>
    </row>
    <row r="34">
      <c r="A34" s="314" t="s">
        <v>209</v>
      </c>
      <c r="B34" s="324" t="s">
        <v>2816</v>
      </c>
      <c r="C34" s="320" t="s">
        <v>2801</v>
      </c>
      <c r="D34" s="320">
        <v>15.2</v>
      </c>
      <c r="E34" s="320">
        <v>2500.0</v>
      </c>
      <c r="F34" s="321">
        <v>45.73</v>
      </c>
      <c r="G34" s="321">
        <v>2.29</v>
      </c>
      <c r="H34" s="321">
        <v>32.0</v>
      </c>
      <c r="I34" s="321">
        <v>0.32</v>
      </c>
      <c r="J34" s="320">
        <v>70.0</v>
      </c>
      <c r="K34" s="320" t="s">
        <v>2773</v>
      </c>
      <c r="L34" s="320">
        <v>12.0</v>
      </c>
      <c r="M34" s="322" t="s">
        <v>2769</v>
      </c>
      <c r="N34" s="320">
        <v>11.0</v>
      </c>
      <c r="O34" s="320" t="s">
        <v>166</v>
      </c>
      <c r="P34" s="320" t="s">
        <v>174</v>
      </c>
      <c r="Q34" s="320"/>
      <c r="R34" s="322"/>
    </row>
    <row r="35">
      <c r="A35" s="314" t="s">
        <v>1634</v>
      </c>
      <c r="B35" s="324" t="s">
        <v>2817</v>
      </c>
      <c r="C35" s="320" t="s">
        <v>2801</v>
      </c>
      <c r="D35" s="320">
        <v>15.0</v>
      </c>
      <c r="E35" s="320">
        <v>2700.0</v>
      </c>
      <c r="F35" s="321">
        <v>42.58</v>
      </c>
      <c r="G35" s="321">
        <v>1.33</v>
      </c>
      <c r="H35" s="321">
        <v>22.4</v>
      </c>
      <c r="I35" s="321">
        <v>0.18</v>
      </c>
      <c r="J35" s="320">
        <v>55.0</v>
      </c>
      <c r="K35" s="320" t="s">
        <v>2773</v>
      </c>
      <c r="L35" s="320">
        <v>12.0</v>
      </c>
      <c r="M35" s="322" t="s">
        <v>2769</v>
      </c>
      <c r="N35" s="320">
        <v>9.0</v>
      </c>
      <c r="O35" s="320" t="s">
        <v>166</v>
      </c>
      <c r="P35" s="320" t="s">
        <v>166</v>
      </c>
      <c r="Q35" s="320"/>
      <c r="R35" s="322"/>
    </row>
    <row r="36">
      <c r="A36" s="314" t="s">
        <v>1634</v>
      </c>
      <c r="B36" s="324" t="s">
        <v>2818</v>
      </c>
      <c r="C36" s="320" t="s">
        <v>2801</v>
      </c>
      <c r="D36" s="320">
        <v>15.0</v>
      </c>
      <c r="E36" s="320">
        <v>2700.0</v>
      </c>
      <c r="F36" s="321">
        <v>42.58</v>
      </c>
      <c r="G36" s="321">
        <v>1.33</v>
      </c>
      <c r="H36" s="321">
        <v>22.4</v>
      </c>
      <c r="I36" s="321">
        <v>0.18</v>
      </c>
      <c r="J36" s="320">
        <v>55.0</v>
      </c>
      <c r="K36" s="320" t="s">
        <v>2773</v>
      </c>
      <c r="L36" s="320">
        <v>12.0</v>
      </c>
      <c r="M36" s="322" t="s">
        <v>2769</v>
      </c>
      <c r="N36" s="320">
        <v>9.0</v>
      </c>
      <c r="O36" s="320" t="s">
        <v>166</v>
      </c>
      <c r="P36" s="320" t="s">
        <v>166</v>
      </c>
      <c r="Q36" s="320"/>
      <c r="R36" s="322"/>
    </row>
    <row r="37">
      <c r="A37" s="314" t="s">
        <v>1634</v>
      </c>
      <c r="B37" s="324" t="s">
        <v>2819</v>
      </c>
      <c r="C37" s="320" t="s">
        <v>2801</v>
      </c>
      <c r="D37" s="320">
        <v>15.0</v>
      </c>
      <c r="E37" s="320">
        <v>2700.0</v>
      </c>
      <c r="F37" s="321">
        <v>42.58</v>
      </c>
      <c r="G37" s="321">
        <v>1.33</v>
      </c>
      <c r="H37" s="321">
        <v>22.4</v>
      </c>
      <c r="I37" s="321">
        <v>0.18</v>
      </c>
      <c r="J37" s="320">
        <v>55.0</v>
      </c>
      <c r="K37" s="320" t="s">
        <v>2773</v>
      </c>
      <c r="L37" s="320">
        <v>12.0</v>
      </c>
      <c r="M37" s="322" t="s">
        <v>2769</v>
      </c>
      <c r="N37" s="320">
        <v>9.0</v>
      </c>
      <c r="O37" s="320" t="s">
        <v>166</v>
      </c>
      <c r="P37" s="320" t="s">
        <v>166</v>
      </c>
      <c r="Q37" s="320"/>
      <c r="R37" s="322"/>
    </row>
    <row r="38">
      <c r="A38" s="314" t="s">
        <v>1634</v>
      </c>
      <c r="B38" s="324" t="s">
        <v>2820</v>
      </c>
      <c r="C38" s="320" t="s">
        <v>2801</v>
      </c>
      <c r="D38" s="320">
        <v>15.0</v>
      </c>
      <c r="E38" s="320">
        <v>2700.0</v>
      </c>
      <c r="F38" s="321">
        <v>42.58</v>
      </c>
      <c r="G38" s="321">
        <v>1.33</v>
      </c>
      <c r="H38" s="321">
        <v>22.4</v>
      </c>
      <c r="I38" s="321">
        <v>0.18</v>
      </c>
      <c r="J38" s="320">
        <v>55.0</v>
      </c>
      <c r="K38" s="320" t="s">
        <v>2773</v>
      </c>
      <c r="L38" s="320">
        <v>12.0</v>
      </c>
      <c r="M38" s="322" t="s">
        <v>2769</v>
      </c>
      <c r="N38" s="320">
        <v>9.0</v>
      </c>
      <c r="O38" s="320" t="s">
        <v>166</v>
      </c>
      <c r="P38" s="320" t="s">
        <v>166</v>
      </c>
      <c r="Q38" s="320"/>
      <c r="R38" s="322"/>
    </row>
    <row r="39">
      <c r="A39" s="314" t="s">
        <v>2788</v>
      </c>
      <c r="B39" s="323" t="s">
        <v>2821</v>
      </c>
      <c r="C39" s="320" t="s">
        <v>2002</v>
      </c>
      <c r="D39" s="320">
        <v>15.0</v>
      </c>
      <c r="E39" s="320">
        <v>1600.0</v>
      </c>
      <c r="F39" s="321">
        <v>54.55</v>
      </c>
      <c r="G39" s="321">
        <v>1.36</v>
      </c>
      <c r="H39" s="321">
        <v>30.32</v>
      </c>
      <c r="I39" s="321" t="s">
        <v>170</v>
      </c>
      <c r="J39" s="320" t="s">
        <v>170</v>
      </c>
      <c r="K39" s="320" t="s">
        <v>2773</v>
      </c>
      <c r="L39" s="320">
        <v>12.0</v>
      </c>
      <c r="M39" s="322" t="s">
        <v>2791</v>
      </c>
      <c r="N39" s="320">
        <v>13.0</v>
      </c>
      <c r="O39" s="320" t="s">
        <v>166</v>
      </c>
      <c r="P39" s="320" t="s">
        <v>166</v>
      </c>
      <c r="Q39" s="320"/>
      <c r="R39" s="322"/>
    </row>
    <row r="40">
      <c r="A40" s="312" t="s">
        <v>2014</v>
      </c>
      <c r="B40" s="325" t="s">
        <v>2822</v>
      </c>
      <c r="C40" s="320" t="s">
        <v>2002</v>
      </c>
      <c r="D40" s="320">
        <v>15.0</v>
      </c>
      <c r="E40" s="320">
        <v>1800.0</v>
      </c>
      <c r="F40" s="321">
        <v>42.02</v>
      </c>
      <c r="G40" s="321">
        <v>1.2</v>
      </c>
      <c r="H40" s="321">
        <v>32.0</v>
      </c>
      <c r="I40" s="321">
        <v>0.24</v>
      </c>
      <c r="J40" s="320">
        <v>120.0</v>
      </c>
      <c r="K40" s="320" t="s">
        <v>2773</v>
      </c>
      <c r="L40" s="320">
        <v>12.0</v>
      </c>
      <c r="M40" s="322" t="s">
        <v>2823</v>
      </c>
      <c r="N40" s="320">
        <v>11.0</v>
      </c>
      <c r="O40" s="320" t="s">
        <v>166</v>
      </c>
      <c r="P40" s="320" t="s">
        <v>166</v>
      </c>
      <c r="Q40" s="320"/>
      <c r="R40" s="322"/>
    </row>
    <row r="41">
      <c r="A41" s="312" t="s">
        <v>1735</v>
      </c>
      <c r="B41" s="325" t="s">
        <v>2824</v>
      </c>
      <c r="C41" s="320" t="s">
        <v>2002</v>
      </c>
      <c r="D41" s="320">
        <v>15.0</v>
      </c>
      <c r="E41" s="320">
        <v>2100.0</v>
      </c>
      <c r="F41" s="321">
        <v>41.1</v>
      </c>
      <c r="G41" s="321">
        <v>1.45</v>
      </c>
      <c r="H41" s="321">
        <v>22.5</v>
      </c>
      <c r="I41" s="321">
        <v>0.12</v>
      </c>
      <c r="J41" s="320">
        <v>85.0</v>
      </c>
      <c r="K41" s="320" t="s">
        <v>2773</v>
      </c>
      <c r="L41" s="320">
        <v>12.0</v>
      </c>
      <c r="M41" s="322" t="s">
        <v>2804</v>
      </c>
      <c r="N41" s="320">
        <v>7.0</v>
      </c>
      <c r="O41" s="320" t="s">
        <v>166</v>
      </c>
      <c r="P41" s="320" t="s">
        <v>166</v>
      </c>
      <c r="Q41" s="320"/>
      <c r="R41" s="322"/>
    </row>
    <row r="42">
      <c r="A42" s="314" t="s">
        <v>1532</v>
      </c>
      <c r="B42" s="323" t="s">
        <v>2825</v>
      </c>
      <c r="C42" s="320" t="s">
        <v>2002</v>
      </c>
      <c r="D42" s="320">
        <v>15.0</v>
      </c>
      <c r="E42" s="320">
        <v>1600.0</v>
      </c>
      <c r="F42" s="321">
        <v>58.4</v>
      </c>
      <c r="G42" s="321">
        <v>1.76</v>
      </c>
      <c r="H42" s="321">
        <v>30.0</v>
      </c>
      <c r="I42" s="321">
        <v>0.16</v>
      </c>
      <c r="J42" s="320">
        <v>79.0</v>
      </c>
      <c r="K42" s="320" t="s">
        <v>2773</v>
      </c>
      <c r="L42" s="320">
        <v>12.0</v>
      </c>
      <c r="M42" s="322" t="s">
        <v>2793</v>
      </c>
      <c r="N42" s="320">
        <v>13.0</v>
      </c>
      <c r="O42" s="320" t="s">
        <v>166</v>
      </c>
      <c r="P42" s="320" t="s">
        <v>166</v>
      </c>
      <c r="Q42" s="320"/>
      <c r="R42" s="322"/>
    </row>
    <row r="43">
      <c r="A43" s="255" t="s">
        <v>1480</v>
      </c>
      <c r="B43" s="325" t="s">
        <v>2826</v>
      </c>
      <c r="C43" s="320" t="s">
        <v>2002</v>
      </c>
      <c r="D43" s="320">
        <v>15.0</v>
      </c>
      <c r="E43" s="320">
        <v>2000.0</v>
      </c>
      <c r="F43" s="321">
        <v>56.3</v>
      </c>
      <c r="G43" s="321">
        <v>1.9</v>
      </c>
      <c r="H43" s="321">
        <v>25.6</v>
      </c>
      <c r="I43" s="321">
        <v>0.55</v>
      </c>
      <c r="J43" s="320">
        <v>114.0</v>
      </c>
      <c r="K43" s="320" t="s">
        <v>2773</v>
      </c>
      <c r="L43" s="320">
        <v>12.0</v>
      </c>
      <c r="M43" s="322" t="s">
        <v>2804</v>
      </c>
      <c r="N43" s="320">
        <v>11.0</v>
      </c>
      <c r="O43" s="320" t="s">
        <v>166</v>
      </c>
      <c r="P43" s="320" t="s">
        <v>166</v>
      </c>
      <c r="Q43" s="320"/>
      <c r="R43" s="322"/>
    </row>
    <row r="44">
      <c r="A44" s="255" t="s">
        <v>1480</v>
      </c>
      <c r="B44" s="324" t="s">
        <v>2827</v>
      </c>
      <c r="C44" s="320" t="s">
        <v>2002</v>
      </c>
      <c r="D44" s="320">
        <v>15.0</v>
      </c>
      <c r="E44" s="320">
        <v>2000.0</v>
      </c>
      <c r="F44" s="321">
        <v>56.3</v>
      </c>
      <c r="G44" s="321">
        <v>1.9</v>
      </c>
      <c r="H44" s="321">
        <v>25.6</v>
      </c>
      <c r="I44" s="321">
        <v>0.55</v>
      </c>
      <c r="J44" s="320">
        <v>114.0</v>
      </c>
      <c r="K44" s="320" t="s">
        <v>2773</v>
      </c>
      <c r="L44" s="320">
        <v>12.0</v>
      </c>
      <c r="M44" s="322" t="s">
        <v>2804</v>
      </c>
      <c r="N44" s="320">
        <v>11.0</v>
      </c>
      <c r="O44" s="320" t="s">
        <v>166</v>
      </c>
      <c r="P44" s="320" t="s">
        <v>166</v>
      </c>
      <c r="Q44" s="320"/>
      <c r="R44" s="322"/>
    </row>
    <row r="45">
      <c r="A45" s="255" t="s">
        <v>1480</v>
      </c>
      <c r="B45" s="324" t="s">
        <v>2828</v>
      </c>
      <c r="C45" s="320" t="s">
        <v>2002</v>
      </c>
      <c r="D45" s="320">
        <v>15.0</v>
      </c>
      <c r="E45" s="320">
        <v>2000.0</v>
      </c>
      <c r="F45" s="321">
        <v>56.3</v>
      </c>
      <c r="G45" s="321">
        <v>1.9</v>
      </c>
      <c r="H45" s="321">
        <v>27.5</v>
      </c>
      <c r="I45" s="321">
        <v>0.55</v>
      </c>
      <c r="J45" s="320" t="s">
        <v>170</v>
      </c>
      <c r="K45" s="320" t="s">
        <v>2773</v>
      </c>
      <c r="L45" s="320">
        <v>12.0</v>
      </c>
      <c r="M45" s="322" t="s">
        <v>2804</v>
      </c>
      <c r="N45" s="320">
        <v>11.0</v>
      </c>
      <c r="O45" s="320" t="s">
        <v>166</v>
      </c>
      <c r="P45" s="320" t="s">
        <v>174</v>
      </c>
      <c r="Q45" s="320"/>
      <c r="R45" s="322"/>
    </row>
    <row r="46">
      <c r="A46" s="255" t="s">
        <v>1480</v>
      </c>
      <c r="B46" s="324" t="s">
        <v>2829</v>
      </c>
      <c r="C46" s="320" t="s">
        <v>2002</v>
      </c>
      <c r="D46" s="320">
        <v>15.0</v>
      </c>
      <c r="E46" s="320">
        <v>2000.0</v>
      </c>
      <c r="F46" s="321">
        <v>56.3</v>
      </c>
      <c r="G46" s="321">
        <v>1.9</v>
      </c>
      <c r="H46" s="321">
        <v>27.5</v>
      </c>
      <c r="I46" s="321">
        <v>0.55</v>
      </c>
      <c r="J46" s="320" t="s">
        <v>170</v>
      </c>
      <c r="K46" s="320" t="s">
        <v>2773</v>
      </c>
      <c r="L46" s="320">
        <v>12.0</v>
      </c>
      <c r="M46" s="322" t="s">
        <v>2804</v>
      </c>
      <c r="N46" s="320">
        <v>11.0</v>
      </c>
      <c r="O46" s="320" t="s">
        <v>166</v>
      </c>
      <c r="P46" s="320" t="s">
        <v>174</v>
      </c>
      <c r="Q46" s="320"/>
      <c r="R46" s="322"/>
    </row>
    <row r="47">
      <c r="A47" s="312" t="s">
        <v>1706</v>
      </c>
      <c r="B47" s="319" t="s">
        <v>2830</v>
      </c>
      <c r="C47" s="320" t="s">
        <v>2002</v>
      </c>
      <c r="D47" s="320">
        <v>15.0</v>
      </c>
      <c r="E47" s="320" t="s">
        <v>170</v>
      </c>
      <c r="F47" s="321">
        <v>58.9</v>
      </c>
      <c r="G47" s="321">
        <v>2.42</v>
      </c>
      <c r="H47" s="321">
        <v>32.2</v>
      </c>
      <c r="I47" s="321" t="s">
        <v>170</v>
      </c>
      <c r="J47" s="320" t="s">
        <v>170</v>
      </c>
      <c r="K47" s="320" t="s">
        <v>2773</v>
      </c>
      <c r="L47" s="320">
        <v>12.0</v>
      </c>
      <c r="M47" s="322" t="s">
        <v>2804</v>
      </c>
      <c r="N47" s="320">
        <v>9.0</v>
      </c>
      <c r="O47" s="320" t="s">
        <v>166</v>
      </c>
      <c r="P47" s="320" t="s">
        <v>166</v>
      </c>
      <c r="Q47" s="320"/>
      <c r="R47" s="322"/>
    </row>
    <row r="48">
      <c r="A48" s="326" t="s">
        <v>2831</v>
      </c>
      <c r="B48" s="324" t="s">
        <v>2832</v>
      </c>
      <c r="C48" s="320" t="s">
        <v>2002</v>
      </c>
      <c r="D48" s="320">
        <v>12.0</v>
      </c>
      <c r="E48" s="320">
        <v>1400.0</v>
      </c>
      <c r="F48" s="321">
        <v>39.0</v>
      </c>
      <c r="G48" s="321" t="s">
        <v>170</v>
      </c>
      <c r="H48" s="321">
        <v>18.0</v>
      </c>
      <c r="I48" s="321">
        <v>0.2</v>
      </c>
      <c r="J48" s="320" t="s">
        <v>170</v>
      </c>
      <c r="K48" s="320" t="s">
        <v>2773</v>
      </c>
      <c r="L48" s="320">
        <v>12.0</v>
      </c>
      <c r="M48" s="322" t="s">
        <v>2769</v>
      </c>
      <c r="N48" s="320">
        <v>13.0</v>
      </c>
      <c r="O48" s="320" t="s">
        <v>166</v>
      </c>
      <c r="P48" s="320" t="s">
        <v>166</v>
      </c>
      <c r="Q48" s="320"/>
      <c r="R48" s="322"/>
    </row>
    <row r="49">
      <c r="A49" s="314" t="s">
        <v>1659</v>
      </c>
      <c r="B49" s="323" t="s">
        <v>2833</v>
      </c>
      <c r="C49" s="320" t="s">
        <v>2002</v>
      </c>
      <c r="D49" s="320">
        <v>15.8</v>
      </c>
      <c r="E49" s="320">
        <v>1500.0</v>
      </c>
      <c r="F49" s="321">
        <v>52.4</v>
      </c>
      <c r="G49" s="321">
        <v>1.35</v>
      </c>
      <c r="H49" s="321">
        <v>25.4</v>
      </c>
      <c r="I49" s="321">
        <v>0.15</v>
      </c>
      <c r="J49" s="320">
        <v>90.0</v>
      </c>
      <c r="K49" s="320" t="s">
        <v>2773</v>
      </c>
      <c r="L49" s="320">
        <v>12.0</v>
      </c>
      <c r="M49" s="322" t="s">
        <v>2834</v>
      </c>
      <c r="N49" s="320">
        <v>11.0</v>
      </c>
      <c r="O49" s="320" t="s">
        <v>166</v>
      </c>
      <c r="P49" s="320" t="s">
        <v>166</v>
      </c>
      <c r="Q49" s="320"/>
      <c r="R49" s="322"/>
    </row>
    <row r="50">
      <c r="A50" s="314" t="s">
        <v>1659</v>
      </c>
      <c r="B50" s="323" t="s">
        <v>2835</v>
      </c>
      <c r="C50" s="320" t="s">
        <v>2002</v>
      </c>
      <c r="D50" s="320">
        <v>15.8</v>
      </c>
      <c r="E50" s="320">
        <v>1500.0</v>
      </c>
      <c r="F50" s="321">
        <v>48.3</v>
      </c>
      <c r="G50" s="321">
        <v>1.26</v>
      </c>
      <c r="H50" s="321">
        <v>24.6</v>
      </c>
      <c r="I50" s="321">
        <v>0.15</v>
      </c>
      <c r="J50" s="320">
        <v>50.0</v>
      </c>
      <c r="K50" s="320" t="s">
        <v>2767</v>
      </c>
      <c r="L50" s="320">
        <v>12.0</v>
      </c>
      <c r="M50" s="322" t="s">
        <v>2834</v>
      </c>
      <c r="N50" s="320">
        <v>11.0</v>
      </c>
      <c r="O50" s="320" t="s">
        <v>166</v>
      </c>
      <c r="P50" s="320" t="s">
        <v>166</v>
      </c>
      <c r="Q50" s="320"/>
      <c r="R50" s="322"/>
    </row>
    <row r="51">
      <c r="A51" s="314" t="s">
        <v>1611</v>
      </c>
      <c r="B51" s="323" t="s">
        <v>2836</v>
      </c>
      <c r="C51" s="320" t="s">
        <v>2002</v>
      </c>
      <c r="D51" s="320">
        <v>15.0</v>
      </c>
      <c r="E51" s="320">
        <v>1600.0</v>
      </c>
      <c r="F51" s="321">
        <v>53.6</v>
      </c>
      <c r="G51" s="321">
        <v>1.81</v>
      </c>
      <c r="H51" s="321">
        <v>30.2</v>
      </c>
      <c r="I51" s="321">
        <v>0.22</v>
      </c>
      <c r="J51" s="320" t="s">
        <v>170</v>
      </c>
      <c r="K51" s="320" t="s">
        <v>2773</v>
      </c>
      <c r="L51" s="320">
        <v>12.0</v>
      </c>
      <c r="M51" s="322" t="s">
        <v>2769</v>
      </c>
      <c r="N51" s="320">
        <v>13.0</v>
      </c>
      <c r="O51" s="320" t="s">
        <v>166</v>
      </c>
      <c r="P51" s="320" t="s">
        <v>166</v>
      </c>
      <c r="Q51" s="320"/>
      <c r="R51" s="322"/>
    </row>
    <row r="52">
      <c r="A52" s="314" t="s">
        <v>1611</v>
      </c>
      <c r="B52" s="324" t="s">
        <v>2837</v>
      </c>
      <c r="C52" s="320" t="s">
        <v>2002</v>
      </c>
      <c r="D52" s="320">
        <v>15.0</v>
      </c>
      <c r="E52" s="320">
        <v>2000.0</v>
      </c>
      <c r="F52" s="321">
        <v>54.6</v>
      </c>
      <c r="G52" s="321">
        <v>1.53</v>
      </c>
      <c r="H52" s="321">
        <v>31.2</v>
      </c>
      <c r="I52" s="321">
        <v>0.18</v>
      </c>
      <c r="J52" s="320" t="s">
        <v>170</v>
      </c>
      <c r="K52" s="320" t="s">
        <v>2773</v>
      </c>
      <c r="L52" s="320">
        <v>12.0</v>
      </c>
      <c r="M52" s="322" t="s">
        <v>2769</v>
      </c>
      <c r="N52" s="320">
        <v>9.0</v>
      </c>
      <c r="O52" s="320" t="s">
        <v>166</v>
      </c>
      <c r="P52" s="320" t="s">
        <v>166</v>
      </c>
      <c r="Q52" s="320"/>
      <c r="R52" s="322"/>
    </row>
    <row r="53">
      <c r="A53" s="314" t="s">
        <v>1611</v>
      </c>
      <c r="B53" s="324" t="s">
        <v>2838</v>
      </c>
      <c r="C53" s="320" t="s">
        <v>2002</v>
      </c>
      <c r="D53" s="320">
        <v>15.0</v>
      </c>
      <c r="E53" s="320">
        <v>2000.0</v>
      </c>
      <c r="F53" s="321">
        <v>54.6</v>
      </c>
      <c r="G53" s="321">
        <v>1.53</v>
      </c>
      <c r="H53" s="321">
        <v>31.2</v>
      </c>
      <c r="I53" s="321">
        <v>0.18</v>
      </c>
      <c r="J53" s="320" t="s">
        <v>170</v>
      </c>
      <c r="K53" s="320" t="s">
        <v>2773</v>
      </c>
      <c r="L53" s="320">
        <v>12.0</v>
      </c>
      <c r="M53" s="322" t="s">
        <v>2769</v>
      </c>
      <c r="N53" s="320">
        <v>9.0</v>
      </c>
      <c r="O53" s="320" t="s">
        <v>166</v>
      </c>
      <c r="P53" s="320" t="s">
        <v>174</v>
      </c>
      <c r="Q53" s="320"/>
      <c r="R53" s="322"/>
    </row>
    <row r="54">
      <c r="A54" s="314" t="s">
        <v>1611</v>
      </c>
      <c r="B54" s="324" t="s">
        <v>2839</v>
      </c>
      <c r="C54" s="320" t="s">
        <v>2002</v>
      </c>
      <c r="D54" s="320">
        <v>15.0</v>
      </c>
      <c r="E54" s="320">
        <v>2000.0</v>
      </c>
      <c r="F54" s="321">
        <v>54.6</v>
      </c>
      <c r="G54" s="321">
        <v>1.53</v>
      </c>
      <c r="H54" s="321">
        <v>31.2</v>
      </c>
      <c r="I54" s="321">
        <v>0.18</v>
      </c>
      <c r="J54" s="320" t="s">
        <v>170</v>
      </c>
      <c r="K54" s="320" t="s">
        <v>2773</v>
      </c>
      <c r="L54" s="320">
        <v>12.0</v>
      </c>
      <c r="M54" s="322" t="s">
        <v>2769</v>
      </c>
      <c r="N54" s="320">
        <v>9.0</v>
      </c>
      <c r="O54" s="320" t="s">
        <v>166</v>
      </c>
      <c r="P54" s="320" t="s">
        <v>174</v>
      </c>
      <c r="Q54" s="320"/>
      <c r="R54" s="322"/>
    </row>
    <row r="55">
      <c r="A55" s="314" t="s">
        <v>1611</v>
      </c>
      <c r="B55" s="324" t="s">
        <v>2840</v>
      </c>
      <c r="C55" s="320" t="s">
        <v>2002</v>
      </c>
      <c r="D55" s="320">
        <v>15.0</v>
      </c>
      <c r="E55" s="320">
        <v>2200.0</v>
      </c>
      <c r="F55" s="321">
        <v>67.58</v>
      </c>
      <c r="G55" s="321">
        <v>1.54</v>
      </c>
      <c r="H55" s="321">
        <v>32.3</v>
      </c>
      <c r="I55" s="321">
        <v>0.28</v>
      </c>
      <c r="J55" s="320">
        <v>110.0</v>
      </c>
      <c r="K55" s="320" t="s">
        <v>2773</v>
      </c>
      <c r="L55" s="320">
        <v>12.0</v>
      </c>
      <c r="M55" s="322" t="s">
        <v>2769</v>
      </c>
      <c r="N55" s="320">
        <v>11.0</v>
      </c>
      <c r="O55" s="320" t="s">
        <v>166</v>
      </c>
      <c r="P55" s="320" t="s">
        <v>166</v>
      </c>
      <c r="Q55" s="320"/>
      <c r="R55" s="322"/>
    </row>
    <row r="56">
      <c r="A56" s="314" t="s">
        <v>1611</v>
      </c>
      <c r="B56" s="324" t="s">
        <v>2841</v>
      </c>
      <c r="C56" s="320" t="s">
        <v>2002</v>
      </c>
      <c r="D56" s="320">
        <v>15.0</v>
      </c>
      <c r="E56" s="320">
        <v>2200.0</v>
      </c>
      <c r="F56" s="321">
        <v>67.58</v>
      </c>
      <c r="G56" s="321">
        <v>1.54</v>
      </c>
      <c r="H56" s="321">
        <v>32.3</v>
      </c>
      <c r="I56" s="321">
        <v>0.28</v>
      </c>
      <c r="J56" s="320">
        <v>110.0</v>
      </c>
      <c r="K56" s="320" t="s">
        <v>2773</v>
      </c>
      <c r="L56" s="320">
        <v>12.0</v>
      </c>
      <c r="M56" s="322" t="s">
        <v>2769</v>
      </c>
      <c r="N56" s="320">
        <v>11.0</v>
      </c>
      <c r="O56" s="320" t="s">
        <v>166</v>
      </c>
      <c r="P56" s="320" t="s">
        <v>166</v>
      </c>
      <c r="Q56" s="320"/>
      <c r="R56" s="322"/>
    </row>
    <row r="57">
      <c r="A57" s="312" t="s">
        <v>2425</v>
      </c>
      <c r="B57" s="325" t="s">
        <v>2842</v>
      </c>
      <c r="C57" s="320" t="s">
        <v>2002</v>
      </c>
      <c r="D57" s="320">
        <v>20.0</v>
      </c>
      <c r="E57" s="320">
        <v>2000.0</v>
      </c>
      <c r="F57" s="321">
        <v>60.71</v>
      </c>
      <c r="G57" s="321">
        <v>2.72</v>
      </c>
      <c r="H57" s="321">
        <v>29.0</v>
      </c>
      <c r="I57" s="321">
        <v>0.15</v>
      </c>
      <c r="J57" s="320">
        <v>138.0</v>
      </c>
      <c r="K57" s="320" t="s">
        <v>2773</v>
      </c>
      <c r="L57" s="320">
        <v>12.0</v>
      </c>
      <c r="M57" s="322" t="s">
        <v>2793</v>
      </c>
      <c r="N57" s="320">
        <v>9.0</v>
      </c>
      <c r="O57" s="320" t="s">
        <v>166</v>
      </c>
      <c r="P57" s="320" t="s">
        <v>174</v>
      </c>
      <c r="Q57" s="320"/>
      <c r="R57" s="322"/>
    </row>
    <row r="58">
      <c r="A58" s="312" t="s">
        <v>1630</v>
      </c>
      <c r="B58" s="324" t="s">
        <v>2843</v>
      </c>
      <c r="C58" s="320" t="s">
        <v>2002</v>
      </c>
      <c r="D58" s="320">
        <v>15.0</v>
      </c>
      <c r="E58" s="320">
        <v>1800.0</v>
      </c>
      <c r="F58" s="321">
        <v>62.0</v>
      </c>
      <c r="G58" s="321">
        <v>2.0</v>
      </c>
      <c r="H58" s="321">
        <v>29.7</v>
      </c>
      <c r="I58" s="321">
        <v>0.3</v>
      </c>
      <c r="J58" s="320" t="s">
        <v>170</v>
      </c>
      <c r="K58" s="320" t="s">
        <v>2773</v>
      </c>
      <c r="L58" s="320">
        <v>12.0</v>
      </c>
      <c r="M58" s="322" t="s">
        <v>2804</v>
      </c>
      <c r="N58" s="320">
        <v>9.0</v>
      </c>
      <c r="O58" s="320" t="s">
        <v>166</v>
      </c>
      <c r="P58" s="320" t="s">
        <v>174</v>
      </c>
      <c r="Q58" s="320"/>
      <c r="R58" s="322"/>
    </row>
    <row r="59">
      <c r="A59" s="312" t="s">
        <v>1630</v>
      </c>
      <c r="B59" s="324" t="s">
        <v>2844</v>
      </c>
      <c r="C59" s="320" t="s">
        <v>2002</v>
      </c>
      <c r="D59" s="320">
        <v>15.0</v>
      </c>
      <c r="E59" s="320">
        <v>1800.0</v>
      </c>
      <c r="F59" s="321">
        <v>62.0</v>
      </c>
      <c r="G59" s="321">
        <v>2.0</v>
      </c>
      <c r="H59" s="321">
        <v>29.7</v>
      </c>
      <c r="I59" s="321">
        <v>0.3</v>
      </c>
      <c r="J59" s="320" t="s">
        <v>170</v>
      </c>
      <c r="K59" s="320" t="s">
        <v>2773</v>
      </c>
      <c r="L59" s="320">
        <v>12.0</v>
      </c>
      <c r="M59" s="322" t="s">
        <v>2804</v>
      </c>
      <c r="N59" s="320">
        <v>9.0</v>
      </c>
      <c r="O59" s="320" t="s">
        <v>166</v>
      </c>
      <c r="P59" s="320" t="s">
        <v>174</v>
      </c>
      <c r="Q59" s="320"/>
      <c r="R59" s="322"/>
    </row>
    <row r="60">
      <c r="A60" s="314" t="s">
        <v>1639</v>
      </c>
      <c r="B60" s="324" t="s">
        <v>2845</v>
      </c>
      <c r="C60" s="320" t="s">
        <v>2002</v>
      </c>
      <c r="D60" s="320">
        <v>15.0</v>
      </c>
      <c r="E60" s="320">
        <v>1850.0</v>
      </c>
      <c r="F60" s="321">
        <v>55.48</v>
      </c>
      <c r="G60" s="321">
        <v>1.53</v>
      </c>
      <c r="H60" s="321">
        <v>23.9</v>
      </c>
      <c r="I60" s="321">
        <v>0.13</v>
      </c>
      <c r="J60" s="320">
        <v>296.0</v>
      </c>
      <c r="K60" s="320" t="s">
        <v>2767</v>
      </c>
      <c r="L60" s="320">
        <v>12.0</v>
      </c>
      <c r="M60" s="322" t="s">
        <v>2771</v>
      </c>
      <c r="N60" s="320">
        <v>7.0</v>
      </c>
      <c r="O60" s="320" t="s">
        <v>166</v>
      </c>
      <c r="P60" s="320" t="s">
        <v>166</v>
      </c>
      <c r="Q60" s="320"/>
      <c r="R60" s="322"/>
    </row>
    <row r="61">
      <c r="A61" s="314" t="s">
        <v>1639</v>
      </c>
      <c r="B61" s="323" t="s">
        <v>2846</v>
      </c>
      <c r="C61" s="320" t="s">
        <v>2002</v>
      </c>
      <c r="D61" s="320">
        <v>15.0</v>
      </c>
      <c r="E61" s="320">
        <v>1850.0</v>
      </c>
      <c r="F61" s="321">
        <v>55.48</v>
      </c>
      <c r="G61" s="321">
        <v>1.53</v>
      </c>
      <c r="H61" s="321">
        <v>23.9</v>
      </c>
      <c r="I61" s="321">
        <v>0.13</v>
      </c>
      <c r="J61" s="320">
        <v>296.0</v>
      </c>
      <c r="K61" s="320" t="s">
        <v>2773</v>
      </c>
      <c r="L61" s="320">
        <v>12.0</v>
      </c>
      <c r="M61" s="322" t="s">
        <v>2771</v>
      </c>
      <c r="N61" s="320">
        <v>7.0</v>
      </c>
      <c r="O61" s="320" t="s">
        <v>166</v>
      </c>
      <c r="P61" s="320" t="s">
        <v>166</v>
      </c>
      <c r="Q61" s="320"/>
      <c r="R61" s="322"/>
    </row>
    <row r="62">
      <c r="A62" s="314" t="s">
        <v>1639</v>
      </c>
      <c r="B62" s="324" t="s">
        <v>2847</v>
      </c>
      <c r="C62" s="320" t="s">
        <v>2002</v>
      </c>
      <c r="D62" s="320">
        <v>15.0</v>
      </c>
      <c r="E62" s="320">
        <v>1850.0</v>
      </c>
      <c r="F62" s="321">
        <v>55.48</v>
      </c>
      <c r="G62" s="321">
        <v>1.53</v>
      </c>
      <c r="H62" s="321">
        <v>23.9</v>
      </c>
      <c r="I62" s="321">
        <v>0.13</v>
      </c>
      <c r="J62" s="320">
        <v>280.0</v>
      </c>
      <c r="K62" s="320" t="s">
        <v>2773</v>
      </c>
      <c r="L62" s="320">
        <v>12.0</v>
      </c>
      <c r="M62" s="322" t="s">
        <v>2771</v>
      </c>
      <c r="N62" s="320">
        <v>7.0</v>
      </c>
      <c r="O62" s="320" t="s">
        <v>166</v>
      </c>
      <c r="P62" s="320" t="s">
        <v>166</v>
      </c>
      <c r="Q62" s="320"/>
      <c r="R62" s="322"/>
    </row>
    <row r="63">
      <c r="A63" s="314" t="s">
        <v>1669</v>
      </c>
      <c r="B63" s="323" t="s">
        <v>2848</v>
      </c>
      <c r="C63" s="320" t="s">
        <v>2002</v>
      </c>
      <c r="D63" s="320">
        <v>15.0</v>
      </c>
      <c r="E63" s="320">
        <v>1300.0</v>
      </c>
      <c r="F63" s="321">
        <v>56.0</v>
      </c>
      <c r="G63" s="321">
        <v>0.9</v>
      </c>
      <c r="H63" s="321">
        <v>17.0</v>
      </c>
      <c r="I63" s="321">
        <v>0.12</v>
      </c>
      <c r="J63" s="320">
        <v>91.0</v>
      </c>
      <c r="K63" s="320" t="s">
        <v>2773</v>
      </c>
      <c r="L63" s="320">
        <v>12.0</v>
      </c>
      <c r="M63" s="322" t="s">
        <v>2849</v>
      </c>
      <c r="N63" s="320">
        <v>17.0</v>
      </c>
      <c r="O63" s="320" t="s">
        <v>166</v>
      </c>
      <c r="P63" s="320" t="s">
        <v>166</v>
      </c>
      <c r="Q63" s="320"/>
      <c r="R63" s="322"/>
    </row>
    <row r="64">
      <c r="A64" s="314" t="s">
        <v>1387</v>
      </c>
      <c r="B64" s="324" t="s">
        <v>2850</v>
      </c>
      <c r="C64" s="320" t="s">
        <v>2002</v>
      </c>
      <c r="D64" s="320">
        <v>17.0</v>
      </c>
      <c r="E64" s="320">
        <v>1200.0</v>
      </c>
      <c r="F64" s="321">
        <v>33.86</v>
      </c>
      <c r="G64" s="321">
        <v>0.9</v>
      </c>
      <c r="H64" s="321">
        <v>23.9</v>
      </c>
      <c r="I64" s="321">
        <v>0.08</v>
      </c>
      <c r="J64" s="320" t="s">
        <v>170</v>
      </c>
      <c r="K64" s="320" t="s">
        <v>2773</v>
      </c>
      <c r="L64" s="320">
        <v>12.0</v>
      </c>
      <c r="M64" s="322" t="s">
        <v>2813</v>
      </c>
      <c r="N64" s="320">
        <v>9.0</v>
      </c>
      <c r="O64" s="320" t="s">
        <v>166</v>
      </c>
      <c r="P64" s="320" t="s">
        <v>166</v>
      </c>
      <c r="Q64" s="320"/>
      <c r="R64" s="322"/>
    </row>
    <row r="65">
      <c r="A65" s="314" t="s">
        <v>1387</v>
      </c>
      <c r="B65" s="324" t="s">
        <v>2851</v>
      </c>
      <c r="C65" s="320" t="s">
        <v>2002</v>
      </c>
      <c r="D65" s="320">
        <v>17.0</v>
      </c>
      <c r="E65" s="320">
        <v>1200.0</v>
      </c>
      <c r="F65" s="321">
        <v>33.86</v>
      </c>
      <c r="G65" s="321">
        <v>0.9</v>
      </c>
      <c r="H65" s="321">
        <v>23.9</v>
      </c>
      <c r="I65" s="321">
        <v>0.08</v>
      </c>
      <c r="J65" s="320" t="s">
        <v>170</v>
      </c>
      <c r="K65" s="320" t="s">
        <v>2767</v>
      </c>
      <c r="L65" s="320">
        <v>12.0</v>
      </c>
      <c r="M65" s="322" t="s">
        <v>2813</v>
      </c>
      <c r="N65" s="320">
        <v>9.0</v>
      </c>
      <c r="O65" s="320" t="s">
        <v>166</v>
      </c>
      <c r="P65" s="320" t="s">
        <v>166</v>
      </c>
      <c r="Q65" s="320"/>
      <c r="R65" s="322"/>
    </row>
    <row r="66">
      <c r="A66" s="314" t="s">
        <v>1387</v>
      </c>
      <c r="B66" s="324" t="s">
        <v>2852</v>
      </c>
      <c r="C66" s="320" t="s">
        <v>2002</v>
      </c>
      <c r="D66" s="320">
        <v>17.0</v>
      </c>
      <c r="E66" s="320">
        <v>1800.0</v>
      </c>
      <c r="F66" s="321">
        <v>50.79</v>
      </c>
      <c r="G66" s="321">
        <v>1.35</v>
      </c>
      <c r="H66" s="321">
        <v>30.0</v>
      </c>
      <c r="I66" s="321">
        <v>0.18</v>
      </c>
      <c r="J66" s="320" t="s">
        <v>170</v>
      </c>
      <c r="K66" s="320" t="s">
        <v>2773</v>
      </c>
      <c r="L66" s="320">
        <v>12.0</v>
      </c>
      <c r="M66" s="322" t="s">
        <v>2813</v>
      </c>
      <c r="N66" s="320">
        <v>9.0</v>
      </c>
      <c r="O66" s="320" t="s">
        <v>166</v>
      </c>
      <c r="P66" s="320" t="s">
        <v>166</v>
      </c>
      <c r="Q66" s="320"/>
      <c r="R66" s="322"/>
    </row>
    <row r="67">
      <c r="A67" s="314" t="s">
        <v>1387</v>
      </c>
      <c r="B67" s="324" t="s">
        <v>2853</v>
      </c>
      <c r="C67" s="320" t="s">
        <v>2002</v>
      </c>
      <c r="D67" s="320">
        <v>17.0</v>
      </c>
      <c r="E67" s="320">
        <v>1800.0</v>
      </c>
      <c r="F67" s="321">
        <v>50.79</v>
      </c>
      <c r="G67" s="321">
        <v>1.35</v>
      </c>
      <c r="H67" s="321">
        <v>30.0</v>
      </c>
      <c r="I67" s="321">
        <v>0.18</v>
      </c>
      <c r="J67" s="320" t="s">
        <v>170</v>
      </c>
      <c r="K67" s="320" t="s">
        <v>2767</v>
      </c>
      <c r="L67" s="320">
        <v>12.0</v>
      </c>
      <c r="M67" s="322" t="s">
        <v>2813</v>
      </c>
      <c r="N67" s="320">
        <v>9.0</v>
      </c>
      <c r="O67" s="320" t="s">
        <v>166</v>
      </c>
      <c r="P67" s="320" t="s">
        <v>166</v>
      </c>
      <c r="Q67" s="320"/>
      <c r="R67" s="322"/>
    </row>
    <row r="68">
      <c r="A68" s="314" t="s">
        <v>1387</v>
      </c>
      <c r="B68" s="324" t="s">
        <v>2854</v>
      </c>
      <c r="C68" s="320" t="s">
        <v>2002</v>
      </c>
      <c r="D68" s="320">
        <v>17.0</v>
      </c>
      <c r="E68" s="320">
        <v>1200.0</v>
      </c>
      <c r="F68" s="321">
        <v>33.86</v>
      </c>
      <c r="G68" s="321">
        <v>0.9</v>
      </c>
      <c r="H68" s="321">
        <v>23.9</v>
      </c>
      <c r="I68" s="321">
        <v>0.08</v>
      </c>
      <c r="J68" s="320" t="s">
        <v>170</v>
      </c>
      <c r="K68" s="320" t="s">
        <v>2773</v>
      </c>
      <c r="L68" s="320">
        <v>12.0</v>
      </c>
      <c r="M68" s="322" t="s">
        <v>2813</v>
      </c>
      <c r="N68" s="320">
        <v>9.0</v>
      </c>
      <c r="O68" s="320" t="s">
        <v>174</v>
      </c>
      <c r="P68" s="320" t="s">
        <v>166</v>
      </c>
      <c r="Q68" s="320"/>
      <c r="R68" s="322"/>
    </row>
    <row r="69">
      <c r="A69" s="314" t="s">
        <v>1387</v>
      </c>
      <c r="B69" s="324" t="s">
        <v>2855</v>
      </c>
      <c r="C69" s="320" t="s">
        <v>2002</v>
      </c>
      <c r="D69" s="320">
        <v>17.0</v>
      </c>
      <c r="E69" s="320">
        <v>1800.0</v>
      </c>
      <c r="F69" s="321">
        <v>50.79</v>
      </c>
      <c r="G69" s="321">
        <v>1.35</v>
      </c>
      <c r="H69" s="321">
        <v>30.0</v>
      </c>
      <c r="I69" s="321">
        <v>0.19</v>
      </c>
      <c r="J69" s="320" t="s">
        <v>170</v>
      </c>
      <c r="K69" s="320" t="s">
        <v>2773</v>
      </c>
      <c r="L69" s="320">
        <v>12.0</v>
      </c>
      <c r="M69" s="322" t="s">
        <v>2813</v>
      </c>
      <c r="N69" s="320">
        <v>9.0</v>
      </c>
      <c r="O69" s="320" t="s">
        <v>174</v>
      </c>
      <c r="P69" s="320" t="s">
        <v>166</v>
      </c>
      <c r="Q69" s="320"/>
      <c r="R69" s="322"/>
    </row>
    <row r="70">
      <c r="A70" s="314" t="s">
        <v>1387</v>
      </c>
      <c r="B70" s="325" t="s">
        <v>2856</v>
      </c>
      <c r="C70" s="320" t="s">
        <v>2002</v>
      </c>
      <c r="D70" s="320">
        <v>15.0</v>
      </c>
      <c r="E70" s="320">
        <v>1200.0</v>
      </c>
      <c r="F70" s="321">
        <v>32.0</v>
      </c>
      <c r="G70" s="321">
        <v>0.64</v>
      </c>
      <c r="H70" s="321">
        <v>21.3</v>
      </c>
      <c r="I70" s="321">
        <v>0.06</v>
      </c>
      <c r="J70" s="320">
        <v>106.0</v>
      </c>
      <c r="K70" s="320" t="s">
        <v>2773</v>
      </c>
      <c r="L70" s="320">
        <v>12.0</v>
      </c>
      <c r="M70" s="322" t="s">
        <v>2813</v>
      </c>
      <c r="N70" s="320">
        <v>9.0</v>
      </c>
      <c r="O70" s="320" t="s">
        <v>166</v>
      </c>
      <c r="P70" s="320" t="s">
        <v>166</v>
      </c>
      <c r="Q70" s="320"/>
      <c r="R70" s="322"/>
    </row>
    <row r="71">
      <c r="A71" s="314" t="s">
        <v>1387</v>
      </c>
      <c r="B71" s="325" t="s">
        <v>2857</v>
      </c>
      <c r="C71" s="320" t="s">
        <v>2002</v>
      </c>
      <c r="D71" s="320">
        <v>15.0</v>
      </c>
      <c r="E71" s="320">
        <v>1500.0</v>
      </c>
      <c r="F71" s="321">
        <v>39.44</v>
      </c>
      <c r="G71" s="321">
        <v>0.96</v>
      </c>
      <c r="H71" s="321">
        <v>23.8</v>
      </c>
      <c r="I71" s="321">
        <v>0.08</v>
      </c>
      <c r="J71" s="320">
        <v>106.0</v>
      </c>
      <c r="K71" s="320" t="s">
        <v>2773</v>
      </c>
      <c r="L71" s="320">
        <v>12.0</v>
      </c>
      <c r="M71" s="322" t="s">
        <v>2813</v>
      </c>
      <c r="N71" s="320">
        <v>9.0</v>
      </c>
      <c r="O71" s="320" t="s">
        <v>166</v>
      </c>
      <c r="P71" s="320" t="s">
        <v>166</v>
      </c>
      <c r="Q71" s="320"/>
      <c r="R71" s="322"/>
    </row>
    <row r="72">
      <c r="A72" s="314" t="s">
        <v>1387</v>
      </c>
      <c r="B72" s="325" t="s">
        <v>2858</v>
      </c>
      <c r="C72" s="320" t="s">
        <v>2002</v>
      </c>
      <c r="D72" s="320">
        <v>15.0</v>
      </c>
      <c r="E72" s="320">
        <v>1800.0</v>
      </c>
      <c r="F72" s="321">
        <v>48.0</v>
      </c>
      <c r="G72" s="321">
        <v>1.36</v>
      </c>
      <c r="H72" s="321">
        <v>27.8</v>
      </c>
      <c r="I72" s="321">
        <v>0.18</v>
      </c>
      <c r="J72" s="320">
        <v>106.0</v>
      </c>
      <c r="K72" s="320" t="s">
        <v>2773</v>
      </c>
      <c r="L72" s="320">
        <v>12.0</v>
      </c>
      <c r="M72" s="322" t="s">
        <v>2813</v>
      </c>
      <c r="N72" s="320">
        <v>9.0</v>
      </c>
      <c r="O72" s="320" t="s">
        <v>166</v>
      </c>
      <c r="P72" s="320" t="s">
        <v>166</v>
      </c>
      <c r="Q72" s="320"/>
      <c r="R72" s="322"/>
    </row>
    <row r="73">
      <c r="A73" s="314" t="s">
        <v>1387</v>
      </c>
      <c r="B73" s="325" t="s">
        <v>2859</v>
      </c>
      <c r="C73" s="320" t="s">
        <v>2002</v>
      </c>
      <c r="D73" s="320">
        <v>12.0</v>
      </c>
      <c r="E73" s="320">
        <v>1700.0</v>
      </c>
      <c r="F73" s="321">
        <v>49.83</v>
      </c>
      <c r="G73" s="321" t="s">
        <v>170</v>
      </c>
      <c r="H73" s="321">
        <v>27.35</v>
      </c>
      <c r="I73" s="321">
        <v>0.25</v>
      </c>
      <c r="J73" s="320">
        <v>75.0</v>
      </c>
      <c r="K73" s="320" t="s">
        <v>2773</v>
      </c>
      <c r="L73" s="320">
        <v>12.0</v>
      </c>
      <c r="M73" s="322" t="s">
        <v>2769</v>
      </c>
      <c r="N73" s="320">
        <v>15.0</v>
      </c>
      <c r="O73" s="320" t="s">
        <v>166</v>
      </c>
      <c r="P73" s="320" t="s">
        <v>166</v>
      </c>
      <c r="Q73" s="320"/>
      <c r="R73" s="322"/>
    </row>
    <row r="74">
      <c r="A74" s="314" t="s">
        <v>1387</v>
      </c>
      <c r="B74" s="319" t="s">
        <v>2860</v>
      </c>
      <c r="C74" s="320" t="s">
        <v>2002</v>
      </c>
      <c r="D74" s="320">
        <v>12.0</v>
      </c>
      <c r="E74" s="320">
        <v>800.0</v>
      </c>
      <c r="F74" s="321">
        <v>19.4</v>
      </c>
      <c r="G74" s="321">
        <v>0.27</v>
      </c>
      <c r="H74" s="321">
        <v>19.53</v>
      </c>
      <c r="I74" s="321">
        <v>0.08</v>
      </c>
      <c r="J74" s="320">
        <v>115.0</v>
      </c>
      <c r="K74" s="320" t="s">
        <v>2767</v>
      </c>
      <c r="L74" s="320">
        <v>12.0</v>
      </c>
      <c r="M74" s="322" t="s">
        <v>2769</v>
      </c>
      <c r="N74" s="320">
        <v>15.0</v>
      </c>
      <c r="O74" s="320" t="s">
        <v>166</v>
      </c>
      <c r="P74" s="320" t="s">
        <v>166</v>
      </c>
      <c r="Q74" s="320"/>
      <c r="R74" s="322"/>
    </row>
    <row r="75">
      <c r="A75" s="314" t="s">
        <v>1387</v>
      </c>
      <c r="B75" s="319" t="s">
        <v>2861</v>
      </c>
      <c r="C75" s="320" t="s">
        <v>2002</v>
      </c>
      <c r="D75" s="320">
        <v>12.0</v>
      </c>
      <c r="E75" s="320">
        <v>1200.0</v>
      </c>
      <c r="F75" s="321">
        <v>24.03</v>
      </c>
      <c r="G75" s="321">
        <v>0.54</v>
      </c>
      <c r="H75" s="321">
        <v>21.71</v>
      </c>
      <c r="I75" s="321">
        <v>0.17</v>
      </c>
      <c r="J75" s="320">
        <v>115.0</v>
      </c>
      <c r="K75" s="320" t="s">
        <v>2767</v>
      </c>
      <c r="L75" s="320">
        <v>12.0</v>
      </c>
      <c r="M75" s="322" t="s">
        <v>2769</v>
      </c>
      <c r="N75" s="320">
        <v>15.0</v>
      </c>
      <c r="O75" s="320" t="s">
        <v>166</v>
      </c>
      <c r="P75" s="320" t="s">
        <v>166</v>
      </c>
      <c r="Q75" s="320"/>
      <c r="R75" s="322"/>
    </row>
    <row r="76">
      <c r="A76" s="314" t="s">
        <v>1387</v>
      </c>
      <c r="B76" s="319" t="s">
        <v>2862</v>
      </c>
      <c r="C76" s="320" t="s">
        <v>2002</v>
      </c>
      <c r="D76" s="320">
        <v>12.0</v>
      </c>
      <c r="E76" s="320">
        <v>1600.0</v>
      </c>
      <c r="F76" s="321">
        <v>48.05</v>
      </c>
      <c r="G76" s="321">
        <v>1.11</v>
      </c>
      <c r="H76" s="321">
        <v>28.89</v>
      </c>
      <c r="I76" s="321">
        <v>0.19</v>
      </c>
      <c r="J76" s="320">
        <v>115.0</v>
      </c>
      <c r="K76" s="320" t="s">
        <v>2767</v>
      </c>
      <c r="L76" s="320">
        <v>12.0</v>
      </c>
      <c r="M76" s="322" t="s">
        <v>2769</v>
      </c>
      <c r="N76" s="320">
        <v>15.0</v>
      </c>
      <c r="O76" s="320" t="s">
        <v>166</v>
      </c>
      <c r="P76" s="320" t="s">
        <v>166</v>
      </c>
      <c r="Q76" s="320"/>
      <c r="R76" s="322"/>
    </row>
    <row r="77">
      <c r="A77" s="314" t="s">
        <v>1387</v>
      </c>
      <c r="B77" s="319" t="s">
        <v>2863</v>
      </c>
      <c r="C77" s="320" t="s">
        <v>2002</v>
      </c>
      <c r="D77" s="320">
        <v>12.0</v>
      </c>
      <c r="E77" s="320">
        <v>2000.0</v>
      </c>
      <c r="F77" s="321">
        <v>45.47</v>
      </c>
      <c r="G77" s="321">
        <v>1.35</v>
      </c>
      <c r="H77" s="321">
        <v>37.0</v>
      </c>
      <c r="I77" s="321">
        <v>0.25</v>
      </c>
      <c r="J77" s="320">
        <v>115.0</v>
      </c>
      <c r="K77" s="320" t="s">
        <v>2767</v>
      </c>
      <c r="L77" s="320">
        <v>12.0</v>
      </c>
      <c r="M77" s="322" t="s">
        <v>2769</v>
      </c>
      <c r="N77" s="320">
        <v>15.0</v>
      </c>
      <c r="O77" s="320" t="s">
        <v>166</v>
      </c>
      <c r="P77" s="320" t="s">
        <v>166</v>
      </c>
      <c r="Q77" s="320"/>
      <c r="R77" s="322"/>
    </row>
    <row r="78">
      <c r="A78" s="314" t="s">
        <v>1387</v>
      </c>
      <c r="B78" s="319" t="s">
        <v>2864</v>
      </c>
      <c r="C78" s="320" t="s">
        <v>2002</v>
      </c>
      <c r="D78" s="320">
        <v>12.0</v>
      </c>
      <c r="E78" s="320">
        <v>2000.0</v>
      </c>
      <c r="F78" s="321">
        <v>45.47</v>
      </c>
      <c r="G78" s="321">
        <v>1.35</v>
      </c>
      <c r="H78" s="321">
        <v>37.0</v>
      </c>
      <c r="I78" s="321">
        <v>0.25</v>
      </c>
      <c r="J78" s="320">
        <v>115.0</v>
      </c>
      <c r="K78" s="320" t="s">
        <v>2773</v>
      </c>
      <c r="L78" s="320">
        <v>12.0</v>
      </c>
      <c r="M78" s="322" t="s">
        <v>2769</v>
      </c>
      <c r="N78" s="320">
        <v>15.0</v>
      </c>
      <c r="O78" s="320" t="s">
        <v>166</v>
      </c>
      <c r="P78" s="320" t="s">
        <v>166</v>
      </c>
      <c r="Q78" s="320"/>
      <c r="R78" s="322"/>
    </row>
    <row r="79">
      <c r="A79" s="312" t="s">
        <v>209</v>
      </c>
      <c r="B79" s="324" t="s">
        <v>2865</v>
      </c>
      <c r="C79" s="320" t="s">
        <v>2002</v>
      </c>
      <c r="D79" s="320">
        <v>15.6</v>
      </c>
      <c r="E79" s="320">
        <v>1800.0</v>
      </c>
      <c r="F79" s="321">
        <v>63.67</v>
      </c>
      <c r="G79" s="321">
        <v>2.4</v>
      </c>
      <c r="H79" s="321">
        <v>31.7</v>
      </c>
      <c r="I79" s="321">
        <v>0.32</v>
      </c>
      <c r="J79" s="320" t="s">
        <v>170</v>
      </c>
      <c r="K79" s="320" t="s">
        <v>2773</v>
      </c>
      <c r="L79" s="320">
        <v>12.0</v>
      </c>
      <c r="M79" s="322" t="s">
        <v>2804</v>
      </c>
      <c r="N79" s="320">
        <v>9.0</v>
      </c>
      <c r="O79" s="320" t="s">
        <v>166</v>
      </c>
      <c r="P79" s="320" t="s">
        <v>166</v>
      </c>
      <c r="Q79" s="320"/>
      <c r="R79" s="322"/>
    </row>
    <row r="80">
      <c r="A80" s="312" t="s">
        <v>209</v>
      </c>
      <c r="B80" s="324" t="s">
        <v>2866</v>
      </c>
      <c r="C80" s="320" t="s">
        <v>2002</v>
      </c>
      <c r="D80" s="320">
        <v>15.6</v>
      </c>
      <c r="E80" s="320">
        <v>1800.0</v>
      </c>
      <c r="F80" s="321">
        <v>63.67</v>
      </c>
      <c r="G80" s="321">
        <v>2.4</v>
      </c>
      <c r="H80" s="321">
        <v>31.7</v>
      </c>
      <c r="I80" s="321">
        <v>0.32</v>
      </c>
      <c r="J80" s="320">
        <v>108.5</v>
      </c>
      <c r="K80" s="320" t="s">
        <v>2773</v>
      </c>
      <c r="L80" s="320">
        <v>12.0</v>
      </c>
      <c r="M80" s="322" t="s">
        <v>2804</v>
      </c>
      <c r="N80" s="320">
        <v>9.0</v>
      </c>
      <c r="O80" s="320" t="s">
        <v>166</v>
      </c>
      <c r="P80" s="320" t="s">
        <v>174</v>
      </c>
      <c r="Q80" s="327" t="s">
        <v>214</v>
      </c>
      <c r="R80" s="322"/>
    </row>
    <row r="81">
      <c r="A81" s="312" t="s">
        <v>209</v>
      </c>
      <c r="B81" s="323" t="s">
        <v>2867</v>
      </c>
      <c r="C81" s="320" t="s">
        <v>2002</v>
      </c>
      <c r="D81" s="320">
        <v>15.0</v>
      </c>
      <c r="E81" s="320">
        <v>2000.0</v>
      </c>
      <c r="F81" s="321">
        <v>32.6</v>
      </c>
      <c r="G81" s="321">
        <v>1.52</v>
      </c>
      <c r="H81" s="321">
        <v>23.5</v>
      </c>
      <c r="I81" s="321">
        <v>0.16</v>
      </c>
      <c r="J81" s="320">
        <v>112.0</v>
      </c>
      <c r="K81" s="320" t="s">
        <v>2767</v>
      </c>
      <c r="L81" s="320">
        <v>12.0</v>
      </c>
      <c r="M81" s="322" t="s">
        <v>2793</v>
      </c>
      <c r="N81" s="320">
        <v>9.0</v>
      </c>
      <c r="O81" s="320" t="s">
        <v>166</v>
      </c>
      <c r="P81" s="320" t="s">
        <v>166</v>
      </c>
      <c r="Q81" s="320"/>
      <c r="R81" s="322"/>
    </row>
    <row r="82">
      <c r="A82" s="312" t="s">
        <v>209</v>
      </c>
      <c r="B82" s="324" t="s">
        <v>2868</v>
      </c>
      <c r="C82" s="320" t="s">
        <v>2002</v>
      </c>
      <c r="D82" s="320">
        <v>15.0</v>
      </c>
      <c r="E82" s="320">
        <v>1500.0</v>
      </c>
      <c r="F82" s="321">
        <v>25.06</v>
      </c>
      <c r="G82" s="321">
        <v>0.86</v>
      </c>
      <c r="H82" s="321">
        <v>18.0</v>
      </c>
      <c r="I82" s="321">
        <v>0.06</v>
      </c>
      <c r="J82" s="320">
        <v>101.0</v>
      </c>
      <c r="K82" s="320" t="s">
        <v>2767</v>
      </c>
      <c r="L82" s="320">
        <v>12.0</v>
      </c>
      <c r="M82" s="322" t="s">
        <v>2793</v>
      </c>
      <c r="N82" s="320">
        <v>9.0</v>
      </c>
      <c r="O82" s="320" t="s">
        <v>166</v>
      </c>
      <c r="P82" s="320" t="s">
        <v>166</v>
      </c>
      <c r="Q82" s="320"/>
      <c r="R82" s="322"/>
    </row>
    <row r="83">
      <c r="A83" s="312" t="s">
        <v>209</v>
      </c>
      <c r="B83" s="323" t="s">
        <v>2869</v>
      </c>
      <c r="C83" s="320" t="s">
        <v>2002</v>
      </c>
      <c r="D83" s="320">
        <v>15.0</v>
      </c>
      <c r="E83" s="320">
        <v>2000.0</v>
      </c>
      <c r="F83" s="321">
        <v>32.6</v>
      </c>
      <c r="G83" s="321">
        <v>1.52</v>
      </c>
      <c r="H83" s="321">
        <v>24.6</v>
      </c>
      <c r="I83" s="321">
        <v>0.09</v>
      </c>
      <c r="J83" s="320">
        <v>109.0</v>
      </c>
      <c r="K83" s="320" t="s">
        <v>2773</v>
      </c>
      <c r="L83" s="320">
        <v>12.0</v>
      </c>
      <c r="M83" s="322" t="s">
        <v>2793</v>
      </c>
      <c r="N83" s="320">
        <v>9.0</v>
      </c>
      <c r="O83" s="320" t="s">
        <v>166</v>
      </c>
      <c r="P83" s="320" t="s">
        <v>166</v>
      </c>
      <c r="Q83" s="320"/>
      <c r="R83" s="322"/>
    </row>
    <row r="84">
      <c r="A84" s="312" t="s">
        <v>209</v>
      </c>
      <c r="B84" s="323" t="s">
        <v>2870</v>
      </c>
      <c r="C84" s="320" t="s">
        <v>2002</v>
      </c>
      <c r="D84" s="320">
        <v>15.0</v>
      </c>
      <c r="E84" s="320">
        <v>2000.0</v>
      </c>
      <c r="F84" s="321">
        <v>32.6</v>
      </c>
      <c r="G84" s="321">
        <v>1.52</v>
      </c>
      <c r="H84" s="321">
        <v>24.6</v>
      </c>
      <c r="I84" s="321">
        <v>0.09</v>
      </c>
      <c r="J84" s="320">
        <v>108.0</v>
      </c>
      <c r="K84" s="320" t="s">
        <v>2773</v>
      </c>
      <c r="L84" s="320">
        <v>12.0</v>
      </c>
      <c r="M84" s="322" t="s">
        <v>2804</v>
      </c>
      <c r="N84" s="320">
        <v>9.0</v>
      </c>
      <c r="O84" s="320" t="s">
        <v>166</v>
      </c>
      <c r="P84" s="320" t="s">
        <v>174</v>
      </c>
      <c r="Q84" s="320"/>
      <c r="R84" s="322"/>
    </row>
    <row r="85">
      <c r="A85" s="314" t="s">
        <v>1634</v>
      </c>
      <c r="B85" s="324" t="s">
        <v>2871</v>
      </c>
      <c r="C85" s="320" t="s">
        <v>2002</v>
      </c>
      <c r="D85" s="320">
        <v>15.0</v>
      </c>
      <c r="E85" s="320">
        <v>1500.0</v>
      </c>
      <c r="F85" s="321">
        <v>52.0</v>
      </c>
      <c r="G85" s="321">
        <v>1.24</v>
      </c>
      <c r="H85" s="321">
        <v>24.1</v>
      </c>
      <c r="I85" s="321">
        <v>0.15</v>
      </c>
      <c r="J85" s="320">
        <v>115.0</v>
      </c>
      <c r="K85" s="320" t="s">
        <v>2773</v>
      </c>
      <c r="L85" s="320">
        <v>12.0</v>
      </c>
      <c r="M85" s="322" t="s">
        <v>2872</v>
      </c>
      <c r="N85" s="320">
        <v>11.0</v>
      </c>
      <c r="O85" s="320" t="s">
        <v>166</v>
      </c>
      <c r="P85" s="320" t="s">
        <v>166</v>
      </c>
      <c r="Q85" s="320"/>
      <c r="R85" s="322"/>
    </row>
    <row r="86">
      <c r="A86" s="314" t="s">
        <v>1634</v>
      </c>
      <c r="B86" s="324" t="s">
        <v>2873</v>
      </c>
      <c r="C86" s="320" t="s">
        <v>2002</v>
      </c>
      <c r="D86" s="320">
        <v>15.0</v>
      </c>
      <c r="E86" s="320">
        <v>1800.0</v>
      </c>
      <c r="F86" s="321">
        <v>59.0</v>
      </c>
      <c r="G86" s="321">
        <v>1.36</v>
      </c>
      <c r="H86" s="321">
        <v>26.1</v>
      </c>
      <c r="I86" s="321">
        <v>0.18</v>
      </c>
      <c r="J86" s="320">
        <v>115.0</v>
      </c>
      <c r="K86" s="320" t="s">
        <v>2773</v>
      </c>
      <c r="L86" s="320">
        <v>12.0</v>
      </c>
      <c r="M86" s="322" t="s">
        <v>2872</v>
      </c>
      <c r="N86" s="320">
        <v>11.0</v>
      </c>
      <c r="O86" s="320" t="s">
        <v>166</v>
      </c>
      <c r="P86" s="320" t="s">
        <v>166</v>
      </c>
      <c r="Q86" s="320"/>
      <c r="R86" s="322"/>
    </row>
    <row r="87">
      <c r="A87" s="314" t="s">
        <v>1634</v>
      </c>
      <c r="B87" s="324" t="s">
        <v>2874</v>
      </c>
      <c r="C87" s="320" t="s">
        <v>2002</v>
      </c>
      <c r="D87" s="320">
        <v>15.0</v>
      </c>
      <c r="E87" s="320">
        <v>1500.0</v>
      </c>
      <c r="F87" s="321">
        <v>52.0</v>
      </c>
      <c r="G87" s="321">
        <v>1.24</v>
      </c>
      <c r="H87" s="321">
        <v>24.1</v>
      </c>
      <c r="I87" s="321">
        <v>0.15</v>
      </c>
      <c r="J87" s="320">
        <v>120.0</v>
      </c>
      <c r="K87" s="320" t="s">
        <v>2773</v>
      </c>
      <c r="L87" s="320">
        <v>12.0</v>
      </c>
      <c r="M87" s="322" t="s">
        <v>2872</v>
      </c>
      <c r="N87" s="320">
        <v>11.0</v>
      </c>
      <c r="O87" s="320" t="s">
        <v>174</v>
      </c>
      <c r="P87" s="320" t="s">
        <v>166</v>
      </c>
      <c r="Q87" s="320"/>
      <c r="R87" s="322"/>
    </row>
    <row r="88">
      <c r="A88" s="314" t="s">
        <v>1634</v>
      </c>
      <c r="B88" s="324" t="s">
        <v>2875</v>
      </c>
      <c r="C88" s="320" t="s">
        <v>2002</v>
      </c>
      <c r="D88" s="320">
        <v>15.0</v>
      </c>
      <c r="E88" s="328">
        <v>1500.0</v>
      </c>
      <c r="F88" s="329">
        <v>52.0</v>
      </c>
      <c r="G88" s="330">
        <v>1.24</v>
      </c>
      <c r="H88" s="331">
        <v>24.1</v>
      </c>
      <c r="I88" s="332">
        <v>0.15</v>
      </c>
      <c r="J88" s="309">
        <v>120.0</v>
      </c>
      <c r="K88" s="307" t="s">
        <v>2773</v>
      </c>
      <c r="L88" s="320">
        <v>12.0</v>
      </c>
      <c r="M88" s="322" t="s">
        <v>2872</v>
      </c>
      <c r="N88" s="320">
        <v>11.0</v>
      </c>
      <c r="O88" s="309" t="s">
        <v>166</v>
      </c>
      <c r="P88" s="309" t="s">
        <v>174</v>
      </c>
      <c r="Q88" s="307"/>
      <c r="R88" s="333"/>
    </row>
    <row r="89">
      <c r="A89" s="314" t="s">
        <v>1634</v>
      </c>
      <c r="B89" s="324" t="s">
        <v>2876</v>
      </c>
      <c r="C89" s="320" t="s">
        <v>2002</v>
      </c>
      <c r="D89" s="320">
        <v>15.0</v>
      </c>
      <c r="E89" s="328">
        <v>1500.0</v>
      </c>
      <c r="F89" s="329">
        <v>52.0</v>
      </c>
      <c r="G89" s="330">
        <v>1.24</v>
      </c>
      <c r="H89" s="331">
        <v>24.1</v>
      </c>
      <c r="I89" s="332">
        <v>0.13</v>
      </c>
      <c r="J89" s="309">
        <v>120.0</v>
      </c>
      <c r="K89" s="307" t="s">
        <v>2773</v>
      </c>
      <c r="L89" s="320">
        <v>12.0</v>
      </c>
      <c r="M89" s="322" t="s">
        <v>2872</v>
      </c>
      <c r="N89" s="311">
        <v>11.0</v>
      </c>
      <c r="O89" s="309" t="s">
        <v>166</v>
      </c>
      <c r="P89" s="309" t="s">
        <v>174</v>
      </c>
      <c r="Q89" s="307"/>
      <c r="R89" s="333"/>
    </row>
    <row r="90">
      <c r="A90" s="314" t="s">
        <v>1603</v>
      </c>
      <c r="B90" s="323" t="s">
        <v>2877</v>
      </c>
      <c r="C90" s="320" t="s">
        <v>2002</v>
      </c>
      <c r="D90" s="320">
        <v>15.0</v>
      </c>
      <c r="E90" s="320">
        <v>1400.0</v>
      </c>
      <c r="F90" s="321">
        <v>27.53</v>
      </c>
      <c r="G90" s="321">
        <v>0.88</v>
      </c>
      <c r="H90" s="321">
        <v>24.0</v>
      </c>
      <c r="I90" s="321">
        <v>0.16</v>
      </c>
      <c r="J90" s="320">
        <v>93.2</v>
      </c>
      <c r="K90" s="320" t="s">
        <v>2767</v>
      </c>
      <c r="L90" s="320">
        <v>12.0</v>
      </c>
      <c r="M90" s="322" t="s">
        <v>2769</v>
      </c>
      <c r="N90" s="320">
        <v>9.0</v>
      </c>
      <c r="O90" s="320" t="s">
        <v>166</v>
      </c>
      <c r="P90" s="320" t="s">
        <v>166</v>
      </c>
      <c r="Q90" s="320"/>
      <c r="R90" s="322"/>
    </row>
    <row r="91">
      <c r="A91" s="314" t="s">
        <v>1661</v>
      </c>
      <c r="B91" s="323" t="s">
        <v>2878</v>
      </c>
      <c r="C91" s="320" t="s">
        <v>2879</v>
      </c>
      <c r="D91" s="320">
        <v>13.0</v>
      </c>
      <c r="E91" s="320">
        <v>1400.0</v>
      </c>
      <c r="F91" s="321">
        <v>32.0</v>
      </c>
      <c r="G91" s="321">
        <v>0.55</v>
      </c>
      <c r="H91" s="321">
        <v>26.0</v>
      </c>
      <c r="I91" s="321" t="s">
        <v>170</v>
      </c>
      <c r="J91" s="320">
        <v>87.0</v>
      </c>
      <c r="K91" s="320" t="s">
        <v>2773</v>
      </c>
      <c r="L91" s="320">
        <v>12.0</v>
      </c>
      <c r="M91" s="322" t="s">
        <v>2793</v>
      </c>
      <c r="N91" s="320">
        <v>17.0</v>
      </c>
      <c r="O91" s="320" t="s">
        <v>166</v>
      </c>
      <c r="P91" s="320" t="s">
        <v>166</v>
      </c>
      <c r="Q91" s="320"/>
      <c r="R91" s="322"/>
    </row>
    <row r="92">
      <c r="A92" s="314" t="s">
        <v>1661</v>
      </c>
      <c r="B92" s="323" t="s">
        <v>2880</v>
      </c>
      <c r="C92" s="320" t="s">
        <v>2879</v>
      </c>
      <c r="D92" s="320">
        <v>13.0</v>
      </c>
      <c r="E92" s="320">
        <v>1400.0</v>
      </c>
      <c r="F92" s="321">
        <v>41.71</v>
      </c>
      <c r="G92" s="321">
        <v>0.67</v>
      </c>
      <c r="H92" s="321">
        <v>28.43</v>
      </c>
      <c r="I92" s="321">
        <v>0.2</v>
      </c>
      <c r="J92" s="320">
        <v>98.0</v>
      </c>
      <c r="K92" s="320" t="s">
        <v>2773</v>
      </c>
      <c r="L92" s="320">
        <v>12.0</v>
      </c>
      <c r="M92" s="322" t="s">
        <v>2769</v>
      </c>
      <c r="N92" s="320">
        <v>17.0</v>
      </c>
      <c r="O92" s="320" t="s">
        <v>174</v>
      </c>
      <c r="P92" s="320" t="s">
        <v>166</v>
      </c>
      <c r="Q92" s="320"/>
      <c r="R92" s="322"/>
    </row>
    <row r="93">
      <c r="A93" s="312" t="s">
        <v>1124</v>
      </c>
      <c r="B93" s="324" t="s">
        <v>2881</v>
      </c>
      <c r="C93" s="320" t="s">
        <v>2018</v>
      </c>
      <c r="D93" s="320">
        <v>20.0</v>
      </c>
      <c r="E93" s="320">
        <v>1000.0</v>
      </c>
      <c r="F93" s="321">
        <v>54.7</v>
      </c>
      <c r="G93" s="321">
        <v>0.9144</v>
      </c>
      <c r="H93" s="321">
        <v>19.6</v>
      </c>
      <c r="I93" s="321">
        <v>0.23</v>
      </c>
      <c r="J93" s="320" t="s">
        <v>170</v>
      </c>
      <c r="K93" s="320" t="s">
        <v>2767</v>
      </c>
      <c r="L93" s="320">
        <v>12.0</v>
      </c>
      <c r="M93" s="322" t="s">
        <v>2793</v>
      </c>
      <c r="N93" s="320">
        <v>11.0</v>
      </c>
      <c r="O93" s="320" t="s">
        <v>166</v>
      </c>
      <c r="P93" s="320" t="s">
        <v>166</v>
      </c>
      <c r="Q93" s="320"/>
      <c r="R93" s="322"/>
    </row>
    <row r="94">
      <c r="A94" s="312" t="s">
        <v>1735</v>
      </c>
      <c r="B94" s="324" t="s">
        <v>2882</v>
      </c>
      <c r="C94" s="320" t="s">
        <v>2018</v>
      </c>
      <c r="D94" s="320">
        <v>16.0</v>
      </c>
      <c r="E94" s="320">
        <v>1800.0</v>
      </c>
      <c r="F94" s="321">
        <v>52.0</v>
      </c>
      <c r="G94" s="321">
        <v>1.55</v>
      </c>
      <c r="H94" s="321">
        <v>24.5</v>
      </c>
      <c r="I94" s="321">
        <v>0.19</v>
      </c>
      <c r="J94" s="320">
        <v>109.0</v>
      </c>
      <c r="K94" s="320" t="s">
        <v>2773</v>
      </c>
      <c r="L94" s="320">
        <v>12.0</v>
      </c>
      <c r="M94" s="322" t="s">
        <v>2804</v>
      </c>
      <c r="N94" s="320">
        <v>7.0</v>
      </c>
      <c r="O94" s="320" t="s">
        <v>166</v>
      </c>
      <c r="P94" s="320" t="s">
        <v>166</v>
      </c>
      <c r="Q94" s="320"/>
      <c r="R94" s="322"/>
    </row>
    <row r="95">
      <c r="A95" s="314" t="s">
        <v>1486</v>
      </c>
      <c r="B95" s="323" t="s">
        <v>2883</v>
      </c>
      <c r="C95" s="320" t="s">
        <v>2018</v>
      </c>
      <c r="D95" s="320">
        <v>13.0</v>
      </c>
      <c r="E95" s="320">
        <v>1300.0</v>
      </c>
      <c r="F95" s="321">
        <v>65.0</v>
      </c>
      <c r="G95" s="321">
        <v>1.49</v>
      </c>
      <c r="H95" s="321">
        <v>24.0</v>
      </c>
      <c r="I95" s="321" t="s">
        <v>170</v>
      </c>
      <c r="J95" s="320">
        <v>89.0</v>
      </c>
      <c r="K95" s="320" t="s">
        <v>2773</v>
      </c>
      <c r="L95" s="320">
        <v>12.0</v>
      </c>
      <c r="M95" s="322" t="s">
        <v>2802</v>
      </c>
      <c r="N95" s="320">
        <v>13.0</v>
      </c>
      <c r="O95" s="320" t="s">
        <v>166</v>
      </c>
      <c r="P95" s="320" t="s">
        <v>166</v>
      </c>
      <c r="Q95" s="320"/>
      <c r="R95" s="322" t="s">
        <v>2884</v>
      </c>
    </row>
    <row r="96">
      <c r="A96" s="312" t="s">
        <v>1630</v>
      </c>
      <c r="B96" s="324" t="s">
        <v>2885</v>
      </c>
      <c r="C96" s="320" t="s">
        <v>2018</v>
      </c>
      <c r="D96" s="320">
        <v>15.0</v>
      </c>
      <c r="E96" s="320">
        <v>1650.0</v>
      </c>
      <c r="F96" s="321">
        <v>75.59</v>
      </c>
      <c r="G96" s="321">
        <v>1.79</v>
      </c>
      <c r="H96" s="321">
        <v>29.6</v>
      </c>
      <c r="I96" s="321">
        <v>0.3</v>
      </c>
      <c r="J96" s="320" t="s">
        <v>170</v>
      </c>
      <c r="K96" s="320" t="s">
        <v>2773</v>
      </c>
      <c r="L96" s="320">
        <v>12.0</v>
      </c>
      <c r="M96" s="322" t="s">
        <v>2804</v>
      </c>
      <c r="N96" s="320">
        <v>9.0</v>
      </c>
      <c r="O96" s="320" t="s">
        <v>166</v>
      </c>
      <c r="P96" s="320" t="s">
        <v>174</v>
      </c>
      <c r="Q96" s="320"/>
      <c r="R96" s="322"/>
    </row>
    <row r="97">
      <c r="A97" s="312" t="s">
        <v>1630</v>
      </c>
      <c r="B97" s="324" t="s">
        <v>2886</v>
      </c>
      <c r="C97" s="320" t="s">
        <v>2018</v>
      </c>
      <c r="D97" s="320">
        <v>15.0</v>
      </c>
      <c r="E97" s="320">
        <v>1650.0</v>
      </c>
      <c r="F97" s="321">
        <v>75.59</v>
      </c>
      <c r="G97" s="321">
        <v>1.79</v>
      </c>
      <c r="H97" s="321">
        <v>29.6</v>
      </c>
      <c r="I97" s="321">
        <v>0.3</v>
      </c>
      <c r="J97" s="320" t="s">
        <v>170</v>
      </c>
      <c r="K97" s="320" t="s">
        <v>2773</v>
      </c>
      <c r="L97" s="320">
        <v>12.0</v>
      </c>
      <c r="M97" s="322" t="s">
        <v>2804</v>
      </c>
      <c r="N97" s="320">
        <v>9.0</v>
      </c>
      <c r="O97" s="320" t="s">
        <v>166</v>
      </c>
      <c r="P97" s="320" t="s">
        <v>174</v>
      </c>
      <c r="Q97" s="320"/>
      <c r="R97" s="322"/>
    </row>
    <row r="98">
      <c r="A98" s="314" t="s">
        <v>1669</v>
      </c>
      <c r="B98" s="323" t="s">
        <v>2887</v>
      </c>
      <c r="C98" s="320" t="s">
        <v>2018</v>
      </c>
      <c r="D98" s="320">
        <v>15.0</v>
      </c>
      <c r="E98" s="320">
        <v>1000.0</v>
      </c>
      <c r="F98" s="321">
        <v>98.0</v>
      </c>
      <c r="G98" s="321">
        <v>0.9</v>
      </c>
      <c r="H98" s="321">
        <v>18.0</v>
      </c>
      <c r="I98" s="321">
        <v>0.19</v>
      </c>
      <c r="J98" s="320">
        <v>91.0</v>
      </c>
      <c r="K98" s="320" t="s">
        <v>2773</v>
      </c>
      <c r="L98" s="320">
        <v>12.0</v>
      </c>
      <c r="M98" s="322" t="s">
        <v>2849</v>
      </c>
      <c r="N98" s="320">
        <v>17.0</v>
      </c>
      <c r="O98" s="320" t="s">
        <v>166</v>
      </c>
      <c r="P98" s="320" t="s">
        <v>166</v>
      </c>
      <c r="Q98" s="320"/>
      <c r="R98" s="322" t="s">
        <v>2884</v>
      </c>
    </row>
    <row r="99">
      <c r="A99" s="312" t="s">
        <v>209</v>
      </c>
      <c r="B99" s="324" t="s">
        <v>2888</v>
      </c>
      <c r="C99" s="320" t="s">
        <v>2018</v>
      </c>
      <c r="D99" s="320">
        <v>15.5</v>
      </c>
      <c r="E99" s="320">
        <v>1700.0</v>
      </c>
      <c r="F99" s="321">
        <v>82.0</v>
      </c>
      <c r="G99" s="321">
        <v>2.0</v>
      </c>
      <c r="H99" s="321">
        <v>33.0</v>
      </c>
      <c r="I99" s="321">
        <v>0.27</v>
      </c>
      <c r="J99" s="320">
        <v>135.0</v>
      </c>
      <c r="K99" s="320" t="s">
        <v>2773</v>
      </c>
      <c r="L99" s="320">
        <v>12.0</v>
      </c>
      <c r="M99" s="322" t="s">
        <v>2804</v>
      </c>
      <c r="N99" s="320">
        <v>9.0</v>
      </c>
      <c r="O99" s="320" t="s">
        <v>166</v>
      </c>
      <c r="P99" s="320" t="s">
        <v>166</v>
      </c>
      <c r="Q99" s="320"/>
      <c r="R99" s="322"/>
    </row>
    <row r="100">
      <c r="A100" s="312" t="s">
        <v>209</v>
      </c>
      <c r="B100" s="324" t="s">
        <v>2889</v>
      </c>
      <c r="C100" s="320" t="s">
        <v>2018</v>
      </c>
      <c r="D100" s="320">
        <v>15.5</v>
      </c>
      <c r="E100" s="320">
        <v>1700.0</v>
      </c>
      <c r="F100" s="321">
        <v>82.0</v>
      </c>
      <c r="G100" s="321">
        <v>2.0</v>
      </c>
      <c r="H100" s="321">
        <v>33.0</v>
      </c>
      <c r="I100" s="321">
        <v>0.27</v>
      </c>
      <c r="J100" s="320">
        <v>136.0</v>
      </c>
      <c r="K100" s="320" t="s">
        <v>2773</v>
      </c>
      <c r="L100" s="320">
        <v>12.0</v>
      </c>
      <c r="M100" s="322" t="s">
        <v>2804</v>
      </c>
      <c r="N100" s="320">
        <v>9.0</v>
      </c>
      <c r="O100" s="320" t="s">
        <v>166</v>
      </c>
      <c r="P100" s="320" t="s">
        <v>174</v>
      </c>
      <c r="Q100" s="320"/>
      <c r="R100" s="322"/>
    </row>
    <row r="101">
      <c r="A101" s="314" t="s">
        <v>1603</v>
      </c>
      <c r="B101" s="324" t="s">
        <v>2890</v>
      </c>
      <c r="C101" s="320" t="s">
        <v>2018</v>
      </c>
      <c r="D101" s="320">
        <v>15.0</v>
      </c>
      <c r="E101" s="320">
        <v>1200.0</v>
      </c>
      <c r="F101" s="321">
        <v>38.593</v>
      </c>
      <c r="G101" s="321">
        <v>0.703</v>
      </c>
      <c r="H101" s="321">
        <v>23.6</v>
      </c>
      <c r="I101" s="321">
        <v>0.2</v>
      </c>
      <c r="J101" s="320">
        <v>108.8</v>
      </c>
      <c r="K101" s="320" t="s">
        <v>2767</v>
      </c>
      <c r="L101" s="320">
        <v>12.0</v>
      </c>
      <c r="M101" s="322" t="s">
        <v>2769</v>
      </c>
      <c r="N101" s="320">
        <v>9.0</v>
      </c>
      <c r="O101" s="320" t="s">
        <v>166</v>
      </c>
      <c r="P101" s="320" t="s">
        <v>166</v>
      </c>
      <c r="Q101" s="320"/>
      <c r="R101" s="322"/>
    </row>
    <row r="102">
      <c r="A102" s="314" t="s">
        <v>1661</v>
      </c>
      <c r="B102" s="323" t="s">
        <v>2891</v>
      </c>
      <c r="C102" s="320" t="s">
        <v>2892</v>
      </c>
      <c r="D102" s="320">
        <v>13.0</v>
      </c>
      <c r="E102" s="320">
        <v>1400.0</v>
      </c>
      <c r="F102" s="321">
        <v>56.55</v>
      </c>
      <c r="G102" s="321">
        <v>1.24</v>
      </c>
      <c r="H102" s="321">
        <v>28.0</v>
      </c>
      <c r="I102" s="321" t="s">
        <v>170</v>
      </c>
      <c r="J102" s="320" t="s">
        <v>170</v>
      </c>
      <c r="K102" s="320" t="s">
        <v>2773</v>
      </c>
      <c r="L102" s="320">
        <v>12.0</v>
      </c>
      <c r="M102" s="322" t="s">
        <v>2793</v>
      </c>
      <c r="N102" s="320">
        <v>13.0</v>
      </c>
      <c r="O102" s="320" t="s">
        <v>166</v>
      </c>
      <c r="P102" s="320" t="s">
        <v>166</v>
      </c>
      <c r="Q102" s="320"/>
      <c r="R102" s="322" t="s">
        <v>2884</v>
      </c>
    </row>
    <row r="103">
      <c r="A103" s="312" t="s">
        <v>209</v>
      </c>
      <c r="B103" s="323" t="s">
        <v>2893</v>
      </c>
      <c r="C103" s="320" t="s">
        <v>2892</v>
      </c>
      <c r="D103" s="320">
        <v>13.0</v>
      </c>
      <c r="E103" s="320">
        <v>1300.0</v>
      </c>
      <c r="F103" s="321">
        <v>74.6</v>
      </c>
      <c r="G103" s="321">
        <v>1.25</v>
      </c>
      <c r="H103" s="321">
        <v>34.2</v>
      </c>
      <c r="I103" s="321">
        <v>0.25</v>
      </c>
      <c r="J103" s="320">
        <v>85.0</v>
      </c>
      <c r="K103" s="320" t="s">
        <v>2773</v>
      </c>
      <c r="L103" s="320">
        <v>12.0</v>
      </c>
      <c r="M103" s="322" t="s">
        <v>2793</v>
      </c>
      <c r="N103" s="320">
        <v>13.0</v>
      </c>
      <c r="O103" s="320" t="s">
        <v>166</v>
      </c>
      <c r="P103" s="320" t="s">
        <v>166</v>
      </c>
      <c r="Q103" s="320"/>
      <c r="R103" s="322" t="s">
        <v>2884</v>
      </c>
    </row>
    <row r="104">
      <c r="A104" s="314" t="s">
        <v>1634</v>
      </c>
      <c r="B104" s="323" t="s">
        <v>2894</v>
      </c>
      <c r="C104" s="320" t="s">
        <v>2892</v>
      </c>
      <c r="D104" s="320">
        <v>13.0</v>
      </c>
      <c r="E104" s="320">
        <v>1300.0</v>
      </c>
      <c r="F104" s="321">
        <v>64.52</v>
      </c>
      <c r="G104" s="321" t="s">
        <v>170</v>
      </c>
      <c r="H104" s="321">
        <v>30.6</v>
      </c>
      <c r="I104" s="321" t="s">
        <v>170</v>
      </c>
      <c r="J104" s="320">
        <v>90.0</v>
      </c>
      <c r="K104" s="320" t="s">
        <v>2773</v>
      </c>
      <c r="L104" s="320">
        <v>12.0</v>
      </c>
      <c r="M104" s="322" t="s">
        <v>2895</v>
      </c>
      <c r="N104" s="320">
        <v>13.0</v>
      </c>
      <c r="O104" s="320" t="s">
        <v>166</v>
      </c>
      <c r="P104" s="320" t="s">
        <v>166</v>
      </c>
      <c r="Q104" s="320"/>
      <c r="R104" s="322" t="s">
        <v>2884</v>
      </c>
    </row>
    <row r="105">
      <c r="A105" s="312" t="s">
        <v>209</v>
      </c>
      <c r="B105" s="323" t="s">
        <v>2896</v>
      </c>
      <c r="C105" s="320" t="s">
        <v>2897</v>
      </c>
      <c r="D105" s="320">
        <v>18.0</v>
      </c>
      <c r="E105" s="320">
        <v>1200.0</v>
      </c>
      <c r="F105" s="321">
        <v>171.1</v>
      </c>
      <c r="G105" s="321">
        <v>1.25</v>
      </c>
      <c r="H105" s="321">
        <v>39.5</v>
      </c>
      <c r="I105" s="321">
        <v>0.54</v>
      </c>
      <c r="J105" s="320">
        <v>180.4</v>
      </c>
      <c r="K105" s="320" t="s">
        <v>2767</v>
      </c>
      <c r="L105" s="320">
        <v>12.0</v>
      </c>
      <c r="M105" s="322" t="s">
        <v>2793</v>
      </c>
      <c r="N105" s="320">
        <v>15.0</v>
      </c>
      <c r="O105" s="320" t="s">
        <v>166</v>
      </c>
      <c r="P105" s="320" t="s">
        <v>166</v>
      </c>
      <c r="Q105" s="320"/>
      <c r="R105" s="322"/>
    </row>
    <row r="106">
      <c r="A106" s="312" t="s">
        <v>209</v>
      </c>
      <c r="B106" s="323" t="s">
        <v>2898</v>
      </c>
      <c r="C106" s="320" t="s">
        <v>2897</v>
      </c>
      <c r="D106" s="320">
        <v>18.0</v>
      </c>
      <c r="E106" s="320">
        <v>1200.0</v>
      </c>
      <c r="F106" s="321">
        <v>171.1</v>
      </c>
      <c r="G106" s="321">
        <v>1.25</v>
      </c>
      <c r="H106" s="321">
        <v>39.5</v>
      </c>
      <c r="I106" s="321">
        <v>0.54</v>
      </c>
      <c r="J106" s="320">
        <v>149.6</v>
      </c>
      <c r="K106" s="320" t="s">
        <v>2773</v>
      </c>
      <c r="L106" s="320">
        <v>12.0</v>
      </c>
      <c r="M106" s="322" t="s">
        <v>2793</v>
      </c>
      <c r="N106" s="320">
        <v>15.0</v>
      </c>
      <c r="O106" s="320" t="s">
        <v>166</v>
      </c>
      <c r="P106" s="320" t="s">
        <v>166</v>
      </c>
      <c r="Q106" s="320"/>
      <c r="R106" s="322"/>
    </row>
    <row r="107">
      <c r="M107" s="334"/>
    </row>
    <row r="108">
      <c r="M108" s="334"/>
    </row>
    <row r="109">
      <c r="M109" s="334"/>
    </row>
    <row r="110">
      <c r="M110" s="334"/>
    </row>
    <row r="111">
      <c r="M111" s="334"/>
    </row>
    <row r="112">
      <c r="M112" s="334"/>
    </row>
    <row r="113">
      <c r="M113" s="334"/>
    </row>
    <row r="114">
      <c r="M114" s="334"/>
    </row>
    <row r="115">
      <c r="M115" s="334"/>
    </row>
    <row r="116">
      <c r="M116" s="334"/>
    </row>
    <row r="117">
      <c r="M117" s="334"/>
    </row>
    <row r="118">
      <c r="M118" s="334"/>
    </row>
  </sheetData>
  <autoFilter ref="$A$1:$R$106"/>
  <customSheetViews>
    <customSheetView guid="{08559E5C-8D61-4E9F-89F9-351862163AA1}" filter="1" showAutoFilter="1">
      <autoFilter ref="$A$1:$P$106">
        <filterColumn colId="2">
          <filters>
            <filter val="130x120"/>
            <filter val="120x120"/>
            <filter val="150x140"/>
          </filters>
        </filterColumn>
        <filterColumn colId="0">
          <filters>
            <filter val="Thermalright"/>
            <filter val="Jonsbo"/>
            <filter val="FANNER"/>
            <filter val="GEEEK"/>
            <filter val="Scythe"/>
            <filter val="ID-Cooling"/>
            <filter val="Cryorig"/>
            <filter val="Raijintek"/>
            <filter val="Silverstone"/>
            <filter val="InWin"/>
            <filter val="Noiseblocker"/>
            <filter val="Cooler Master"/>
            <filter val="Noctua"/>
            <filter val="Corsair"/>
            <filter val="DeepCool"/>
            <filter val="Arctic"/>
            <filter val="Aerocool"/>
          </filters>
        </filterColumn>
      </autoFilter>
    </customSheetView>
    <customSheetView guid="{201BD83C-C27E-4924-8C49-5C3EFDD16E4A}" filter="1" showAutoFilter="1">
      <autoFilter ref="$A$1:$K$106">
        <sortState ref="A1:K106">
          <sortCondition ref="A1:A106"/>
        </sortState>
      </autoFilter>
    </customSheetView>
  </customSheetViews>
  <conditionalFormatting sqref="E2:E106">
    <cfRule type="colorScale" priority="1">
      <colorScale>
        <cfvo type="min"/>
        <cfvo type="percentile" val="50"/>
        <cfvo type="max"/>
        <color rgb="FF57BB8A"/>
        <color rgb="FFFFD666"/>
        <color rgb="FFE67C73"/>
      </colorScale>
    </cfRule>
  </conditionalFormatting>
  <conditionalFormatting sqref="F2:F106">
    <cfRule type="colorScale" priority="2">
      <colorScale>
        <cfvo type="min"/>
        <cfvo type="percentile" val="50"/>
        <cfvo type="formula" val="75"/>
        <color rgb="FFE67C73"/>
        <color rgb="FFFFD666"/>
        <color rgb="FF57BB8A"/>
      </colorScale>
    </cfRule>
  </conditionalFormatting>
  <conditionalFormatting sqref="G2:G106">
    <cfRule type="colorScale" priority="3">
      <colorScale>
        <cfvo type="min"/>
        <cfvo type="percentile" val="50"/>
        <cfvo type="max"/>
        <color rgb="FFE67C73"/>
        <color rgb="FFFFD666"/>
        <color rgb="FF57BB8A"/>
      </colorScale>
    </cfRule>
  </conditionalFormatting>
  <conditionalFormatting sqref="H2:H106">
    <cfRule type="colorScale" priority="4">
      <colorScale>
        <cfvo type="min"/>
        <cfvo type="percentile" val="50"/>
        <cfvo type="max"/>
        <color rgb="FF57BB8A"/>
        <color rgb="FFFFD666"/>
        <color rgb="FFE67C73"/>
      </colorScale>
    </cfRule>
  </conditionalFormatting>
  <conditionalFormatting sqref="E1">
    <cfRule type="colorScale" priority="5">
      <colorScale>
        <cfvo type="min"/>
        <cfvo type="max"/>
        <color rgb="FF57BB8A"/>
        <color rgb="FFFFFFFF"/>
      </colorScale>
    </cfRule>
  </conditionalFormatting>
  <conditionalFormatting sqref="I2:I106">
    <cfRule type="colorScale" priority="6">
      <colorScale>
        <cfvo type="min"/>
        <cfvo type="percentile" val="50"/>
        <cfvo type="max"/>
        <color rgb="FF57BB8A"/>
        <color rgb="FFFFD666"/>
        <color rgb="FFE67C73"/>
      </colorScale>
    </cfRule>
  </conditionalFormatting>
  <conditionalFormatting sqref="L2:P106">
    <cfRule type="cellIs" dxfId="3" priority="7" operator="equal">
      <formula>"Y"</formula>
    </cfRule>
  </conditionalFormatting>
  <conditionalFormatting sqref="D2:D106">
    <cfRule type="colorScale" priority="8">
      <colorScale>
        <cfvo type="min"/>
        <cfvo type="percentile" val="50"/>
        <cfvo type="max"/>
        <color rgb="FF57BB8A"/>
        <color rgb="FFFFD666"/>
        <color rgb="FFE67C73"/>
      </colorScale>
    </cfRule>
  </conditionalFormatting>
  <hyperlinks>
    <hyperlink r:id="rId2" ref="A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A14"/>
    <hyperlink r:id="rId25" ref="B14"/>
    <hyperlink r:id="rId26" ref="A15"/>
    <hyperlink r:id="rId27" ref="A16"/>
    <hyperlink r:id="rId28" ref="B16"/>
    <hyperlink r:id="rId29" ref="A17"/>
    <hyperlink r:id="rId30" ref="B17"/>
    <hyperlink r:id="rId31" ref="A18"/>
    <hyperlink r:id="rId32" ref="B18"/>
    <hyperlink r:id="rId33" ref="A19"/>
    <hyperlink r:id="rId34" ref="B19"/>
    <hyperlink r:id="rId35" ref="A20"/>
    <hyperlink r:id="rId36" ref="B20"/>
    <hyperlink r:id="rId37" ref="A21"/>
    <hyperlink r:id="rId38" ref="B21"/>
    <hyperlink r:id="rId39" ref="A22"/>
    <hyperlink r:id="rId40" ref="B22"/>
    <hyperlink r:id="rId41" ref="A23"/>
    <hyperlink r:id="rId42" ref="A24"/>
    <hyperlink r:id="rId43" ref="B24"/>
    <hyperlink r:id="rId44" ref="A25"/>
    <hyperlink r:id="rId45" ref="B25"/>
    <hyperlink r:id="rId46" ref="A26"/>
    <hyperlink r:id="rId47" ref="B26"/>
    <hyperlink r:id="rId48" ref="A27"/>
    <hyperlink r:id="rId49" ref="B27"/>
    <hyperlink r:id="rId50" ref="A28"/>
    <hyperlink r:id="rId51" ref="B28"/>
    <hyperlink r:id="rId52" ref="A29"/>
    <hyperlink r:id="rId53" ref="B29"/>
    <hyperlink r:id="rId54" ref="A30"/>
    <hyperlink r:id="rId55" ref="B30"/>
    <hyperlink r:id="rId56" ref="A31"/>
    <hyperlink r:id="rId57" ref="B31"/>
    <hyperlink r:id="rId58" ref="A32"/>
    <hyperlink r:id="rId59" ref="B32"/>
    <hyperlink r:id="rId60" ref="A33"/>
    <hyperlink r:id="rId61" ref="B33"/>
    <hyperlink r:id="rId62" ref="A34"/>
    <hyperlink r:id="rId63" ref="B34"/>
    <hyperlink r:id="rId64" ref="A35"/>
    <hyperlink r:id="rId65" ref="B35"/>
    <hyperlink r:id="rId66" ref="A36"/>
    <hyperlink r:id="rId67" ref="B36"/>
    <hyperlink r:id="rId68" ref="A37"/>
    <hyperlink r:id="rId69" ref="B37"/>
    <hyperlink r:id="rId70" ref="A38"/>
    <hyperlink r:id="rId71" ref="B38"/>
    <hyperlink r:id="rId72" ref="A39"/>
    <hyperlink r:id="rId73" ref="B39"/>
    <hyperlink r:id="rId74" ref="A40"/>
    <hyperlink r:id="rId75" ref="B40"/>
    <hyperlink r:id="rId76" ref="A41"/>
    <hyperlink r:id="rId77" ref="B41"/>
    <hyperlink r:id="rId78" ref="A42"/>
    <hyperlink r:id="rId79" ref="B42"/>
    <hyperlink r:id="rId80" ref="A43"/>
    <hyperlink r:id="rId81" ref="B43"/>
    <hyperlink r:id="rId82" ref="A44"/>
    <hyperlink r:id="rId83" ref="B44"/>
    <hyperlink r:id="rId84" ref="A45"/>
    <hyperlink r:id="rId85" ref="B45"/>
    <hyperlink r:id="rId86" ref="A46"/>
    <hyperlink r:id="rId87" ref="B46"/>
    <hyperlink r:id="rId88" ref="A47"/>
    <hyperlink r:id="rId89" ref="B48"/>
    <hyperlink r:id="rId90" ref="A49"/>
    <hyperlink r:id="rId91" ref="B49"/>
    <hyperlink r:id="rId92" ref="A50"/>
    <hyperlink r:id="rId93" ref="B50"/>
    <hyperlink r:id="rId94" ref="A51"/>
    <hyperlink r:id="rId95" ref="B51"/>
    <hyperlink r:id="rId96" ref="A52"/>
    <hyperlink r:id="rId97" ref="B52"/>
    <hyperlink r:id="rId98" ref="A53"/>
    <hyperlink r:id="rId99" ref="B53"/>
    <hyperlink r:id="rId100" ref="A54"/>
    <hyperlink r:id="rId101" ref="B54"/>
    <hyperlink r:id="rId102" ref="A55"/>
    <hyperlink r:id="rId103" ref="B55"/>
    <hyperlink r:id="rId104" ref="A56"/>
    <hyperlink r:id="rId105" ref="B56"/>
    <hyperlink r:id="rId106" ref="A57"/>
    <hyperlink r:id="rId107" ref="B57"/>
    <hyperlink r:id="rId108" ref="A58"/>
    <hyperlink r:id="rId109" ref="B58"/>
    <hyperlink r:id="rId110" ref="A59"/>
    <hyperlink r:id="rId111" ref="B59"/>
    <hyperlink r:id="rId112" ref="A60"/>
    <hyperlink r:id="rId113" ref="B60"/>
    <hyperlink r:id="rId114" ref="A61"/>
    <hyperlink r:id="rId115" ref="B61"/>
    <hyperlink r:id="rId116" ref="A62"/>
    <hyperlink r:id="rId117" ref="B62"/>
    <hyperlink r:id="rId118" ref="A63"/>
    <hyperlink r:id="rId119" ref="B63"/>
    <hyperlink r:id="rId120" ref="A64"/>
    <hyperlink r:id="rId121" ref="B64"/>
    <hyperlink r:id="rId122" ref="A65"/>
    <hyperlink r:id="rId123" ref="B65"/>
    <hyperlink r:id="rId124" ref="A66"/>
    <hyperlink r:id="rId125" ref="B66"/>
    <hyperlink r:id="rId126" ref="A67"/>
    <hyperlink r:id="rId127" ref="B67"/>
    <hyperlink r:id="rId128" ref="A68"/>
    <hyperlink r:id="rId129" ref="B68"/>
    <hyperlink r:id="rId130" ref="A69"/>
    <hyperlink r:id="rId131" ref="B69"/>
    <hyperlink r:id="rId132" ref="A70"/>
    <hyperlink r:id="rId133" ref="B70"/>
    <hyperlink r:id="rId134" ref="A71"/>
    <hyperlink r:id="rId135" ref="B71"/>
    <hyperlink r:id="rId136" ref="A72"/>
    <hyperlink r:id="rId137" ref="B72"/>
    <hyperlink r:id="rId138" ref="A73"/>
    <hyperlink r:id="rId139" ref="B73"/>
    <hyperlink r:id="rId140" ref="A74"/>
    <hyperlink r:id="rId141" ref="A75"/>
    <hyperlink r:id="rId142" ref="A76"/>
    <hyperlink r:id="rId143" ref="A77"/>
    <hyperlink r:id="rId144" ref="A78"/>
    <hyperlink r:id="rId145" ref="A79"/>
    <hyperlink r:id="rId146" ref="B79"/>
    <hyperlink r:id="rId147" ref="A80"/>
    <hyperlink r:id="rId148" ref="B80"/>
    <hyperlink r:id="rId149" ref="Q80"/>
    <hyperlink r:id="rId150" ref="A81"/>
    <hyperlink r:id="rId151" ref="B81"/>
    <hyperlink r:id="rId152" ref="A82"/>
    <hyperlink r:id="rId153" ref="B82"/>
    <hyperlink r:id="rId154" ref="A83"/>
    <hyperlink r:id="rId155" ref="B83"/>
    <hyperlink r:id="rId156" ref="A84"/>
    <hyperlink r:id="rId157" ref="B84"/>
    <hyperlink r:id="rId158" ref="A85"/>
    <hyperlink r:id="rId159" ref="B85"/>
    <hyperlink r:id="rId160" ref="A86"/>
    <hyperlink r:id="rId161" ref="B86"/>
    <hyperlink r:id="rId162" ref="A87"/>
    <hyperlink r:id="rId163" ref="B87"/>
    <hyperlink r:id="rId164" ref="A88"/>
    <hyperlink r:id="rId165" ref="B88"/>
    <hyperlink r:id="rId166" ref="A89"/>
    <hyperlink r:id="rId167" ref="B89"/>
    <hyperlink r:id="rId168" ref="A90"/>
    <hyperlink r:id="rId169" ref="B90"/>
    <hyperlink r:id="rId170" ref="A91"/>
    <hyperlink r:id="rId171" ref="B91"/>
    <hyperlink r:id="rId172" ref="A92"/>
    <hyperlink r:id="rId173" ref="B92"/>
    <hyperlink r:id="rId174" ref="A93"/>
    <hyperlink r:id="rId175" ref="B93"/>
    <hyperlink r:id="rId176" ref="A94"/>
    <hyperlink r:id="rId177" ref="B94"/>
    <hyperlink r:id="rId178" ref="A95"/>
    <hyperlink r:id="rId179" ref="B95"/>
    <hyperlink r:id="rId180" ref="A96"/>
    <hyperlink r:id="rId181" ref="B96"/>
    <hyperlink r:id="rId182" ref="A97"/>
    <hyperlink r:id="rId183" ref="B97"/>
    <hyperlink r:id="rId184" ref="A98"/>
    <hyperlink r:id="rId185" ref="B98"/>
    <hyperlink r:id="rId186" ref="A99"/>
    <hyperlink r:id="rId187" ref="B99"/>
    <hyperlink r:id="rId188" ref="A100"/>
    <hyperlink r:id="rId189" ref="B100"/>
    <hyperlink r:id="rId190" ref="A101"/>
    <hyperlink r:id="rId191" ref="B101"/>
    <hyperlink r:id="rId192" ref="A102"/>
    <hyperlink r:id="rId193" ref="B102"/>
    <hyperlink r:id="rId194" ref="A103"/>
    <hyperlink r:id="rId195" ref="B103"/>
    <hyperlink r:id="rId196" ref="A104"/>
    <hyperlink r:id="rId197" ref="B104"/>
    <hyperlink r:id="rId198" ref="A105"/>
    <hyperlink r:id="rId199" ref="B105"/>
    <hyperlink r:id="rId200" ref="A106"/>
    <hyperlink r:id="rId201" ref="B106"/>
  </hyperlinks>
  <drawing r:id="rId202"/>
  <legacyDrawing r:id="rId20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75"/>
    <col customWidth="1" min="3" max="3" width="7.63"/>
    <col customWidth="1" min="4" max="5" width="5.5"/>
    <col customWidth="1" min="6" max="6" width="6.13"/>
    <col customWidth="1" min="7" max="7" width="5.63"/>
    <col customWidth="1" min="8" max="12" width="5.5"/>
    <col customWidth="1" min="13" max="13" width="21.25"/>
    <col customWidth="1" min="14" max="16" width="5.5"/>
    <col customWidth="1" min="17" max="17" width="7.63"/>
    <col customWidth="1" min="18" max="18" width="7.75"/>
    <col customWidth="1" min="19" max="20" width="5.63"/>
  </cols>
  <sheetData>
    <row r="1" ht="90.75" customHeight="1">
      <c r="A1" s="335" t="s">
        <v>1579</v>
      </c>
      <c r="B1" s="335" t="s">
        <v>1976</v>
      </c>
      <c r="C1" s="335" t="s">
        <v>1590</v>
      </c>
      <c r="D1" s="336" t="s">
        <v>2755</v>
      </c>
      <c r="E1" s="336" t="s">
        <v>2756</v>
      </c>
      <c r="F1" s="336" t="s">
        <v>1592</v>
      </c>
      <c r="G1" s="336" t="s">
        <v>1593</v>
      </c>
      <c r="H1" s="336" t="s">
        <v>1594</v>
      </c>
      <c r="I1" s="336" t="s">
        <v>2757</v>
      </c>
      <c r="J1" s="336" t="s">
        <v>1585</v>
      </c>
      <c r="K1" s="336" t="s">
        <v>2758</v>
      </c>
      <c r="L1" s="336" t="s">
        <v>2759</v>
      </c>
      <c r="M1" s="337" t="s">
        <v>2760</v>
      </c>
      <c r="N1" s="336" t="s">
        <v>2761</v>
      </c>
      <c r="O1" s="336" t="s">
        <v>2762</v>
      </c>
      <c r="P1" s="336" t="s">
        <v>2763</v>
      </c>
      <c r="Q1" s="338" t="s">
        <v>2899</v>
      </c>
      <c r="R1" s="338" t="s">
        <v>2900</v>
      </c>
      <c r="S1" s="338" t="s">
        <v>2764</v>
      </c>
      <c r="T1" s="339" t="s">
        <v>1759</v>
      </c>
      <c r="U1" s="173"/>
      <c r="V1" s="173"/>
      <c r="W1" s="173"/>
      <c r="X1" s="173"/>
      <c r="Y1" s="173"/>
      <c r="Z1" s="173"/>
      <c r="AA1" s="173"/>
      <c r="AB1" s="173"/>
      <c r="AC1" s="173"/>
      <c r="AD1" s="173"/>
    </row>
    <row r="2">
      <c r="A2" s="219" t="s">
        <v>1666</v>
      </c>
      <c r="B2" s="340" t="s">
        <v>2901</v>
      </c>
      <c r="C2" s="9" t="s">
        <v>2801</v>
      </c>
      <c r="D2" s="9">
        <v>25.0</v>
      </c>
      <c r="E2" s="9">
        <v>1900.0</v>
      </c>
      <c r="F2" s="341">
        <v>33.15</v>
      </c>
      <c r="G2" s="341">
        <v>1.65</v>
      </c>
      <c r="H2" s="341">
        <v>19.6</v>
      </c>
      <c r="I2" s="341">
        <v>0.1</v>
      </c>
      <c r="J2" s="9">
        <v>83.0</v>
      </c>
      <c r="K2" s="9" t="s">
        <v>2773</v>
      </c>
      <c r="L2" s="9">
        <v>12.0</v>
      </c>
      <c r="M2" s="342" t="s">
        <v>2902</v>
      </c>
      <c r="N2" s="9">
        <v>7.0</v>
      </c>
      <c r="O2" s="9" t="s">
        <v>166</v>
      </c>
      <c r="P2" s="9" t="s">
        <v>166</v>
      </c>
      <c r="Q2" s="9" t="s">
        <v>166</v>
      </c>
      <c r="R2" s="9" t="s">
        <v>166</v>
      </c>
      <c r="S2" s="9"/>
      <c r="T2" s="9"/>
      <c r="U2" s="343"/>
      <c r="V2" s="343"/>
      <c r="W2" s="343"/>
      <c r="X2" s="343"/>
      <c r="Y2" s="343"/>
      <c r="Z2" s="343"/>
      <c r="AA2" s="343"/>
      <c r="AB2" s="343"/>
      <c r="AC2" s="343"/>
      <c r="AD2" s="343"/>
    </row>
    <row r="3">
      <c r="A3" s="272" t="s">
        <v>1630</v>
      </c>
      <c r="B3" s="340" t="s">
        <v>2903</v>
      </c>
      <c r="C3" s="9" t="s">
        <v>2801</v>
      </c>
      <c r="D3" s="9">
        <v>25.0</v>
      </c>
      <c r="E3" s="9">
        <v>2200.0</v>
      </c>
      <c r="F3" s="341">
        <v>38.2</v>
      </c>
      <c r="G3" s="341">
        <v>2.0</v>
      </c>
      <c r="H3" s="341">
        <v>33.8</v>
      </c>
      <c r="I3" s="341">
        <v>0.12</v>
      </c>
      <c r="J3" s="9" t="s">
        <v>170</v>
      </c>
      <c r="K3" s="9" t="s">
        <v>2773</v>
      </c>
      <c r="L3" s="9">
        <v>12.0</v>
      </c>
      <c r="M3" s="342" t="s">
        <v>2769</v>
      </c>
      <c r="N3" s="9">
        <v>7.0</v>
      </c>
      <c r="O3" s="9" t="s">
        <v>166</v>
      </c>
      <c r="P3" s="9" t="s">
        <v>174</v>
      </c>
      <c r="Q3" s="9" t="s">
        <v>166</v>
      </c>
      <c r="R3" s="9" t="s">
        <v>166</v>
      </c>
      <c r="S3" s="9"/>
      <c r="T3" s="9"/>
      <c r="U3" s="343"/>
      <c r="V3" s="343"/>
      <c r="W3" s="343"/>
      <c r="X3" s="343"/>
      <c r="Y3" s="343"/>
      <c r="Z3" s="343"/>
      <c r="AA3" s="343"/>
      <c r="AB3" s="343"/>
      <c r="AC3" s="343"/>
      <c r="AD3" s="343"/>
    </row>
    <row r="4">
      <c r="A4" s="272" t="s">
        <v>1630</v>
      </c>
      <c r="B4" s="340" t="s">
        <v>2904</v>
      </c>
      <c r="C4" s="9" t="s">
        <v>2801</v>
      </c>
      <c r="D4" s="9">
        <v>25.0</v>
      </c>
      <c r="E4" s="9">
        <v>2200.0</v>
      </c>
      <c r="F4" s="341">
        <v>38.2</v>
      </c>
      <c r="G4" s="341">
        <v>2.0</v>
      </c>
      <c r="H4" s="341">
        <v>33.8</v>
      </c>
      <c r="I4" s="341">
        <v>0.12</v>
      </c>
      <c r="J4" s="9" t="s">
        <v>170</v>
      </c>
      <c r="K4" s="9" t="s">
        <v>2773</v>
      </c>
      <c r="L4" s="9">
        <v>12.0</v>
      </c>
      <c r="M4" s="342" t="s">
        <v>2769</v>
      </c>
      <c r="N4" s="9">
        <v>7.0</v>
      </c>
      <c r="O4" s="9" t="s">
        <v>166</v>
      </c>
      <c r="P4" s="9" t="s">
        <v>174</v>
      </c>
      <c r="Q4" s="9" t="s">
        <v>166</v>
      </c>
      <c r="R4" s="9" t="s">
        <v>166</v>
      </c>
      <c r="S4" s="9"/>
      <c r="T4" s="9"/>
      <c r="U4" s="343"/>
      <c r="V4" s="343"/>
      <c r="W4" s="343"/>
      <c r="X4" s="343"/>
      <c r="Y4" s="343"/>
      <c r="Z4" s="343"/>
      <c r="AA4" s="343"/>
      <c r="AB4" s="343"/>
      <c r="AC4" s="343"/>
      <c r="AD4" s="343"/>
    </row>
    <row r="5">
      <c r="A5" s="272" t="s">
        <v>1630</v>
      </c>
      <c r="B5" s="340" t="s">
        <v>2905</v>
      </c>
      <c r="C5" s="9" t="s">
        <v>2801</v>
      </c>
      <c r="D5" s="9">
        <v>25.0</v>
      </c>
      <c r="E5" s="9">
        <v>2200.0</v>
      </c>
      <c r="F5" s="341">
        <v>38.2</v>
      </c>
      <c r="G5" s="341">
        <v>2.0</v>
      </c>
      <c r="H5" s="341">
        <v>33.8</v>
      </c>
      <c r="I5" s="341">
        <v>0.12</v>
      </c>
      <c r="J5" s="9" t="s">
        <v>170</v>
      </c>
      <c r="K5" s="9" t="s">
        <v>2773</v>
      </c>
      <c r="L5" s="9">
        <v>12.0</v>
      </c>
      <c r="M5" s="342" t="s">
        <v>2769</v>
      </c>
      <c r="N5" s="9">
        <v>7.0</v>
      </c>
      <c r="O5" s="9" t="s">
        <v>166</v>
      </c>
      <c r="P5" s="9" t="s">
        <v>166</v>
      </c>
      <c r="Q5" s="9" t="s">
        <v>166</v>
      </c>
      <c r="R5" s="9" t="s">
        <v>166</v>
      </c>
      <c r="S5" s="9"/>
      <c r="T5" s="9"/>
      <c r="U5" s="343"/>
      <c r="V5" s="343"/>
      <c r="W5" s="343"/>
      <c r="X5" s="343"/>
      <c r="Y5" s="343"/>
      <c r="Z5" s="343"/>
      <c r="AA5" s="343"/>
      <c r="AB5" s="343"/>
      <c r="AC5" s="343"/>
      <c r="AD5" s="343"/>
    </row>
    <row r="6">
      <c r="A6" s="272" t="s">
        <v>1630</v>
      </c>
      <c r="B6" s="340" t="s">
        <v>2906</v>
      </c>
      <c r="C6" s="9" t="s">
        <v>2801</v>
      </c>
      <c r="D6" s="9">
        <v>25.0</v>
      </c>
      <c r="E6" s="344">
        <v>2200.0</v>
      </c>
      <c r="F6" s="345">
        <v>38.2</v>
      </c>
      <c r="G6" s="346">
        <v>2.0</v>
      </c>
      <c r="H6" s="347">
        <v>33.8</v>
      </c>
      <c r="I6" s="348">
        <v>0.12</v>
      </c>
      <c r="J6" s="349" t="s">
        <v>170</v>
      </c>
      <c r="K6" s="349" t="s">
        <v>2773</v>
      </c>
      <c r="L6" s="349">
        <v>12.0</v>
      </c>
      <c r="M6" s="350" t="s">
        <v>2769</v>
      </c>
      <c r="N6" s="349">
        <v>7.0</v>
      </c>
      <c r="O6" s="349" t="s">
        <v>166</v>
      </c>
      <c r="P6" s="9" t="s">
        <v>166</v>
      </c>
      <c r="Q6" s="9" t="s">
        <v>166</v>
      </c>
      <c r="R6" s="9" t="s">
        <v>166</v>
      </c>
      <c r="S6" s="9"/>
      <c r="T6" s="9"/>
      <c r="U6" s="343"/>
      <c r="V6" s="343"/>
      <c r="W6" s="343"/>
      <c r="X6" s="343"/>
      <c r="Y6" s="343"/>
      <c r="Z6" s="343"/>
      <c r="AA6" s="343"/>
      <c r="AB6" s="343"/>
      <c r="AC6" s="343"/>
      <c r="AD6" s="343"/>
    </row>
    <row r="7">
      <c r="A7" s="314" t="s">
        <v>1639</v>
      </c>
      <c r="B7" s="340" t="s">
        <v>2907</v>
      </c>
      <c r="C7" s="9" t="s">
        <v>2801</v>
      </c>
      <c r="D7" s="9">
        <v>25.0</v>
      </c>
      <c r="E7" s="9">
        <v>2000.0</v>
      </c>
      <c r="F7" s="341">
        <v>46.47</v>
      </c>
      <c r="G7" s="341">
        <v>2.28</v>
      </c>
      <c r="H7" s="341">
        <v>22.8</v>
      </c>
      <c r="I7" s="341">
        <v>0.1</v>
      </c>
      <c r="J7" s="9">
        <v>240.0</v>
      </c>
      <c r="K7" s="9" t="s">
        <v>2773</v>
      </c>
      <c r="L7" s="9">
        <v>12.0</v>
      </c>
      <c r="M7" s="342" t="s">
        <v>2771</v>
      </c>
      <c r="N7" s="9">
        <v>7.0</v>
      </c>
      <c r="O7" s="9" t="s">
        <v>166</v>
      </c>
      <c r="P7" s="9" t="s">
        <v>166</v>
      </c>
      <c r="Q7" s="9" t="s">
        <v>166</v>
      </c>
      <c r="R7" s="9" t="s">
        <v>166</v>
      </c>
      <c r="S7" s="9"/>
      <c r="T7" s="9"/>
      <c r="U7" s="343"/>
      <c r="V7" s="343"/>
      <c r="W7" s="343"/>
      <c r="X7" s="343"/>
      <c r="Y7" s="343"/>
      <c r="Z7" s="343"/>
      <c r="AA7" s="343"/>
      <c r="AB7" s="343"/>
      <c r="AC7" s="343"/>
      <c r="AD7" s="343"/>
    </row>
    <row r="8">
      <c r="A8" s="312" t="s">
        <v>1639</v>
      </c>
      <c r="B8" s="340" t="s">
        <v>2908</v>
      </c>
      <c r="C8" s="9" t="s">
        <v>2801</v>
      </c>
      <c r="D8" s="9">
        <v>25.0</v>
      </c>
      <c r="E8" s="9">
        <v>2000.0</v>
      </c>
      <c r="F8" s="341">
        <v>46.47</v>
      </c>
      <c r="G8" s="341">
        <v>2.28</v>
      </c>
      <c r="H8" s="341">
        <v>22.8</v>
      </c>
      <c r="I8" s="341">
        <v>0.1</v>
      </c>
      <c r="J8" s="9">
        <v>240.0</v>
      </c>
      <c r="K8" s="9" t="s">
        <v>2773</v>
      </c>
      <c r="L8" s="9">
        <v>12.0</v>
      </c>
      <c r="M8" s="342" t="s">
        <v>2771</v>
      </c>
      <c r="N8" s="9">
        <v>7.0</v>
      </c>
      <c r="O8" s="9" t="s">
        <v>166</v>
      </c>
      <c r="P8" s="9" t="s">
        <v>166</v>
      </c>
      <c r="Q8" s="9" t="s">
        <v>166</v>
      </c>
      <c r="R8" s="9" t="s">
        <v>166</v>
      </c>
      <c r="S8" s="9"/>
      <c r="T8" s="9"/>
      <c r="U8" s="343"/>
      <c r="V8" s="343"/>
      <c r="W8" s="343"/>
      <c r="X8" s="343"/>
      <c r="Y8" s="343"/>
      <c r="Z8" s="343"/>
      <c r="AA8" s="343"/>
      <c r="AB8" s="343"/>
      <c r="AC8" s="343"/>
      <c r="AD8" s="343"/>
    </row>
    <row r="9">
      <c r="A9" s="312" t="s">
        <v>1639</v>
      </c>
      <c r="B9" s="340" t="s">
        <v>2909</v>
      </c>
      <c r="C9" s="9" t="s">
        <v>2801</v>
      </c>
      <c r="D9" s="9">
        <v>25.0</v>
      </c>
      <c r="E9" s="9">
        <v>1600.0</v>
      </c>
      <c r="F9" s="341">
        <v>37.87</v>
      </c>
      <c r="G9" s="341">
        <v>1.61</v>
      </c>
      <c r="H9" s="341">
        <v>17.6</v>
      </c>
      <c r="I9" s="341">
        <v>0.08</v>
      </c>
      <c r="J9" s="9">
        <v>160.0</v>
      </c>
      <c r="K9" s="9" t="s">
        <v>2773</v>
      </c>
      <c r="L9" s="9">
        <v>12.0</v>
      </c>
      <c r="M9" s="342" t="s">
        <v>2910</v>
      </c>
      <c r="N9" s="9">
        <v>7.0</v>
      </c>
      <c r="O9" s="9" t="s">
        <v>166</v>
      </c>
      <c r="P9" s="9" t="s">
        <v>166</v>
      </c>
      <c r="Q9" s="9" t="s">
        <v>166</v>
      </c>
      <c r="R9" s="9" t="s">
        <v>166</v>
      </c>
      <c r="S9" s="9"/>
      <c r="T9" s="9"/>
      <c r="U9" s="343"/>
      <c r="V9" s="343"/>
      <c r="W9" s="343"/>
      <c r="X9" s="343"/>
      <c r="Y9" s="343"/>
      <c r="Z9" s="343"/>
      <c r="AA9" s="343"/>
      <c r="AB9" s="343"/>
      <c r="AC9" s="343"/>
      <c r="AD9" s="343"/>
    </row>
    <row r="10">
      <c r="A10" s="314" t="s">
        <v>1387</v>
      </c>
      <c r="B10" s="351" t="s">
        <v>2911</v>
      </c>
      <c r="C10" s="9" t="s">
        <v>2801</v>
      </c>
      <c r="D10" s="9">
        <v>26.0</v>
      </c>
      <c r="E10" s="9">
        <v>2300.0</v>
      </c>
      <c r="F10" s="341">
        <v>48.88</v>
      </c>
      <c r="G10" s="341">
        <v>2.03</v>
      </c>
      <c r="H10" s="341">
        <v>28.83</v>
      </c>
      <c r="I10" s="341">
        <v>0.2</v>
      </c>
      <c r="J10" s="9">
        <v>70.0</v>
      </c>
      <c r="K10" s="9" t="s">
        <v>2773</v>
      </c>
      <c r="L10" s="9">
        <v>12.0</v>
      </c>
      <c r="M10" s="342" t="s">
        <v>2813</v>
      </c>
      <c r="N10" s="9">
        <v>7.0</v>
      </c>
      <c r="O10" s="9" t="s">
        <v>166</v>
      </c>
      <c r="P10" s="9" t="s">
        <v>166</v>
      </c>
      <c r="Q10" s="9" t="s">
        <v>166</v>
      </c>
      <c r="R10" s="9" t="s">
        <v>166</v>
      </c>
      <c r="S10" s="9"/>
      <c r="T10" s="9"/>
      <c r="U10" s="343"/>
      <c r="V10" s="343"/>
      <c r="W10" s="343"/>
      <c r="X10" s="343"/>
      <c r="Y10" s="343"/>
      <c r="Z10" s="343"/>
      <c r="AA10" s="343"/>
      <c r="AB10" s="343"/>
      <c r="AC10" s="343"/>
      <c r="AD10" s="343"/>
    </row>
    <row r="11">
      <c r="A11" s="314" t="s">
        <v>1387</v>
      </c>
      <c r="B11" s="351" t="s">
        <v>2912</v>
      </c>
      <c r="C11" s="9" t="s">
        <v>2801</v>
      </c>
      <c r="D11" s="9">
        <v>27.0</v>
      </c>
      <c r="E11" s="9">
        <v>2300.0</v>
      </c>
      <c r="F11" s="341">
        <v>48.88</v>
      </c>
      <c r="G11" s="341">
        <v>2.03</v>
      </c>
      <c r="H11" s="341">
        <v>28.83</v>
      </c>
      <c r="I11" s="341">
        <v>0.25</v>
      </c>
      <c r="J11" s="9">
        <v>70.0</v>
      </c>
      <c r="K11" s="9" t="s">
        <v>2773</v>
      </c>
      <c r="L11" s="9">
        <v>12.0</v>
      </c>
      <c r="M11" s="342" t="s">
        <v>2813</v>
      </c>
      <c r="N11" s="9">
        <v>7.0</v>
      </c>
      <c r="O11" s="9" t="s">
        <v>174</v>
      </c>
      <c r="P11" s="9" t="s">
        <v>166</v>
      </c>
      <c r="Q11" s="9" t="s">
        <v>166</v>
      </c>
      <c r="R11" s="9" t="s">
        <v>166</v>
      </c>
      <c r="S11" s="9"/>
      <c r="T11" s="9"/>
      <c r="U11" s="343"/>
      <c r="V11" s="343"/>
      <c r="W11" s="343"/>
      <c r="X11" s="343"/>
      <c r="Y11" s="343"/>
      <c r="Z11" s="343"/>
      <c r="AA11" s="343"/>
      <c r="AB11" s="343"/>
      <c r="AC11" s="343"/>
      <c r="AD11" s="343"/>
    </row>
    <row r="12">
      <c r="A12" s="314" t="s">
        <v>1634</v>
      </c>
      <c r="B12" s="352" t="s">
        <v>2913</v>
      </c>
      <c r="C12" s="9" t="s">
        <v>2801</v>
      </c>
      <c r="D12" s="9">
        <v>25.6</v>
      </c>
      <c r="E12" s="9">
        <v>2500.0</v>
      </c>
      <c r="F12" s="341">
        <v>54.0</v>
      </c>
      <c r="G12" s="341">
        <v>2.24</v>
      </c>
      <c r="H12" s="341">
        <v>23.0</v>
      </c>
      <c r="I12" s="341">
        <v>0.13</v>
      </c>
      <c r="J12" s="9">
        <v>105.0</v>
      </c>
      <c r="K12" s="9" t="s">
        <v>2773</v>
      </c>
      <c r="L12" s="9">
        <v>12.0</v>
      </c>
      <c r="M12" s="342" t="s">
        <v>2872</v>
      </c>
      <c r="N12" s="9">
        <v>7.0</v>
      </c>
      <c r="O12" s="9" t="s">
        <v>166</v>
      </c>
      <c r="P12" s="9" t="s">
        <v>166</v>
      </c>
      <c r="Q12" s="9" t="s">
        <v>166</v>
      </c>
      <c r="R12" s="9" t="s">
        <v>166</v>
      </c>
      <c r="S12" s="9"/>
      <c r="T12" s="9"/>
      <c r="U12" s="343"/>
      <c r="V12" s="343"/>
      <c r="W12" s="343"/>
      <c r="X12" s="343"/>
      <c r="Y12" s="343"/>
      <c r="Z12" s="343"/>
      <c r="AA12" s="343"/>
      <c r="AB12" s="343"/>
      <c r="AC12" s="343"/>
      <c r="AD12" s="343"/>
    </row>
    <row r="13">
      <c r="A13" s="314" t="s">
        <v>1634</v>
      </c>
      <c r="B13" s="352" t="s">
        <v>2914</v>
      </c>
      <c r="C13" s="9" t="s">
        <v>2801</v>
      </c>
      <c r="D13" s="9">
        <v>25.6</v>
      </c>
      <c r="E13" s="9">
        <v>2500.0</v>
      </c>
      <c r="F13" s="341">
        <v>54.0</v>
      </c>
      <c r="G13" s="341">
        <v>2.24</v>
      </c>
      <c r="H13" s="341">
        <v>23.0</v>
      </c>
      <c r="I13" s="341">
        <v>0.13</v>
      </c>
      <c r="J13" s="9">
        <v>105.0</v>
      </c>
      <c r="K13" s="9" t="s">
        <v>2773</v>
      </c>
      <c r="L13" s="9">
        <v>12.0</v>
      </c>
      <c r="M13" s="342" t="s">
        <v>2872</v>
      </c>
      <c r="N13" s="9">
        <v>7.0</v>
      </c>
      <c r="O13" s="9" t="s">
        <v>166</v>
      </c>
      <c r="P13" s="9" t="s">
        <v>166</v>
      </c>
      <c r="Q13" s="9" t="s">
        <v>166</v>
      </c>
      <c r="R13" s="9" t="s">
        <v>166</v>
      </c>
      <c r="S13" s="9"/>
      <c r="T13" s="9"/>
      <c r="U13" s="343"/>
      <c r="V13" s="343"/>
      <c r="W13" s="343"/>
      <c r="X13" s="343"/>
      <c r="Y13" s="343"/>
      <c r="Z13" s="343"/>
      <c r="AA13" s="343"/>
      <c r="AB13" s="343"/>
      <c r="AC13" s="343"/>
      <c r="AD13" s="343"/>
    </row>
    <row r="14">
      <c r="A14" s="314" t="s">
        <v>1634</v>
      </c>
      <c r="B14" s="351" t="s">
        <v>2915</v>
      </c>
      <c r="C14" s="9" t="s">
        <v>2801</v>
      </c>
      <c r="D14" s="9">
        <v>25.0</v>
      </c>
      <c r="E14" s="9">
        <v>2000.0</v>
      </c>
      <c r="F14" s="341">
        <v>44.0</v>
      </c>
      <c r="G14" s="341">
        <v>1.43</v>
      </c>
      <c r="H14" s="341">
        <v>27.3</v>
      </c>
      <c r="I14" s="341">
        <v>0.16</v>
      </c>
      <c r="J14" s="9">
        <v>80.0</v>
      </c>
      <c r="K14" s="9" t="s">
        <v>2773</v>
      </c>
      <c r="L14" s="9">
        <v>12.0</v>
      </c>
      <c r="M14" s="342" t="s">
        <v>2872</v>
      </c>
      <c r="N14" s="9">
        <v>9.0</v>
      </c>
      <c r="O14" s="9" t="s">
        <v>166</v>
      </c>
      <c r="P14" s="9" t="s">
        <v>166</v>
      </c>
      <c r="Q14" s="9" t="s">
        <v>166</v>
      </c>
      <c r="R14" s="9" t="s">
        <v>166</v>
      </c>
      <c r="S14" s="9"/>
      <c r="T14" s="9"/>
      <c r="U14" s="343"/>
      <c r="V14" s="343"/>
      <c r="W14" s="343"/>
      <c r="X14" s="343"/>
      <c r="Y14" s="343"/>
      <c r="Z14" s="343"/>
      <c r="AA14" s="343"/>
      <c r="AB14" s="343"/>
      <c r="AC14" s="343"/>
      <c r="AD14" s="343"/>
    </row>
    <row r="15">
      <c r="A15" s="314" t="s">
        <v>1634</v>
      </c>
      <c r="B15" s="351" t="s">
        <v>2916</v>
      </c>
      <c r="C15" s="9" t="s">
        <v>2801</v>
      </c>
      <c r="D15" s="9">
        <v>25.0</v>
      </c>
      <c r="E15" s="9">
        <v>2500.0</v>
      </c>
      <c r="F15" s="341">
        <v>49.0</v>
      </c>
      <c r="G15" s="341">
        <v>1.53</v>
      </c>
      <c r="H15" s="341">
        <v>29.3</v>
      </c>
      <c r="I15" s="341">
        <v>0.2</v>
      </c>
      <c r="J15" s="9">
        <v>80.0</v>
      </c>
      <c r="K15" s="9" t="s">
        <v>2773</v>
      </c>
      <c r="L15" s="9">
        <v>12.0</v>
      </c>
      <c r="M15" s="342" t="s">
        <v>2872</v>
      </c>
      <c r="N15" s="9">
        <v>9.0</v>
      </c>
      <c r="O15" s="9" t="s">
        <v>166</v>
      </c>
      <c r="P15" s="9" t="s">
        <v>166</v>
      </c>
      <c r="Q15" s="9" t="s">
        <v>166</v>
      </c>
      <c r="R15" s="9" t="s">
        <v>166</v>
      </c>
      <c r="S15" s="9"/>
      <c r="T15" s="9"/>
      <c r="U15" s="343"/>
      <c r="V15" s="343"/>
      <c r="W15" s="343"/>
      <c r="X15" s="343"/>
      <c r="Y15" s="343"/>
      <c r="Z15" s="343"/>
      <c r="AA15" s="343"/>
      <c r="AB15" s="343"/>
      <c r="AC15" s="343"/>
      <c r="AD15" s="343"/>
    </row>
    <row r="16">
      <c r="A16" s="314" t="s">
        <v>1634</v>
      </c>
      <c r="B16" s="340" t="s">
        <v>2917</v>
      </c>
      <c r="C16" s="9" t="s">
        <v>2801</v>
      </c>
      <c r="D16" s="9">
        <v>25.0</v>
      </c>
      <c r="E16" s="9">
        <v>2200.0</v>
      </c>
      <c r="F16" s="341">
        <v>32.77</v>
      </c>
      <c r="G16" s="341">
        <v>1.98</v>
      </c>
      <c r="H16" s="341">
        <v>23.85</v>
      </c>
      <c r="I16" s="341">
        <v>0.1</v>
      </c>
      <c r="J16" s="9">
        <v>110.0</v>
      </c>
      <c r="K16" s="9" t="s">
        <v>2773</v>
      </c>
      <c r="L16" s="9">
        <v>12.0</v>
      </c>
      <c r="M16" s="342" t="s">
        <v>2872</v>
      </c>
      <c r="N16" s="9">
        <v>7.0</v>
      </c>
      <c r="O16" s="9" t="s">
        <v>166</v>
      </c>
      <c r="P16" s="9" t="s">
        <v>166</v>
      </c>
      <c r="Q16" s="9" t="s">
        <v>166</v>
      </c>
      <c r="R16" s="9" t="s">
        <v>166</v>
      </c>
      <c r="S16" s="353"/>
      <c r="T16" s="353"/>
      <c r="U16" s="343"/>
      <c r="V16" s="343"/>
      <c r="W16" s="343"/>
      <c r="X16" s="343"/>
      <c r="Y16" s="343"/>
      <c r="Z16" s="343"/>
      <c r="AA16" s="343"/>
      <c r="AB16" s="343"/>
      <c r="AC16" s="343"/>
      <c r="AD16" s="343"/>
    </row>
    <row r="17">
      <c r="A17" s="314" t="s">
        <v>1634</v>
      </c>
      <c r="B17" s="340" t="s">
        <v>2918</v>
      </c>
      <c r="C17" s="9" t="s">
        <v>2801</v>
      </c>
      <c r="D17" s="9">
        <v>25.0</v>
      </c>
      <c r="E17" s="9">
        <v>2200.0</v>
      </c>
      <c r="F17" s="341">
        <v>32.77</v>
      </c>
      <c r="G17" s="341">
        <v>1.98</v>
      </c>
      <c r="H17" s="341">
        <v>23.85</v>
      </c>
      <c r="I17" s="341">
        <v>0.1</v>
      </c>
      <c r="J17" s="9">
        <v>110.0</v>
      </c>
      <c r="K17" s="9" t="s">
        <v>2773</v>
      </c>
      <c r="L17" s="9">
        <v>12.0</v>
      </c>
      <c r="M17" s="342" t="s">
        <v>2872</v>
      </c>
      <c r="N17" s="9">
        <v>7.0</v>
      </c>
      <c r="O17" s="9" t="s">
        <v>166</v>
      </c>
      <c r="P17" s="9" t="s">
        <v>174</v>
      </c>
      <c r="Q17" s="9" t="s">
        <v>166</v>
      </c>
      <c r="R17" s="9" t="s">
        <v>166</v>
      </c>
      <c r="S17" s="353"/>
      <c r="T17" s="353"/>
      <c r="U17" s="343"/>
      <c r="V17" s="343"/>
      <c r="W17" s="343"/>
      <c r="X17" s="343"/>
      <c r="Y17" s="343"/>
      <c r="Z17" s="343"/>
      <c r="AA17" s="343"/>
      <c r="AB17" s="343"/>
      <c r="AC17" s="343"/>
      <c r="AD17" s="343"/>
    </row>
    <row r="18">
      <c r="A18" s="314" t="s">
        <v>1634</v>
      </c>
      <c r="B18" s="340" t="s">
        <v>2919</v>
      </c>
      <c r="C18" s="9" t="s">
        <v>2801</v>
      </c>
      <c r="D18" s="9">
        <v>25.0</v>
      </c>
      <c r="E18" s="344">
        <v>2200.0</v>
      </c>
      <c r="F18" s="354">
        <v>32.77</v>
      </c>
      <c r="G18" s="346">
        <v>1.98</v>
      </c>
      <c r="H18" s="355">
        <v>23.85</v>
      </c>
      <c r="I18" s="356">
        <v>0.1</v>
      </c>
      <c r="J18" s="349">
        <v>110.0</v>
      </c>
      <c r="K18" s="349" t="s">
        <v>2773</v>
      </c>
      <c r="L18" s="349">
        <v>12.0</v>
      </c>
      <c r="M18" s="350" t="s">
        <v>2872</v>
      </c>
      <c r="N18" s="349">
        <v>7.0</v>
      </c>
      <c r="O18" s="349" t="s">
        <v>166</v>
      </c>
      <c r="P18" s="9" t="s">
        <v>166</v>
      </c>
      <c r="Q18" s="9" t="s">
        <v>166</v>
      </c>
      <c r="R18" s="9" t="s">
        <v>166</v>
      </c>
      <c r="S18" s="353"/>
      <c r="T18" s="353"/>
      <c r="U18" s="343"/>
      <c r="V18" s="343"/>
      <c r="W18" s="343"/>
      <c r="X18" s="343"/>
      <c r="Y18" s="343"/>
      <c r="Z18" s="343"/>
      <c r="AA18" s="343"/>
      <c r="AB18" s="343"/>
      <c r="AC18" s="343"/>
      <c r="AD18" s="343"/>
    </row>
    <row r="19">
      <c r="A19" s="314" t="s">
        <v>1634</v>
      </c>
      <c r="B19" s="340" t="s">
        <v>2920</v>
      </c>
      <c r="C19" s="9" t="s">
        <v>2801</v>
      </c>
      <c r="D19" s="9">
        <v>25.0</v>
      </c>
      <c r="E19" s="344">
        <v>2200.0</v>
      </c>
      <c r="F19" s="354">
        <v>32.77</v>
      </c>
      <c r="G19" s="346">
        <v>1.98</v>
      </c>
      <c r="H19" s="355">
        <v>23.85</v>
      </c>
      <c r="I19" s="356">
        <v>0.1</v>
      </c>
      <c r="J19" s="349">
        <v>110.0</v>
      </c>
      <c r="K19" s="349" t="s">
        <v>2773</v>
      </c>
      <c r="L19" s="349">
        <v>12.0</v>
      </c>
      <c r="M19" s="350" t="s">
        <v>2872</v>
      </c>
      <c r="N19" s="349">
        <v>7.0</v>
      </c>
      <c r="O19" s="349" t="s">
        <v>166</v>
      </c>
      <c r="P19" s="9" t="s">
        <v>174</v>
      </c>
      <c r="Q19" s="9" t="s">
        <v>166</v>
      </c>
      <c r="R19" s="9" t="s">
        <v>166</v>
      </c>
      <c r="S19" s="353"/>
      <c r="T19" s="353"/>
      <c r="U19" s="343"/>
      <c r="V19" s="343"/>
      <c r="W19" s="343"/>
      <c r="X19" s="343"/>
      <c r="Y19" s="343"/>
      <c r="Z19" s="343"/>
      <c r="AA19" s="343"/>
      <c r="AB19" s="343"/>
      <c r="AC19" s="343"/>
      <c r="AD19" s="343"/>
    </row>
    <row r="20">
      <c r="A20" s="357" t="s">
        <v>2000</v>
      </c>
      <c r="B20" s="340" t="s">
        <v>2921</v>
      </c>
      <c r="C20" s="9" t="s">
        <v>2002</v>
      </c>
      <c r="D20" s="9">
        <v>25.0</v>
      </c>
      <c r="E20" s="9">
        <v>2150.0</v>
      </c>
      <c r="F20" s="341">
        <v>75.0</v>
      </c>
      <c r="G20" s="341">
        <v>3.15</v>
      </c>
      <c r="H20" s="341">
        <v>28.0</v>
      </c>
      <c r="I20" s="341">
        <v>0.16</v>
      </c>
      <c r="J20" s="9">
        <v>210.0</v>
      </c>
      <c r="K20" s="9" t="s">
        <v>2773</v>
      </c>
      <c r="L20" s="9">
        <v>12.0</v>
      </c>
      <c r="M20" s="342" t="s">
        <v>2849</v>
      </c>
      <c r="N20" s="9">
        <v>9.0</v>
      </c>
      <c r="O20" s="9" t="s">
        <v>166</v>
      </c>
      <c r="P20" s="9" t="s">
        <v>166</v>
      </c>
      <c r="Q20" s="9" t="s">
        <v>166</v>
      </c>
      <c r="R20" s="9" t="s">
        <v>166</v>
      </c>
      <c r="S20" s="358" t="s">
        <v>214</v>
      </c>
      <c r="T20" s="358" t="s">
        <v>214</v>
      </c>
      <c r="U20" s="343"/>
      <c r="V20" s="343"/>
      <c r="W20" s="343"/>
      <c r="X20" s="343"/>
      <c r="Y20" s="343"/>
      <c r="Z20" s="343"/>
      <c r="AA20" s="343"/>
      <c r="AB20" s="343"/>
      <c r="AC20" s="343"/>
      <c r="AD20" s="343"/>
    </row>
    <row r="21">
      <c r="A21" s="312" t="s">
        <v>2922</v>
      </c>
      <c r="B21" s="340" t="s">
        <v>2923</v>
      </c>
      <c r="C21" s="9" t="s">
        <v>2002</v>
      </c>
      <c r="D21" s="9">
        <v>25.0</v>
      </c>
      <c r="E21" s="9">
        <v>2000.0</v>
      </c>
      <c r="F21" s="341">
        <v>56.3</v>
      </c>
      <c r="G21" s="341" t="s">
        <v>170</v>
      </c>
      <c r="H21" s="341">
        <v>33.1</v>
      </c>
      <c r="I21" s="341" t="s">
        <v>170</v>
      </c>
      <c r="J21" s="9" t="s">
        <v>170</v>
      </c>
      <c r="K21" s="9" t="s">
        <v>2773</v>
      </c>
      <c r="L21" s="9">
        <v>12.0</v>
      </c>
      <c r="M21" s="342" t="s">
        <v>2834</v>
      </c>
      <c r="N21" s="9">
        <v>9.0</v>
      </c>
      <c r="O21" s="9" t="s">
        <v>166</v>
      </c>
      <c r="P21" s="9" t="s">
        <v>166</v>
      </c>
      <c r="Q21" s="9" t="s">
        <v>166</v>
      </c>
      <c r="R21" s="9" t="s">
        <v>166</v>
      </c>
      <c r="S21" s="9"/>
      <c r="T21" s="9"/>
      <c r="U21" s="343"/>
      <c r="V21" s="343"/>
      <c r="W21" s="343"/>
      <c r="X21" s="343"/>
      <c r="Y21" s="343"/>
      <c r="Z21" s="343"/>
      <c r="AA21" s="343"/>
      <c r="AB21" s="343"/>
      <c r="AC21" s="343"/>
      <c r="AD21" s="343"/>
    </row>
    <row r="22">
      <c r="A22" s="312" t="s">
        <v>2014</v>
      </c>
      <c r="B22" s="340" t="s">
        <v>2924</v>
      </c>
      <c r="C22" s="9" t="s">
        <v>2002</v>
      </c>
      <c r="D22" s="9">
        <v>25.5</v>
      </c>
      <c r="E22" s="9">
        <v>2000.0</v>
      </c>
      <c r="F22" s="341">
        <v>47.0</v>
      </c>
      <c r="G22" s="341">
        <v>2.09</v>
      </c>
      <c r="H22" s="341">
        <v>24.6</v>
      </c>
      <c r="I22" s="341">
        <v>0.2</v>
      </c>
      <c r="J22" s="9">
        <v>320.0</v>
      </c>
      <c r="K22" s="9" t="s">
        <v>2773</v>
      </c>
      <c r="L22" s="9">
        <v>12.0</v>
      </c>
      <c r="M22" s="342" t="s">
        <v>2834</v>
      </c>
      <c r="N22" s="9">
        <v>9.0</v>
      </c>
      <c r="O22" s="9" t="s">
        <v>166</v>
      </c>
      <c r="P22" s="9" t="s">
        <v>166</v>
      </c>
      <c r="Q22" s="9" t="s">
        <v>166</v>
      </c>
      <c r="R22" s="9" t="s">
        <v>166</v>
      </c>
      <c r="S22" s="358" t="s">
        <v>214</v>
      </c>
      <c r="T22" s="358" t="s">
        <v>214</v>
      </c>
      <c r="U22" s="343"/>
      <c r="V22" s="343"/>
      <c r="W22" s="343"/>
      <c r="X22" s="343"/>
      <c r="Y22" s="343"/>
      <c r="Z22" s="343"/>
      <c r="AA22" s="343"/>
      <c r="AB22" s="343"/>
      <c r="AC22" s="343"/>
      <c r="AD22" s="343"/>
    </row>
    <row r="23">
      <c r="A23" s="312" t="s">
        <v>2014</v>
      </c>
      <c r="B23" s="340" t="s">
        <v>2925</v>
      </c>
      <c r="C23" s="9" t="s">
        <v>2002</v>
      </c>
      <c r="D23" s="9">
        <v>25.5</v>
      </c>
      <c r="E23" s="9">
        <v>3000.0</v>
      </c>
      <c r="F23" s="341">
        <v>70.98</v>
      </c>
      <c r="G23" s="341">
        <v>4.23</v>
      </c>
      <c r="H23" s="341">
        <v>40.2</v>
      </c>
      <c r="I23" s="341">
        <v>0.28</v>
      </c>
      <c r="J23" s="9">
        <v>320.0</v>
      </c>
      <c r="K23" s="9" t="s">
        <v>2773</v>
      </c>
      <c r="L23" s="9">
        <v>12.0</v>
      </c>
      <c r="M23" s="342" t="s">
        <v>2834</v>
      </c>
      <c r="N23" s="9">
        <v>9.0</v>
      </c>
      <c r="O23" s="9" t="s">
        <v>166</v>
      </c>
      <c r="P23" s="9" t="s">
        <v>166</v>
      </c>
      <c r="Q23" s="9" t="s">
        <v>166</v>
      </c>
      <c r="R23" s="9" t="s">
        <v>166</v>
      </c>
      <c r="S23" s="358" t="s">
        <v>214</v>
      </c>
      <c r="T23" s="358" t="s">
        <v>214</v>
      </c>
      <c r="U23" s="343"/>
      <c r="V23" s="343"/>
      <c r="W23" s="343"/>
      <c r="X23" s="343"/>
      <c r="Y23" s="343"/>
      <c r="Z23" s="343"/>
      <c r="AA23" s="343"/>
      <c r="AB23" s="343"/>
      <c r="AC23" s="343"/>
      <c r="AD23" s="343"/>
    </row>
    <row r="24">
      <c r="A24" s="312" t="s">
        <v>1735</v>
      </c>
      <c r="B24" s="340" t="s">
        <v>2926</v>
      </c>
      <c r="C24" s="9" t="s">
        <v>2002</v>
      </c>
      <c r="D24" s="9">
        <v>25.0</v>
      </c>
      <c r="E24" s="9">
        <v>3300.0</v>
      </c>
      <c r="F24" s="341">
        <v>81.04</v>
      </c>
      <c r="G24" s="341">
        <v>4.35</v>
      </c>
      <c r="H24" s="341">
        <v>37.5</v>
      </c>
      <c r="I24" s="341">
        <v>0.29</v>
      </c>
      <c r="J24" s="9">
        <v>184.0</v>
      </c>
      <c r="K24" s="9" t="s">
        <v>2773</v>
      </c>
      <c r="L24" s="9">
        <v>12.0</v>
      </c>
      <c r="M24" s="342" t="s">
        <v>2849</v>
      </c>
      <c r="N24" s="9">
        <v>5.0</v>
      </c>
      <c r="O24" s="9" t="s">
        <v>166</v>
      </c>
      <c r="P24" s="9" t="s">
        <v>166</v>
      </c>
      <c r="Q24" s="9" t="s">
        <v>166</v>
      </c>
      <c r="R24" s="9" t="s">
        <v>166</v>
      </c>
      <c r="S24" s="358" t="s">
        <v>214</v>
      </c>
      <c r="T24" s="358" t="s">
        <v>214</v>
      </c>
      <c r="U24" s="343"/>
      <c r="V24" s="343"/>
      <c r="W24" s="343"/>
      <c r="X24" s="343"/>
      <c r="Y24" s="343"/>
      <c r="Z24" s="343"/>
      <c r="AA24" s="343"/>
      <c r="AB24" s="343"/>
      <c r="AC24" s="343"/>
      <c r="AD24" s="343"/>
    </row>
    <row r="25">
      <c r="A25" s="312" t="s">
        <v>1735</v>
      </c>
      <c r="B25" s="340" t="s">
        <v>2927</v>
      </c>
      <c r="C25" s="9" t="s">
        <v>2002</v>
      </c>
      <c r="D25" s="9">
        <v>25.0</v>
      </c>
      <c r="E25" s="9">
        <v>3300.0</v>
      </c>
      <c r="F25" s="341">
        <v>81.04</v>
      </c>
      <c r="G25" s="341">
        <v>4.35</v>
      </c>
      <c r="H25" s="341">
        <v>37.5</v>
      </c>
      <c r="I25" s="341">
        <v>0.29</v>
      </c>
      <c r="J25" s="9">
        <v>184.0</v>
      </c>
      <c r="K25" s="9" t="s">
        <v>2773</v>
      </c>
      <c r="L25" s="9">
        <v>12.0</v>
      </c>
      <c r="M25" s="342" t="s">
        <v>2804</v>
      </c>
      <c r="N25" s="9">
        <v>5.0</v>
      </c>
      <c r="O25" s="9" t="s">
        <v>166</v>
      </c>
      <c r="P25" s="9" t="s">
        <v>166</v>
      </c>
      <c r="Q25" s="9" t="s">
        <v>166</v>
      </c>
      <c r="R25" s="9" t="s">
        <v>166</v>
      </c>
      <c r="S25" s="358" t="s">
        <v>214</v>
      </c>
      <c r="T25" s="358" t="s">
        <v>214</v>
      </c>
      <c r="U25" s="343"/>
      <c r="V25" s="343"/>
      <c r="W25" s="343"/>
      <c r="X25" s="343"/>
      <c r="Y25" s="343"/>
      <c r="Z25" s="343"/>
      <c r="AA25" s="343"/>
      <c r="AB25" s="343"/>
      <c r="AC25" s="343"/>
      <c r="AD25" s="343"/>
    </row>
    <row r="26">
      <c r="A26" s="312" t="s">
        <v>1735</v>
      </c>
      <c r="B26" s="340" t="s">
        <v>2928</v>
      </c>
      <c r="C26" s="9" t="s">
        <v>2002</v>
      </c>
      <c r="D26" s="9">
        <v>25.0</v>
      </c>
      <c r="E26" s="9">
        <v>1800.0</v>
      </c>
      <c r="F26" s="341">
        <v>56.3</v>
      </c>
      <c r="G26" s="341">
        <v>2.2</v>
      </c>
      <c r="H26" s="341">
        <v>23.5</v>
      </c>
      <c r="I26" s="341">
        <v>0.08</v>
      </c>
      <c r="J26" s="9">
        <v>145.0</v>
      </c>
      <c r="K26" s="9" t="s">
        <v>2773</v>
      </c>
      <c r="L26" s="9">
        <v>12.0</v>
      </c>
      <c r="M26" s="342" t="s">
        <v>2804</v>
      </c>
      <c r="N26" s="9">
        <v>5.0</v>
      </c>
      <c r="O26" s="9" t="s">
        <v>166</v>
      </c>
      <c r="P26" s="9" t="s">
        <v>166</v>
      </c>
      <c r="Q26" s="9" t="s">
        <v>166</v>
      </c>
      <c r="R26" s="9" t="s">
        <v>166</v>
      </c>
      <c r="S26" s="358" t="s">
        <v>214</v>
      </c>
      <c r="T26" s="358" t="s">
        <v>214</v>
      </c>
      <c r="U26" s="343"/>
      <c r="V26" s="343"/>
      <c r="W26" s="343"/>
      <c r="X26" s="343"/>
      <c r="Y26" s="343"/>
      <c r="Z26" s="343"/>
      <c r="AA26" s="343"/>
      <c r="AB26" s="343"/>
      <c r="AC26" s="343"/>
      <c r="AD26" s="343"/>
    </row>
    <row r="27">
      <c r="A27" s="312" t="s">
        <v>1735</v>
      </c>
      <c r="B27" s="340" t="s">
        <v>2929</v>
      </c>
      <c r="C27" s="9" t="s">
        <v>2002</v>
      </c>
      <c r="D27" s="9">
        <v>25.0</v>
      </c>
      <c r="E27" s="9">
        <v>2000.0</v>
      </c>
      <c r="F27" s="341">
        <v>48.8</v>
      </c>
      <c r="G27" s="341">
        <v>1.85</v>
      </c>
      <c r="H27" s="341">
        <v>23.5</v>
      </c>
      <c r="I27" s="341">
        <v>0.11</v>
      </c>
      <c r="J27" s="9">
        <v>131.0</v>
      </c>
      <c r="K27" s="9" t="s">
        <v>2773</v>
      </c>
      <c r="L27" s="9">
        <v>12.0</v>
      </c>
      <c r="M27" s="342" t="s">
        <v>2804</v>
      </c>
      <c r="N27" s="9">
        <v>5.0</v>
      </c>
      <c r="O27" s="9" t="s">
        <v>174</v>
      </c>
      <c r="P27" s="9" t="s">
        <v>166</v>
      </c>
      <c r="Q27" s="9" t="s">
        <v>166</v>
      </c>
      <c r="R27" s="9" t="s">
        <v>166</v>
      </c>
      <c r="S27" s="9"/>
      <c r="T27" s="9"/>
      <c r="U27" s="343"/>
      <c r="V27" s="343"/>
      <c r="W27" s="343"/>
      <c r="X27" s="343"/>
      <c r="Y27" s="343"/>
      <c r="Z27" s="343"/>
      <c r="AA27" s="343"/>
      <c r="AB27" s="343"/>
      <c r="AC27" s="343"/>
      <c r="AD27" s="343"/>
    </row>
    <row r="28">
      <c r="A28" s="312" t="s">
        <v>1735</v>
      </c>
      <c r="B28" s="340" t="s">
        <v>2930</v>
      </c>
      <c r="C28" s="9" t="s">
        <v>2002</v>
      </c>
      <c r="D28" s="9">
        <v>25.0</v>
      </c>
      <c r="E28" s="9">
        <v>2000.0</v>
      </c>
      <c r="F28" s="341">
        <v>48.8</v>
      </c>
      <c r="G28" s="341">
        <v>1.85</v>
      </c>
      <c r="H28" s="341">
        <v>23.5</v>
      </c>
      <c r="I28" s="341">
        <v>0.11</v>
      </c>
      <c r="J28" s="9">
        <v>131.0</v>
      </c>
      <c r="K28" s="9" t="s">
        <v>2773</v>
      </c>
      <c r="L28" s="9">
        <v>12.0</v>
      </c>
      <c r="M28" s="342" t="s">
        <v>2804</v>
      </c>
      <c r="N28" s="9">
        <v>5.0</v>
      </c>
      <c r="O28" s="9" t="s">
        <v>166</v>
      </c>
      <c r="P28" s="9" t="s">
        <v>174</v>
      </c>
      <c r="Q28" s="9" t="s">
        <v>166</v>
      </c>
      <c r="R28" s="9" t="s">
        <v>166</v>
      </c>
      <c r="S28" s="9"/>
      <c r="T28" s="9"/>
      <c r="U28" s="343"/>
      <c r="V28" s="343"/>
      <c r="W28" s="343"/>
      <c r="X28" s="343"/>
      <c r="Y28" s="343"/>
      <c r="Z28" s="343"/>
      <c r="AA28" s="343"/>
      <c r="AB28" s="343"/>
      <c r="AC28" s="343"/>
      <c r="AD28" s="343"/>
    </row>
    <row r="29">
      <c r="A29" s="219" t="s">
        <v>1666</v>
      </c>
      <c r="B29" s="340" t="s">
        <v>2931</v>
      </c>
      <c r="C29" s="9" t="s">
        <v>2002</v>
      </c>
      <c r="D29" s="9">
        <v>25.0</v>
      </c>
      <c r="E29" s="9">
        <v>1700.0</v>
      </c>
      <c r="F29" s="341">
        <v>41.51</v>
      </c>
      <c r="G29" s="341">
        <v>1.66</v>
      </c>
      <c r="H29" s="341">
        <v>20.6</v>
      </c>
      <c r="I29" s="341">
        <v>0.38</v>
      </c>
      <c r="J29" s="9">
        <v>200.0</v>
      </c>
      <c r="K29" s="9" t="s">
        <v>2773</v>
      </c>
      <c r="L29" s="9">
        <v>12.0</v>
      </c>
      <c r="M29" s="342" t="s">
        <v>2902</v>
      </c>
      <c r="N29" s="9">
        <v>7.0</v>
      </c>
      <c r="O29" s="9" t="s">
        <v>166</v>
      </c>
      <c r="P29" s="9" t="s">
        <v>174</v>
      </c>
      <c r="Q29" s="9" t="s">
        <v>166</v>
      </c>
      <c r="R29" s="9" t="s">
        <v>166</v>
      </c>
      <c r="S29" s="9"/>
      <c r="T29" s="9"/>
      <c r="U29" s="343"/>
      <c r="V29" s="343"/>
      <c r="W29" s="343"/>
      <c r="X29" s="343"/>
      <c r="Y29" s="343"/>
      <c r="Z29" s="343"/>
      <c r="AA29" s="343"/>
      <c r="AB29" s="343"/>
      <c r="AC29" s="343"/>
      <c r="AD29" s="343"/>
    </row>
    <row r="30">
      <c r="A30" s="219" t="s">
        <v>1666</v>
      </c>
      <c r="B30" s="340" t="s">
        <v>2932</v>
      </c>
      <c r="C30" s="9" t="s">
        <v>2002</v>
      </c>
      <c r="D30" s="9">
        <v>25.0</v>
      </c>
      <c r="E30" s="9">
        <v>2500.0</v>
      </c>
      <c r="F30" s="341">
        <v>52.3</v>
      </c>
      <c r="G30" s="341">
        <v>2.6</v>
      </c>
      <c r="H30" s="341">
        <v>31.0</v>
      </c>
      <c r="I30" s="341">
        <v>0.45</v>
      </c>
      <c r="J30" s="9">
        <v>210.0</v>
      </c>
      <c r="K30" s="9" t="s">
        <v>2773</v>
      </c>
      <c r="L30" s="9">
        <v>12.0</v>
      </c>
      <c r="M30" s="342" t="s">
        <v>2902</v>
      </c>
      <c r="N30" s="9">
        <v>9.0</v>
      </c>
      <c r="O30" s="9" t="s">
        <v>166</v>
      </c>
      <c r="P30" s="9" t="s">
        <v>174</v>
      </c>
      <c r="Q30" s="9" t="s">
        <v>166</v>
      </c>
      <c r="R30" s="9" t="s">
        <v>166</v>
      </c>
      <c r="S30" s="358" t="s">
        <v>214</v>
      </c>
      <c r="T30" s="9"/>
      <c r="U30" s="343"/>
      <c r="V30" s="343"/>
      <c r="W30" s="343"/>
      <c r="X30" s="343"/>
      <c r="Y30" s="343"/>
      <c r="Z30" s="343"/>
      <c r="AA30" s="343"/>
      <c r="AB30" s="343"/>
      <c r="AC30" s="343"/>
      <c r="AD30" s="343"/>
    </row>
    <row r="31">
      <c r="A31" s="219" t="s">
        <v>1666</v>
      </c>
      <c r="B31" s="340" t="s">
        <v>2933</v>
      </c>
      <c r="C31" s="9" t="s">
        <v>2002</v>
      </c>
      <c r="D31" s="9">
        <v>25.0</v>
      </c>
      <c r="E31" s="9">
        <v>1600.0</v>
      </c>
      <c r="F31" s="341">
        <v>49.9</v>
      </c>
      <c r="G31" s="341">
        <v>1.45</v>
      </c>
      <c r="H31" s="341">
        <v>25.5</v>
      </c>
      <c r="I31" s="341">
        <v>0.1</v>
      </c>
      <c r="J31" s="9">
        <v>148.0</v>
      </c>
      <c r="K31" s="9" t="s">
        <v>2773</v>
      </c>
      <c r="L31" s="9">
        <v>12.0</v>
      </c>
      <c r="M31" s="342" t="s">
        <v>2902</v>
      </c>
      <c r="N31" s="9">
        <v>7.0</v>
      </c>
      <c r="O31" s="9" t="s">
        <v>166</v>
      </c>
      <c r="P31" s="9" t="s">
        <v>166</v>
      </c>
      <c r="Q31" s="9" t="s">
        <v>166</v>
      </c>
      <c r="R31" s="9" t="s">
        <v>166</v>
      </c>
      <c r="S31" s="353"/>
      <c r="T31" s="9"/>
      <c r="U31" s="343"/>
      <c r="V31" s="343"/>
      <c r="W31" s="343"/>
      <c r="X31" s="343"/>
      <c r="Y31" s="343"/>
      <c r="Z31" s="343"/>
      <c r="AA31" s="343"/>
      <c r="AB31" s="343"/>
      <c r="AC31" s="343"/>
      <c r="AD31" s="343"/>
    </row>
    <row r="32">
      <c r="A32" s="219" t="s">
        <v>1666</v>
      </c>
      <c r="B32" s="340" t="s">
        <v>2934</v>
      </c>
      <c r="C32" s="9" t="s">
        <v>2002</v>
      </c>
      <c r="D32" s="9">
        <v>25.0</v>
      </c>
      <c r="E32" s="9">
        <v>2100.0</v>
      </c>
      <c r="F32" s="341">
        <v>59.6</v>
      </c>
      <c r="G32" s="341">
        <v>2.41</v>
      </c>
      <c r="H32" s="341">
        <v>30.9</v>
      </c>
      <c r="I32" s="341">
        <v>0.13</v>
      </c>
      <c r="J32" s="9">
        <v>149.0</v>
      </c>
      <c r="K32" s="9" t="s">
        <v>2773</v>
      </c>
      <c r="L32" s="9">
        <v>12.0</v>
      </c>
      <c r="M32" s="342" t="s">
        <v>2902</v>
      </c>
      <c r="N32" s="9">
        <v>9.0</v>
      </c>
      <c r="O32" s="9" t="s">
        <v>166</v>
      </c>
      <c r="P32" s="9" t="s">
        <v>166</v>
      </c>
      <c r="Q32" s="9" t="s">
        <v>166</v>
      </c>
      <c r="R32" s="9" t="s">
        <v>166</v>
      </c>
      <c r="S32" s="358" t="s">
        <v>214</v>
      </c>
      <c r="T32" s="9"/>
      <c r="U32" s="343"/>
      <c r="V32" s="343"/>
      <c r="W32" s="343"/>
      <c r="X32" s="343"/>
      <c r="Y32" s="343"/>
      <c r="Z32" s="343"/>
      <c r="AA32" s="343"/>
      <c r="AB32" s="343"/>
      <c r="AC32" s="343"/>
      <c r="AD32" s="343"/>
    </row>
    <row r="33">
      <c r="A33" s="219" t="s">
        <v>1666</v>
      </c>
      <c r="B33" s="359" t="s">
        <v>2935</v>
      </c>
      <c r="C33" s="9" t="s">
        <v>2002</v>
      </c>
      <c r="D33" s="9">
        <v>25.0</v>
      </c>
      <c r="E33" s="9">
        <v>1450.0</v>
      </c>
      <c r="F33" s="341">
        <v>50.5</v>
      </c>
      <c r="G33" s="341">
        <v>1.79</v>
      </c>
      <c r="H33" s="341">
        <v>16.4</v>
      </c>
      <c r="I33" s="341">
        <v>0.12</v>
      </c>
      <c r="J33" s="9" t="s">
        <v>170</v>
      </c>
      <c r="K33" s="9" t="s">
        <v>2773</v>
      </c>
      <c r="L33" s="9">
        <v>12.0</v>
      </c>
      <c r="M33" s="342" t="s">
        <v>2804</v>
      </c>
      <c r="N33" s="9">
        <v>7.0</v>
      </c>
      <c r="O33" s="9" t="s">
        <v>166</v>
      </c>
      <c r="P33" s="9" t="s">
        <v>166</v>
      </c>
      <c r="Q33" s="9" t="s">
        <v>166</v>
      </c>
      <c r="R33" s="9" t="s">
        <v>166</v>
      </c>
      <c r="S33" s="358" t="s">
        <v>214</v>
      </c>
      <c r="T33" s="9"/>
      <c r="U33" s="343"/>
      <c r="V33" s="343"/>
      <c r="W33" s="343"/>
      <c r="X33" s="343"/>
      <c r="Y33" s="343"/>
      <c r="Z33" s="343"/>
      <c r="AA33" s="343"/>
      <c r="AB33" s="343"/>
      <c r="AC33" s="343"/>
      <c r="AD33" s="343"/>
    </row>
    <row r="34">
      <c r="A34" s="219" t="s">
        <v>1666</v>
      </c>
      <c r="B34" s="359" t="s">
        <v>2936</v>
      </c>
      <c r="C34" s="9" t="s">
        <v>2002</v>
      </c>
      <c r="D34" s="9">
        <v>25.0</v>
      </c>
      <c r="E34" s="9">
        <v>2200.0</v>
      </c>
      <c r="F34" s="341">
        <v>73.33</v>
      </c>
      <c r="G34" s="341">
        <v>3.37</v>
      </c>
      <c r="H34" s="341">
        <v>28.6</v>
      </c>
      <c r="I34" s="341">
        <v>0.37</v>
      </c>
      <c r="J34" s="9" t="s">
        <v>170</v>
      </c>
      <c r="K34" s="9" t="s">
        <v>2773</v>
      </c>
      <c r="L34" s="9">
        <v>12.0</v>
      </c>
      <c r="M34" s="342" t="s">
        <v>2804</v>
      </c>
      <c r="N34" s="9">
        <v>9.0</v>
      </c>
      <c r="O34" s="9" t="s">
        <v>166</v>
      </c>
      <c r="P34" s="9" t="s">
        <v>166</v>
      </c>
      <c r="Q34" s="9" t="s">
        <v>166</v>
      </c>
      <c r="R34" s="9" t="s">
        <v>166</v>
      </c>
      <c r="S34" s="353"/>
      <c r="T34" s="9"/>
      <c r="U34" s="343"/>
      <c r="V34" s="343"/>
      <c r="W34" s="343"/>
      <c r="X34" s="343"/>
      <c r="Y34" s="343"/>
      <c r="Z34" s="343"/>
      <c r="AA34" s="343"/>
      <c r="AB34" s="343"/>
      <c r="AC34" s="343"/>
      <c r="AD34" s="343"/>
    </row>
    <row r="35">
      <c r="A35" s="219" t="s">
        <v>1666</v>
      </c>
      <c r="B35" s="340" t="s">
        <v>2937</v>
      </c>
      <c r="C35" s="9" t="s">
        <v>2002</v>
      </c>
      <c r="D35" s="9">
        <v>25.0</v>
      </c>
      <c r="E35" s="9">
        <v>1600.0</v>
      </c>
      <c r="F35" s="341">
        <v>48.7</v>
      </c>
      <c r="G35" s="341">
        <v>1.79</v>
      </c>
      <c r="H35" s="341">
        <v>18.9</v>
      </c>
      <c r="I35" s="341">
        <v>0.12</v>
      </c>
      <c r="J35" s="9">
        <v>190.0</v>
      </c>
      <c r="K35" s="9" t="s">
        <v>2773</v>
      </c>
      <c r="L35" s="9">
        <v>12.0</v>
      </c>
      <c r="M35" s="342" t="s">
        <v>2804</v>
      </c>
      <c r="N35" s="9">
        <v>9.0</v>
      </c>
      <c r="O35" s="9" t="s">
        <v>166</v>
      </c>
      <c r="P35" s="9" t="s">
        <v>166</v>
      </c>
      <c r="Q35" s="9" t="s">
        <v>166</v>
      </c>
      <c r="R35" s="9" t="s">
        <v>166</v>
      </c>
      <c r="S35" s="358" t="s">
        <v>214</v>
      </c>
      <c r="T35" s="9"/>
      <c r="U35" s="343"/>
      <c r="V35" s="343"/>
      <c r="W35" s="343"/>
      <c r="X35" s="343"/>
      <c r="Y35" s="343"/>
      <c r="Z35" s="343"/>
      <c r="AA35" s="343"/>
      <c r="AB35" s="343"/>
      <c r="AC35" s="343"/>
      <c r="AD35" s="343"/>
    </row>
    <row r="36">
      <c r="A36" s="219" t="s">
        <v>1666</v>
      </c>
      <c r="B36" s="340" t="s">
        <v>2938</v>
      </c>
      <c r="C36" s="9" t="s">
        <v>2002</v>
      </c>
      <c r="D36" s="9">
        <v>25.0</v>
      </c>
      <c r="E36" s="9">
        <v>2500.0</v>
      </c>
      <c r="F36" s="341">
        <v>76.7</v>
      </c>
      <c r="G36" s="341">
        <v>3.96</v>
      </c>
      <c r="H36" s="341">
        <v>31.2</v>
      </c>
      <c r="I36" s="341">
        <v>0.2</v>
      </c>
      <c r="J36" s="9">
        <v>190.0</v>
      </c>
      <c r="K36" s="9" t="s">
        <v>2773</v>
      </c>
      <c r="L36" s="9">
        <v>12.0</v>
      </c>
      <c r="M36" s="342" t="s">
        <v>2804</v>
      </c>
      <c r="N36" s="9">
        <v>9.0</v>
      </c>
      <c r="O36" s="9" t="s">
        <v>166</v>
      </c>
      <c r="P36" s="9" t="s">
        <v>166</v>
      </c>
      <c r="Q36" s="9" t="s">
        <v>166</v>
      </c>
      <c r="R36" s="9" t="s">
        <v>166</v>
      </c>
      <c r="S36" s="9"/>
      <c r="T36" s="9"/>
      <c r="U36" s="343"/>
      <c r="V36" s="343"/>
      <c r="W36" s="343"/>
      <c r="X36" s="343"/>
      <c r="Y36" s="343"/>
      <c r="Z36" s="343"/>
      <c r="AA36" s="343"/>
      <c r="AB36" s="343"/>
      <c r="AC36" s="343"/>
      <c r="AD36" s="343"/>
    </row>
    <row r="37">
      <c r="A37" s="219" t="s">
        <v>1666</v>
      </c>
      <c r="B37" s="340" t="s">
        <v>2939</v>
      </c>
      <c r="C37" s="9" t="s">
        <v>2002</v>
      </c>
      <c r="D37" s="9">
        <v>25.0</v>
      </c>
      <c r="E37" s="9">
        <v>2500.0</v>
      </c>
      <c r="F37" s="341">
        <v>76.7</v>
      </c>
      <c r="G37" s="341">
        <v>3.96</v>
      </c>
      <c r="H37" s="341">
        <v>31.2</v>
      </c>
      <c r="I37" s="341">
        <v>0.2</v>
      </c>
      <c r="J37" s="9">
        <v>190.0</v>
      </c>
      <c r="K37" s="9" t="s">
        <v>2773</v>
      </c>
      <c r="L37" s="9">
        <v>12.0</v>
      </c>
      <c r="M37" s="342" t="s">
        <v>2804</v>
      </c>
      <c r="N37" s="9">
        <v>9.0</v>
      </c>
      <c r="O37" s="9" t="s">
        <v>166</v>
      </c>
      <c r="P37" s="9" t="s">
        <v>166</v>
      </c>
      <c r="Q37" s="9" t="s">
        <v>166</v>
      </c>
      <c r="R37" s="9" t="s">
        <v>166</v>
      </c>
      <c r="S37" s="358" t="s">
        <v>214</v>
      </c>
      <c r="T37" s="358" t="s">
        <v>214</v>
      </c>
      <c r="U37" s="343"/>
      <c r="V37" s="343"/>
      <c r="W37" s="343"/>
      <c r="X37" s="343"/>
      <c r="Y37" s="343"/>
      <c r="Z37" s="343"/>
      <c r="AA37" s="343"/>
      <c r="AB37" s="343"/>
      <c r="AC37" s="343"/>
      <c r="AD37" s="343"/>
    </row>
    <row r="38">
      <c r="A38" s="219" t="s">
        <v>1666</v>
      </c>
      <c r="B38" s="340" t="s">
        <v>2940</v>
      </c>
      <c r="C38" s="9" t="s">
        <v>2002</v>
      </c>
      <c r="D38" s="9">
        <v>25.0</v>
      </c>
      <c r="E38" s="9">
        <v>3000.0</v>
      </c>
      <c r="F38" s="341">
        <v>83.9</v>
      </c>
      <c r="G38" s="341">
        <v>5.31</v>
      </c>
      <c r="H38" s="341">
        <v>36.9</v>
      </c>
      <c r="I38" s="341">
        <v>0.3</v>
      </c>
      <c r="J38" s="9">
        <v>227.0</v>
      </c>
      <c r="K38" s="9" t="s">
        <v>2773</v>
      </c>
      <c r="L38" s="9">
        <v>12.0</v>
      </c>
      <c r="M38" s="342" t="s">
        <v>2804</v>
      </c>
      <c r="N38" s="9">
        <v>9.0</v>
      </c>
      <c r="O38" s="9" t="s">
        <v>166</v>
      </c>
      <c r="P38" s="9" t="s">
        <v>166</v>
      </c>
      <c r="Q38" s="9" t="s">
        <v>166</v>
      </c>
      <c r="R38" s="9" t="s">
        <v>166</v>
      </c>
      <c r="S38" s="358" t="s">
        <v>214</v>
      </c>
      <c r="T38" s="358" t="s">
        <v>214</v>
      </c>
      <c r="U38" s="343"/>
      <c r="V38" s="343"/>
      <c r="W38" s="343"/>
      <c r="X38" s="343"/>
      <c r="Y38" s="343"/>
      <c r="Z38" s="343"/>
      <c r="AA38" s="343"/>
      <c r="AB38" s="343"/>
      <c r="AC38" s="343"/>
      <c r="AD38" s="343"/>
    </row>
    <row r="39">
      <c r="A39" s="219" t="s">
        <v>1666</v>
      </c>
      <c r="B39" s="340" t="s">
        <v>2941</v>
      </c>
      <c r="C39" s="9" t="s">
        <v>2002</v>
      </c>
      <c r="D39" s="9">
        <v>25.0</v>
      </c>
      <c r="E39" s="9">
        <v>1600.0</v>
      </c>
      <c r="F39" s="341">
        <v>48.7</v>
      </c>
      <c r="G39" s="341">
        <v>1.79</v>
      </c>
      <c r="H39" s="341">
        <v>18.9</v>
      </c>
      <c r="I39" s="341">
        <v>0.12</v>
      </c>
      <c r="J39" s="9">
        <v>227.0</v>
      </c>
      <c r="K39" s="9" t="s">
        <v>2773</v>
      </c>
      <c r="L39" s="9">
        <v>12.0</v>
      </c>
      <c r="M39" s="342" t="s">
        <v>2804</v>
      </c>
      <c r="N39" s="9">
        <v>9.0</v>
      </c>
      <c r="O39" s="9" t="s">
        <v>166</v>
      </c>
      <c r="P39" s="9" t="s">
        <v>166</v>
      </c>
      <c r="Q39" s="9" t="s">
        <v>166</v>
      </c>
      <c r="R39" s="9" t="s">
        <v>166</v>
      </c>
      <c r="S39" s="358" t="s">
        <v>214</v>
      </c>
      <c r="T39" s="9"/>
      <c r="U39" s="343"/>
      <c r="V39" s="343"/>
      <c r="W39" s="343"/>
      <c r="X39" s="343"/>
      <c r="Y39" s="343"/>
      <c r="Z39" s="343"/>
      <c r="AA39" s="343"/>
      <c r="AB39" s="343"/>
      <c r="AC39" s="343"/>
      <c r="AD39" s="343"/>
    </row>
    <row r="40">
      <c r="A40" s="219" t="s">
        <v>1666</v>
      </c>
      <c r="B40" s="340" t="s">
        <v>2942</v>
      </c>
      <c r="C40" s="9" t="s">
        <v>2002</v>
      </c>
      <c r="D40" s="9">
        <v>25.0</v>
      </c>
      <c r="E40" s="9">
        <v>2500.0</v>
      </c>
      <c r="F40" s="341">
        <v>76.7</v>
      </c>
      <c r="G40" s="341">
        <v>3.96</v>
      </c>
      <c r="H40" s="341">
        <v>31.2</v>
      </c>
      <c r="I40" s="341">
        <v>0.2</v>
      </c>
      <c r="J40" s="9">
        <v>227.0</v>
      </c>
      <c r="K40" s="9" t="s">
        <v>2773</v>
      </c>
      <c r="L40" s="9">
        <v>12.0</v>
      </c>
      <c r="M40" s="342" t="s">
        <v>2804</v>
      </c>
      <c r="N40" s="9">
        <v>9.0</v>
      </c>
      <c r="O40" s="9" t="s">
        <v>166</v>
      </c>
      <c r="P40" s="9" t="s">
        <v>166</v>
      </c>
      <c r="Q40" s="9" t="s">
        <v>166</v>
      </c>
      <c r="R40" s="9" t="s">
        <v>166</v>
      </c>
      <c r="S40" s="358" t="s">
        <v>214</v>
      </c>
      <c r="T40" s="9"/>
      <c r="U40" s="343"/>
      <c r="V40" s="343"/>
      <c r="W40" s="343"/>
      <c r="X40" s="343"/>
      <c r="Y40" s="343"/>
      <c r="Z40" s="343"/>
      <c r="AA40" s="343"/>
      <c r="AB40" s="343"/>
      <c r="AC40" s="343"/>
      <c r="AD40" s="343"/>
    </row>
    <row r="41">
      <c r="A41" s="219" t="s">
        <v>1666</v>
      </c>
      <c r="B41" s="340" t="s">
        <v>2943</v>
      </c>
      <c r="C41" s="360" t="s">
        <v>2002</v>
      </c>
      <c r="D41" s="361">
        <v>25.0</v>
      </c>
      <c r="E41" s="362">
        <v>3000.0</v>
      </c>
      <c r="F41" s="363">
        <v>83.9</v>
      </c>
      <c r="G41" s="364">
        <v>5.31</v>
      </c>
      <c r="H41" s="365">
        <v>36.9</v>
      </c>
      <c r="I41" s="366">
        <v>0.3</v>
      </c>
      <c r="J41" s="349">
        <v>227.0</v>
      </c>
      <c r="K41" s="349" t="s">
        <v>2773</v>
      </c>
      <c r="L41" s="349">
        <v>12.0</v>
      </c>
      <c r="M41" s="350" t="s">
        <v>2804</v>
      </c>
      <c r="N41" s="349">
        <v>9.0</v>
      </c>
      <c r="O41" s="349" t="s">
        <v>166</v>
      </c>
      <c r="P41" s="349" t="s">
        <v>166</v>
      </c>
      <c r="Q41" s="9" t="s">
        <v>166</v>
      </c>
      <c r="R41" s="9" t="s">
        <v>166</v>
      </c>
      <c r="S41" s="358" t="s">
        <v>214</v>
      </c>
      <c r="T41" s="9"/>
      <c r="U41" s="343"/>
      <c r="V41" s="343"/>
      <c r="W41" s="343"/>
      <c r="X41" s="343"/>
      <c r="Y41" s="343"/>
      <c r="Z41" s="343"/>
      <c r="AA41" s="343"/>
      <c r="AB41" s="343"/>
      <c r="AC41" s="343"/>
      <c r="AD41" s="343"/>
    </row>
    <row r="42">
      <c r="A42" s="255" t="s">
        <v>1532</v>
      </c>
      <c r="B42" s="340" t="s">
        <v>2944</v>
      </c>
      <c r="C42" s="9" t="s">
        <v>2002</v>
      </c>
      <c r="D42" s="9">
        <v>25.0</v>
      </c>
      <c r="E42" s="9">
        <v>1800.0</v>
      </c>
      <c r="F42" s="341">
        <v>47.2</v>
      </c>
      <c r="G42" s="341">
        <v>1.6</v>
      </c>
      <c r="H42" s="341">
        <v>30.0</v>
      </c>
      <c r="I42" s="341">
        <v>0.25</v>
      </c>
      <c r="J42" s="9">
        <v>180.0</v>
      </c>
      <c r="K42" s="9" t="s">
        <v>2773</v>
      </c>
      <c r="L42" s="9">
        <v>12.0</v>
      </c>
      <c r="M42" s="342" t="s">
        <v>2902</v>
      </c>
      <c r="N42" s="9">
        <v>9.0</v>
      </c>
      <c r="O42" s="9" t="s">
        <v>166</v>
      </c>
      <c r="P42" s="9" t="s">
        <v>174</v>
      </c>
      <c r="Q42" s="9" t="s">
        <v>166</v>
      </c>
      <c r="R42" s="9" t="s">
        <v>166</v>
      </c>
      <c r="S42" s="9"/>
      <c r="T42" s="9"/>
      <c r="U42" s="343"/>
      <c r="V42" s="343"/>
      <c r="W42" s="343"/>
      <c r="X42" s="343"/>
      <c r="Y42" s="343"/>
      <c r="Z42" s="343"/>
      <c r="AA42" s="343"/>
      <c r="AB42" s="343"/>
      <c r="AC42" s="343"/>
      <c r="AD42" s="343"/>
    </row>
    <row r="43">
      <c r="A43" s="255" t="s">
        <v>1532</v>
      </c>
      <c r="B43" s="340" t="s">
        <v>2945</v>
      </c>
      <c r="C43" s="9" t="s">
        <v>2002</v>
      </c>
      <c r="D43" s="9">
        <v>25.0</v>
      </c>
      <c r="E43" s="9">
        <v>2050.0</v>
      </c>
      <c r="F43" s="341">
        <v>51.88</v>
      </c>
      <c r="G43" s="341">
        <v>2.89</v>
      </c>
      <c r="H43" s="341">
        <v>27.0</v>
      </c>
      <c r="I43" s="341">
        <v>0.14</v>
      </c>
      <c r="J43" s="9">
        <v>174.0</v>
      </c>
      <c r="K43" s="9" t="s">
        <v>2773</v>
      </c>
      <c r="L43" s="9">
        <v>12.0</v>
      </c>
      <c r="M43" s="342" t="s">
        <v>2902</v>
      </c>
      <c r="N43" s="9">
        <v>7.0</v>
      </c>
      <c r="O43" s="9" t="s">
        <v>166</v>
      </c>
      <c r="P43" s="9" t="s">
        <v>174</v>
      </c>
      <c r="Q43" s="9" t="s">
        <v>166</v>
      </c>
      <c r="R43" s="9" t="s">
        <v>166</v>
      </c>
      <c r="S43" s="358" t="s">
        <v>214</v>
      </c>
      <c r="T43" s="358" t="s">
        <v>214</v>
      </c>
      <c r="U43" s="343"/>
      <c r="V43" s="343"/>
      <c r="W43" s="343"/>
      <c r="X43" s="343"/>
      <c r="Y43" s="343"/>
      <c r="Z43" s="343"/>
      <c r="AA43" s="343"/>
      <c r="AB43" s="343"/>
      <c r="AC43" s="343"/>
      <c r="AD43" s="343"/>
    </row>
    <row r="44">
      <c r="A44" s="255" t="s">
        <v>1532</v>
      </c>
      <c r="B44" s="340" t="s">
        <v>2946</v>
      </c>
      <c r="C44" s="9" t="s">
        <v>2002</v>
      </c>
      <c r="D44" s="9">
        <v>25.0</v>
      </c>
      <c r="E44" s="9">
        <v>2000.0</v>
      </c>
      <c r="F44" s="341">
        <v>62.0</v>
      </c>
      <c r="G44" s="341">
        <v>2.4</v>
      </c>
      <c r="H44" s="341">
        <v>22.0</v>
      </c>
      <c r="I44" s="341">
        <v>0.12</v>
      </c>
      <c r="J44" s="9">
        <v>205.0</v>
      </c>
      <c r="K44" s="9" t="s">
        <v>2773</v>
      </c>
      <c r="L44" s="9">
        <v>12.0</v>
      </c>
      <c r="M44" s="342" t="s">
        <v>2849</v>
      </c>
      <c r="N44" s="9">
        <v>7.0</v>
      </c>
      <c r="O44" s="9" t="s">
        <v>166</v>
      </c>
      <c r="P44" s="9" t="s">
        <v>166</v>
      </c>
      <c r="Q44" s="9" t="s">
        <v>166</v>
      </c>
      <c r="R44" s="9" t="s">
        <v>166</v>
      </c>
      <c r="S44" s="9"/>
      <c r="T44" s="9"/>
      <c r="U44" s="343"/>
      <c r="V44" s="343"/>
      <c r="W44" s="343"/>
      <c r="X44" s="343"/>
      <c r="Y44" s="343"/>
      <c r="Z44" s="343"/>
      <c r="AA44" s="343"/>
      <c r="AB44" s="343"/>
      <c r="AC44" s="343"/>
      <c r="AD44" s="343"/>
    </row>
    <row r="45">
      <c r="A45" s="255" t="s">
        <v>1532</v>
      </c>
      <c r="B45" s="340" t="s">
        <v>2947</v>
      </c>
      <c r="C45" s="9" t="s">
        <v>2002</v>
      </c>
      <c r="D45" s="9">
        <v>25.0</v>
      </c>
      <c r="E45" s="9">
        <v>2000.0</v>
      </c>
      <c r="F45" s="341">
        <v>62.0</v>
      </c>
      <c r="G45" s="341">
        <v>2.4</v>
      </c>
      <c r="H45" s="341">
        <v>22.0</v>
      </c>
      <c r="I45" s="341">
        <v>0.12</v>
      </c>
      <c r="J45" s="9">
        <v>205.0</v>
      </c>
      <c r="K45" s="9" t="s">
        <v>2773</v>
      </c>
      <c r="L45" s="9">
        <v>12.0</v>
      </c>
      <c r="M45" s="342" t="s">
        <v>2849</v>
      </c>
      <c r="N45" s="9">
        <v>7.0</v>
      </c>
      <c r="O45" s="9" t="s">
        <v>166</v>
      </c>
      <c r="P45" s="9" t="s">
        <v>174</v>
      </c>
      <c r="Q45" s="9" t="s">
        <v>166</v>
      </c>
      <c r="R45" s="9" t="s">
        <v>166</v>
      </c>
      <c r="S45" s="358" t="s">
        <v>214</v>
      </c>
      <c r="T45" s="9"/>
      <c r="U45" s="343"/>
      <c r="V45" s="343"/>
      <c r="W45" s="343"/>
      <c r="X45" s="343"/>
      <c r="Y45" s="343"/>
      <c r="Z45" s="343"/>
      <c r="AA45" s="343"/>
      <c r="AB45" s="343"/>
      <c r="AC45" s="343"/>
      <c r="AD45" s="343"/>
    </row>
    <row r="46">
      <c r="A46" s="255" t="s">
        <v>1532</v>
      </c>
      <c r="B46" s="340" t="s">
        <v>2948</v>
      </c>
      <c r="C46" s="9" t="s">
        <v>2002</v>
      </c>
      <c r="D46" s="9">
        <v>25.0</v>
      </c>
      <c r="E46" s="9">
        <v>2000.0</v>
      </c>
      <c r="F46" s="341">
        <v>59.0</v>
      </c>
      <c r="G46" s="341">
        <v>2.1</v>
      </c>
      <c r="H46" s="341">
        <v>30.0</v>
      </c>
      <c r="I46" s="341">
        <v>0.16</v>
      </c>
      <c r="J46" s="9">
        <v>173.0</v>
      </c>
      <c r="K46" s="9" t="s">
        <v>2773</v>
      </c>
      <c r="L46" s="9">
        <v>12.0</v>
      </c>
      <c r="M46" s="342" t="s">
        <v>2902</v>
      </c>
      <c r="N46" s="9">
        <v>9.0</v>
      </c>
      <c r="O46" s="9" t="s">
        <v>166</v>
      </c>
      <c r="P46" s="9" t="s">
        <v>166</v>
      </c>
      <c r="Q46" s="9" t="s">
        <v>166</v>
      </c>
      <c r="R46" s="9" t="s">
        <v>166</v>
      </c>
      <c r="S46" s="9"/>
      <c r="T46" s="9"/>
      <c r="U46" s="343"/>
      <c r="V46" s="343"/>
      <c r="W46" s="343"/>
      <c r="X46" s="343"/>
      <c r="Y46" s="343"/>
      <c r="Z46" s="343"/>
      <c r="AA46" s="343"/>
      <c r="AB46" s="343"/>
      <c r="AC46" s="343"/>
      <c r="AD46" s="343"/>
    </row>
    <row r="47">
      <c r="A47" s="255" t="s">
        <v>1532</v>
      </c>
      <c r="B47" s="340" t="s">
        <v>2949</v>
      </c>
      <c r="C47" s="9" t="s">
        <v>2002</v>
      </c>
      <c r="D47" s="9">
        <v>25.0</v>
      </c>
      <c r="E47" s="9">
        <v>2050.0</v>
      </c>
      <c r="F47" s="341">
        <v>63.1</v>
      </c>
      <c r="G47" s="341">
        <v>2.69</v>
      </c>
      <c r="H47" s="341">
        <v>22.6</v>
      </c>
      <c r="I47" s="341">
        <v>0.12</v>
      </c>
      <c r="J47" s="9">
        <v>179.0</v>
      </c>
      <c r="K47" s="9" t="s">
        <v>2773</v>
      </c>
      <c r="L47" s="9">
        <v>12.0</v>
      </c>
      <c r="M47" s="342" t="s">
        <v>2950</v>
      </c>
      <c r="N47" s="9">
        <v>7.0</v>
      </c>
      <c r="O47" s="9" t="s">
        <v>166</v>
      </c>
      <c r="P47" s="9" t="s">
        <v>166</v>
      </c>
      <c r="Q47" s="9" t="s">
        <v>166</v>
      </c>
      <c r="R47" s="9" t="s">
        <v>166</v>
      </c>
      <c r="S47" s="9"/>
      <c r="T47" s="9"/>
      <c r="U47" s="343"/>
      <c r="V47" s="343"/>
      <c r="W47" s="343"/>
      <c r="X47" s="343"/>
      <c r="Y47" s="343"/>
      <c r="Z47" s="343"/>
      <c r="AA47" s="343"/>
      <c r="AB47" s="343"/>
      <c r="AC47" s="343"/>
      <c r="AD47" s="343"/>
    </row>
    <row r="48">
      <c r="A48" s="255" t="s">
        <v>1532</v>
      </c>
      <c r="B48" s="340" t="s">
        <v>2951</v>
      </c>
      <c r="C48" s="9" t="s">
        <v>2002</v>
      </c>
      <c r="D48" s="9">
        <v>27.0</v>
      </c>
      <c r="E48" s="9">
        <v>1500.0</v>
      </c>
      <c r="F48" s="341">
        <v>42.2</v>
      </c>
      <c r="G48" s="341">
        <v>1.19</v>
      </c>
      <c r="H48" s="341">
        <v>17.4</v>
      </c>
      <c r="I48" s="341">
        <v>0.1</v>
      </c>
      <c r="J48" s="9">
        <v>214.0</v>
      </c>
      <c r="K48" s="9" t="s">
        <v>2773</v>
      </c>
      <c r="L48" s="9">
        <v>12.0</v>
      </c>
      <c r="M48" s="342" t="s">
        <v>2849</v>
      </c>
      <c r="N48" s="9">
        <v>9.0</v>
      </c>
      <c r="O48" s="9" t="s">
        <v>166</v>
      </c>
      <c r="P48" s="9" t="s">
        <v>166</v>
      </c>
      <c r="Q48" s="9" t="s">
        <v>166</v>
      </c>
      <c r="R48" s="9" t="s">
        <v>166</v>
      </c>
      <c r="S48" s="358" t="s">
        <v>214</v>
      </c>
      <c r="T48" s="358" t="s">
        <v>214</v>
      </c>
      <c r="U48" s="343"/>
      <c r="V48" s="343"/>
      <c r="W48" s="343"/>
      <c r="X48" s="343"/>
      <c r="Y48" s="343"/>
      <c r="Z48" s="343"/>
      <c r="AA48" s="343"/>
      <c r="AB48" s="343"/>
      <c r="AC48" s="343"/>
      <c r="AD48" s="343"/>
    </row>
    <row r="49">
      <c r="A49" s="255" t="s">
        <v>1532</v>
      </c>
      <c r="B49" s="340" t="s">
        <v>2952</v>
      </c>
      <c r="C49" s="9" t="s">
        <v>2002</v>
      </c>
      <c r="D49" s="9">
        <v>27.0</v>
      </c>
      <c r="E49" s="9">
        <v>2400.0</v>
      </c>
      <c r="F49" s="341">
        <v>65.5</v>
      </c>
      <c r="G49" s="341">
        <v>2.76</v>
      </c>
      <c r="H49" s="341">
        <v>31.1</v>
      </c>
      <c r="I49" s="341">
        <v>0.2</v>
      </c>
      <c r="J49" s="9">
        <v>214.0</v>
      </c>
      <c r="K49" s="9" t="s">
        <v>2773</v>
      </c>
      <c r="L49" s="9">
        <v>12.0</v>
      </c>
      <c r="M49" s="342" t="s">
        <v>2849</v>
      </c>
      <c r="N49" s="9">
        <v>9.0</v>
      </c>
      <c r="O49" s="9" t="s">
        <v>166</v>
      </c>
      <c r="P49" s="9" t="s">
        <v>166</v>
      </c>
      <c r="Q49" s="9" t="s">
        <v>166</v>
      </c>
      <c r="R49" s="9" t="s">
        <v>166</v>
      </c>
      <c r="S49" s="358" t="s">
        <v>214</v>
      </c>
      <c r="T49" s="358" t="s">
        <v>214</v>
      </c>
      <c r="U49" s="343"/>
      <c r="V49" s="343"/>
      <c r="W49" s="343"/>
      <c r="X49" s="343"/>
      <c r="Y49" s="343"/>
      <c r="Z49" s="343"/>
      <c r="AA49" s="343"/>
      <c r="AB49" s="343"/>
      <c r="AC49" s="343"/>
      <c r="AD49" s="343"/>
    </row>
    <row r="50">
      <c r="A50" s="255" t="s">
        <v>1532</v>
      </c>
      <c r="B50" s="340" t="s">
        <v>2953</v>
      </c>
      <c r="C50" s="9" t="s">
        <v>2002</v>
      </c>
      <c r="D50" s="9">
        <v>27.0</v>
      </c>
      <c r="E50" s="9">
        <v>3200.0</v>
      </c>
      <c r="F50" s="341">
        <v>88.1</v>
      </c>
      <c r="G50" s="341">
        <v>4.75</v>
      </c>
      <c r="H50" s="341">
        <v>39.3</v>
      </c>
      <c r="I50" s="341">
        <v>0.35</v>
      </c>
      <c r="J50" s="9">
        <v>214.0</v>
      </c>
      <c r="K50" s="9" t="s">
        <v>2773</v>
      </c>
      <c r="L50" s="9">
        <v>12.0</v>
      </c>
      <c r="M50" s="342" t="s">
        <v>2849</v>
      </c>
      <c r="N50" s="9">
        <v>9.0</v>
      </c>
      <c r="O50" s="9" t="s">
        <v>166</v>
      </c>
      <c r="P50" s="9" t="s">
        <v>166</v>
      </c>
      <c r="Q50" s="9" t="s">
        <v>166</v>
      </c>
      <c r="R50" s="9" t="s">
        <v>166</v>
      </c>
      <c r="S50" s="358" t="s">
        <v>214</v>
      </c>
      <c r="T50" s="358" t="s">
        <v>214</v>
      </c>
      <c r="U50" s="343"/>
      <c r="V50" s="343"/>
      <c r="W50" s="343"/>
      <c r="X50" s="343"/>
      <c r="Y50" s="343"/>
      <c r="Z50" s="343"/>
      <c r="AA50" s="343"/>
      <c r="AB50" s="343"/>
      <c r="AC50" s="343"/>
      <c r="AD50" s="343"/>
    </row>
    <row r="51">
      <c r="A51" s="255" t="s">
        <v>1532</v>
      </c>
      <c r="B51" s="340" t="s">
        <v>2954</v>
      </c>
      <c r="C51" s="9" t="s">
        <v>2002</v>
      </c>
      <c r="D51" s="9">
        <v>25.0</v>
      </c>
      <c r="E51" s="9">
        <v>2400.0</v>
      </c>
      <c r="F51" s="341">
        <v>75.2</v>
      </c>
      <c r="G51" s="341">
        <v>3.63</v>
      </c>
      <c r="H51" s="341">
        <v>30.0</v>
      </c>
      <c r="I51" s="341">
        <v>0.18</v>
      </c>
      <c r="J51" s="9">
        <v>179.0</v>
      </c>
      <c r="K51" s="9" t="s">
        <v>2773</v>
      </c>
      <c r="L51" s="9">
        <v>12.0</v>
      </c>
      <c r="M51" s="342" t="s">
        <v>2950</v>
      </c>
      <c r="N51" s="9">
        <v>7.0</v>
      </c>
      <c r="O51" s="9" t="s">
        <v>166</v>
      </c>
      <c r="P51" s="9" t="s">
        <v>174</v>
      </c>
      <c r="Q51" s="9" t="s">
        <v>166</v>
      </c>
      <c r="R51" s="9" t="s">
        <v>166</v>
      </c>
      <c r="S51" s="9"/>
      <c r="T51" s="9"/>
      <c r="U51" s="343"/>
      <c r="V51" s="343"/>
      <c r="W51" s="343"/>
      <c r="X51" s="343"/>
      <c r="Y51" s="343"/>
      <c r="Z51" s="343"/>
      <c r="AA51" s="343"/>
      <c r="AB51" s="343"/>
      <c r="AC51" s="343"/>
      <c r="AD51" s="343"/>
    </row>
    <row r="52">
      <c r="A52" s="255" t="s">
        <v>1532</v>
      </c>
      <c r="B52" s="340" t="s">
        <v>2955</v>
      </c>
      <c r="C52" s="9" t="s">
        <v>2002</v>
      </c>
      <c r="D52" s="9">
        <v>25.0</v>
      </c>
      <c r="E52" s="9">
        <v>2400.0</v>
      </c>
      <c r="F52" s="341">
        <v>75.2</v>
      </c>
      <c r="G52" s="341">
        <v>3.63</v>
      </c>
      <c r="H52" s="341">
        <v>30.0</v>
      </c>
      <c r="I52" s="341">
        <v>0.18</v>
      </c>
      <c r="J52" s="9">
        <v>179.0</v>
      </c>
      <c r="K52" s="9" t="s">
        <v>2773</v>
      </c>
      <c r="L52" s="9">
        <v>12.0</v>
      </c>
      <c r="M52" s="342" t="s">
        <v>2950</v>
      </c>
      <c r="N52" s="9">
        <v>7.0</v>
      </c>
      <c r="O52" s="9" t="s">
        <v>166</v>
      </c>
      <c r="P52" s="9" t="s">
        <v>174</v>
      </c>
      <c r="Q52" s="9" t="s">
        <v>166</v>
      </c>
      <c r="R52" s="9" t="s">
        <v>166</v>
      </c>
      <c r="S52" s="9"/>
      <c r="T52" s="9"/>
      <c r="U52" s="343"/>
      <c r="V52" s="343"/>
      <c r="W52" s="343"/>
      <c r="X52" s="343"/>
      <c r="Y52" s="343"/>
      <c r="Z52" s="343"/>
      <c r="AA52" s="343"/>
      <c r="AB52" s="343"/>
      <c r="AC52" s="343"/>
      <c r="AD52" s="343"/>
    </row>
    <row r="53">
      <c r="A53" s="255" t="s">
        <v>1532</v>
      </c>
      <c r="B53" s="340" t="s">
        <v>2956</v>
      </c>
      <c r="C53" s="9" t="s">
        <v>2002</v>
      </c>
      <c r="D53" s="9">
        <v>25.0</v>
      </c>
      <c r="E53" s="9">
        <v>1800.0</v>
      </c>
      <c r="F53" s="341">
        <v>62.0</v>
      </c>
      <c r="G53" s="341">
        <v>2.5</v>
      </c>
      <c r="H53" s="341">
        <v>27.0</v>
      </c>
      <c r="I53" s="341">
        <v>0.15</v>
      </c>
      <c r="J53" s="9">
        <v>156.0</v>
      </c>
      <c r="K53" s="9" t="s">
        <v>2773</v>
      </c>
      <c r="L53" s="9">
        <v>12.0</v>
      </c>
      <c r="M53" s="342" t="s">
        <v>2902</v>
      </c>
      <c r="N53" s="9">
        <v>7.0</v>
      </c>
      <c r="O53" s="9" t="s">
        <v>166</v>
      </c>
      <c r="P53" s="9" t="s">
        <v>166</v>
      </c>
      <c r="Q53" s="9" t="s">
        <v>166</v>
      </c>
      <c r="R53" s="9" t="s">
        <v>166</v>
      </c>
      <c r="S53" s="9"/>
      <c r="T53" s="9"/>
      <c r="U53" s="343"/>
      <c r="V53" s="343"/>
      <c r="W53" s="343"/>
      <c r="X53" s="343"/>
      <c r="Y53" s="343"/>
      <c r="Z53" s="343"/>
      <c r="AA53" s="343"/>
      <c r="AB53" s="343"/>
      <c r="AC53" s="343"/>
      <c r="AD53" s="343"/>
    </row>
    <row r="54">
      <c r="A54" s="255" t="s">
        <v>1532</v>
      </c>
      <c r="B54" s="340" t="s">
        <v>2957</v>
      </c>
      <c r="C54" s="9" t="s">
        <v>2002</v>
      </c>
      <c r="D54" s="9">
        <v>25.0</v>
      </c>
      <c r="E54" s="9">
        <v>1800.0</v>
      </c>
      <c r="F54" s="341">
        <v>62.0</v>
      </c>
      <c r="G54" s="341">
        <v>2.5</v>
      </c>
      <c r="H54" s="341">
        <v>27.0</v>
      </c>
      <c r="I54" s="341">
        <v>0.15</v>
      </c>
      <c r="J54" s="9">
        <v>156.0</v>
      </c>
      <c r="K54" s="9" t="s">
        <v>2773</v>
      </c>
      <c r="L54" s="9">
        <v>12.0</v>
      </c>
      <c r="M54" s="342" t="s">
        <v>2902</v>
      </c>
      <c r="N54" s="9">
        <v>7.0</v>
      </c>
      <c r="O54" s="9" t="s">
        <v>166</v>
      </c>
      <c r="P54" s="9" t="s">
        <v>174</v>
      </c>
      <c r="Q54" s="9" t="s">
        <v>166</v>
      </c>
      <c r="R54" s="9" t="s">
        <v>166</v>
      </c>
      <c r="S54" s="9"/>
      <c r="T54" s="9"/>
      <c r="U54" s="343"/>
      <c r="V54" s="343"/>
      <c r="W54" s="343"/>
      <c r="X54" s="343"/>
      <c r="Y54" s="343"/>
      <c r="Z54" s="343"/>
      <c r="AA54" s="343"/>
      <c r="AB54" s="343"/>
      <c r="AC54" s="343"/>
      <c r="AD54" s="343"/>
    </row>
    <row r="55">
      <c r="A55" s="255" t="s">
        <v>1480</v>
      </c>
      <c r="B55" s="340" t="s">
        <v>2958</v>
      </c>
      <c r="C55" s="9" t="s">
        <v>2002</v>
      </c>
      <c r="D55" s="9">
        <v>25.0</v>
      </c>
      <c r="E55" s="9">
        <v>1850.0</v>
      </c>
      <c r="F55" s="341">
        <v>59.1</v>
      </c>
      <c r="G55" s="341">
        <v>1.93</v>
      </c>
      <c r="H55" s="341">
        <v>31.5</v>
      </c>
      <c r="I55" s="341">
        <v>0.38</v>
      </c>
      <c r="J55" s="9">
        <v>190.0</v>
      </c>
      <c r="K55" s="9" t="s">
        <v>2773</v>
      </c>
      <c r="L55" s="9">
        <v>12.0</v>
      </c>
      <c r="M55" s="342" t="s">
        <v>2804</v>
      </c>
      <c r="N55" s="9">
        <v>9.0</v>
      </c>
      <c r="O55" s="9" t="s">
        <v>166</v>
      </c>
      <c r="P55" s="9" t="s">
        <v>166</v>
      </c>
      <c r="Q55" s="9" t="s">
        <v>166</v>
      </c>
      <c r="R55" s="9" t="s">
        <v>166</v>
      </c>
      <c r="S55" s="9"/>
      <c r="T55" s="9"/>
      <c r="U55" s="343"/>
      <c r="V55" s="343"/>
      <c r="W55" s="343"/>
      <c r="X55" s="343"/>
      <c r="Y55" s="343"/>
      <c r="Z55" s="343"/>
      <c r="AA55" s="343"/>
      <c r="AB55" s="343"/>
      <c r="AC55" s="343"/>
      <c r="AD55" s="343"/>
    </row>
    <row r="56">
      <c r="A56" s="255" t="s">
        <v>1480</v>
      </c>
      <c r="B56" s="340" t="s">
        <v>2959</v>
      </c>
      <c r="C56" s="9" t="s">
        <v>2002</v>
      </c>
      <c r="D56" s="9">
        <v>25.0</v>
      </c>
      <c r="E56" s="9">
        <v>1850.0</v>
      </c>
      <c r="F56" s="341">
        <v>59.1</v>
      </c>
      <c r="G56" s="341">
        <v>1.93</v>
      </c>
      <c r="H56" s="341">
        <v>31.5</v>
      </c>
      <c r="I56" s="341">
        <v>0.38</v>
      </c>
      <c r="J56" s="9">
        <v>190.0</v>
      </c>
      <c r="K56" s="9" t="s">
        <v>2773</v>
      </c>
      <c r="L56" s="9">
        <v>12.0</v>
      </c>
      <c r="M56" s="342" t="s">
        <v>2804</v>
      </c>
      <c r="N56" s="9">
        <v>9.0</v>
      </c>
      <c r="O56" s="9" t="s">
        <v>166</v>
      </c>
      <c r="P56" s="9" t="s">
        <v>166</v>
      </c>
      <c r="Q56" s="9" t="s">
        <v>166</v>
      </c>
      <c r="R56" s="9" t="s">
        <v>166</v>
      </c>
      <c r="S56" s="9"/>
      <c r="T56" s="9"/>
      <c r="U56" s="343"/>
      <c r="V56" s="343"/>
      <c r="W56" s="343"/>
      <c r="X56" s="343"/>
      <c r="Y56" s="343"/>
      <c r="Z56" s="343"/>
      <c r="AA56" s="343"/>
      <c r="AB56" s="343"/>
      <c r="AC56" s="343"/>
      <c r="AD56" s="343"/>
    </row>
    <row r="57">
      <c r="A57" s="255" t="s">
        <v>1480</v>
      </c>
      <c r="B57" s="340" t="s">
        <v>2960</v>
      </c>
      <c r="C57" s="9" t="s">
        <v>2002</v>
      </c>
      <c r="D57" s="9">
        <v>25.0</v>
      </c>
      <c r="E57" s="9">
        <v>2100.0</v>
      </c>
      <c r="F57" s="341">
        <v>65.57</v>
      </c>
      <c r="G57" s="341">
        <v>2.68</v>
      </c>
      <c r="H57" s="341">
        <v>34.1</v>
      </c>
      <c r="I57" s="341">
        <v>0.38</v>
      </c>
      <c r="J57" s="9">
        <v>178.0</v>
      </c>
      <c r="K57" s="9" t="s">
        <v>2773</v>
      </c>
      <c r="L57" s="9">
        <v>12.0</v>
      </c>
      <c r="M57" s="342" t="s">
        <v>2804</v>
      </c>
      <c r="N57" s="9">
        <v>9.0</v>
      </c>
      <c r="O57" s="9" t="s">
        <v>166</v>
      </c>
      <c r="P57" s="9" t="s">
        <v>174</v>
      </c>
      <c r="Q57" s="9" t="s">
        <v>166</v>
      </c>
      <c r="R57" s="9" t="s">
        <v>166</v>
      </c>
      <c r="S57" s="358" t="s">
        <v>214</v>
      </c>
      <c r="T57" s="358" t="s">
        <v>214</v>
      </c>
      <c r="U57" s="343"/>
      <c r="W57" s="343"/>
      <c r="X57" s="343"/>
      <c r="Y57" s="343"/>
      <c r="Z57" s="343"/>
      <c r="AA57" s="343"/>
      <c r="AB57" s="343"/>
      <c r="AC57" s="343"/>
      <c r="AD57" s="343"/>
    </row>
    <row r="58">
      <c r="A58" s="255" t="s">
        <v>1480</v>
      </c>
      <c r="B58" s="340" t="s">
        <v>2961</v>
      </c>
      <c r="C58" s="9" t="s">
        <v>2002</v>
      </c>
      <c r="D58" s="9">
        <v>25.0</v>
      </c>
      <c r="E58" s="9">
        <v>2100.0</v>
      </c>
      <c r="F58" s="341">
        <v>65.57</v>
      </c>
      <c r="G58" s="341">
        <v>2.68</v>
      </c>
      <c r="H58" s="341">
        <v>34.1</v>
      </c>
      <c r="I58" s="341">
        <v>0.38</v>
      </c>
      <c r="J58" s="9">
        <v>178.0</v>
      </c>
      <c r="K58" s="9" t="s">
        <v>2773</v>
      </c>
      <c r="L58" s="9">
        <v>12.0</v>
      </c>
      <c r="M58" s="342" t="s">
        <v>2804</v>
      </c>
      <c r="N58" s="9">
        <v>9.0</v>
      </c>
      <c r="O58" s="9" t="s">
        <v>166</v>
      </c>
      <c r="P58" s="9" t="s">
        <v>174</v>
      </c>
      <c r="Q58" s="9" t="s">
        <v>166</v>
      </c>
      <c r="R58" s="9" t="s">
        <v>166</v>
      </c>
      <c r="S58" s="9"/>
      <c r="T58" s="9"/>
      <c r="U58" s="343"/>
      <c r="W58" s="343"/>
      <c r="X58" s="343"/>
      <c r="Y58" s="343"/>
      <c r="Z58" s="343"/>
      <c r="AA58" s="343"/>
      <c r="AB58" s="343"/>
      <c r="AC58" s="343"/>
      <c r="AD58" s="343"/>
    </row>
    <row r="59">
      <c r="A59" s="255" t="s">
        <v>1480</v>
      </c>
      <c r="B59" s="340" t="s">
        <v>2962</v>
      </c>
      <c r="C59" s="9" t="s">
        <v>2002</v>
      </c>
      <c r="D59" s="9">
        <v>25.0</v>
      </c>
      <c r="E59" s="9">
        <v>2100.0</v>
      </c>
      <c r="F59" s="341">
        <v>74.2</v>
      </c>
      <c r="G59" s="341">
        <v>4.38</v>
      </c>
      <c r="H59" s="341">
        <v>36.0</v>
      </c>
      <c r="I59" s="341">
        <v>0.58</v>
      </c>
      <c r="J59" s="9">
        <v>250.0</v>
      </c>
      <c r="K59" s="9" t="s">
        <v>2773</v>
      </c>
      <c r="L59" s="9">
        <v>12.0</v>
      </c>
      <c r="M59" s="342" t="s">
        <v>2963</v>
      </c>
      <c r="N59" s="9">
        <v>7.0</v>
      </c>
      <c r="O59" s="9" t="s">
        <v>166</v>
      </c>
      <c r="P59" s="9" t="s">
        <v>166</v>
      </c>
      <c r="Q59" s="9" t="s">
        <v>166</v>
      </c>
      <c r="R59" s="9" t="s">
        <v>166</v>
      </c>
      <c r="S59" s="9"/>
      <c r="T59" s="9"/>
      <c r="U59" s="343"/>
      <c r="W59" s="343"/>
      <c r="X59" s="343"/>
      <c r="Y59" s="343"/>
      <c r="Z59" s="343"/>
      <c r="AA59" s="343"/>
      <c r="AB59" s="343"/>
      <c r="AC59" s="343"/>
      <c r="AD59" s="343"/>
    </row>
    <row r="60">
      <c r="A60" s="255" t="s">
        <v>1480</v>
      </c>
      <c r="B60" s="340" t="s">
        <v>2964</v>
      </c>
      <c r="C60" s="9" t="s">
        <v>2002</v>
      </c>
      <c r="D60" s="9">
        <v>25.0</v>
      </c>
      <c r="E60" s="9">
        <v>2100.0</v>
      </c>
      <c r="F60" s="341">
        <v>74.2</v>
      </c>
      <c r="G60" s="341">
        <v>4.38</v>
      </c>
      <c r="H60" s="341">
        <v>36.0</v>
      </c>
      <c r="I60" s="341">
        <v>0.66</v>
      </c>
      <c r="J60" s="9">
        <v>250.0</v>
      </c>
      <c r="K60" s="9" t="s">
        <v>2773</v>
      </c>
      <c r="L60" s="9">
        <v>12.0</v>
      </c>
      <c r="M60" s="342" t="s">
        <v>2963</v>
      </c>
      <c r="N60" s="9">
        <v>7.0</v>
      </c>
      <c r="O60" s="9" t="s">
        <v>166</v>
      </c>
      <c r="P60" s="9" t="s">
        <v>174</v>
      </c>
      <c r="Q60" s="9" t="s">
        <v>2965</v>
      </c>
      <c r="R60" s="9" t="s">
        <v>2966</v>
      </c>
      <c r="S60" s="358" t="s">
        <v>214</v>
      </c>
      <c r="T60" s="358" t="s">
        <v>214</v>
      </c>
      <c r="U60" s="343"/>
      <c r="W60" s="343"/>
      <c r="X60" s="343"/>
      <c r="Y60" s="343"/>
      <c r="Z60" s="343"/>
      <c r="AA60" s="343"/>
      <c r="AB60" s="343"/>
      <c r="AC60" s="343"/>
      <c r="AD60" s="343"/>
    </row>
    <row r="61">
      <c r="A61" s="255" t="s">
        <v>1480</v>
      </c>
      <c r="B61" s="340" t="s">
        <v>2967</v>
      </c>
      <c r="C61" s="9" t="s">
        <v>2002</v>
      </c>
      <c r="D61" s="9">
        <v>25.0</v>
      </c>
      <c r="E61" s="9">
        <v>2100.0</v>
      </c>
      <c r="F61" s="341">
        <v>74.2</v>
      </c>
      <c r="G61" s="341">
        <v>4.38</v>
      </c>
      <c r="H61" s="341">
        <v>36.0</v>
      </c>
      <c r="I61" s="341">
        <v>0.66</v>
      </c>
      <c r="J61" s="9">
        <v>250.0</v>
      </c>
      <c r="K61" s="9" t="s">
        <v>2773</v>
      </c>
      <c r="L61" s="9">
        <v>12.0</v>
      </c>
      <c r="M61" s="342" t="s">
        <v>2963</v>
      </c>
      <c r="N61" s="9">
        <v>7.0</v>
      </c>
      <c r="O61" s="9" t="s">
        <v>166</v>
      </c>
      <c r="P61" s="9" t="s">
        <v>174</v>
      </c>
      <c r="Q61" s="9" t="s">
        <v>166</v>
      </c>
      <c r="R61" s="9" t="s">
        <v>166</v>
      </c>
      <c r="S61" s="353"/>
      <c r="T61" s="353"/>
      <c r="U61" s="343"/>
      <c r="W61" s="343"/>
      <c r="X61" s="343"/>
      <c r="Y61" s="343"/>
      <c r="Z61" s="343"/>
      <c r="AA61" s="343"/>
      <c r="AB61" s="343"/>
      <c r="AC61" s="343"/>
      <c r="AD61" s="343"/>
    </row>
    <row r="62">
      <c r="A62" s="255" t="s">
        <v>1480</v>
      </c>
      <c r="B62" s="340" t="s">
        <v>2968</v>
      </c>
      <c r="C62" s="9" t="s">
        <v>2002</v>
      </c>
      <c r="D62" s="9">
        <v>30.0</v>
      </c>
      <c r="E62" s="9">
        <v>2000.0</v>
      </c>
      <c r="F62" s="341">
        <v>72.0</v>
      </c>
      <c r="G62" s="341">
        <v>4.2</v>
      </c>
      <c r="H62" s="341">
        <v>29.5</v>
      </c>
      <c r="I62" s="341">
        <v>0.18</v>
      </c>
      <c r="J62" s="9">
        <v>295.0</v>
      </c>
      <c r="K62" s="9" t="s">
        <v>2773</v>
      </c>
      <c r="L62" s="9">
        <v>12.0</v>
      </c>
      <c r="M62" s="342" t="s">
        <v>2963</v>
      </c>
      <c r="N62" s="9">
        <v>7.0</v>
      </c>
      <c r="O62" s="9" t="s">
        <v>166</v>
      </c>
      <c r="P62" s="9" t="s">
        <v>166</v>
      </c>
      <c r="Q62" s="9" t="s">
        <v>2969</v>
      </c>
      <c r="R62" s="9" t="s">
        <v>2970</v>
      </c>
      <c r="S62" s="358" t="s">
        <v>214</v>
      </c>
      <c r="T62" s="358" t="s">
        <v>214</v>
      </c>
      <c r="U62" s="343"/>
      <c r="W62" s="343"/>
      <c r="X62" s="343"/>
      <c r="Y62" s="343"/>
      <c r="Z62" s="343"/>
      <c r="AA62" s="343"/>
      <c r="AB62" s="343"/>
      <c r="AC62" s="343"/>
      <c r="AD62" s="343"/>
    </row>
    <row r="63">
      <c r="A63" s="272" t="s">
        <v>1343</v>
      </c>
      <c r="B63" s="340" t="s">
        <v>2971</v>
      </c>
      <c r="C63" s="9" t="s">
        <v>2002</v>
      </c>
      <c r="D63" s="9">
        <v>25.0</v>
      </c>
      <c r="E63" s="9">
        <v>1800.0</v>
      </c>
      <c r="F63" s="341">
        <v>61.91</v>
      </c>
      <c r="G63" s="341">
        <v>1.83</v>
      </c>
      <c r="H63" s="341">
        <v>28.0</v>
      </c>
      <c r="I63" s="341">
        <v>0.13</v>
      </c>
      <c r="J63" s="9">
        <v>164.0</v>
      </c>
      <c r="K63" s="9" t="s">
        <v>2773</v>
      </c>
      <c r="L63" s="9">
        <v>12.0</v>
      </c>
      <c r="M63" s="342" t="s">
        <v>2972</v>
      </c>
      <c r="N63" s="9">
        <v>9.0</v>
      </c>
      <c r="O63" s="9" t="s">
        <v>166</v>
      </c>
      <c r="P63" s="9" t="s">
        <v>174</v>
      </c>
      <c r="Q63" s="9" t="s">
        <v>166</v>
      </c>
      <c r="R63" s="9" t="s">
        <v>166</v>
      </c>
      <c r="S63" s="9"/>
      <c r="T63" s="9"/>
      <c r="U63" s="343"/>
      <c r="W63" s="343"/>
      <c r="X63" s="343"/>
      <c r="Y63" s="343"/>
      <c r="Z63" s="343"/>
      <c r="AA63" s="343"/>
      <c r="AB63" s="343"/>
      <c r="AC63" s="343"/>
      <c r="AD63" s="343"/>
    </row>
    <row r="64">
      <c r="A64" s="272" t="s">
        <v>1343</v>
      </c>
      <c r="B64" s="340" t="s">
        <v>2973</v>
      </c>
      <c r="C64" s="9" t="s">
        <v>2002</v>
      </c>
      <c r="D64" s="9">
        <v>25.0</v>
      </c>
      <c r="E64" s="9">
        <v>1850.0</v>
      </c>
      <c r="F64" s="341">
        <v>68.99</v>
      </c>
      <c r="G64" s="341">
        <v>2.19</v>
      </c>
      <c r="H64" s="341">
        <v>28.0</v>
      </c>
      <c r="I64" s="341">
        <v>0.12</v>
      </c>
      <c r="J64" s="9">
        <v>170.0</v>
      </c>
      <c r="K64" s="9" t="s">
        <v>2773</v>
      </c>
      <c r="L64" s="9">
        <v>12.0</v>
      </c>
      <c r="M64" s="342" t="s">
        <v>2804</v>
      </c>
      <c r="N64" s="9">
        <v>9.0</v>
      </c>
      <c r="O64" s="9" t="s">
        <v>166</v>
      </c>
      <c r="P64" s="9" t="s">
        <v>166</v>
      </c>
      <c r="Q64" s="9" t="s">
        <v>166</v>
      </c>
      <c r="R64" s="9" t="s">
        <v>166</v>
      </c>
      <c r="S64" s="9"/>
      <c r="T64" s="9"/>
      <c r="U64" s="343"/>
      <c r="W64" s="343"/>
      <c r="X64" s="343"/>
      <c r="Y64" s="343"/>
      <c r="Z64" s="343"/>
      <c r="AA64" s="343"/>
      <c r="AB64" s="343"/>
      <c r="AC64" s="343"/>
      <c r="AD64" s="343"/>
    </row>
    <row r="65">
      <c r="A65" s="272" t="s">
        <v>1343</v>
      </c>
      <c r="B65" s="367" t="s">
        <v>2974</v>
      </c>
      <c r="C65" s="9" t="s">
        <v>2002</v>
      </c>
      <c r="D65" s="9">
        <v>25.0</v>
      </c>
      <c r="E65" s="9" t="s">
        <v>170</v>
      </c>
      <c r="F65" s="341">
        <v>79.0</v>
      </c>
      <c r="G65" s="341">
        <v>4.2</v>
      </c>
      <c r="H65" s="341">
        <v>29.9</v>
      </c>
      <c r="I65" s="341" t="s">
        <v>170</v>
      </c>
      <c r="J65" s="9" t="s">
        <v>170</v>
      </c>
      <c r="K65" s="9" t="s">
        <v>2773</v>
      </c>
      <c r="L65" s="9">
        <v>12.0</v>
      </c>
      <c r="M65" s="342" t="s">
        <v>2804</v>
      </c>
      <c r="N65" s="9">
        <v>9.0</v>
      </c>
      <c r="O65" s="9" t="s">
        <v>166</v>
      </c>
      <c r="P65" s="9" t="s">
        <v>166</v>
      </c>
      <c r="Q65" s="9" t="s">
        <v>166</v>
      </c>
      <c r="R65" s="9" t="s">
        <v>166</v>
      </c>
      <c r="S65" s="9"/>
      <c r="T65" s="9"/>
      <c r="U65" s="343"/>
      <c r="W65" s="343"/>
      <c r="X65" s="343"/>
      <c r="Y65" s="343"/>
      <c r="Z65" s="343"/>
      <c r="AA65" s="343"/>
      <c r="AB65" s="343"/>
      <c r="AC65" s="343"/>
      <c r="AD65" s="343"/>
    </row>
    <row r="66">
      <c r="A66" s="272" t="s">
        <v>2303</v>
      </c>
      <c r="B66" s="340" t="s">
        <v>2975</v>
      </c>
      <c r="C66" s="9" t="s">
        <v>2002</v>
      </c>
      <c r="D66" s="9">
        <v>25.0</v>
      </c>
      <c r="E66" s="9">
        <v>3000.0</v>
      </c>
      <c r="F66" s="341">
        <v>107.0</v>
      </c>
      <c r="G66" s="341">
        <v>5.81</v>
      </c>
      <c r="H66" s="341">
        <v>42.0</v>
      </c>
      <c r="I66" s="341">
        <v>0.47</v>
      </c>
      <c r="J66" s="9" t="s">
        <v>170</v>
      </c>
      <c r="K66" s="9" t="s">
        <v>2773</v>
      </c>
      <c r="L66" s="9">
        <v>12.0</v>
      </c>
      <c r="M66" s="342" t="s">
        <v>2849</v>
      </c>
      <c r="N66" s="9">
        <v>7.0</v>
      </c>
      <c r="O66" s="9" t="s">
        <v>166</v>
      </c>
      <c r="P66" s="9" t="s">
        <v>166</v>
      </c>
      <c r="Q66" s="9" t="s">
        <v>166</v>
      </c>
      <c r="R66" s="9" t="s">
        <v>166</v>
      </c>
      <c r="S66" s="9"/>
      <c r="T66" s="9"/>
      <c r="U66" s="343"/>
      <c r="W66" s="343"/>
      <c r="X66" s="343"/>
      <c r="Y66" s="343"/>
      <c r="Z66" s="343"/>
      <c r="AA66" s="343"/>
      <c r="AB66" s="343"/>
      <c r="AC66" s="343"/>
      <c r="AD66" s="343"/>
    </row>
    <row r="67">
      <c r="A67" s="272" t="s">
        <v>2303</v>
      </c>
      <c r="B67" s="340" t="s">
        <v>2976</v>
      </c>
      <c r="C67" s="9" t="s">
        <v>2002</v>
      </c>
      <c r="D67" s="9">
        <v>27.0</v>
      </c>
      <c r="E67" s="9">
        <v>2300.0</v>
      </c>
      <c r="F67" s="341">
        <v>77.0</v>
      </c>
      <c r="G67" s="341">
        <v>2.7</v>
      </c>
      <c r="H67" s="341">
        <v>36.0</v>
      </c>
      <c r="I67" s="341">
        <v>0.25</v>
      </c>
      <c r="J67" s="9" t="s">
        <v>170</v>
      </c>
      <c r="K67" s="9" t="s">
        <v>2773</v>
      </c>
      <c r="L67" s="9">
        <v>12.0</v>
      </c>
      <c r="M67" s="342" t="s">
        <v>2804</v>
      </c>
      <c r="N67" s="9">
        <v>7.0</v>
      </c>
      <c r="O67" s="9" t="s">
        <v>166</v>
      </c>
      <c r="P67" s="9" t="s">
        <v>166</v>
      </c>
      <c r="Q67" s="9" t="s">
        <v>166</v>
      </c>
      <c r="R67" s="9" t="s">
        <v>166</v>
      </c>
      <c r="S67" s="9"/>
      <c r="T67" s="9"/>
      <c r="U67" s="343"/>
      <c r="V67" s="343"/>
      <c r="W67" s="343"/>
      <c r="X67" s="343"/>
      <c r="Y67" s="343"/>
      <c r="Z67" s="343"/>
      <c r="AA67" s="343"/>
      <c r="AB67" s="343"/>
      <c r="AC67" s="343"/>
      <c r="AD67" s="343"/>
    </row>
    <row r="68">
      <c r="A68" s="272" t="s">
        <v>2303</v>
      </c>
      <c r="B68" s="340" t="s">
        <v>2977</v>
      </c>
      <c r="C68" s="9" t="s">
        <v>2002</v>
      </c>
      <c r="D68" s="9">
        <v>27.0</v>
      </c>
      <c r="E68" s="9">
        <v>2300.0</v>
      </c>
      <c r="F68" s="341">
        <v>77.0</v>
      </c>
      <c r="G68" s="341">
        <v>2.7</v>
      </c>
      <c r="H68" s="341">
        <v>36.0</v>
      </c>
      <c r="I68" s="341">
        <v>0.25</v>
      </c>
      <c r="J68" s="9" t="s">
        <v>170</v>
      </c>
      <c r="K68" s="9" t="s">
        <v>2773</v>
      </c>
      <c r="L68" s="9">
        <v>12.0</v>
      </c>
      <c r="M68" s="342" t="s">
        <v>2804</v>
      </c>
      <c r="N68" s="9">
        <v>7.0</v>
      </c>
      <c r="O68" s="9" t="s">
        <v>166</v>
      </c>
      <c r="P68" s="9" t="s">
        <v>174</v>
      </c>
      <c r="Q68" s="9" t="s">
        <v>166</v>
      </c>
      <c r="R68" s="9" t="s">
        <v>166</v>
      </c>
      <c r="S68" s="9"/>
      <c r="T68" s="9"/>
      <c r="U68" s="343"/>
      <c r="V68" s="343"/>
      <c r="W68" s="343"/>
      <c r="X68" s="343"/>
      <c r="Y68" s="343"/>
      <c r="Z68" s="343"/>
      <c r="AA68" s="343"/>
      <c r="AB68" s="343"/>
      <c r="AC68" s="343"/>
      <c r="AD68" s="343"/>
    </row>
    <row r="69">
      <c r="A69" s="272" t="s">
        <v>2303</v>
      </c>
      <c r="B69" s="340" t="s">
        <v>2978</v>
      </c>
      <c r="C69" s="9" t="s">
        <v>2002</v>
      </c>
      <c r="D69" s="9">
        <v>27.0</v>
      </c>
      <c r="E69" s="368">
        <v>2300.0</v>
      </c>
      <c r="F69" s="369">
        <v>77.0</v>
      </c>
      <c r="G69" s="370">
        <v>2.7</v>
      </c>
      <c r="H69" s="371">
        <v>36.0</v>
      </c>
      <c r="I69" s="372">
        <v>0.25</v>
      </c>
      <c r="J69" s="349" t="s">
        <v>170</v>
      </c>
      <c r="K69" s="9" t="s">
        <v>2773</v>
      </c>
      <c r="L69" s="9">
        <v>12.0</v>
      </c>
      <c r="M69" s="342" t="s">
        <v>2804</v>
      </c>
      <c r="N69" s="9">
        <v>7.0</v>
      </c>
      <c r="O69" s="9" t="s">
        <v>166</v>
      </c>
      <c r="P69" s="9" t="s">
        <v>174</v>
      </c>
      <c r="Q69" s="9" t="s">
        <v>2965</v>
      </c>
      <c r="R69" s="9" t="s">
        <v>2965</v>
      </c>
      <c r="S69" s="358" t="s">
        <v>214</v>
      </c>
      <c r="T69" s="358" t="s">
        <v>214</v>
      </c>
      <c r="U69" s="343"/>
      <c r="V69" s="343"/>
      <c r="W69" s="343"/>
      <c r="X69" s="343"/>
      <c r="Y69" s="343"/>
      <c r="Z69" s="343"/>
      <c r="AA69" s="343"/>
      <c r="AB69" s="343"/>
      <c r="AC69" s="343"/>
      <c r="AD69" s="343"/>
    </row>
    <row r="70">
      <c r="A70" s="272" t="s">
        <v>2303</v>
      </c>
      <c r="B70" s="340" t="s">
        <v>2979</v>
      </c>
      <c r="C70" s="9" t="s">
        <v>2002</v>
      </c>
      <c r="D70" s="9">
        <v>25.0</v>
      </c>
      <c r="E70" s="9">
        <v>2200.0</v>
      </c>
      <c r="F70" s="341">
        <v>77.0</v>
      </c>
      <c r="G70" s="341">
        <v>3.16</v>
      </c>
      <c r="H70" s="341">
        <v>33.5</v>
      </c>
      <c r="I70" s="341">
        <v>0.18</v>
      </c>
      <c r="J70" s="9" t="s">
        <v>170</v>
      </c>
      <c r="K70" s="9" t="s">
        <v>2773</v>
      </c>
      <c r="L70" s="9">
        <v>12.0</v>
      </c>
      <c r="M70" s="342" t="s">
        <v>2849</v>
      </c>
      <c r="N70" s="9">
        <v>7.0</v>
      </c>
      <c r="O70" s="9" t="s">
        <v>166</v>
      </c>
      <c r="P70" s="9" t="s">
        <v>166</v>
      </c>
      <c r="Q70" s="9" t="s">
        <v>166</v>
      </c>
      <c r="R70" s="9" t="s">
        <v>166</v>
      </c>
      <c r="S70" s="9"/>
      <c r="T70" s="9"/>
      <c r="U70" s="343"/>
      <c r="V70" s="343"/>
      <c r="W70" s="343"/>
      <c r="X70" s="343"/>
      <c r="Y70" s="343"/>
      <c r="Z70" s="343"/>
      <c r="AA70" s="343"/>
      <c r="AB70" s="343"/>
      <c r="AC70" s="343"/>
      <c r="AD70" s="343"/>
    </row>
    <row r="71">
      <c r="A71" s="272" t="s">
        <v>2303</v>
      </c>
      <c r="B71" s="340" t="s">
        <v>2980</v>
      </c>
      <c r="C71" s="9" t="s">
        <v>2002</v>
      </c>
      <c r="D71" s="9">
        <v>25.0</v>
      </c>
      <c r="E71" s="9">
        <v>2200.0</v>
      </c>
      <c r="F71" s="341">
        <v>77.0</v>
      </c>
      <c r="G71" s="341">
        <v>3.16</v>
      </c>
      <c r="H71" s="341">
        <v>33.5</v>
      </c>
      <c r="I71" s="341">
        <v>0.18</v>
      </c>
      <c r="J71" s="9" t="s">
        <v>170</v>
      </c>
      <c r="K71" s="9" t="s">
        <v>2773</v>
      </c>
      <c r="L71" s="9">
        <v>12.0</v>
      </c>
      <c r="M71" s="342" t="s">
        <v>2849</v>
      </c>
      <c r="N71" s="9">
        <v>7.0</v>
      </c>
      <c r="O71" s="9" t="s">
        <v>166</v>
      </c>
      <c r="P71" s="9" t="s">
        <v>174</v>
      </c>
      <c r="Q71" s="9" t="s">
        <v>2981</v>
      </c>
      <c r="R71" s="9" t="s">
        <v>2981</v>
      </c>
      <c r="S71" s="358" t="s">
        <v>214</v>
      </c>
      <c r="T71" s="9"/>
      <c r="U71" s="343"/>
      <c r="V71" s="343"/>
      <c r="W71" s="343"/>
      <c r="X71" s="343"/>
      <c r="Y71" s="343"/>
      <c r="Z71" s="343"/>
      <c r="AA71" s="343"/>
      <c r="AB71" s="343"/>
      <c r="AC71" s="343"/>
      <c r="AD71" s="343"/>
    </row>
    <row r="72">
      <c r="A72" s="272" t="s">
        <v>2303</v>
      </c>
      <c r="B72" s="340" t="s">
        <v>2982</v>
      </c>
      <c r="C72" s="9" t="s">
        <v>2002</v>
      </c>
      <c r="D72" s="9">
        <v>25.0</v>
      </c>
      <c r="E72" s="9">
        <v>2200.0</v>
      </c>
      <c r="F72" s="341">
        <v>77.0</v>
      </c>
      <c r="G72" s="341">
        <v>3.16</v>
      </c>
      <c r="H72" s="341">
        <v>33.5</v>
      </c>
      <c r="I72" s="341">
        <v>0.18</v>
      </c>
      <c r="J72" s="9" t="s">
        <v>170</v>
      </c>
      <c r="K72" s="9" t="s">
        <v>2773</v>
      </c>
      <c r="L72" s="9">
        <v>12.0</v>
      </c>
      <c r="M72" s="342" t="s">
        <v>2849</v>
      </c>
      <c r="N72" s="9">
        <v>7.0</v>
      </c>
      <c r="O72" s="9" t="s">
        <v>174</v>
      </c>
      <c r="P72" s="9" t="s">
        <v>166</v>
      </c>
      <c r="Q72" s="9" t="s">
        <v>166</v>
      </c>
      <c r="R72" s="9" t="s">
        <v>166</v>
      </c>
      <c r="S72" s="9"/>
      <c r="T72" s="9"/>
      <c r="U72" s="343"/>
      <c r="V72" s="343"/>
      <c r="W72" s="343"/>
      <c r="X72" s="343"/>
      <c r="Y72" s="343"/>
      <c r="Z72" s="343"/>
      <c r="AA72" s="343"/>
      <c r="AB72" s="343"/>
      <c r="AC72" s="343"/>
      <c r="AD72" s="343"/>
    </row>
    <row r="73">
      <c r="A73" s="272" t="s">
        <v>2303</v>
      </c>
      <c r="B73" s="340" t="s">
        <v>2983</v>
      </c>
      <c r="C73" s="9" t="s">
        <v>2002</v>
      </c>
      <c r="D73" s="9">
        <v>25.0</v>
      </c>
      <c r="E73" s="9">
        <v>2200.0</v>
      </c>
      <c r="F73" s="341">
        <v>66.04</v>
      </c>
      <c r="G73" s="341">
        <v>2.89</v>
      </c>
      <c r="H73" s="341">
        <v>36.4</v>
      </c>
      <c r="I73" s="341">
        <v>0.14</v>
      </c>
      <c r="J73" s="9" t="s">
        <v>170</v>
      </c>
      <c r="K73" s="9" t="s">
        <v>2773</v>
      </c>
      <c r="L73" s="9">
        <v>12.0</v>
      </c>
      <c r="M73" s="342" t="s">
        <v>2793</v>
      </c>
      <c r="N73" s="9">
        <v>7.0</v>
      </c>
      <c r="O73" s="9" t="s">
        <v>166</v>
      </c>
      <c r="P73" s="9" t="s">
        <v>174</v>
      </c>
      <c r="Q73" s="9" t="s">
        <v>166</v>
      </c>
      <c r="R73" s="9" t="s">
        <v>166</v>
      </c>
      <c r="S73" s="9"/>
      <c r="T73" s="9"/>
      <c r="U73" s="343"/>
      <c r="V73" s="343"/>
      <c r="W73" s="343"/>
      <c r="X73" s="343"/>
      <c r="Y73" s="343"/>
      <c r="Z73" s="343"/>
      <c r="AA73" s="343"/>
      <c r="AB73" s="343"/>
      <c r="AC73" s="343"/>
      <c r="AD73" s="343"/>
    </row>
    <row r="74">
      <c r="A74" s="272" t="s">
        <v>1323</v>
      </c>
      <c r="B74" s="340" t="s">
        <v>2984</v>
      </c>
      <c r="C74" s="9" t="s">
        <v>2002</v>
      </c>
      <c r="D74" s="9">
        <v>25.0</v>
      </c>
      <c r="E74" s="9">
        <v>1500.0</v>
      </c>
      <c r="F74" s="341">
        <v>72.0</v>
      </c>
      <c r="G74" s="341">
        <v>1.6</v>
      </c>
      <c r="H74" s="341">
        <v>28.0</v>
      </c>
      <c r="I74" s="341">
        <v>0.15</v>
      </c>
      <c r="J74" s="9" t="s">
        <v>170</v>
      </c>
      <c r="K74" s="9" t="s">
        <v>2773</v>
      </c>
      <c r="L74" s="9">
        <v>12.0</v>
      </c>
      <c r="M74" s="342" t="s">
        <v>2804</v>
      </c>
      <c r="N74" s="9">
        <v>9.0</v>
      </c>
      <c r="O74" s="9" t="s">
        <v>166</v>
      </c>
      <c r="P74" s="9" t="s">
        <v>166</v>
      </c>
      <c r="Q74" s="9" t="s">
        <v>166</v>
      </c>
      <c r="R74" s="9" t="s">
        <v>166</v>
      </c>
      <c r="S74" s="9"/>
      <c r="T74" s="9"/>
      <c r="U74" s="343"/>
      <c r="V74" s="343"/>
      <c r="W74" s="343"/>
      <c r="X74" s="343"/>
      <c r="Y74" s="343"/>
      <c r="Z74" s="343"/>
      <c r="AA74" s="343"/>
      <c r="AB74" s="343"/>
      <c r="AC74" s="343"/>
      <c r="AD74" s="343"/>
    </row>
    <row r="75">
      <c r="A75" s="272" t="s">
        <v>1323</v>
      </c>
      <c r="B75" s="340" t="s">
        <v>2985</v>
      </c>
      <c r="C75" s="9" t="s">
        <v>2002</v>
      </c>
      <c r="D75" s="9">
        <v>32.0</v>
      </c>
      <c r="E75" s="9">
        <v>3000.0</v>
      </c>
      <c r="F75" s="341">
        <v>105.8</v>
      </c>
      <c r="G75" s="341">
        <v>8.14</v>
      </c>
      <c r="H75" s="341">
        <v>47.3</v>
      </c>
      <c r="I75" s="341">
        <v>0.8</v>
      </c>
      <c r="J75" s="9" t="s">
        <v>170</v>
      </c>
      <c r="K75" s="9" t="s">
        <v>2773</v>
      </c>
      <c r="L75" s="9">
        <v>12.0</v>
      </c>
      <c r="M75" s="342" t="s">
        <v>2804</v>
      </c>
      <c r="N75" s="9">
        <v>7.0</v>
      </c>
      <c r="O75" s="9" t="s">
        <v>166</v>
      </c>
      <c r="P75" s="9" t="s">
        <v>166</v>
      </c>
      <c r="Q75" s="9" t="s">
        <v>166</v>
      </c>
      <c r="R75" s="9" t="s">
        <v>166</v>
      </c>
      <c r="S75" s="358" t="s">
        <v>214</v>
      </c>
      <c r="T75" s="358" t="s">
        <v>214</v>
      </c>
      <c r="U75" s="343"/>
      <c r="V75" s="343"/>
      <c r="W75" s="343"/>
      <c r="X75" s="343"/>
      <c r="Y75" s="343"/>
      <c r="Z75" s="343"/>
      <c r="AA75" s="343"/>
      <c r="AB75" s="343"/>
      <c r="AC75" s="343"/>
      <c r="AD75" s="343"/>
    </row>
    <row r="76">
      <c r="A76" s="314" t="s">
        <v>1611</v>
      </c>
      <c r="B76" s="340" t="s">
        <v>2986</v>
      </c>
      <c r="C76" s="9" t="s">
        <v>2002</v>
      </c>
      <c r="D76" s="9">
        <v>25.0</v>
      </c>
      <c r="E76" s="9">
        <v>2000.0</v>
      </c>
      <c r="F76" s="341">
        <v>78.25</v>
      </c>
      <c r="G76" s="341">
        <v>2.68</v>
      </c>
      <c r="H76" s="341">
        <v>29.85</v>
      </c>
      <c r="I76" s="341">
        <v>0.2</v>
      </c>
      <c r="J76" s="9">
        <v>170.0</v>
      </c>
      <c r="K76" s="9" t="s">
        <v>2773</v>
      </c>
      <c r="L76" s="9">
        <v>12.0</v>
      </c>
      <c r="M76" s="342" t="s">
        <v>2804</v>
      </c>
      <c r="N76" s="9">
        <v>7.0</v>
      </c>
      <c r="O76" s="9" t="s">
        <v>166</v>
      </c>
      <c r="P76" s="9" t="s">
        <v>166</v>
      </c>
      <c r="Q76" s="9" t="s">
        <v>166</v>
      </c>
      <c r="R76" s="9" t="s">
        <v>166</v>
      </c>
      <c r="S76" s="9"/>
      <c r="T76" s="9"/>
      <c r="U76" s="343"/>
      <c r="V76" s="343"/>
      <c r="W76" s="343"/>
      <c r="X76" s="343"/>
      <c r="Y76" s="343"/>
      <c r="Z76" s="343"/>
      <c r="AA76" s="343"/>
      <c r="AB76" s="343"/>
      <c r="AC76" s="343"/>
      <c r="AD76" s="343"/>
    </row>
    <row r="77">
      <c r="A77" s="314" t="s">
        <v>1611</v>
      </c>
      <c r="B77" s="340" t="s">
        <v>2987</v>
      </c>
      <c r="C77" s="9" t="s">
        <v>2002</v>
      </c>
      <c r="D77" s="9">
        <v>25.0</v>
      </c>
      <c r="E77" s="9">
        <v>2000.0</v>
      </c>
      <c r="F77" s="341">
        <v>78.25</v>
      </c>
      <c r="G77" s="341">
        <v>2.68</v>
      </c>
      <c r="H77" s="341">
        <v>29.85</v>
      </c>
      <c r="I77" s="341">
        <v>0.2</v>
      </c>
      <c r="J77" s="9">
        <v>170.0</v>
      </c>
      <c r="K77" s="9" t="s">
        <v>2773</v>
      </c>
      <c r="L77" s="9">
        <v>12.0</v>
      </c>
      <c r="M77" s="342" t="s">
        <v>2804</v>
      </c>
      <c r="N77" s="9">
        <v>7.0</v>
      </c>
      <c r="O77" s="9" t="s">
        <v>166</v>
      </c>
      <c r="P77" s="9" t="s">
        <v>166</v>
      </c>
      <c r="Q77" s="9" t="s">
        <v>166</v>
      </c>
      <c r="R77" s="9" t="s">
        <v>166</v>
      </c>
      <c r="S77" s="9"/>
      <c r="T77" s="9"/>
      <c r="U77" s="343"/>
      <c r="V77" s="343"/>
      <c r="W77" s="343"/>
      <c r="X77" s="343"/>
      <c r="Y77" s="343"/>
      <c r="Z77" s="343"/>
      <c r="AA77" s="343"/>
      <c r="AB77" s="343"/>
      <c r="AC77" s="343"/>
      <c r="AD77" s="343"/>
    </row>
    <row r="78">
      <c r="A78" s="314" t="s">
        <v>1611</v>
      </c>
      <c r="B78" s="340" t="s">
        <v>2988</v>
      </c>
      <c r="C78" s="9" t="s">
        <v>2002</v>
      </c>
      <c r="D78" s="9">
        <v>27.0</v>
      </c>
      <c r="E78" s="9">
        <v>2000.0</v>
      </c>
      <c r="F78" s="341">
        <v>78.0</v>
      </c>
      <c r="G78" s="341">
        <v>2.68</v>
      </c>
      <c r="H78" s="341">
        <v>29.9</v>
      </c>
      <c r="I78" s="341">
        <v>0.25</v>
      </c>
      <c r="J78" s="9">
        <v>180.0</v>
      </c>
      <c r="K78" s="9" t="s">
        <v>2773</v>
      </c>
      <c r="L78" s="9">
        <v>12.0</v>
      </c>
      <c r="M78" s="342" t="s">
        <v>2804</v>
      </c>
      <c r="N78" s="9">
        <v>7.0</v>
      </c>
      <c r="O78" s="9" t="s">
        <v>166</v>
      </c>
      <c r="P78" s="9" t="s">
        <v>174</v>
      </c>
      <c r="Q78" s="9" t="s">
        <v>166</v>
      </c>
      <c r="R78" s="9" t="s">
        <v>166</v>
      </c>
      <c r="S78" s="9"/>
      <c r="T78" s="9"/>
      <c r="U78" s="343"/>
      <c r="V78" s="343"/>
      <c r="W78" s="343"/>
      <c r="X78" s="343"/>
      <c r="Y78" s="343"/>
      <c r="Z78" s="343"/>
      <c r="AA78" s="343"/>
      <c r="AB78" s="343"/>
      <c r="AC78" s="343"/>
      <c r="AD78" s="343"/>
    </row>
    <row r="79">
      <c r="A79" s="314" t="s">
        <v>1611</v>
      </c>
      <c r="B79" s="340" t="s">
        <v>2989</v>
      </c>
      <c r="C79" s="9" t="s">
        <v>2002</v>
      </c>
      <c r="D79" s="9">
        <v>27.0</v>
      </c>
      <c r="E79" s="9">
        <v>2000.0</v>
      </c>
      <c r="F79" s="341">
        <v>78.0</v>
      </c>
      <c r="G79" s="341">
        <v>2.68</v>
      </c>
      <c r="H79" s="341">
        <v>29.9</v>
      </c>
      <c r="I79" s="341">
        <v>0.25</v>
      </c>
      <c r="J79" s="9">
        <v>180.0</v>
      </c>
      <c r="K79" s="9" t="s">
        <v>2773</v>
      </c>
      <c r="L79" s="9">
        <v>12.0</v>
      </c>
      <c r="M79" s="342" t="s">
        <v>2804</v>
      </c>
      <c r="N79" s="9">
        <v>7.0</v>
      </c>
      <c r="O79" s="9" t="s">
        <v>166</v>
      </c>
      <c r="P79" s="9" t="s">
        <v>174</v>
      </c>
      <c r="Q79" s="9" t="s">
        <v>166</v>
      </c>
      <c r="R79" s="9" t="s">
        <v>166</v>
      </c>
      <c r="S79" s="9"/>
      <c r="T79" s="9"/>
      <c r="U79" s="343"/>
      <c r="V79" s="343"/>
      <c r="W79" s="343"/>
      <c r="X79" s="343"/>
      <c r="Y79" s="343"/>
      <c r="Z79" s="343"/>
      <c r="AA79" s="343"/>
      <c r="AB79" s="343"/>
      <c r="AC79" s="343"/>
      <c r="AD79" s="343"/>
    </row>
    <row r="80">
      <c r="A80" s="314" t="s">
        <v>1611</v>
      </c>
      <c r="B80" s="340" t="s">
        <v>2990</v>
      </c>
      <c r="C80" s="9" t="s">
        <v>2002</v>
      </c>
      <c r="D80" s="9">
        <v>25.0</v>
      </c>
      <c r="E80" s="9">
        <v>1800.0</v>
      </c>
      <c r="F80" s="341">
        <v>72.2</v>
      </c>
      <c r="G80" s="341">
        <v>1.65</v>
      </c>
      <c r="H80" s="341">
        <v>24.9</v>
      </c>
      <c r="I80" s="341">
        <v>0.12</v>
      </c>
      <c r="J80" s="9">
        <v>170.0</v>
      </c>
      <c r="K80" s="9" t="s">
        <v>2773</v>
      </c>
      <c r="L80" s="9">
        <v>12.0</v>
      </c>
      <c r="M80" s="342" t="s">
        <v>2769</v>
      </c>
      <c r="N80" s="9">
        <v>5.0</v>
      </c>
      <c r="O80" s="9" t="s">
        <v>166</v>
      </c>
      <c r="P80" s="9" t="s">
        <v>166</v>
      </c>
      <c r="Q80" s="9" t="s">
        <v>166</v>
      </c>
      <c r="R80" s="9" t="s">
        <v>166</v>
      </c>
      <c r="S80" s="9"/>
      <c r="T80" s="9"/>
      <c r="U80" s="343"/>
      <c r="V80" s="343"/>
      <c r="W80" s="343"/>
      <c r="X80" s="343"/>
      <c r="Y80" s="343"/>
      <c r="Z80" s="343"/>
      <c r="AA80" s="343"/>
      <c r="AB80" s="343"/>
      <c r="AC80" s="343"/>
      <c r="AD80" s="343"/>
    </row>
    <row r="81">
      <c r="A81" s="314" t="s">
        <v>1611</v>
      </c>
      <c r="B81" s="340" t="s">
        <v>2991</v>
      </c>
      <c r="C81" s="9" t="s">
        <v>2002</v>
      </c>
      <c r="D81" s="9">
        <v>25.0</v>
      </c>
      <c r="E81" s="9">
        <v>2000.0</v>
      </c>
      <c r="F81" s="341">
        <v>56.5</v>
      </c>
      <c r="G81" s="341">
        <v>1.99</v>
      </c>
      <c r="H81" s="341">
        <v>31.5</v>
      </c>
      <c r="I81" s="341">
        <v>0.25</v>
      </c>
      <c r="J81" s="9">
        <v>150.0</v>
      </c>
      <c r="K81" s="9" t="s">
        <v>2773</v>
      </c>
      <c r="L81" s="9">
        <v>12.0</v>
      </c>
      <c r="M81" s="342" t="s">
        <v>2849</v>
      </c>
      <c r="N81" s="9">
        <v>9.0</v>
      </c>
      <c r="O81" s="9" t="s">
        <v>166</v>
      </c>
      <c r="P81" s="9" t="s">
        <v>174</v>
      </c>
      <c r="Q81" s="9" t="s">
        <v>166</v>
      </c>
      <c r="R81" s="9" t="s">
        <v>166</v>
      </c>
      <c r="S81" s="9"/>
      <c r="T81" s="9"/>
      <c r="U81" s="343"/>
      <c r="V81" s="343"/>
      <c r="W81" s="343"/>
      <c r="X81" s="343"/>
      <c r="Y81" s="343"/>
      <c r="Z81" s="343"/>
      <c r="AA81" s="343"/>
      <c r="AB81" s="343"/>
      <c r="AC81" s="343"/>
      <c r="AD81" s="343"/>
    </row>
    <row r="82">
      <c r="A82" s="272" t="s">
        <v>2425</v>
      </c>
      <c r="B82" s="340" t="s">
        <v>2992</v>
      </c>
      <c r="C82" s="9" t="s">
        <v>2002</v>
      </c>
      <c r="D82" s="9">
        <v>25.0</v>
      </c>
      <c r="E82" s="9">
        <v>2200.0</v>
      </c>
      <c r="F82" s="341">
        <v>60.1</v>
      </c>
      <c r="G82" s="341">
        <v>2.27</v>
      </c>
      <c r="H82" s="341">
        <v>20.5</v>
      </c>
      <c r="I82" s="341">
        <v>0.17</v>
      </c>
      <c r="J82" s="9">
        <v>180.0</v>
      </c>
      <c r="K82" s="9" t="s">
        <v>2773</v>
      </c>
      <c r="L82" s="9">
        <v>12.0</v>
      </c>
      <c r="M82" s="342" t="s">
        <v>2793</v>
      </c>
      <c r="N82" s="9">
        <v>9.0</v>
      </c>
      <c r="O82" s="9" t="s">
        <v>166</v>
      </c>
      <c r="P82" s="9" t="s">
        <v>174</v>
      </c>
      <c r="Q82" s="9" t="s">
        <v>166</v>
      </c>
      <c r="R82" s="9" t="s">
        <v>166</v>
      </c>
      <c r="S82" s="9"/>
      <c r="T82" s="9"/>
      <c r="U82" s="343"/>
      <c r="V82" s="343"/>
      <c r="W82" s="343"/>
      <c r="X82" s="343"/>
      <c r="Y82" s="343"/>
      <c r="Z82" s="343"/>
      <c r="AA82" s="343"/>
      <c r="AB82" s="343"/>
      <c r="AC82" s="343"/>
      <c r="AD82" s="343"/>
    </row>
    <row r="83">
      <c r="A83" s="272" t="s">
        <v>2425</v>
      </c>
      <c r="B83" s="340" t="s">
        <v>2993</v>
      </c>
      <c r="C83" s="9" t="s">
        <v>2002</v>
      </c>
      <c r="D83" s="9">
        <v>25.0</v>
      </c>
      <c r="E83" s="9">
        <v>2200.0</v>
      </c>
      <c r="F83" s="341">
        <v>60.1</v>
      </c>
      <c r="G83" s="341">
        <v>2.27</v>
      </c>
      <c r="H83" s="341">
        <v>20.5</v>
      </c>
      <c r="I83" s="341">
        <v>0.17</v>
      </c>
      <c r="J83" s="9">
        <v>180.0</v>
      </c>
      <c r="K83" s="9" t="s">
        <v>2773</v>
      </c>
      <c r="L83" s="9">
        <v>12.0</v>
      </c>
      <c r="M83" s="342" t="s">
        <v>2793</v>
      </c>
      <c r="N83" s="9">
        <v>9.0</v>
      </c>
      <c r="O83" s="9" t="s">
        <v>166</v>
      </c>
      <c r="P83" s="9" t="s">
        <v>166</v>
      </c>
      <c r="Q83" s="9" t="s">
        <v>166</v>
      </c>
      <c r="R83" s="9" t="s">
        <v>166</v>
      </c>
      <c r="S83" s="9"/>
      <c r="T83" s="9"/>
      <c r="U83" s="343"/>
      <c r="V83" s="343"/>
      <c r="W83" s="343"/>
      <c r="X83" s="343"/>
      <c r="Y83" s="343"/>
      <c r="Z83" s="343"/>
      <c r="AA83" s="343"/>
      <c r="AB83" s="343"/>
      <c r="AC83" s="343"/>
      <c r="AD83" s="343"/>
    </row>
    <row r="84">
      <c r="A84" s="272" t="s">
        <v>2425</v>
      </c>
      <c r="B84" s="340" t="s">
        <v>2994</v>
      </c>
      <c r="C84" s="9" t="s">
        <v>2002</v>
      </c>
      <c r="D84" s="9">
        <v>25.0</v>
      </c>
      <c r="E84" s="9">
        <v>2200.0</v>
      </c>
      <c r="F84" s="341">
        <v>60.56</v>
      </c>
      <c r="G84" s="341">
        <v>2.83</v>
      </c>
      <c r="H84" s="341">
        <v>20.3</v>
      </c>
      <c r="I84" s="341">
        <v>0.13</v>
      </c>
      <c r="J84" s="9">
        <v>251.0</v>
      </c>
      <c r="K84" s="9" t="s">
        <v>2773</v>
      </c>
      <c r="L84" s="9">
        <v>12.0</v>
      </c>
      <c r="M84" s="342" t="s">
        <v>2804</v>
      </c>
      <c r="N84" s="9">
        <v>9.0</v>
      </c>
      <c r="O84" s="9" t="s">
        <v>166</v>
      </c>
      <c r="P84" s="9" t="s">
        <v>166</v>
      </c>
      <c r="Q84" s="9" t="s">
        <v>166</v>
      </c>
      <c r="R84" s="9" t="s">
        <v>166</v>
      </c>
      <c r="S84" s="9"/>
      <c r="T84" s="9"/>
      <c r="U84" s="343"/>
      <c r="V84" s="343"/>
      <c r="W84" s="343"/>
      <c r="X84" s="343"/>
      <c r="Y84" s="343"/>
      <c r="Z84" s="343"/>
      <c r="AA84" s="343"/>
      <c r="AB84" s="343"/>
      <c r="AC84" s="343"/>
      <c r="AD84" s="343"/>
    </row>
    <row r="85">
      <c r="A85" s="272" t="s">
        <v>1630</v>
      </c>
      <c r="B85" s="340" t="s">
        <v>2995</v>
      </c>
      <c r="C85" s="9" t="s">
        <v>2002</v>
      </c>
      <c r="D85" s="9">
        <v>25.0</v>
      </c>
      <c r="E85" s="9">
        <v>2000.0</v>
      </c>
      <c r="F85" s="341">
        <v>65.5</v>
      </c>
      <c r="G85" s="341">
        <v>2.63</v>
      </c>
      <c r="H85" s="341">
        <v>29.2</v>
      </c>
      <c r="I85" s="341">
        <v>0.14</v>
      </c>
      <c r="J85" s="9" t="s">
        <v>170</v>
      </c>
      <c r="K85" s="9" t="s">
        <v>2773</v>
      </c>
      <c r="L85" s="9">
        <v>12.0</v>
      </c>
      <c r="M85" s="342" t="s">
        <v>2872</v>
      </c>
      <c r="N85" s="9">
        <v>9.0</v>
      </c>
      <c r="O85" s="9" t="s">
        <v>166</v>
      </c>
      <c r="P85" s="9" t="s">
        <v>166</v>
      </c>
      <c r="Q85" s="9" t="s">
        <v>166</v>
      </c>
      <c r="R85" s="9" t="s">
        <v>166</v>
      </c>
      <c r="S85" s="9"/>
      <c r="T85" s="9"/>
      <c r="U85" s="343"/>
      <c r="V85" s="343"/>
      <c r="W85" s="343"/>
      <c r="X85" s="343"/>
      <c r="Y85" s="343"/>
      <c r="Z85" s="343"/>
      <c r="AA85" s="343"/>
      <c r="AB85" s="343"/>
      <c r="AC85" s="343"/>
      <c r="AD85" s="343"/>
    </row>
    <row r="86">
      <c r="A86" s="272" t="s">
        <v>1630</v>
      </c>
      <c r="B86" s="340" t="s">
        <v>2996</v>
      </c>
      <c r="C86" s="9" t="s">
        <v>2002</v>
      </c>
      <c r="D86" s="9">
        <v>25.0</v>
      </c>
      <c r="E86" s="9">
        <v>1500.0</v>
      </c>
      <c r="F86" s="341">
        <v>59.48</v>
      </c>
      <c r="G86" s="341">
        <v>1.81</v>
      </c>
      <c r="H86" s="341">
        <v>32.0</v>
      </c>
      <c r="I86" s="341">
        <v>0.16</v>
      </c>
      <c r="J86" s="9" t="s">
        <v>170</v>
      </c>
      <c r="K86" s="9" t="s">
        <v>2773</v>
      </c>
      <c r="L86" s="9">
        <v>12.0</v>
      </c>
      <c r="M86" s="342" t="s">
        <v>2769</v>
      </c>
      <c r="N86" s="9">
        <v>9.0</v>
      </c>
      <c r="O86" s="9" t="s">
        <v>166</v>
      </c>
      <c r="P86" s="9" t="s">
        <v>174</v>
      </c>
      <c r="Q86" s="9" t="s">
        <v>166</v>
      </c>
      <c r="R86" s="9" t="s">
        <v>166</v>
      </c>
      <c r="S86" s="9"/>
      <c r="T86" s="9"/>
      <c r="U86" s="343"/>
      <c r="V86" s="343"/>
      <c r="W86" s="343"/>
      <c r="X86" s="343"/>
      <c r="Y86" s="343"/>
      <c r="Z86" s="343"/>
      <c r="AA86" s="343"/>
      <c r="AB86" s="343"/>
      <c r="AC86" s="343"/>
      <c r="AD86" s="343"/>
    </row>
    <row r="87">
      <c r="A87" s="272" t="s">
        <v>1630</v>
      </c>
      <c r="B87" s="340" t="s">
        <v>2997</v>
      </c>
      <c r="C87" s="9" t="s">
        <v>2002</v>
      </c>
      <c r="D87" s="9">
        <v>25.0</v>
      </c>
      <c r="E87" s="9">
        <v>1500.0</v>
      </c>
      <c r="F87" s="341">
        <v>59.48</v>
      </c>
      <c r="G87" s="341">
        <v>1.81</v>
      </c>
      <c r="H87" s="341">
        <v>32.0</v>
      </c>
      <c r="I87" s="341">
        <v>0.16</v>
      </c>
      <c r="J87" s="9" t="s">
        <v>170</v>
      </c>
      <c r="K87" s="9" t="s">
        <v>2773</v>
      </c>
      <c r="L87" s="9">
        <v>12.0</v>
      </c>
      <c r="M87" s="342" t="s">
        <v>2769</v>
      </c>
      <c r="N87" s="9">
        <v>9.0</v>
      </c>
      <c r="O87" s="9" t="s">
        <v>166</v>
      </c>
      <c r="P87" s="9" t="s">
        <v>174</v>
      </c>
      <c r="Q87" s="9" t="s">
        <v>166</v>
      </c>
      <c r="R87" s="9" t="s">
        <v>166</v>
      </c>
      <c r="S87" s="9"/>
      <c r="T87" s="9"/>
      <c r="U87" s="343"/>
      <c r="V87" s="343"/>
      <c r="W87" s="343"/>
      <c r="X87" s="343"/>
      <c r="Y87" s="343"/>
      <c r="Z87" s="343"/>
      <c r="AA87" s="343"/>
      <c r="AB87" s="343"/>
      <c r="AC87" s="343"/>
      <c r="AD87" s="343"/>
    </row>
    <row r="88">
      <c r="A88" s="272" t="s">
        <v>1630</v>
      </c>
      <c r="B88" s="340" t="s">
        <v>2998</v>
      </c>
      <c r="C88" s="9" t="s">
        <v>2002</v>
      </c>
      <c r="D88" s="9">
        <v>25.0</v>
      </c>
      <c r="E88" s="9">
        <v>1500.0</v>
      </c>
      <c r="F88" s="341">
        <v>59.48</v>
      </c>
      <c r="G88" s="341">
        <v>1.81</v>
      </c>
      <c r="H88" s="341">
        <v>32.0</v>
      </c>
      <c r="I88" s="341">
        <v>0.16</v>
      </c>
      <c r="J88" s="9" t="s">
        <v>170</v>
      </c>
      <c r="K88" s="9" t="s">
        <v>2767</v>
      </c>
      <c r="L88" s="9">
        <v>12.0</v>
      </c>
      <c r="M88" s="342" t="s">
        <v>2769</v>
      </c>
      <c r="N88" s="9">
        <v>9.0</v>
      </c>
      <c r="O88" s="9" t="s">
        <v>166</v>
      </c>
      <c r="P88" s="9" t="s">
        <v>166</v>
      </c>
      <c r="Q88" s="9" t="s">
        <v>166</v>
      </c>
      <c r="R88" s="9" t="s">
        <v>166</v>
      </c>
      <c r="S88" s="9"/>
      <c r="T88" s="9"/>
      <c r="U88" s="343"/>
      <c r="V88" s="343"/>
      <c r="W88" s="343"/>
      <c r="X88" s="343"/>
      <c r="Y88" s="343"/>
      <c r="Z88" s="343"/>
      <c r="AA88" s="343"/>
      <c r="AB88" s="343"/>
      <c r="AC88" s="343"/>
      <c r="AD88" s="343"/>
    </row>
    <row r="89">
      <c r="A89" s="272" t="s">
        <v>1630</v>
      </c>
      <c r="B89" s="340" t="s">
        <v>2999</v>
      </c>
      <c r="C89" s="9" t="s">
        <v>2002</v>
      </c>
      <c r="D89" s="9">
        <v>25.0</v>
      </c>
      <c r="E89" s="9">
        <v>1500.0</v>
      </c>
      <c r="F89" s="341">
        <v>59.48</v>
      </c>
      <c r="G89" s="341">
        <v>1.81</v>
      </c>
      <c r="H89" s="341">
        <v>32.0</v>
      </c>
      <c r="I89" s="341">
        <v>0.16</v>
      </c>
      <c r="J89" s="9" t="s">
        <v>170</v>
      </c>
      <c r="K89" s="9" t="s">
        <v>2767</v>
      </c>
      <c r="L89" s="9">
        <v>12.0</v>
      </c>
      <c r="M89" s="342" t="s">
        <v>2769</v>
      </c>
      <c r="N89" s="9">
        <v>9.0</v>
      </c>
      <c r="O89" s="9" t="s">
        <v>166</v>
      </c>
      <c r="P89" s="9" t="s">
        <v>166</v>
      </c>
      <c r="Q89" s="9" t="s">
        <v>166</v>
      </c>
      <c r="R89" s="9" t="s">
        <v>166</v>
      </c>
      <c r="S89" s="9"/>
      <c r="T89" s="9"/>
      <c r="U89" s="343"/>
      <c r="V89" s="343"/>
      <c r="W89" s="343"/>
      <c r="X89" s="343"/>
      <c r="Y89" s="343"/>
      <c r="Z89" s="343"/>
      <c r="AA89" s="343"/>
      <c r="AB89" s="343"/>
      <c r="AC89" s="343"/>
      <c r="AD89" s="343"/>
    </row>
    <row r="90">
      <c r="A90" s="272" t="s">
        <v>1630</v>
      </c>
      <c r="B90" s="340" t="s">
        <v>3000</v>
      </c>
      <c r="C90" s="9" t="s">
        <v>2002</v>
      </c>
      <c r="D90" s="9">
        <v>25.0</v>
      </c>
      <c r="E90" s="9">
        <v>1500.0</v>
      </c>
      <c r="F90" s="341">
        <v>59.48</v>
      </c>
      <c r="G90" s="341">
        <v>1.81</v>
      </c>
      <c r="H90" s="341">
        <v>32.0</v>
      </c>
      <c r="I90" s="341">
        <v>0.16</v>
      </c>
      <c r="J90" s="9" t="s">
        <v>170</v>
      </c>
      <c r="K90" s="9" t="s">
        <v>2773</v>
      </c>
      <c r="L90" s="9">
        <v>12.0</v>
      </c>
      <c r="M90" s="342" t="s">
        <v>2769</v>
      </c>
      <c r="N90" s="9">
        <v>9.0</v>
      </c>
      <c r="O90" s="9" t="s">
        <v>166</v>
      </c>
      <c r="P90" s="9" t="s">
        <v>174</v>
      </c>
      <c r="Q90" s="9" t="s">
        <v>166</v>
      </c>
      <c r="R90" s="9" t="s">
        <v>166</v>
      </c>
      <c r="S90" s="9"/>
      <c r="T90" s="9"/>
      <c r="U90" s="343"/>
      <c r="V90" s="343"/>
      <c r="W90" s="343"/>
      <c r="X90" s="343"/>
      <c r="Y90" s="343"/>
      <c r="Z90" s="343"/>
      <c r="AA90" s="343"/>
      <c r="AB90" s="343"/>
      <c r="AC90" s="343"/>
      <c r="AD90" s="343"/>
    </row>
    <row r="91">
      <c r="A91" s="272" t="s">
        <v>1630</v>
      </c>
      <c r="B91" s="340" t="s">
        <v>3001</v>
      </c>
      <c r="C91" s="360" t="s">
        <v>2002</v>
      </c>
      <c r="D91" s="361">
        <v>25.0</v>
      </c>
      <c r="E91" s="373">
        <v>1500.0</v>
      </c>
      <c r="F91" s="374">
        <v>59.48</v>
      </c>
      <c r="G91" s="375">
        <v>1.81</v>
      </c>
      <c r="H91" s="376">
        <v>32.0</v>
      </c>
      <c r="I91" s="377">
        <v>0.16</v>
      </c>
      <c r="J91" s="349" t="s">
        <v>170</v>
      </c>
      <c r="K91" s="349" t="s">
        <v>2773</v>
      </c>
      <c r="L91" s="349">
        <v>12.0</v>
      </c>
      <c r="M91" s="350" t="s">
        <v>2769</v>
      </c>
      <c r="N91" s="349">
        <v>9.0</v>
      </c>
      <c r="O91" s="349" t="s">
        <v>166</v>
      </c>
      <c r="P91" s="378" t="s">
        <v>174</v>
      </c>
      <c r="Q91" s="9" t="s">
        <v>166</v>
      </c>
      <c r="R91" s="9" t="s">
        <v>166</v>
      </c>
      <c r="S91" s="379"/>
      <c r="T91" s="9"/>
      <c r="U91" s="343"/>
      <c r="V91" s="343"/>
      <c r="W91" s="343"/>
      <c r="X91" s="343"/>
      <c r="Y91" s="343"/>
      <c r="Z91" s="343"/>
      <c r="AA91" s="343"/>
      <c r="AB91" s="343"/>
      <c r="AC91" s="343"/>
      <c r="AD91" s="343"/>
    </row>
    <row r="92">
      <c r="A92" s="282" t="s">
        <v>942</v>
      </c>
      <c r="B92" s="340" t="s">
        <v>3002</v>
      </c>
      <c r="C92" s="9" t="s">
        <v>2002</v>
      </c>
      <c r="D92" s="9">
        <v>28.0</v>
      </c>
      <c r="E92" s="9">
        <v>1300.0</v>
      </c>
      <c r="F92" s="341">
        <v>44.94</v>
      </c>
      <c r="G92" s="341">
        <v>1.3</v>
      </c>
      <c r="H92" s="341">
        <v>20.4</v>
      </c>
      <c r="I92" s="341" t="s">
        <v>170</v>
      </c>
      <c r="J92" s="9" t="s">
        <v>170</v>
      </c>
      <c r="K92" s="9" t="s">
        <v>2773</v>
      </c>
      <c r="L92" s="9">
        <v>12.0</v>
      </c>
      <c r="M92" s="342" t="s">
        <v>2804</v>
      </c>
      <c r="N92" s="9">
        <v>9.0</v>
      </c>
      <c r="O92" s="9" t="s">
        <v>166</v>
      </c>
      <c r="P92" s="9" t="s">
        <v>166</v>
      </c>
      <c r="Q92" s="9" t="s">
        <v>166</v>
      </c>
      <c r="R92" s="9" t="s">
        <v>166</v>
      </c>
      <c r="S92" s="9"/>
      <c r="T92" s="9"/>
      <c r="U92" s="343"/>
      <c r="V92" s="343"/>
      <c r="W92" s="343"/>
      <c r="X92" s="343"/>
      <c r="Y92" s="343"/>
      <c r="Z92" s="343"/>
      <c r="AA92" s="343"/>
      <c r="AB92" s="343"/>
      <c r="AC92" s="343"/>
      <c r="AD92" s="343"/>
    </row>
    <row r="93">
      <c r="A93" s="282" t="s">
        <v>942</v>
      </c>
      <c r="B93" s="340" t="s">
        <v>3003</v>
      </c>
      <c r="C93" s="9" t="s">
        <v>2002</v>
      </c>
      <c r="D93" s="9">
        <v>28.0</v>
      </c>
      <c r="E93" s="9">
        <v>2200.0</v>
      </c>
      <c r="F93" s="341">
        <v>77.76</v>
      </c>
      <c r="G93" s="341">
        <v>3.62</v>
      </c>
      <c r="H93" s="341">
        <v>28.1</v>
      </c>
      <c r="I93" s="341" t="s">
        <v>170</v>
      </c>
      <c r="J93" s="9" t="s">
        <v>170</v>
      </c>
      <c r="K93" s="9" t="s">
        <v>2773</v>
      </c>
      <c r="L93" s="9">
        <v>12.0</v>
      </c>
      <c r="M93" s="342" t="s">
        <v>2804</v>
      </c>
      <c r="N93" s="9">
        <v>9.0</v>
      </c>
      <c r="O93" s="9" t="s">
        <v>166</v>
      </c>
      <c r="P93" s="9" t="s">
        <v>166</v>
      </c>
      <c r="Q93" s="9" t="s">
        <v>166</v>
      </c>
      <c r="R93" s="9" t="s">
        <v>166</v>
      </c>
      <c r="S93" s="9"/>
      <c r="T93" s="9"/>
      <c r="U93" s="343"/>
      <c r="V93" s="343"/>
      <c r="W93" s="343"/>
      <c r="X93" s="343"/>
      <c r="Y93" s="343"/>
      <c r="Z93" s="343"/>
      <c r="AA93" s="343"/>
      <c r="AB93" s="343"/>
      <c r="AC93" s="343"/>
      <c r="AD93" s="343"/>
    </row>
    <row r="94">
      <c r="A94" s="282" t="s">
        <v>942</v>
      </c>
      <c r="B94" s="340" t="s">
        <v>3004</v>
      </c>
      <c r="C94" s="9" t="s">
        <v>2002</v>
      </c>
      <c r="D94" s="9">
        <v>28.0</v>
      </c>
      <c r="E94" s="9">
        <v>2600.0</v>
      </c>
      <c r="F94" s="341">
        <v>92.0</v>
      </c>
      <c r="G94" s="341">
        <v>4.79</v>
      </c>
      <c r="H94" s="341">
        <v>32.1</v>
      </c>
      <c r="I94" s="341" t="s">
        <v>170</v>
      </c>
      <c r="J94" s="9" t="s">
        <v>170</v>
      </c>
      <c r="K94" s="9" t="s">
        <v>2773</v>
      </c>
      <c r="L94" s="9">
        <v>12.0</v>
      </c>
      <c r="M94" s="342" t="s">
        <v>2804</v>
      </c>
      <c r="N94" s="9">
        <v>9.0</v>
      </c>
      <c r="O94" s="9" t="s">
        <v>166</v>
      </c>
      <c r="P94" s="9" t="s">
        <v>166</v>
      </c>
      <c r="Q94" s="9" t="s">
        <v>166</v>
      </c>
      <c r="R94" s="9" t="s">
        <v>166</v>
      </c>
      <c r="S94" s="9"/>
      <c r="T94" s="9"/>
      <c r="U94" s="343"/>
      <c r="V94" s="343"/>
      <c r="W94" s="343"/>
      <c r="X94" s="343"/>
      <c r="Y94" s="343"/>
      <c r="Z94" s="343"/>
      <c r="AA94" s="343"/>
      <c r="AB94" s="343"/>
      <c r="AC94" s="343"/>
      <c r="AD94" s="343"/>
    </row>
    <row r="95">
      <c r="A95" s="282" t="s">
        <v>942</v>
      </c>
      <c r="B95" s="340" t="s">
        <v>3005</v>
      </c>
      <c r="C95" s="9" t="s">
        <v>2002</v>
      </c>
      <c r="D95" s="9">
        <v>28.0</v>
      </c>
      <c r="E95" s="9">
        <v>2600.0</v>
      </c>
      <c r="F95" s="341">
        <v>90.1</v>
      </c>
      <c r="G95" s="341">
        <v>3.97</v>
      </c>
      <c r="H95" s="341">
        <v>33.0</v>
      </c>
      <c r="I95" s="341">
        <v>0.48</v>
      </c>
      <c r="J95" s="9" t="s">
        <v>170</v>
      </c>
      <c r="K95" s="9" t="s">
        <v>2773</v>
      </c>
      <c r="L95" s="9">
        <v>12.0</v>
      </c>
      <c r="M95" s="342" t="s">
        <v>2804</v>
      </c>
      <c r="N95" s="9">
        <v>9.0</v>
      </c>
      <c r="O95" s="9" t="s">
        <v>166</v>
      </c>
      <c r="P95" s="9" t="s">
        <v>174</v>
      </c>
      <c r="Q95" s="9" t="s">
        <v>166</v>
      </c>
      <c r="R95" s="9" t="s">
        <v>166</v>
      </c>
      <c r="S95" s="358" t="s">
        <v>214</v>
      </c>
      <c r="T95" s="9"/>
      <c r="U95" s="343"/>
      <c r="V95" s="343"/>
      <c r="W95" s="343"/>
      <c r="X95" s="343"/>
      <c r="Y95" s="343"/>
      <c r="Z95" s="343"/>
      <c r="AA95" s="343"/>
      <c r="AB95" s="343"/>
      <c r="AC95" s="343"/>
      <c r="AD95" s="343"/>
    </row>
    <row r="96">
      <c r="A96" s="282" t="s">
        <v>1427</v>
      </c>
      <c r="B96" s="340" t="s">
        <v>3006</v>
      </c>
      <c r="C96" s="9" t="s">
        <v>2002</v>
      </c>
      <c r="D96" s="9">
        <v>25.0</v>
      </c>
      <c r="E96" s="9">
        <v>1950.0</v>
      </c>
      <c r="F96" s="341">
        <v>69.0</v>
      </c>
      <c r="G96" s="341">
        <v>2.82</v>
      </c>
      <c r="H96" s="341">
        <v>26.0</v>
      </c>
      <c r="I96" s="341" t="s">
        <v>170</v>
      </c>
      <c r="J96" s="9">
        <v>158.0</v>
      </c>
      <c r="K96" s="9" t="s">
        <v>2773</v>
      </c>
      <c r="L96" s="9">
        <v>12.0</v>
      </c>
      <c r="M96" s="342" t="s">
        <v>2834</v>
      </c>
      <c r="N96" s="9">
        <v>9.0</v>
      </c>
      <c r="O96" s="9" t="s">
        <v>166</v>
      </c>
      <c r="P96" s="9" t="s">
        <v>166</v>
      </c>
      <c r="Q96" s="9" t="s">
        <v>166</v>
      </c>
      <c r="R96" s="9" t="s">
        <v>166</v>
      </c>
      <c r="S96" s="9"/>
      <c r="T96" s="9"/>
      <c r="U96" s="343"/>
      <c r="V96" s="343"/>
      <c r="W96" s="343"/>
      <c r="X96" s="343"/>
      <c r="Y96" s="343"/>
      <c r="Z96" s="343"/>
      <c r="AA96" s="343"/>
      <c r="AB96" s="343"/>
      <c r="AC96" s="343"/>
      <c r="AD96" s="343"/>
    </row>
    <row r="97">
      <c r="A97" s="282" t="str">
        <f>HYPERLINK("https://www.msi.com/index.php","MSI")</f>
        <v>MSI</v>
      </c>
      <c r="B97" s="340" t="s">
        <v>3007</v>
      </c>
      <c r="C97" s="9" t="s">
        <v>2002</v>
      </c>
      <c r="D97" s="9">
        <v>25.0</v>
      </c>
      <c r="E97" s="9">
        <v>2000.0</v>
      </c>
      <c r="F97" s="341">
        <v>56.2</v>
      </c>
      <c r="G97" s="341">
        <v>2.21</v>
      </c>
      <c r="H97" s="341">
        <v>22.7</v>
      </c>
      <c r="I97" s="341" t="s">
        <v>170</v>
      </c>
      <c r="J97" s="9" t="s">
        <v>170</v>
      </c>
      <c r="K97" s="9" t="s">
        <v>2773</v>
      </c>
      <c r="L97" s="9">
        <v>12.0</v>
      </c>
      <c r="M97" s="342" t="s">
        <v>2834</v>
      </c>
      <c r="N97" s="9">
        <v>9.0</v>
      </c>
      <c r="O97" s="9" t="s">
        <v>166</v>
      </c>
      <c r="P97" s="9" t="s">
        <v>166</v>
      </c>
      <c r="Q97" s="9" t="s">
        <v>166</v>
      </c>
      <c r="R97" s="9" t="s">
        <v>166</v>
      </c>
      <c r="S97" s="9"/>
      <c r="T97" s="9"/>
      <c r="U97" s="343"/>
      <c r="V97" s="343"/>
      <c r="W97" s="343"/>
      <c r="X97" s="343"/>
      <c r="Y97" s="343"/>
      <c r="Z97" s="343"/>
      <c r="AA97" s="343"/>
      <c r="AB97" s="343"/>
      <c r="AC97" s="343"/>
      <c r="AD97" s="343"/>
    </row>
    <row r="98">
      <c r="A98" s="340" t="s">
        <v>3008</v>
      </c>
      <c r="B98" s="340" t="s">
        <v>3009</v>
      </c>
      <c r="C98" s="9" t="s">
        <v>2002</v>
      </c>
      <c r="D98" s="9">
        <v>25.0</v>
      </c>
      <c r="E98" s="9">
        <v>1450.0</v>
      </c>
      <c r="F98" s="341">
        <v>46.0</v>
      </c>
      <c r="G98" s="341">
        <v>1.3</v>
      </c>
      <c r="H98" s="341">
        <v>19.0</v>
      </c>
      <c r="I98" s="341">
        <v>0.05</v>
      </c>
      <c r="J98" s="9">
        <v>200.0</v>
      </c>
      <c r="K98" s="9" t="s">
        <v>2767</v>
      </c>
      <c r="L98" s="9">
        <v>12.0</v>
      </c>
      <c r="M98" s="342" t="s">
        <v>2849</v>
      </c>
      <c r="N98" s="9">
        <v>9.0</v>
      </c>
      <c r="O98" s="9" t="s">
        <v>166</v>
      </c>
      <c r="P98" s="9" t="s">
        <v>166</v>
      </c>
      <c r="Q98" s="9" t="s">
        <v>166</v>
      </c>
      <c r="R98" s="9" t="s">
        <v>166</v>
      </c>
      <c r="S98" s="9"/>
      <c r="T98" s="9"/>
      <c r="U98" s="343"/>
      <c r="V98" s="343"/>
      <c r="W98" s="343"/>
      <c r="X98" s="343"/>
      <c r="Y98" s="343"/>
      <c r="Z98" s="343"/>
      <c r="AA98" s="343"/>
      <c r="AB98" s="343"/>
      <c r="AC98" s="343"/>
      <c r="AD98" s="343"/>
    </row>
    <row r="99">
      <c r="A99" s="340" t="s">
        <v>3008</v>
      </c>
      <c r="B99" s="340" t="s">
        <v>3010</v>
      </c>
      <c r="C99" s="9" t="s">
        <v>2002</v>
      </c>
      <c r="D99" s="9">
        <v>25.0</v>
      </c>
      <c r="E99" s="9">
        <v>1850.0</v>
      </c>
      <c r="F99" s="341">
        <v>58.0</v>
      </c>
      <c r="G99" s="341">
        <v>2.06</v>
      </c>
      <c r="H99" s="341">
        <v>26.0</v>
      </c>
      <c r="I99" s="341">
        <v>0.08</v>
      </c>
      <c r="J99" s="9">
        <v>200.0</v>
      </c>
      <c r="K99" s="9" t="s">
        <v>2767</v>
      </c>
      <c r="L99" s="9">
        <v>12.0</v>
      </c>
      <c r="M99" s="342" t="s">
        <v>2849</v>
      </c>
      <c r="N99" s="9">
        <v>9.0</v>
      </c>
      <c r="O99" s="9" t="s">
        <v>166</v>
      </c>
      <c r="P99" s="9" t="s">
        <v>166</v>
      </c>
      <c r="Q99" s="9" t="s">
        <v>166</v>
      </c>
      <c r="R99" s="9" t="s">
        <v>166</v>
      </c>
      <c r="S99" s="9"/>
      <c r="T99" s="9"/>
      <c r="U99" s="343"/>
      <c r="V99" s="343"/>
      <c r="W99" s="343"/>
      <c r="X99" s="343"/>
      <c r="Y99" s="343"/>
      <c r="Z99" s="343"/>
      <c r="AA99" s="343"/>
      <c r="AB99" s="343"/>
      <c r="AC99" s="343"/>
      <c r="AD99" s="343"/>
    </row>
    <row r="100">
      <c r="A100" s="340" t="s">
        <v>3008</v>
      </c>
      <c r="B100" s="340" t="s">
        <v>3011</v>
      </c>
      <c r="C100" s="9" t="s">
        <v>2002</v>
      </c>
      <c r="D100" s="9">
        <v>25.0</v>
      </c>
      <c r="E100" s="9">
        <v>2150.0</v>
      </c>
      <c r="F100" s="341">
        <v>69.0</v>
      </c>
      <c r="G100" s="341">
        <v>2.87</v>
      </c>
      <c r="H100" s="341">
        <v>30.0</v>
      </c>
      <c r="I100" s="341">
        <v>0.12</v>
      </c>
      <c r="J100" s="9">
        <v>200.0</v>
      </c>
      <c r="K100" s="9" t="s">
        <v>2767</v>
      </c>
      <c r="L100" s="9">
        <v>12.0</v>
      </c>
      <c r="M100" s="342" t="s">
        <v>2849</v>
      </c>
      <c r="N100" s="9">
        <v>9.0</v>
      </c>
      <c r="O100" s="9" t="s">
        <v>166</v>
      </c>
      <c r="P100" s="9" t="s">
        <v>166</v>
      </c>
      <c r="Q100" s="9" t="s">
        <v>166</v>
      </c>
      <c r="R100" s="9" t="s">
        <v>166</v>
      </c>
      <c r="S100" s="9"/>
      <c r="T100" s="9"/>
      <c r="U100" s="343"/>
      <c r="V100" s="343"/>
      <c r="W100" s="343"/>
      <c r="X100" s="343"/>
      <c r="Y100" s="343"/>
      <c r="Z100" s="343"/>
      <c r="AA100" s="343"/>
      <c r="AB100" s="343"/>
      <c r="AC100" s="343"/>
      <c r="AD100" s="343"/>
    </row>
    <row r="101">
      <c r="A101" s="340" t="s">
        <v>3008</v>
      </c>
      <c r="B101" s="340" t="s">
        <v>3012</v>
      </c>
      <c r="C101" s="9" t="s">
        <v>2002</v>
      </c>
      <c r="D101" s="9">
        <v>25.0</v>
      </c>
      <c r="E101" s="9">
        <v>3000.0</v>
      </c>
      <c r="F101" s="341">
        <v>83.0</v>
      </c>
      <c r="G101" s="341">
        <v>5.08</v>
      </c>
      <c r="H101" s="341">
        <v>36.5</v>
      </c>
      <c r="I101" s="341">
        <v>0.22</v>
      </c>
      <c r="J101" s="9">
        <v>205.0</v>
      </c>
      <c r="K101" s="9" t="s">
        <v>2767</v>
      </c>
      <c r="L101" s="9">
        <v>12.0</v>
      </c>
      <c r="M101" s="342" t="s">
        <v>2849</v>
      </c>
      <c r="N101" s="9">
        <v>7.0</v>
      </c>
      <c r="O101" s="9" t="s">
        <v>166</v>
      </c>
      <c r="P101" s="9" t="s">
        <v>166</v>
      </c>
      <c r="Q101" s="9" t="s">
        <v>166</v>
      </c>
      <c r="R101" s="9" t="s">
        <v>166</v>
      </c>
      <c r="S101" s="9"/>
      <c r="T101" s="9"/>
      <c r="U101" s="343"/>
      <c r="V101" s="343"/>
      <c r="W101" s="343"/>
      <c r="X101" s="343"/>
      <c r="Y101" s="343"/>
      <c r="Z101" s="343"/>
      <c r="AA101" s="343"/>
      <c r="AB101" s="343"/>
      <c r="AC101" s="343"/>
      <c r="AD101" s="343"/>
    </row>
    <row r="102">
      <c r="A102" s="340" t="s">
        <v>3008</v>
      </c>
      <c r="B102" s="340" t="s">
        <v>3013</v>
      </c>
      <c r="C102" s="9" t="s">
        <v>2002</v>
      </c>
      <c r="D102" s="9">
        <v>25.0</v>
      </c>
      <c r="E102" s="9">
        <v>4250.0</v>
      </c>
      <c r="F102" s="341">
        <v>116.5</v>
      </c>
      <c r="G102" s="341">
        <v>9.65</v>
      </c>
      <c r="H102" s="341">
        <v>44.0</v>
      </c>
      <c r="I102" s="341">
        <v>0.56</v>
      </c>
      <c r="J102" s="9">
        <v>205.0</v>
      </c>
      <c r="K102" s="9" t="s">
        <v>2767</v>
      </c>
      <c r="L102" s="9">
        <v>12.0</v>
      </c>
      <c r="M102" s="342" t="s">
        <v>2849</v>
      </c>
      <c r="N102" s="9">
        <v>7.0</v>
      </c>
      <c r="O102" s="9" t="s">
        <v>166</v>
      </c>
      <c r="P102" s="9" t="s">
        <v>166</v>
      </c>
      <c r="Q102" s="9" t="s">
        <v>166</v>
      </c>
      <c r="R102" s="9" t="s">
        <v>166</v>
      </c>
      <c r="S102" s="9"/>
      <c r="T102" s="9"/>
      <c r="U102" s="343"/>
      <c r="V102" s="343"/>
      <c r="W102" s="343"/>
      <c r="X102" s="343"/>
      <c r="Y102" s="343"/>
      <c r="Z102" s="343"/>
      <c r="AA102" s="343"/>
      <c r="AB102" s="343"/>
      <c r="AC102" s="343"/>
      <c r="AD102" s="343"/>
    </row>
    <row r="103">
      <c r="A103" s="340" t="s">
        <v>3008</v>
      </c>
      <c r="B103" s="340" t="s">
        <v>3014</v>
      </c>
      <c r="C103" s="9" t="s">
        <v>2002</v>
      </c>
      <c r="D103" s="9">
        <v>25.0</v>
      </c>
      <c r="E103" s="9">
        <v>5400.0</v>
      </c>
      <c r="F103" s="341">
        <v>150.1</v>
      </c>
      <c r="G103" s="341">
        <v>15.24</v>
      </c>
      <c r="H103" s="341">
        <v>50.5</v>
      </c>
      <c r="I103" s="341">
        <v>1.14</v>
      </c>
      <c r="J103" s="9">
        <v>205.0</v>
      </c>
      <c r="K103" s="9" t="s">
        <v>2767</v>
      </c>
      <c r="L103" s="9">
        <v>12.0</v>
      </c>
      <c r="M103" s="342" t="s">
        <v>2849</v>
      </c>
      <c r="N103" s="9">
        <v>7.0</v>
      </c>
      <c r="O103" s="9" t="s">
        <v>166</v>
      </c>
      <c r="P103" s="9" t="s">
        <v>166</v>
      </c>
      <c r="Q103" s="9" t="s">
        <v>166</v>
      </c>
      <c r="R103" s="9" t="s">
        <v>166</v>
      </c>
      <c r="S103" s="9"/>
      <c r="T103" s="9"/>
      <c r="U103" s="343"/>
      <c r="V103" s="343"/>
      <c r="W103" s="343"/>
      <c r="X103" s="343"/>
      <c r="Y103" s="343"/>
      <c r="Z103" s="343"/>
      <c r="AA103" s="343"/>
      <c r="AB103" s="343"/>
      <c r="AC103" s="343"/>
      <c r="AD103" s="343"/>
    </row>
    <row r="104">
      <c r="A104" s="312" t="s">
        <v>1639</v>
      </c>
      <c r="B104" s="340" t="s">
        <v>3015</v>
      </c>
      <c r="C104" s="9" t="s">
        <v>2002</v>
      </c>
      <c r="D104" s="9">
        <v>25.0</v>
      </c>
      <c r="E104" s="9">
        <v>2000.0</v>
      </c>
      <c r="F104" s="341">
        <v>60.14</v>
      </c>
      <c r="G104" s="341">
        <v>2.34</v>
      </c>
      <c r="H104" s="341">
        <v>22.6</v>
      </c>
      <c r="I104" s="341">
        <v>0.14</v>
      </c>
      <c r="J104" s="9">
        <v>355.0</v>
      </c>
      <c r="K104" s="9" t="s">
        <v>2773</v>
      </c>
      <c r="L104" s="9">
        <v>12.0</v>
      </c>
      <c r="M104" s="342" t="s">
        <v>2771</v>
      </c>
      <c r="N104" s="9">
        <v>9.0</v>
      </c>
      <c r="O104" s="9" t="s">
        <v>166</v>
      </c>
      <c r="P104" s="9" t="s">
        <v>166</v>
      </c>
      <c r="Q104" s="9" t="s">
        <v>166</v>
      </c>
      <c r="R104" s="9" t="s">
        <v>166</v>
      </c>
      <c r="S104" s="358" t="s">
        <v>214</v>
      </c>
      <c r="T104" s="358" t="s">
        <v>214</v>
      </c>
      <c r="U104" s="343"/>
      <c r="V104" s="343"/>
      <c r="W104" s="343"/>
      <c r="X104" s="343"/>
      <c r="Y104" s="343"/>
      <c r="Z104" s="343"/>
      <c r="AA104" s="343"/>
      <c r="AB104" s="343"/>
      <c r="AC104" s="343"/>
      <c r="AD104" s="343"/>
    </row>
    <row r="105">
      <c r="A105" s="312" t="s">
        <v>1639</v>
      </c>
      <c r="B105" s="340" t="s">
        <v>3016</v>
      </c>
      <c r="C105" s="9" t="s">
        <v>2002</v>
      </c>
      <c r="D105" s="9">
        <v>25.0</v>
      </c>
      <c r="E105" s="9">
        <v>2000.0</v>
      </c>
      <c r="F105" s="341">
        <v>60.14</v>
      </c>
      <c r="G105" s="341">
        <v>2.34</v>
      </c>
      <c r="H105" s="341">
        <v>22.6</v>
      </c>
      <c r="I105" s="341">
        <v>0.14</v>
      </c>
      <c r="J105" s="9">
        <v>362.0</v>
      </c>
      <c r="K105" s="9" t="s">
        <v>2773</v>
      </c>
      <c r="L105" s="9">
        <v>12.0</v>
      </c>
      <c r="M105" s="342" t="s">
        <v>2771</v>
      </c>
      <c r="N105" s="9">
        <v>9.0</v>
      </c>
      <c r="O105" s="9" t="s">
        <v>166</v>
      </c>
      <c r="P105" s="9" t="s">
        <v>166</v>
      </c>
      <c r="Q105" s="9" t="s">
        <v>166</v>
      </c>
      <c r="R105" s="9" t="s">
        <v>166</v>
      </c>
      <c r="S105" s="9"/>
      <c r="T105" s="9"/>
      <c r="U105" s="343"/>
      <c r="V105" s="343"/>
      <c r="W105" s="343"/>
      <c r="X105" s="343"/>
      <c r="Y105" s="343"/>
      <c r="Z105" s="343"/>
      <c r="AA105" s="343"/>
      <c r="AB105" s="343"/>
      <c r="AC105" s="343"/>
      <c r="AD105" s="343"/>
    </row>
    <row r="106">
      <c r="A106" s="312" t="s">
        <v>1639</v>
      </c>
      <c r="B106" s="340" t="s">
        <v>3017</v>
      </c>
      <c r="C106" s="9" t="s">
        <v>2002</v>
      </c>
      <c r="D106" s="9">
        <v>25.0</v>
      </c>
      <c r="E106" s="9">
        <v>1500.0</v>
      </c>
      <c r="F106" s="341">
        <v>55.0126</v>
      </c>
      <c r="G106" s="341">
        <v>2.61</v>
      </c>
      <c r="H106" s="341">
        <v>22.4</v>
      </c>
      <c r="I106" s="341">
        <v>0.05</v>
      </c>
      <c r="J106" s="9">
        <v>314.0</v>
      </c>
      <c r="K106" s="9" t="s">
        <v>2773</v>
      </c>
      <c r="L106" s="9">
        <v>12.0</v>
      </c>
      <c r="M106" s="342" t="s">
        <v>2771</v>
      </c>
      <c r="N106" s="9">
        <v>7.0</v>
      </c>
      <c r="O106" s="9" t="s">
        <v>166</v>
      </c>
      <c r="P106" s="9" t="s">
        <v>166</v>
      </c>
      <c r="Q106" s="9" t="s">
        <v>166</v>
      </c>
      <c r="R106" s="9" t="s">
        <v>166</v>
      </c>
      <c r="S106" s="358" t="s">
        <v>214</v>
      </c>
      <c r="T106" s="9"/>
      <c r="U106" s="343"/>
      <c r="V106" s="343"/>
      <c r="W106" s="343"/>
      <c r="X106" s="343"/>
      <c r="Y106" s="343"/>
      <c r="Z106" s="343"/>
      <c r="AA106" s="343"/>
      <c r="AB106" s="343"/>
      <c r="AC106" s="343"/>
      <c r="AD106" s="343"/>
    </row>
    <row r="107">
      <c r="A107" s="312" t="s">
        <v>1639</v>
      </c>
      <c r="B107" s="340" t="s">
        <v>3018</v>
      </c>
      <c r="C107" s="9" t="s">
        <v>2002</v>
      </c>
      <c r="D107" s="9">
        <v>25.0</v>
      </c>
      <c r="E107" s="9">
        <v>2000.0</v>
      </c>
      <c r="F107" s="341">
        <v>71.74</v>
      </c>
      <c r="G107" s="341">
        <v>3.94</v>
      </c>
      <c r="H107" s="341">
        <v>29.7</v>
      </c>
      <c r="I107" s="341">
        <v>0.1</v>
      </c>
      <c r="J107" s="9">
        <v>270.0</v>
      </c>
      <c r="K107" s="9" t="s">
        <v>2773</v>
      </c>
      <c r="L107" s="9">
        <v>12.0</v>
      </c>
      <c r="M107" s="342" t="s">
        <v>2771</v>
      </c>
      <c r="N107" s="9">
        <v>7.0</v>
      </c>
      <c r="O107" s="9" t="s">
        <v>166</v>
      </c>
      <c r="P107" s="9" t="s">
        <v>166</v>
      </c>
      <c r="Q107" s="9" t="s">
        <v>166</v>
      </c>
      <c r="R107" s="9" t="s">
        <v>166</v>
      </c>
      <c r="S107" s="9"/>
      <c r="T107" s="9"/>
      <c r="U107" s="343"/>
      <c r="V107" s="343"/>
      <c r="W107" s="343"/>
      <c r="X107" s="343"/>
      <c r="Y107" s="343"/>
      <c r="Z107" s="343"/>
      <c r="AA107" s="343"/>
      <c r="AB107" s="343"/>
      <c r="AC107" s="343"/>
      <c r="AD107" s="343"/>
    </row>
    <row r="108">
      <c r="A108" s="312" t="s">
        <v>1639</v>
      </c>
      <c r="B108" s="340" t="s">
        <v>3019</v>
      </c>
      <c r="C108" s="9" t="s">
        <v>2002</v>
      </c>
      <c r="D108" s="9">
        <v>25.0</v>
      </c>
      <c r="E108" s="9">
        <v>3000.0</v>
      </c>
      <c r="F108" s="341">
        <v>109.97</v>
      </c>
      <c r="G108" s="341">
        <v>7.63</v>
      </c>
      <c r="H108" s="341">
        <v>43.5</v>
      </c>
      <c r="I108" s="341">
        <v>0.3</v>
      </c>
      <c r="J108" s="9">
        <v>270.0</v>
      </c>
      <c r="K108" s="9" t="s">
        <v>2773</v>
      </c>
      <c r="L108" s="9">
        <v>12.0</v>
      </c>
      <c r="M108" s="342" t="s">
        <v>2771</v>
      </c>
      <c r="N108" s="9">
        <v>7.0</v>
      </c>
      <c r="O108" s="9" t="s">
        <v>166</v>
      </c>
      <c r="P108" s="9" t="s">
        <v>166</v>
      </c>
      <c r="Q108" s="9" t="s">
        <v>166</v>
      </c>
      <c r="R108" s="9" t="s">
        <v>166</v>
      </c>
      <c r="S108" s="9"/>
      <c r="T108" s="9"/>
      <c r="U108" s="343"/>
      <c r="V108" s="343"/>
      <c r="W108" s="343"/>
      <c r="X108" s="343"/>
      <c r="Y108" s="343"/>
      <c r="Z108" s="343"/>
      <c r="AA108" s="343"/>
      <c r="AB108" s="343"/>
      <c r="AC108" s="343"/>
      <c r="AD108" s="343"/>
    </row>
    <row r="109">
      <c r="A109" s="312" t="s">
        <v>1639</v>
      </c>
      <c r="B109" s="340" t="s">
        <v>3020</v>
      </c>
      <c r="C109" s="9" t="s">
        <v>2002</v>
      </c>
      <c r="D109" s="9">
        <v>25.0</v>
      </c>
      <c r="E109" s="9">
        <v>1700.0</v>
      </c>
      <c r="F109" s="341">
        <v>70.8</v>
      </c>
      <c r="G109" s="341">
        <v>2.83</v>
      </c>
      <c r="H109" s="341">
        <v>25.1</v>
      </c>
      <c r="I109" s="341">
        <v>0.09</v>
      </c>
      <c r="J109" s="9">
        <v>242.0</v>
      </c>
      <c r="K109" s="9" t="s">
        <v>2773</v>
      </c>
      <c r="L109" s="9">
        <v>12.0</v>
      </c>
      <c r="M109" s="342" t="s">
        <v>2910</v>
      </c>
      <c r="N109" s="9">
        <v>9.0</v>
      </c>
      <c r="O109" s="9" t="s">
        <v>166</v>
      </c>
      <c r="P109" s="9" t="s">
        <v>166</v>
      </c>
      <c r="Q109" s="9" t="s">
        <v>166</v>
      </c>
      <c r="R109" s="9" t="s">
        <v>166</v>
      </c>
      <c r="S109" s="9"/>
      <c r="T109" s="9"/>
      <c r="U109" s="343"/>
      <c r="V109" s="343"/>
      <c r="W109" s="343"/>
      <c r="X109" s="343"/>
      <c r="Y109" s="343"/>
      <c r="Z109" s="343"/>
      <c r="AA109" s="343"/>
      <c r="AB109" s="343"/>
      <c r="AC109" s="343"/>
      <c r="AD109" s="343"/>
    </row>
    <row r="110">
      <c r="A110" s="340" t="s">
        <v>2794</v>
      </c>
      <c r="B110" s="340" t="s">
        <v>3021</v>
      </c>
      <c r="C110" s="9" t="s">
        <v>2002</v>
      </c>
      <c r="D110" s="9">
        <v>25.0</v>
      </c>
      <c r="E110" s="9">
        <v>1500.0</v>
      </c>
      <c r="F110" s="341">
        <v>58.09</v>
      </c>
      <c r="G110" s="341">
        <v>1.48</v>
      </c>
      <c r="H110" s="341">
        <v>21.2</v>
      </c>
      <c r="I110" s="341">
        <v>0.08</v>
      </c>
      <c r="J110" s="9">
        <v>123.0</v>
      </c>
      <c r="K110" s="9" t="s">
        <v>2773</v>
      </c>
      <c r="L110" s="9">
        <v>12.0</v>
      </c>
      <c r="M110" s="342" t="s">
        <v>2796</v>
      </c>
      <c r="N110" s="9">
        <v>6.0</v>
      </c>
      <c r="O110" s="9" t="s">
        <v>166</v>
      </c>
      <c r="P110" s="9" t="s">
        <v>166</v>
      </c>
      <c r="Q110" s="9" t="s">
        <v>166</v>
      </c>
      <c r="R110" s="9" t="s">
        <v>166</v>
      </c>
      <c r="S110" s="9"/>
      <c r="T110" s="9"/>
      <c r="U110" s="343"/>
      <c r="V110" s="343"/>
      <c r="W110" s="343"/>
      <c r="X110" s="343"/>
      <c r="Y110" s="343"/>
      <c r="Z110" s="343"/>
      <c r="AA110" s="343"/>
      <c r="AB110" s="343"/>
      <c r="AC110" s="343"/>
      <c r="AD110" s="343"/>
    </row>
    <row r="111">
      <c r="A111" s="340" t="s">
        <v>2794</v>
      </c>
      <c r="B111" s="340" t="s">
        <v>3022</v>
      </c>
      <c r="C111" s="9" t="s">
        <v>2002</v>
      </c>
      <c r="D111" s="9">
        <v>25.0</v>
      </c>
      <c r="E111" s="9">
        <v>2000.0</v>
      </c>
      <c r="F111" s="341">
        <v>77.93</v>
      </c>
      <c r="G111" s="341">
        <v>2.24</v>
      </c>
      <c r="H111" s="341">
        <v>28.4</v>
      </c>
      <c r="I111" s="341">
        <v>0.16</v>
      </c>
      <c r="J111" s="9">
        <v>123.0</v>
      </c>
      <c r="K111" s="9" t="s">
        <v>2773</v>
      </c>
      <c r="L111" s="9">
        <v>12.0</v>
      </c>
      <c r="M111" s="342" t="s">
        <v>2796</v>
      </c>
      <c r="N111" s="9">
        <v>6.0</v>
      </c>
      <c r="O111" s="9" t="s">
        <v>166</v>
      </c>
      <c r="P111" s="9" t="s">
        <v>166</v>
      </c>
      <c r="Q111" s="9" t="s">
        <v>166</v>
      </c>
      <c r="R111" s="9" t="s">
        <v>166</v>
      </c>
      <c r="S111" s="9"/>
      <c r="T111" s="9"/>
      <c r="U111" s="343"/>
      <c r="V111" s="343"/>
      <c r="W111" s="343"/>
      <c r="X111" s="343"/>
      <c r="Y111" s="343"/>
      <c r="Z111" s="343"/>
      <c r="AA111" s="343"/>
      <c r="AB111" s="343"/>
      <c r="AC111" s="343"/>
      <c r="AD111" s="343"/>
    </row>
    <row r="112">
      <c r="A112" s="340" t="s">
        <v>2794</v>
      </c>
      <c r="B112" s="340" t="s">
        <v>3023</v>
      </c>
      <c r="C112" s="9" t="s">
        <v>2002</v>
      </c>
      <c r="D112" s="9">
        <v>25.0</v>
      </c>
      <c r="E112" s="9">
        <v>1500.0</v>
      </c>
      <c r="F112" s="341">
        <v>58.09</v>
      </c>
      <c r="G112" s="341">
        <v>1.48</v>
      </c>
      <c r="H112" s="341">
        <v>21.2</v>
      </c>
      <c r="I112" s="341">
        <v>0.08</v>
      </c>
      <c r="J112" s="9">
        <v>123.0</v>
      </c>
      <c r="K112" s="9" t="s">
        <v>2773</v>
      </c>
      <c r="L112" s="9">
        <v>12.0</v>
      </c>
      <c r="M112" s="342" t="s">
        <v>2796</v>
      </c>
      <c r="N112" s="9">
        <v>6.0</v>
      </c>
      <c r="O112" s="9" t="s">
        <v>166</v>
      </c>
      <c r="P112" s="9" t="s">
        <v>174</v>
      </c>
      <c r="Q112" s="9" t="s">
        <v>166</v>
      </c>
      <c r="R112" s="9" t="s">
        <v>166</v>
      </c>
      <c r="S112" s="9"/>
      <c r="T112" s="9"/>
      <c r="U112" s="343"/>
      <c r="V112" s="343"/>
      <c r="W112" s="343"/>
      <c r="X112" s="343"/>
      <c r="Y112" s="343"/>
      <c r="Z112" s="343"/>
      <c r="AA112" s="343"/>
      <c r="AB112" s="343"/>
      <c r="AC112" s="343"/>
      <c r="AD112" s="343"/>
    </row>
    <row r="113">
      <c r="A113" s="340" t="s">
        <v>2794</v>
      </c>
      <c r="B113" s="340" t="s">
        <v>3024</v>
      </c>
      <c r="C113" s="9" t="s">
        <v>2002</v>
      </c>
      <c r="D113" s="9">
        <v>25.0</v>
      </c>
      <c r="E113" s="9">
        <v>2000.0</v>
      </c>
      <c r="F113" s="341">
        <v>77.93</v>
      </c>
      <c r="G113" s="341">
        <v>2.24</v>
      </c>
      <c r="H113" s="341">
        <v>28.4</v>
      </c>
      <c r="I113" s="341">
        <v>0.16</v>
      </c>
      <c r="J113" s="9">
        <v>123.0</v>
      </c>
      <c r="K113" s="9" t="s">
        <v>2773</v>
      </c>
      <c r="L113" s="9">
        <v>12.0</v>
      </c>
      <c r="M113" s="342" t="s">
        <v>2796</v>
      </c>
      <c r="N113" s="9">
        <v>6.0</v>
      </c>
      <c r="O113" s="9" t="s">
        <v>166</v>
      </c>
      <c r="P113" s="9" t="s">
        <v>174</v>
      </c>
      <c r="Q113" s="9" t="s">
        <v>166</v>
      </c>
      <c r="R113" s="9" t="s">
        <v>166</v>
      </c>
      <c r="S113" s="9"/>
      <c r="T113" s="9"/>
      <c r="U113" s="343"/>
      <c r="V113" s="343"/>
      <c r="W113" s="343"/>
      <c r="X113" s="343"/>
      <c r="Y113" s="343"/>
      <c r="Z113" s="343"/>
      <c r="AA113" s="343"/>
      <c r="AB113" s="343"/>
      <c r="AC113" s="343"/>
      <c r="AD113" s="343"/>
    </row>
    <row r="114">
      <c r="A114" s="272" t="s">
        <v>1085</v>
      </c>
      <c r="B114" s="340" t="s">
        <v>3025</v>
      </c>
      <c r="C114" s="9" t="s">
        <v>2002</v>
      </c>
      <c r="D114" s="9">
        <v>30.0</v>
      </c>
      <c r="E114" s="9">
        <v>2000.0</v>
      </c>
      <c r="F114" s="341">
        <v>64.3</v>
      </c>
      <c r="G114" s="341">
        <v>3.01</v>
      </c>
      <c r="H114" s="341">
        <v>30.2</v>
      </c>
      <c r="I114" s="341" t="s">
        <v>170</v>
      </c>
      <c r="J114" s="9">
        <v>300.0</v>
      </c>
      <c r="K114" s="9" t="s">
        <v>2773</v>
      </c>
      <c r="L114" s="9">
        <v>12.0</v>
      </c>
      <c r="M114" s="342" t="s">
        <v>170</v>
      </c>
      <c r="N114" s="9">
        <v>7.0</v>
      </c>
      <c r="O114" s="9" t="s">
        <v>166</v>
      </c>
      <c r="P114" s="9" t="s">
        <v>174</v>
      </c>
      <c r="Q114" s="9" t="s">
        <v>166</v>
      </c>
      <c r="R114" s="9" t="s">
        <v>166</v>
      </c>
      <c r="S114" s="9"/>
      <c r="T114" s="9"/>
      <c r="U114" s="343"/>
      <c r="V114" s="343"/>
      <c r="W114" s="343"/>
      <c r="X114" s="343"/>
      <c r="Y114" s="343"/>
      <c r="Z114" s="343"/>
      <c r="AA114" s="343"/>
      <c r="AB114" s="343"/>
      <c r="AC114" s="343"/>
      <c r="AD114" s="343"/>
    </row>
    <row r="115">
      <c r="A115" s="272" t="s">
        <v>1085</v>
      </c>
      <c r="B115" s="340" t="s">
        <v>3026</v>
      </c>
      <c r="C115" s="9" t="s">
        <v>2002</v>
      </c>
      <c r="D115" s="9">
        <v>25.0</v>
      </c>
      <c r="E115" s="9">
        <v>2000.0</v>
      </c>
      <c r="F115" s="341">
        <v>84.26</v>
      </c>
      <c r="G115" s="341">
        <v>2.67</v>
      </c>
      <c r="H115" s="341">
        <v>35.7</v>
      </c>
      <c r="I115" s="341" t="s">
        <v>170</v>
      </c>
      <c r="J115" s="9">
        <v>155.0</v>
      </c>
      <c r="K115" s="9" t="s">
        <v>2773</v>
      </c>
      <c r="L115" s="9">
        <v>12.0</v>
      </c>
      <c r="M115" s="342" t="s">
        <v>170</v>
      </c>
      <c r="N115" s="9">
        <v>9.0</v>
      </c>
      <c r="O115" s="9" t="s">
        <v>166</v>
      </c>
      <c r="P115" s="9" t="s">
        <v>166</v>
      </c>
      <c r="Q115" s="9" t="s">
        <v>166</v>
      </c>
      <c r="R115" s="9" t="s">
        <v>166</v>
      </c>
      <c r="S115" s="9"/>
      <c r="T115" s="9"/>
      <c r="U115" s="343"/>
      <c r="V115" s="343"/>
      <c r="W115" s="343"/>
      <c r="X115" s="343"/>
      <c r="Y115" s="343"/>
      <c r="Z115" s="343"/>
      <c r="AA115" s="343"/>
      <c r="AB115" s="343"/>
      <c r="AC115" s="343"/>
      <c r="AD115" s="343"/>
    </row>
    <row r="116">
      <c r="A116" s="272" t="s">
        <v>1085</v>
      </c>
      <c r="B116" s="340" t="s">
        <v>3027</v>
      </c>
      <c r="C116" s="9" t="s">
        <v>2002</v>
      </c>
      <c r="D116" s="9">
        <v>25.0</v>
      </c>
      <c r="E116" s="9">
        <v>2000.0</v>
      </c>
      <c r="F116" s="341">
        <v>84.26</v>
      </c>
      <c r="G116" s="341">
        <v>2.67</v>
      </c>
      <c r="H116" s="341">
        <v>35.7</v>
      </c>
      <c r="I116" s="341" t="s">
        <v>170</v>
      </c>
      <c r="J116" s="9">
        <v>155.0</v>
      </c>
      <c r="K116" s="9" t="s">
        <v>2773</v>
      </c>
      <c r="L116" s="9">
        <v>12.0</v>
      </c>
      <c r="M116" s="342" t="s">
        <v>170</v>
      </c>
      <c r="N116" s="9">
        <v>9.0</v>
      </c>
      <c r="O116" s="9" t="s">
        <v>166</v>
      </c>
      <c r="P116" s="9" t="s">
        <v>174</v>
      </c>
      <c r="Q116" s="9" t="s">
        <v>166</v>
      </c>
      <c r="R116" s="9" t="s">
        <v>166</v>
      </c>
      <c r="S116" s="9"/>
      <c r="T116" s="9"/>
      <c r="U116" s="343"/>
      <c r="V116" s="343"/>
      <c r="W116" s="343"/>
      <c r="X116" s="343"/>
      <c r="Y116" s="343"/>
      <c r="Z116" s="343"/>
      <c r="AA116" s="343"/>
      <c r="AB116" s="343"/>
      <c r="AC116" s="343"/>
      <c r="AD116" s="343"/>
    </row>
    <row r="117">
      <c r="A117" s="272" t="s">
        <v>1085</v>
      </c>
      <c r="B117" s="340" t="s">
        <v>3028</v>
      </c>
      <c r="C117" s="9" t="s">
        <v>2002</v>
      </c>
      <c r="D117" s="9">
        <v>25.0</v>
      </c>
      <c r="E117" s="9">
        <v>1500.0</v>
      </c>
      <c r="F117" s="341">
        <v>50.0</v>
      </c>
      <c r="G117" s="341">
        <v>0.96</v>
      </c>
      <c r="H117" s="341">
        <v>27.0</v>
      </c>
      <c r="I117" s="341" t="s">
        <v>170</v>
      </c>
      <c r="J117" s="9">
        <v>134.2</v>
      </c>
      <c r="K117" s="9" t="s">
        <v>2773</v>
      </c>
      <c r="L117" s="9">
        <v>12.0</v>
      </c>
      <c r="M117" s="342" t="s">
        <v>170</v>
      </c>
      <c r="N117" s="9">
        <v>9.0</v>
      </c>
      <c r="O117" s="9" t="s">
        <v>166</v>
      </c>
      <c r="P117" s="9" t="s">
        <v>166</v>
      </c>
      <c r="Q117" s="9" t="s">
        <v>166</v>
      </c>
      <c r="R117" s="9" t="s">
        <v>166</v>
      </c>
      <c r="S117" s="9"/>
      <c r="T117" s="9"/>
      <c r="U117" s="343"/>
      <c r="V117" s="343"/>
      <c r="W117" s="343"/>
      <c r="X117" s="343"/>
      <c r="Y117" s="343"/>
      <c r="Z117" s="343"/>
      <c r="AA117" s="343"/>
      <c r="AB117" s="343"/>
      <c r="AC117" s="343"/>
      <c r="AD117" s="343"/>
    </row>
    <row r="118">
      <c r="A118" s="272" t="s">
        <v>1085</v>
      </c>
      <c r="B118" s="340" t="s">
        <v>3029</v>
      </c>
      <c r="C118" s="9" t="s">
        <v>2002</v>
      </c>
      <c r="D118" s="9">
        <v>25.0</v>
      </c>
      <c r="E118" s="9">
        <v>1500.0</v>
      </c>
      <c r="F118" s="341">
        <v>50.0</v>
      </c>
      <c r="G118" s="341">
        <v>0.96</v>
      </c>
      <c r="H118" s="341">
        <v>27.0</v>
      </c>
      <c r="I118" s="341" t="s">
        <v>170</v>
      </c>
      <c r="J118" s="9">
        <v>134.2</v>
      </c>
      <c r="K118" s="9" t="s">
        <v>2773</v>
      </c>
      <c r="L118" s="9">
        <v>12.0</v>
      </c>
      <c r="M118" s="342" t="s">
        <v>170</v>
      </c>
      <c r="N118" s="9">
        <v>9.0</v>
      </c>
      <c r="O118" s="9" t="s">
        <v>166</v>
      </c>
      <c r="P118" s="9" t="s">
        <v>174</v>
      </c>
      <c r="Q118" s="9" t="s">
        <v>166</v>
      </c>
      <c r="R118" s="9" t="s">
        <v>166</v>
      </c>
      <c r="S118" s="9"/>
      <c r="T118" s="9"/>
      <c r="U118" s="343"/>
      <c r="V118" s="343"/>
      <c r="W118" s="343"/>
      <c r="X118" s="343"/>
      <c r="Y118" s="343"/>
      <c r="Z118" s="343"/>
      <c r="AA118" s="343"/>
      <c r="AB118" s="343"/>
      <c r="AC118" s="343"/>
      <c r="AD118" s="343"/>
    </row>
    <row r="119">
      <c r="A119" s="272" t="s">
        <v>1085</v>
      </c>
      <c r="B119" s="340" t="s">
        <v>3030</v>
      </c>
      <c r="C119" s="9" t="s">
        <v>2002</v>
      </c>
      <c r="D119" s="9">
        <v>30.0</v>
      </c>
      <c r="E119" s="9">
        <v>1200.0</v>
      </c>
      <c r="F119" s="341">
        <v>39.1</v>
      </c>
      <c r="G119" s="341">
        <v>1.27</v>
      </c>
      <c r="H119" s="341">
        <v>11.1</v>
      </c>
      <c r="I119" s="341">
        <v>0.05</v>
      </c>
      <c r="J119" s="9">
        <v>231.0</v>
      </c>
      <c r="K119" s="9" t="s">
        <v>2773</v>
      </c>
      <c r="L119" s="9">
        <v>12.0</v>
      </c>
      <c r="M119" s="342" t="s">
        <v>3031</v>
      </c>
      <c r="N119" s="9">
        <v>7.0</v>
      </c>
      <c r="O119" s="9" t="s">
        <v>166</v>
      </c>
      <c r="P119" s="9" t="s">
        <v>166</v>
      </c>
      <c r="Q119" s="9" t="s">
        <v>166</v>
      </c>
      <c r="R119" s="9" t="s">
        <v>166</v>
      </c>
      <c r="S119" s="358" t="s">
        <v>214</v>
      </c>
      <c r="T119" s="358" t="s">
        <v>214</v>
      </c>
      <c r="U119" s="343"/>
      <c r="V119" s="343"/>
      <c r="W119" s="343"/>
      <c r="X119" s="343"/>
      <c r="Y119" s="343"/>
      <c r="Z119" s="343"/>
      <c r="AA119" s="343"/>
      <c r="AB119" s="343"/>
      <c r="AC119" s="343"/>
      <c r="AD119" s="343"/>
    </row>
    <row r="120">
      <c r="A120" s="272" t="s">
        <v>1085</v>
      </c>
      <c r="B120" s="340" t="s">
        <v>3032</v>
      </c>
      <c r="C120" s="9" t="s">
        <v>2002</v>
      </c>
      <c r="D120" s="9">
        <v>30.0</v>
      </c>
      <c r="E120" s="9">
        <v>2000.0</v>
      </c>
      <c r="F120" s="341">
        <v>67.0</v>
      </c>
      <c r="G120" s="341">
        <v>3.3</v>
      </c>
      <c r="H120" s="341">
        <v>27.3</v>
      </c>
      <c r="I120" s="341">
        <v>0.13</v>
      </c>
      <c r="J120" s="9">
        <v>231.0</v>
      </c>
      <c r="K120" s="9" t="s">
        <v>2773</v>
      </c>
      <c r="L120" s="9">
        <v>12.0</v>
      </c>
      <c r="M120" s="342" t="s">
        <v>3031</v>
      </c>
      <c r="N120" s="9">
        <v>7.0</v>
      </c>
      <c r="O120" s="9" t="s">
        <v>166</v>
      </c>
      <c r="P120" s="9" t="s">
        <v>166</v>
      </c>
      <c r="Q120" s="9" t="s">
        <v>166</v>
      </c>
      <c r="R120" s="9" t="s">
        <v>166</v>
      </c>
      <c r="S120" s="358" t="s">
        <v>214</v>
      </c>
      <c r="T120" s="358" t="s">
        <v>214</v>
      </c>
      <c r="U120" s="343"/>
      <c r="V120" s="343"/>
      <c r="W120" s="343"/>
      <c r="X120" s="343"/>
      <c r="Y120" s="343"/>
      <c r="Z120" s="343"/>
      <c r="AA120" s="343"/>
      <c r="AB120" s="343"/>
      <c r="AC120" s="343"/>
      <c r="AD120" s="343"/>
    </row>
    <row r="121">
      <c r="A121" s="272" t="s">
        <v>1085</v>
      </c>
      <c r="B121" s="340" t="s">
        <v>3033</v>
      </c>
      <c r="C121" s="9" t="s">
        <v>2002</v>
      </c>
      <c r="D121" s="9">
        <v>30.0</v>
      </c>
      <c r="E121" s="9">
        <v>3000.0</v>
      </c>
      <c r="F121" s="341">
        <v>101.0</v>
      </c>
      <c r="G121" s="341">
        <v>7.11</v>
      </c>
      <c r="H121" s="341">
        <v>39.7</v>
      </c>
      <c r="I121" s="341">
        <v>0.36</v>
      </c>
      <c r="J121" s="9">
        <v>231.0</v>
      </c>
      <c r="K121" s="9" t="s">
        <v>2773</v>
      </c>
      <c r="L121" s="9">
        <v>12.0</v>
      </c>
      <c r="M121" s="342" t="s">
        <v>3031</v>
      </c>
      <c r="N121" s="9">
        <v>7.0</v>
      </c>
      <c r="O121" s="9" t="s">
        <v>166</v>
      </c>
      <c r="P121" s="9" t="s">
        <v>166</v>
      </c>
      <c r="Q121" s="9" t="s">
        <v>166</v>
      </c>
      <c r="R121" s="9" t="s">
        <v>166</v>
      </c>
      <c r="S121" s="358" t="s">
        <v>214</v>
      </c>
      <c r="T121" s="358" t="s">
        <v>214</v>
      </c>
      <c r="U121" s="343"/>
      <c r="V121" s="343"/>
      <c r="W121" s="343"/>
      <c r="X121" s="343"/>
      <c r="Y121" s="343"/>
      <c r="Z121" s="343"/>
      <c r="AA121" s="343"/>
      <c r="AB121" s="343"/>
      <c r="AC121" s="343"/>
      <c r="AD121" s="343"/>
    </row>
    <row r="122">
      <c r="A122" s="314" t="s">
        <v>1387</v>
      </c>
      <c r="B122" s="340" t="s">
        <v>3034</v>
      </c>
      <c r="C122" s="9" t="s">
        <v>2002</v>
      </c>
      <c r="D122" s="9">
        <v>26.0</v>
      </c>
      <c r="E122" s="9">
        <v>2000.0</v>
      </c>
      <c r="F122" s="341">
        <v>63.25</v>
      </c>
      <c r="G122" s="341">
        <v>2.63</v>
      </c>
      <c r="H122" s="341">
        <v>23.37</v>
      </c>
      <c r="I122" s="341">
        <v>0.11</v>
      </c>
      <c r="J122" s="9">
        <v>201.0</v>
      </c>
      <c r="K122" s="9" t="s">
        <v>2773</v>
      </c>
      <c r="L122" s="9">
        <v>12.0</v>
      </c>
      <c r="M122" s="342" t="s">
        <v>3035</v>
      </c>
      <c r="N122" s="9">
        <v>9.0</v>
      </c>
      <c r="O122" s="9" t="s">
        <v>166</v>
      </c>
      <c r="P122" s="9" t="s">
        <v>166</v>
      </c>
      <c r="Q122" s="9" t="s">
        <v>166</v>
      </c>
      <c r="R122" s="9" t="s">
        <v>166</v>
      </c>
      <c r="S122" s="9"/>
      <c r="T122" s="9"/>
      <c r="U122" s="343"/>
      <c r="V122" s="343"/>
      <c r="W122" s="343"/>
      <c r="X122" s="343"/>
      <c r="Y122" s="343"/>
      <c r="Z122" s="343"/>
      <c r="AA122" s="343"/>
      <c r="AB122" s="343"/>
      <c r="AC122" s="343"/>
      <c r="AD122" s="343"/>
    </row>
    <row r="123">
      <c r="A123" s="314" t="s">
        <v>1387</v>
      </c>
      <c r="B123" s="340" t="s">
        <v>3036</v>
      </c>
      <c r="C123" s="9" t="s">
        <v>2002</v>
      </c>
      <c r="D123" s="9">
        <v>26.0</v>
      </c>
      <c r="E123" s="9">
        <v>3000.0</v>
      </c>
      <c r="F123" s="341">
        <v>97.82</v>
      </c>
      <c r="G123" s="341">
        <v>5.13</v>
      </c>
      <c r="H123" s="341">
        <v>36.63</v>
      </c>
      <c r="I123" s="341">
        <v>0.31</v>
      </c>
      <c r="J123" s="9">
        <v>201.0</v>
      </c>
      <c r="K123" s="9" t="s">
        <v>2773</v>
      </c>
      <c r="L123" s="9">
        <v>12.0</v>
      </c>
      <c r="M123" s="342" t="s">
        <v>3035</v>
      </c>
      <c r="N123" s="9">
        <v>9.0</v>
      </c>
      <c r="O123" s="9" t="s">
        <v>166</v>
      </c>
      <c r="P123" s="9" t="s">
        <v>166</v>
      </c>
      <c r="Q123" s="9" t="s">
        <v>166</v>
      </c>
      <c r="R123" s="9" t="s">
        <v>166</v>
      </c>
      <c r="S123" s="358" t="s">
        <v>214</v>
      </c>
      <c r="T123" s="358" t="s">
        <v>214</v>
      </c>
      <c r="U123" s="343"/>
      <c r="V123" s="343"/>
      <c r="W123" s="343"/>
      <c r="X123" s="343"/>
      <c r="Y123" s="343"/>
      <c r="Z123" s="343"/>
      <c r="AA123" s="343"/>
      <c r="AB123" s="343"/>
      <c r="AC123" s="343"/>
      <c r="AD123" s="343"/>
    </row>
    <row r="124">
      <c r="A124" s="314" t="s">
        <v>1387</v>
      </c>
      <c r="B124" s="340" t="s">
        <v>3037</v>
      </c>
      <c r="C124" s="9" t="s">
        <v>2002</v>
      </c>
      <c r="D124" s="9">
        <v>27.0</v>
      </c>
      <c r="E124" s="9">
        <v>800.0</v>
      </c>
      <c r="F124" s="341">
        <v>43.04</v>
      </c>
      <c r="G124" s="341">
        <v>0.49</v>
      </c>
      <c r="H124" s="341">
        <v>14.5</v>
      </c>
      <c r="I124" s="341">
        <v>0.09</v>
      </c>
      <c r="J124" s="9">
        <v>100.0</v>
      </c>
      <c r="K124" s="9" t="s">
        <v>2773</v>
      </c>
      <c r="L124" s="9">
        <v>12.0</v>
      </c>
      <c r="M124" s="342" t="s">
        <v>2813</v>
      </c>
      <c r="N124" s="9">
        <v>11.0</v>
      </c>
      <c r="O124" s="9" t="s">
        <v>166</v>
      </c>
      <c r="P124" s="9" t="s">
        <v>166</v>
      </c>
      <c r="Q124" s="9" t="s">
        <v>166</v>
      </c>
      <c r="R124" s="9" t="s">
        <v>166</v>
      </c>
      <c r="S124" s="9"/>
      <c r="T124" s="9"/>
      <c r="U124" s="343"/>
      <c r="V124" s="343"/>
      <c r="W124" s="343"/>
      <c r="X124" s="343"/>
      <c r="Y124" s="343"/>
      <c r="Z124" s="343"/>
      <c r="AA124" s="343"/>
      <c r="AB124" s="343"/>
      <c r="AC124" s="343"/>
      <c r="AD124" s="343"/>
    </row>
    <row r="125">
      <c r="A125" s="314" t="s">
        <v>1387</v>
      </c>
      <c r="B125" s="340" t="s">
        <v>3038</v>
      </c>
      <c r="C125" s="9" t="s">
        <v>2002</v>
      </c>
      <c r="D125" s="9">
        <v>27.0</v>
      </c>
      <c r="E125" s="9">
        <v>1200.0</v>
      </c>
      <c r="F125" s="341">
        <v>51.17</v>
      </c>
      <c r="G125" s="341">
        <v>1.05</v>
      </c>
      <c r="H125" s="341">
        <v>24.9</v>
      </c>
      <c r="I125" s="341">
        <v>0.13</v>
      </c>
      <c r="J125" s="9">
        <v>100.0</v>
      </c>
      <c r="K125" s="9" t="s">
        <v>2773</v>
      </c>
      <c r="L125" s="9">
        <v>12.0</v>
      </c>
      <c r="M125" s="342" t="s">
        <v>2813</v>
      </c>
      <c r="N125" s="9">
        <v>11.0</v>
      </c>
      <c r="O125" s="9" t="s">
        <v>166</v>
      </c>
      <c r="P125" s="9" t="s">
        <v>166</v>
      </c>
      <c r="Q125" s="9" t="s">
        <v>166</v>
      </c>
      <c r="R125" s="9" t="s">
        <v>166</v>
      </c>
      <c r="S125" s="9"/>
      <c r="T125" s="9"/>
      <c r="U125" s="343"/>
      <c r="V125" s="343"/>
      <c r="W125" s="343"/>
      <c r="X125" s="343"/>
      <c r="Y125" s="343"/>
      <c r="Z125" s="343"/>
      <c r="AA125" s="343"/>
      <c r="AB125" s="343"/>
      <c r="AC125" s="343"/>
      <c r="AD125" s="343"/>
    </row>
    <row r="126">
      <c r="A126" s="314" t="s">
        <v>1387</v>
      </c>
      <c r="B126" s="340" t="s">
        <v>3039</v>
      </c>
      <c r="C126" s="9" t="s">
        <v>2002</v>
      </c>
      <c r="D126" s="9">
        <v>27.0</v>
      </c>
      <c r="E126" s="9">
        <v>1200.0</v>
      </c>
      <c r="F126" s="341">
        <v>51.17</v>
      </c>
      <c r="G126" s="341">
        <v>1.05</v>
      </c>
      <c r="H126" s="341">
        <v>24.9</v>
      </c>
      <c r="I126" s="341">
        <v>0.13</v>
      </c>
      <c r="J126" s="9">
        <v>100.0</v>
      </c>
      <c r="K126" s="9" t="s">
        <v>2773</v>
      </c>
      <c r="L126" s="9">
        <v>12.0</v>
      </c>
      <c r="M126" s="342" t="s">
        <v>2813</v>
      </c>
      <c r="N126" s="9">
        <v>11.0</v>
      </c>
      <c r="O126" s="9" t="s">
        <v>166</v>
      </c>
      <c r="P126" s="9" t="s">
        <v>174</v>
      </c>
      <c r="Q126" s="9" t="s">
        <v>166</v>
      </c>
      <c r="R126" s="9" t="s">
        <v>166</v>
      </c>
      <c r="S126" s="9"/>
      <c r="T126" s="9"/>
      <c r="U126" s="343"/>
      <c r="V126" s="343"/>
      <c r="W126" s="343"/>
      <c r="X126" s="343"/>
      <c r="Y126" s="343"/>
      <c r="Z126" s="343"/>
      <c r="AA126" s="343"/>
      <c r="AB126" s="343"/>
      <c r="AC126" s="343"/>
      <c r="AD126" s="343"/>
    </row>
    <row r="127">
      <c r="A127" s="314" t="s">
        <v>1387</v>
      </c>
      <c r="B127" s="340" t="s">
        <v>3040</v>
      </c>
      <c r="C127" s="9" t="s">
        <v>2002</v>
      </c>
      <c r="D127" s="9">
        <v>27.0</v>
      </c>
      <c r="E127" s="9">
        <v>1500.0</v>
      </c>
      <c r="F127" s="341">
        <v>66.47</v>
      </c>
      <c r="G127" s="341">
        <v>1.67</v>
      </c>
      <c r="H127" s="341">
        <v>29.75</v>
      </c>
      <c r="I127" s="341">
        <v>0.2</v>
      </c>
      <c r="J127" s="9">
        <v>100.0</v>
      </c>
      <c r="K127" s="9" t="s">
        <v>2773</v>
      </c>
      <c r="L127" s="9">
        <v>12.0</v>
      </c>
      <c r="M127" s="342" t="s">
        <v>2813</v>
      </c>
      <c r="N127" s="9">
        <v>11.0</v>
      </c>
      <c r="O127" s="9" t="s">
        <v>166</v>
      </c>
      <c r="P127" s="9" t="s">
        <v>166</v>
      </c>
      <c r="Q127" s="9" t="s">
        <v>166</v>
      </c>
      <c r="R127" s="9" t="s">
        <v>166</v>
      </c>
      <c r="S127" s="9"/>
      <c r="T127" s="9"/>
      <c r="U127" s="343"/>
      <c r="V127" s="343"/>
      <c r="W127" s="343"/>
      <c r="X127" s="343"/>
      <c r="Y127" s="343"/>
      <c r="Z127" s="343"/>
      <c r="AA127" s="343"/>
      <c r="AB127" s="343"/>
      <c r="AC127" s="343"/>
      <c r="AD127" s="343"/>
    </row>
    <row r="128">
      <c r="A128" s="314" t="s">
        <v>1387</v>
      </c>
      <c r="B128" s="340" t="s">
        <v>3041</v>
      </c>
      <c r="C128" s="9" t="s">
        <v>2002</v>
      </c>
      <c r="D128" s="9">
        <v>27.0</v>
      </c>
      <c r="E128" s="9">
        <v>1200.0</v>
      </c>
      <c r="F128" s="341">
        <v>51.17</v>
      </c>
      <c r="G128" s="341">
        <v>1.05</v>
      </c>
      <c r="H128" s="341">
        <v>24.9</v>
      </c>
      <c r="I128" s="341">
        <v>0.13</v>
      </c>
      <c r="J128" s="9">
        <v>100.0</v>
      </c>
      <c r="K128" s="9" t="s">
        <v>2773</v>
      </c>
      <c r="L128" s="9">
        <v>12.0</v>
      </c>
      <c r="M128" s="342" t="s">
        <v>2813</v>
      </c>
      <c r="N128" s="9">
        <v>11.0</v>
      </c>
      <c r="O128" s="9" t="s">
        <v>174</v>
      </c>
      <c r="P128" s="9" t="s">
        <v>166</v>
      </c>
      <c r="Q128" s="9" t="s">
        <v>166</v>
      </c>
      <c r="R128" s="9" t="s">
        <v>166</v>
      </c>
      <c r="S128" s="9"/>
      <c r="T128" s="9"/>
      <c r="U128" s="343"/>
      <c r="V128" s="343"/>
      <c r="W128" s="343"/>
      <c r="X128" s="343"/>
      <c r="Y128" s="343"/>
      <c r="Z128" s="343"/>
      <c r="AA128" s="343"/>
      <c r="AB128" s="343"/>
      <c r="AC128" s="343"/>
      <c r="AD128" s="343"/>
    </row>
    <row r="129">
      <c r="A129" s="314" t="s">
        <v>1387</v>
      </c>
      <c r="B129" s="340" t="s">
        <v>3042</v>
      </c>
      <c r="C129" s="9" t="s">
        <v>2002</v>
      </c>
      <c r="D129" s="9">
        <v>26.0</v>
      </c>
      <c r="E129" s="9">
        <v>1200.0</v>
      </c>
      <c r="F129" s="341">
        <v>52.94</v>
      </c>
      <c r="G129" s="341">
        <v>0.97</v>
      </c>
      <c r="H129" s="341">
        <v>23.8</v>
      </c>
      <c r="I129" s="341">
        <v>0.12</v>
      </c>
      <c r="J129" s="9">
        <v>215.0</v>
      </c>
      <c r="K129" s="9" t="s">
        <v>2773</v>
      </c>
      <c r="L129" s="9">
        <v>12.0</v>
      </c>
      <c r="M129" s="342" t="s">
        <v>2813</v>
      </c>
      <c r="N129" s="9">
        <v>11.0</v>
      </c>
      <c r="O129" s="9" t="s">
        <v>166</v>
      </c>
      <c r="P129" s="9" t="s">
        <v>166</v>
      </c>
      <c r="Q129" s="9" t="s">
        <v>166</v>
      </c>
      <c r="R129" s="9" t="s">
        <v>166</v>
      </c>
      <c r="S129" s="9"/>
      <c r="T129" s="9"/>
      <c r="U129" s="343"/>
      <c r="V129" s="343"/>
      <c r="W129" s="343"/>
      <c r="X129" s="343"/>
      <c r="Y129" s="343"/>
      <c r="Z129" s="343"/>
      <c r="AA129" s="343"/>
      <c r="AB129" s="343"/>
      <c r="AC129" s="343"/>
      <c r="AD129" s="343"/>
    </row>
    <row r="130">
      <c r="A130" s="314" t="s">
        <v>1387</v>
      </c>
      <c r="B130" s="340" t="s">
        <v>3043</v>
      </c>
      <c r="C130" s="9" t="s">
        <v>2002</v>
      </c>
      <c r="D130" s="9">
        <v>26.0</v>
      </c>
      <c r="E130" s="9">
        <v>1500.0</v>
      </c>
      <c r="F130" s="341">
        <v>67.62</v>
      </c>
      <c r="G130" s="341">
        <v>1.5</v>
      </c>
      <c r="H130" s="341">
        <v>28.6</v>
      </c>
      <c r="I130" s="341">
        <v>0.16</v>
      </c>
      <c r="J130" s="9">
        <v>215.0</v>
      </c>
      <c r="K130" s="9" t="s">
        <v>2773</v>
      </c>
      <c r="L130" s="9">
        <v>12.0</v>
      </c>
      <c r="M130" s="342" t="s">
        <v>2813</v>
      </c>
      <c r="N130" s="9">
        <v>11.0</v>
      </c>
      <c r="O130" s="9" t="s">
        <v>166</v>
      </c>
      <c r="P130" s="9" t="s">
        <v>166</v>
      </c>
      <c r="Q130" s="9" t="s">
        <v>166</v>
      </c>
      <c r="R130" s="9" t="s">
        <v>166</v>
      </c>
      <c r="S130" s="9"/>
      <c r="T130" s="9"/>
      <c r="U130" s="343"/>
      <c r="V130" s="343"/>
      <c r="W130" s="343"/>
      <c r="X130" s="343"/>
      <c r="Y130" s="343"/>
      <c r="Z130" s="343"/>
      <c r="AA130" s="343"/>
      <c r="AB130" s="343"/>
      <c r="AC130" s="343"/>
      <c r="AD130" s="343"/>
    </row>
    <row r="131">
      <c r="A131" s="314" t="s">
        <v>1387</v>
      </c>
      <c r="B131" s="340" t="s">
        <v>3044</v>
      </c>
      <c r="C131" s="9" t="s">
        <v>2002</v>
      </c>
      <c r="D131" s="9">
        <v>26.0</v>
      </c>
      <c r="E131" s="9">
        <v>2000.0</v>
      </c>
      <c r="F131" s="341">
        <v>90.28</v>
      </c>
      <c r="G131" s="341">
        <v>2.67</v>
      </c>
      <c r="H131" s="341">
        <v>36.2</v>
      </c>
      <c r="I131" s="341">
        <v>0.35</v>
      </c>
      <c r="J131" s="9">
        <v>215.0</v>
      </c>
      <c r="K131" s="9" t="s">
        <v>2773</v>
      </c>
      <c r="L131" s="9">
        <v>12.0</v>
      </c>
      <c r="M131" s="342" t="s">
        <v>2813</v>
      </c>
      <c r="N131" s="9">
        <v>11.0</v>
      </c>
      <c r="O131" s="9" t="s">
        <v>166</v>
      </c>
      <c r="P131" s="9" t="s">
        <v>166</v>
      </c>
      <c r="Q131" s="9" t="s">
        <v>166</v>
      </c>
      <c r="R131" s="9" t="s">
        <v>166</v>
      </c>
      <c r="S131" s="9"/>
      <c r="T131" s="9"/>
      <c r="U131" s="343"/>
      <c r="V131" s="343"/>
      <c r="W131" s="343"/>
      <c r="X131" s="343"/>
      <c r="Y131" s="343"/>
      <c r="Z131" s="343"/>
      <c r="AA131" s="343"/>
      <c r="AB131" s="343"/>
      <c r="AC131" s="343"/>
      <c r="AD131" s="343"/>
    </row>
    <row r="132">
      <c r="A132" s="314" t="s">
        <v>1387</v>
      </c>
      <c r="B132" s="340" t="s">
        <v>3045</v>
      </c>
      <c r="C132" s="9" t="s">
        <v>2002</v>
      </c>
      <c r="D132" s="9">
        <v>26.0</v>
      </c>
      <c r="E132" s="9">
        <v>1200.0</v>
      </c>
      <c r="F132" s="341">
        <v>37.73</v>
      </c>
      <c r="G132" s="341">
        <v>0.89</v>
      </c>
      <c r="H132" s="341">
        <v>18.6</v>
      </c>
      <c r="I132" s="341">
        <v>0.06</v>
      </c>
      <c r="J132" s="9">
        <v>160.0</v>
      </c>
      <c r="K132" s="9" t="s">
        <v>2773</v>
      </c>
      <c r="L132" s="9">
        <v>12.0</v>
      </c>
      <c r="M132" s="342" t="s">
        <v>2872</v>
      </c>
      <c r="N132" s="9">
        <v>9.0</v>
      </c>
      <c r="O132" s="9" t="s">
        <v>166</v>
      </c>
      <c r="P132" s="9" t="s">
        <v>166</v>
      </c>
      <c r="Q132" s="9" t="s">
        <v>166</v>
      </c>
      <c r="R132" s="9" t="s">
        <v>166</v>
      </c>
      <c r="S132" s="9"/>
      <c r="T132" s="9"/>
      <c r="U132" s="343"/>
      <c r="V132" s="343"/>
      <c r="W132" s="343"/>
      <c r="X132" s="343"/>
      <c r="Y132" s="343"/>
      <c r="Z132" s="343"/>
      <c r="AA132" s="343"/>
      <c r="AB132" s="343"/>
      <c r="AC132" s="343"/>
      <c r="AD132" s="343"/>
    </row>
    <row r="133">
      <c r="A133" s="314" t="s">
        <v>1387</v>
      </c>
      <c r="B133" s="340" t="s">
        <v>3046</v>
      </c>
      <c r="C133" s="9" t="s">
        <v>2002</v>
      </c>
      <c r="D133" s="9">
        <v>26.0</v>
      </c>
      <c r="E133" s="9">
        <v>1800.0</v>
      </c>
      <c r="F133" s="341">
        <v>51.68</v>
      </c>
      <c r="G133" s="341">
        <v>1.74</v>
      </c>
      <c r="H133" s="341">
        <v>22.9</v>
      </c>
      <c r="I133" s="341">
        <v>0.1</v>
      </c>
      <c r="J133" s="9">
        <v>160.0</v>
      </c>
      <c r="K133" s="9" t="s">
        <v>2773</v>
      </c>
      <c r="L133" s="9">
        <v>12.0</v>
      </c>
      <c r="M133" s="342" t="s">
        <v>2872</v>
      </c>
      <c r="N133" s="9">
        <v>9.0</v>
      </c>
      <c r="O133" s="9" t="s">
        <v>166</v>
      </c>
      <c r="P133" s="9" t="s">
        <v>166</v>
      </c>
      <c r="Q133" s="9" t="s">
        <v>166</v>
      </c>
      <c r="R133" s="9" t="s">
        <v>166</v>
      </c>
      <c r="S133" s="9"/>
      <c r="T133" s="9"/>
      <c r="U133" s="343"/>
      <c r="V133" s="343"/>
      <c r="W133" s="343"/>
      <c r="X133" s="343"/>
      <c r="Y133" s="343"/>
      <c r="Z133" s="343"/>
      <c r="AA133" s="343"/>
      <c r="AB133" s="343"/>
      <c r="AC133" s="343"/>
      <c r="AD133" s="343"/>
    </row>
    <row r="134">
      <c r="A134" s="314" t="s">
        <v>1387</v>
      </c>
      <c r="B134" s="340" t="s">
        <v>3047</v>
      </c>
      <c r="C134" s="9" t="s">
        <v>2002</v>
      </c>
      <c r="D134" s="9">
        <v>26.0</v>
      </c>
      <c r="E134" s="9">
        <v>2400.0</v>
      </c>
      <c r="F134" s="341">
        <v>77.23</v>
      </c>
      <c r="G134" s="341">
        <v>3.59</v>
      </c>
      <c r="H134" s="341">
        <v>29.3</v>
      </c>
      <c r="I134" s="341">
        <v>0.15</v>
      </c>
      <c r="J134" s="9">
        <v>165.0</v>
      </c>
      <c r="K134" s="9" t="s">
        <v>2773</v>
      </c>
      <c r="L134" s="9">
        <v>12.0</v>
      </c>
      <c r="M134" s="342" t="s">
        <v>2872</v>
      </c>
      <c r="N134" s="9">
        <v>9.0</v>
      </c>
      <c r="O134" s="9" t="s">
        <v>166</v>
      </c>
      <c r="P134" s="9" t="s">
        <v>166</v>
      </c>
      <c r="Q134" s="9" t="s">
        <v>166</v>
      </c>
      <c r="R134" s="9" t="s">
        <v>166</v>
      </c>
      <c r="S134" s="9"/>
      <c r="T134" s="9"/>
      <c r="U134" s="343"/>
      <c r="V134" s="343"/>
      <c r="W134" s="343"/>
      <c r="X134" s="343"/>
      <c r="Y134" s="343"/>
      <c r="Z134" s="343"/>
      <c r="AA134" s="343"/>
      <c r="AB134" s="343"/>
      <c r="AC134" s="343"/>
      <c r="AD134" s="343"/>
    </row>
    <row r="135">
      <c r="A135" s="314" t="s">
        <v>1387</v>
      </c>
      <c r="B135" s="351" t="s">
        <v>3048</v>
      </c>
      <c r="C135" s="9" t="s">
        <v>2002</v>
      </c>
      <c r="D135" s="9">
        <v>26.0</v>
      </c>
      <c r="E135" s="9">
        <v>2000.0</v>
      </c>
      <c r="F135" s="341">
        <v>60.29</v>
      </c>
      <c r="G135" s="341">
        <v>2.45</v>
      </c>
      <c r="H135" s="341">
        <v>26.88</v>
      </c>
      <c r="I135" s="341">
        <v>0.15</v>
      </c>
      <c r="J135" s="9">
        <v>177.0</v>
      </c>
      <c r="K135" s="9" t="s">
        <v>2773</v>
      </c>
      <c r="L135" s="9">
        <v>12.0</v>
      </c>
      <c r="M135" s="342" t="s">
        <v>2813</v>
      </c>
      <c r="N135" s="9">
        <v>9.0</v>
      </c>
      <c r="O135" s="9" t="s">
        <v>166</v>
      </c>
      <c r="P135" s="9" t="s">
        <v>166</v>
      </c>
      <c r="Q135" s="9" t="s">
        <v>166</v>
      </c>
      <c r="R135" s="9" t="s">
        <v>166</v>
      </c>
      <c r="S135" s="353"/>
      <c r="T135" s="9"/>
      <c r="U135" s="343"/>
      <c r="V135" s="343"/>
      <c r="W135" s="343"/>
      <c r="X135" s="343"/>
      <c r="Y135" s="343"/>
      <c r="Z135" s="343"/>
      <c r="AA135" s="343"/>
      <c r="AB135" s="343"/>
      <c r="AC135" s="343"/>
      <c r="AD135" s="343"/>
    </row>
    <row r="136">
      <c r="A136" s="312" t="s">
        <v>209</v>
      </c>
      <c r="B136" s="351" t="s">
        <v>3049</v>
      </c>
      <c r="C136" s="9" t="s">
        <v>2002</v>
      </c>
      <c r="D136" s="9">
        <v>25.0</v>
      </c>
      <c r="E136" s="9">
        <v>2000.0</v>
      </c>
      <c r="F136" s="341">
        <v>51.32</v>
      </c>
      <c r="G136" s="341">
        <v>2.3</v>
      </c>
      <c r="H136" s="341">
        <v>33.5</v>
      </c>
      <c r="I136" s="341">
        <v>0.45</v>
      </c>
      <c r="J136" s="9">
        <v>152.0</v>
      </c>
      <c r="K136" s="9" t="s">
        <v>2773</v>
      </c>
      <c r="L136" s="9">
        <v>12.0</v>
      </c>
      <c r="M136" s="342" t="s">
        <v>2804</v>
      </c>
      <c r="N136" s="9">
        <v>9.0</v>
      </c>
      <c r="O136" s="9" t="s">
        <v>166</v>
      </c>
      <c r="P136" s="9" t="s">
        <v>174</v>
      </c>
      <c r="Q136" s="9" t="s">
        <v>166</v>
      </c>
      <c r="R136" s="9" t="s">
        <v>166</v>
      </c>
      <c r="S136" s="358" t="s">
        <v>214</v>
      </c>
      <c r="T136" s="9"/>
      <c r="U136" s="343"/>
      <c r="V136" s="343"/>
      <c r="W136" s="343"/>
      <c r="X136" s="343"/>
      <c r="Y136" s="343"/>
      <c r="Z136" s="343"/>
      <c r="AA136" s="343"/>
      <c r="AB136" s="343"/>
      <c r="AC136" s="343"/>
      <c r="AD136" s="343"/>
    </row>
    <row r="137">
      <c r="A137" s="312" t="s">
        <v>209</v>
      </c>
      <c r="B137" s="351" t="s">
        <v>3050</v>
      </c>
      <c r="C137" s="9" t="s">
        <v>2002</v>
      </c>
      <c r="D137" s="9">
        <v>25.0</v>
      </c>
      <c r="E137" s="9">
        <v>2500.0</v>
      </c>
      <c r="F137" s="341">
        <v>100.0</v>
      </c>
      <c r="G137" s="341">
        <v>4.66</v>
      </c>
      <c r="H137" s="341">
        <v>41.2</v>
      </c>
      <c r="I137" s="341">
        <v>0.45</v>
      </c>
      <c r="J137" s="9">
        <v>160.0</v>
      </c>
      <c r="K137" s="9" t="s">
        <v>2773</v>
      </c>
      <c r="L137" s="9">
        <v>12.0</v>
      </c>
      <c r="M137" s="342" t="s">
        <v>2804</v>
      </c>
      <c r="N137" s="9">
        <v>9.0</v>
      </c>
      <c r="O137" s="9" t="s">
        <v>166</v>
      </c>
      <c r="P137" s="9" t="s">
        <v>166</v>
      </c>
      <c r="Q137" s="9" t="s">
        <v>166</v>
      </c>
      <c r="R137" s="9" t="s">
        <v>166</v>
      </c>
      <c r="S137" s="9"/>
      <c r="T137" s="9"/>
      <c r="U137" s="343"/>
      <c r="V137" s="343"/>
      <c r="W137" s="343"/>
      <c r="X137" s="343"/>
      <c r="Y137" s="343"/>
      <c r="Z137" s="343"/>
      <c r="AA137" s="343"/>
      <c r="AB137" s="343"/>
      <c r="AC137" s="343"/>
      <c r="AD137" s="343"/>
    </row>
    <row r="138">
      <c r="A138" s="312" t="s">
        <v>209</v>
      </c>
      <c r="B138" s="351" t="s">
        <v>3051</v>
      </c>
      <c r="C138" s="9" t="s">
        <v>2002</v>
      </c>
      <c r="D138" s="9">
        <v>25.0</v>
      </c>
      <c r="E138" s="9">
        <v>2500.0</v>
      </c>
      <c r="F138" s="341">
        <v>100.0</v>
      </c>
      <c r="G138" s="341">
        <v>4.66</v>
      </c>
      <c r="H138" s="341">
        <v>41.2</v>
      </c>
      <c r="I138" s="341">
        <v>0.45</v>
      </c>
      <c r="J138" s="9">
        <v>166.0</v>
      </c>
      <c r="K138" s="9" t="s">
        <v>2773</v>
      </c>
      <c r="L138" s="9">
        <v>12.0</v>
      </c>
      <c r="M138" s="342" t="s">
        <v>2804</v>
      </c>
      <c r="N138" s="9">
        <v>9.0</v>
      </c>
      <c r="O138" s="9" t="s">
        <v>166</v>
      </c>
      <c r="P138" s="9" t="s">
        <v>174</v>
      </c>
      <c r="Q138" s="9" t="s">
        <v>166</v>
      </c>
      <c r="R138" s="9" t="s">
        <v>166</v>
      </c>
      <c r="S138" s="358" t="s">
        <v>214</v>
      </c>
      <c r="T138" s="358" t="s">
        <v>214</v>
      </c>
      <c r="U138" s="343"/>
      <c r="V138" s="343"/>
      <c r="W138" s="343"/>
      <c r="X138" s="343"/>
      <c r="Y138" s="343"/>
      <c r="Z138" s="343"/>
      <c r="AA138" s="343"/>
      <c r="AB138" s="343"/>
      <c r="AC138" s="343"/>
      <c r="AD138" s="343"/>
    </row>
    <row r="139">
      <c r="A139" s="312" t="s">
        <v>209</v>
      </c>
      <c r="B139" s="351" t="s">
        <v>3052</v>
      </c>
      <c r="C139" s="9" t="s">
        <v>2002</v>
      </c>
      <c r="D139" s="9">
        <v>25.0</v>
      </c>
      <c r="E139" s="9">
        <v>2000.0</v>
      </c>
      <c r="F139" s="341">
        <v>66.0</v>
      </c>
      <c r="G139" s="341">
        <v>2.22</v>
      </c>
      <c r="H139" s="341">
        <v>30.6</v>
      </c>
      <c r="I139" s="341">
        <v>0.11</v>
      </c>
      <c r="J139" s="9">
        <v>167.0</v>
      </c>
      <c r="K139" s="9" t="s">
        <v>2773</v>
      </c>
      <c r="L139" s="9">
        <v>12.0</v>
      </c>
      <c r="M139" s="342" t="s">
        <v>3053</v>
      </c>
      <c r="N139" s="9">
        <v>9.0</v>
      </c>
      <c r="O139" s="9" t="s">
        <v>166</v>
      </c>
      <c r="P139" s="9" t="s">
        <v>166</v>
      </c>
      <c r="Q139" s="9" t="s">
        <v>166</v>
      </c>
      <c r="R139" s="9" t="s">
        <v>166</v>
      </c>
      <c r="S139" s="9"/>
      <c r="T139" s="9"/>
      <c r="U139" s="343"/>
      <c r="V139" s="343"/>
      <c r="W139" s="343"/>
      <c r="X139" s="343"/>
      <c r="Y139" s="343"/>
      <c r="Z139" s="343"/>
      <c r="AA139" s="343"/>
      <c r="AB139" s="343"/>
      <c r="AC139" s="343"/>
      <c r="AD139" s="343"/>
    </row>
    <row r="140">
      <c r="A140" s="312" t="s">
        <v>209</v>
      </c>
      <c r="B140" s="351" t="s">
        <v>3054</v>
      </c>
      <c r="C140" s="9" t="s">
        <v>2002</v>
      </c>
      <c r="D140" s="9">
        <v>25.0</v>
      </c>
      <c r="E140" s="9">
        <v>2000.0</v>
      </c>
      <c r="F140" s="341">
        <v>66.0</v>
      </c>
      <c r="G140" s="341">
        <v>2.22</v>
      </c>
      <c r="H140" s="341">
        <v>30.6</v>
      </c>
      <c r="I140" s="341">
        <v>0.11</v>
      </c>
      <c r="J140" s="9">
        <v>167.0</v>
      </c>
      <c r="K140" s="9" t="s">
        <v>2773</v>
      </c>
      <c r="L140" s="9">
        <v>12.0</v>
      </c>
      <c r="M140" s="342" t="s">
        <v>2769</v>
      </c>
      <c r="N140" s="9">
        <v>9.0</v>
      </c>
      <c r="O140" s="9" t="s">
        <v>166</v>
      </c>
      <c r="P140" s="9" t="s">
        <v>174</v>
      </c>
      <c r="Q140" s="9" t="s">
        <v>166</v>
      </c>
      <c r="R140" s="9" t="s">
        <v>166</v>
      </c>
      <c r="S140" s="358" t="s">
        <v>214</v>
      </c>
      <c r="T140" s="9"/>
      <c r="U140" s="343"/>
      <c r="V140" s="343"/>
      <c r="W140" s="343"/>
      <c r="X140" s="343"/>
      <c r="Y140" s="343"/>
      <c r="Z140" s="343"/>
      <c r="AA140" s="343"/>
      <c r="AB140" s="343"/>
      <c r="AC140" s="343"/>
      <c r="AD140" s="343"/>
    </row>
    <row r="141">
      <c r="A141" s="312" t="s">
        <v>209</v>
      </c>
      <c r="B141" s="351" t="s">
        <v>3055</v>
      </c>
      <c r="C141" s="9" t="s">
        <v>2002</v>
      </c>
      <c r="D141" s="9">
        <v>25.0</v>
      </c>
      <c r="E141" s="9">
        <v>1500.0</v>
      </c>
      <c r="F141" s="341">
        <v>48.0</v>
      </c>
      <c r="G141" s="341">
        <v>1.26</v>
      </c>
      <c r="H141" s="341">
        <v>23.1</v>
      </c>
      <c r="I141" s="341">
        <v>0.11</v>
      </c>
      <c r="J141" s="9">
        <v>167.0</v>
      </c>
      <c r="K141" s="9" t="s">
        <v>2767</v>
      </c>
      <c r="L141" s="9">
        <v>12.0</v>
      </c>
      <c r="M141" s="342" t="s">
        <v>3053</v>
      </c>
      <c r="N141" s="9">
        <v>9.0</v>
      </c>
      <c r="O141" s="9" t="s">
        <v>166</v>
      </c>
      <c r="P141" s="9" t="s">
        <v>166</v>
      </c>
      <c r="Q141" s="9" t="s">
        <v>166</v>
      </c>
      <c r="R141" s="9" t="s">
        <v>166</v>
      </c>
      <c r="S141" s="9"/>
      <c r="T141" s="9"/>
      <c r="U141" s="343"/>
      <c r="V141" s="343"/>
      <c r="W141" s="343"/>
      <c r="X141" s="343"/>
      <c r="Y141" s="343"/>
      <c r="Z141" s="343"/>
      <c r="AA141" s="343"/>
      <c r="AB141" s="343"/>
      <c r="AC141" s="343"/>
      <c r="AD141" s="343"/>
    </row>
    <row r="142">
      <c r="A142" s="314" t="s">
        <v>1634</v>
      </c>
      <c r="B142" s="351" t="s">
        <v>3056</v>
      </c>
      <c r="C142" s="9" t="s">
        <v>2002</v>
      </c>
      <c r="D142" s="9">
        <v>25.6</v>
      </c>
      <c r="E142" s="9">
        <v>2150.0</v>
      </c>
      <c r="F142" s="341">
        <v>69.0</v>
      </c>
      <c r="G142" s="341">
        <v>2.87</v>
      </c>
      <c r="H142" s="341">
        <v>28.1</v>
      </c>
      <c r="I142" s="341">
        <v>0.16</v>
      </c>
      <c r="J142" s="9">
        <v>205.0</v>
      </c>
      <c r="K142" s="9" t="s">
        <v>2773</v>
      </c>
      <c r="L142" s="9">
        <v>12.0</v>
      </c>
      <c r="M142" s="342" t="s">
        <v>2872</v>
      </c>
      <c r="N142" s="9">
        <v>9.0</v>
      </c>
      <c r="O142" s="9" t="s">
        <v>166</v>
      </c>
      <c r="P142" s="9" t="s">
        <v>166</v>
      </c>
      <c r="Q142" s="9" t="s">
        <v>166</v>
      </c>
      <c r="R142" s="9" t="s">
        <v>166</v>
      </c>
      <c r="S142" s="9"/>
      <c r="T142" s="9"/>
      <c r="U142" s="343"/>
      <c r="V142" s="343"/>
      <c r="W142" s="343"/>
      <c r="X142" s="343"/>
      <c r="Y142" s="343"/>
      <c r="Z142" s="343"/>
      <c r="AA142" s="343"/>
      <c r="AB142" s="343"/>
      <c r="AC142" s="343"/>
      <c r="AD142" s="343"/>
    </row>
    <row r="143">
      <c r="A143" s="314" t="s">
        <v>1634</v>
      </c>
      <c r="B143" s="351" t="s">
        <v>3057</v>
      </c>
      <c r="C143" s="9" t="s">
        <v>2002</v>
      </c>
      <c r="D143" s="9">
        <v>25.6</v>
      </c>
      <c r="E143" s="9">
        <v>2150.0</v>
      </c>
      <c r="F143" s="341">
        <v>69.0</v>
      </c>
      <c r="G143" s="341">
        <v>2.87</v>
      </c>
      <c r="H143" s="341">
        <v>28.1</v>
      </c>
      <c r="I143" s="341">
        <v>0.16</v>
      </c>
      <c r="J143" s="9">
        <v>205.0</v>
      </c>
      <c r="K143" s="9" t="s">
        <v>2773</v>
      </c>
      <c r="L143" s="9">
        <v>12.0</v>
      </c>
      <c r="M143" s="342" t="s">
        <v>2799</v>
      </c>
      <c r="N143" s="9">
        <v>9.0</v>
      </c>
      <c r="O143" s="9" t="s">
        <v>166</v>
      </c>
      <c r="P143" s="9" t="s">
        <v>174</v>
      </c>
      <c r="Q143" s="9" t="s">
        <v>166</v>
      </c>
      <c r="R143" s="9" t="s">
        <v>166</v>
      </c>
      <c r="S143" s="9"/>
      <c r="T143" s="9"/>
      <c r="U143" s="343"/>
      <c r="V143" s="343"/>
      <c r="W143" s="343"/>
      <c r="X143" s="343"/>
      <c r="Y143" s="343"/>
      <c r="Z143" s="343"/>
      <c r="AA143" s="343"/>
      <c r="AB143" s="343"/>
      <c r="AC143" s="343"/>
      <c r="AD143" s="343"/>
    </row>
    <row r="144">
      <c r="A144" s="314" t="s">
        <v>1634</v>
      </c>
      <c r="B144" s="351" t="s">
        <v>3058</v>
      </c>
      <c r="C144" s="9" t="s">
        <v>2002</v>
      </c>
      <c r="D144" s="9">
        <v>25.6</v>
      </c>
      <c r="E144" s="9">
        <v>2150.0</v>
      </c>
      <c r="F144" s="341">
        <v>69.0</v>
      </c>
      <c r="G144" s="341">
        <v>2.87</v>
      </c>
      <c r="H144" s="341">
        <v>28.1</v>
      </c>
      <c r="I144" s="341">
        <v>0.16</v>
      </c>
      <c r="J144" s="9">
        <v>205.0</v>
      </c>
      <c r="K144" s="9" t="s">
        <v>2773</v>
      </c>
      <c r="L144" s="9">
        <v>12.0</v>
      </c>
      <c r="M144" s="342" t="s">
        <v>2799</v>
      </c>
      <c r="N144" s="9">
        <v>9.0</v>
      </c>
      <c r="O144" s="9" t="s">
        <v>166</v>
      </c>
      <c r="P144" s="9" t="s">
        <v>174</v>
      </c>
      <c r="Q144" s="9" t="s">
        <v>166</v>
      </c>
      <c r="R144" s="9" t="s">
        <v>166</v>
      </c>
      <c r="S144" s="9"/>
      <c r="T144" s="9"/>
      <c r="U144" s="343"/>
      <c r="V144" s="343"/>
      <c r="W144" s="343"/>
      <c r="X144" s="343"/>
      <c r="Y144" s="343"/>
      <c r="Z144" s="343"/>
      <c r="AA144" s="343"/>
      <c r="AB144" s="343"/>
      <c r="AC144" s="343"/>
      <c r="AD144" s="343"/>
    </row>
    <row r="145">
      <c r="A145" s="314" t="s">
        <v>1634</v>
      </c>
      <c r="B145" s="351" t="s">
        <v>3059</v>
      </c>
      <c r="C145" s="9" t="s">
        <v>2002</v>
      </c>
      <c r="D145" s="9">
        <v>25.6</v>
      </c>
      <c r="E145" s="9">
        <v>2150.0</v>
      </c>
      <c r="F145" s="341">
        <v>69.0</v>
      </c>
      <c r="G145" s="341">
        <v>2.87</v>
      </c>
      <c r="H145" s="341">
        <v>28.1</v>
      </c>
      <c r="I145" s="341">
        <v>0.16</v>
      </c>
      <c r="J145" s="9">
        <v>205.0</v>
      </c>
      <c r="K145" s="9" t="s">
        <v>2773</v>
      </c>
      <c r="L145" s="9">
        <v>12.0</v>
      </c>
      <c r="M145" s="342" t="s">
        <v>2799</v>
      </c>
      <c r="N145" s="9">
        <v>9.0</v>
      </c>
      <c r="O145" s="9" t="s">
        <v>166</v>
      </c>
      <c r="P145" s="9" t="s">
        <v>174</v>
      </c>
      <c r="Q145" s="9" t="s">
        <v>166</v>
      </c>
      <c r="R145" s="9" t="s">
        <v>166</v>
      </c>
      <c r="S145" s="9"/>
      <c r="T145" s="9"/>
      <c r="U145" s="343"/>
      <c r="V145" s="343"/>
      <c r="W145" s="343"/>
      <c r="X145" s="343"/>
      <c r="Y145" s="343"/>
      <c r="Z145" s="343"/>
      <c r="AA145" s="343"/>
      <c r="AB145" s="343"/>
      <c r="AC145" s="343"/>
      <c r="AD145" s="343"/>
    </row>
    <row r="146">
      <c r="A146" s="314" t="s">
        <v>1634</v>
      </c>
      <c r="B146" s="351" t="s">
        <v>3060</v>
      </c>
      <c r="C146" s="9" t="s">
        <v>2002</v>
      </c>
      <c r="D146" s="9">
        <v>25.6</v>
      </c>
      <c r="E146" s="9">
        <v>2150.0</v>
      </c>
      <c r="F146" s="341">
        <v>69.0</v>
      </c>
      <c r="G146" s="341">
        <v>2.87</v>
      </c>
      <c r="H146" s="341">
        <v>28.1</v>
      </c>
      <c r="I146" s="341">
        <v>0.16</v>
      </c>
      <c r="J146" s="9">
        <v>205.0</v>
      </c>
      <c r="K146" s="9" t="s">
        <v>2773</v>
      </c>
      <c r="L146" s="9">
        <v>12.0</v>
      </c>
      <c r="M146" s="342" t="s">
        <v>2872</v>
      </c>
      <c r="N146" s="9">
        <v>9.0</v>
      </c>
      <c r="O146" s="9" t="s">
        <v>166</v>
      </c>
      <c r="P146" s="9" t="s">
        <v>166</v>
      </c>
      <c r="Q146" s="9" t="s">
        <v>166</v>
      </c>
      <c r="R146" s="9" t="s">
        <v>166</v>
      </c>
      <c r="S146" s="9"/>
      <c r="T146" s="9"/>
      <c r="U146" s="343"/>
      <c r="V146" s="343"/>
      <c r="W146" s="343"/>
      <c r="X146" s="343"/>
      <c r="Y146" s="343"/>
      <c r="Z146" s="343"/>
      <c r="AA146" s="343"/>
      <c r="AB146" s="343"/>
      <c r="AC146" s="343"/>
      <c r="AD146" s="343"/>
    </row>
    <row r="147">
      <c r="A147" s="314" t="s">
        <v>1634</v>
      </c>
      <c r="B147" s="351" t="s">
        <v>3061</v>
      </c>
      <c r="C147" s="9" t="s">
        <v>2002</v>
      </c>
      <c r="D147" s="9">
        <v>25.6</v>
      </c>
      <c r="E147" s="9">
        <v>2150.0</v>
      </c>
      <c r="F147" s="341">
        <v>69.0</v>
      </c>
      <c r="G147" s="341">
        <v>2.87</v>
      </c>
      <c r="H147" s="341">
        <v>28.1</v>
      </c>
      <c r="I147" s="341">
        <v>0.16</v>
      </c>
      <c r="J147" s="9">
        <v>205.0</v>
      </c>
      <c r="K147" s="9" t="s">
        <v>2773</v>
      </c>
      <c r="L147" s="9">
        <v>12.0</v>
      </c>
      <c r="M147" s="342" t="s">
        <v>2799</v>
      </c>
      <c r="N147" s="9">
        <v>9.0</v>
      </c>
      <c r="O147" s="9" t="s">
        <v>166</v>
      </c>
      <c r="P147" s="9" t="s">
        <v>174</v>
      </c>
      <c r="Q147" s="9" t="s">
        <v>166</v>
      </c>
      <c r="R147" s="9" t="s">
        <v>166</v>
      </c>
      <c r="S147" s="9"/>
      <c r="T147" s="9"/>
      <c r="U147" s="343"/>
      <c r="V147" s="343"/>
      <c r="W147" s="343"/>
      <c r="X147" s="343"/>
      <c r="Y147" s="343"/>
      <c r="Z147" s="343"/>
      <c r="AA147" s="343"/>
      <c r="AB147" s="343"/>
      <c r="AC147" s="343"/>
      <c r="AD147" s="343"/>
    </row>
    <row r="148">
      <c r="A148" s="314" t="s">
        <v>1634</v>
      </c>
      <c r="B148" s="351" t="s">
        <v>3062</v>
      </c>
      <c r="C148" s="9" t="s">
        <v>2002</v>
      </c>
      <c r="D148" s="9">
        <v>25.6</v>
      </c>
      <c r="E148" s="9">
        <v>3150.0</v>
      </c>
      <c r="F148" s="341">
        <v>112.0</v>
      </c>
      <c r="G148" s="341">
        <v>5.0</v>
      </c>
      <c r="H148" s="341">
        <v>40.5</v>
      </c>
      <c r="I148" s="341">
        <v>0.35</v>
      </c>
      <c r="J148" s="9">
        <v>215.0</v>
      </c>
      <c r="K148" s="9" t="s">
        <v>2773</v>
      </c>
      <c r="L148" s="9">
        <v>12.0</v>
      </c>
      <c r="M148" s="342" t="s">
        <v>2849</v>
      </c>
      <c r="N148" s="9">
        <v>9.0</v>
      </c>
      <c r="O148" s="9" t="s">
        <v>166</v>
      </c>
      <c r="P148" s="9" t="s">
        <v>166</v>
      </c>
      <c r="Q148" s="9" t="s">
        <v>166</v>
      </c>
      <c r="R148" s="9" t="s">
        <v>166</v>
      </c>
      <c r="S148" s="9"/>
      <c r="T148" s="9"/>
      <c r="U148" s="343"/>
      <c r="V148" s="343"/>
      <c r="W148" s="343"/>
      <c r="X148" s="343"/>
      <c r="Y148" s="343"/>
      <c r="Z148" s="343"/>
      <c r="AA148" s="343"/>
      <c r="AB148" s="343"/>
      <c r="AC148" s="343"/>
      <c r="AD148" s="343"/>
    </row>
    <row r="149">
      <c r="A149" s="314" t="s">
        <v>1634</v>
      </c>
      <c r="B149" s="340" t="s">
        <v>3063</v>
      </c>
      <c r="C149" s="9" t="s">
        <v>2002</v>
      </c>
      <c r="D149" s="9">
        <v>25.6</v>
      </c>
      <c r="E149" s="9">
        <v>2150.0</v>
      </c>
      <c r="F149" s="341">
        <v>69.0</v>
      </c>
      <c r="G149" s="341">
        <v>2.87</v>
      </c>
      <c r="H149" s="341">
        <v>28.1</v>
      </c>
      <c r="I149" s="341">
        <v>0.25</v>
      </c>
      <c r="J149" s="9">
        <v>205.0</v>
      </c>
      <c r="K149" s="9" t="s">
        <v>2773</v>
      </c>
      <c r="L149" s="9">
        <v>12.0</v>
      </c>
      <c r="M149" s="342" t="s">
        <v>2849</v>
      </c>
      <c r="N149" s="9">
        <v>9.0</v>
      </c>
      <c r="O149" s="9" t="s">
        <v>166</v>
      </c>
      <c r="P149" s="9" t="s">
        <v>166</v>
      </c>
      <c r="Q149" s="9" t="s">
        <v>166</v>
      </c>
      <c r="R149" s="9" t="s">
        <v>166</v>
      </c>
      <c r="S149" s="9"/>
      <c r="T149" s="9"/>
      <c r="U149" s="343"/>
      <c r="V149" s="343"/>
      <c r="W149" s="343"/>
      <c r="X149" s="343"/>
      <c r="Y149" s="343"/>
      <c r="Z149" s="343"/>
      <c r="AA149" s="343"/>
      <c r="AB149" s="343"/>
      <c r="AC149" s="343"/>
      <c r="AD149" s="343"/>
    </row>
    <row r="150">
      <c r="A150" s="314" t="s">
        <v>1634</v>
      </c>
      <c r="B150" s="340" t="s">
        <v>3064</v>
      </c>
      <c r="C150" s="9" t="s">
        <v>2002</v>
      </c>
      <c r="D150" s="9">
        <v>25.0</v>
      </c>
      <c r="E150" s="9">
        <v>1850.0</v>
      </c>
      <c r="F150" s="341">
        <v>82.0</v>
      </c>
      <c r="G150" s="341">
        <v>2.1</v>
      </c>
      <c r="H150" s="341">
        <v>29.6</v>
      </c>
      <c r="I150" s="341">
        <v>0.25</v>
      </c>
      <c r="J150" s="9">
        <v>170.0</v>
      </c>
      <c r="K150" s="9" t="s">
        <v>2773</v>
      </c>
      <c r="L150" s="9">
        <v>12.0</v>
      </c>
      <c r="M150" s="342" t="s">
        <v>2872</v>
      </c>
      <c r="N150" s="9">
        <v>9.0</v>
      </c>
      <c r="O150" s="9" t="s">
        <v>166</v>
      </c>
      <c r="P150" s="9" t="s">
        <v>166</v>
      </c>
      <c r="Q150" s="9" t="s">
        <v>166</v>
      </c>
      <c r="R150" s="9" t="s">
        <v>166</v>
      </c>
      <c r="S150" s="9"/>
      <c r="T150" s="9"/>
      <c r="U150" s="343"/>
      <c r="V150" s="343"/>
      <c r="W150" s="343"/>
      <c r="X150" s="343"/>
      <c r="Y150" s="343"/>
      <c r="Z150" s="343"/>
      <c r="AA150" s="343"/>
      <c r="AB150" s="343"/>
      <c r="AC150" s="343"/>
      <c r="AD150" s="343"/>
    </row>
    <row r="151">
      <c r="A151" s="314" t="s">
        <v>1634</v>
      </c>
      <c r="B151" s="340" t="s">
        <v>3065</v>
      </c>
      <c r="C151" s="9" t="s">
        <v>2002</v>
      </c>
      <c r="D151" s="9">
        <v>25.0</v>
      </c>
      <c r="E151" s="9">
        <v>1850.0</v>
      </c>
      <c r="F151" s="341">
        <v>82.0</v>
      </c>
      <c r="G151" s="341">
        <v>2.1</v>
      </c>
      <c r="H151" s="341">
        <v>29.6</v>
      </c>
      <c r="I151" s="341">
        <v>0.25</v>
      </c>
      <c r="J151" s="9">
        <v>170.0</v>
      </c>
      <c r="K151" s="9" t="s">
        <v>2773</v>
      </c>
      <c r="L151" s="9">
        <v>12.0</v>
      </c>
      <c r="M151" s="342" t="s">
        <v>2872</v>
      </c>
      <c r="N151" s="9">
        <v>9.0</v>
      </c>
      <c r="O151" s="9" t="s">
        <v>166</v>
      </c>
      <c r="P151" s="9" t="s">
        <v>166</v>
      </c>
      <c r="Q151" s="9" t="s">
        <v>166</v>
      </c>
      <c r="R151" s="9" t="s">
        <v>166</v>
      </c>
      <c r="S151" s="9"/>
      <c r="T151" s="9"/>
      <c r="U151" s="343"/>
      <c r="V151" s="343"/>
      <c r="W151" s="343"/>
      <c r="X151" s="343"/>
      <c r="Y151" s="343"/>
      <c r="Z151" s="343"/>
      <c r="AA151" s="343"/>
      <c r="AB151" s="343"/>
      <c r="AC151" s="343"/>
      <c r="AD151" s="343"/>
    </row>
    <row r="152">
      <c r="A152" s="314" t="s">
        <v>1634</v>
      </c>
      <c r="B152" s="340" t="s">
        <v>3066</v>
      </c>
      <c r="C152" s="9" t="s">
        <v>2002</v>
      </c>
      <c r="D152" s="9">
        <v>25.0</v>
      </c>
      <c r="E152" s="9">
        <v>1500.0</v>
      </c>
      <c r="F152" s="341">
        <v>61.0</v>
      </c>
      <c r="G152" s="341">
        <v>1.88</v>
      </c>
      <c r="H152" s="341">
        <v>24.5</v>
      </c>
      <c r="I152" s="341">
        <v>0.13</v>
      </c>
      <c r="J152" s="9">
        <v>150.0</v>
      </c>
      <c r="K152" s="9" t="s">
        <v>2773</v>
      </c>
      <c r="L152" s="9">
        <v>12.0</v>
      </c>
      <c r="M152" s="342" t="s">
        <v>2799</v>
      </c>
      <c r="N152" s="9">
        <v>7.0</v>
      </c>
      <c r="O152" s="9" t="s">
        <v>166</v>
      </c>
      <c r="P152" s="9" t="s">
        <v>166</v>
      </c>
      <c r="Q152" s="9" t="s">
        <v>166</v>
      </c>
      <c r="R152" s="9" t="s">
        <v>166</v>
      </c>
      <c r="S152" s="9"/>
      <c r="T152" s="9"/>
      <c r="U152" s="343"/>
      <c r="V152" s="343"/>
      <c r="W152" s="343"/>
      <c r="X152" s="343"/>
      <c r="Y152" s="343"/>
      <c r="Z152" s="343"/>
      <c r="AA152" s="343"/>
      <c r="AB152" s="343"/>
      <c r="AC152" s="343"/>
      <c r="AD152" s="343"/>
    </row>
    <row r="153">
      <c r="A153" s="314" t="s">
        <v>1634</v>
      </c>
      <c r="B153" s="340" t="s">
        <v>3067</v>
      </c>
      <c r="C153" s="9" t="s">
        <v>2002</v>
      </c>
      <c r="D153" s="9">
        <v>25.0</v>
      </c>
      <c r="E153" s="9">
        <v>1850.0</v>
      </c>
      <c r="F153" s="341">
        <v>78.0</v>
      </c>
      <c r="G153" s="341">
        <v>2.34</v>
      </c>
      <c r="H153" s="341">
        <v>27.7</v>
      </c>
      <c r="I153" s="341">
        <v>0.16</v>
      </c>
      <c r="J153" s="9">
        <v>160.0</v>
      </c>
      <c r="K153" s="9" t="s">
        <v>2773</v>
      </c>
      <c r="L153" s="9">
        <v>12.0</v>
      </c>
      <c r="M153" s="342" t="s">
        <v>2849</v>
      </c>
      <c r="N153" s="9">
        <v>7.0</v>
      </c>
      <c r="O153" s="9" t="s">
        <v>166</v>
      </c>
      <c r="P153" s="9" t="s">
        <v>166</v>
      </c>
      <c r="Q153" s="9" t="s">
        <v>166</v>
      </c>
      <c r="R153" s="9" t="s">
        <v>166</v>
      </c>
      <c r="S153" s="9"/>
      <c r="T153" s="9"/>
      <c r="U153" s="343"/>
      <c r="V153" s="343"/>
      <c r="W153" s="343"/>
      <c r="X153" s="343"/>
      <c r="Y153" s="343"/>
      <c r="Z153" s="343"/>
      <c r="AA153" s="343"/>
      <c r="AB153" s="343"/>
      <c r="AC153" s="343"/>
      <c r="AD153" s="343"/>
    </row>
    <row r="154">
      <c r="A154" s="314" t="s">
        <v>1634</v>
      </c>
      <c r="B154" s="340" t="s">
        <v>3068</v>
      </c>
      <c r="C154" s="9" t="s">
        <v>2002</v>
      </c>
      <c r="D154" s="9">
        <v>25.0</v>
      </c>
      <c r="E154" s="9">
        <v>1500.0</v>
      </c>
      <c r="F154" s="341">
        <v>62.6</v>
      </c>
      <c r="G154" s="341">
        <v>1.78</v>
      </c>
      <c r="H154" s="341">
        <v>23.6</v>
      </c>
      <c r="I154" s="341">
        <v>0.15</v>
      </c>
      <c r="J154" s="9" t="s">
        <v>170</v>
      </c>
      <c r="K154" s="9" t="s">
        <v>2773</v>
      </c>
      <c r="L154" s="9">
        <v>12.0</v>
      </c>
      <c r="M154" s="342" t="s">
        <v>2769</v>
      </c>
      <c r="N154" s="9">
        <v>7.0</v>
      </c>
      <c r="O154" s="9" t="s">
        <v>166</v>
      </c>
      <c r="P154" s="9" t="s">
        <v>166</v>
      </c>
      <c r="Q154" s="9" t="s">
        <v>166</v>
      </c>
      <c r="R154" s="9" t="s">
        <v>166</v>
      </c>
      <c r="S154" s="9"/>
      <c r="T154" s="9"/>
      <c r="U154" s="343"/>
      <c r="V154" s="343"/>
      <c r="W154" s="343"/>
      <c r="X154" s="343"/>
      <c r="Y154" s="343"/>
      <c r="Z154" s="343"/>
      <c r="AA154" s="343"/>
      <c r="AB154" s="343"/>
      <c r="AC154" s="343"/>
      <c r="AD154" s="343"/>
    </row>
    <row r="155">
      <c r="A155" s="314" t="s">
        <v>1634</v>
      </c>
      <c r="B155" s="340" t="s">
        <v>3069</v>
      </c>
      <c r="C155" s="9" t="s">
        <v>2002</v>
      </c>
      <c r="D155" s="9">
        <v>25.0</v>
      </c>
      <c r="E155" s="9">
        <v>2150.0</v>
      </c>
      <c r="F155" s="341">
        <v>69.0</v>
      </c>
      <c r="G155" s="341">
        <v>2.87</v>
      </c>
      <c r="H155" s="341">
        <v>27.0</v>
      </c>
      <c r="I155" s="341">
        <v>0.16</v>
      </c>
      <c r="J155" s="9">
        <v>220.0</v>
      </c>
      <c r="K155" s="9" t="s">
        <v>2773</v>
      </c>
      <c r="L155" s="9">
        <v>12.0</v>
      </c>
      <c r="M155" s="342" t="s">
        <v>2799</v>
      </c>
      <c r="N155" s="9">
        <v>9.0</v>
      </c>
      <c r="O155" s="9" t="s">
        <v>166</v>
      </c>
      <c r="P155" s="9" t="s">
        <v>174</v>
      </c>
      <c r="Q155" s="9" t="s">
        <v>166</v>
      </c>
      <c r="R155" s="9" t="s">
        <v>166</v>
      </c>
      <c r="S155" s="9"/>
      <c r="T155" s="9"/>
      <c r="U155" s="343"/>
      <c r="V155" s="343"/>
      <c r="W155" s="343"/>
      <c r="X155" s="343"/>
      <c r="Y155" s="343"/>
      <c r="Z155" s="343"/>
      <c r="AA155" s="343"/>
      <c r="AB155" s="343"/>
      <c r="AC155" s="343"/>
      <c r="AD155" s="343"/>
    </row>
    <row r="156">
      <c r="A156" s="314" t="s">
        <v>1634</v>
      </c>
      <c r="B156" s="340" t="s">
        <v>3070</v>
      </c>
      <c r="C156" s="9" t="s">
        <v>2002</v>
      </c>
      <c r="D156" s="9">
        <v>25.0</v>
      </c>
      <c r="E156" s="9">
        <v>2150.0</v>
      </c>
      <c r="F156" s="341">
        <v>69.0</v>
      </c>
      <c r="G156" s="341">
        <v>2.87</v>
      </c>
      <c r="H156" s="341">
        <v>27.0</v>
      </c>
      <c r="I156" s="341">
        <v>0.16</v>
      </c>
      <c r="J156" s="9">
        <v>220.0</v>
      </c>
      <c r="K156" s="9" t="s">
        <v>2773</v>
      </c>
      <c r="L156" s="9">
        <v>12.0</v>
      </c>
      <c r="M156" s="342" t="s">
        <v>2799</v>
      </c>
      <c r="N156" s="9">
        <v>9.0</v>
      </c>
      <c r="O156" s="9" t="s">
        <v>166</v>
      </c>
      <c r="P156" s="9" t="s">
        <v>174</v>
      </c>
      <c r="Q156" s="9" t="s">
        <v>166</v>
      </c>
      <c r="R156" s="9" t="s">
        <v>166</v>
      </c>
      <c r="S156" s="9"/>
      <c r="T156" s="9"/>
      <c r="U156" s="343"/>
      <c r="V156" s="343"/>
      <c r="W156" s="343"/>
      <c r="X156" s="343"/>
      <c r="Y156" s="343"/>
      <c r="Z156" s="343"/>
      <c r="AA156" s="343"/>
      <c r="AB156" s="343"/>
      <c r="AC156" s="343"/>
      <c r="AD156" s="343"/>
    </row>
    <row r="157">
      <c r="A157" s="314" t="s">
        <v>1634</v>
      </c>
      <c r="B157" s="340" t="s">
        <v>3071</v>
      </c>
      <c r="C157" s="9" t="s">
        <v>2002</v>
      </c>
      <c r="D157" s="9">
        <v>25.0</v>
      </c>
      <c r="E157" s="9">
        <v>1500.0</v>
      </c>
      <c r="F157" s="341">
        <v>47.6</v>
      </c>
      <c r="G157" s="341">
        <v>1.31</v>
      </c>
      <c r="H157" s="341">
        <v>23.2</v>
      </c>
      <c r="I157" s="341">
        <v>0.15</v>
      </c>
      <c r="J157" s="9" t="s">
        <v>170</v>
      </c>
      <c r="K157" s="9" t="s">
        <v>2773</v>
      </c>
      <c r="L157" s="9">
        <v>12.0</v>
      </c>
      <c r="M157" s="342" t="s">
        <v>2872</v>
      </c>
      <c r="N157" s="9">
        <v>7.0</v>
      </c>
      <c r="O157" s="9" t="s">
        <v>166</v>
      </c>
      <c r="P157" s="9" t="s">
        <v>174</v>
      </c>
      <c r="Q157" s="9" t="s">
        <v>166</v>
      </c>
      <c r="R157" s="9" t="s">
        <v>166</v>
      </c>
      <c r="S157" s="9"/>
      <c r="T157" s="9"/>
      <c r="U157" s="343"/>
      <c r="V157" s="343"/>
      <c r="W157" s="343"/>
      <c r="X157" s="343"/>
      <c r="Y157" s="343"/>
      <c r="Z157" s="343"/>
      <c r="AA157" s="343"/>
      <c r="AB157" s="343"/>
      <c r="AC157" s="343"/>
      <c r="AD157" s="343"/>
    </row>
    <row r="158">
      <c r="A158" s="314" t="s">
        <v>1634</v>
      </c>
      <c r="B158" s="340" t="s">
        <v>3072</v>
      </c>
      <c r="C158" s="9" t="s">
        <v>2002</v>
      </c>
      <c r="D158" s="9">
        <v>25.0</v>
      </c>
      <c r="E158" s="9">
        <v>1500.0</v>
      </c>
      <c r="F158" s="341">
        <v>47.6</v>
      </c>
      <c r="G158" s="341">
        <v>1.31</v>
      </c>
      <c r="H158" s="341">
        <v>23.2</v>
      </c>
      <c r="I158" s="341">
        <v>0.15</v>
      </c>
      <c r="J158" s="9" t="s">
        <v>170</v>
      </c>
      <c r="K158" s="9" t="s">
        <v>2773</v>
      </c>
      <c r="L158" s="9">
        <v>12.0</v>
      </c>
      <c r="M158" s="342" t="s">
        <v>2872</v>
      </c>
      <c r="N158" s="9">
        <v>7.0</v>
      </c>
      <c r="O158" s="9" t="s">
        <v>166</v>
      </c>
      <c r="P158" s="9" t="s">
        <v>174</v>
      </c>
      <c r="Q158" s="9" t="s">
        <v>166</v>
      </c>
      <c r="R158" s="9" t="s">
        <v>166</v>
      </c>
      <c r="S158" s="9"/>
      <c r="T158" s="9"/>
      <c r="U158" s="343"/>
      <c r="V158" s="343"/>
      <c r="W158" s="343"/>
      <c r="X158" s="343"/>
      <c r="Y158" s="343"/>
      <c r="Z158" s="343"/>
      <c r="AA158" s="343"/>
      <c r="AB158" s="343"/>
      <c r="AC158" s="343"/>
      <c r="AD158" s="343"/>
    </row>
    <row r="159">
      <c r="A159" s="174" t="s">
        <v>1603</v>
      </c>
      <c r="B159" s="340" t="s">
        <v>3073</v>
      </c>
      <c r="C159" s="9" t="s">
        <v>2002</v>
      </c>
      <c r="D159" s="9">
        <v>25.0</v>
      </c>
      <c r="E159" s="9">
        <v>2100.0</v>
      </c>
      <c r="F159" s="341">
        <v>77.5</v>
      </c>
      <c r="G159" s="341">
        <v>2.33</v>
      </c>
      <c r="H159" s="341">
        <v>28.0</v>
      </c>
      <c r="I159" s="341">
        <v>0.22</v>
      </c>
      <c r="J159" s="9">
        <v>175.0</v>
      </c>
      <c r="K159" s="9" t="s">
        <v>2773</v>
      </c>
      <c r="L159" s="9">
        <v>12.0</v>
      </c>
      <c r="M159" s="342" t="s">
        <v>170</v>
      </c>
      <c r="N159" s="9">
        <v>9.0</v>
      </c>
      <c r="O159" s="9" t="s">
        <v>166</v>
      </c>
      <c r="P159" s="9" t="s">
        <v>166</v>
      </c>
      <c r="Q159" s="9" t="s">
        <v>166</v>
      </c>
      <c r="R159" s="9" t="s">
        <v>166</v>
      </c>
      <c r="S159" s="9"/>
      <c r="T159" s="9"/>
      <c r="U159" s="343"/>
      <c r="V159" s="343"/>
      <c r="W159" s="343"/>
      <c r="X159" s="343"/>
      <c r="Y159" s="343"/>
      <c r="Z159" s="343"/>
      <c r="AA159" s="343"/>
      <c r="AB159" s="343"/>
      <c r="AC159" s="343"/>
      <c r="AD159" s="343"/>
    </row>
    <row r="160">
      <c r="A160" s="174" t="s">
        <v>1603</v>
      </c>
      <c r="B160" s="340" t="s">
        <v>3074</v>
      </c>
      <c r="C160" s="9" t="s">
        <v>2002</v>
      </c>
      <c r="D160" s="9">
        <v>25.0</v>
      </c>
      <c r="E160" s="9">
        <v>2000.0</v>
      </c>
      <c r="F160" s="341">
        <v>58.35</v>
      </c>
      <c r="G160" s="341">
        <v>2.41</v>
      </c>
      <c r="H160" s="341">
        <v>22.3</v>
      </c>
      <c r="I160" s="341">
        <v>0.12</v>
      </c>
      <c r="J160" s="9">
        <v>212.5</v>
      </c>
      <c r="K160" s="9" t="s">
        <v>2773</v>
      </c>
      <c r="L160" s="9">
        <v>12.0</v>
      </c>
      <c r="M160" s="342" t="s">
        <v>3075</v>
      </c>
      <c r="N160" s="9">
        <v>9.0</v>
      </c>
      <c r="O160" s="9" t="s">
        <v>166</v>
      </c>
      <c r="P160" s="9" t="s">
        <v>166</v>
      </c>
      <c r="Q160" s="9" t="s">
        <v>166</v>
      </c>
      <c r="R160" s="9" t="s">
        <v>166</v>
      </c>
      <c r="S160" s="358" t="s">
        <v>214</v>
      </c>
      <c r="T160" s="9"/>
      <c r="U160" s="343"/>
      <c r="V160" s="343"/>
      <c r="W160" s="343"/>
      <c r="X160" s="343"/>
      <c r="Y160" s="343"/>
      <c r="Z160" s="343"/>
      <c r="AA160" s="343"/>
      <c r="AB160" s="343"/>
      <c r="AC160" s="343"/>
      <c r="AD160" s="343"/>
    </row>
    <row r="161">
      <c r="A161" s="174" t="s">
        <v>1603</v>
      </c>
      <c r="B161" s="340" t="s">
        <v>3076</v>
      </c>
      <c r="C161" s="9" t="s">
        <v>2002</v>
      </c>
      <c r="D161" s="9">
        <v>25.0</v>
      </c>
      <c r="E161" s="9">
        <v>2000.0</v>
      </c>
      <c r="F161" s="341">
        <v>70.8</v>
      </c>
      <c r="G161" s="341">
        <v>3.19</v>
      </c>
      <c r="H161" s="341">
        <v>22.6</v>
      </c>
      <c r="I161" s="341">
        <v>0.19</v>
      </c>
      <c r="J161" s="9" t="s">
        <v>170</v>
      </c>
      <c r="K161" s="9" t="s">
        <v>2773</v>
      </c>
      <c r="L161" s="9">
        <v>12.0</v>
      </c>
      <c r="M161" s="342" t="s">
        <v>3075</v>
      </c>
      <c r="N161" s="9">
        <v>9.0</v>
      </c>
      <c r="O161" s="9" t="s">
        <v>166</v>
      </c>
      <c r="P161" s="9" t="s">
        <v>166</v>
      </c>
      <c r="Q161" s="9" t="s">
        <v>166</v>
      </c>
      <c r="R161" s="9" t="s">
        <v>166</v>
      </c>
      <c r="S161" s="358" t="s">
        <v>214</v>
      </c>
      <c r="T161" s="358" t="s">
        <v>214</v>
      </c>
      <c r="U161" s="343"/>
      <c r="V161" s="343"/>
      <c r="W161" s="343"/>
      <c r="X161" s="343"/>
      <c r="Y161" s="343"/>
      <c r="Z161" s="343"/>
      <c r="AA161" s="343"/>
      <c r="AB161" s="343"/>
      <c r="AC161" s="343"/>
      <c r="AD161" s="343"/>
    </row>
    <row r="162">
      <c r="A162" s="174" t="s">
        <v>1603</v>
      </c>
      <c r="B162" s="340" t="s">
        <v>3077</v>
      </c>
      <c r="C162" s="9" t="s">
        <v>2002</v>
      </c>
      <c r="D162" s="9">
        <v>25.0</v>
      </c>
      <c r="E162" s="9">
        <v>2000.0</v>
      </c>
      <c r="F162" s="341">
        <v>53.75</v>
      </c>
      <c r="G162" s="341">
        <v>2.4</v>
      </c>
      <c r="H162" s="341">
        <v>21.2</v>
      </c>
      <c r="I162" s="341">
        <v>0.14</v>
      </c>
      <c r="J162" s="9" t="s">
        <v>170</v>
      </c>
      <c r="K162" s="9" t="s">
        <v>2773</v>
      </c>
      <c r="L162" s="9">
        <v>12.0</v>
      </c>
      <c r="M162" s="342" t="s">
        <v>3075</v>
      </c>
      <c r="N162" s="9">
        <v>9.0</v>
      </c>
      <c r="O162" s="9" t="s">
        <v>166</v>
      </c>
      <c r="P162" s="9" t="s">
        <v>174</v>
      </c>
      <c r="Q162" s="9" t="s">
        <v>166</v>
      </c>
      <c r="R162" s="9" t="s">
        <v>166</v>
      </c>
      <c r="S162" s="9"/>
      <c r="T162" s="9"/>
      <c r="U162" s="343"/>
      <c r="V162" s="343"/>
      <c r="W162" s="343"/>
      <c r="X162" s="343"/>
      <c r="Y162" s="343"/>
      <c r="Z162" s="343"/>
      <c r="AA162" s="343"/>
      <c r="AB162" s="343"/>
      <c r="AC162" s="343"/>
      <c r="AD162" s="343"/>
    </row>
    <row r="163">
      <c r="A163" s="174" t="s">
        <v>1603</v>
      </c>
      <c r="B163" s="340" t="s">
        <v>3078</v>
      </c>
      <c r="C163" s="9" t="s">
        <v>2002</v>
      </c>
      <c r="D163" s="9">
        <v>25.0</v>
      </c>
      <c r="E163" s="9">
        <v>2500.0</v>
      </c>
      <c r="F163" s="341">
        <v>72.69</v>
      </c>
      <c r="G163" s="341">
        <v>3.78</v>
      </c>
      <c r="H163" s="341">
        <v>28.1</v>
      </c>
      <c r="I163" s="341">
        <v>0.23</v>
      </c>
      <c r="J163" s="9">
        <v>217.7</v>
      </c>
      <c r="K163" s="9" t="s">
        <v>2773</v>
      </c>
      <c r="L163" s="9">
        <v>12.0</v>
      </c>
      <c r="M163" s="342" t="s">
        <v>3075</v>
      </c>
      <c r="N163" s="9">
        <v>9.0</v>
      </c>
      <c r="O163" s="9" t="s">
        <v>166</v>
      </c>
      <c r="P163" s="9" t="s">
        <v>166</v>
      </c>
      <c r="Q163" s="9" t="s">
        <v>166</v>
      </c>
      <c r="R163" s="9" t="s">
        <v>166</v>
      </c>
      <c r="S163" s="9"/>
      <c r="T163" s="9"/>
      <c r="U163" s="343"/>
      <c r="V163" s="343"/>
      <c r="W163" s="343"/>
      <c r="X163" s="343"/>
      <c r="Y163" s="343"/>
      <c r="Z163" s="343"/>
      <c r="AA163" s="343"/>
      <c r="AB163" s="343"/>
      <c r="AC163" s="343"/>
      <c r="AD163" s="343"/>
    </row>
    <row r="164">
      <c r="A164" s="312" t="s">
        <v>2922</v>
      </c>
      <c r="B164" s="340" t="s">
        <v>3079</v>
      </c>
      <c r="C164" s="9" t="s">
        <v>2018</v>
      </c>
      <c r="D164" s="9">
        <v>25.0</v>
      </c>
      <c r="E164" s="9">
        <v>1800.0</v>
      </c>
      <c r="F164" s="341">
        <v>84.3</v>
      </c>
      <c r="G164" s="341" t="s">
        <v>170</v>
      </c>
      <c r="H164" s="341">
        <v>38.5</v>
      </c>
      <c r="I164" s="341" t="s">
        <v>170</v>
      </c>
      <c r="J164" s="9" t="s">
        <v>170</v>
      </c>
      <c r="K164" s="9" t="s">
        <v>2773</v>
      </c>
      <c r="L164" s="9">
        <v>12.0</v>
      </c>
      <c r="M164" s="342" t="s">
        <v>2834</v>
      </c>
      <c r="N164" s="9">
        <v>9.0</v>
      </c>
      <c r="O164" s="9" t="s">
        <v>166</v>
      </c>
      <c r="P164" s="9" t="s">
        <v>166</v>
      </c>
      <c r="Q164" s="9" t="s">
        <v>166</v>
      </c>
      <c r="R164" s="9" t="s">
        <v>166</v>
      </c>
      <c r="S164" s="9"/>
      <c r="T164" s="9"/>
      <c r="U164" s="343"/>
      <c r="V164" s="343"/>
      <c r="W164" s="343"/>
      <c r="X164" s="343"/>
      <c r="Y164" s="343"/>
      <c r="Z164" s="343"/>
      <c r="AA164" s="343"/>
      <c r="AB164" s="343"/>
      <c r="AC164" s="343"/>
      <c r="AD164" s="343"/>
    </row>
    <row r="165">
      <c r="A165" s="312" t="s">
        <v>1735</v>
      </c>
      <c r="B165" s="380" t="s">
        <v>3080</v>
      </c>
      <c r="C165" s="9" t="s">
        <v>2018</v>
      </c>
      <c r="D165" s="9">
        <v>27.0</v>
      </c>
      <c r="E165" s="9">
        <v>2800.0</v>
      </c>
      <c r="F165" s="341">
        <v>95.0</v>
      </c>
      <c r="G165" s="341">
        <v>4.18</v>
      </c>
      <c r="H165" s="341" t="s">
        <v>170</v>
      </c>
      <c r="I165" s="341">
        <v>0.35</v>
      </c>
      <c r="J165" s="9">
        <v>245.0</v>
      </c>
      <c r="K165" s="9" t="s">
        <v>2773</v>
      </c>
      <c r="L165" s="9">
        <v>12.0</v>
      </c>
      <c r="M165" s="342" t="s">
        <v>2804</v>
      </c>
      <c r="N165" s="9">
        <v>5.0</v>
      </c>
      <c r="O165" s="9" t="s">
        <v>166</v>
      </c>
      <c r="P165" s="9" t="s">
        <v>166</v>
      </c>
      <c r="Q165" s="9" t="s">
        <v>166</v>
      </c>
      <c r="R165" s="9" t="s">
        <v>166</v>
      </c>
      <c r="S165" s="358" t="s">
        <v>214</v>
      </c>
      <c r="T165" s="358" t="s">
        <v>214</v>
      </c>
      <c r="U165" s="343"/>
      <c r="V165" s="343"/>
      <c r="W165" s="343"/>
      <c r="X165" s="343"/>
      <c r="Y165" s="343"/>
      <c r="Z165" s="343"/>
      <c r="AA165" s="343"/>
      <c r="AB165" s="343"/>
      <c r="AC165" s="343"/>
      <c r="AD165" s="343"/>
    </row>
    <row r="166">
      <c r="A166" s="312" t="s">
        <v>1735</v>
      </c>
      <c r="B166" s="340" t="s">
        <v>3081</v>
      </c>
      <c r="C166" s="9" t="s">
        <v>2018</v>
      </c>
      <c r="D166" s="9">
        <v>27.0</v>
      </c>
      <c r="E166" s="9">
        <v>1700.0</v>
      </c>
      <c r="F166" s="341">
        <v>72.8</v>
      </c>
      <c r="G166" s="341">
        <v>2.4</v>
      </c>
      <c r="H166" s="341">
        <v>22.5</v>
      </c>
      <c r="I166" s="341">
        <v>0.12</v>
      </c>
      <c r="J166" s="9">
        <v>194.0</v>
      </c>
      <c r="K166" s="9" t="s">
        <v>2773</v>
      </c>
      <c r="L166" s="9">
        <v>12.0</v>
      </c>
      <c r="M166" s="342" t="s">
        <v>2804</v>
      </c>
      <c r="N166" s="9">
        <v>5.0</v>
      </c>
      <c r="O166" s="9" t="s">
        <v>166</v>
      </c>
      <c r="P166" s="9" t="s">
        <v>166</v>
      </c>
      <c r="Q166" s="9" t="s">
        <v>166</v>
      </c>
      <c r="R166" s="9" t="s">
        <v>166</v>
      </c>
      <c r="S166" s="358" t="s">
        <v>214</v>
      </c>
      <c r="T166" s="358" t="s">
        <v>214</v>
      </c>
      <c r="U166" s="343"/>
      <c r="V166" s="343"/>
      <c r="W166" s="343"/>
      <c r="X166" s="343"/>
      <c r="Y166" s="343"/>
      <c r="Z166" s="343"/>
      <c r="AA166" s="343"/>
      <c r="AB166" s="343"/>
      <c r="AC166" s="343"/>
      <c r="AD166" s="343"/>
    </row>
    <row r="167">
      <c r="A167" s="312" t="s">
        <v>1735</v>
      </c>
      <c r="B167" s="340" t="s">
        <v>3082</v>
      </c>
      <c r="C167" s="9" t="s">
        <v>2018</v>
      </c>
      <c r="D167" s="9">
        <v>27.0</v>
      </c>
      <c r="E167" s="9">
        <v>1900.0</v>
      </c>
      <c r="F167" s="341">
        <v>68.9</v>
      </c>
      <c r="G167" s="341">
        <v>2.0</v>
      </c>
      <c r="H167" s="341">
        <v>22.5</v>
      </c>
      <c r="I167" s="341">
        <v>0.17</v>
      </c>
      <c r="J167" s="9">
        <v>225.0</v>
      </c>
      <c r="K167" s="9" t="s">
        <v>2773</v>
      </c>
      <c r="L167" s="9">
        <v>12.0</v>
      </c>
      <c r="M167" s="342" t="s">
        <v>2804</v>
      </c>
      <c r="N167" s="9">
        <v>5.0</v>
      </c>
      <c r="O167" s="9" t="s">
        <v>166</v>
      </c>
      <c r="P167" s="9" t="s">
        <v>174</v>
      </c>
      <c r="Q167" s="9" t="s">
        <v>166</v>
      </c>
      <c r="R167" s="9" t="s">
        <v>166</v>
      </c>
      <c r="S167" s="9"/>
      <c r="T167" s="9"/>
      <c r="U167" s="343"/>
      <c r="V167" s="343"/>
      <c r="W167" s="343"/>
      <c r="X167" s="343"/>
      <c r="Y167" s="343"/>
      <c r="Z167" s="343"/>
      <c r="AA167" s="343"/>
      <c r="AB167" s="343"/>
      <c r="AC167" s="343"/>
      <c r="AD167" s="343"/>
    </row>
    <row r="168">
      <c r="A168" s="312" t="s">
        <v>1735</v>
      </c>
      <c r="B168" s="340" t="s">
        <v>3083</v>
      </c>
      <c r="C168" s="9" t="s">
        <v>2018</v>
      </c>
      <c r="D168" s="9">
        <v>27.0</v>
      </c>
      <c r="E168" s="9">
        <v>1700.0</v>
      </c>
      <c r="F168" s="341">
        <v>72.8</v>
      </c>
      <c r="G168" s="341">
        <v>2.4</v>
      </c>
      <c r="H168" s="341">
        <v>22.5</v>
      </c>
      <c r="I168" s="341">
        <v>0.12</v>
      </c>
      <c r="J168" s="9">
        <v>194.0</v>
      </c>
      <c r="K168" s="9" t="s">
        <v>2773</v>
      </c>
      <c r="L168" s="9">
        <v>12.0</v>
      </c>
      <c r="M168" s="342" t="s">
        <v>2849</v>
      </c>
      <c r="N168" s="9">
        <v>5.0</v>
      </c>
      <c r="O168" s="9" t="s">
        <v>166</v>
      </c>
      <c r="P168" s="9" t="s">
        <v>166</v>
      </c>
      <c r="Q168" s="9" t="s">
        <v>166</v>
      </c>
      <c r="R168" s="9" t="s">
        <v>166</v>
      </c>
      <c r="S168" s="358" t="s">
        <v>214</v>
      </c>
      <c r="T168" s="358" t="s">
        <v>214</v>
      </c>
      <c r="U168" s="343"/>
      <c r="V168" s="343"/>
      <c r="W168" s="343"/>
      <c r="X168" s="343"/>
      <c r="Y168" s="343"/>
      <c r="Z168" s="343"/>
      <c r="AA168" s="343"/>
      <c r="AB168" s="343"/>
      <c r="AC168" s="343"/>
      <c r="AD168" s="343"/>
    </row>
    <row r="169">
      <c r="A169" s="312" t="s">
        <v>1735</v>
      </c>
      <c r="B169" s="340" t="s">
        <v>3084</v>
      </c>
      <c r="C169" s="9" t="s">
        <v>2018</v>
      </c>
      <c r="D169" s="9">
        <v>27.0</v>
      </c>
      <c r="E169" s="9">
        <v>1900.0</v>
      </c>
      <c r="F169" s="341">
        <v>68.9</v>
      </c>
      <c r="G169" s="341">
        <v>2.0</v>
      </c>
      <c r="H169" s="341">
        <v>22.5</v>
      </c>
      <c r="I169" s="341">
        <v>0.17</v>
      </c>
      <c r="J169" s="9">
        <v>210.0</v>
      </c>
      <c r="K169" s="9" t="s">
        <v>2773</v>
      </c>
      <c r="L169" s="9">
        <v>12.0</v>
      </c>
      <c r="M169" s="342" t="s">
        <v>2804</v>
      </c>
      <c r="N169" s="9">
        <v>5.0</v>
      </c>
      <c r="O169" s="9" t="s">
        <v>174</v>
      </c>
      <c r="P169" s="9" t="s">
        <v>166</v>
      </c>
      <c r="Q169" s="9" t="s">
        <v>166</v>
      </c>
      <c r="R169" s="9" t="s">
        <v>166</v>
      </c>
      <c r="S169" s="9"/>
      <c r="T169" s="9"/>
      <c r="U169" s="343"/>
      <c r="V169" s="343"/>
      <c r="W169" s="343"/>
      <c r="X169" s="343"/>
      <c r="Y169" s="343"/>
      <c r="Z169" s="343"/>
      <c r="AA169" s="343"/>
      <c r="AB169" s="343"/>
      <c r="AC169" s="343"/>
      <c r="AD169" s="343"/>
    </row>
    <row r="170">
      <c r="A170" s="219" t="s">
        <v>1666</v>
      </c>
      <c r="B170" s="340" t="s">
        <v>3085</v>
      </c>
      <c r="C170" s="9" t="s">
        <v>2018</v>
      </c>
      <c r="D170" s="9">
        <v>25.0</v>
      </c>
      <c r="E170" s="9">
        <v>1500.0</v>
      </c>
      <c r="F170" s="341">
        <v>56.0</v>
      </c>
      <c r="G170" s="341">
        <v>1.49</v>
      </c>
      <c r="H170" s="341">
        <v>23.3</v>
      </c>
      <c r="I170" s="341">
        <v>0.32</v>
      </c>
      <c r="J170" s="9">
        <v>241.0</v>
      </c>
      <c r="K170" s="9" t="s">
        <v>2773</v>
      </c>
      <c r="L170" s="9">
        <v>12.0</v>
      </c>
      <c r="M170" s="342" t="s">
        <v>2902</v>
      </c>
      <c r="N170" s="9">
        <v>7.0</v>
      </c>
      <c r="O170" s="9" t="s">
        <v>166</v>
      </c>
      <c r="P170" s="9" t="s">
        <v>174</v>
      </c>
      <c r="Q170" s="9" t="s">
        <v>166</v>
      </c>
      <c r="R170" s="9" t="s">
        <v>166</v>
      </c>
      <c r="S170" s="358" t="s">
        <v>214</v>
      </c>
      <c r="T170" s="358" t="s">
        <v>214</v>
      </c>
      <c r="U170" s="343"/>
      <c r="V170" s="343"/>
      <c r="W170" s="343"/>
      <c r="X170" s="343"/>
      <c r="Y170" s="343"/>
      <c r="Z170" s="343"/>
      <c r="AA170" s="343"/>
      <c r="AB170" s="343"/>
      <c r="AC170" s="343"/>
      <c r="AD170" s="343"/>
    </row>
    <row r="171">
      <c r="A171" s="219" t="s">
        <v>1666</v>
      </c>
      <c r="B171" s="340" t="s">
        <v>3086</v>
      </c>
      <c r="C171" s="9" t="s">
        <v>2018</v>
      </c>
      <c r="D171" s="9">
        <v>25.0</v>
      </c>
      <c r="E171" s="9">
        <v>2200.0</v>
      </c>
      <c r="F171" s="341">
        <v>71.7</v>
      </c>
      <c r="G171" s="341">
        <v>2.3</v>
      </c>
      <c r="H171" s="341">
        <v>31.0</v>
      </c>
      <c r="I171" s="341">
        <v>0.39</v>
      </c>
      <c r="J171" s="9">
        <v>251.0</v>
      </c>
      <c r="K171" s="9" t="s">
        <v>2773</v>
      </c>
      <c r="L171" s="9">
        <v>12.0</v>
      </c>
      <c r="M171" s="342" t="s">
        <v>2902</v>
      </c>
      <c r="N171" s="9">
        <v>9.0</v>
      </c>
      <c r="O171" s="9" t="s">
        <v>166</v>
      </c>
      <c r="P171" s="9" t="s">
        <v>174</v>
      </c>
      <c r="Q171" s="9" t="s">
        <v>166</v>
      </c>
      <c r="R171" s="9" t="s">
        <v>166</v>
      </c>
      <c r="S171" s="9"/>
      <c r="T171" s="9"/>
      <c r="U171" s="343"/>
      <c r="V171" s="343"/>
      <c r="W171" s="343"/>
      <c r="X171" s="343"/>
      <c r="Y171" s="343"/>
      <c r="Z171" s="343"/>
      <c r="AA171" s="343"/>
      <c r="AB171" s="343"/>
      <c r="AC171" s="343"/>
      <c r="AD171" s="343"/>
    </row>
    <row r="172">
      <c r="A172" s="219" t="s">
        <v>1666</v>
      </c>
      <c r="B172" s="340" t="s">
        <v>3087</v>
      </c>
      <c r="C172" s="9" t="s">
        <v>2018</v>
      </c>
      <c r="D172" s="9">
        <v>25.0</v>
      </c>
      <c r="E172" s="9">
        <v>1200.0</v>
      </c>
      <c r="F172" s="341">
        <v>57.4</v>
      </c>
      <c r="G172" s="341">
        <v>0.96</v>
      </c>
      <c r="H172" s="341">
        <v>21.9</v>
      </c>
      <c r="I172" s="341">
        <v>0.06</v>
      </c>
      <c r="J172" s="9">
        <v>180.0</v>
      </c>
      <c r="K172" s="9" t="s">
        <v>2773</v>
      </c>
      <c r="L172" s="9">
        <v>12.0</v>
      </c>
      <c r="M172" s="342" t="s">
        <v>2902</v>
      </c>
      <c r="N172" s="9">
        <v>7.0</v>
      </c>
      <c r="O172" s="9" t="s">
        <v>166</v>
      </c>
      <c r="P172" s="9" t="s">
        <v>166</v>
      </c>
      <c r="Q172" s="9" t="s">
        <v>166</v>
      </c>
      <c r="R172" s="9" t="s">
        <v>166</v>
      </c>
      <c r="S172" s="353"/>
      <c r="T172" s="9"/>
      <c r="U172" s="343"/>
      <c r="V172" s="343"/>
      <c r="W172" s="343"/>
      <c r="X172" s="343"/>
      <c r="Y172" s="343"/>
      <c r="Z172" s="343"/>
      <c r="AA172" s="343"/>
      <c r="AB172" s="343"/>
      <c r="AC172" s="343"/>
      <c r="AD172" s="343"/>
    </row>
    <row r="173">
      <c r="A173" s="219" t="s">
        <v>1666</v>
      </c>
      <c r="B173" s="340" t="s">
        <v>3088</v>
      </c>
      <c r="C173" s="9" t="s">
        <v>2018</v>
      </c>
      <c r="D173" s="9">
        <v>25.0</v>
      </c>
      <c r="E173" s="9">
        <v>1800.0</v>
      </c>
      <c r="F173" s="341">
        <v>72.2</v>
      </c>
      <c r="G173" s="341">
        <v>2.44</v>
      </c>
      <c r="H173" s="341">
        <v>30.5</v>
      </c>
      <c r="I173" s="341">
        <v>0.12</v>
      </c>
      <c r="J173" s="9">
        <v>188.0</v>
      </c>
      <c r="K173" s="9" t="s">
        <v>2773</v>
      </c>
      <c r="L173" s="9">
        <v>12.0</v>
      </c>
      <c r="M173" s="342" t="s">
        <v>2902</v>
      </c>
      <c r="N173" s="9">
        <v>9.0</v>
      </c>
      <c r="O173" s="9" t="s">
        <v>166</v>
      </c>
      <c r="P173" s="9" t="s">
        <v>166</v>
      </c>
      <c r="Q173" s="9" t="s">
        <v>166</v>
      </c>
      <c r="R173" s="9" t="s">
        <v>166</v>
      </c>
      <c r="S173" s="358" t="s">
        <v>214</v>
      </c>
      <c r="T173" s="9"/>
      <c r="U173" s="343"/>
      <c r="V173" s="343"/>
      <c r="W173" s="343"/>
      <c r="X173" s="343"/>
      <c r="Y173" s="343"/>
      <c r="Z173" s="343"/>
      <c r="AA173" s="343"/>
      <c r="AB173" s="343"/>
      <c r="AC173" s="343"/>
      <c r="AD173" s="343"/>
    </row>
    <row r="174">
      <c r="A174" s="219" t="s">
        <v>1666</v>
      </c>
      <c r="B174" s="359" t="s">
        <v>3089</v>
      </c>
      <c r="C174" s="9" t="s">
        <v>2018</v>
      </c>
      <c r="D174" s="9">
        <v>25.0</v>
      </c>
      <c r="E174" s="9">
        <v>1000.0</v>
      </c>
      <c r="F174" s="341">
        <v>59.5</v>
      </c>
      <c r="G174" s="341">
        <v>1.08</v>
      </c>
      <c r="H174" s="341">
        <v>15.5</v>
      </c>
      <c r="I174" s="341">
        <v>0.3</v>
      </c>
      <c r="J174" s="9" t="s">
        <v>170</v>
      </c>
      <c r="K174" s="9" t="s">
        <v>2773</v>
      </c>
      <c r="L174" s="9">
        <v>12.0</v>
      </c>
      <c r="M174" s="342" t="s">
        <v>2804</v>
      </c>
      <c r="N174" s="9">
        <v>7.0</v>
      </c>
      <c r="O174" s="9" t="s">
        <v>166</v>
      </c>
      <c r="P174" s="9" t="s">
        <v>166</v>
      </c>
      <c r="Q174" s="9" t="s">
        <v>166</v>
      </c>
      <c r="R174" s="9" t="s">
        <v>166</v>
      </c>
      <c r="S174" s="358" t="s">
        <v>214</v>
      </c>
      <c r="T174" s="9"/>
      <c r="U174" s="343"/>
      <c r="V174" s="343"/>
      <c r="W174" s="343"/>
      <c r="X174" s="343"/>
      <c r="Y174" s="343"/>
      <c r="Z174" s="343"/>
      <c r="AA174" s="343"/>
      <c r="AB174" s="343"/>
      <c r="AC174" s="343"/>
      <c r="AD174" s="343"/>
    </row>
    <row r="175">
      <c r="A175" s="219" t="s">
        <v>1666</v>
      </c>
      <c r="B175" s="359" t="s">
        <v>3090</v>
      </c>
      <c r="C175" s="9" t="s">
        <v>2018</v>
      </c>
      <c r="D175" s="9">
        <v>25.0</v>
      </c>
      <c r="E175" s="9">
        <v>1600.0</v>
      </c>
      <c r="F175" s="341">
        <v>77.57</v>
      </c>
      <c r="G175" s="341">
        <v>2.16</v>
      </c>
      <c r="H175" s="341">
        <v>28.1</v>
      </c>
      <c r="I175" s="341">
        <v>0.5</v>
      </c>
      <c r="J175" s="9" t="s">
        <v>170</v>
      </c>
      <c r="K175" s="9" t="s">
        <v>2773</v>
      </c>
      <c r="L175" s="9">
        <v>12.0</v>
      </c>
      <c r="M175" s="342" t="s">
        <v>2804</v>
      </c>
      <c r="N175" s="9">
        <v>9.0</v>
      </c>
      <c r="O175" s="9" t="s">
        <v>166</v>
      </c>
      <c r="P175" s="9" t="s">
        <v>166</v>
      </c>
      <c r="Q175" s="9" t="s">
        <v>166</v>
      </c>
      <c r="R175" s="9" t="s">
        <v>166</v>
      </c>
      <c r="S175" s="353"/>
      <c r="T175" s="9"/>
      <c r="U175" s="343"/>
      <c r="V175" s="343"/>
      <c r="W175" s="343"/>
      <c r="X175" s="343"/>
      <c r="Y175" s="343"/>
      <c r="Z175" s="343"/>
      <c r="AA175" s="343"/>
      <c r="AB175" s="343"/>
      <c r="AC175" s="343"/>
      <c r="AD175" s="343"/>
    </row>
    <row r="176">
      <c r="A176" s="219" t="s">
        <v>1666</v>
      </c>
      <c r="B176" s="340" t="s">
        <v>3091</v>
      </c>
      <c r="C176" s="9" t="s">
        <v>2018</v>
      </c>
      <c r="D176" s="9">
        <v>25.0</v>
      </c>
      <c r="E176" s="9">
        <v>1100.0</v>
      </c>
      <c r="F176" s="341">
        <v>51.3</v>
      </c>
      <c r="G176" s="341">
        <v>0.92</v>
      </c>
      <c r="H176" s="341">
        <v>13.6</v>
      </c>
      <c r="I176" s="341">
        <v>0.3</v>
      </c>
      <c r="J176" s="9">
        <v>220.0</v>
      </c>
      <c r="K176" s="9" t="s">
        <v>2773</v>
      </c>
      <c r="L176" s="9">
        <v>12.0</v>
      </c>
      <c r="M176" s="342" t="s">
        <v>2804</v>
      </c>
      <c r="N176" s="9">
        <v>7.0</v>
      </c>
      <c r="O176" s="9" t="s">
        <v>166</v>
      </c>
      <c r="P176" s="9" t="s">
        <v>166</v>
      </c>
      <c r="Q176" s="9" t="s">
        <v>166</v>
      </c>
      <c r="R176" s="9" t="s">
        <v>166</v>
      </c>
      <c r="S176" s="358" t="s">
        <v>214</v>
      </c>
      <c r="T176" s="9"/>
      <c r="U176" s="343"/>
      <c r="V176" s="343"/>
      <c r="W176" s="343"/>
      <c r="X176" s="343"/>
      <c r="Y176" s="343"/>
      <c r="Z176" s="343"/>
      <c r="AA176" s="343"/>
      <c r="AB176" s="343"/>
      <c r="AC176" s="343"/>
      <c r="AD176" s="343"/>
    </row>
    <row r="177">
      <c r="A177" s="219" t="s">
        <v>1666</v>
      </c>
      <c r="B177" s="340" t="s">
        <v>3092</v>
      </c>
      <c r="C177" s="9" t="s">
        <v>2018</v>
      </c>
      <c r="D177" s="9">
        <v>25.0</v>
      </c>
      <c r="E177" s="9">
        <v>1900.0</v>
      </c>
      <c r="F177" s="341">
        <v>78.4</v>
      </c>
      <c r="G177" s="341">
        <v>2.36</v>
      </c>
      <c r="H177" s="341">
        <v>29.3</v>
      </c>
      <c r="I177" s="341">
        <v>0.4</v>
      </c>
      <c r="J177" s="9">
        <v>220.0</v>
      </c>
      <c r="K177" s="9" t="s">
        <v>2773</v>
      </c>
      <c r="L177" s="9">
        <v>12.0</v>
      </c>
      <c r="M177" s="342" t="s">
        <v>2804</v>
      </c>
      <c r="N177" s="9">
        <v>7.0</v>
      </c>
      <c r="O177" s="9" t="s">
        <v>166</v>
      </c>
      <c r="P177" s="9" t="s">
        <v>166</v>
      </c>
      <c r="Q177" s="9" t="s">
        <v>166</v>
      </c>
      <c r="R177" s="9" t="s">
        <v>166</v>
      </c>
      <c r="S177" s="9"/>
      <c r="T177" s="9"/>
      <c r="U177" s="343"/>
      <c r="V177" s="343"/>
      <c r="W177" s="343"/>
      <c r="X177" s="343"/>
      <c r="Y177" s="343"/>
      <c r="Z177" s="343"/>
      <c r="AA177" s="343"/>
      <c r="AB177" s="343"/>
      <c r="AC177" s="343"/>
      <c r="AD177" s="343"/>
    </row>
    <row r="178">
      <c r="A178" s="219" t="s">
        <v>1666</v>
      </c>
      <c r="B178" s="340" t="s">
        <v>3093</v>
      </c>
      <c r="C178" s="9" t="s">
        <v>2018</v>
      </c>
      <c r="D178" s="9">
        <v>25.0</v>
      </c>
      <c r="E178" s="9">
        <v>1900.0</v>
      </c>
      <c r="F178" s="341">
        <v>78.4</v>
      </c>
      <c r="G178" s="341">
        <v>2.36</v>
      </c>
      <c r="H178" s="341">
        <v>29.3</v>
      </c>
      <c r="I178" s="341">
        <v>0.4</v>
      </c>
      <c r="J178" s="9">
        <v>220.0</v>
      </c>
      <c r="K178" s="9" t="s">
        <v>2773</v>
      </c>
      <c r="L178" s="9">
        <v>12.0</v>
      </c>
      <c r="M178" s="342" t="s">
        <v>2804</v>
      </c>
      <c r="N178" s="9">
        <v>7.0</v>
      </c>
      <c r="O178" s="9" t="s">
        <v>166</v>
      </c>
      <c r="P178" s="9" t="s">
        <v>166</v>
      </c>
      <c r="Q178" s="9" t="s">
        <v>166</v>
      </c>
      <c r="R178" s="9" t="s">
        <v>166</v>
      </c>
      <c r="S178" s="358" t="s">
        <v>214</v>
      </c>
      <c r="T178" s="358" t="s">
        <v>214</v>
      </c>
      <c r="U178" s="343"/>
      <c r="V178" s="343"/>
      <c r="W178" s="343"/>
      <c r="X178" s="343"/>
      <c r="Y178" s="343"/>
      <c r="Z178" s="343"/>
      <c r="AA178" s="343"/>
      <c r="AB178" s="343"/>
      <c r="AC178" s="343"/>
      <c r="AD178" s="343"/>
    </row>
    <row r="179">
      <c r="A179" s="219" t="s">
        <v>1666</v>
      </c>
      <c r="B179" s="340" t="s">
        <v>3094</v>
      </c>
      <c r="C179" s="9" t="s">
        <v>2018</v>
      </c>
      <c r="D179" s="9">
        <v>25.0</v>
      </c>
      <c r="E179" s="9">
        <v>1100.0</v>
      </c>
      <c r="F179" s="341">
        <v>51.3</v>
      </c>
      <c r="G179" s="341">
        <v>0.92</v>
      </c>
      <c r="H179" s="341">
        <v>13.6</v>
      </c>
      <c r="I179" s="341">
        <v>0.3</v>
      </c>
      <c r="J179" s="9">
        <v>220.0</v>
      </c>
      <c r="K179" s="9" t="s">
        <v>2773</v>
      </c>
      <c r="L179" s="9">
        <v>12.0</v>
      </c>
      <c r="M179" s="342" t="s">
        <v>2804</v>
      </c>
      <c r="N179" s="9">
        <v>7.0</v>
      </c>
      <c r="O179" s="9" t="s">
        <v>166</v>
      </c>
      <c r="P179" s="9" t="s">
        <v>166</v>
      </c>
      <c r="Q179" s="9" t="s">
        <v>166</v>
      </c>
      <c r="R179" s="9" t="s">
        <v>166</v>
      </c>
      <c r="S179" s="358" t="s">
        <v>214</v>
      </c>
      <c r="T179" s="353"/>
      <c r="U179" s="343"/>
      <c r="V179" s="343"/>
      <c r="W179" s="343"/>
      <c r="X179" s="343"/>
      <c r="Y179" s="343"/>
      <c r="Z179" s="343"/>
      <c r="AA179" s="343"/>
      <c r="AB179" s="343"/>
      <c r="AC179" s="343"/>
      <c r="AD179" s="343"/>
    </row>
    <row r="180">
      <c r="A180" s="219" t="s">
        <v>1666</v>
      </c>
      <c r="B180" s="340" t="s">
        <v>3095</v>
      </c>
      <c r="C180" s="9" t="s">
        <v>2018</v>
      </c>
      <c r="D180" s="9">
        <v>25.0</v>
      </c>
      <c r="E180" s="9">
        <v>2400.0</v>
      </c>
      <c r="F180" s="341">
        <v>97.41</v>
      </c>
      <c r="G180" s="341">
        <v>3.64</v>
      </c>
      <c r="H180" s="341">
        <v>36.8</v>
      </c>
      <c r="I180" s="341">
        <v>0.5</v>
      </c>
      <c r="J180" s="9">
        <v>258.0</v>
      </c>
      <c r="K180" s="9" t="s">
        <v>2773</v>
      </c>
      <c r="L180" s="9">
        <v>12.0</v>
      </c>
      <c r="M180" s="342" t="s">
        <v>2804</v>
      </c>
      <c r="N180" s="9">
        <v>7.0</v>
      </c>
      <c r="O180" s="9" t="s">
        <v>166</v>
      </c>
      <c r="P180" s="9" t="s">
        <v>166</v>
      </c>
      <c r="Q180" s="9" t="s">
        <v>166</v>
      </c>
      <c r="R180" s="9" t="s">
        <v>166</v>
      </c>
      <c r="S180" s="358" t="s">
        <v>214</v>
      </c>
      <c r="T180" s="358" t="s">
        <v>214</v>
      </c>
      <c r="U180" s="343"/>
      <c r="V180" s="343"/>
      <c r="W180" s="343"/>
      <c r="X180" s="343"/>
      <c r="Y180" s="343"/>
      <c r="Z180" s="343"/>
      <c r="AA180" s="343"/>
      <c r="AB180" s="343"/>
      <c r="AC180" s="343"/>
      <c r="AD180" s="343"/>
    </row>
    <row r="181">
      <c r="A181" s="255" t="s">
        <v>1532</v>
      </c>
      <c r="B181" s="340" t="s">
        <v>3096</v>
      </c>
      <c r="C181" s="9" t="s">
        <v>2018</v>
      </c>
      <c r="D181" s="9">
        <v>25.0</v>
      </c>
      <c r="E181" s="9">
        <v>1500.0</v>
      </c>
      <c r="F181" s="341">
        <v>55.0</v>
      </c>
      <c r="G181" s="341">
        <v>1.17</v>
      </c>
      <c r="H181" s="341">
        <v>30.0</v>
      </c>
      <c r="I181" s="341">
        <v>0.15</v>
      </c>
      <c r="J181" s="9">
        <v>215.0</v>
      </c>
      <c r="K181" s="9" t="s">
        <v>2773</v>
      </c>
      <c r="L181" s="9">
        <v>12.0</v>
      </c>
      <c r="M181" s="342" t="s">
        <v>2902</v>
      </c>
      <c r="N181" s="9">
        <v>9.0</v>
      </c>
      <c r="O181" s="9" t="s">
        <v>166</v>
      </c>
      <c r="P181" s="9" t="s">
        <v>174</v>
      </c>
      <c r="Q181" s="9" t="s">
        <v>166</v>
      </c>
      <c r="R181" s="9" t="s">
        <v>166</v>
      </c>
      <c r="S181" s="9"/>
      <c r="T181" s="9"/>
      <c r="U181" s="343"/>
      <c r="V181" s="343"/>
      <c r="W181" s="343"/>
      <c r="X181" s="343"/>
      <c r="Y181" s="343"/>
      <c r="Z181" s="343"/>
      <c r="AA181" s="343"/>
      <c r="AB181" s="343"/>
      <c r="AC181" s="343"/>
      <c r="AD181" s="343"/>
    </row>
    <row r="182">
      <c r="A182" s="255" t="s">
        <v>1532</v>
      </c>
      <c r="B182" s="340" t="s">
        <v>3097</v>
      </c>
      <c r="C182" s="9" t="s">
        <v>2018</v>
      </c>
      <c r="D182" s="9">
        <v>25.0</v>
      </c>
      <c r="E182" s="9">
        <v>1600.0</v>
      </c>
      <c r="F182" s="341">
        <v>59.51</v>
      </c>
      <c r="G182" s="341">
        <v>2.53</v>
      </c>
      <c r="H182" s="341">
        <v>27.0</v>
      </c>
      <c r="I182" s="341">
        <v>0.13</v>
      </c>
      <c r="J182" s="9">
        <v>210.0</v>
      </c>
      <c r="K182" s="9" t="s">
        <v>2773</v>
      </c>
      <c r="L182" s="9">
        <v>12.0</v>
      </c>
      <c r="M182" s="342" t="s">
        <v>2902</v>
      </c>
      <c r="N182" s="9">
        <v>7.0</v>
      </c>
      <c r="O182" s="9" t="s">
        <v>166</v>
      </c>
      <c r="P182" s="9" t="s">
        <v>174</v>
      </c>
      <c r="Q182" s="9" t="s">
        <v>166</v>
      </c>
      <c r="R182" s="9" t="s">
        <v>166</v>
      </c>
      <c r="S182" s="358" t="s">
        <v>214</v>
      </c>
      <c r="T182" s="9"/>
      <c r="U182" s="343"/>
      <c r="V182" s="343"/>
      <c r="W182" s="343"/>
      <c r="X182" s="343"/>
      <c r="Y182" s="343"/>
      <c r="Z182" s="343"/>
      <c r="AA182" s="343"/>
      <c r="AB182" s="343"/>
      <c r="AC182" s="343"/>
      <c r="AD182" s="343"/>
    </row>
    <row r="183">
      <c r="A183" s="255" t="s">
        <v>1532</v>
      </c>
      <c r="B183" s="340" t="s">
        <v>3098</v>
      </c>
      <c r="C183" s="9" t="s">
        <v>2018</v>
      </c>
      <c r="D183" s="9">
        <v>25.0</v>
      </c>
      <c r="E183" s="9">
        <v>1900.0</v>
      </c>
      <c r="F183" s="341">
        <v>76.5</v>
      </c>
      <c r="G183" s="341">
        <v>2.3</v>
      </c>
      <c r="H183" s="341">
        <v>30.0</v>
      </c>
      <c r="I183" s="341">
        <v>0.35</v>
      </c>
      <c r="J183" s="9">
        <v>222.0</v>
      </c>
      <c r="K183" s="9" t="s">
        <v>2773</v>
      </c>
      <c r="L183" s="9">
        <v>12.0</v>
      </c>
      <c r="M183" s="342" t="s">
        <v>2950</v>
      </c>
      <c r="N183" s="9">
        <v>7.0</v>
      </c>
      <c r="O183" s="9" t="s">
        <v>166</v>
      </c>
      <c r="P183" s="9" t="s">
        <v>174</v>
      </c>
      <c r="Q183" s="9" t="s">
        <v>166</v>
      </c>
      <c r="R183" s="9" t="s">
        <v>166</v>
      </c>
      <c r="S183" s="9"/>
      <c r="T183" s="9"/>
      <c r="U183" s="343"/>
      <c r="V183" s="343"/>
      <c r="W183" s="343"/>
      <c r="X183" s="343"/>
      <c r="Y183" s="343"/>
      <c r="Z183" s="343"/>
      <c r="AA183" s="343"/>
      <c r="AB183" s="343"/>
      <c r="AC183" s="343"/>
      <c r="AD183" s="343"/>
    </row>
    <row r="184">
      <c r="A184" s="255" t="s">
        <v>1532</v>
      </c>
      <c r="B184" s="340" t="s">
        <v>3099</v>
      </c>
      <c r="C184" s="9" t="s">
        <v>2018</v>
      </c>
      <c r="D184" s="9">
        <v>25.0</v>
      </c>
      <c r="E184" s="9">
        <v>1400.0</v>
      </c>
      <c r="F184" s="341">
        <v>67.0</v>
      </c>
      <c r="G184" s="341">
        <v>2.2</v>
      </c>
      <c r="H184" s="341">
        <v>27.0</v>
      </c>
      <c r="I184" s="341">
        <v>0.21</v>
      </c>
      <c r="J184" s="9">
        <v>195.0</v>
      </c>
      <c r="K184" s="9" t="s">
        <v>2773</v>
      </c>
      <c r="L184" s="9">
        <v>12.0</v>
      </c>
      <c r="M184" s="342" t="s">
        <v>2902</v>
      </c>
      <c r="N184" s="9">
        <v>7.0</v>
      </c>
      <c r="O184" s="9" t="s">
        <v>166</v>
      </c>
      <c r="P184" s="9" t="s">
        <v>174</v>
      </c>
      <c r="Q184" s="9" t="s">
        <v>166</v>
      </c>
      <c r="R184" s="9" t="s">
        <v>166</v>
      </c>
      <c r="S184" s="9"/>
      <c r="T184" s="9"/>
      <c r="U184" s="343"/>
      <c r="V184" s="343"/>
      <c r="W184" s="343"/>
      <c r="X184" s="343"/>
      <c r="Y184" s="343"/>
      <c r="Z184" s="343"/>
      <c r="AA184" s="343"/>
      <c r="AB184" s="343"/>
      <c r="AC184" s="343"/>
      <c r="AD184" s="343"/>
    </row>
    <row r="185">
      <c r="A185" s="255" t="s">
        <v>1480</v>
      </c>
      <c r="B185" s="340" t="s">
        <v>3100</v>
      </c>
      <c r="C185" s="9" t="s">
        <v>2018</v>
      </c>
      <c r="D185" s="9">
        <v>25.0</v>
      </c>
      <c r="E185" s="9">
        <v>1600.0</v>
      </c>
      <c r="F185" s="341">
        <v>84.5</v>
      </c>
      <c r="G185" s="341">
        <v>1.73</v>
      </c>
      <c r="H185" s="341">
        <v>31.0</v>
      </c>
      <c r="I185" s="341">
        <v>0.39</v>
      </c>
      <c r="J185" s="9">
        <v>223.0</v>
      </c>
      <c r="K185" s="9" t="s">
        <v>2773</v>
      </c>
      <c r="L185" s="9">
        <v>12.0</v>
      </c>
      <c r="M185" s="342" t="s">
        <v>2804</v>
      </c>
      <c r="N185" s="9">
        <v>9.0</v>
      </c>
      <c r="O185" s="9" t="s">
        <v>166</v>
      </c>
      <c r="P185" s="9" t="s">
        <v>166</v>
      </c>
      <c r="Q185" s="9" t="s">
        <v>166</v>
      </c>
      <c r="R185" s="9" t="s">
        <v>166</v>
      </c>
      <c r="S185" s="9"/>
      <c r="T185" s="9"/>
      <c r="U185" s="343"/>
      <c r="V185" s="343"/>
      <c r="W185" s="343"/>
      <c r="X185" s="343"/>
      <c r="Y185" s="343"/>
      <c r="Z185" s="343"/>
      <c r="AA185" s="343"/>
      <c r="AB185" s="343"/>
      <c r="AC185" s="343"/>
      <c r="AD185" s="343"/>
    </row>
    <row r="186">
      <c r="A186" s="255" t="s">
        <v>1480</v>
      </c>
      <c r="B186" s="340" t="s">
        <v>3101</v>
      </c>
      <c r="C186" s="9" t="s">
        <v>2018</v>
      </c>
      <c r="D186" s="9">
        <v>25.0</v>
      </c>
      <c r="E186" s="9">
        <v>1600.0</v>
      </c>
      <c r="F186" s="341">
        <v>84.5</v>
      </c>
      <c r="G186" s="341">
        <v>1.73</v>
      </c>
      <c r="H186" s="341">
        <v>31.0</v>
      </c>
      <c r="I186" s="341">
        <v>0.39</v>
      </c>
      <c r="J186" s="9">
        <v>223.0</v>
      </c>
      <c r="K186" s="9" t="s">
        <v>2773</v>
      </c>
      <c r="L186" s="9">
        <v>12.0</v>
      </c>
      <c r="M186" s="342" t="s">
        <v>2804</v>
      </c>
      <c r="N186" s="9">
        <v>9.0</v>
      </c>
      <c r="O186" s="9" t="s">
        <v>166</v>
      </c>
      <c r="P186" s="9" t="s">
        <v>166</v>
      </c>
      <c r="Q186" s="9" t="s">
        <v>166</v>
      </c>
      <c r="R186" s="9" t="s">
        <v>166</v>
      </c>
      <c r="S186" s="9"/>
      <c r="T186" s="9"/>
      <c r="U186" s="343"/>
      <c r="V186" s="343"/>
      <c r="W186" s="343"/>
      <c r="X186" s="343"/>
      <c r="Y186" s="343"/>
      <c r="Z186" s="343"/>
      <c r="AA186" s="343"/>
      <c r="AB186" s="343"/>
      <c r="AC186" s="343"/>
      <c r="AD186" s="343"/>
    </row>
    <row r="187">
      <c r="A187" s="255" t="s">
        <v>1480</v>
      </c>
      <c r="B187" s="340" t="s">
        <v>3102</v>
      </c>
      <c r="C187" s="9" t="s">
        <v>2018</v>
      </c>
      <c r="D187" s="9">
        <v>25.0</v>
      </c>
      <c r="E187" s="9">
        <v>1700.0</v>
      </c>
      <c r="F187" s="341">
        <v>89.0</v>
      </c>
      <c r="G187" s="341">
        <v>2.0</v>
      </c>
      <c r="H187" s="341">
        <v>33.8</v>
      </c>
      <c r="I187" s="341">
        <v>0.39</v>
      </c>
      <c r="J187" s="9">
        <v>205.0</v>
      </c>
      <c r="K187" s="9" t="s">
        <v>2773</v>
      </c>
      <c r="L187" s="9">
        <v>12.0</v>
      </c>
      <c r="M187" s="342" t="s">
        <v>2804</v>
      </c>
      <c r="N187" s="9">
        <v>9.0</v>
      </c>
      <c r="O187" s="9" t="s">
        <v>166</v>
      </c>
      <c r="P187" s="9" t="s">
        <v>174</v>
      </c>
      <c r="Q187" s="9" t="s">
        <v>166</v>
      </c>
      <c r="R187" s="9" t="s">
        <v>166</v>
      </c>
      <c r="S187" s="9"/>
      <c r="T187" s="9"/>
      <c r="U187" s="343"/>
      <c r="V187" s="343"/>
      <c r="W187" s="343"/>
      <c r="X187" s="343"/>
      <c r="Y187" s="343"/>
      <c r="Z187" s="343"/>
      <c r="AA187" s="343"/>
      <c r="AB187" s="343"/>
      <c r="AC187" s="343"/>
      <c r="AD187" s="343"/>
    </row>
    <row r="188">
      <c r="A188" s="255" t="s">
        <v>1480</v>
      </c>
      <c r="B188" s="340" t="s">
        <v>3103</v>
      </c>
      <c r="C188" s="9" t="s">
        <v>2018</v>
      </c>
      <c r="D188" s="9">
        <v>25.0</v>
      </c>
      <c r="E188" s="9">
        <v>1700.0</v>
      </c>
      <c r="F188" s="341">
        <v>89.0</v>
      </c>
      <c r="G188" s="341">
        <v>2.0</v>
      </c>
      <c r="H188" s="341">
        <v>33.8</v>
      </c>
      <c r="I188" s="341">
        <v>0.39</v>
      </c>
      <c r="J188" s="9">
        <v>205.0</v>
      </c>
      <c r="K188" s="9" t="s">
        <v>2773</v>
      </c>
      <c r="L188" s="9">
        <v>12.0</v>
      </c>
      <c r="M188" s="342" t="s">
        <v>2804</v>
      </c>
      <c r="N188" s="9">
        <v>9.0</v>
      </c>
      <c r="O188" s="9" t="s">
        <v>166</v>
      </c>
      <c r="P188" s="9" t="s">
        <v>174</v>
      </c>
      <c r="Q188" s="9" t="s">
        <v>166</v>
      </c>
      <c r="R188" s="9" t="s">
        <v>166</v>
      </c>
      <c r="S188" s="9"/>
      <c r="T188" s="9"/>
      <c r="U188" s="343"/>
      <c r="V188" s="343"/>
      <c r="W188" s="343"/>
      <c r="X188" s="343"/>
      <c r="Y188" s="343"/>
      <c r="Z188" s="343"/>
      <c r="AA188" s="343"/>
      <c r="AB188" s="343"/>
      <c r="AC188" s="343"/>
      <c r="AD188" s="343"/>
    </row>
    <row r="189">
      <c r="A189" s="255" t="s">
        <v>1480</v>
      </c>
      <c r="B189" s="340" t="s">
        <v>3104</v>
      </c>
      <c r="C189" s="9" t="s">
        <v>2018</v>
      </c>
      <c r="D189" s="9">
        <v>25.0</v>
      </c>
      <c r="E189" s="9">
        <v>1700.0</v>
      </c>
      <c r="F189" s="341">
        <v>95.7</v>
      </c>
      <c r="G189" s="341">
        <v>3.79</v>
      </c>
      <c r="H189" s="341">
        <v>36.0</v>
      </c>
      <c r="I189" s="341">
        <v>0.62</v>
      </c>
      <c r="J189" s="9">
        <v>280.0</v>
      </c>
      <c r="K189" s="9" t="s">
        <v>2773</v>
      </c>
      <c r="L189" s="9">
        <v>12.0</v>
      </c>
      <c r="M189" s="342" t="s">
        <v>2963</v>
      </c>
      <c r="N189" s="9">
        <v>7.0</v>
      </c>
      <c r="O189" s="9" t="s">
        <v>166</v>
      </c>
      <c r="P189" s="9" t="s">
        <v>166</v>
      </c>
      <c r="Q189" s="9" t="s">
        <v>166</v>
      </c>
      <c r="R189" s="9" t="s">
        <v>166</v>
      </c>
      <c r="S189" s="9"/>
      <c r="T189" s="9"/>
      <c r="U189" s="343"/>
      <c r="V189" s="343"/>
      <c r="W189" s="343"/>
      <c r="X189" s="343"/>
      <c r="Y189" s="343"/>
      <c r="Z189" s="343"/>
      <c r="AA189" s="343"/>
      <c r="AB189" s="343"/>
      <c r="AC189" s="343"/>
      <c r="AD189" s="343"/>
    </row>
    <row r="190">
      <c r="A190" s="255" t="s">
        <v>1480</v>
      </c>
      <c r="B190" s="340" t="s">
        <v>3105</v>
      </c>
      <c r="C190" s="9" t="s">
        <v>2018</v>
      </c>
      <c r="D190" s="9">
        <v>25.0</v>
      </c>
      <c r="E190" s="9">
        <v>1700.0</v>
      </c>
      <c r="F190" s="341">
        <v>95.7</v>
      </c>
      <c r="G190" s="341">
        <v>3.79</v>
      </c>
      <c r="H190" s="341">
        <v>36.0</v>
      </c>
      <c r="I190" s="341">
        <v>0.7</v>
      </c>
      <c r="J190" s="9">
        <v>280.0</v>
      </c>
      <c r="K190" s="9" t="s">
        <v>2773</v>
      </c>
      <c r="L190" s="9">
        <v>12.0</v>
      </c>
      <c r="M190" s="342" t="s">
        <v>2963</v>
      </c>
      <c r="N190" s="9">
        <v>7.0</v>
      </c>
      <c r="O190" s="9" t="s">
        <v>166</v>
      </c>
      <c r="P190" s="9" t="s">
        <v>174</v>
      </c>
      <c r="Q190" s="9" t="s">
        <v>166</v>
      </c>
      <c r="R190" s="9" t="s">
        <v>166</v>
      </c>
      <c r="S190" s="9"/>
      <c r="T190" s="9"/>
      <c r="U190" s="343"/>
      <c r="V190" s="343"/>
      <c r="W190" s="343"/>
      <c r="X190" s="343"/>
      <c r="Y190" s="343"/>
      <c r="Z190" s="343"/>
      <c r="AA190" s="343"/>
      <c r="AB190" s="343"/>
      <c r="AC190" s="343"/>
      <c r="AD190" s="343"/>
    </row>
    <row r="191">
      <c r="A191" s="255" t="s">
        <v>1480</v>
      </c>
      <c r="B191" s="340" t="s">
        <v>3106</v>
      </c>
      <c r="C191" s="9" t="s">
        <v>2018</v>
      </c>
      <c r="D191" s="9">
        <v>25.0</v>
      </c>
      <c r="E191" s="9">
        <v>1700.0</v>
      </c>
      <c r="F191" s="341">
        <v>95.7</v>
      </c>
      <c r="G191" s="341">
        <v>3.79</v>
      </c>
      <c r="H191" s="341">
        <v>36.0</v>
      </c>
      <c r="I191" s="341">
        <v>0.7</v>
      </c>
      <c r="J191" s="9">
        <v>280.0</v>
      </c>
      <c r="K191" s="9" t="s">
        <v>2773</v>
      </c>
      <c r="L191" s="9">
        <v>12.0</v>
      </c>
      <c r="M191" s="342" t="s">
        <v>2963</v>
      </c>
      <c r="N191" s="9">
        <v>7.0</v>
      </c>
      <c r="O191" s="9" t="s">
        <v>166</v>
      </c>
      <c r="P191" s="9" t="s">
        <v>174</v>
      </c>
      <c r="Q191" s="9" t="s">
        <v>166</v>
      </c>
      <c r="R191" s="9" t="s">
        <v>166</v>
      </c>
      <c r="S191" s="9"/>
      <c r="T191" s="9"/>
      <c r="U191" s="343"/>
      <c r="V191" s="343"/>
      <c r="W191" s="343"/>
      <c r="X191" s="343"/>
      <c r="Y191" s="343"/>
      <c r="Z191" s="343"/>
      <c r="AA191" s="343"/>
      <c r="AB191" s="343"/>
      <c r="AC191" s="343"/>
      <c r="AD191" s="343"/>
    </row>
    <row r="192">
      <c r="A192" s="255" t="s">
        <v>1480</v>
      </c>
      <c r="B192" s="340" t="s">
        <v>3107</v>
      </c>
      <c r="C192" s="9" t="s">
        <v>2018</v>
      </c>
      <c r="D192" s="9">
        <v>30.0</v>
      </c>
      <c r="E192" s="9">
        <v>1600.0</v>
      </c>
      <c r="F192" s="341">
        <v>104.0</v>
      </c>
      <c r="G192" s="341">
        <v>2.4</v>
      </c>
      <c r="H192" s="341">
        <v>31.0</v>
      </c>
      <c r="I192" s="341">
        <v>0.22</v>
      </c>
      <c r="J192" s="9">
        <v>350.0</v>
      </c>
      <c r="K192" s="9" t="s">
        <v>2773</v>
      </c>
      <c r="L192" s="9">
        <v>12.0</v>
      </c>
      <c r="M192" s="342" t="s">
        <v>2963</v>
      </c>
      <c r="N192" s="9">
        <v>7.0</v>
      </c>
      <c r="O192" s="9" t="s">
        <v>166</v>
      </c>
      <c r="P192" s="9" t="s">
        <v>166</v>
      </c>
      <c r="Q192" s="9" t="s">
        <v>2969</v>
      </c>
      <c r="R192" s="9" t="s">
        <v>2965</v>
      </c>
      <c r="S192" s="358" t="s">
        <v>214</v>
      </c>
      <c r="T192" s="358" t="s">
        <v>214</v>
      </c>
      <c r="U192" s="343"/>
      <c r="V192" s="343"/>
      <c r="W192" s="343"/>
      <c r="X192" s="343"/>
      <c r="Y192" s="343"/>
      <c r="Z192" s="343"/>
      <c r="AA192" s="343"/>
      <c r="AB192" s="343"/>
      <c r="AC192" s="343"/>
      <c r="AD192" s="343"/>
    </row>
    <row r="193">
      <c r="A193" s="272" t="s">
        <v>1343</v>
      </c>
      <c r="B193" s="381" t="s">
        <v>3108</v>
      </c>
      <c r="C193" s="9" t="s">
        <v>2018</v>
      </c>
      <c r="D193" s="9">
        <v>25.0</v>
      </c>
      <c r="E193" s="9" t="s">
        <v>170</v>
      </c>
      <c r="F193" s="341">
        <v>79.0</v>
      </c>
      <c r="G193" s="341">
        <v>3.6</v>
      </c>
      <c r="H193" s="341">
        <v>29.9</v>
      </c>
      <c r="I193" s="341" t="s">
        <v>170</v>
      </c>
      <c r="J193" s="9" t="s">
        <v>170</v>
      </c>
      <c r="K193" s="9" t="s">
        <v>2773</v>
      </c>
      <c r="L193" s="9">
        <v>12.0</v>
      </c>
      <c r="M193" s="342" t="s">
        <v>2804</v>
      </c>
      <c r="N193" s="9">
        <v>7.0</v>
      </c>
      <c r="O193" s="9" t="s">
        <v>166</v>
      </c>
      <c r="P193" s="9" t="s">
        <v>166</v>
      </c>
      <c r="Q193" s="9" t="s">
        <v>166</v>
      </c>
      <c r="R193" s="9" t="s">
        <v>166</v>
      </c>
      <c r="S193" s="9"/>
      <c r="T193" s="9"/>
      <c r="U193" s="343"/>
      <c r="V193" s="343"/>
      <c r="W193" s="343"/>
      <c r="X193" s="343"/>
      <c r="Y193" s="343"/>
      <c r="Z193" s="343"/>
      <c r="AA193" s="343"/>
      <c r="AB193" s="343"/>
      <c r="AC193" s="343"/>
      <c r="AD193" s="343"/>
    </row>
    <row r="194">
      <c r="A194" s="272" t="s">
        <v>2303</v>
      </c>
      <c r="B194" s="340" t="s">
        <v>3109</v>
      </c>
      <c r="C194" s="9" t="s">
        <v>2018</v>
      </c>
      <c r="D194" s="9">
        <v>27.0</v>
      </c>
      <c r="E194" s="9">
        <v>2200.0</v>
      </c>
      <c r="F194" s="341">
        <v>118.01</v>
      </c>
      <c r="G194" s="341">
        <v>3.57</v>
      </c>
      <c r="H194" s="341">
        <v>44.56</v>
      </c>
      <c r="I194" s="341">
        <v>0.46</v>
      </c>
      <c r="J194" s="9" t="s">
        <v>170</v>
      </c>
      <c r="K194" s="9" t="s">
        <v>2773</v>
      </c>
      <c r="L194" s="9">
        <v>12.0</v>
      </c>
      <c r="M194" s="342" t="s">
        <v>2804</v>
      </c>
      <c r="N194" s="9">
        <v>7.0</v>
      </c>
      <c r="O194" s="9" t="s">
        <v>166</v>
      </c>
      <c r="P194" s="9" t="s">
        <v>166</v>
      </c>
      <c r="Q194" s="9" t="s">
        <v>166</v>
      </c>
      <c r="R194" s="9" t="s">
        <v>166</v>
      </c>
      <c r="S194" s="9"/>
      <c r="T194" s="9"/>
      <c r="U194" s="343"/>
      <c r="V194" s="343"/>
      <c r="W194" s="343"/>
      <c r="X194" s="343"/>
      <c r="Y194" s="343"/>
      <c r="Z194" s="343"/>
      <c r="AA194" s="343"/>
      <c r="AB194" s="343"/>
      <c r="AC194" s="343"/>
      <c r="AD194" s="343"/>
    </row>
    <row r="195">
      <c r="A195" s="272" t="s">
        <v>2303</v>
      </c>
      <c r="B195" s="340" t="s">
        <v>3110</v>
      </c>
      <c r="C195" s="9" t="s">
        <v>2018</v>
      </c>
      <c r="D195" s="9">
        <v>27.0</v>
      </c>
      <c r="E195" s="9">
        <v>2200.0</v>
      </c>
      <c r="F195" s="341">
        <v>118.01</v>
      </c>
      <c r="G195" s="341">
        <v>3.57</v>
      </c>
      <c r="H195" s="341">
        <v>44.56</v>
      </c>
      <c r="I195" s="341">
        <v>0.46</v>
      </c>
      <c r="J195" s="9" t="s">
        <v>170</v>
      </c>
      <c r="K195" s="9" t="s">
        <v>2773</v>
      </c>
      <c r="L195" s="9">
        <v>12.0</v>
      </c>
      <c r="M195" s="342" t="s">
        <v>2804</v>
      </c>
      <c r="N195" s="9">
        <v>7.0</v>
      </c>
      <c r="O195" s="9" t="s">
        <v>166</v>
      </c>
      <c r="P195" s="9" t="s">
        <v>174</v>
      </c>
      <c r="Q195" s="9" t="s">
        <v>2981</v>
      </c>
      <c r="R195" s="9" t="s">
        <v>2981</v>
      </c>
      <c r="S195" s="358" t="s">
        <v>214</v>
      </c>
      <c r="T195" s="358" t="s">
        <v>214</v>
      </c>
      <c r="U195" s="343"/>
      <c r="V195" s="343"/>
      <c r="W195" s="343"/>
      <c r="X195" s="343"/>
      <c r="Y195" s="343"/>
      <c r="Z195" s="343"/>
      <c r="AA195" s="343"/>
      <c r="AB195" s="343"/>
      <c r="AC195" s="343"/>
      <c r="AD195" s="343"/>
    </row>
    <row r="196">
      <c r="A196" s="272" t="s">
        <v>2303</v>
      </c>
      <c r="B196" s="340" t="s">
        <v>3111</v>
      </c>
      <c r="C196" s="9" t="s">
        <v>2018</v>
      </c>
      <c r="D196" s="9">
        <v>27.0</v>
      </c>
      <c r="E196" s="9">
        <v>2200.0</v>
      </c>
      <c r="F196" s="341">
        <v>118.01</v>
      </c>
      <c r="G196" s="341">
        <v>3.57</v>
      </c>
      <c r="H196" s="341">
        <v>44.56</v>
      </c>
      <c r="I196" s="341">
        <v>0.46</v>
      </c>
      <c r="J196" s="9" t="s">
        <v>170</v>
      </c>
      <c r="K196" s="9" t="s">
        <v>2773</v>
      </c>
      <c r="L196" s="9">
        <v>12.0</v>
      </c>
      <c r="M196" s="342" t="s">
        <v>2804</v>
      </c>
      <c r="N196" s="9">
        <v>7.0</v>
      </c>
      <c r="O196" s="9" t="s">
        <v>166</v>
      </c>
      <c r="P196" s="9" t="s">
        <v>174</v>
      </c>
      <c r="Q196" s="9" t="s">
        <v>166</v>
      </c>
      <c r="R196" s="9" t="s">
        <v>166</v>
      </c>
      <c r="S196" s="9"/>
      <c r="T196" s="9"/>
      <c r="U196" s="343"/>
      <c r="V196" s="343"/>
      <c r="W196" s="343"/>
      <c r="X196" s="343"/>
      <c r="Y196" s="343"/>
      <c r="Z196" s="343"/>
      <c r="AA196" s="343"/>
      <c r="AB196" s="343"/>
      <c r="AC196" s="343"/>
      <c r="AD196" s="343"/>
    </row>
    <row r="197">
      <c r="A197" s="272" t="s">
        <v>2303</v>
      </c>
      <c r="B197" s="340" t="s">
        <v>3112</v>
      </c>
      <c r="C197" s="9" t="s">
        <v>2018</v>
      </c>
      <c r="D197" s="9">
        <v>25.0</v>
      </c>
      <c r="E197" s="9">
        <v>2000.0</v>
      </c>
      <c r="F197" s="341">
        <v>108.0</v>
      </c>
      <c r="G197" s="341">
        <v>3.15</v>
      </c>
      <c r="H197" s="341">
        <v>40.7</v>
      </c>
      <c r="I197" s="341">
        <v>0.32</v>
      </c>
      <c r="J197" s="9" t="s">
        <v>170</v>
      </c>
      <c r="K197" s="9" t="s">
        <v>2773</v>
      </c>
      <c r="L197" s="9">
        <v>12.0</v>
      </c>
      <c r="M197" s="342" t="s">
        <v>2849</v>
      </c>
      <c r="N197" s="9">
        <v>7.0</v>
      </c>
      <c r="O197" s="9" t="s">
        <v>166</v>
      </c>
      <c r="P197" s="9" t="s">
        <v>166</v>
      </c>
      <c r="Q197" s="9" t="s">
        <v>166</v>
      </c>
      <c r="R197" s="9" t="s">
        <v>166</v>
      </c>
      <c r="S197" s="9"/>
      <c r="T197" s="9"/>
      <c r="U197" s="343"/>
      <c r="V197" s="343"/>
      <c r="W197" s="343"/>
      <c r="X197" s="343"/>
      <c r="Y197" s="343"/>
      <c r="Z197" s="343"/>
      <c r="AA197" s="343"/>
      <c r="AB197" s="343"/>
      <c r="AC197" s="343"/>
      <c r="AD197" s="343"/>
    </row>
    <row r="198">
      <c r="A198" s="272" t="s">
        <v>2303</v>
      </c>
      <c r="B198" s="340" t="s">
        <v>3113</v>
      </c>
      <c r="C198" s="9" t="s">
        <v>2018</v>
      </c>
      <c r="D198" s="9">
        <v>25.0</v>
      </c>
      <c r="E198" s="9">
        <v>1600.0</v>
      </c>
      <c r="F198" s="341">
        <v>84.0</v>
      </c>
      <c r="G198" s="341">
        <v>1.9</v>
      </c>
      <c r="H198" s="341">
        <v>31.6</v>
      </c>
      <c r="I198" s="341">
        <v>0.13</v>
      </c>
      <c r="J198" s="9" t="s">
        <v>170</v>
      </c>
      <c r="K198" s="9" t="s">
        <v>2773</v>
      </c>
      <c r="L198" s="9">
        <v>12.0</v>
      </c>
      <c r="M198" s="342" t="s">
        <v>2849</v>
      </c>
      <c r="N198" s="9">
        <v>7.0</v>
      </c>
      <c r="O198" s="9" t="s">
        <v>166</v>
      </c>
      <c r="P198" s="9" t="s">
        <v>174</v>
      </c>
      <c r="Q198" s="9" t="s">
        <v>166</v>
      </c>
      <c r="R198" s="9" t="s">
        <v>166</v>
      </c>
      <c r="S198" s="9"/>
      <c r="T198" s="9"/>
      <c r="U198" s="343"/>
      <c r="V198" s="343"/>
      <c r="W198" s="343"/>
      <c r="X198" s="343"/>
      <c r="Y198" s="343"/>
      <c r="Z198" s="343"/>
      <c r="AA198" s="343"/>
      <c r="AB198" s="343"/>
      <c r="AC198" s="343"/>
      <c r="AD198" s="343"/>
    </row>
    <row r="199">
      <c r="A199" s="272" t="s">
        <v>2425</v>
      </c>
      <c r="B199" s="340" t="s">
        <v>3114</v>
      </c>
      <c r="C199" s="9" t="s">
        <v>2018</v>
      </c>
      <c r="D199" s="9">
        <v>25.0</v>
      </c>
      <c r="E199" s="9">
        <v>1800.0</v>
      </c>
      <c r="F199" s="341">
        <v>88.89</v>
      </c>
      <c r="G199" s="341">
        <v>2.18</v>
      </c>
      <c r="H199" s="341">
        <v>24.5</v>
      </c>
      <c r="I199" s="341">
        <v>0.19</v>
      </c>
      <c r="J199" s="9">
        <v>210.0</v>
      </c>
      <c r="K199" s="9" t="s">
        <v>2773</v>
      </c>
      <c r="L199" s="9">
        <v>12.0</v>
      </c>
      <c r="M199" s="342" t="s">
        <v>2793</v>
      </c>
      <c r="N199" s="9">
        <v>9.0</v>
      </c>
      <c r="O199" s="9" t="s">
        <v>166</v>
      </c>
      <c r="P199" s="9" t="s">
        <v>174</v>
      </c>
      <c r="Q199" s="9" t="s">
        <v>166</v>
      </c>
      <c r="R199" s="9" t="s">
        <v>166</v>
      </c>
      <c r="S199" s="358" t="s">
        <v>214</v>
      </c>
      <c r="T199" s="9"/>
      <c r="U199" s="343"/>
      <c r="V199" s="343"/>
      <c r="W199" s="343"/>
      <c r="X199" s="343"/>
      <c r="Y199" s="343"/>
      <c r="Z199" s="343"/>
      <c r="AA199" s="343"/>
      <c r="AB199" s="343"/>
      <c r="AC199" s="343"/>
      <c r="AD199" s="343"/>
    </row>
    <row r="200">
      <c r="A200" s="272" t="s">
        <v>2425</v>
      </c>
      <c r="B200" s="340" t="s">
        <v>3115</v>
      </c>
      <c r="C200" s="9" t="s">
        <v>2018</v>
      </c>
      <c r="D200" s="9">
        <v>25.0</v>
      </c>
      <c r="E200" s="9">
        <v>1800.0</v>
      </c>
      <c r="F200" s="341">
        <v>88.89</v>
      </c>
      <c r="G200" s="341">
        <v>2.18</v>
      </c>
      <c r="H200" s="341">
        <v>24.5</v>
      </c>
      <c r="I200" s="341">
        <v>0.19</v>
      </c>
      <c r="J200" s="9">
        <v>210.0</v>
      </c>
      <c r="K200" s="9" t="s">
        <v>2773</v>
      </c>
      <c r="L200" s="9">
        <v>12.0</v>
      </c>
      <c r="M200" s="342" t="s">
        <v>2793</v>
      </c>
      <c r="N200" s="9">
        <v>9.0</v>
      </c>
      <c r="O200" s="9" t="s">
        <v>166</v>
      </c>
      <c r="P200" s="9" t="s">
        <v>166</v>
      </c>
      <c r="Q200" s="9" t="s">
        <v>166</v>
      </c>
      <c r="R200" s="9" t="s">
        <v>166</v>
      </c>
      <c r="S200" s="9"/>
      <c r="T200" s="9"/>
      <c r="U200" s="343"/>
      <c r="V200" s="343"/>
      <c r="W200" s="343"/>
      <c r="X200" s="343"/>
      <c r="Y200" s="343"/>
      <c r="Z200" s="343"/>
      <c r="AA200" s="343"/>
      <c r="AB200" s="343"/>
      <c r="AC200" s="343"/>
      <c r="AD200" s="343"/>
    </row>
    <row r="201">
      <c r="A201" s="272" t="s">
        <v>2425</v>
      </c>
      <c r="B201" s="340" t="s">
        <v>3116</v>
      </c>
      <c r="C201" s="9" t="s">
        <v>2018</v>
      </c>
      <c r="D201" s="9">
        <v>25.0</v>
      </c>
      <c r="E201" s="9">
        <v>1800.0</v>
      </c>
      <c r="F201" s="341">
        <v>91.66</v>
      </c>
      <c r="G201" s="341">
        <v>2.95</v>
      </c>
      <c r="H201" s="341">
        <v>24.0</v>
      </c>
      <c r="I201" s="341">
        <v>0.16</v>
      </c>
      <c r="J201" s="9">
        <v>297.0</v>
      </c>
      <c r="K201" s="9" t="s">
        <v>2773</v>
      </c>
      <c r="L201" s="9">
        <v>12.0</v>
      </c>
      <c r="M201" s="342" t="s">
        <v>2804</v>
      </c>
      <c r="N201" s="9">
        <v>9.0</v>
      </c>
      <c r="O201" s="9" t="s">
        <v>166</v>
      </c>
      <c r="P201" s="9" t="s">
        <v>166</v>
      </c>
      <c r="Q201" s="9" t="s">
        <v>166</v>
      </c>
      <c r="R201" s="9" t="s">
        <v>166</v>
      </c>
      <c r="S201" s="358" t="s">
        <v>214</v>
      </c>
      <c r="T201" s="358" t="s">
        <v>214</v>
      </c>
      <c r="U201" s="343"/>
      <c r="V201" s="343"/>
      <c r="W201" s="343"/>
      <c r="X201" s="343"/>
      <c r="Y201" s="343"/>
      <c r="Z201" s="343"/>
      <c r="AA201" s="343"/>
      <c r="AB201" s="343"/>
      <c r="AC201" s="343"/>
      <c r="AD201" s="343"/>
    </row>
    <row r="202">
      <c r="A202" s="282" t="s">
        <v>942</v>
      </c>
      <c r="B202" s="340" t="s">
        <v>3117</v>
      </c>
      <c r="C202" s="9" t="s">
        <v>2018</v>
      </c>
      <c r="D202" s="9">
        <v>28.0</v>
      </c>
      <c r="E202" s="9">
        <v>1800.0</v>
      </c>
      <c r="F202" s="341">
        <v>103.9</v>
      </c>
      <c r="G202" s="341">
        <v>2.34</v>
      </c>
      <c r="H202" s="341">
        <v>29.0</v>
      </c>
      <c r="I202" s="341">
        <v>0.38</v>
      </c>
      <c r="J202" s="9" t="s">
        <v>170</v>
      </c>
      <c r="K202" s="9" t="s">
        <v>2773</v>
      </c>
      <c r="L202" s="9">
        <v>12.0</v>
      </c>
      <c r="M202" s="342" t="s">
        <v>2804</v>
      </c>
      <c r="N202" s="9">
        <v>9.0</v>
      </c>
      <c r="O202" s="9" t="s">
        <v>166</v>
      </c>
      <c r="P202" s="9" t="s">
        <v>174</v>
      </c>
      <c r="Q202" s="9" t="s">
        <v>166</v>
      </c>
      <c r="R202" s="9" t="s">
        <v>166</v>
      </c>
      <c r="S202" s="358" t="s">
        <v>214</v>
      </c>
      <c r="T202" s="358" t="s">
        <v>214</v>
      </c>
      <c r="U202" s="343"/>
      <c r="V202" s="343"/>
      <c r="W202" s="343"/>
      <c r="X202" s="343"/>
      <c r="Y202" s="343"/>
      <c r="Z202" s="343"/>
      <c r="AA202" s="343"/>
      <c r="AB202" s="343"/>
      <c r="AC202" s="343"/>
      <c r="AD202" s="343"/>
    </row>
    <row r="203">
      <c r="A203" s="312" t="s">
        <v>1639</v>
      </c>
      <c r="B203" s="340" t="s">
        <v>3118</v>
      </c>
      <c r="C203" s="9" t="s">
        <v>2018</v>
      </c>
      <c r="D203" s="9">
        <v>25.0</v>
      </c>
      <c r="E203" s="9">
        <v>1500.0</v>
      </c>
      <c r="F203" s="341">
        <v>82.58</v>
      </c>
      <c r="G203" s="341">
        <v>2.08</v>
      </c>
      <c r="H203" s="341">
        <v>24.6</v>
      </c>
      <c r="I203" s="341">
        <v>0.13</v>
      </c>
      <c r="J203" s="9">
        <v>370.0</v>
      </c>
      <c r="K203" s="9" t="s">
        <v>2773</v>
      </c>
      <c r="L203" s="9">
        <v>12.0</v>
      </c>
      <c r="M203" s="342" t="s">
        <v>2771</v>
      </c>
      <c r="N203" s="9">
        <v>7.0</v>
      </c>
      <c r="O203" s="9" t="s">
        <v>166</v>
      </c>
      <c r="P203" s="9" t="s">
        <v>166</v>
      </c>
      <c r="Q203" s="9" t="s">
        <v>166</v>
      </c>
      <c r="R203" s="9" t="s">
        <v>166</v>
      </c>
      <c r="S203" s="9"/>
      <c r="T203" s="9"/>
      <c r="U203" s="343"/>
      <c r="V203" s="343"/>
      <c r="W203" s="343"/>
      <c r="X203" s="343"/>
      <c r="Y203" s="343"/>
      <c r="Z203" s="343"/>
      <c r="AA203" s="343"/>
      <c r="AB203" s="343"/>
      <c r="AC203" s="343"/>
      <c r="AD203" s="343"/>
    </row>
    <row r="204">
      <c r="A204" s="312" t="s">
        <v>1639</v>
      </c>
      <c r="B204" s="340" t="s">
        <v>3119</v>
      </c>
      <c r="C204" s="9" t="s">
        <v>2018</v>
      </c>
      <c r="D204" s="9">
        <v>25.0</v>
      </c>
      <c r="E204" s="9">
        <v>2000.0</v>
      </c>
      <c r="F204" s="341">
        <v>107.49</v>
      </c>
      <c r="G204" s="341">
        <v>4.18</v>
      </c>
      <c r="H204" s="341">
        <v>31.5</v>
      </c>
      <c r="I204" s="341">
        <v>0.18</v>
      </c>
      <c r="J204" s="9">
        <v>305.0</v>
      </c>
      <c r="K204" s="9" t="s">
        <v>2773</v>
      </c>
      <c r="L204" s="9">
        <v>12.0</v>
      </c>
      <c r="M204" s="342" t="s">
        <v>2771</v>
      </c>
      <c r="N204" s="9">
        <v>7.0</v>
      </c>
      <c r="O204" s="9" t="s">
        <v>166</v>
      </c>
      <c r="P204" s="9" t="s">
        <v>166</v>
      </c>
      <c r="Q204" s="9" t="s">
        <v>166</v>
      </c>
      <c r="R204" s="9" t="s">
        <v>166</v>
      </c>
      <c r="S204" s="9"/>
      <c r="T204" s="9"/>
      <c r="U204" s="343"/>
      <c r="V204" s="343"/>
      <c r="W204" s="343"/>
      <c r="X204" s="343"/>
      <c r="Y204" s="343"/>
      <c r="Z204" s="343"/>
      <c r="AA204" s="343"/>
      <c r="AB204" s="343"/>
      <c r="AC204" s="343"/>
      <c r="AD204" s="343"/>
    </row>
    <row r="205">
      <c r="A205" s="312" t="s">
        <v>1639</v>
      </c>
      <c r="B205" s="340" t="s">
        <v>3120</v>
      </c>
      <c r="C205" s="9" t="s">
        <v>2018</v>
      </c>
      <c r="D205" s="9">
        <v>25.0</v>
      </c>
      <c r="E205" s="9">
        <v>3000.0</v>
      </c>
      <c r="F205" s="341">
        <v>158.62</v>
      </c>
      <c r="G205" s="341">
        <v>6.58</v>
      </c>
      <c r="H205" s="341">
        <v>41.3</v>
      </c>
      <c r="I205" s="341">
        <v>0.55</v>
      </c>
      <c r="J205" s="9">
        <v>305.0</v>
      </c>
      <c r="K205" s="9" t="s">
        <v>2773</v>
      </c>
      <c r="L205" s="9">
        <v>12.0</v>
      </c>
      <c r="M205" s="342" t="s">
        <v>2771</v>
      </c>
      <c r="N205" s="9">
        <v>7.0</v>
      </c>
      <c r="O205" s="9" t="s">
        <v>166</v>
      </c>
      <c r="P205" s="9" t="s">
        <v>166</v>
      </c>
      <c r="Q205" s="9" t="s">
        <v>166</v>
      </c>
      <c r="R205" s="9" t="s">
        <v>166</v>
      </c>
      <c r="S205" s="9"/>
      <c r="T205" s="9"/>
      <c r="U205" s="343"/>
      <c r="V205" s="343"/>
      <c r="W205" s="343"/>
      <c r="X205" s="343"/>
      <c r="Y205" s="343"/>
      <c r="Z205" s="343"/>
      <c r="AA205" s="343"/>
      <c r="AB205" s="343"/>
      <c r="AC205" s="343"/>
      <c r="AD205" s="343"/>
    </row>
    <row r="206">
      <c r="A206" s="340" t="s">
        <v>2794</v>
      </c>
      <c r="B206" s="340" t="s">
        <v>3121</v>
      </c>
      <c r="C206" s="9" t="s">
        <v>2018</v>
      </c>
      <c r="D206" s="9">
        <v>29.0</v>
      </c>
      <c r="E206" s="9">
        <v>1200.0</v>
      </c>
      <c r="F206" s="341">
        <v>83.99</v>
      </c>
      <c r="G206" s="341">
        <v>1.08</v>
      </c>
      <c r="H206" s="341">
        <v>24.28</v>
      </c>
      <c r="I206" s="341">
        <v>0.12</v>
      </c>
      <c r="J206" s="9">
        <v>202.0</v>
      </c>
      <c r="K206" s="9" t="s">
        <v>2773</v>
      </c>
      <c r="L206" s="9">
        <v>12.0</v>
      </c>
      <c r="M206" s="342" t="s">
        <v>3122</v>
      </c>
      <c r="N206" s="9">
        <v>9.0</v>
      </c>
      <c r="O206" s="9" t="s">
        <v>166</v>
      </c>
      <c r="P206" s="9" t="s">
        <v>166</v>
      </c>
      <c r="Q206" s="9" t="s">
        <v>166</v>
      </c>
      <c r="R206" s="9" t="s">
        <v>166</v>
      </c>
      <c r="S206" s="9"/>
      <c r="T206" s="9"/>
      <c r="U206" s="343"/>
      <c r="V206" s="343"/>
      <c r="W206" s="343"/>
      <c r="X206" s="343"/>
      <c r="Y206" s="343"/>
      <c r="Z206" s="343"/>
      <c r="AA206" s="343"/>
      <c r="AB206" s="343"/>
      <c r="AC206" s="343"/>
      <c r="AD206" s="343"/>
    </row>
    <row r="207">
      <c r="A207" s="340" t="s">
        <v>2794</v>
      </c>
      <c r="B207" s="340" t="s">
        <v>3123</v>
      </c>
      <c r="C207" s="9" t="s">
        <v>2018</v>
      </c>
      <c r="D207" s="9">
        <v>29.0</v>
      </c>
      <c r="E207" s="9">
        <v>1500.0</v>
      </c>
      <c r="F207" s="341">
        <v>109.55</v>
      </c>
      <c r="G207" s="341">
        <v>2.31</v>
      </c>
      <c r="H207" s="341">
        <v>29.6</v>
      </c>
      <c r="I207" s="341">
        <v>0.24</v>
      </c>
      <c r="J207" s="9">
        <v>202.0</v>
      </c>
      <c r="K207" s="9" t="s">
        <v>2773</v>
      </c>
      <c r="L207" s="9">
        <v>12.0</v>
      </c>
      <c r="M207" s="342" t="s">
        <v>3122</v>
      </c>
      <c r="N207" s="9">
        <v>9.0</v>
      </c>
      <c r="O207" s="9" t="s">
        <v>166</v>
      </c>
      <c r="P207" s="9" t="s">
        <v>174</v>
      </c>
      <c r="Q207" s="9" t="s">
        <v>166</v>
      </c>
      <c r="R207" s="9" t="s">
        <v>166</v>
      </c>
      <c r="S207" s="9"/>
      <c r="T207" s="9"/>
      <c r="U207" s="343"/>
      <c r="V207" s="343"/>
      <c r="W207" s="343"/>
      <c r="X207" s="343"/>
      <c r="Y207" s="343"/>
      <c r="Z207" s="343"/>
      <c r="AA207" s="343"/>
      <c r="AB207" s="343"/>
      <c r="AC207" s="343"/>
      <c r="AD207" s="343"/>
    </row>
    <row r="208">
      <c r="A208" s="272" t="s">
        <v>1085</v>
      </c>
      <c r="B208" s="340" t="s">
        <v>3124</v>
      </c>
      <c r="C208" s="9" t="s">
        <v>2018</v>
      </c>
      <c r="D208" s="9">
        <v>30.0</v>
      </c>
      <c r="E208" s="9">
        <v>1800.0</v>
      </c>
      <c r="F208" s="341">
        <v>71.93</v>
      </c>
      <c r="G208" s="341">
        <v>3.32</v>
      </c>
      <c r="H208" s="341">
        <v>29.5</v>
      </c>
      <c r="I208" s="341" t="s">
        <v>170</v>
      </c>
      <c r="J208" s="9">
        <v>266.0</v>
      </c>
      <c r="K208" s="9" t="s">
        <v>2773</v>
      </c>
      <c r="L208" s="9">
        <v>12.0</v>
      </c>
      <c r="M208" s="342" t="s">
        <v>170</v>
      </c>
      <c r="N208" s="9">
        <v>7.0</v>
      </c>
      <c r="O208" s="9" t="s">
        <v>166</v>
      </c>
      <c r="P208" s="9" t="s">
        <v>174</v>
      </c>
      <c r="Q208" s="9" t="s">
        <v>166</v>
      </c>
      <c r="R208" s="9" t="s">
        <v>166</v>
      </c>
      <c r="S208" s="9"/>
      <c r="T208" s="9"/>
      <c r="U208" s="343"/>
      <c r="V208" s="343"/>
      <c r="W208" s="343"/>
      <c r="X208" s="343"/>
      <c r="Y208" s="343"/>
      <c r="Z208" s="343"/>
      <c r="AA208" s="343"/>
      <c r="AB208" s="343"/>
      <c r="AC208" s="343"/>
      <c r="AD208" s="343"/>
    </row>
    <row r="209">
      <c r="A209" s="272" t="s">
        <v>1085</v>
      </c>
      <c r="B209" s="340" t="s">
        <v>3125</v>
      </c>
      <c r="C209" s="9" t="s">
        <v>2018</v>
      </c>
      <c r="D209" s="9">
        <v>25.0</v>
      </c>
      <c r="E209" s="9">
        <v>1800.0</v>
      </c>
      <c r="F209" s="341">
        <v>104.62</v>
      </c>
      <c r="G209" s="341">
        <v>2.8</v>
      </c>
      <c r="H209" s="341">
        <v>36.57</v>
      </c>
      <c r="I209" s="341" t="s">
        <v>170</v>
      </c>
      <c r="J209" s="9">
        <v>195.0</v>
      </c>
      <c r="K209" s="9" t="s">
        <v>2773</v>
      </c>
      <c r="L209" s="9">
        <v>12.0</v>
      </c>
      <c r="M209" s="342" t="s">
        <v>170</v>
      </c>
      <c r="N209" s="9">
        <v>9.0</v>
      </c>
      <c r="O209" s="9" t="s">
        <v>166</v>
      </c>
      <c r="P209" s="9" t="s">
        <v>166</v>
      </c>
      <c r="Q209" s="9" t="s">
        <v>166</v>
      </c>
      <c r="R209" s="9" t="s">
        <v>166</v>
      </c>
      <c r="S209" s="9"/>
      <c r="T209" s="9"/>
      <c r="U209" s="343"/>
      <c r="V209" s="343"/>
      <c r="W209" s="343"/>
      <c r="X209" s="343"/>
      <c r="Y209" s="343"/>
      <c r="Z209" s="343"/>
      <c r="AA209" s="343"/>
      <c r="AB209" s="343"/>
      <c r="AC209" s="343"/>
      <c r="AD209" s="343"/>
    </row>
    <row r="210">
      <c r="A210" s="272" t="s">
        <v>1085</v>
      </c>
      <c r="B210" s="340" t="s">
        <v>3126</v>
      </c>
      <c r="C210" s="9" t="s">
        <v>2018</v>
      </c>
      <c r="D210" s="9">
        <v>25.0</v>
      </c>
      <c r="E210" s="9">
        <v>1800.0</v>
      </c>
      <c r="F210" s="341">
        <v>104.62</v>
      </c>
      <c r="G210" s="341">
        <v>2.8</v>
      </c>
      <c r="H210" s="341">
        <v>36.57</v>
      </c>
      <c r="I210" s="341" t="s">
        <v>170</v>
      </c>
      <c r="J210" s="9">
        <v>193.0</v>
      </c>
      <c r="K210" s="9" t="s">
        <v>2773</v>
      </c>
      <c r="L210" s="9">
        <v>12.0</v>
      </c>
      <c r="M210" s="342" t="s">
        <v>170</v>
      </c>
      <c r="N210" s="9">
        <v>9.0</v>
      </c>
      <c r="O210" s="9" t="s">
        <v>166</v>
      </c>
      <c r="P210" s="9" t="s">
        <v>174</v>
      </c>
      <c r="Q210" s="9" t="s">
        <v>166</v>
      </c>
      <c r="R210" s="9" t="s">
        <v>166</v>
      </c>
      <c r="S210" s="9"/>
      <c r="T210" s="9"/>
      <c r="U210" s="343"/>
      <c r="V210" s="343"/>
      <c r="W210" s="343"/>
      <c r="X210" s="343"/>
      <c r="Y210" s="343"/>
      <c r="Z210" s="343"/>
      <c r="AA210" s="343"/>
      <c r="AB210" s="343"/>
      <c r="AC210" s="343"/>
      <c r="AD210" s="343"/>
    </row>
    <row r="211">
      <c r="A211" s="314" t="s">
        <v>1387</v>
      </c>
      <c r="B211" s="340" t="s">
        <v>3127</v>
      </c>
      <c r="C211" s="9" t="s">
        <v>2018</v>
      </c>
      <c r="D211" s="9">
        <v>27.0</v>
      </c>
      <c r="E211" s="9">
        <v>1200.0</v>
      </c>
      <c r="F211" s="341">
        <v>67.2</v>
      </c>
      <c r="G211" s="341">
        <v>1.25</v>
      </c>
      <c r="H211" s="341">
        <v>19.4</v>
      </c>
      <c r="I211" s="341">
        <v>0.12</v>
      </c>
      <c r="J211" s="9">
        <v>120.0</v>
      </c>
      <c r="K211" s="9" t="s">
        <v>2773</v>
      </c>
      <c r="L211" s="9">
        <v>12.0</v>
      </c>
      <c r="M211" s="342" t="s">
        <v>2813</v>
      </c>
      <c r="N211" s="9">
        <v>7.0</v>
      </c>
      <c r="O211" s="9" t="s">
        <v>166</v>
      </c>
      <c r="P211" s="9" t="s">
        <v>166</v>
      </c>
      <c r="Q211" s="9" t="s">
        <v>166</v>
      </c>
      <c r="R211" s="9" t="s">
        <v>166</v>
      </c>
      <c r="S211" s="9"/>
      <c r="T211" s="9"/>
      <c r="U211" s="343"/>
      <c r="V211" s="343"/>
      <c r="W211" s="343"/>
      <c r="X211" s="343"/>
      <c r="Y211" s="343"/>
      <c r="Z211" s="343"/>
      <c r="AA211" s="343"/>
      <c r="AB211" s="343"/>
      <c r="AC211" s="343"/>
      <c r="AD211" s="343"/>
    </row>
    <row r="212">
      <c r="A212" s="314" t="s">
        <v>1387</v>
      </c>
      <c r="B212" s="340" t="s">
        <v>3128</v>
      </c>
      <c r="C212" s="9" t="s">
        <v>2018</v>
      </c>
      <c r="D212" s="9">
        <v>27.0</v>
      </c>
      <c r="E212" s="9">
        <v>1800.0</v>
      </c>
      <c r="F212" s="341">
        <v>100.8</v>
      </c>
      <c r="G212" s="341">
        <v>2.81</v>
      </c>
      <c r="H212" s="341">
        <v>26.45</v>
      </c>
      <c r="I212" s="341">
        <v>0.22</v>
      </c>
      <c r="J212" s="9">
        <v>120.0</v>
      </c>
      <c r="K212" s="9" t="s">
        <v>2773</v>
      </c>
      <c r="L212" s="9">
        <v>12.0</v>
      </c>
      <c r="M212" s="342" t="s">
        <v>2813</v>
      </c>
      <c r="N212" s="9">
        <v>7.0</v>
      </c>
      <c r="O212" s="9" t="s">
        <v>166</v>
      </c>
      <c r="P212" s="9" t="s">
        <v>166</v>
      </c>
      <c r="Q212" s="9" t="s">
        <v>166</v>
      </c>
      <c r="R212" s="9" t="s">
        <v>166</v>
      </c>
      <c r="S212" s="9"/>
      <c r="T212" s="9"/>
      <c r="U212" s="343"/>
      <c r="V212" s="343"/>
      <c r="W212" s="343"/>
      <c r="X212" s="343"/>
      <c r="Y212" s="343"/>
      <c r="Z212" s="343"/>
      <c r="AA212" s="343"/>
      <c r="AB212" s="343"/>
      <c r="AC212" s="343"/>
      <c r="AD212" s="343"/>
    </row>
    <row r="213">
      <c r="A213" s="314" t="s">
        <v>1387</v>
      </c>
      <c r="B213" s="340" t="s">
        <v>3129</v>
      </c>
      <c r="C213" s="9" t="s">
        <v>2018</v>
      </c>
      <c r="D213" s="9">
        <v>27.0</v>
      </c>
      <c r="E213" s="9">
        <v>1200.0</v>
      </c>
      <c r="F213" s="341">
        <v>67.2</v>
      </c>
      <c r="G213" s="341">
        <v>1.25</v>
      </c>
      <c r="H213" s="341">
        <v>19.4</v>
      </c>
      <c r="I213" s="341">
        <v>0.12</v>
      </c>
      <c r="J213" s="9">
        <v>120.0</v>
      </c>
      <c r="K213" s="9" t="s">
        <v>2773</v>
      </c>
      <c r="L213" s="9">
        <v>12.0</v>
      </c>
      <c r="M213" s="342" t="s">
        <v>2813</v>
      </c>
      <c r="N213" s="9">
        <v>7.0</v>
      </c>
      <c r="O213" s="9" t="s">
        <v>174</v>
      </c>
      <c r="P213" s="9" t="s">
        <v>166</v>
      </c>
      <c r="Q213" s="9" t="s">
        <v>166</v>
      </c>
      <c r="R213" s="9" t="s">
        <v>166</v>
      </c>
      <c r="S213" s="9"/>
      <c r="T213" s="9"/>
      <c r="U213" s="343"/>
      <c r="V213" s="343"/>
      <c r="W213" s="343"/>
      <c r="X213" s="343"/>
      <c r="Y213" s="343"/>
      <c r="Z213" s="343"/>
      <c r="AA213" s="343"/>
      <c r="AB213" s="343"/>
      <c r="AC213" s="343"/>
      <c r="AD213" s="343"/>
    </row>
    <row r="214">
      <c r="A214" s="314" t="s">
        <v>1387</v>
      </c>
      <c r="B214" s="340" t="s">
        <v>3130</v>
      </c>
      <c r="C214" s="9" t="s">
        <v>2018</v>
      </c>
      <c r="D214" s="9">
        <v>27.0</v>
      </c>
      <c r="E214" s="9">
        <v>1800.0</v>
      </c>
      <c r="F214" s="341">
        <v>100.8</v>
      </c>
      <c r="G214" s="341">
        <v>2.81</v>
      </c>
      <c r="H214" s="341">
        <v>26.45</v>
      </c>
      <c r="I214" s="341">
        <v>0.22</v>
      </c>
      <c r="J214" s="9">
        <v>120.0</v>
      </c>
      <c r="K214" s="9" t="s">
        <v>2773</v>
      </c>
      <c r="L214" s="9">
        <v>12.0</v>
      </c>
      <c r="M214" s="342" t="s">
        <v>2813</v>
      </c>
      <c r="N214" s="9">
        <v>7.0</v>
      </c>
      <c r="O214" s="9" t="s">
        <v>174</v>
      </c>
      <c r="P214" s="9" t="s">
        <v>166</v>
      </c>
      <c r="Q214" s="9" t="s">
        <v>166</v>
      </c>
      <c r="R214" s="9" t="s">
        <v>166</v>
      </c>
      <c r="S214" s="9"/>
      <c r="T214" s="9"/>
      <c r="U214" s="343"/>
      <c r="V214" s="343"/>
      <c r="W214" s="343"/>
      <c r="X214" s="343"/>
      <c r="Y214" s="343"/>
      <c r="Z214" s="343"/>
      <c r="AA214" s="343"/>
      <c r="AB214" s="343"/>
      <c r="AC214" s="343"/>
      <c r="AD214" s="343"/>
    </row>
    <row r="215">
      <c r="A215" s="312" t="s">
        <v>209</v>
      </c>
      <c r="B215" s="340" t="s">
        <v>3131</v>
      </c>
      <c r="C215" s="9" t="s">
        <v>2018</v>
      </c>
      <c r="D215" s="9">
        <v>25.0</v>
      </c>
      <c r="E215" s="9">
        <v>2200.0</v>
      </c>
      <c r="F215" s="341">
        <v>120.0</v>
      </c>
      <c r="G215" s="341">
        <v>4.0</v>
      </c>
      <c r="H215" s="341">
        <v>38.3</v>
      </c>
      <c r="I215" s="341">
        <v>0.3</v>
      </c>
      <c r="J215" s="9">
        <v>210.0</v>
      </c>
      <c r="K215" s="9" t="s">
        <v>2773</v>
      </c>
      <c r="L215" s="9">
        <v>12.0</v>
      </c>
      <c r="M215" s="342" t="s">
        <v>2804</v>
      </c>
      <c r="N215" s="9">
        <v>7.0</v>
      </c>
      <c r="O215" s="9" t="s">
        <v>166</v>
      </c>
      <c r="P215" s="9" t="s">
        <v>166</v>
      </c>
      <c r="Q215" s="9" t="s">
        <v>166</v>
      </c>
      <c r="R215" s="9" t="s">
        <v>166</v>
      </c>
      <c r="S215" s="9"/>
      <c r="T215" s="9"/>
      <c r="U215" s="343"/>
      <c r="V215" s="343"/>
      <c r="W215" s="343"/>
      <c r="X215" s="343"/>
      <c r="Y215" s="343"/>
      <c r="Z215" s="343"/>
      <c r="AA215" s="343"/>
      <c r="AB215" s="343"/>
      <c r="AC215" s="343"/>
      <c r="AD215" s="343"/>
    </row>
    <row r="216">
      <c r="A216" s="312" t="s">
        <v>209</v>
      </c>
      <c r="B216" s="340" t="s">
        <v>3132</v>
      </c>
      <c r="C216" s="9" t="s">
        <v>2018</v>
      </c>
      <c r="D216" s="9">
        <v>25.0</v>
      </c>
      <c r="E216" s="9">
        <v>2200.0</v>
      </c>
      <c r="F216" s="341">
        <v>120.0</v>
      </c>
      <c r="G216" s="341">
        <v>4.0</v>
      </c>
      <c r="H216" s="341">
        <v>38.3</v>
      </c>
      <c r="I216" s="341">
        <v>0.3</v>
      </c>
      <c r="J216" s="9">
        <v>212.0</v>
      </c>
      <c r="K216" s="9" t="s">
        <v>2773</v>
      </c>
      <c r="L216" s="9">
        <v>12.0</v>
      </c>
      <c r="M216" s="342" t="s">
        <v>2804</v>
      </c>
      <c r="N216" s="9">
        <v>7.0</v>
      </c>
      <c r="O216" s="9" t="s">
        <v>166</v>
      </c>
      <c r="P216" s="9" t="s">
        <v>174</v>
      </c>
      <c r="Q216" s="9" t="s">
        <v>166</v>
      </c>
      <c r="R216" s="9" t="s">
        <v>166</v>
      </c>
      <c r="S216" s="358" t="s">
        <v>214</v>
      </c>
      <c r="T216" s="358" t="s">
        <v>214</v>
      </c>
      <c r="U216" s="343"/>
      <c r="V216" s="343"/>
      <c r="W216" s="343"/>
      <c r="X216" s="343"/>
      <c r="Y216" s="343"/>
      <c r="Z216" s="343"/>
      <c r="AA216" s="343"/>
      <c r="AB216" s="343"/>
      <c r="AC216" s="343"/>
      <c r="AD216" s="343"/>
    </row>
    <row r="217">
      <c r="A217" s="312" t="s">
        <v>209</v>
      </c>
      <c r="B217" s="340" t="s">
        <v>3133</v>
      </c>
      <c r="C217" s="9" t="s">
        <v>2018</v>
      </c>
      <c r="D217" s="9">
        <v>25.0</v>
      </c>
      <c r="E217" s="9">
        <v>1600.0</v>
      </c>
      <c r="F217" s="341">
        <v>86.0</v>
      </c>
      <c r="G217" s="341">
        <v>2.0</v>
      </c>
      <c r="H217" s="341">
        <v>30.8</v>
      </c>
      <c r="I217" s="341">
        <v>0.13</v>
      </c>
      <c r="J217" s="9">
        <v>197.6</v>
      </c>
      <c r="K217" s="9" t="s">
        <v>2773</v>
      </c>
      <c r="L217" s="9">
        <v>12.0</v>
      </c>
      <c r="M217" s="342" t="s">
        <v>2834</v>
      </c>
      <c r="N217" s="9">
        <v>7.0</v>
      </c>
      <c r="O217" s="9" t="s">
        <v>166</v>
      </c>
      <c r="P217" s="9" t="s">
        <v>166</v>
      </c>
      <c r="Q217" s="9" t="s">
        <v>166</v>
      </c>
      <c r="R217" s="9" t="s">
        <v>166</v>
      </c>
      <c r="S217" s="9"/>
      <c r="T217" s="9"/>
      <c r="U217" s="343"/>
      <c r="V217" s="343"/>
      <c r="W217" s="343"/>
      <c r="X217" s="343"/>
      <c r="Y217" s="343"/>
      <c r="Z217" s="343"/>
      <c r="AA217" s="343"/>
      <c r="AB217" s="343"/>
      <c r="AC217" s="343"/>
      <c r="AD217" s="343"/>
    </row>
    <row r="218">
      <c r="A218" s="312" t="s">
        <v>209</v>
      </c>
      <c r="B218" s="340" t="s">
        <v>3134</v>
      </c>
      <c r="C218" s="9" t="s">
        <v>2018</v>
      </c>
      <c r="D218" s="9">
        <v>25.0</v>
      </c>
      <c r="E218" s="9">
        <v>1600.0</v>
      </c>
      <c r="F218" s="341">
        <v>86.0</v>
      </c>
      <c r="G218" s="341">
        <v>2.0</v>
      </c>
      <c r="H218" s="341">
        <v>30.8</v>
      </c>
      <c r="I218" s="341">
        <v>0.13</v>
      </c>
      <c r="J218" s="9">
        <v>195.1</v>
      </c>
      <c r="K218" s="9" t="s">
        <v>2773</v>
      </c>
      <c r="L218" s="9">
        <v>12.0</v>
      </c>
      <c r="M218" s="342" t="s">
        <v>2834</v>
      </c>
      <c r="N218" s="9">
        <v>7.0</v>
      </c>
      <c r="O218" s="9" t="s">
        <v>166</v>
      </c>
      <c r="P218" s="9" t="s">
        <v>174</v>
      </c>
      <c r="Q218" s="9" t="s">
        <v>166</v>
      </c>
      <c r="R218" s="9" t="s">
        <v>166</v>
      </c>
      <c r="S218" s="358" t="s">
        <v>214</v>
      </c>
      <c r="T218" s="358" t="s">
        <v>214</v>
      </c>
      <c r="U218" s="343"/>
      <c r="V218" s="343"/>
      <c r="W218" s="343"/>
      <c r="X218" s="343"/>
      <c r="Y218" s="343"/>
      <c r="Z218" s="343"/>
      <c r="AA218" s="343"/>
      <c r="AB218" s="343"/>
      <c r="AC218" s="343"/>
      <c r="AD218" s="343"/>
    </row>
    <row r="219">
      <c r="A219" s="314" t="s">
        <v>1634</v>
      </c>
      <c r="B219" s="340" t="s">
        <v>3135</v>
      </c>
      <c r="C219" s="9" t="s">
        <v>2018</v>
      </c>
      <c r="D219" s="9">
        <v>25.0</v>
      </c>
      <c r="E219" s="9">
        <v>1500.0</v>
      </c>
      <c r="F219" s="341">
        <v>82.5</v>
      </c>
      <c r="G219" s="341">
        <v>2.35</v>
      </c>
      <c r="H219" s="341">
        <v>27.6</v>
      </c>
      <c r="I219" s="341">
        <v>0.15</v>
      </c>
      <c r="J219" s="9">
        <v>245.0</v>
      </c>
      <c r="K219" s="9" t="s">
        <v>2773</v>
      </c>
      <c r="L219" s="9">
        <v>12.0</v>
      </c>
      <c r="M219" s="342" t="s">
        <v>2799</v>
      </c>
      <c r="N219" s="9">
        <v>9.0</v>
      </c>
      <c r="O219" s="9" t="s">
        <v>166</v>
      </c>
      <c r="P219" s="9" t="s">
        <v>166</v>
      </c>
      <c r="Q219" s="9" t="s">
        <v>166</v>
      </c>
      <c r="R219" s="9" t="s">
        <v>166</v>
      </c>
      <c r="S219" s="9"/>
      <c r="T219" s="9"/>
      <c r="U219" s="343"/>
      <c r="V219" s="343"/>
      <c r="W219" s="343"/>
      <c r="X219" s="343"/>
      <c r="Y219" s="343"/>
      <c r="Z219" s="343"/>
      <c r="AA219" s="343"/>
      <c r="AB219" s="343"/>
      <c r="AC219" s="343"/>
      <c r="AD219" s="343"/>
    </row>
    <row r="220">
      <c r="A220" s="314" t="s">
        <v>1634</v>
      </c>
      <c r="B220" s="340" t="s">
        <v>3136</v>
      </c>
      <c r="C220" s="9" t="s">
        <v>2018</v>
      </c>
      <c r="D220" s="9">
        <v>25.0</v>
      </c>
      <c r="E220" s="9">
        <v>2000.0</v>
      </c>
      <c r="F220" s="341">
        <v>110.4</v>
      </c>
      <c r="G220" s="341">
        <v>3.02</v>
      </c>
      <c r="H220" s="341">
        <v>31.4</v>
      </c>
      <c r="I220" s="341">
        <v>0.2</v>
      </c>
      <c r="J220" s="9">
        <v>240.0</v>
      </c>
      <c r="K220" s="9" t="s">
        <v>2773</v>
      </c>
      <c r="L220" s="9">
        <v>12.0</v>
      </c>
      <c r="M220" s="342" t="s">
        <v>2849</v>
      </c>
      <c r="N220" s="9">
        <v>9.0</v>
      </c>
      <c r="O220" s="9" t="s">
        <v>166</v>
      </c>
      <c r="P220" s="9" t="s">
        <v>166</v>
      </c>
      <c r="Q220" s="9" t="s">
        <v>166</v>
      </c>
      <c r="R220" s="9" t="s">
        <v>166</v>
      </c>
      <c r="S220" s="9"/>
      <c r="T220" s="9"/>
      <c r="U220" s="343"/>
      <c r="V220" s="343"/>
      <c r="W220" s="343"/>
      <c r="X220" s="343"/>
      <c r="Y220" s="343"/>
      <c r="Z220" s="343"/>
      <c r="AA220" s="343"/>
      <c r="AB220" s="343"/>
      <c r="AC220" s="343"/>
      <c r="AD220" s="343"/>
    </row>
    <row r="221">
      <c r="A221" s="314" t="s">
        <v>1634</v>
      </c>
      <c r="B221" s="340" t="s">
        <v>3137</v>
      </c>
      <c r="C221" s="9" t="s">
        <v>2018</v>
      </c>
      <c r="D221" s="9">
        <v>25.0</v>
      </c>
      <c r="E221" s="9">
        <v>1500.0</v>
      </c>
      <c r="F221" s="341">
        <v>82.5</v>
      </c>
      <c r="G221" s="341">
        <v>2.35</v>
      </c>
      <c r="H221" s="341">
        <v>27.6</v>
      </c>
      <c r="I221" s="341">
        <v>0.15</v>
      </c>
      <c r="J221" s="9">
        <v>235.0</v>
      </c>
      <c r="K221" s="9" t="s">
        <v>2773</v>
      </c>
      <c r="L221" s="9">
        <v>12.0</v>
      </c>
      <c r="M221" s="342" t="s">
        <v>2799</v>
      </c>
      <c r="N221" s="9">
        <v>9.0</v>
      </c>
      <c r="O221" s="9" t="s">
        <v>166</v>
      </c>
      <c r="P221" s="9" t="s">
        <v>166</v>
      </c>
      <c r="Q221" s="9" t="s">
        <v>166</v>
      </c>
      <c r="R221" s="9" t="s">
        <v>166</v>
      </c>
      <c r="S221" s="9"/>
      <c r="T221" s="9"/>
      <c r="U221" s="343"/>
      <c r="V221" s="343"/>
      <c r="W221" s="343"/>
      <c r="X221" s="343"/>
      <c r="Y221" s="343"/>
      <c r="Z221" s="343"/>
      <c r="AA221" s="343"/>
      <c r="AB221" s="343"/>
      <c r="AC221" s="343"/>
      <c r="AD221" s="343"/>
    </row>
    <row r="222">
      <c r="A222" s="314" t="s">
        <v>1634</v>
      </c>
      <c r="B222" s="340" t="s">
        <v>3138</v>
      </c>
      <c r="C222" s="9" t="s">
        <v>2018</v>
      </c>
      <c r="D222" s="9">
        <v>25.0</v>
      </c>
      <c r="E222" s="9">
        <v>2000.0</v>
      </c>
      <c r="F222" s="341">
        <v>110.4</v>
      </c>
      <c r="G222" s="341">
        <v>3.02</v>
      </c>
      <c r="H222" s="341">
        <v>31.4</v>
      </c>
      <c r="I222" s="341">
        <v>0.2</v>
      </c>
      <c r="J222" s="9">
        <v>240.0</v>
      </c>
      <c r="K222" s="9" t="s">
        <v>2773</v>
      </c>
      <c r="L222" s="9">
        <v>12.0</v>
      </c>
      <c r="M222" s="342" t="s">
        <v>2849</v>
      </c>
      <c r="N222" s="9">
        <v>9.0</v>
      </c>
      <c r="O222" s="9" t="s">
        <v>166</v>
      </c>
      <c r="P222" s="9" t="s">
        <v>166</v>
      </c>
      <c r="Q222" s="9" t="s">
        <v>166</v>
      </c>
      <c r="R222" s="9" t="s">
        <v>166</v>
      </c>
      <c r="S222" s="9"/>
      <c r="T222" s="9"/>
      <c r="U222" s="343"/>
      <c r="V222" s="343"/>
      <c r="W222" s="343"/>
      <c r="X222" s="343"/>
      <c r="Y222" s="343"/>
      <c r="Z222" s="343"/>
      <c r="AA222" s="343"/>
      <c r="AB222" s="343"/>
      <c r="AC222" s="343"/>
      <c r="AD222" s="343"/>
    </row>
    <row r="223">
      <c r="A223" s="314" t="s">
        <v>1634</v>
      </c>
      <c r="B223" s="340" t="s">
        <v>3139</v>
      </c>
      <c r="C223" s="9" t="s">
        <v>2018</v>
      </c>
      <c r="D223" s="9">
        <v>26.0</v>
      </c>
      <c r="E223" s="9">
        <v>1500.0</v>
      </c>
      <c r="F223" s="341">
        <v>74.3</v>
      </c>
      <c r="G223" s="341">
        <v>2.0</v>
      </c>
      <c r="H223" s="341">
        <v>26.6</v>
      </c>
      <c r="I223" s="341">
        <v>0.2</v>
      </c>
      <c r="J223" s="9">
        <v>150.0</v>
      </c>
      <c r="K223" s="9" t="s">
        <v>2773</v>
      </c>
      <c r="L223" s="9">
        <v>12.0</v>
      </c>
      <c r="M223" s="342" t="s">
        <v>2872</v>
      </c>
      <c r="N223" s="9">
        <v>7.0</v>
      </c>
      <c r="O223" s="9" t="s">
        <v>166</v>
      </c>
      <c r="P223" s="9" t="s">
        <v>166</v>
      </c>
      <c r="Q223" s="9" t="s">
        <v>166</v>
      </c>
      <c r="R223" s="9" t="s">
        <v>166</v>
      </c>
      <c r="S223" s="9"/>
      <c r="T223" s="9"/>
      <c r="U223" s="343"/>
      <c r="V223" s="343"/>
      <c r="W223" s="343"/>
      <c r="X223" s="343"/>
      <c r="Y223" s="343"/>
      <c r="Z223" s="343"/>
      <c r="AA223" s="343"/>
      <c r="AB223" s="343"/>
      <c r="AC223" s="343"/>
      <c r="AD223" s="343"/>
    </row>
    <row r="224">
      <c r="A224" s="314" t="s">
        <v>1634</v>
      </c>
      <c r="B224" s="340" t="s">
        <v>3140</v>
      </c>
      <c r="C224" s="9" t="s">
        <v>2018</v>
      </c>
      <c r="D224" s="9">
        <v>26.0</v>
      </c>
      <c r="E224" s="9">
        <v>1800.0</v>
      </c>
      <c r="F224" s="341">
        <v>92.5</v>
      </c>
      <c r="G224" s="341">
        <v>2.23</v>
      </c>
      <c r="H224" s="341">
        <v>30.2</v>
      </c>
      <c r="I224" s="341">
        <v>0.35</v>
      </c>
      <c r="J224" s="9">
        <v>180.0</v>
      </c>
      <c r="K224" s="9" t="s">
        <v>2773</v>
      </c>
      <c r="L224" s="9">
        <v>12.0</v>
      </c>
      <c r="M224" s="342" t="s">
        <v>2872</v>
      </c>
      <c r="N224" s="9">
        <v>9.0</v>
      </c>
      <c r="O224" s="9" t="s">
        <v>166</v>
      </c>
      <c r="P224" s="9" t="s">
        <v>166</v>
      </c>
      <c r="Q224" s="9" t="s">
        <v>166</v>
      </c>
      <c r="R224" s="9" t="s">
        <v>166</v>
      </c>
      <c r="S224" s="9"/>
      <c r="T224" s="9"/>
      <c r="U224" s="343"/>
      <c r="V224" s="343"/>
      <c r="W224" s="343"/>
      <c r="X224" s="343"/>
      <c r="Y224" s="343"/>
      <c r="Z224" s="343"/>
      <c r="AA224" s="343"/>
      <c r="AB224" s="343"/>
      <c r="AC224" s="343"/>
      <c r="AD224" s="343"/>
    </row>
    <row r="225">
      <c r="A225" s="174" t="s">
        <v>1603</v>
      </c>
      <c r="B225" s="340" t="s">
        <v>3141</v>
      </c>
      <c r="C225" s="9" t="s">
        <v>2018</v>
      </c>
      <c r="D225" s="9">
        <v>25.0</v>
      </c>
      <c r="E225" s="9">
        <v>2000.0</v>
      </c>
      <c r="F225" s="341">
        <v>119.1</v>
      </c>
      <c r="G225" s="341">
        <v>3.54</v>
      </c>
      <c r="H225" s="341">
        <v>33.2</v>
      </c>
      <c r="I225" s="341">
        <v>0.34</v>
      </c>
      <c r="J225" s="9">
        <v>240.7</v>
      </c>
      <c r="K225" s="9" t="s">
        <v>2773</v>
      </c>
      <c r="L225" s="9">
        <v>12.0</v>
      </c>
      <c r="M225" s="342" t="s">
        <v>3075</v>
      </c>
      <c r="N225" s="9">
        <v>9.0</v>
      </c>
      <c r="O225" s="9" t="s">
        <v>166</v>
      </c>
      <c r="P225" s="9" t="s">
        <v>166</v>
      </c>
      <c r="Q225" s="9" t="s">
        <v>166</v>
      </c>
      <c r="R225" s="9" t="s">
        <v>166</v>
      </c>
      <c r="S225" s="9"/>
      <c r="T225" s="9"/>
      <c r="U225" s="343"/>
      <c r="V225" s="343"/>
      <c r="W225" s="343"/>
      <c r="X225" s="343"/>
      <c r="Y225" s="343"/>
      <c r="Z225" s="343"/>
      <c r="AA225" s="343"/>
      <c r="AB225" s="343"/>
      <c r="AC225" s="343"/>
      <c r="AD225" s="343"/>
    </row>
    <row r="226">
      <c r="A226" s="174" t="s">
        <v>1603</v>
      </c>
      <c r="B226" s="340" t="s">
        <v>3142</v>
      </c>
      <c r="C226" s="9" t="s">
        <v>2018</v>
      </c>
      <c r="D226" s="9">
        <v>25.0</v>
      </c>
      <c r="E226" s="9">
        <v>2000.0</v>
      </c>
      <c r="F226" s="341">
        <v>119.6</v>
      </c>
      <c r="G226" s="341">
        <v>3.57</v>
      </c>
      <c r="H226" s="341">
        <v>31.6</v>
      </c>
      <c r="I226" s="341">
        <v>0.36</v>
      </c>
      <c r="J226" s="9" t="s">
        <v>170</v>
      </c>
      <c r="K226" s="9" t="s">
        <v>2773</v>
      </c>
      <c r="L226" s="9">
        <v>12.0</v>
      </c>
      <c r="M226" s="342" t="s">
        <v>3075</v>
      </c>
      <c r="N226" s="9">
        <v>9.0</v>
      </c>
      <c r="O226" s="9" t="s">
        <v>166</v>
      </c>
      <c r="P226" s="9" t="s">
        <v>166</v>
      </c>
      <c r="Q226" s="9" t="s">
        <v>166</v>
      </c>
      <c r="R226" s="9" t="s">
        <v>166</v>
      </c>
      <c r="S226" s="9"/>
      <c r="T226" s="9"/>
      <c r="U226" s="343"/>
      <c r="V226" s="343"/>
      <c r="W226" s="343"/>
      <c r="X226" s="343"/>
      <c r="Y226" s="343"/>
      <c r="Z226" s="343"/>
      <c r="AA226" s="343"/>
      <c r="AB226" s="343"/>
      <c r="AC226" s="343"/>
      <c r="AD226" s="343"/>
    </row>
    <row r="227">
      <c r="A227" s="174" t="s">
        <v>1603</v>
      </c>
      <c r="B227" s="340" t="s">
        <v>3143</v>
      </c>
      <c r="C227" s="9" t="s">
        <v>2018</v>
      </c>
      <c r="D227" s="9">
        <v>25.0</v>
      </c>
      <c r="E227" s="9">
        <v>2000.0</v>
      </c>
      <c r="F227" s="341">
        <v>107.0</v>
      </c>
      <c r="G227" s="341">
        <v>3.04</v>
      </c>
      <c r="H227" s="341">
        <v>30.7</v>
      </c>
      <c r="I227" s="341">
        <v>0.29</v>
      </c>
      <c r="J227" s="9" t="s">
        <v>170</v>
      </c>
      <c r="K227" s="9" t="s">
        <v>2773</v>
      </c>
      <c r="L227" s="9">
        <v>12.0</v>
      </c>
      <c r="M227" s="342" t="s">
        <v>3075</v>
      </c>
      <c r="N227" s="9">
        <v>9.0</v>
      </c>
      <c r="O227" s="9" t="s">
        <v>166</v>
      </c>
      <c r="P227" s="9" t="s">
        <v>174</v>
      </c>
      <c r="Q227" s="9" t="s">
        <v>166</v>
      </c>
      <c r="R227" s="9" t="s">
        <v>166</v>
      </c>
      <c r="S227" s="9"/>
      <c r="T227" s="9"/>
      <c r="U227" s="343"/>
      <c r="V227" s="343"/>
      <c r="W227" s="343"/>
      <c r="X227" s="343"/>
      <c r="Y227" s="343"/>
      <c r="Z227" s="343"/>
      <c r="AA227" s="343"/>
      <c r="AB227" s="343"/>
      <c r="AC227" s="343"/>
      <c r="AD227" s="343"/>
    </row>
    <row r="228">
      <c r="A228" s="174" t="s">
        <v>1603</v>
      </c>
      <c r="B228" s="340" t="s">
        <v>3144</v>
      </c>
      <c r="C228" s="9" t="s">
        <v>2018</v>
      </c>
      <c r="D228" s="9">
        <v>25.0</v>
      </c>
      <c r="E228" s="9">
        <v>2000.0</v>
      </c>
      <c r="F228" s="341">
        <v>119.1</v>
      </c>
      <c r="G228" s="341">
        <v>3.54</v>
      </c>
      <c r="H228" s="341">
        <v>33.2</v>
      </c>
      <c r="I228" s="341">
        <v>0.34</v>
      </c>
      <c r="J228" s="9">
        <v>240.7</v>
      </c>
      <c r="K228" s="9" t="s">
        <v>2773</v>
      </c>
      <c r="L228" s="9">
        <v>12.0</v>
      </c>
      <c r="M228" s="342" t="s">
        <v>3075</v>
      </c>
      <c r="N228" s="9">
        <v>9.0</v>
      </c>
      <c r="O228" s="9" t="s">
        <v>166</v>
      </c>
      <c r="P228" s="9" t="s">
        <v>166</v>
      </c>
      <c r="Q228" s="9" t="s">
        <v>166</v>
      </c>
      <c r="R228" s="9" t="s">
        <v>166</v>
      </c>
      <c r="S228" s="9"/>
      <c r="T228" s="9"/>
      <c r="U228" s="343"/>
      <c r="V228" s="343"/>
      <c r="W228" s="343"/>
      <c r="X228" s="343"/>
      <c r="Y228" s="343"/>
      <c r="Z228" s="343"/>
      <c r="AA228" s="343"/>
      <c r="AB228" s="343"/>
      <c r="AC228" s="343"/>
      <c r="AD228" s="343"/>
    </row>
    <row r="229">
      <c r="A229" s="343"/>
      <c r="B229" s="343"/>
      <c r="C229" s="343"/>
      <c r="D229" s="343"/>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c r="AA229" s="343"/>
      <c r="AB229" s="343"/>
      <c r="AC229" s="343"/>
      <c r="AD229" s="343"/>
    </row>
    <row r="230">
      <c r="A230" s="343"/>
      <c r="B230" s="343"/>
      <c r="C230" s="343"/>
      <c r="D230" s="343"/>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c r="AA230" s="343"/>
      <c r="AB230" s="343"/>
      <c r="AC230" s="343"/>
      <c r="AD230" s="343"/>
    </row>
    <row r="231">
      <c r="A231" s="343"/>
      <c r="B231" s="343"/>
      <c r="C231" s="343"/>
      <c r="D231" s="343"/>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c r="AA231" s="343"/>
      <c r="AB231" s="343"/>
      <c r="AC231" s="343"/>
      <c r="AD231" s="343"/>
    </row>
    <row r="232">
      <c r="A232" s="343"/>
      <c r="B232" s="343"/>
      <c r="C232" s="343"/>
      <c r="D232" s="343"/>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c r="AA232" s="343"/>
      <c r="AB232" s="343"/>
      <c r="AC232" s="343"/>
      <c r="AD232" s="343"/>
    </row>
    <row r="233">
      <c r="A233" s="343"/>
      <c r="B233" s="343"/>
      <c r="C233" s="343"/>
      <c r="D233" s="343"/>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c r="AA233" s="343"/>
      <c r="AB233" s="343"/>
      <c r="AC233" s="343"/>
      <c r="AD233" s="343"/>
    </row>
    <row r="234">
      <c r="A234" s="343"/>
      <c r="B234" s="343"/>
      <c r="C234" s="343"/>
      <c r="D234" s="343"/>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c r="AA234" s="343"/>
      <c r="AB234" s="343"/>
      <c r="AC234" s="343"/>
      <c r="AD234" s="343"/>
    </row>
    <row r="235">
      <c r="A235" s="343"/>
      <c r="B235" s="343"/>
      <c r="C235" s="343"/>
      <c r="D235" s="343"/>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c r="AA235" s="343"/>
      <c r="AB235" s="343"/>
      <c r="AC235" s="343"/>
      <c r="AD235" s="343"/>
    </row>
    <row r="236">
      <c r="A236" s="343"/>
      <c r="B236" s="343"/>
      <c r="C236" s="343"/>
      <c r="D236" s="343"/>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c r="AA236" s="343"/>
      <c r="AB236" s="343"/>
      <c r="AC236" s="343"/>
      <c r="AD236" s="343"/>
    </row>
    <row r="237">
      <c r="A237" s="343"/>
      <c r="B237" s="343"/>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row>
  </sheetData>
  <autoFilter ref="$A$1:$T$228"/>
  <customSheetViews>
    <customSheetView guid="{FBC988F7-5B48-4A8E-954B-05290DCBEA5B}" filter="1" showAutoFilter="1">
      <autoFilter ref="$A$1:$T$228">
        <filterColumn colId="2">
          <filters>
            <filter val="92x92"/>
          </filters>
        </filterColumn>
      </autoFilter>
    </customSheetView>
    <customSheetView guid="{11917308-F077-4DA3-A2C5-47265FB92A62}" filter="1" showAutoFilter="1">
      <autoFilter ref="$A$1:$T$228">
        <filterColumn colId="2">
          <filters>
            <filter val="120x120"/>
          </filters>
        </filterColumn>
      </autoFilter>
    </customSheetView>
    <customSheetView guid="{ACA593B2-83EB-4E0D-9401-F26B8AAAA7A7}" filter="1" showAutoFilter="1">
      <autoFilter ref="$A$1:$T$228">
        <filterColumn colId="2">
          <filters>
            <filter val="140x140"/>
          </filters>
        </filterColumn>
      </autoFilter>
    </customSheetView>
  </customSheetViews>
  <conditionalFormatting sqref="E2:E228">
    <cfRule type="colorScale" priority="1">
      <colorScale>
        <cfvo type="min"/>
        <cfvo type="percentile" val="50"/>
        <cfvo type="max"/>
        <color rgb="FF57BB8A"/>
        <color rgb="FFFFD666"/>
        <color rgb="FFE67C73"/>
      </colorScale>
    </cfRule>
  </conditionalFormatting>
  <conditionalFormatting sqref="F2:F228">
    <cfRule type="colorScale" priority="2">
      <colorScale>
        <cfvo type="min"/>
        <cfvo type="percentile" val="50"/>
        <cfvo type="max"/>
        <color rgb="FFE67C73"/>
        <color rgb="FFFFD666"/>
        <color rgb="FF57BB8A"/>
      </colorScale>
    </cfRule>
  </conditionalFormatting>
  <conditionalFormatting sqref="G2:G228">
    <cfRule type="colorScale" priority="3">
      <colorScale>
        <cfvo type="min"/>
        <cfvo type="percentile" val="50"/>
        <cfvo type="max"/>
        <color rgb="FFE67C73"/>
        <color rgb="FFFFD666"/>
        <color rgb="FF57BB8A"/>
      </colorScale>
    </cfRule>
  </conditionalFormatting>
  <conditionalFormatting sqref="H2:H228">
    <cfRule type="colorScale" priority="4">
      <colorScale>
        <cfvo type="min"/>
        <cfvo type="percentile" val="50"/>
        <cfvo type="max"/>
        <color rgb="FF57BB8A"/>
        <color rgb="FFFFD666"/>
        <color rgb="FFE67C73"/>
      </colorScale>
    </cfRule>
  </conditionalFormatting>
  <conditionalFormatting sqref="I2:I228">
    <cfRule type="colorScale" priority="5">
      <colorScale>
        <cfvo type="min"/>
        <cfvo type="percentile" val="50"/>
        <cfvo type="max"/>
        <color rgb="FF57BB8A"/>
        <color rgb="FFFFD666"/>
        <color rgb="FFE67C73"/>
      </colorScale>
    </cfRule>
  </conditionalFormatting>
  <conditionalFormatting sqref="O2:P228">
    <cfRule type="cellIs" dxfId="3" priority="6" operator="equal">
      <formula>"Y"</formula>
    </cfRule>
  </conditionalFormatting>
  <conditionalFormatting sqref="D2:D228">
    <cfRule type="colorScale" priority="7">
      <colorScale>
        <cfvo type="min"/>
        <cfvo type="percentile" val="50"/>
        <cfvo type="max"/>
        <color rgb="FF57BB8A"/>
        <color rgb="FFFFD666"/>
        <color rgb="FFE67C73"/>
      </colorScale>
    </cfRule>
  </conditionalFormatting>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S20"/>
    <hyperlink r:id="rId40" ref="T20"/>
    <hyperlink r:id="rId41" ref="A21"/>
    <hyperlink r:id="rId42" ref="B21"/>
    <hyperlink r:id="rId43" ref="A22"/>
    <hyperlink r:id="rId44" ref="B22"/>
    <hyperlink r:id="rId45" ref="S22"/>
    <hyperlink r:id="rId46" ref="T22"/>
    <hyperlink r:id="rId47" ref="A23"/>
    <hyperlink r:id="rId48" ref="B23"/>
    <hyperlink r:id="rId49" ref="S23"/>
    <hyperlink r:id="rId50" ref="T23"/>
    <hyperlink r:id="rId51" ref="A24"/>
    <hyperlink r:id="rId52" ref="B24"/>
    <hyperlink r:id="rId53" ref="S24"/>
    <hyperlink r:id="rId54" ref="T24"/>
    <hyperlink r:id="rId55" ref="A25"/>
    <hyperlink r:id="rId56" ref="B25"/>
    <hyperlink r:id="rId57" ref="S25"/>
    <hyperlink r:id="rId58" ref="T25"/>
    <hyperlink r:id="rId59" ref="A26"/>
    <hyperlink r:id="rId60" ref="B26"/>
    <hyperlink r:id="rId61" ref="S26"/>
    <hyperlink r:id="rId62" ref="T26"/>
    <hyperlink r:id="rId63" ref="A27"/>
    <hyperlink r:id="rId64" ref="B27"/>
    <hyperlink r:id="rId65" ref="A28"/>
    <hyperlink r:id="rId66" ref="B28"/>
    <hyperlink r:id="rId67" ref="A29"/>
    <hyperlink r:id="rId68" ref="B29"/>
    <hyperlink r:id="rId69" ref="A30"/>
    <hyperlink r:id="rId70" ref="B30"/>
    <hyperlink r:id="rId71" ref="S30"/>
    <hyperlink r:id="rId72" ref="A31"/>
    <hyperlink r:id="rId73" ref="B31"/>
    <hyperlink r:id="rId74" ref="A32"/>
    <hyperlink r:id="rId75" ref="B32"/>
    <hyperlink r:id="rId76" ref="S32"/>
    <hyperlink r:id="rId77" ref="A33"/>
    <hyperlink r:id="rId78" ref="S33"/>
    <hyperlink r:id="rId79" ref="A34"/>
    <hyperlink r:id="rId80" ref="A35"/>
    <hyperlink r:id="rId81" ref="B35"/>
    <hyperlink r:id="rId82" ref="S35"/>
    <hyperlink r:id="rId83" ref="A36"/>
    <hyperlink r:id="rId84" ref="B36"/>
    <hyperlink r:id="rId85" ref="A37"/>
    <hyperlink r:id="rId86" ref="B37"/>
    <hyperlink r:id="rId87" ref="S37"/>
    <hyperlink r:id="rId88" ref="T37"/>
    <hyperlink r:id="rId89" ref="A38"/>
    <hyperlink r:id="rId90" ref="B38"/>
    <hyperlink r:id="rId91" ref="S38"/>
    <hyperlink r:id="rId92" ref="T38"/>
    <hyperlink r:id="rId93" ref="A39"/>
    <hyperlink r:id="rId94" ref="B39"/>
    <hyperlink r:id="rId95" ref="S39"/>
    <hyperlink r:id="rId96" ref="A40"/>
    <hyperlink r:id="rId97" ref="B40"/>
    <hyperlink r:id="rId98" ref="S40"/>
    <hyperlink r:id="rId99" ref="A41"/>
    <hyperlink r:id="rId100" ref="B41"/>
    <hyperlink r:id="rId101" ref="S41"/>
    <hyperlink r:id="rId102" ref="A42"/>
    <hyperlink r:id="rId103" ref="B42"/>
    <hyperlink r:id="rId104" ref="A43"/>
    <hyperlink r:id="rId105" ref="B43"/>
    <hyperlink r:id="rId106" ref="S43"/>
    <hyperlink r:id="rId107" ref="T43"/>
    <hyperlink r:id="rId108" ref="A44"/>
    <hyperlink r:id="rId109" ref="B44"/>
    <hyperlink r:id="rId110" ref="A45"/>
    <hyperlink r:id="rId111" ref="B45"/>
    <hyperlink r:id="rId112" ref="S45"/>
    <hyperlink r:id="rId113" ref="A46"/>
    <hyperlink r:id="rId114" ref="B46"/>
    <hyperlink r:id="rId115" ref="A47"/>
    <hyperlink r:id="rId116" ref="B47"/>
    <hyperlink r:id="rId117" ref="A48"/>
    <hyperlink r:id="rId118" ref="B48"/>
    <hyperlink r:id="rId119" ref="S48"/>
    <hyperlink r:id="rId120" ref="T48"/>
    <hyperlink r:id="rId121" ref="A49"/>
    <hyperlink r:id="rId122" ref="B49"/>
    <hyperlink r:id="rId123" ref="S49"/>
    <hyperlink r:id="rId124" ref="T49"/>
    <hyperlink r:id="rId125" ref="A50"/>
    <hyperlink r:id="rId126" ref="B50"/>
    <hyperlink r:id="rId127" ref="S50"/>
    <hyperlink r:id="rId128" ref="T50"/>
    <hyperlink r:id="rId129" ref="A51"/>
    <hyperlink r:id="rId130" ref="B51"/>
    <hyperlink r:id="rId131" ref="A52"/>
    <hyperlink r:id="rId132" ref="B52"/>
    <hyperlink r:id="rId133" ref="A53"/>
    <hyperlink r:id="rId134" ref="B53"/>
    <hyperlink r:id="rId135" ref="A54"/>
    <hyperlink r:id="rId136" ref="B54"/>
    <hyperlink r:id="rId137" ref="A55"/>
    <hyperlink r:id="rId138" ref="B55"/>
    <hyperlink r:id="rId139" ref="A56"/>
    <hyperlink r:id="rId140" ref="B56"/>
    <hyperlink r:id="rId141" ref="A57"/>
    <hyperlink r:id="rId142" ref="B57"/>
    <hyperlink r:id="rId143" ref="S57"/>
    <hyperlink r:id="rId144" ref="T57"/>
    <hyperlink r:id="rId145" ref="A58"/>
    <hyperlink r:id="rId146" ref="B58"/>
    <hyperlink r:id="rId147" ref="A59"/>
    <hyperlink r:id="rId148" ref="B59"/>
    <hyperlink r:id="rId149" ref="A60"/>
    <hyperlink r:id="rId150" ref="B60"/>
    <hyperlink r:id="rId151" ref="S60"/>
    <hyperlink r:id="rId152" ref="T60"/>
    <hyperlink r:id="rId153" ref="A61"/>
    <hyperlink r:id="rId154" ref="B61"/>
    <hyperlink r:id="rId155" ref="A62"/>
    <hyperlink r:id="rId156" ref="B62"/>
    <hyperlink r:id="rId157" ref="S62"/>
    <hyperlink r:id="rId158" ref="T62"/>
    <hyperlink r:id="rId159" ref="A63"/>
    <hyperlink r:id="rId160" ref="B63"/>
    <hyperlink r:id="rId161" ref="A64"/>
    <hyperlink r:id="rId162" ref="B64"/>
    <hyperlink r:id="rId163" ref="A65"/>
    <hyperlink r:id="rId164" ref="A66"/>
    <hyperlink r:id="rId165" ref="B66"/>
    <hyperlink r:id="rId166" ref="A67"/>
    <hyperlink r:id="rId167" ref="B67"/>
    <hyperlink r:id="rId168" ref="A68"/>
    <hyperlink r:id="rId169" ref="B68"/>
    <hyperlink r:id="rId170" ref="A69"/>
    <hyperlink r:id="rId171" ref="B69"/>
    <hyperlink r:id="rId172" ref="S69"/>
    <hyperlink r:id="rId173" ref="T69"/>
    <hyperlink r:id="rId174" ref="A70"/>
    <hyperlink r:id="rId175" ref="B70"/>
    <hyperlink r:id="rId176" ref="A71"/>
    <hyperlink r:id="rId177" ref="B71"/>
    <hyperlink r:id="rId178" ref="S71"/>
    <hyperlink r:id="rId179" ref="A72"/>
    <hyperlink r:id="rId180" ref="B72"/>
    <hyperlink r:id="rId181" ref="A73"/>
    <hyperlink r:id="rId182" ref="B73"/>
    <hyperlink r:id="rId183" ref="A74"/>
    <hyperlink r:id="rId184" ref="B74"/>
    <hyperlink r:id="rId185" ref="A75"/>
    <hyperlink r:id="rId186" ref="B75"/>
    <hyperlink r:id="rId187" ref="S75"/>
    <hyperlink r:id="rId188" ref="T75"/>
    <hyperlink r:id="rId189" ref="A76"/>
    <hyperlink r:id="rId190" ref="B76"/>
    <hyperlink r:id="rId191" ref="A77"/>
    <hyperlink r:id="rId192" ref="B77"/>
    <hyperlink r:id="rId193" ref="A78"/>
    <hyperlink r:id="rId194" ref="B78"/>
    <hyperlink r:id="rId195" ref="A79"/>
    <hyperlink r:id="rId196" ref="B79"/>
    <hyperlink r:id="rId197" ref="A80"/>
    <hyperlink r:id="rId198" ref="B80"/>
    <hyperlink r:id="rId199" ref="A81"/>
    <hyperlink r:id="rId200" ref="B81"/>
    <hyperlink r:id="rId201" ref="A82"/>
    <hyperlink r:id="rId202" ref="B82"/>
    <hyperlink r:id="rId203" ref="A83"/>
    <hyperlink r:id="rId204" ref="B83"/>
    <hyperlink r:id="rId205" ref="A84"/>
    <hyperlink r:id="rId206" ref="B84"/>
    <hyperlink r:id="rId207" ref="A85"/>
    <hyperlink r:id="rId208" ref="B85"/>
    <hyperlink r:id="rId209" ref="A86"/>
    <hyperlink r:id="rId210" ref="B86"/>
    <hyperlink r:id="rId211" ref="A87"/>
    <hyperlink r:id="rId212" ref="B87"/>
    <hyperlink r:id="rId213" ref="A88"/>
    <hyperlink r:id="rId214" ref="B88"/>
    <hyperlink r:id="rId215" ref="A89"/>
    <hyperlink r:id="rId216" ref="B89"/>
    <hyperlink r:id="rId217" ref="A90"/>
    <hyperlink r:id="rId218" ref="B90"/>
    <hyperlink r:id="rId219" ref="A91"/>
    <hyperlink r:id="rId220" ref="B91"/>
    <hyperlink r:id="rId221" ref="A92"/>
    <hyperlink r:id="rId222" ref="B92"/>
    <hyperlink r:id="rId223" ref="A93"/>
    <hyperlink r:id="rId224" ref="B93"/>
    <hyperlink r:id="rId225" ref="A94"/>
    <hyperlink r:id="rId226" ref="B94"/>
    <hyperlink r:id="rId227" ref="A95"/>
    <hyperlink r:id="rId228" ref="B95"/>
    <hyperlink r:id="rId229" ref="S95"/>
    <hyperlink r:id="rId230" ref="A96"/>
    <hyperlink r:id="rId231" ref="B96"/>
    <hyperlink r:id="rId232" ref="B97"/>
    <hyperlink r:id="rId233" ref="A98"/>
    <hyperlink r:id="rId234" ref="B98"/>
    <hyperlink r:id="rId235" ref="A99"/>
    <hyperlink r:id="rId236" ref="B99"/>
    <hyperlink r:id="rId237" ref="A100"/>
    <hyperlink r:id="rId238" ref="B100"/>
    <hyperlink r:id="rId239" ref="A101"/>
    <hyperlink r:id="rId240" ref="B101"/>
    <hyperlink r:id="rId241" ref="A102"/>
    <hyperlink r:id="rId242" ref="B102"/>
    <hyperlink r:id="rId243" ref="A103"/>
    <hyperlink r:id="rId244" ref="B103"/>
    <hyperlink r:id="rId245" ref="A104"/>
    <hyperlink r:id="rId246" ref="B104"/>
    <hyperlink r:id="rId247" ref="S104"/>
    <hyperlink r:id="rId248" ref="T104"/>
    <hyperlink r:id="rId249" ref="A105"/>
    <hyperlink r:id="rId250" ref="B105"/>
    <hyperlink r:id="rId251" ref="A106"/>
    <hyperlink r:id="rId252" ref="B106"/>
    <hyperlink r:id="rId253" ref="S106"/>
    <hyperlink r:id="rId254" ref="A107"/>
    <hyperlink r:id="rId255" ref="B107"/>
    <hyperlink r:id="rId256" ref="A108"/>
    <hyperlink r:id="rId257" ref="B108"/>
    <hyperlink r:id="rId258" ref="A109"/>
    <hyperlink r:id="rId259" ref="B109"/>
    <hyperlink r:id="rId260" ref="A110"/>
    <hyperlink r:id="rId261" ref="B110"/>
    <hyperlink r:id="rId262" ref="A111"/>
    <hyperlink r:id="rId263" ref="B111"/>
    <hyperlink r:id="rId264" ref="A112"/>
    <hyperlink r:id="rId265" ref="B112"/>
    <hyperlink r:id="rId266" ref="A113"/>
    <hyperlink r:id="rId267" ref="B113"/>
    <hyperlink r:id="rId268" ref="A114"/>
    <hyperlink r:id="rId269" ref="B114"/>
    <hyperlink r:id="rId270" ref="A115"/>
    <hyperlink r:id="rId271" ref="B115"/>
    <hyperlink r:id="rId272" ref="A116"/>
    <hyperlink r:id="rId273" ref="B116"/>
    <hyperlink r:id="rId274" ref="A117"/>
    <hyperlink r:id="rId275" ref="B117"/>
    <hyperlink r:id="rId276" ref="A118"/>
    <hyperlink r:id="rId277" ref="B118"/>
    <hyperlink r:id="rId278" ref="A119"/>
    <hyperlink r:id="rId279" ref="B119"/>
    <hyperlink r:id="rId280" ref="S119"/>
    <hyperlink r:id="rId281" ref="T119"/>
    <hyperlink r:id="rId282" ref="A120"/>
    <hyperlink r:id="rId283" ref="B120"/>
    <hyperlink r:id="rId284" ref="S120"/>
    <hyperlink r:id="rId285" ref="T120"/>
    <hyperlink r:id="rId286" ref="A121"/>
    <hyperlink r:id="rId287" ref="B121"/>
    <hyperlink r:id="rId288" ref="S121"/>
    <hyperlink r:id="rId289" ref="T121"/>
    <hyperlink r:id="rId290" ref="A122"/>
    <hyperlink r:id="rId291" ref="B122"/>
    <hyperlink r:id="rId292" ref="A123"/>
    <hyperlink r:id="rId293" ref="B123"/>
    <hyperlink r:id="rId294" ref="S123"/>
    <hyperlink r:id="rId295" ref="T123"/>
    <hyperlink r:id="rId296" ref="A124"/>
    <hyperlink r:id="rId297" ref="B124"/>
    <hyperlink r:id="rId298" ref="A125"/>
    <hyperlink r:id="rId299" ref="B125"/>
    <hyperlink r:id="rId300" ref="A126"/>
    <hyperlink r:id="rId301" ref="B126"/>
    <hyperlink r:id="rId302" ref="A127"/>
    <hyperlink r:id="rId303" ref="B127"/>
    <hyperlink r:id="rId304" ref="A128"/>
    <hyperlink r:id="rId305" ref="B128"/>
    <hyperlink r:id="rId306" ref="A129"/>
    <hyperlink r:id="rId307" ref="B129"/>
    <hyperlink r:id="rId308" ref="A130"/>
    <hyperlink r:id="rId309" ref="B130"/>
    <hyperlink r:id="rId310" ref="A131"/>
    <hyperlink r:id="rId311" ref="B131"/>
    <hyperlink r:id="rId312" ref="A132"/>
    <hyperlink r:id="rId313" ref="B132"/>
    <hyperlink r:id="rId314" ref="A133"/>
    <hyperlink r:id="rId315" ref="B133"/>
    <hyperlink r:id="rId316" ref="A134"/>
    <hyperlink r:id="rId317" ref="B134"/>
    <hyperlink r:id="rId318" ref="A135"/>
    <hyperlink r:id="rId319" ref="B135"/>
    <hyperlink r:id="rId320" ref="A136"/>
    <hyperlink r:id="rId321" ref="B136"/>
    <hyperlink r:id="rId322" ref="S136"/>
    <hyperlink r:id="rId323" ref="A137"/>
    <hyperlink r:id="rId324" ref="B137"/>
    <hyperlink r:id="rId325" ref="A138"/>
    <hyperlink r:id="rId326" ref="B138"/>
    <hyperlink r:id="rId327" ref="S138"/>
    <hyperlink r:id="rId328" ref="T138"/>
    <hyperlink r:id="rId329" ref="A139"/>
    <hyperlink r:id="rId330" ref="B139"/>
    <hyperlink r:id="rId331" ref="A140"/>
    <hyperlink r:id="rId332" ref="B140"/>
    <hyperlink r:id="rId333" ref="S140"/>
    <hyperlink r:id="rId334" ref="A141"/>
    <hyperlink r:id="rId335" ref="B141"/>
    <hyperlink r:id="rId336" ref="A142"/>
    <hyperlink r:id="rId337" ref="B142"/>
    <hyperlink r:id="rId338" ref="A143"/>
    <hyperlink r:id="rId339" ref="B143"/>
    <hyperlink r:id="rId340" ref="A144"/>
    <hyperlink r:id="rId341" ref="B144"/>
    <hyperlink r:id="rId342" ref="A145"/>
    <hyperlink r:id="rId343" ref="B145"/>
    <hyperlink r:id="rId344" ref="A146"/>
    <hyperlink r:id="rId345" ref="A147"/>
    <hyperlink r:id="rId346" ref="B147"/>
    <hyperlink r:id="rId347" ref="A148"/>
    <hyperlink r:id="rId348" ref="B148"/>
    <hyperlink r:id="rId349" ref="A149"/>
    <hyperlink r:id="rId350" ref="B149"/>
    <hyperlink r:id="rId351" ref="A150"/>
    <hyperlink r:id="rId352" ref="B150"/>
    <hyperlink r:id="rId353" ref="A151"/>
    <hyperlink r:id="rId354" ref="B151"/>
    <hyperlink r:id="rId355" ref="A152"/>
    <hyperlink r:id="rId356" ref="B152"/>
    <hyperlink r:id="rId357" ref="A153"/>
    <hyperlink r:id="rId358" ref="B153"/>
    <hyperlink r:id="rId359" ref="A154"/>
    <hyperlink r:id="rId360" ref="B154"/>
    <hyperlink r:id="rId361" ref="A155"/>
    <hyperlink r:id="rId362" ref="B155"/>
    <hyperlink r:id="rId363" ref="A156"/>
    <hyperlink r:id="rId364" ref="B156"/>
    <hyperlink r:id="rId365" ref="A157"/>
    <hyperlink r:id="rId366" ref="B157"/>
    <hyperlink r:id="rId367" ref="A158"/>
    <hyperlink r:id="rId368" ref="B158"/>
    <hyperlink r:id="rId369" ref="A159"/>
    <hyperlink r:id="rId370" ref="B159"/>
    <hyperlink r:id="rId371" ref="A160"/>
    <hyperlink r:id="rId372" ref="B160"/>
    <hyperlink r:id="rId373" ref="S160"/>
    <hyperlink r:id="rId374" ref="A161"/>
    <hyperlink r:id="rId375" ref="B161"/>
    <hyperlink r:id="rId376" ref="S161"/>
    <hyperlink r:id="rId377" ref="T161"/>
    <hyperlink r:id="rId378" ref="A162"/>
    <hyperlink r:id="rId379" ref="B162"/>
    <hyperlink r:id="rId380" ref="A163"/>
    <hyperlink r:id="rId381" ref="B163"/>
    <hyperlink r:id="rId382" ref="A164"/>
    <hyperlink r:id="rId383" ref="B164"/>
    <hyperlink r:id="rId384" ref="A165"/>
    <hyperlink r:id="rId385" ref="B165"/>
    <hyperlink r:id="rId386" ref="S165"/>
    <hyperlink r:id="rId387" ref="T165"/>
    <hyperlink r:id="rId388" ref="A166"/>
    <hyperlink r:id="rId389" ref="B166"/>
    <hyperlink r:id="rId390" ref="S166"/>
    <hyperlink r:id="rId391" ref="T166"/>
    <hyperlink r:id="rId392" ref="A167"/>
    <hyperlink r:id="rId393" ref="B167"/>
    <hyperlink r:id="rId394" ref="A168"/>
    <hyperlink r:id="rId395" ref="B168"/>
    <hyperlink r:id="rId396" ref="S168"/>
    <hyperlink r:id="rId397" ref="T168"/>
    <hyperlink r:id="rId398" ref="A169"/>
    <hyperlink r:id="rId399" ref="B169"/>
    <hyperlink r:id="rId400" ref="A170"/>
    <hyperlink r:id="rId401" ref="B170"/>
    <hyperlink r:id="rId402" ref="S170"/>
    <hyperlink r:id="rId403" ref="T170"/>
    <hyperlink r:id="rId404" ref="A171"/>
    <hyperlink r:id="rId405" ref="B171"/>
    <hyperlink r:id="rId406" ref="A172"/>
    <hyperlink r:id="rId407" ref="B172"/>
    <hyperlink r:id="rId408" ref="A173"/>
    <hyperlink r:id="rId409" ref="B173"/>
    <hyperlink r:id="rId410" ref="S173"/>
    <hyperlink r:id="rId411" ref="A174"/>
    <hyperlink r:id="rId412" ref="S174"/>
    <hyperlink r:id="rId413" ref="A175"/>
    <hyperlink r:id="rId414" ref="A176"/>
    <hyperlink r:id="rId415" ref="B176"/>
    <hyperlink r:id="rId416" ref="S176"/>
    <hyperlink r:id="rId417" ref="A177"/>
    <hyperlink r:id="rId418" ref="B177"/>
    <hyperlink r:id="rId419" ref="A178"/>
    <hyperlink r:id="rId420" ref="B178"/>
    <hyperlink r:id="rId421" ref="S178"/>
    <hyperlink r:id="rId422" ref="T178"/>
    <hyperlink r:id="rId423" ref="A179"/>
    <hyperlink r:id="rId424" ref="B179"/>
    <hyperlink r:id="rId425" ref="S179"/>
    <hyperlink r:id="rId426" ref="A180"/>
    <hyperlink r:id="rId427" ref="B180"/>
    <hyperlink r:id="rId428" ref="S180"/>
    <hyperlink r:id="rId429" ref="T180"/>
    <hyperlink r:id="rId430" ref="A181"/>
    <hyperlink r:id="rId431" ref="B181"/>
    <hyperlink r:id="rId432" ref="A182"/>
    <hyperlink r:id="rId433" ref="B182"/>
    <hyperlink r:id="rId434" ref="S182"/>
    <hyperlink r:id="rId435" ref="A183"/>
    <hyperlink r:id="rId436" ref="B183"/>
    <hyperlink r:id="rId437" ref="A184"/>
    <hyperlink r:id="rId438" ref="B184"/>
    <hyperlink r:id="rId439" ref="A185"/>
    <hyperlink r:id="rId440" ref="B185"/>
    <hyperlink r:id="rId441" ref="A186"/>
    <hyperlink r:id="rId442" ref="B186"/>
    <hyperlink r:id="rId443" ref="A187"/>
    <hyperlink r:id="rId444" ref="B187"/>
    <hyperlink r:id="rId445" ref="A188"/>
    <hyperlink r:id="rId446" ref="B188"/>
    <hyperlink r:id="rId447" ref="A189"/>
    <hyperlink r:id="rId448" ref="B189"/>
    <hyperlink r:id="rId449" ref="A190"/>
    <hyperlink r:id="rId450" ref="B190"/>
    <hyperlink r:id="rId451" ref="A191"/>
    <hyperlink r:id="rId452" ref="B191"/>
    <hyperlink r:id="rId453" ref="A192"/>
    <hyperlink r:id="rId454" ref="B192"/>
    <hyperlink r:id="rId455" ref="S192"/>
    <hyperlink r:id="rId456" ref="T192"/>
    <hyperlink r:id="rId457" ref="A193"/>
    <hyperlink r:id="rId458" ref="A194"/>
    <hyperlink r:id="rId459" ref="B194"/>
    <hyperlink r:id="rId460" ref="A195"/>
    <hyperlink r:id="rId461" ref="B195"/>
    <hyperlink r:id="rId462" ref="S195"/>
    <hyperlink r:id="rId463" ref="T195"/>
    <hyperlink r:id="rId464" ref="A196"/>
    <hyperlink r:id="rId465" ref="B196"/>
    <hyperlink r:id="rId466" ref="A197"/>
    <hyperlink r:id="rId467" ref="B197"/>
    <hyperlink r:id="rId468" ref="A198"/>
    <hyperlink r:id="rId469" ref="B198"/>
    <hyperlink r:id="rId470" ref="A199"/>
    <hyperlink r:id="rId471" ref="B199"/>
    <hyperlink r:id="rId472" ref="S199"/>
    <hyperlink r:id="rId473" ref="A200"/>
    <hyperlink r:id="rId474" ref="B200"/>
    <hyperlink r:id="rId475" ref="A201"/>
    <hyperlink r:id="rId476" ref="B201"/>
    <hyperlink r:id="rId477" ref="S201"/>
    <hyperlink r:id="rId478" ref="T201"/>
    <hyperlink r:id="rId479" ref="A202"/>
    <hyperlink r:id="rId480" ref="B202"/>
    <hyperlink r:id="rId481" ref="S202"/>
    <hyperlink r:id="rId482" ref="T202"/>
    <hyperlink r:id="rId483" ref="A203"/>
    <hyperlink r:id="rId484" ref="B203"/>
    <hyperlink r:id="rId485" ref="A204"/>
    <hyperlink r:id="rId486" ref="B204"/>
    <hyperlink r:id="rId487" ref="A205"/>
    <hyperlink r:id="rId488" ref="B205"/>
    <hyperlink r:id="rId489" ref="A206"/>
    <hyperlink r:id="rId490" ref="B206"/>
    <hyperlink r:id="rId491" ref="A207"/>
    <hyperlink r:id="rId492" ref="B207"/>
    <hyperlink r:id="rId493" ref="A208"/>
    <hyperlink r:id="rId494" ref="B208"/>
    <hyperlink r:id="rId495" ref="A209"/>
    <hyperlink r:id="rId496" ref="B209"/>
    <hyperlink r:id="rId497" ref="A210"/>
    <hyperlink r:id="rId498" ref="B210"/>
    <hyperlink r:id="rId499" ref="A211"/>
    <hyperlink r:id="rId500" ref="B211"/>
    <hyperlink r:id="rId501" ref="A212"/>
    <hyperlink r:id="rId502" ref="B212"/>
    <hyperlink r:id="rId503" ref="A213"/>
    <hyperlink r:id="rId504" ref="B213"/>
    <hyperlink r:id="rId505" ref="A214"/>
    <hyperlink r:id="rId506" ref="B214"/>
    <hyperlink r:id="rId507" ref="A215"/>
    <hyperlink r:id="rId508" ref="B215"/>
    <hyperlink r:id="rId509" ref="A216"/>
    <hyperlink r:id="rId510" ref="B216"/>
    <hyperlink r:id="rId511" ref="S216"/>
    <hyperlink r:id="rId512" ref="T216"/>
    <hyperlink r:id="rId513" ref="A217"/>
    <hyperlink r:id="rId514" ref="B217"/>
    <hyperlink r:id="rId515" ref="A218"/>
    <hyperlink r:id="rId516" ref="B218"/>
    <hyperlink r:id="rId517" ref="S218"/>
    <hyperlink r:id="rId518" ref="T218"/>
    <hyperlink r:id="rId519" ref="A219"/>
    <hyperlink r:id="rId520" ref="B219"/>
    <hyperlink r:id="rId521" ref="A220"/>
    <hyperlink r:id="rId522" ref="B220"/>
    <hyperlink r:id="rId523" ref="A221"/>
    <hyperlink r:id="rId524" ref="B221"/>
    <hyperlink r:id="rId525" ref="A222"/>
    <hyperlink r:id="rId526" ref="B222"/>
    <hyperlink r:id="rId527" ref="A223"/>
    <hyperlink r:id="rId528" ref="B223"/>
    <hyperlink r:id="rId529" ref="A224"/>
    <hyperlink r:id="rId530" ref="B224"/>
    <hyperlink r:id="rId531" ref="A225"/>
    <hyperlink r:id="rId532" ref="B225"/>
    <hyperlink r:id="rId533" ref="A226"/>
    <hyperlink r:id="rId534" ref="B226"/>
    <hyperlink r:id="rId535" ref="A227"/>
    <hyperlink r:id="rId536" ref="B227"/>
    <hyperlink r:id="rId537" ref="A228"/>
    <hyperlink r:id="rId538" ref="B228"/>
  </hyperlinks>
  <drawing r:id="rId53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1C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88"/>
    <col customWidth="1" min="2" max="2" width="31.5"/>
    <col customWidth="1" min="3" max="3" width="5.63"/>
    <col customWidth="1" min="4" max="4" width="8.13"/>
    <col customWidth="1" min="5" max="5" width="5.63"/>
  </cols>
  <sheetData>
    <row r="1" ht="61.5" customHeight="1">
      <c r="A1" s="382" t="s">
        <v>1579</v>
      </c>
      <c r="B1" s="383" t="s">
        <v>1976</v>
      </c>
      <c r="C1" s="384" t="s">
        <v>3145</v>
      </c>
      <c r="D1" s="384" t="s">
        <v>3146</v>
      </c>
      <c r="E1" s="384" t="s">
        <v>3147</v>
      </c>
    </row>
    <row r="2">
      <c r="A2" s="272" t="s">
        <v>2000</v>
      </c>
      <c r="B2" s="385" t="s">
        <v>3148</v>
      </c>
      <c r="C2" s="222" t="s">
        <v>3149</v>
      </c>
      <c r="D2" s="222">
        <v>18.75</v>
      </c>
      <c r="E2" s="222" t="s">
        <v>166</v>
      </c>
    </row>
    <row r="3">
      <c r="A3" s="272" t="s">
        <v>2000</v>
      </c>
      <c r="B3" s="386" t="s">
        <v>3150</v>
      </c>
      <c r="C3" s="222" t="s">
        <v>3151</v>
      </c>
      <c r="D3" s="222">
        <v>37.5</v>
      </c>
      <c r="E3" s="222" t="s">
        <v>166</v>
      </c>
    </row>
    <row r="4">
      <c r="A4" s="272" t="s">
        <v>2000</v>
      </c>
      <c r="B4" s="386" t="s">
        <v>3152</v>
      </c>
      <c r="C4" s="222" t="s">
        <v>3151</v>
      </c>
      <c r="D4" s="222">
        <v>43.0</v>
      </c>
      <c r="E4" s="222" t="s">
        <v>174</v>
      </c>
    </row>
    <row r="5">
      <c r="A5" s="272" t="s">
        <v>2000</v>
      </c>
      <c r="B5" s="386" t="str">
        <f>HYPERLINK("https://www.xpg.com/en/feature/486/","XPG GAMMIX D10")</f>
        <v>XPG GAMMIX D10</v>
      </c>
      <c r="C5" s="222" t="s">
        <v>3149</v>
      </c>
      <c r="D5" s="222">
        <v>36.0</v>
      </c>
      <c r="E5" s="222" t="s">
        <v>166</v>
      </c>
    </row>
    <row r="6">
      <c r="A6" s="272" t="s">
        <v>2000</v>
      </c>
      <c r="B6" s="386" t="s">
        <v>3153</v>
      </c>
      <c r="C6" s="222" t="s">
        <v>3149</v>
      </c>
      <c r="D6" s="222">
        <v>34.0</v>
      </c>
      <c r="E6" s="222" t="s">
        <v>166</v>
      </c>
    </row>
    <row r="7">
      <c r="A7" s="272" t="s">
        <v>2000</v>
      </c>
      <c r="B7" s="386" t="str">
        <f>HYPERLINK("https://www.xpg.com/en/feature/588/","XPG GAMMIX D30")</f>
        <v>XPG GAMMIX D30</v>
      </c>
      <c r="C7" s="222" t="s">
        <v>3149</v>
      </c>
      <c r="D7" s="222">
        <v>44.7</v>
      </c>
      <c r="E7" s="222" t="s">
        <v>166</v>
      </c>
    </row>
    <row r="8">
      <c r="A8" s="272" t="s">
        <v>2000</v>
      </c>
      <c r="B8" s="386" t="s">
        <v>3154</v>
      </c>
      <c r="C8" s="222" t="s">
        <v>3149</v>
      </c>
      <c r="D8" s="222">
        <v>39.17</v>
      </c>
      <c r="E8" s="222" t="s">
        <v>166</v>
      </c>
    </row>
    <row r="9">
      <c r="A9" s="272" t="s">
        <v>2000</v>
      </c>
      <c r="B9" s="386" t="s">
        <v>3155</v>
      </c>
      <c r="C9" s="222" t="s">
        <v>3149</v>
      </c>
      <c r="D9" s="222">
        <v>33.0</v>
      </c>
      <c r="E9" s="222" t="s">
        <v>166</v>
      </c>
    </row>
    <row r="10">
      <c r="A10" s="272" t="s">
        <v>2000</v>
      </c>
      <c r="B10" s="386" t="s">
        <v>3156</v>
      </c>
      <c r="C10" s="222" t="s">
        <v>3151</v>
      </c>
      <c r="D10" s="222">
        <v>33.0</v>
      </c>
      <c r="E10" s="222" t="s">
        <v>166</v>
      </c>
    </row>
    <row r="11">
      <c r="A11" s="272" t="s">
        <v>2000</v>
      </c>
      <c r="B11" s="386" t="s">
        <v>3157</v>
      </c>
      <c r="C11" s="222" t="s">
        <v>3151</v>
      </c>
      <c r="D11" s="222">
        <v>40.0</v>
      </c>
      <c r="E11" s="222" t="s">
        <v>166</v>
      </c>
    </row>
    <row r="12">
      <c r="A12" s="272" t="s">
        <v>2000</v>
      </c>
      <c r="B12" s="386" t="s">
        <v>3158</v>
      </c>
      <c r="C12" s="222" t="s">
        <v>3151</v>
      </c>
      <c r="D12" s="222">
        <v>33.8</v>
      </c>
      <c r="E12" s="222" t="s">
        <v>166</v>
      </c>
    </row>
    <row r="13">
      <c r="A13" s="272" t="s">
        <v>2000</v>
      </c>
      <c r="B13" s="386" t="s">
        <v>3159</v>
      </c>
      <c r="C13" s="222" t="s">
        <v>3151</v>
      </c>
      <c r="D13" s="222">
        <v>40.0</v>
      </c>
      <c r="E13" s="222" t="s">
        <v>174</v>
      </c>
    </row>
    <row r="14">
      <c r="A14" s="272" t="s">
        <v>2000</v>
      </c>
      <c r="B14" s="386" t="s">
        <v>3160</v>
      </c>
      <c r="C14" s="222" t="s">
        <v>3151</v>
      </c>
      <c r="D14" s="222">
        <v>40.0</v>
      </c>
      <c r="E14" s="222" t="s">
        <v>174</v>
      </c>
    </row>
    <row r="15">
      <c r="A15" s="272" t="s">
        <v>2000</v>
      </c>
      <c r="B15" s="386" t="str">
        <f>HYPERLINK("https://www.xpg.com/en/feature/552/","XPG SPECTRIX D41")</f>
        <v>XPG SPECTRIX D41</v>
      </c>
      <c r="C15" s="222" t="s">
        <v>3149</v>
      </c>
      <c r="D15" s="222">
        <v>45.8</v>
      </c>
      <c r="E15" s="222" t="s">
        <v>174</v>
      </c>
    </row>
    <row r="16">
      <c r="A16" s="272" t="s">
        <v>2000</v>
      </c>
      <c r="B16" s="386" t="s">
        <v>3161</v>
      </c>
      <c r="C16" s="222" t="s">
        <v>3149</v>
      </c>
      <c r="D16" s="222">
        <v>45.26</v>
      </c>
      <c r="E16" s="222" t="s">
        <v>174</v>
      </c>
    </row>
    <row r="17">
      <c r="A17" s="272" t="s">
        <v>2000</v>
      </c>
      <c r="B17" s="386" t="s">
        <v>3162</v>
      </c>
      <c r="C17" s="222" t="s">
        <v>3149</v>
      </c>
      <c r="D17" s="222">
        <v>40.0</v>
      </c>
      <c r="E17" s="222" t="s">
        <v>174</v>
      </c>
    </row>
    <row r="18">
      <c r="A18" s="272" t="s">
        <v>2000</v>
      </c>
      <c r="B18" s="386" t="s">
        <v>3163</v>
      </c>
      <c r="C18" s="222" t="s">
        <v>3149</v>
      </c>
      <c r="D18" s="222">
        <v>40.0</v>
      </c>
      <c r="E18" s="222" t="s">
        <v>174</v>
      </c>
    </row>
    <row r="19">
      <c r="A19" s="272" t="s">
        <v>2000</v>
      </c>
      <c r="B19" s="386" t="s">
        <v>3164</v>
      </c>
      <c r="C19" s="222" t="s">
        <v>3149</v>
      </c>
      <c r="D19" s="222">
        <v>40.0</v>
      </c>
      <c r="E19" s="222" t="s">
        <v>174</v>
      </c>
    </row>
    <row r="20">
      <c r="A20" s="272" t="s">
        <v>2000</v>
      </c>
      <c r="B20" s="386" t="str">
        <f>HYPERLINK("https://www.xpg.com/en/feature/606/","XPG SPECTRIX D60G")</f>
        <v>XPG SPECTRIX D60G</v>
      </c>
      <c r="C20" s="222" t="s">
        <v>3149</v>
      </c>
      <c r="D20" s="222">
        <v>45.93</v>
      </c>
      <c r="E20" s="222" t="s">
        <v>174</v>
      </c>
    </row>
    <row r="21">
      <c r="A21" s="272" t="s">
        <v>2000</v>
      </c>
      <c r="B21" s="386" t="str">
        <f>HYPERLINK("https://www.xpg.com/en/feature/553/","XPG SPECTRIX D80")</f>
        <v>XPG SPECTRIX D80</v>
      </c>
      <c r="C21" s="222" t="s">
        <v>3149</v>
      </c>
      <c r="D21" s="222">
        <v>46.65</v>
      </c>
      <c r="E21" s="222" t="s">
        <v>174</v>
      </c>
    </row>
    <row r="22">
      <c r="A22" s="273" t="s">
        <v>2000</v>
      </c>
      <c r="B22" s="387" t="str">
        <f>HYPERLINK("https://www.xpg.com/us/feature/305/","XPG Z1")</f>
        <v>XPG Z1</v>
      </c>
      <c r="C22" s="233" t="s">
        <v>3149</v>
      </c>
      <c r="D22" s="233">
        <v>42.65</v>
      </c>
      <c r="E22" s="233" t="s">
        <v>166</v>
      </c>
    </row>
    <row r="23">
      <c r="A23" s="273" t="s">
        <v>3165</v>
      </c>
      <c r="B23" s="387" t="s">
        <v>3166</v>
      </c>
      <c r="C23" s="233" t="s">
        <v>3151</v>
      </c>
      <c r="D23" s="233">
        <v>32.9</v>
      </c>
      <c r="E23" s="233" t="s">
        <v>166</v>
      </c>
    </row>
    <row r="24">
      <c r="A24" s="272" t="s">
        <v>3167</v>
      </c>
      <c r="B24" s="386" t="s">
        <v>3168</v>
      </c>
      <c r="C24" s="222" t="s">
        <v>3149</v>
      </c>
      <c r="D24" s="222">
        <v>48.0</v>
      </c>
      <c r="E24" s="222" t="s">
        <v>174</v>
      </c>
    </row>
    <row r="25">
      <c r="A25" s="272" t="s">
        <v>3167</v>
      </c>
      <c r="B25" s="386" t="s">
        <v>3169</v>
      </c>
      <c r="C25" s="222" t="s">
        <v>3149</v>
      </c>
      <c r="D25" s="222">
        <v>34.0</v>
      </c>
      <c r="E25" s="222" t="s">
        <v>166</v>
      </c>
    </row>
    <row r="26">
      <c r="A26" s="272" t="s">
        <v>3167</v>
      </c>
      <c r="B26" s="386" t="s">
        <v>3170</v>
      </c>
      <c r="C26" s="222" t="s">
        <v>3149</v>
      </c>
      <c r="D26" s="222">
        <v>40.0</v>
      </c>
      <c r="E26" s="222" t="s">
        <v>174</v>
      </c>
    </row>
    <row r="27">
      <c r="A27" s="272" t="s">
        <v>3167</v>
      </c>
      <c r="B27" s="386" t="s">
        <v>3171</v>
      </c>
      <c r="C27" s="222" t="s">
        <v>3149</v>
      </c>
      <c r="D27" s="222">
        <v>45.0</v>
      </c>
      <c r="E27" s="222" t="s">
        <v>174</v>
      </c>
    </row>
    <row r="28">
      <c r="A28" s="272" t="s">
        <v>3167</v>
      </c>
      <c r="B28" s="386" t="s">
        <v>3172</v>
      </c>
      <c r="C28" s="222" t="s">
        <v>3149</v>
      </c>
      <c r="D28" s="222">
        <v>63.0</v>
      </c>
      <c r="E28" s="222" t="s">
        <v>174</v>
      </c>
    </row>
    <row r="29">
      <c r="A29" s="273" t="s">
        <v>3167</v>
      </c>
      <c r="B29" s="387" t="s">
        <v>3173</v>
      </c>
      <c r="C29" s="233" t="s">
        <v>3149</v>
      </c>
      <c r="D29" s="233">
        <v>39.0</v>
      </c>
      <c r="E29" s="233" t="s">
        <v>166</v>
      </c>
    </row>
    <row r="30">
      <c r="A30" s="272" t="str">
        <f t="shared" ref="A30:A45" si="1">HYPERLINK("https://www.corsair.com/ww/en/","Corsair")</f>
        <v>Corsair</v>
      </c>
      <c r="B30" s="386" t="s">
        <v>3174</v>
      </c>
      <c r="C30" s="222" t="s">
        <v>3149</v>
      </c>
      <c r="D30" s="222">
        <v>55.0</v>
      </c>
      <c r="E30" s="222" t="s">
        <v>166</v>
      </c>
    </row>
    <row r="31">
      <c r="A31" s="272" t="str">
        <f t="shared" si="1"/>
        <v>Corsair</v>
      </c>
      <c r="B31" s="386" t="s">
        <v>3175</v>
      </c>
      <c r="C31" s="222" t="s">
        <v>3149</v>
      </c>
      <c r="D31" s="222">
        <v>56.0</v>
      </c>
      <c r="E31" s="222" t="s">
        <v>174</v>
      </c>
    </row>
    <row r="32">
      <c r="A32" s="272" t="str">
        <f t="shared" si="1"/>
        <v>Corsair</v>
      </c>
      <c r="B32" s="386" t="s">
        <v>3176</v>
      </c>
      <c r="C32" s="222" t="s">
        <v>3151</v>
      </c>
      <c r="D32" s="222">
        <v>56.0</v>
      </c>
      <c r="E32" s="222" t="s">
        <v>174</v>
      </c>
    </row>
    <row r="33">
      <c r="A33" s="272" t="str">
        <f t="shared" si="1"/>
        <v>Corsair</v>
      </c>
      <c r="B33" s="386" t="s">
        <v>3177</v>
      </c>
      <c r="C33" s="222" t="s">
        <v>3151</v>
      </c>
      <c r="D33" s="222">
        <v>56.0</v>
      </c>
      <c r="E33" s="222" t="s">
        <v>174</v>
      </c>
    </row>
    <row r="34">
      <c r="A34" s="272" t="str">
        <f t="shared" si="1"/>
        <v>Corsair</v>
      </c>
      <c r="B34" s="386" t="str">
        <f>HYPERLINK("https://www.corsair.com/us/en/Categories/Products/Memory/Mainstream-Memory/CORSAIR-Memory-%E2%80%94-8GB-%281x8GB%29-DDR4-2400MHz-C16-DIMM/p/CMV8GX4M1A2400C16","ValueSelect")</f>
        <v>ValueSelect</v>
      </c>
      <c r="C34" s="222" t="s">
        <v>3149</v>
      </c>
      <c r="D34" s="222">
        <v>31.25</v>
      </c>
      <c r="E34" s="222" t="s">
        <v>166</v>
      </c>
    </row>
    <row r="35">
      <c r="A35" s="272" t="str">
        <f t="shared" si="1"/>
        <v>Corsair</v>
      </c>
      <c r="B35" s="386" t="s">
        <v>3178</v>
      </c>
      <c r="C35" s="222" t="s">
        <v>3151</v>
      </c>
      <c r="D35" s="222">
        <v>35.0</v>
      </c>
      <c r="E35" s="222" t="s">
        <v>166</v>
      </c>
    </row>
    <row r="36">
      <c r="A36" s="272" t="str">
        <f t="shared" si="1"/>
        <v>Corsair</v>
      </c>
      <c r="B36" s="386" t="s">
        <v>3179</v>
      </c>
      <c r="C36" s="222" t="s">
        <v>3151</v>
      </c>
      <c r="D36" s="222">
        <v>35.0</v>
      </c>
      <c r="E36" s="222" t="s">
        <v>166</v>
      </c>
    </row>
    <row r="37">
      <c r="A37" s="272" t="str">
        <f t="shared" si="1"/>
        <v>Corsair</v>
      </c>
      <c r="B37" s="386" t="str">
        <f>HYPERLINK("https://www.corsair.com/ww/en/Categories/Products/Memory/VENGEANCE-LPX/p/CMK32GX4M2D3600C18","Vengeance LPX")</f>
        <v>Vengeance LPX</v>
      </c>
      <c r="C37" s="222" t="s">
        <v>3149</v>
      </c>
      <c r="D37" s="222">
        <v>33.53</v>
      </c>
      <c r="E37" s="222" t="s">
        <v>166</v>
      </c>
    </row>
    <row r="38">
      <c r="A38" s="272" t="str">
        <f t="shared" si="1"/>
        <v>Corsair</v>
      </c>
      <c r="B38" s="386" t="str">
        <f>HYPERLINK("https://www.corsair.com/us/en/Categories/Products/Memory/vengeance-led-configurator/p/CMU16GX4M2C3200C16","Vengeance LED")</f>
        <v>Vengeance LED</v>
      </c>
      <c r="C38" s="222" t="s">
        <v>3149</v>
      </c>
      <c r="D38" s="222">
        <v>49.0</v>
      </c>
      <c r="E38" s="222" t="s">
        <v>174</v>
      </c>
    </row>
    <row r="39">
      <c r="A39" s="272" t="str">
        <f t="shared" si="1"/>
        <v>Corsair</v>
      </c>
      <c r="B39" s="386" t="str">
        <f>HYPERLINK("https://www.corsair.com/us/en/vengeancergb","Vengeance RGB")</f>
        <v>Vengeance RGB</v>
      </c>
      <c r="C39" s="222" t="s">
        <v>3149</v>
      </c>
      <c r="D39" s="222">
        <v>49.0</v>
      </c>
      <c r="E39" s="222" t="s">
        <v>174</v>
      </c>
    </row>
    <row r="40">
      <c r="A40" s="272" t="str">
        <f t="shared" si="1"/>
        <v>Corsair</v>
      </c>
      <c r="B40" s="386" t="s">
        <v>3180</v>
      </c>
      <c r="C40" s="222" t="s">
        <v>3151</v>
      </c>
      <c r="D40" s="222">
        <v>44.0</v>
      </c>
      <c r="E40" s="222" t="s">
        <v>174</v>
      </c>
    </row>
    <row r="41">
      <c r="A41" s="272" t="str">
        <f t="shared" si="1"/>
        <v>Corsair</v>
      </c>
      <c r="B41" s="386" t="s">
        <v>3181</v>
      </c>
      <c r="C41" s="222" t="s">
        <v>3151</v>
      </c>
      <c r="D41" s="222">
        <v>44.0</v>
      </c>
      <c r="E41" s="222" t="s">
        <v>174</v>
      </c>
    </row>
    <row r="42">
      <c r="A42" s="272" t="str">
        <f t="shared" si="1"/>
        <v>Corsair</v>
      </c>
      <c r="B42" s="386" t="str">
        <f>HYPERLINK("https://www.corsair.com/Categories/Products/Memory/Vengeance-PRO-RGB-Black/p/CMW32GX4M2D3600C18","Vengeance RGB Pro")</f>
        <v>Vengeance RGB Pro</v>
      </c>
      <c r="C42" s="222" t="s">
        <v>3149</v>
      </c>
      <c r="D42" s="222">
        <v>51.0</v>
      </c>
      <c r="E42" s="222" t="s">
        <v>174</v>
      </c>
    </row>
    <row r="43">
      <c r="A43" s="272" t="str">
        <f t="shared" si="1"/>
        <v>Corsair</v>
      </c>
      <c r="B43" s="386" t="s">
        <v>3182</v>
      </c>
      <c r="C43" s="222" t="s">
        <v>3149</v>
      </c>
      <c r="D43" s="222">
        <v>44.8</v>
      </c>
      <c r="E43" s="222" t="s">
        <v>174</v>
      </c>
    </row>
    <row r="44">
      <c r="A44" s="272" t="str">
        <f t="shared" si="1"/>
        <v>Corsair</v>
      </c>
      <c r="B44" s="386" t="s">
        <v>3183</v>
      </c>
      <c r="C44" s="222" t="s">
        <v>3149</v>
      </c>
      <c r="D44" s="222">
        <v>44.8</v>
      </c>
      <c r="E44" s="222" t="s">
        <v>174</v>
      </c>
    </row>
    <row r="45">
      <c r="A45" s="273" t="str">
        <f t="shared" si="1"/>
        <v>Corsair</v>
      </c>
      <c r="B45" s="387" t="s">
        <v>3184</v>
      </c>
      <c r="C45" s="233" t="s">
        <v>3149</v>
      </c>
      <c r="D45" s="233">
        <v>45.0</v>
      </c>
      <c r="E45" s="233" t="s">
        <v>174</v>
      </c>
    </row>
    <row r="46">
      <c r="A46" s="272" t="str">
        <f t="shared" ref="A46:A60" si="2">HYPERLINK("https://www.crucial.com/","Crucial")</f>
        <v>Crucial</v>
      </c>
      <c r="B46" s="386" t="s">
        <v>3185</v>
      </c>
      <c r="C46" s="222" t="s">
        <v>3149</v>
      </c>
      <c r="D46" s="222">
        <v>39.17</v>
      </c>
      <c r="E46" s="222" t="s">
        <v>166</v>
      </c>
    </row>
    <row r="47">
      <c r="A47" s="272" t="str">
        <f t="shared" si="2"/>
        <v>Crucial</v>
      </c>
      <c r="B47" s="386" t="s">
        <v>3186</v>
      </c>
      <c r="C47" s="222" t="s">
        <v>3149</v>
      </c>
      <c r="D47" s="222">
        <v>39.17</v>
      </c>
      <c r="E47" s="222" t="s">
        <v>174</v>
      </c>
    </row>
    <row r="48">
      <c r="A48" s="272" t="str">
        <f t="shared" si="2"/>
        <v>Crucial</v>
      </c>
      <c r="B48" s="386" t="s">
        <v>3187</v>
      </c>
      <c r="C48" s="222" t="s">
        <v>3149</v>
      </c>
      <c r="D48" s="222">
        <v>39.17</v>
      </c>
      <c r="E48" s="222" t="s">
        <v>166</v>
      </c>
    </row>
    <row r="49">
      <c r="A49" s="272" t="str">
        <f t="shared" si="2"/>
        <v>Crucial</v>
      </c>
      <c r="B49" s="386" t="s">
        <v>3188</v>
      </c>
      <c r="C49" s="222" t="s">
        <v>3149</v>
      </c>
      <c r="D49" s="222">
        <v>39.17</v>
      </c>
      <c r="E49" s="222" t="s">
        <v>174</v>
      </c>
    </row>
    <row r="50">
      <c r="A50" s="272" t="str">
        <f t="shared" si="2"/>
        <v>Crucial</v>
      </c>
      <c r="B50" s="388" t="s">
        <v>3189</v>
      </c>
      <c r="C50" s="222" t="s">
        <v>3149</v>
      </c>
      <c r="D50" s="222">
        <v>40.0</v>
      </c>
      <c r="E50" s="222" t="s">
        <v>166</v>
      </c>
    </row>
    <row r="51">
      <c r="A51" s="272" t="str">
        <f t="shared" si="2"/>
        <v>Crucial</v>
      </c>
      <c r="B51" s="389" t="s">
        <v>3190</v>
      </c>
      <c r="C51" s="222" t="s">
        <v>3149</v>
      </c>
      <c r="D51" s="222">
        <v>31.25</v>
      </c>
      <c r="E51" s="222" t="s">
        <v>166</v>
      </c>
    </row>
    <row r="52">
      <c r="A52" s="272" t="str">
        <f t="shared" si="2"/>
        <v>Crucial</v>
      </c>
      <c r="B52" s="388" t="s">
        <v>3191</v>
      </c>
      <c r="C52" s="222" t="s">
        <v>3149</v>
      </c>
      <c r="D52" s="222">
        <v>34.0</v>
      </c>
      <c r="E52" s="222" t="s">
        <v>166</v>
      </c>
    </row>
    <row r="53">
      <c r="A53" s="272" t="str">
        <f t="shared" si="2"/>
        <v>Crucial</v>
      </c>
      <c r="B53" s="388" t="s">
        <v>3192</v>
      </c>
      <c r="C53" s="222" t="s">
        <v>3149</v>
      </c>
      <c r="D53" s="222">
        <v>34.0</v>
      </c>
      <c r="E53" s="222" t="s">
        <v>166</v>
      </c>
    </row>
    <row r="54">
      <c r="A54" s="272" t="str">
        <f t="shared" si="2"/>
        <v>Crucial</v>
      </c>
      <c r="B54" s="388" t="s">
        <v>3193</v>
      </c>
      <c r="C54" s="222" t="s">
        <v>3149</v>
      </c>
      <c r="D54" s="222">
        <v>36.5</v>
      </c>
      <c r="E54" s="222" t="s">
        <v>166</v>
      </c>
    </row>
    <row r="55">
      <c r="A55" s="272" t="str">
        <f t="shared" si="2"/>
        <v>Crucial</v>
      </c>
      <c r="B55" s="385" t="s">
        <v>3194</v>
      </c>
      <c r="C55" s="222" t="s">
        <v>3149</v>
      </c>
      <c r="D55" s="222">
        <v>41.0</v>
      </c>
      <c r="E55" s="222" t="s">
        <v>166</v>
      </c>
    </row>
    <row r="56">
      <c r="A56" s="272" t="str">
        <f t="shared" si="2"/>
        <v>Crucial</v>
      </c>
      <c r="B56" s="385" t="s">
        <v>3195</v>
      </c>
      <c r="C56" s="222" t="s">
        <v>3149</v>
      </c>
      <c r="D56" s="222">
        <v>41.0</v>
      </c>
      <c r="E56" s="222" t="s">
        <v>174</v>
      </c>
    </row>
    <row r="57">
      <c r="A57" s="272" t="str">
        <f t="shared" si="2"/>
        <v>Crucial</v>
      </c>
      <c r="B57" s="386" t="s">
        <v>3196</v>
      </c>
      <c r="C57" s="222" t="s">
        <v>3149</v>
      </c>
      <c r="D57" s="222">
        <v>31.9</v>
      </c>
      <c r="E57" s="222" t="s">
        <v>166</v>
      </c>
    </row>
    <row r="58">
      <c r="A58" s="272" t="str">
        <f t="shared" si="2"/>
        <v>Crucial</v>
      </c>
      <c r="B58" s="386" t="s">
        <v>3197</v>
      </c>
      <c r="C58" s="222" t="s">
        <v>3151</v>
      </c>
      <c r="D58" s="222">
        <v>31.9</v>
      </c>
      <c r="E58" s="222" t="s">
        <v>166</v>
      </c>
    </row>
    <row r="59">
      <c r="A59" s="272" t="str">
        <f t="shared" si="2"/>
        <v>Crucial</v>
      </c>
      <c r="B59" s="385" t="s">
        <v>3198</v>
      </c>
      <c r="C59" s="222" t="s">
        <v>3149</v>
      </c>
      <c r="D59" s="222">
        <v>18.75</v>
      </c>
      <c r="E59" s="222" t="s">
        <v>166</v>
      </c>
    </row>
    <row r="60">
      <c r="A60" s="273" t="str">
        <f t="shared" si="2"/>
        <v>Crucial</v>
      </c>
      <c r="B60" s="387" t="s">
        <v>3199</v>
      </c>
      <c r="C60" s="233" t="s">
        <v>3151</v>
      </c>
      <c r="D60" s="233">
        <v>31.25</v>
      </c>
      <c r="E60" s="233" t="s">
        <v>166</v>
      </c>
    </row>
    <row r="61">
      <c r="A61" s="272" t="str">
        <f t="shared" ref="A61:A80" si="3">HYPERLINK("https://www.gskill.com/","G.Skill")</f>
        <v>G.Skill</v>
      </c>
      <c r="B61" s="386" t="str">
        <f>HYPERLINK("https://www.gskill.com/product/165/185/1534752219/F4-2133C15S-16GISAegis-DDR4DDR4-2133MHz-CL15-15-15-36-1.20V16GB-(1x16GB)","Aegis")</f>
        <v>Aegis</v>
      </c>
      <c r="C61" s="222" t="s">
        <v>3149</v>
      </c>
      <c r="D61" s="222">
        <v>31.25</v>
      </c>
      <c r="E61" s="222" t="s">
        <v>166</v>
      </c>
    </row>
    <row r="62">
      <c r="A62" s="272" t="str">
        <f t="shared" si="3"/>
        <v>G.Skill</v>
      </c>
      <c r="B62" s="386" t="str">
        <f>HYPERLINK("https://www.gskill.com/products/1/165/170/Flare-X-(For-AMD)","Flare X")</f>
        <v>Flare X</v>
      </c>
      <c r="C62" s="222" t="s">
        <v>3149</v>
      </c>
      <c r="D62" s="222">
        <v>40.0</v>
      </c>
      <c r="E62" s="222" t="s">
        <v>166</v>
      </c>
    </row>
    <row r="63">
      <c r="A63" s="272" t="str">
        <f t="shared" si="3"/>
        <v>G.Skill</v>
      </c>
      <c r="B63" s="386" t="s">
        <v>3200</v>
      </c>
      <c r="C63" s="222" t="s">
        <v>3151</v>
      </c>
      <c r="D63" s="222">
        <v>33.0</v>
      </c>
      <c r="E63" s="222" t="s">
        <v>166</v>
      </c>
    </row>
    <row r="64">
      <c r="A64" s="272" t="str">
        <f t="shared" si="3"/>
        <v>G.Skill</v>
      </c>
      <c r="B64" s="386" t="str">
        <f>HYPERLINK("https://www.gskill.com/product/165/171/1534747476/F4-2133C15D-16GFTFortis-(for-AMD)DDR4-2133MHz-CL15-15-15-35-1.20V16GB-(2x8GB)","Fortis")</f>
        <v>Fortis</v>
      </c>
      <c r="C64" s="222" t="s">
        <v>3149</v>
      </c>
      <c r="D64" s="222">
        <v>31.25</v>
      </c>
      <c r="E64" s="222" t="s">
        <v>166</v>
      </c>
    </row>
    <row r="65">
      <c r="A65" s="272" t="str">
        <f t="shared" si="3"/>
        <v>G.Skill</v>
      </c>
      <c r="B65" s="386" t="str">
        <f>HYPERLINK("https://www.gskill.com/product/165/172/1535617544/F4-2133C15D-8GRRRipjaws-4DDR4-2133MHz-CL15-15-15-35-1.20V8GB-(2x4GB)","Ripjaws 4")</f>
        <v>Ripjaws 4</v>
      </c>
      <c r="C65" s="222" t="s">
        <v>3149</v>
      </c>
      <c r="D65" s="222">
        <v>40.0</v>
      </c>
      <c r="E65" s="222" t="s">
        <v>166</v>
      </c>
    </row>
    <row r="66">
      <c r="A66" s="272" t="str">
        <f t="shared" si="3"/>
        <v>G.Skill</v>
      </c>
      <c r="B66" s="386" t="s">
        <v>3201</v>
      </c>
      <c r="C66" s="222" t="s">
        <v>3151</v>
      </c>
      <c r="D66" s="222">
        <v>33.0</v>
      </c>
      <c r="E66" s="222" t="s">
        <v>166</v>
      </c>
    </row>
    <row r="67">
      <c r="A67" s="272" t="str">
        <f t="shared" si="3"/>
        <v>G.Skill</v>
      </c>
      <c r="B67" s="386" t="str">
        <f>HYPERLINK("https://www.gskill.com/product/165/184/1535625564/F4-2400C17S-4GVRRipjaws-VDDR4-2400MHz-CL17-17-17-39-1.20V4GB-(1x4GB)","Ripjaws V")</f>
        <v>Ripjaws V</v>
      </c>
      <c r="C67" s="222" t="s">
        <v>3149</v>
      </c>
      <c r="D67" s="222">
        <v>42.0</v>
      </c>
      <c r="E67" s="222" t="s">
        <v>166</v>
      </c>
    </row>
    <row r="68">
      <c r="A68" s="272" t="str">
        <f t="shared" si="3"/>
        <v>G.Skill</v>
      </c>
      <c r="B68" s="386" t="str">
        <f>HYPERLINK("https://www.gskill.com/product/165/169/1535943590/F4-3600C19S-16GSXWBSniper-XDDR4-3600MHz-CL19-20-20-40-1.35V16GB-(1x16GB)","Sniper X")</f>
        <v>Sniper X</v>
      </c>
      <c r="C68" s="222" t="s">
        <v>3149</v>
      </c>
      <c r="D68" s="222">
        <v>43.0</v>
      </c>
      <c r="E68" s="222" t="s">
        <v>166</v>
      </c>
    </row>
    <row r="69">
      <c r="A69" s="272" t="str">
        <f t="shared" si="3"/>
        <v>G.Skill</v>
      </c>
      <c r="B69" s="386" t="s">
        <v>3202</v>
      </c>
      <c r="C69" s="222" t="s">
        <v>3149</v>
      </c>
      <c r="D69" s="222">
        <v>44.0</v>
      </c>
      <c r="E69" s="222" t="s">
        <v>166</v>
      </c>
    </row>
    <row r="70">
      <c r="A70" s="272" t="str">
        <f t="shared" si="3"/>
        <v>G.Skill</v>
      </c>
      <c r="B70" s="386" t="s">
        <v>3203</v>
      </c>
      <c r="C70" s="222" t="s">
        <v>3149</v>
      </c>
      <c r="D70" s="222">
        <v>44.0</v>
      </c>
      <c r="E70" s="222" t="s">
        <v>174</v>
      </c>
    </row>
    <row r="71">
      <c r="A71" s="272" t="str">
        <f t="shared" si="3"/>
        <v>G.Skill</v>
      </c>
      <c r="B71" s="386" t="s">
        <v>3204</v>
      </c>
      <c r="C71" s="222" t="s">
        <v>3149</v>
      </c>
      <c r="D71" s="222">
        <v>44.0</v>
      </c>
      <c r="E71" s="222" t="s">
        <v>174</v>
      </c>
    </row>
    <row r="72">
      <c r="A72" s="272" t="str">
        <f t="shared" si="3"/>
        <v>G.Skill</v>
      </c>
      <c r="B72" s="386" t="str">
        <f>HYPERLINK("https://www.gskill.com/product/165/296/1552456723/F4-3200C14D-64GTZDCTrident-Z-RGB-DCDDR4-3200MHz-CL14-14-14-34-1.35V64GB-(2x32GB)","Trident Z RGB DC")</f>
        <v>Trident Z RGB DC</v>
      </c>
      <c r="C72" s="222" t="s">
        <v>3149</v>
      </c>
      <c r="D72" s="222">
        <v>59.0</v>
      </c>
      <c r="E72" s="222" t="s">
        <v>174</v>
      </c>
    </row>
    <row r="73">
      <c r="A73" s="272" t="str">
        <f t="shared" si="3"/>
        <v>G.Skill</v>
      </c>
      <c r="B73" s="386" t="s">
        <v>3205</v>
      </c>
      <c r="C73" s="222" t="s">
        <v>3149</v>
      </c>
      <c r="D73" s="222">
        <v>44.0</v>
      </c>
      <c r="E73" s="222" t="s">
        <v>174</v>
      </c>
    </row>
    <row r="74">
      <c r="A74" s="272" t="str">
        <f t="shared" si="3"/>
        <v>G.Skill</v>
      </c>
      <c r="B74" s="386" t="s">
        <v>3206</v>
      </c>
      <c r="C74" s="222" t="s">
        <v>3149</v>
      </c>
      <c r="D74" s="222">
        <v>44.0</v>
      </c>
      <c r="E74" s="222" t="s">
        <v>174</v>
      </c>
    </row>
    <row r="75">
      <c r="A75" s="272" t="str">
        <f t="shared" si="3"/>
        <v>G.Skill</v>
      </c>
      <c r="B75" s="386" t="s">
        <v>3207</v>
      </c>
      <c r="C75" s="222" t="s">
        <v>3149</v>
      </c>
      <c r="D75" s="222">
        <v>44.0</v>
      </c>
      <c r="E75" s="222" t="s">
        <v>174</v>
      </c>
    </row>
    <row r="76">
      <c r="A76" s="272" t="str">
        <f t="shared" si="3"/>
        <v>G.Skill</v>
      </c>
      <c r="B76" s="386" t="s">
        <v>3208</v>
      </c>
      <c r="C76" s="222" t="s">
        <v>3151</v>
      </c>
      <c r="D76" s="222">
        <v>44.0</v>
      </c>
      <c r="E76" s="222" t="s">
        <v>166</v>
      </c>
    </row>
    <row r="77">
      <c r="A77" s="272" t="str">
        <f t="shared" si="3"/>
        <v>G.Skill</v>
      </c>
      <c r="B77" s="390" t="s">
        <v>3209</v>
      </c>
      <c r="C77" s="222" t="s">
        <v>3151</v>
      </c>
      <c r="D77" s="222">
        <v>44.0</v>
      </c>
      <c r="E77" s="222" t="s">
        <v>166</v>
      </c>
    </row>
    <row r="78">
      <c r="A78" s="272" t="str">
        <f t="shared" si="3"/>
        <v>G.Skill</v>
      </c>
      <c r="B78" s="390" t="s">
        <v>3210</v>
      </c>
      <c r="C78" s="222" t="s">
        <v>3151</v>
      </c>
      <c r="D78" s="222">
        <v>44.0</v>
      </c>
      <c r="E78" s="222" t="s">
        <v>174</v>
      </c>
    </row>
    <row r="79">
      <c r="A79" s="272" t="str">
        <f t="shared" si="3"/>
        <v>G.Skill</v>
      </c>
      <c r="B79" s="386" t="s">
        <v>3211</v>
      </c>
      <c r="C79" s="222" t="s">
        <v>3151</v>
      </c>
      <c r="D79" s="222">
        <v>44.0</v>
      </c>
      <c r="E79" s="222" t="s">
        <v>174</v>
      </c>
    </row>
    <row r="80">
      <c r="A80" s="273" t="str">
        <f t="shared" si="3"/>
        <v>G.Skill</v>
      </c>
      <c r="B80" s="387" t="str">
        <f>HYPERLINK("https://www.gskill.com/product/165/186/1535438214/F4-2133C15S-4GNTValueDDR4-2133MHz-CL15-15-15-35-1.20V4GB-(1x4GB)","Value")</f>
        <v>Value</v>
      </c>
      <c r="C80" s="233" t="s">
        <v>3149</v>
      </c>
      <c r="D80" s="233">
        <v>31.25</v>
      </c>
      <c r="E80" s="233" t="s">
        <v>166</v>
      </c>
    </row>
    <row r="81">
      <c r="A81" s="272" t="s">
        <v>3212</v>
      </c>
      <c r="B81" s="386" t="s">
        <v>3213</v>
      </c>
      <c r="C81" s="222" t="s">
        <v>3149</v>
      </c>
      <c r="D81" s="222">
        <v>57.0</v>
      </c>
      <c r="E81" s="222" t="s">
        <v>174</v>
      </c>
    </row>
    <row r="82">
      <c r="A82" s="272" t="s">
        <v>3212</v>
      </c>
      <c r="B82" s="386" t="s">
        <v>3214</v>
      </c>
      <c r="C82" s="222" t="s">
        <v>3149</v>
      </c>
      <c r="D82" s="222">
        <v>58.0</v>
      </c>
      <c r="E82" s="222" t="s">
        <v>174</v>
      </c>
    </row>
    <row r="83">
      <c r="A83" s="272" t="s">
        <v>3212</v>
      </c>
      <c r="B83" s="386" t="s">
        <v>3215</v>
      </c>
      <c r="C83" s="222" t="s">
        <v>3149</v>
      </c>
      <c r="D83" s="222">
        <v>48.5</v>
      </c>
      <c r="E83" s="222" t="s">
        <v>166</v>
      </c>
    </row>
    <row r="84">
      <c r="A84" s="272" t="s">
        <v>3212</v>
      </c>
      <c r="B84" s="386" t="s">
        <v>3216</v>
      </c>
      <c r="C84" s="222" t="s">
        <v>3149</v>
      </c>
      <c r="D84" s="222">
        <v>48.0</v>
      </c>
      <c r="E84" s="222" t="s">
        <v>174</v>
      </c>
    </row>
    <row r="85">
      <c r="A85" s="272" t="s">
        <v>3212</v>
      </c>
      <c r="B85" s="386" t="s">
        <v>3217</v>
      </c>
      <c r="C85" s="222" t="s">
        <v>3149</v>
      </c>
      <c r="D85" s="222">
        <v>48.0</v>
      </c>
      <c r="E85" s="222" t="s">
        <v>174</v>
      </c>
    </row>
    <row r="86">
      <c r="A86" s="391" t="s">
        <v>3212</v>
      </c>
      <c r="B86" s="392" t="s">
        <v>3218</v>
      </c>
      <c r="C86" s="393" t="s">
        <v>3149</v>
      </c>
      <c r="D86" s="393">
        <v>48.0</v>
      </c>
      <c r="E86" s="393" t="s">
        <v>166</v>
      </c>
      <c r="F86" s="394"/>
      <c r="G86" s="394"/>
      <c r="H86" s="394"/>
      <c r="I86" s="394"/>
      <c r="J86" s="394"/>
      <c r="K86" s="394"/>
      <c r="L86" s="394"/>
      <c r="M86" s="394"/>
      <c r="N86" s="394"/>
      <c r="O86" s="394"/>
      <c r="P86" s="394"/>
      <c r="Q86" s="394"/>
      <c r="R86" s="394"/>
      <c r="S86" s="394"/>
      <c r="T86" s="394"/>
      <c r="U86" s="394"/>
      <c r="V86" s="394"/>
      <c r="W86" s="394"/>
      <c r="X86" s="394"/>
      <c r="Y86" s="394"/>
      <c r="Z86" s="394"/>
      <c r="AA86" s="394"/>
    </row>
    <row r="87">
      <c r="A87" s="282" t="s">
        <v>3219</v>
      </c>
      <c r="B87" s="386" t="s">
        <v>3220</v>
      </c>
      <c r="C87" s="222" t="s">
        <v>3149</v>
      </c>
      <c r="D87" s="222">
        <v>60.0</v>
      </c>
      <c r="E87" s="222" t="s">
        <v>174</v>
      </c>
    </row>
    <row r="88">
      <c r="A88" s="282" t="s">
        <v>3219</v>
      </c>
      <c r="B88" s="386" t="s">
        <v>3221</v>
      </c>
      <c r="C88" s="222" t="s">
        <v>3149</v>
      </c>
      <c r="D88" s="222">
        <v>60.0</v>
      </c>
      <c r="E88" s="222" t="s">
        <v>174</v>
      </c>
    </row>
    <row r="89">
      <c r="A89" s="282" t="s">
        <v>3219</v>
      </c>
      <c r="B89" s="386" t="s">
        <v>3222</v>
      </c>
      <c r="C89" s="222" t="s">
        <v>3149</v>
      </c>
      <c r="D89" s="222">
        <v>39.0</v>
      </c>
      <c r="E89" s="222" t="s">
        <v>166</v>
      </c>
    </row>
    <row r="90">
      <c r="A90" s="282" t="s">
        <v>3219</v>
      </c>
      <c r="B90" s="386" t="s">
        <v>3223</v>
      </c>
      <c r="C90" s="222" t="s">
        <v>3149</v>
      </c>
      <c r="D90" s="222">
        <v>39.0</v>
      </c>
      <c r="E90" s="222" t="s">
        <v>166</v>
      </c>
    </row>
    <row r="91">
      <c r="A91" s="282" t="s">
        <v>3219</v>
      </c>
      <c r="B91" s="386" t="s">
        <v>3224</v>
      </c>
      <c r="C91" s="222" t="s">
        <v>3149</v>
      </c>
      <c r="D91" s="222">
        <v>39.0</v>
      </c>
      <c r="E91" s="222" t="s">
        <v>174</v>
      </c>
    </row>
    <row r="92">
      <c r="A92" s="290" t="s">
        <v>3219</v>
      </c>
      <c r="B92" s="387" t="s">
        <v>3225</v>
      </c>
      <c r="C92" s="233" t="s">
        <v>3149</v>
      </c>
      <c r="D92" s="233">
        <v>39.0</v>
      </c>
      <c r="E92" s="233" t="s">
        <v>174</v>
      </c>
    </row>
    <row r="93">
      <c r="A93" s="174" t="str">
        <f t="shared" ref="A93:A99" si="4">HYPERLINK("https://www.gigabyte.com/","Gigabyte")</f>
        <v>Gigabyte</v>
      </c>
      <c r="B93" s="386" t="s">
        <v>3226</v>
      </c>
      <c r="C93" s="222" t="s">
        <v>3151</v>
      </c>
      <c r="D93" s="222">
        <v>39.86</v>
      </c>
      <c r="E93" s="222" t="s">
        <v>166</v>
      </c>
    </row>
    <row r="94">
      <c r="A94" s="282" t="str">
        <f t="shared" si="4"/>
        <v>Gigabyte</v>
      </c>
      <c r="B94" s="386" t="s">
        <v>3227</v>
      </c>
      <c r="C94" s="222" t="s">
        <v>3149</v>
      </c>
      <c r="D94" s="222">
        <v>39.0</v>
      </c>
      <c r="E94" s="222" t="s">
        <v>174</v>
      </c>
    </row>
    <row r="95">
      <c r="A95" s="174" t="str">
        <f t="shared" si="4"/>
        <v>Gigabyte</v>
      </c>
      <c r="B95" s="386" t="s">
        <v>3228</v>
      </c>
      <c r="C95" s="222" t="s">
        <v>3149</v>
      </c>
      <c r="D95" s="222">
        <v>39.0</v>
      </c>
      <c r="E95" s="222" t="s">
        <v>174</v>
      </c>
    </row>
    <row r="96">
      <c r="A96" s="174" t="str">
        <f t="shared" si="4"/>
        <v>Gigabyte</v>
      </c>
      <c r="B96" s="386" t="s">
        <v>3229</v>
      </c>
      <c r="C96" s="222" t="s">
        <v>3149</v>
      </c>
      <c r="D96" s="222">
        <v>39.8</v>
      </c>
      <c r="E96" s="222" t="s">
        <v>174</v>
      </c>
    </row>
    <row r="97">
      <c r="A97" s="174" t="str">
        <f t="shared" si="4"/>
        <v>Gigabyte</v>
      </c>
      <c r="B97" s="386" t="s">
        <v>3230</v>
      </c>
      <c r="C97" s="222" t="s">
        <v>3151</v>
      </c>
      <c r="D97" s="222">
        <v>39.86</v>
      </c>
      <c r="E97" s="222" t="s">
        <v>174</v>
      </c>
    </row>
    <row r="98">
      <c r="A98" s="174" t="str">
        <f t="shared" si="4"/>
        <v>Gigabyte</v>
      </c>
      <c r="B98" s="386" t="s">
        <v>3231</v>
      </c>
      <c r="C98" s="222" t="s">
        <v>3149</v>
      </c>
      <c r="D98" s="222">
        <v>32.0</v>
      </c>
      <c r="E98" s="222" t="s">
        <v>166</v>
      </c>
    </row>
    <row r="99">
      <c r="A99" s="291" t="str">
        <f t="shared" si="4"/>
        <v>Gigabyte</v>
      </c>
      <c r="B99" s="387" t="s">
        <v>3232</v>
      </c>
      <c r="C99" s="233" t="s">
        <v>3149</v>
      </c>
      <c r="D99" s="233">
        <v>32.0</v>
      </c>
      <c r="E99" s="233" t="s">
        <v>166</v>
      </c>
    </row>
    <row r="100">
      <c r="A100" s="272" t="str">
        <f t="shared" ref="A100:A117" si="5">HYPERLINK("https://www.kingston.com/en","Kingston")</f>
        <v>Kingston</v>
      </c>
      <c r="B100" s="386" t="s">
        <v>3233</v>
      </c>
      <c r="C100" s="222" t="s">
        <v>3149</v>
      </c>
      <c r="D100" s="222">
        <v>34.1</v>
      </c>
      <c r="E100" s="222" t="s">
        <v>166</v>
      </c>
    </row>
    <row r="101">
      <c r="A101" s="272" t="str">
        <f t="shared" si="5"/>
        <v>Kingston</v>
      </c>
      <c r="B101" s="386" t="s">
        <v>3234</v>
      </c>
      <c r="C101" s="222" t="s">
        <v>3149</v>
      </c>
      <c r="D101" s="222">
        <v>45.8</v>
      </c>
      <c r="E101" s="222" t="s">
        <v>174</v>
      </c>
    </row>
    <row r="102">
      <c r="A102" s="272" t="str">
        <f t="shared" si="5"/>
        <v>Kingston</v>
      </c>
      <c r="B102" s="386" t="s">
        <v>3235</v>
      </c>
      <c r="C102" s="222" t="s">
        <v>3151</v>
      </c>
      <c r="D102" s="222">
        <v>34.9</v>
      </c>
      <c r="E102" s="222" t="s">
        <v>166</v>
      </c>
    </row>
    <row r="103">
      <c r="A103" s="272" t="str">
        <f t="shared" si="5"/>
        <v>Kingston</v>
      </c>
      <c r="B103" s="386" t="s">
        <v>3236</v>
      </c>
      <c r="C103" s="222" t="s">
        <v>3151</v>
      </c>
      <c r="D103" s="222">
        <v>42.23</v>
      </c>
      <c r="E103" s="222" t="s">
        <v>174</v>
      </c>
    </row>
    <row r="104">
      <c r="A104" s="272" t="str">
        <f t="shared" si="5"/>
        <v>Kingston</v>
      </c>
      <c r="B104" s="386" t="s">
        <v>3237</v>
      </c>
      <c r="C104" s="222" t="s">
        <v>3149</v>
      </c>
      <c r="D104" s="222">
        <v>41.24</v>
      </c>
      <c r="E104" s="222" t="s">
        <v>174</v>
      </c>
    </row>
    <row r="105">
      <c r="A105" s="272" t="str">
        <f t="shared" si="5"/>
        <v>Kingston</v>
      </c>
      <c r="B105" s="386" t="s">
        <v>3238</v>
      </c>
      <c r="C105" s="222" t="s">
        <v>3149</v>
      </c>
      <c r="D105" s="222">
        <v>42.2</v>
      </c>
      <c r="E105" s="222" t="s">
        <v>166</v>
      </c>
    </row>
    <row r="106">
      <c r="A106" s="272" t="str">
        <f t="shared" si="5"/>
        <v>Kingston</v>
      </c>
      <c r="B106" s="386" t="s">
        <v>3239</v>
      </c>
      <c r="C106" s="222" t="s">
        <v>3151</v>
      </c>
      <c r="D106" s="222">
        <v>39.2</v>
      </c>
      <c r="E106" s="222" t="s">
        <v>166</v>
      </c>
    </row>
    <row r="107">
      <c r="A107" s="272" t="str">
        <f t="shared" si="5"/>
        <v>Kingston</v>
      </c>
      <c r="B107" s="386" t="s">
        <v>3240</v>
      </c>
      <c r="C107" s="222" t="s">
        <v>3151</v>
      </c>
      <c r="D107" s="222">
        <v>44.0</v>
      </c>
      <c r="E107" s="222" t="s">
        <v>174</v>
      </c>
    </row>
    <row r="108">
      <c r="A108" s="272" t="str">
        <f t="shared" si="5"/>
        <v>Kingston</v>
      </c>
      <c r="B108" s="386" t="s">
        <v>3241</v>
      </c>
      <c r="C108" s="222" t="s">
        <v>3149</v>
      </c>
      <c r="D108" s="222">
        <v>42.2</v>
      </c>
      <c r="E108" s="222" t="s">
        <v>174</v>
      </c>
    </row>
    <row r="109">
      <c r="A109" s="272" t="str">
        <f t="shared" si="5"/>
        <v>Kingston</v>
      </c>
      <c r="B109" s="386" t="str">
        <f>HYPERLINK("https://www.hyperxgaming.com/en/memory/fury-ddr4","HyperX Fury")</f>
        <v>HyperX Fury</v>
      </c>
      <c r="C109" s="222" t="s">
        <v>3149</v>
      </c>
      <c r="D109" s="222">
        <v>34.1</v>
      </c>
      <c r="E109" s="222" t="s">
        <v>166</v>
      </c>
    </row>
    <row r="110">
      <c r="A110" s="272" t="str">
        <f t="shared" si="5"/>
        <v>Kingston</v>
      </c>
      <c r="B110" s="386" t="str">
        <f>HYPERLINK("https://www.hyperxgaming.com/en/memory/fury-ddr4-rgb","HyperX Fury RGB")</f>
        <v>HyperX Fury RGB</v>
      </c>
      <c r="C110" s="222" t="s">
        <v>3149</v>
      </c>
      <c r="D110" s="222">
        <v>41.24</v>
      </c>
      <c r="E110" s="222" t="s">
        <v>174</v>
      </c>
    </row>
    <row r="111">
      <c r="A111" s="272" t="str">
        <f t="shared" si="5"/>
        <v>Kingston</v>
      </c>
      <c r="B111" s="386" t="s">
        <v>3242</v>
      </c>
      <c r="C111" s="222" t="s">
        <v>3149</v>
      </c>
      <c r="D111" s="222">
        <v>42.2</v>
      </c>
      <c r="E111" s="222" t="s">
        <v>166</v>
      </c>
    </row>
    <row r="112">
      <c r="A112" s="272" t="str">
        <f t="shared" si="5"/>
        <v>Kingston</v>
      </c>
      <c r="B112" s="386" t="s">
        <v>3243</v>
      </c>
      <c r="C112" s="222" t="s">
        <v>3149</v>
      </c>
      <c r="D112" s="222">
        <v>42.2</v>
      </c>
      <c r="E112" s="222" t="s">
        <v>174</v>
      </c>
    </row>
    <row r="113">
      <c r="A113" s="272" t="str">
        <f t="shared" si="5"/>
        <v>Kingston</v>
      </c>
      <c r="B113" s="389" t="s">
        <v>3244</v>
      </c>
      <c r="C113" s="222" t="s">
        <v>3149</v>
      </c>
      <c r="D113" s="222">
        <v>34.57</v>
      </c>
      <c r="E113" s="222" t="s">
        <v>166</v>
      </c>
    </row>
    <row r="114">
      <c r="A114" s="272" t="str">
        <f t="shared" si="5"/>
        <v>Kingston</v>
      </c>
      <c r="B114" s="385" t="s">
        <v>3245</v>
      </c>
      <c r="C114" s="222" t="s">
        <v>3149</v>
      </c>
      <c r="D114" s="222">
        <v>18.75</v>
      </c>
      <c r="E114" s="222" t="s">
        <v>166</v>
      </c>
    </row>
    <row r="115">
      <c r="A115" s="272" t="str">
        <f t="shared" si="5"/>
        <v>Kingston</v>
      </c>
      <c r="B115" s="386" t="str">
        <f>HYPERLINK("https://www.kingston.com/dataSheets/KVR24N17S8L_8.pdf","KVR24N17S8L/8")</f>
        <v>KVR24N17S8L/8</v>
      </c>
      <c r="C115" s="222" t="s">
        <v>3149</v>
      </c>
      <c r="D115" s="222">
        <v>18.75</v>
      </c>
      <c r="E115" s="222" t="s">
        <v>166</v>
      </c>
    </row>
    <row r="116">
      <c r="A116" s="272" t="str">
        <f t="shared" si="5"/>
        <v>Kingston</v>
      </c>
      <c r="B116" s="386" t="str">
        <f>HYPERLINK("https://www.kingston.com/dataSheets/KVR26N19S8L_8.pdf","KVR26N19S8L/8")</f>
        <v>KVR26N19S8L/8</v>
      </c>
      <c r="C116" s="222" t="s">
        <v>3149</v>
      </c>
      <c r="D116" s="222">
        <v>18.75</v>
      </c>
      <c r="E116" s="222" t="s">
        <v>166</v>
      </c>
    </row>
    <row r="117">
      <c r="A117" s="273" t="str">
        <f t="shared" si="5"/>
        <v>Kingston</v>
      </c>
      <c r="B117" s="387" t="str">
        <f>HYPERLINK("https://www.kingston.com/dataSheets/KVR24N17S8K2_16.pdf","ValueRAM")</f>
        <v>ValueRAM</v>
      </c>
      <c r="C117" s="233" t="s">
        <v>3149</v>
      </c>
      <c r="D117" s="233">
        <v>31.25</v>
      </c>
      <c r="E117" s="233" t="s">
        <v>166</v>
      </c>
    </row>
    <row r="118">
      <c r="A118" s="272" t="s">
        <v>3246</v>
      </c>
      <c r="B118" s="386" t="s">
        <v>3247</v>
      </c>
      <c r="C118" s="222" t="s">
        <v>3149</v>
      </c>
      <c r="D118" s="222">
        <v>33.0</v>
      </c>
      <c r="E118" s="222" t="s">
        <v>166</v>
      </c>
    </row>
    <row r="119">
      <c r="A119" s="272" t="s">
        <v>3246</v>
      </c>
      <c r="B119" s="386" t="s">
        <v>3248</v>
      </c>
      <c r="C119" s="222" t="s">
        <v>3151</v>
      </c>
      <c r="D119" s="222">
        <v>34.0</v>
      </c>
      <c r="E119" s="222" t="s">
        <v>166</v>
      </c>
    </row>
    <row r="120">
      <c r="A120" s="272" t="s">
        <v>3246</v>
      </c>
      <c r="B120" s="386" t="s">
        <v>3249</v>
      </c>
      <c r="C120" s="222" t="s">
        <v>3149</v>
      </c>
      <c r="D120" s="222">
        <v>33.0</v>
      </c>
      <c r="E120" s="222" t="s">
        <v>166</v>
      </c>
    </row>
    <row r="121">
      <c r="A121" s="272" t="s">
        <v>3246</v>
      </c>
      <c r="B121" s="386" t="s">
        <v>3250</v>
      </c>
      <c r="C121" s="222" t="s">
        <v>3149</v>
      </c>
      <c r="D121" s="222">
        <v>36.7</v>
      </c>
      <c r="E121" s="222" t="s">
        <v>166</v>
      </c>
    </row>
    <row r="122">
      <c r="A122" s="272" t="s">
        <v>3246</v>
      </c>
      <c r="B122" s="386" t="s">
        <v>3251</v>
      </c>
      <c r="C122" s="222" t="s">
        <v>3149</v>
      </c>
      <c r="D122" s="222">
        <v>56.0</v>
      </c>
      <c r="E122" s="222" t="s">
        <v>166</v>
      </c>
    </row>
    <row r="123">
      <c r="A123" s="272" t="s">
        <v>3246</v>
      </c>
      <c r="B123" s="386" t="s">
        <v>3252</v>
      </c>
      <c r="C123" s="222" t="s">
        <v>3149</v>
      </c>
      <c r="D123" s="222">
        <v>51.0</v>
      </c>
      <c r="E123" s="222" t="s">
        <v>166</v>
      </c>
    </row>
    <row r="124">
      <c r="A124" s="272" t="s">
        <v>3246</v>
      </c>
      <c r="B124" s="386" t="s">
        <v>3253</v>
      </c>
      <c r="C124" s="222" t="s">
        <v>3149</v>
      </c>
      <c r="D124" s="222">
        <v>51.0</v>
      </c>
      <c r="E124" s="222" t="s">
        <v>174</v>
      </c>
    </row>
    <row r="125">
      <c r="A125" s="272" t="s">
        <v>3246</v>
      </c>
      <c r="B125" s="386" t="s">
        <v>3254</v>
      </c>
      <c r="C125" s="222" t="s">
        <v>3151</v>
      </c>
      <c r="D125" s="222">
        <v>44.0</v>
      </c>
      <c r="E125" s="222" t="s">
        <v>174</v>
      </c>
    </row>
    <row r="126">
      <c r="A126" s="272" t="s">
        <v>3246</v>
      </c>
      <c r="B126" s="386" t="s">
        <v>3255</v>
      </c>
      <c r="C126" s="222" t="s">
        <v>3149</v>
      </c>
      <c r="D126" s="222">
        <v>51.0</v>
      </c>
      <c r="E126" s="222" t="s">
        <v>174</v>
      </c>
    </row>
    <row r="127">
      <c r="A127" s="272" t="s">
        <v>3246</v>
      </c>
      <c r="B127" s="386" t="s">
        <v>3256</v>
      </c>
      <c r="C127" s="222" t="s">
        <v>3149</v>
      </c>
      <c r="D127" s="222">
        <v>42.5</v>
      </c>
      <c r="E127" s="222" t="s">
        <v>174</v>
      </c>
    </row>
    <row r="128">
      <c r="A128" s="272" t="s">
        <v>3246</v>
      </c>
      <c r="B128" s="386" t="s">
        <v>3257</v>
      </c>
      <c r="C128" s="222" t="s">
        <v>3151</v>
      </c>
      <c r="D128" s="222">
        <v>42.5</v>
      </c>
      <c r="E128" s="222" t="s">
        <v>174</v>
      </c>
    </row>
    <row r="129">
      <c r="A129" s="273" t="s">
        <v>3246</v>
      </c>
      <c r="B129" s="387" t="s">
        <v>3258</v>
      </c>
      <c r="C129" s="233" t="s">
        <v>3149</v>
      </c>
      <c r="D129" s="233">
        <v>33.0</v>
      </c>
      <c r="E129" s="233" t="s">
        <v>166</v>
      </c>
    </row>
    <row r="130">
      <c r="A130" s="272" t="s">
        <v>3259</v>
      </c>
      <c r="B130" s="386" t="s">
        <v>3260</v>
      </c>
      <c r="C130" s="222" t="s">
        <v>3151</v>
      </c>
      <c r="D130" s="222">
        <v>43.25</v>
      </c>
      <c r="E130" s="222" t="s">
        <v>166</v>
      </c>
    </row>
    <row r="131">
      <c r="A131" s="273" t="s">
        <v>3259</v>
      </c>
      <c r="B131" s="387" t="s">
        <v>3261</v>
      </c>
      <c r="C131" s="233" t="s">
        <v>3151</v>
      </c>
      <c r="D131" s="233">
        <v>43.3</v>
      </c>
      <c r="E131" s="233" t="s">
        <v>166</v>
      </c>
    </row>
    <row r="132">
      <c r="A132" s="273" t="str">
        <f>HYPERLINK("https://www.micron.com/","Micron")</f>
        <v>Micron</v>
      </c>
      <c r="B132" s="387" t="str">
        <f>HYPERLINK("https://www.micron.com/products/dram-modules/vlp-udimm/part-catalog/mta18adf2g72az-2g6","MTA18ADF2G72AZ-2G6E1")</f>
        <v>MTA18ADF2G72AZ-2G6E1</v>
      </c>
      <c r="C132" s="233" t="s">
        <v>3149</v>
      </c>
      <c r="D132" s="233">
        <v>18.75</v>
      </c>
      <c r="E132" s="233" t="s">
        <v>166</v>
      </c>
    </row>
    <row r="133">
      <c r="A133" s="272" t="s">
        <v>3262</v>
      </c>
      <c r="B133" s="390" t="s">
        <v>3263</v>
      </c>
      <c r="C133" s="222" t="s">
        <v>3149</v>
      </c>
      <c r="D133" s="222">
        <v>39.12</v>
      </c>
      <c r="E133" s="222" t="s">
        <v>174</v>
      </c>
    </row>
    <row r="134">
      <c r="A134" s="272" t="s">
        <v>3262</v>
      </c>
      <c r="B134" s="390" t="s">
        <v>3264</v>
      </c>
      <c r="C134" s="222" t="s">
        <v>3151</v>
      </c>
      <c r="D134" s="222">
        <v>39.12</v>
      </c>
      <c r="E134" s="222" t="s">
        <v>166</v>
      </c>
    </row>
    <row r="135">
      <c r="A135" s="273" t="s">
        <v>3262</v>
      </c>
      <c r="B135" s="387" t="s">
        <v>3265</v>
      </c>
      <c r="C135" s="233" t="s">
        <v>3149</v>
      </c>
      <c r="D135" s="233">
        <v>60.0</v>
      </c>
      <c r="E135" s="233" t="s">
        <v>174</v>
      </c>
    </row>
    <row r="136">
      <c r="A136" s="272" t="s">
        <v>3266</v>
      </c>
      <c r="B136" s="386" t="s">
        <v>3267</v>
      </c>
      <c r="C136" s="222" t="s">
        <v>3149</v>
      </c>
      <c r="D136" s="222">
        <v>31.25</v>
      </c>
      <c r="E136" s="222" t="s">
        <v>166</v>
      </c>
    </row>
    <row r="137">
      <c r="A137" s="272" t="s">
        <v>3266</v>
      </c>
      <c r="B137" s="386" t="s">
        <v>3268</v>
      </c>
      <c r="C137" s="222" t="s">
        <v>3149</v>
      </c>
      <c r="D137" s="222">
        <v>37.0</v>
      </c>
      <c r="E137" s="222" t="s">
        <v>166</v>
      </c>
    </row>
    <row r="138">
      <c r="A138" s="272" t="s">
        <v>3266</v>
      </c>
      <c r="B138" s="386" t="s">
        <v>3269</v>
      </c>
      <c r="C138" s="222" t="s">
        <v>3149</v>
      </c>
      <c r="D138" s="222">
        <v>43.0</v>
      </c>
      <c r="E138" s="222" t="s">
        <v>166</v>
      </c>
    </row>
    <row r="139">
      <c r="A139" s="272" t="s">
        <v>3266</v>
      </c>
      <c r="B139" s="386" t="s">
        <v>3270</v>
      </c>
      <c r="C139" s="222" t="s">
        <v>3149</v>
      </c>
      <c r="D139" s="222">
        <v>43.0</v>
      </c>
      <c r="E139" s="222" t="s">
        <v>166</v>
      </c>
    </row>
    <row r="140">
      <c r="A140" s="272" t="s">
        <v>3266</v>
      </c>
      <c r="B140" s="386" t="s">
        <v>3271</v>
      </c>
      <c r="C140" s="222" t="s">
        <v>3149</v>
      </c>
      <c r="D140" s="222">
        <v>43.0</v>
      </c>
      <c r="E140" s="222" t="s">
        <v>166</v>
      </c>
    </row>
    <row r="141">
      <c r="A141" s="272" t="s">
        <v>3266</v>
      </c>
      <c r="B141" s="386" t="s">
        <v>3272</v>
      </c>
      <c r="C141" s="222" t="s">
        <v>3149</v>
      </c>
      <c r="D141" s="222">
        <v>46.0</v>
      </c>
      <c r="E141" s="222" t="s">
        <v>174</v>
      </c>
    </row>
    <row r="142">
      <c r="A142" s="272" t="s">
        <v>3266</v>
      </c>
      <c r="B142" s="386" t="s">
        <v>3273</v>
      </c>
      <c r="C142" s="222" t="s">
        <v>3149</v>
      </c>
      <c r="D142" s="222">
        <v>44.4</v>
      </c>
      <c r="E142" s="222" t="s">
        <v>166</v>
      </c>
    </row>
    <row r="143">
      <c r="A143" s="272" t="s">
        <v>3266</v>
      </c>
      <c r="B143" s="386" t="s">
        <v>3274</v>
      </c>
      <c r="C143" s="222" t="s">
        <v>3151</v>
      </c>
      <c r="D143" s="222">
        <v>43.0</v>
      </c>
      <c r="E143" s="222" t="s">
        <v>166</v>
      </c>
    </row>
    <row r="144">
      <c r="A144" s="273" t="s">
        <v>3266</v>
      </c>
      <c r="B144" s="387" t="s">
        <v>3275</v>
      </c>
      <c r="C144" s="233" t="s">
        <v>3151</v>
      </c>
      <c r="D144" s="233">
        <v>43.0</v>
      </c>
      <c r="E144" s="233" t="s">
        <v>174</v>
      </c>
    </row>
    <row r="145">
      <c r="A145" s="273" t="s">
        <v>3276</v>
      </c>
      <c r="B145" s="387" t="s">
        <v>3277</v>
      </c>
      <c r="C145" s="233" t="s">
        <v>3151</v>
      </c>
      <c r="D145" s="233">
        <v>35.0</v>
      </c>
      <c r="E145" s="233" t="s">
        <v>166</v>
      </c>
    </row>
    <row r="146">
      <c r="A146" s="272" t="s">
        <v>3278</v>
      </c>
      <c r="B146" s="386" t="s">
        <v>3279</v>
      </c>
      <c r="C146" s="222" t="s">
        <v>3149</v>
      </c>
      <c r="D146" s="222">
        <v>31.25</v>
      </c>
      <c r="E146" s="222" t="s">
        <v>166</v>
      </c>
    </row>
    <row r="147">
      <c r="A147" s="272" t="s">
        <v>3278</v>
      </c>
      <c r="B147" s="386" t="s">
        <v>3280</v>
      </c>
      <c r="C147" s="222" t="s">
        <v>3149</v>
      </c>
      <c r="D147" s="222">
        <v>38.2</v>
      </c>
      <c r="E147" s="222" t="s">
        <v>166</v>
      </c>
    </row>
    <row r="148">
      <c r="A148" s="272" t="s">
        <v>3278</v>
      </c>
      <c r="B148" s="386" t="s">
        <v>3281</v>
      </c>
      <c r="C148" s="222" t="s">
        <v>3149</v>
      </c>
      <c r="D148" s="222">
        <v>40.8</v>
      </c>
      <c r="E148" s="222" t="s">
        <v>174</v>
      </c>
    </row>
    <row r="149">
      <c r="A149" s="272" t="s">
        <v>3278</v>
      </c>
      <c r="B149" s="386" t="s">
        <v>3282</v>
      </c>
      <c r="C149" s="222" t="s">
        <v>3149</v>
      </c>
      <c r="D149" s="222">
        <v>38.5</v>
      </c>
      <c r="E149" s="222" t="s">
        <v>166</v>
      </c>
    </row>
    <row r="150">
      <c r="A150" s="272" t="s">
        <v>3278</v>
      </c>
      <c r="B150" s="386" t="s">
        <v>3283</v>
      </c>
      <c r="C150" s="222" t="s">
        <v>3149</v>
      </c>
      <c r="D150" s="222">
        <v>38.5</v>
      </c>
      <c r="E150" s="222" t="s">
        <v>174</v>
      </c>
    </row>
    <row r="151">
      <c r="A151" s="272" t="s">
        <v>3278</v>
      </c>
      <c r="B151" s="386" t="s">
        <v>3284</v>
      </c>
      <c r="C151" s="222" t="s">
        <v>3151</v>
      </c>
      <c r="D151" s="222">
        <v>38.5</v>
      </c>
      <c r="E151" s="222" t="s">
        <v>166</v>
      </c>
    </row>
    <row r="152">
      <c r="A152" s="273" t="s">
        <v>3278</v>
      </c>
      <c r="B152" s="387" t="s">
        <v>3285</v>
      </c>
      <c r="C152" s="233" t="s">
        <v>3151</v>
      </c>
      <c r="D152" s="233">
        <v>38.5</v>
      </c>
      <c r="E152" s="233" t="s">
        <v>174</v>
      </c>
    </row>
    <row r="153">
      <c r="A153" s="272" t="s">
        <v>2620</v>
      </c>
      <c r="B153" s="386" t="s">
        <v>3286</v>
      </c>
      <c r="C153" s="222" t="s">
        <v>3151</v>
      </c>
      <c r="D153" s="222">
        <v>31.25</v>
      </c>
      <c r="E153" s="222" t="s">
        <v>166</v>
      </c>
    </row>
    <row r="154">
      <c r="A154" s="272" t="s">
        <v>2620</v>
      </c>
      <c r="B154" s="386" t="s">
        <v>3287</v>
      </c>
      <c r="C154" s="222" t="s">
        <v>3151</v>
      </c>
      <c r="D154" s="222">
        <v>31.25</v>
      </c>
      <c r="E154" s="222" t="s">
        <v>166</v>
      </c>
    </row>
    <row r="155">
      <c r="A155" s="272" t="s">
        <v>2620</v>
      </c>
      <c r="B155" s="386" t="str">
        <f>HYPERLINK("https://www.teamgroupinc.com/en/product/dark-ddr4","T-Force Dark")</f>
        <v>T-Force Dark</v>
      </c>
      <c r="C155" s="222" t="s">
        <v>3149</v>
      </c>
      <c r="D155" s="222">
        <v>39.0</v>
      </c>
      <c r="E155" s="222" t="s">
        <v>166</v>
      </c>
    </row>
    <row r="156">
      <c r="A156" s="272" t="s">
        <v>2620</v>
      </c>
      <c r="B156" s="386" t="str">
        <f>HYPERLINK("https://www.teamgroupinc.com/en/product/dark-pro-ddr4","T-Force Dark Pro")</f>
        <v>T-Force Dark Pro</v>
      </c>
      <c r="C156" s="222" t="s">
        <v>3149</v>
      </c>
      <c r="D156" s="222">
        <v>45.0</v>
      </c>
      <c r="E156" s="222" t="s">
        <v>166</v>
      </c>
    </row>
    <row r="157">
      <c r="A157" s="272" t="s">
        <v>2620</v>
      </c>
      <c r="B157" s="386" t="s">
        <v>3288</v>
      </c>
      <c r="C157" s="222" t="s">
        <v>3149</v>
      </c>
      <c r="D157" s="222">
        <v>43.5</v>
      </c>
      <c r="E157" s="222" t="s">
        <v>166</v>
      </c>
    </row>
    <row r="158">
      <c r="A158" s="272" t="s">
        <v>2620</v>
      </c>
      <c r="B158" s="386" t="s">
        <v>3289</v>
      </c>
      <c r="C158" s="222" t="s">
        <v>3149</v>
      </c>
      <c r="D158" s="222">
        <v>43.5</v>
      </c>
      <c r="E158" s="222" t="s">
        <v>166</v>
      </c>
    </row>
    <row r="159">
      <c r="A159" s="272" t="s">
        <v>2620</v>
      </c>
      <c r="B159" s="386" t="str">
        <f>HYPERLINK("https://www.teamgroupinc.com/en/product/delta-rgb-ddr4","T-Force Delta RGB")</f>
        <v>T-Force Delta RGB</v>
      </c>
      <c r="C159" s="222" t="s">
        <v>3149</v>
      </c>
      <c r="D159" s="222">
        <v>49.0</v>
      </c>
      <c r="E159" s="222" t="s">
        <v>174</v>
      </c>
    </row>
    <row r="160">
      <c r="A160" s="272" t="s">
        <v>2620</v>
      </c>
      <c r="B160" s="386" t="s">
        <v>3290</v>
      </c>
      <c r="C160" s="222" t="s">
        <v>3151</v>
      </c>
      <c r="D160" s="222">
        <v>45.5</v>
      </c>
      <c r="E160" s="222" t="s">
        <v>174</v>
      </c>
    </row>
    <row r="161">
      <c r="A161" s="272" t="s">
        <v>2620</v>
      </c>
      <c r="B161" s="386" t="str">
        <f>HYPERLINK("https://www.teamgroupinc.com/en/product/night-hawk-rgb-night-hawk-ddr4","T-Force Night Hawk (RGB)")</f>
        <v>T-Force Night Hawk (RGB)</v>
      </c>
      <c r="C161" s="222" t="s">
        <v>3149</v>
      </c>
      <c r="D161" s="222">
        <v>53.0</v>
      </c>
      <c r="E161" s="222" t="s">
        <v>174</v>
      </c>
    </row>
    <row r="162">
      <c r="A162" s="272" t="s">
        <v>2620</v>
      </c>
      <c r="B162" s="386" t="str">
        <f>HYPERLINK("https://www.teamgroupinc.com/en/product/t1-ddr4","T-Force T1")</f>
        <v>T-Force T1</v>
      </c>
      <c r="C162" s="222" t="s">
        <v>3149</v>
      </c>
      <c r="D162" s="222">
        <v>31.25</v>
      </c>
      <c r="E162" s="222" t="s">
        <v>166</v>
      </c>
    </row>
    <row r="163">
      <c r="A163" s="272" t="s">
        <v>2620</v>
      </c>
      <c r="B163" s="386" t="str">
        <f>HYPERLINK("https://www.teamgroupinc.com/en/product/xcalibur-rgb-ddr4","T-Force Xcalibur RGB")</f>
        <v>T-Force Xcalibur RGB</v>
      </c>
      <c r="C163" s="222" t="s">
        <v>3149</v>
      </c>
      <c r="D163" s="222">
        <v>48.0</v>
      </c>
      <c r="E163" s="222" t="s">
        <v>174</v>
      </c>
    </row>
    <row r="164">
      <c r="A164" s="272" t="s">
        <v>2620</v>
      </c>
      <c r="B164" s="386" t="str">
        <f>HYPERLINK("https://www.teamgroupinc.com/en/product/xtreem-ddr4","T-Force Xtreem")</f>
        <v>T-Force Xtreem</v>
      </c>
      <c r="C164" s="222" t="s">
        <v>3149</v>
      </c>
      <c r="D164" s="222">
        <v>48.0</v>
      </c>
      <c r="E164" s="222" t="s">
        <v>166</v>
      </c>
    </row>
    <row r="165">
      <c r="A165" s="272" t="s">
        <v>2620</v>
      </c>
      <c r="B165" s="386" t="str">
        <f>HYPERLINK("https://www.teamgroupinc.com/en/product/xtreem-argb-ddr4","T-Force Xtreem ARGB")</f>
        <v>T-Force Xtreem ARGB</v>
      </c>
      <c r="C165" s="222" t="s">
        <v>3149</v>
      </c>
      <c r="D165" s="222">
        <v>48.7</v>
      </c>
      <c r="E165" s="222" t="s">
        <v>174</v>
      </c>
    </row>
    <row r="166">
      <c r="A166" s="272" t="s">
        <v>2620</v>
      </c>
      <c r="B166" s="386" t="s">
        <v>3291</v>
      </c>
      <c r="C166" s="222" t="s">
        <v>3149</v>
      </c>
      <c r="D166" s="222">
        <v>32.0</v>
      </c>
      <c r="E166" s="222" t="s">
        <v>166</v>
      </c>
    </row>
    <row r="167">
      <c r="A167" s="272" t="s">
        <v>2620</v>
      </c>
      <c r="B167" s="386" t="s">
        <v>3292</v>
      </c>
      <c r="C167" s="222" t="s">
        <v>3151</v>
      </c>
      <c r="D167" s="222">
        <v>32.7</v>
      </c>
      <c r="E167" s="222" t="s">
        <v>166</v>
      </c>
    </row>
    <row r="168">
      <c r="A168" s="272" t="s">
        <v>2620</v>
      </c>
      <c r="B168" s="386" t="s">
        <v>3293</v>
      </c>
      <c r="C168" s="222" t="s">
        <v>3151</v>
      </c>
      <c r="D168" s="222">
        <v>32.7</v>
      </c>
      <c r="E168" s="222" t="s">
        <v>166</v>
      </c>
    </row>
    <row r="169">
      <c r="A169" s="273" t="s">
        <v>2620</v>
      </c>
      <c r="B169" s="387" t="s">
        <v>3294</v>
      </c>
      <c r="C169" s="233" t="s">
        <v>3149</v>
      </c>
      <c r="D169" s="233">
        <v>32.0</v>
      </c>
      <c r="E169" s="233" t="s">
        <v>166</v>
      </c>
    </row>
    <row r="170">
      <c r="A170" s="273" t="s">
        <v>1603</v>
      </c>
      <c r="B170" s="387" t="s">
        <v>3295</v>
      </c>
      <c r="C170" s="233" t="s">
        <v>3151</v>
      </c>
      <c r="D170" s="233">
        <v>42.0</v>
      </c>
      <c r="E170" s="233" t="s">
        <v>166</v>
      </c>
    </row>
    <row r="171">
      <c r="A171" s="272" t="s">
        <v>3296</v>
      </c>
      <c r="B171" s="386" t="s">
        <v>3297</v>
      </c>
      <c r="C171" s="222" t="s">
        <v>3149</v>
      </c>
      <c r="D171" s="222">
        <v>50.0</v>
      </c>
      <c r="E171" s="222" t="s">
        <v>174</v>
      </c>
    </row>
    <row r="172">
      <c r="A172" s="272" t="s">
        <v>3296</v>
      </c>
      <c r="B172" s="386" t="s">
        <v>3298</v>
      </c>
      <c r="C172" s="222" t="s">
        <v>3149</v>
      </c>
      <c r="D172" s="222">
        <v>50.0</v>
      </c>
      <c r="E172" s="222" t="s">
        <v>174</v>
      </c>
    </row>
  </sheetData>
  <autoFilter ref="$A$1:$E$172"/>
  <customSheetViews>
    <customSheetView guid="{61BDB1AB-F441-45F3-A2AB-6B9F7516CC80}" filter="1" showAutoFilter="1">
      <autoFilter ref="$A$1:$D$172">
        <filterColumn colId="2">
          <filters>
            <filter val="DDR5"/>
          </filters>
        </filterColumn>
      </autoFilter>
    </customSheetView>
    <customSheetView guid="{388E4F6B-13BB-4CAC-A100-8C53308A6812}" filter="1" showAutoFilter="1">
      <autoFilter ref="$A$1:$D$172">
        <filterColumn colId="2">
          <filters>
            <filter val="DDR4"/>
          </filters>
        </filterColumn>
      </autoFilter>
    </customSheetView>
    <customSheetView guid="{1A58689C-228E-4D42-8ACD-74DA3BB52BB8}" filter="1" showAutoFilter="1">
      <autoFilter ref="$A$1:$E$172">
        <filterColumn colId="4">
          <filters>
            <filter val="Y"/>
          </filters>
        </filterColumn>
      </autoFilter>
    </customSheetView>
    <customSheetView guid="{BE624AF7-B6FC-498F-B1B2-53D72CA0F455}" filter="1" showAutoFilter="1">
      <autoFilter ref="$A$1:$D$172">
        <sortState ref="A1:D172">
          <sortCondition ref="D1:D172"/>
        </sortState>
      </autoFilter>
    </customSheetView>
  </customSheetViews>
  <conditionalFormatting sqref="D2:D172">
    <cfRule type="colorScale" priority="1">
      <colorScale>
        <cfvo type="formula" val="31.25"/>
        <cfvo type="percentile" val="50"/>
        <cfvo type="max"/>
        <color rgb="FF57BB8A"/>
        <color rgb="FFFFD666"/>
        <color rgb="FFE67C73"/>
      </colorScale>
    </cfRule>
  </conditionalFormatting>
  <conditionalFormatting sqref="E2:E172">
    <cfRule type="cellIs" dxfId="3" priority="2" operator="equal">
      <formula>"Y"</formula>
    </cfRule>
  </conditionalFormatting>
  <hyperlinks>
    <hyperlink r:id="rId2" ref="A2"/>
    <hyperlink r:id="rId3" ref="A3"/>
    <hyperlink r:id="rId4" ref="B3"/>
    <hyperlink r:id="rId5" ref="A4"/>
    <hyperlink r:id="rId6" ref="B4"/>
    <hyperlink r:id="rId7" ref="A5"/>
    <hyperlink r:id="rId8" ref="A6"/>
    <hyperlink r:id="rId9" ref="B6"/>
    <hyperlink r:id="rId10" ref="A7"/>
    <hyperlink r:id="rId11" ref="A8"/>
    <hyperlink r:id="rId12" ref="B8"/>
    <hyperlink r:id="rId13" ref="A9"/>
    <hyperlink r:id="rId14" ref="B9"/>
    <hyperlink r:id="rId15" ref="A10"/>
    <hyperlink r:id="rId16" ref="B10"/>
    <hyperlink r:id="rId17" ref="A11"/>
    <hyperlink r:id="rId18" ref="B11"/>
    <hyperlink r:id="rId19" ref="A12"/>
    <hyperlink r:id="rId20" ref="B12"/>
    <hyperlink r:id="rId21" ref="A13"/>
    <hyperlink r:id="rId22" ref="B13"/>
    <hyperlink r:id="rId23" ref="A14"/>
    <hyperlink r:id="rId24" ref="B14"/>
    <hyperlink r:id="rId25" ref="A15"/>
    <hyperlink r:id="rId26" ref="A16"/>
    <hyperlink r:id="rId27" ref="B16"/>
    <hyperlink r:id="rId28" ref="A17"/>
    <hyperlink r:id="rId29" ref="B17"/>
    <hyperlink r:id="rId30" ref="A18"/>
    <hyperlink r:id="rId31" ref="B18"/>
    <hyperlink r:id="rId32" ref="A19"/>
    <hyperlink r:id="rId33" ref="B19"/>
    <hyperlink r:id="rId34" ref="A20"/>
    <hyperlink r:id="rId35" ref="A21"/>
    <hyperlink r:id="rId36" ref="A22"/>
    <hyperlink r:id="rId37" ref="A23"/>
    <hyperlink r:id="rId38" ref="B23"/>
    <hyperlink r:id="rId39" ref="A24"/>
    <hyperlink r:id="rId40" ref="B24"/>
    <hyperlink r:id="rId41" ref="A25"/>
    <hyperlink r:id="rId42" ref="B25"/>
    <hyperlink r:id="rId43" ref="A26"/>
    <hyperlink r:id="rId44" ref="B26"/>
    <hyperlink r:id="rId45" ref="A27"/>
    <hyperlink r:id="rId46" ref="B27"/>
    <hyperlink r:id="rId47" ref="A28"/>
    <hyperlink r:id="rId48" ref="B28"/>
    <hyperlink r:id="rId49" ref="A29"/>
    <hyperlink r:id="rId50" ref="B29"/>
    <hyperlink r:id="rId51" ref="B30"/>
    <hyperlink r:id="rId52" ref="B31"/>
    <hyperlink r:id="rId53" ref="B32"/>
    <hyperlink r:id="rId54" ref="B33"/>
    <hyperlink r:id="rId55" ref="B35"/>
    <hyperlink r:id="rId56" ref="B36"/>
    <hyperlink r:id="rId57" ref="B40"/>
    <hyperlink r:id="rId58" ref="B41"/>
    <hyperlink r:id="rId59" ref="B43"/>
    <hyperlink r:id="rId60" ref="B44"/>
    <hyperlink r:id="rId61" ref="B45"/>
    <hyperlink r:id="rId62" ref="B46"/>
    <hyperlink r:id="rId63" ref="B47"/>
    <hyperlink r:id="rId64" ref="B48"/>
    <hyperlink r:id="rId65" ref="B49"/>
    <hyperlink r:id="rId66" ref="B57"/>
    <hyperlink r:id="rId67" ref="B58"/>
    <hyperlink r:id="rId68" ref="B60"/>
    <hyperlink r:id="rId69" ref="B63"/>
    <hyperlink r:id="rId70" ref="B66"/>
    <hyperlink r:id="rId71" ref="B69"/>
    <hyperlink r:id="rId72" ref="B70"/>
    <hyperlink r:id="rId73" ref="B71"/>
    <hyperlink r:id="rId74" ref="B73"/>
    <hyperlink r:id="rId75" ref="B74"/>
    <hyperlink r:id="rId76" ref="B75"/>
    <hyperlink r:id="rId77" ref="B76"/>
    <hyperlink r:id="rId78" ref="B77"/>
    <hyperlink r:id="rId79" ref="B78"/>
    <hyperlink r:id="rId80" ref="B79"/>
    <hyperlink r:id="rId81" ref="A81"/>
    <hyperlink r:id="rId82" ref="B81"/>
    <hyperlink r:id="rId83" ref="A82"/>
    <hyperlink r:id="rId84" ref="B82"/>
    <hyperlink r:id="rId85" ref="A83"/>
    <hyperlink r:id="rId86" ref="B83"/>
    <hyperlink r:id="rId87" ref="A84"/>
    <hyperlink r:id="rId88" ref="B84"/>
    <hyperlink r:id="rId89" ref="A85"/>
    <hyperlink r:id="rId90" ref="B85"/>
    <hyperlink r:id="rId91" ref="A86"/>
    <hyperlink r:id="rId92" ref="B86"/>
    <hyperlink r:id="rId93" ref="A87"/>
    <hyperlink r:id="rId94" ref="B87"/>
    <hyperlink r:id="rId95" ref="A88"/>
    <hyperlink r:id="rId96" ref="B88"/>
    <hyperlink r:id="rId97" ref="A89"/>
    <hyperlink r:id="rId98" ref="B89"/>
    <hyperlink r:id="rId99" ref="A90"/>
    <hyperlink r:id="rId100" ref="B90"/>
    <hyperlink r:id="rId101" ref="A91"/>
    <hyperlink r:id="rId102" ref="B91"/>
    <hyperlink r:id="rId103" ref="A92"/>
    <hyperlink r:id="rId104" ref="B92"/>
    <hyperlink r:id="rId105" location="kf" ref="B93"/>
    <hyperlink r:id="rId106" location="kf" ref="B94"/>
    <hyperlink r:id="rId107" location="kf" ref="B95"/>
    <hyperlink r:id="rId108" location="kf" ref="B96"/>
    <hyperlink r:id="rId109" location="kf" ref="B97"/>
    <hyperlink r:id="rId110" location="kf" ref="B98"/>
    <hyperlink r:id="rId111" location="kf" ref="B99"/>
    <hyperlink r:id="rId112" ref="B100"/>
    <hyperlink r:id="rId113" ref="B101"/>
    <hyperlink r:id="rId114" ref="B102"/>
    <hyperlink r:id="rId115" ref="B103"/>
    <hyperlink r:id="rId116" ref="B104"/>
    <hyperlink r:id="rId117" ref="B105"/>
    <hyperlink r:id="rId118" ref="B106"/>
    <hyperlink r:id="rId119" ref="B107"/>
    <hyperlink r:id="rId120" ref="B108"/>
    <hyperlink r:id="rId121" ref="B111"/>
    <hyperlink r:id="rId122" ref="B112"/>
    <hyperlink r:id="rId123" ref="A118"/>
    <hyperlink r:id="rId124" ref="B118"/>
    <hyperlink r:id="rId125" ref="A119"/>
    <hyperlink r:id="rId126" ref="B119"/>
    <hyperlink r:id="rId127" ref="A120"/>
    <hyperlink r:id="rId128" ref="B120"/>
    <hyperlink r:id="rId129" ref="A121"/>
    <hyperlink r:id="rId130" ref="B121"/>
    <hyperlink r:id="rId131" ref="A122"/>
    <hyperlink r:id="rId132" ref="B122"/>
    <hyperlink r:id="rId133" ref="A123"/>
    <hyperlink r:id="rId134" ref="B123"/>
    <hyperlink r:id="rId135" ref="A124"/>
    <hyperlink r:id="rId136" ref="B124"/>
    <hyperlink r:id="rId137" ref="A125"/>
    <hyperlink r:id="rId138" ref="B125"/>
    <hyperlink r:id="rId139" ref="A126"/>
    <hyperlink r:id="rId140" ref="B126"/>
    <hyperlink r:id="rId141" ref="A127"/>
    <hyperlink r:id="rId142" ref="B127"/>
    <hyperlink r:id="rId143" ref="A128"/>
    <hyperlink r:id="rId144" ref="B128"/>
    <hyperlink r:id="rId145" ref="A129"/>
    <hyperlink r:id="rId146" ref="B129"/>
    <hyperlink r:id="rId147" ref="A130"/>
    <hyperlink r:id="rId148" ref="B130"/>
    <hyperlink r:id="rId149" ref="A131"/>
    <hyperlink r:id="rId150" ref="B131"/>
    <hyperlink r:id="rId151" ref="A133"/>
    <hyperlink r:id="rId152" ref="B133"/>
    <hyperlink r:id="rId153" ref="A134"/>
    <hyperlink r:id="rId154" ref="B134"/>
    <hyperlink r:id="rId155" ref="A135"/>
    <hyperlink r:id="rId156" ref="B135"/>
    <hyperlink r:id="rId157" ref="A136"/>
    <hyperlink r:id="rId158" ref="B136"/>
    <hyperlink r:id="rId159" ref="A137"/>
    <hyperlink r:id="rId160" ref="B137"/>
    <hyperlink r:id="rId161" ref="A138"/>
    <hyperlink r:id="rId162" ref="B138"/>
    <hyperlink r:id="rId163" ref="A139"/>
    <hyperlink r:id="rId164" ref="B139"/>
    <hyperlink r:id="rId165" ref="A140"/>
    <hyperlink r:id="rId166" ref="B140"/>
    <hyperlink r:id="rId167" ref="A141"/>
    <hyperlink r:id="rId168" ref="B141"/>
    <hyperlink r:id="rId169" ref="A142"/>
    <hyperlink r:id="rId170" ref="B142"/>
    <hyperlink r:id="rId171" ref="A143"/>
    <hyperlink r:id="rId172" ref="B143"/>
    <hyperlink r:id="rId173" ref="A144"/>
    <hyperlink r:id="rId174" ref="B144"/>
    <hyperlink r:id="rId175" ref="A145"/>
    <hyperlink r:id="rId176" ref="B145"/>
    <hyperlink r:id="rId177" ref="A146"/>
    <hyperlink r:id="rId178" ref="B146"/>
    <hyperlink r:id="rId179" ref="A147"/>
    <hyperlink r:id="rId180" ref="B147"/>
    <hyperlink r:id="rId181" ref="A148"/>
    <hyperlink r:id="rId182" ref="B148"/>
    <hyperlink r:id="rId183" ref="A149"/>
    <hyperlink r:id="rId184" ref="B149"/>
    <hyperlink r:id="rId185" ref="A150"/>
    <hyperlink r:id="rId186" ref="B150"/>
    <hyperlink r:id="rId187" ref="A151"/>
    <hyperlink r:id="rId188" ref="B151"/>
    <hyperlink r:id="rId189" ref="A152"/>
    <hyperlink r:id="rId190" ref="B152"/>
    <hyperlink r:id="rId191" ref="A153"/>
    <hyperlink r:id="rId192" ref="B153"/>
    <hyperlink r:id="rId193" ref="A154"/>
    <hyperlink r:id="rId194" ref="B154"/>
    <hyperlink r:id="rId195" ref="A155"/>
    <hyperlink r:id="rId196" ref="A156"/>
    <hyperlink r:id="rId197" ref="A157"/>
    <hyperlink r:id="rId198" ref="B157"/>
    <hyperlink r:id="rId199" ref="A158"/>
    <hyperlink r:id="rId200" ref="B158"/>
    <hyperlink r:id="rId201" ref="A159"/>
    <hyperlink r:id="rId202" ref="A160"/>
    <hyperlink r:id="rId203" ref="B160"/>
    <hyperlink r:id="rId204" ref="A161"/>
    <hyperlink r:id="rId205" ref="A162"/>
    <hyperlink r:id="rId206" ref="A163"/>
    <hyperlink r:id="rId207" ref="A164"/>
    <hyperlink r:id="rId208" ref="A165"/>
    <hyperlink r:id="rId209" ref="A166"/>
    <hyperlink r:id="rId210" ref="B166"/>
    <hyperlink r:id="rId211" ref="A167"/>
    <hyperlink r:id="rId212" ref="B167"/>
    <hyperlink r:id="rId213" ref="A168"/>
    <hyperlink r:id="rId214" ref="B168"/>
    <hyperlink r:id="rId215" ref="A169"/>
    <hyperlink r:id="rId216" ref="B169"/>
    <hyperlink r:id="rId217" ref="A170"/>
    <hyperlink r:id="rId218" ref="B170"/>
    <hyperlink r:id="rId219" ref="A171"/>
    <hyperlink r:id="rId220" ref="B171"/>
    <hyperlink r:id="rId221" ref="A172"/>
    <hyperlink r:id="rId222" ref="B172"/>
  </hyperlinks>
  <drawing r:id="rId223"/>
  <legacyDrawing r:id="rId22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1" max="1" width="10.38"/>
    <col customWidth="1" min="2" max="2" width="22.38"/>
    <col customWidth="1" min="3" max="3" width="11.88"/>
    <col customWidth="1" min="4" max="4" width="8.63"/>
    <col customWidth="1" min="5" max="5" width="11.0"/>
    <col customWidth="1" min="6" max="6" width="18.88"/>
  </cols>
  <sheetData>
    <row r="1">
      <c r="A1" s="335" t="s">
        <v>1579</v>
      </c>
      <c r="B1" s="335" t="s">
        <v>1976</v>
      </c>
      <c r="C1" s="335" t="s">
        <v>3299</v>
      </c>
      <c r="D1" s="335" t="s">
        <v>1582</v>
      </c>
      <c r="E1" s="335" t="s">
        <v>3300</v>
      </c>
      <c r="F1" s="335" t="s">
        <v>3301</v>
      </c>
    </row>
    <row r="2">
      <c r="A2" s="395" t="s">
        <v>3302</v>
      </c>
      <c r="B2" s="395" t="s">
        <v>3303</v>
      </c>
      <c r="C2" s="396" t="s">
        <v>3304</v>
      </c>
      <c r="D2" s="397" t="s">
        <v>3305</v>
      </c>
      <c r="E2" s="396" t="s">
        <v>2981</v>
      </c>
      <c r="F2" s="396" t="s">
        <v>3306</v>
      </c>
    </row>
    <row r="3">
      <c r="A3" s="395" t="s">
        <v>3302</v>
      </c>
      <c r="B3" s="395" t="s">
        <v>3307</v>
      </c>
      <c r="C3" s="396" t="s">
        <v>3308</v>
      </c>
      <c r="D3" s="397" t="s">
        <v>3305</v>
      </c>
      <c r="E3" s="396" t="s">
        <v>2981</v>
      </c>
      <c r="F3" s="396" t="s">
        <v>3306</v>
      </c>
    </row>
    <row r="4">
      <c r="A4" s="395" t="s">
        <v>3309</v>
      </c>
      <c r="B4" s="395" t="s">
        <v>3310</v>
      </c>
      <c r="C4" s="396" t="s">
        <v>3308</v>
      </c>
      <c r="D4" s="397" t="s">
        <v>3311</v>
      </c>
      <c r="E4" s="396" t="s">
        <v>2981</v>
      </c>
      <c r="F4" s="396" t="s">
        <v>3312</v>
      </c>
    </row>
    <row r="5">
      <c r="A5" s="395" t="s">
        <v>3309</v>
      </c>
      <c r="B5" s="395" t="s">
        <v>3313</v>
      </c>
      <c r="C5" s="396" t="s">
        <v>3308</v>
      </c>
      <c r="D5" s="397" t="s">
        <v>3314</v>
      </c>
      <c r="E5" s="396" t="s">
        <v>2981</v>
      </c>
      <c r="F5" s="396" t="s">
        <v>3306</v>
      </c>
    </row>
    <row r="6">
      <c r="A6" s="395" t="s">
        <v>3309</v>
      </c>
      <c r="B6" s="395" t="s">
        <v>3315</v>
      </c>
      <c r="C6" s="396" t="s">
        <v>3308</v>
      </c>
      <c r="D6" s="397" t="s">
        <v>3314</v>
      </c>
      <c r="E6" s="396" t="s">
        <v>2981</v>
      </c>
      <c r="F6" s="396" t="s">
        <v>3312</v>
      </c>
    </row>
    <row r="7">
      <c r="A7" s="395" t="s">
        <v>3309</v>
      </c>
      <c r="B7" s="395" t="s">
        <v>3316</v>
      </c>
      <c r="C7" s="396" t="s">
        <v>3308</v>
      </c>
      <c r="D7" s="397" t="s">
        <v>3311</v>
      </c>
      <c r="E7" s="396" t="s">
        <v>3317</v>
      </c>
      <c r="F7" s="396" t="s">
        <v>3312</v>
      </c>
    </row>
    <row r="8">
      <c r="A8" s="395" t="s">
        <v>3309</v>
      </c>
      <c r="B8" s="395" t="s">
        <v>3318</v>
      </c>
      <c r="C8" s="396" t="s">
        <v>3308</v>
      </c>
      <c r="D8" s="397" t="s">
        <v>3311</v>
      </c>
      <c r="E8" s="396" t="s">
        <v>2981</v>
      </c>
      <c r="F8" s="396" t="s">
        <v>3312</v>
      </c>
    </row>
    <row r="9">
      <c r="A9" s="395" t="s">
        <v>3309</v>
      </c>
      <c r="B9" s="395" t="s">
        <v>3319</v>
      </c>
      <c r="C9" s="396" t="s">
        <v>3304</v>
      </c>
      <c r="D9" s="397" t="s">
        <v>3320</v>
      </c>
      <c r="E9" s="396" t="s">
        <v>3317</v>
      </c>
      <c r="F9" s="396" t="s">
        <v>3312</v>
      </c>
    </row>
    <row r="10">
      <c r="A10" s="395" t="s">
        <v>3309</v>
      </c>
      <c r="B10" s="395" t="s">
        <v>3321</v>
      </c>
      <c r="C10" s="396" t="s">
        <v>3304</v>
      </c>
      <c r="D10" s="397" t="s">
        <v>3311</v>
      </c>
      <c r="E10" s="396" t="s">
        <v>3317</v>
      </c>
      <c r="F10" s="396" t="s">
        <v>3312</v>
      </c>
    </row>
    <row r="11">
      <c r="A11" s="395" t="s">
        <v>3309</v>
      </c>
      <c r="B11" s="395" t="s">
        <v>3322</v>
      </c>
      <c r="C11" s="396" t="s">
        <v>3304</v>
      </c>
      <c r="D11" s="397" t="s">
        <v>3311</v>
      </c>
      <c r="E11" s="396" t="s">
        <v>2981</v>
      </c>
      <c r="F11" s="396" t="s">
        <v>3312</v>
      </c>
    </row>
    <row r="12">
      <c r="A12" s="395" t="s">
        <v>1554</v>
      </c>
      <c r="B12" s="395" t="s">
        <v>3323</v>
      </c>
      <c r="C12" s="396" t="s">
        <v>3304</v>
      </c>
      <c r="D12" s="397">
        <v>240.0</v>
      </c>
      <c r="E12" s="396" t="s">
        <v>3317</v>
      </c>
      <c r="F12" s="396" t="s">
        <v>3324</v>
      </c>
    </row>
    <row r="13">
      <c r="A13" s="395" t="s">
        <v>3325</v>
      </c>
      <c r="B13" s="395" t="s">
        <v>3326</v>
      </c>
      <c r="C13" s="396" t="s">
        <v>3308</v>
      </c>
      <c r="D13" s="397" t="s">
        <v>3327</v>
      </c>
      <c r="E13" s="396" t="s">
        <v>2981</v>
      </c>
      <c r="F13" s="396" t="s">
        <v>3312</v>
      </c>
    </row>
    <row r="14">
      <c r="A14" s="395" t="s">
        <v>3328</v>
      </c>
      <c r="B14" s="395" t="s">
        <v>3329</v>
      </c>
      <c r="C14" s="396" t="s">
        <v>3304</v>
      </c>
      <c r="D14" s="397" t="s">
        <v>3330</v>
      </c>
      <c r="E14" s="396" t="s">
        <v>3317</v>
      </c>
      <c r="F14" s="396" t="s">
        <v>3306</v>
      </c>
    </row>
    <row r="15">
      <c r="A15" s="395" t="s">
        <v>3331</v>
      </c>
      <c r="B15" s="395" t="s">
        <v>3332</v>
      </c>
      <c r="C15" s="396" t="s">
        <v>3308</v>
      </c>
      <c r="D15" s="397" t="s">
        <v>3333</v>
      </c>
      <c r="E15" s="396" t="s">
        <v>3334</v>
      </c>
      <c r="F15" s="396" t="s">
        <v>3312</v>
      </c>
    </row>
    <row r="16">
      <c r="A16" s="395" t="s">
        <v>3335</v>
      </c>
      <c r="B16" s="395" t="s">
        <v>3336</v>
      </c>
      <c r="C16" s="396" t="s">
        <v>3308</v>
      </c>
      <c r="D16" s="397">
        <v>260.0</v>
      </c>
      <c r="E16" s="396" t="s">
        <v>3337</v>
      </c>
      <c r="F16" s="396" t="s">
        <v>3306</v>
      </c>
    </row>
    <row r="17">
      <c r="A17" s="395" t="s">
        <v>1085</v>
      </c>
      <c r="B17" s="395" t="s">
        <v>3338</v>
      </c>
      <c r="C17" s="396" t="s">
        <v>3304</v>
      </c>
      <c r="D17" s="397" t="s">
        <v>3339</v>
      </c>
      <c r="E17" s="396" t="s">
        <v>3317</v>
      </c>
      <c r="F17" s="396" t="s">
        <v>3324</v>
      </c>
    </row>
    <row r="18">
      <c r="A18" s="395" t="s">
        <v>1085</v>
      </c>
      <c r="B18" s="395" t="s">
        <v>3340</v>
      </c>
      <c r="C18" s="396" t="s">
        <v>3304</v>
      </c>
      <c r="D18" s="397">
        <v>300.0</v>
      </c>
      <c r="E18" s="396" t="s">
        <v>3317</v>
      </c>
      <c r="F18" s="396" t="s">
        <v>3306</v>
      </c>
    </row>
    <row r="19">
      <c r="A19" s="395" t="s">
        <v>3341</v>
      </c>
      <c r="B19" s="395" t="s">
        <v>3342</v>
      </c>
      <c r="C19" s="396" t="s">
        <v>3304</v>
      </c>
      <c r="D19" s="397" t="s">
        <v>170</v>
      </c>
      <c r="E19" s="396" t="s">
        <v>2981</v>
      </c>
      <c r="F19" s="396" t="s">
        <v>3324</v>
      </c>
    </row>
    <row r="20">
      <c r="A20" s="395" t="s">
        <v>1603</v>
      </c>
      <c r="B20" s="395" t="s">
        <v>3343</v>
      </c>
      <c r="C20" s="396" t="s">
        <v>3304</v>
      </c>
      <c r="D20" s="397">
        <v>300.0</v>
      </c>
      <c r="E20" s="396" t="s">
        <v>3317</v>
      </c>
      <c r="F20" s="396" t="s">
        <v>3306</v>
      </c>
    </row>
    <row r="21">
      <c r="A21" s="395" t="s">
        <v>1603</v>
      </c>
      <c r="B21" s="395" t="s">
        <v>3344</v>
      </c>
      <c r="C21" s="396" t="s">
        <v>3304</v>
      </c>
      <c r="D21" s="397">
        <v>200.0</v>
      </c>
      <c r="E21" s="396" t="s">
        <v>3317</v>
      </c>
      <c r="F21" s="396" t="s">
        <v>3306</v>
      </c>
    </row>
  </sheetData>
  <autoFilter ref="$A$1:$F$21">
    <sortState ref="A1:F21">
      <sortCondition ref="A1:A21"/>
      <sortCondition ref="B1:B21"/>
    </sortState>
  </autoFilter>
  <hyperlinks>
    <hyperlink r:id="rId2" ref="A2"/>
    <hyperlink r:id="rId3" ref="B2"/>
    <hyperlink r:id="rId4" ref="A3"/>
    <hyperlink r:id="rId5" ref="B3"/>
    <hyperlink r:id="rId6" ref="A4"/>
    <hyperlink r:id="rId7" ref="B4"/>
    <hyperlink r:id="rId8" ref="A5"/>
    <hyperlink r:id="rId9" ref="B5"/>
    <hyperlink r:id="rId10" ref="A6"/>
    <hyperlink r:id="rId11" ref="B6"/>
    <hyperlink r:id="rId12" ref="A7"/>
    <hyperlink r:id="rId13" ref="B7"/>
    <hyperlink r:id="rId14" ref="A8"/>
    <hyperlink r:id="rId15" ref="B8"/>
    <hyperlink r:id="rId16" ref="A9"/>
    <hyperlink r:id="rId17" ref="B9"/>
    <hyperlink r:id="rId18" ref="A10"/>
    <hyperlink r:id="rId19" ref="B10"/>
    <hyperlink r:id="rId20" ref="A11"/>
    <hyperlink r:id="rId21" ref="B11"/>
    <hyperlink r:id="rId22" ref="A12"/>
    <hyperlink r:id="rId23" ref="B12"/>
    <hyperlink r:id="rId24" ref="A13"/>
    <hyperlink r:id="rId25" ref="B13"/>
    <hyperlink r:id="rId26" ref="A14"/>
    <hyperlink r:id="rId27" ref="B14"/>
    <hyperlink r:id="rId28" ref="A15"/>
    <hyperlink r:id="rId29" ref="B15"/>
    <hyperlink r:id="rId30" ref="A16"/>
    <hyperlink r:id="rId31" location="risercable" ref="B16"/>
    <hyperlink r:id="rId32" ref="A17"/>
    <hyperlink r:id="rId33" ref="B17"/>
    <hyperlink r:id="rId34" ref="A18"/>
    <hyperlink r:id="rId35" ref="B18"/>
    <hyperlink r:id="rId36" ref="A19"/>
    <hyperlink r:id="rId37" ref="B19"/>
    <hyperlink r:id="rId38" ref="A20"/>
    <hyperlink r:id="rId39" ref="B20"/>
    <hyperlink r:id="rId40" ref="A21"/>
    <hyperlink r:id="rId41" ref="B21"/>
  </hyperlinks>
  <drawing r:id="rId42"/>
  <legacyDrawing r:id="rId4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6.75"/>
    <col customWidth="1" min="2" max="2" width="24.5"/>
    <col customWidth="1" min="3" max="3" width="10.63"/>
    <col customWidth="1" min="4" max="4" width="34.5"/>
    <col customWidth="1" min="5" max="6" width="6.0"/>
    <col customWidth="1" min="7" max="19" width="5.63"/>
    <col customWidth="1" min="20" max="20" width="13.0"/>
  </cols>
  <sheetData>
    <row r="1" ht="66.75" customHeight="1">
      <c r="A1" s="398" t="s">
        <v>3345</v>
      </c>
      <c r="B1" s="398" t="s">
        <v>1976</v>
      </c>
      <c r="C1" s="398" t="s">
        <v>1579</v>
      </c>
      <c r="D1" s="398" t="s">
        <v>3346</v>
      </c>
      <c r="E1" s="399" t="s">
        <v>1582</v>
      </c>
      <c r="F1" s="399" t="s">
        <v>1583</v>
      </c>
      <c r="G1" s="400" t="s">
        <v>2755</v>
      </c>
      <c r="H1" s="399" t="s">
        <v>3347</v>
      </c>
      <c r="I1" s="399" t="s">
        <v>3348</v>
      </c>
      <c r="J1" s="399" t="s">
        <v>3349</v>
      </c>
      <c r="K1" s="399" t="s">
        <v>1588</v>
      </c>
      <c r="L1" s="399" t="s">
        <v>3350</v>
      </c>
      <c r="M1" s="399" t="s">
        <v>25</v>
      </c>
      <c r="N1" s="399" t="s">
        <v>3351</v>
      </c>
      <c r="O1" s="399" t="s">
        <v>3352</v>
      </c>
      <c r="P1" s="399" t="s">
        <v>3353</v>
      </c>
      <c r="Q1" s="399" t="s">
        <v>3354</v>
      </c>
      <c r="R1" s="399" t="s">
        <v>3355</v>
      </c>
      <c r="S1" s="399" t="s">
        <v>3356</v>
      </c>
      <c r="T1" s="398" t="s">
        <v>1602</v>
      </c>
    </row>
    <row r="2">
      <c r="A2" s="401" t="s">
        <v>1664</v>
      </c>
      <c r="B2" s="402" t="s">
        <v>3357</v>
      </c>
      <c r="C2" s="403" t="str">
        <f t="shared" ref="C2:C3" si="1">HYPERLINK("https://www.sapphiretech.com/","Sapphire")</f>
        <v>Sapphire</v>
      </c>
      <c r="D2" s="404" t="str">
        <f>HYPERLINK("https://www.sapphiretech.com/en/consumer/pulse-rx-570-itx-4g-g5","Pulse ITX")</f>
        <v>Pulse ITX</v>
      </c>
      <c r="E2" s="405">
        <v>170.0</v>
      </c>
      <c r="F2" s="405">
        <v>112.0</v>
      </c>
      <c r="G2" s="405">
        <v>36.0</v>
      </c>
      <c r="H2" s="405">
        <v>2.0</v>
      </c>
      <c r="I2" s="405">
        <v>1244.0</v>
      </c>
      <c r="J2" s="405">
        <v>7.0</v>
      </c>
      <c r="K2" s="405">
        <v>150.0</v>
      </c>
      <c r="L2" s="405">
        <v>6.0</v>
      </c>
      <c r="M2" s="405">
        <v>1.0</v>
      </c>
      <c r="N2" s="405">
        <v>1.0</v>
      </c>
      <c r="O2" s="405">
        <v>1.0</v>
      </c>
      <c r="P2" s="405" t="s">
        <v>166</v>
      </c>
      <c r="Q2" s="405">
        <v>1.0</v>
      </c>
      <c r="R2" s="405" t="s">
        <v>166</v>
      </c>
      <c r="S2" s="405" t="s">
        <v>166</v>
      </c>
      <c r="T2" s="402"/>
    </row>
    <row r="3">
      <c r="A3" s="406" t="s">
        <v>1664</v>
      </c>
      <c r="B3" s="407" t="s">
        <v>3358</v>
      </c>
      <c r="C3" s="273" t="str">
        <f t="shared" si="1"/>
        <v>Sapphire</v>
      </c>
      <c r="D3" s="313" t="str">
        <f>HYPERLINK("https://www.sapphiretech.com/en/consumer/pulse-rx-570-itx-8g-g5","Pulse ITX")</f>
        <v>Pulse ITX</v>
      </c>
      <c r="E3" s="408">
        <v>170.0</v>
      </c>
      <c r="F3" s="408">
        <v>112.0</v>
      </c>
      <c r="G3" s="408">
        <v>36.0</v>
      </c>
      <c r="H3" s="408">
        <v>2.0</v>
      </c>
      <c r="I3" s="408">
        <v>1244.0</v>
      </c>
      <c r="J3" s="408">
        <v>6.0</v>
      </c>
      <c r="K3" s="408">
        <v>150.0</v>
      </c>
      <c r="L3" s="408">
        <v>6.0</v>
      </c>
      <c r="M3" s="408">
        <v>1.0</v>
      </c>
      <c r="N3" s="408">
        <v>1.0</v>
      </c>
      <c r="O3" s="408">
        <v>1.0</v>
      </c>
      <c r="P3" s="408" t="s">
        <v>166</v>
      </c>
      <c r="Q3" s="408">
        <v>1.0</v>
      </c>
      <c r="R3" s="408" t="s">
        <v>166</v>
      </c>
      <c r="S3" s="408" t="s">
        <v>166</v>
      </c>
      <c r="T3" s="407"/>
    </row>
    <row r="4">
      <c r="A4" s="406" t="s">
        <v>1664</v>
      </c>
      <c r="B4" s="407" t="s">
        <v>3359</v>
      </c>
      <c r="C4" s="290" t="str">
        <f>HYPERLINK("https://www.msi.com/index.php","MSI")</f>
        <v>MSI</v>
      </c>
      <c r="D4" s="313" t="str">
        <f>HYPERLINK("https://www.msi.com/Graphics-card/Radeon-RX-580-8G-V1/","8G V1")</f>
        <v>8G V1</v>
      </c>
      <c r="E4" s="408">
        <v>198.0</v>
      </c>
      <c r="F4" s="408">
        <v>112.0</v>
      </c>
      <c r="G4" s="408">
        <v>40.0</v>
      </c>
      <c r="H4" s="408">
        <v>2.0</v>
      </c>
      <c r="I4" s="408">
        <v>1340.0</v>
      </c>
      <c r="J4" s="408">
        <v>8.0</v>
      </c>
      <c r="K4" s="408">
        <v>185.0</v>
      </c>
      <c r="L4" s="408">
        <v>8.0</v>
      </c>
      <c r="M4" s="408">
        <v>1.0</v>
      </c>
      <c r="N4" s="408">
        <v>3.0</v>
      </c>
      <c r="O4" s="408">
        <v>1.0</v>
      </c>
      <c r="P4" s="408" t="s">
        <v>166</v>
      </c>
      <c r="Q4" s="408" t="s">
        <v>166</v>
      </c>
      <c r="R4" s="408" t="s">
        <v>166</v>
      </c>
      <c r="S4" s="408" t="s">
        <v>166</v>
      </c>
      <c r="T4" s="407"/>
    </row>
    <row r="5">
      <c r="A5" s="406" t="s">
        <v>1664</v>
      </c>
      <c r="B5" s="407" t="s">
        <v>3360</v>
      </c>
      <c r="C5" s="273" t="str">
        <f>HYPERLINK("https://www.powercolor.com/","PowerColor")</f>
        <v>PowerColor</v>
      </c>
      <c r="D5" s="313" t="str">
        <f>HYPERLINK("https://www.powercolor.com/product?id=1527477130","Nano")</f>
        <v>Nano</v>
      </c>
      <c r="E5" s="408">
        <v>170.0</v>
      </c>
      <c r="F5" s="408">
        <v>95.0</v>
      </c>
      <c r="G5" s="408">
        <v>38.0</v>
      </c>
      <c r="H5" s="408">
        <v>2.0</v>
      </c>
      <c r="I5" s="408">
        <v>1471.0</v>
      </c>
      <c r="J5" s="408">
        <v>1.6</v>
      </c>
      <c r="K5" s="408">
        <v>210.0</v>
      </c>
      <c r="L5" s="408" t="s">
        <v>3361</v>
      </c>
      <c r="M5" s="408">
        <v>1.0</v>
      </c>
      <c r="N5" s="408">
        <v>3.0</v>
      </c>
      <c r="O5" s="408">
        <v>1.0</v>
      </c>
      <c r="P5" s="408" t="s">
        <v>166</v>
      </c>
      <c r="Q5" s="408" t="s">
        <v>166</v>
      </c>
      <c r="R5" s="408" t="s">
        <v>166</v>
      </c>
      <c r="S5" s="408" t="s">
        <v>166</v>
      </c>
      <c r="T5" s="407"/>
    </row>
    <row r="6">
      <c r="A6" s="409" t="s">
        <v>1664</v>
      </c>
      <c r="B6" s="410" t="s">
        <v>3362</v>
      </c>
      <c r="C6" s="282" t="str">
        <f t="shared" ref="C6:C7" si="2">HYPERLINK("https://www.msi.com/index.php","MSI")</f>
        <v>MSI</v>
      </c>
      <c r="D6" s="312" t="str">
        <f>HYPERLINK("https://www.msi.com/Graphics-card/Radeon-RX-5500-XT-MECH-4G","MECH")</f>
        <v>MECH</v>
      </c>
      <c r="E6" s="411">
        <v>215.0</v>
      </c>
      <c r="F6" s="411">
        <v>128.0</v>
      </c>
      <c r="G6" s="411">
        <v>40.0</v>
      </c>
      <c r="H6" s="411">
        <v>2.0</v>
      </c>
      <c r="I6" s="411">
        <v>1845.0</v>
      </c>
      <c r="J6" s="411">
        <v>14.0</v>
      </c>
      <c r="K6" s="411">
        <v>130.0</v>
      </c>
      <c r="L6" s="411">
        <v>8.0</v>
      </c>
      <c r="M6" s="411">
        <v>2.0</v>
      </c>
      <c r="N6" s="411">
        <v>3.0</v>
      </c>
      <c r="O6" s="411">
        <v>1.0</v>
      </c>
      <c r="P6" s="411" t="s">
        <v>166</v>
      </c>
      <c r="Q6" s="411" t="s">
        <v>166</v>
      </c>
      <c r="R6" s="411" t="s">
        <v>166</v>
      </c>
      <c r="S6" s="411" t="s">
        <v>166</v>
      </c>
      <c r="T6" s="410"/>
    </row>
    <row r="7">
      <c r="A7" s="412" t="s">
        <v>1664</v>
      </c>
      <c r="B7" s="413" t="s">
        <v>3362</v>
      </c>
      <c r="C7" s="174" t="str">
        <f t="shared" si="2"/>
        <v>MSI</v>
      </c>
      <c r="D7" s="414" t="s">
        <v>3363</v>
      </c>
      <c r="E7" s="415">
        <v>215.0</v>
      </c>
      <c r="F7" s="415">
        <v>128.0</v>
      </c>
      <c r="G7" s="415">
        <v>40.0</v>
      </c>
      <c r="H7" s="415">
        <v>2.0</v>
      </c>
      <c r="I7" s="415">
        <v>1845.0</v>
      </c>
      <c r="J7" s="415">
        <v>14.0</v>
      </c>
      <c r="K7" s="415">
        <v>130.0</v>
      </c>
      <c r="L7" s="415">
        <v>8.0</v>
      </c>
      <c r="M7" s="415">
        <v>2.0</v>
      </c>
      <c r="N7" s="415">
        <v>3.0</v>
      </c>
      <c r="O7" s="415">
        <v>1.0</v>
      </c>
      <c r="P7" s="415" t="s">
        <v>166</v>
      </c>
      <c r="Q7" s="415" t="s">
        <v>166</v>
      </c>
      <c r="R7" s="415" t="s">
        <v>166</v>
      </c>
      <c r="S7" s="415" t="s">
        <v>166</v>
      </c>
      <c r="T7" s="413"/>
    </row>
    <row r="8">
      <c r="A8" s="412" t="s">
        <v>1664</v>
      </c>
      <c r="B8" s="413" t="s">
        <v>3362</v>
      </c>
      <c r="C8" s="416" t="str">
        <f>HYPERLINK("https://www.powercolor.com/","PowerColor")</f>
        <v>PowerColor</v>
      </c>
      <c r="D8" s="414" t="str">
        <f>HYPERLINK("https://www.powercolor.com/product?id=1576140126","RX 5500  XT (4GBD6-DH)")</f>
        <v>RX 5500  XT (4GBD6-DH)</v>
      </c>
      <c r="E8" s="415">
        <v>180.0</v>
      </c>
      <c r="F8" s="415">
        <v>123.0</v>
      </c>
      <c r="G8" s="415">
        <v>38.0</v>
      </c>
      <c r="H8" s="415">
        <v>2.0</v>
      </c>
      <c r="I8" s="415">
        <v>1845.0</v>
      </c>
      <c r="J8" s="415">
        <v>14.0</v>
      </c>
      <c r="K8" s="415">
        <v>130.0</v>
      </c>
      <c r="L8" s="415">
        <v>8.0</v>
      </c>
      <c r="M8" s="415">
        <v>1.0</v>
      </c>
      <c r="N8" s="415">
        <v>1.0</v>
      </c>
      <c r="O8" s="415">
        <v>1.0</v>
      </c>
      <c r="P8" s="415" t="s">
        <v>166</v>
      </c>
      <c r="Q8" s="415">
        <v>1.0</v>
      </c>
      <c r="R8" s="415" t="s">
        <v>166</v>
      </c>
      <c r="S8" s="415" t="s">
        <v>166</v>
      </c>
      <c r="T8" s="413"/>
    </row>
    <row r="9">
      <c r="A9" s="401" t="s">
        <v>1664</v>
      </c>
      <c r="B9" s="402" t="s">
        <v>3362</v>
      </c>
      <c r="C9" s="403" t="str">
        <f>HYPERLINK("https://www.sapphiretech.com/","Sapphire")</f>
        <v>Sapphire</v>
      </c>
      <c r="D9" s="404" t="s">
        <v>3364</v>
      </c>
      <c r="E9" s="405">
        <v>177.2</v>
      </c>
      <c r="F9" s="405">
        <v>101.5</v>
      </c>
      <c r="G9" s="405">
        <v>38.3</v>
      </c>
      <c r="H9" s="405">
        <v>2.0</v>
      </c>
      <c r="I9" s="405">
        <v>1845.0</v>
      </c>
      <c r="J9" s="405">
        <v>14.0</v>
      </c>
      <c r="K9" s="405">
        <v>135.0</v>
      </c>
      <c r="L9" s="405">
        <v>8.0</v>
      </c>
      <c r="M9" s="405">
        <v>1.0</v>
      </c>
      <c r="N9" s="405">
        <v>3.0</v>
      </c>
      <c r="O9" s="405">
        <v>1.0</v>
      </c>
      <c r="P9" s="405" t="s">
        <v>166</v>
      </c>
      <c r="Q9" s="405" t="s">
        <v>166</v>
      </c>
      <c r="R9" s="405" t="s">
        <v>166</v>
      </c>
      <c r="S9" s="405" t="s">
        <v>166</v>
      </c>
      <c r="T9" s="402"/>
    </row>
    <row r="10">
      <c r="A10" s="409" t="s">
        <v>1664</v>
      </c>
      <c r="B10" s="410" t="s">
        <v>3365</v>
      </c>
      <c r="C10" s="272" t="str">
        <f>HYPERLINK("https://www.asrock.com/","ASRock")</f>
        <v>ASRock</v>
      </c>
      <c r="D10" s="312" t="str">
        <f>HYPERLINK("http://asrock.com/Graphics-Card/AMD/Radeon%20RX%205500%20XT%20Challenger%20ITX%208G/","Challenger ITX")</f>
        <v>Challenger ITX</v>
      </c>
      <c r="E10" s="411">
        <v>178.0</v>
      </c>
      <c r="F10" s="411">
        <v>124.0</v>
      </c>
      <c r="G10" s="411">
        <v>36.0</v>
      </c>
      <c r="H10" s="411">
        <v>2.0</v>
      </c>
      <c r="I10" s="411">
        <v>1845.0</v>
      </c>
      <c r="J10" s="411">
        <v>14.0</v>
      </c>
      <c r="K10" s="411">
        <v>130.0</v>
      </c>
      <c r="L10" s="411">
        <v>8.0</v>
      </c>
      <c r="M10" s="411">
        <v>1.0</v>
      </c>
      <c r="N10" s="411">
        <v>3.0</v>
      </c>
      <c r="O10" s="411">
        <v>1.0</v>
      </c>
      <c r="P10" s="411" t="s">
        <v>166</v>
      </c>
      <c r="Q10" s="411" t="s">
        <v>166</v>
      </c>
      <c r="R10" s="411" t="s">
        <v>166</v>
      </c>
      <c r="S10" s="411" t="s">
        <v>166</v>
      </c>
      <c r="T10" s="410"/>
    </row>
    <row r="11">
      <c r="A11" s="412" t="s">
        <v>1664</v>
      </c>
      <c r="B11" s="413" t="s">
        <v>3365</v>
      </c>
      <c r="C11" s="174" t="str">
        <f t="shared" ref="C11:C12" si="3">HYPERLINK("https://www.msi.com/index.php","MSI")</f>
        <v>MSI</v>
      </c>
      <c r="D11" s="414" t="str">
        <f>HYPERLINK("https://www.msi.com/Graphics-card/Radeon-RX-5500-XT-MECH-8G","MECH")</f>
        <v>MECH</v>
      </c>
      <c r="E11" s="415">
        <v>215.0</v>
      </c>
      <c r="F11" s="415">
        <v>128.0</v>
      </c>
      <c r="G11" s="415">
        <v>40.0</v>
      </c>
      <c r="H11" s="415">
        <v>2.0</v>
      </c>
      <c r="I11" s="415">
        <v>1845.0</v>
      </c>
      <c r="J11" s="415">
        <v>14.0</v>
      </c>
      <c r="K11" s="415">
        <v>130.0</v>
      </c>
      <c r="L11" s="415">
        <v>8.0</v>
      </c>
      <c r="M11" s="415">
        <v>2.0</v>
      </c>
      <c r="N11" s="415">
        <v>3.0</v>
      </c>
      <c r="O11" s="415">
        <v>1.0</v>
      </c>
      <c r="P11" s="415" t="s">
        <v>166</v>
      </c>
      <c r="Q11" s="415" t="s">
        <v>166</v>
      </c>
      <c r="R11" s="415" t="s">
        <v>166</v>
      </c>
      <c r="S11" s="415" t="s">
        <v>166</v>
      </c>
      <c r="T11" s="413"/>
    </row>
    <row r="12">
      <c r="A12" s="412" t="s">
        <v>1664</v>
      </c>
      <c r="B12" s="413" t="s">
        <v>3365</v>
      </c>
      <c r="C12" s="174" t="str">
        <f t="shared" si="3"/>
        <v>MSI</v>
      </c>
      <c r="D12" s="414" t="s">
        <v>3363</v>
      </c>
      <c r="E12" s="415">
        <v>215.0</v>
      </c>
      <c r="F12" s="415">
        <v>128.0</v>
      </c>
      <c r="G12" s="415">
        <v>40.0</v>
      </c>
      <c r="H12" s="415">
        <v>2.0</v>
      </c>
      <c r="I12" s="415">
        <v>1845.0</v>
      </c>
      <c r="J12" s="415">
        <v>14.0</v>
      </c>
      <c r="K12" s="415">
        <v>130.0</v>
      </c>
      <c r="L12" s="415">
        <v>8.0</v>
      </c>
      <c r="M12" s="415">
        <v>2.0</v>
      </c>
      <c r="N12" s="415">
        <v>3.0</v>
      </c>
      <c r="O12" s="415">
        <v>1.0</v>
      </c>
      <c r="P12" s="415" t="s">
        <v>166</v>
      </c>
      <c r="Q12" s="415" t="s">
        <v>166</v>
      </c>
      <c r="R12" s="415" t="s">
        <v>166</v>
      </c>
      <c r="S12" s="415" t="s">
        <v>166</v>
      </c>
      <c r="T12" s="413"/>
    </row>
    <row r="13">
      <c r="A13" s="401" t="s">
        <v>1664</v>
      </c>
      <c r="B13" s="402" t="s">
        <v>3365</v>
      </c>
      <c r="C13" s="403" t="str">
        <f>HYPERLINK("https://www.sapphiretech.com/","Sapphire")</f>
        <v>Sapphire</v>
      </c>
      <c r="D13" s="404" t="s">
        <v>3364</v>
      </c>
      <c r="E13" s="405">
        <v>177.2</v>
      </c>
      <c r="F13" s="405">
        <v>101.5</v>
      </c>
      <c r="G13" s="405">
        <v>38.3</v>
      </c>
      <c r="H13" s="405">
        <v>2.0</v>
      </c>
      <c r="I13" s="405">
        <v>1845.0</v>
      </c>
      <c r="J13" s="405">
        <v>14.0</v>
      </c>
      <c r="K13" s="405">
        <v>135.0</v>
      </c>
      <c r="L13" s="405">
        <v>8.0</v>
      </c>
      <c r="M13" s="405">
        <v>1.0</v>
      </c>
      <c r="N13" s="405">
        <v>3.0</v>
      </c>
      <c r="O13" s="405">
        <v>1.0</v>
      </c>
      <c r="P13" s="405" t="s">
        <v>166</v>
      </c>
      <c r="Q13" s="405" t="s">
        <v>166</v>
      </c>
      <c r="R13" s="405" t="s">
        <v>166</v>
      </c>
      <c r="S13" s="405" t="s">
        <v>166</v>
      </c>
      <c r="T13" s="402"/>
    </row>
    <row r="14">
      <c r="A14" s="406" t="s">
        <v>1664</v>
      </c>
      <c r="B14" s="417" t="s">
        <v>3366</v>
      </c>
      <c r="C14" s="273" t="str">
        <f t="shared" ref="C14:C15" si="4">HYPERLINK("https://www.powercolor.com/","PowerColor")</f>
        <v>PowerColor</v>
      </c>
      <c r="D14" s="313" t="s">
        <v>3367</v>
      </c>
      <c r="E14" s="408">
        <v>175.0</v>
      </c>
      <c r="F14" s="408">
        <v>110.0</v>
      </c>
      <c r="G14" s="408">
        <v>40.0</v>
      </c>
      <c r="H14" s="408">
        <v>2.0</v>
      </c>
      <c r="I14" s="408">
        <v>1620.0</v>
      </c>
      <c r="J14" s="408">
        <v>14.0</v>
      </c>
      <c r="K14" s="408">
        <v>160.0</v>
      </c>
      <c r="L14" s="408">
        <v>8.0</v>
      </c>
      <c r="M14" s="408">
        <v>1.0</v>
      </c>
      <c r="N14" s="408">
        <v>2.0</v>
      </c>
      <c r="O14" s="408">
        <v>1.0</v>
      </c>
      <c r="P14" s="408" t="s">
        <v>166</v>
      </c>
      <c r="Q14" s="408" t="s">
        <v>166</v>
      </c>
      <c r="R14" s="408" t="s">
        <v>166</v>
      </c>
      <c r="S14" s="408" t="s">
        <v>166</v>
      </c>
      <c r="T14" s="407"/>
    </row>
    <row r="15">
      <c r="A15" s="406" t="s">
        <v>1664</v>
      </c>
      <c r="B15" s="407" t="s">
        <v>3368</v>
      </c>
      <c r="C15" s="273" t="str">
        <f t="shared" si="4"/>
        <v>PowerColor</v>
      </c>
      <c r="D15" s="313" t="str">
        <f>HYPERLINK("https://www.powercolor.com/product?id=1581404657","ITX")</f>
        <v>ITX</v>
      </c>
      <c r="E15" s="408">
        <v>175.0</v>
      </c>
      <c r="F15" s="408">
        <v>110.0</v>
      </c>
      <c r="G15" s="408">
        <v>40.0</v>
      </c>
      <c r="H15" s="408">
        <v>2.0</v>
      </c>
      <c r="I15" s="408">
        <v>1725.0</v>
      </c>
      <c r="J15" s="408">
        <v>14.0</v>
      </c>
      <c r="K15" s="408">
        <v>180.0</v>
      </c>
      <c r="L15" s="408">
        <v>8.0</v>
      </c>
      <c r="M15" s="408">
        <v>1.0</v>
      </c>
      <c r="N15" s="408">
        <v>2.0</v>
      </c>
      <c r="O15" s="408">
        <v>1.0</v>
      </c>
      <c r="P15" s="408" t="s">
        <v>166</v>
      </c>
      <c r="Q15" s="408" t="s">
        <v>166</v>
      </c>
      <c r="R15" s="408" t="s">
        <v>166</v>
      </c>
      <c r="S15" s="408" t="s">
        <v>166</v>
      </c>
      <c r="T15" s="407"/>
    </row>
    <row r="16">
      <c r="A16" s="409" t="s">
        <v>1664</v>
      </c>
      <c r="B16" s="410" t="s">
        <v>3369</v>
      </c>
      <c r="C16" s="282" t="str">
        <f>HYPERLINK("https://www.asrock.com/","ASRock")</f>
        <v>ASRock</v>
      </c>
      <c r="D16" s="312" t="s">
        <v>3370</v>
      </c>
      <c r="E16" s="411">
        <v>162.0</v>
      </c>
      <c r="F16" s="411">
        <v>112.0</v>
      </c>
      <c r="G16" s="411">
        <v>39.0</v>
      </c>
      <c r="H16" s="411">
        <v>2.0</v>
      </c>
      <c r="I16" s="411">
        <v>2321.0</v>
      </c>
      <c r="J16" s="411">
        <v>16.0</v>
      </c>
      <c r="K16" s="411">
        <v>53.0</v>
      </c>
      <c r="L16" s="411" t="s">
        <v>166</v>
      </c>
      <c r="M16" s="411">
        <v>1.0</v>
      </c>
      <c r="N16" s="411">
        <v>1.0</v>
      </c>
      <c r="O16" s="411">
        <v>1.0</v>
      </c>
      <c r="P16" s="411" t="s">
        <v>166</v>
      </c>
      <c r="Q16" s="411" t="s">
        <v>166</v>
      </c>
      <c r="R16" s="411" t="s">
        <v>166</v>
      </c>
      <c r="S16" s="411" t="s">
        <v>166</v>
      </c>
      <c r="T16" s="410"/>
    </row>
    <row r="17">
      <c r="A17" s="409" t="s">
        <v>1664</v>
      </c>
      <c r="B17" s="410" t="s">
        <v>3369</v>
      </c>
      <c r="C17" s="282" t="str">
        <f t="shared" ref="C17:C18" si="5">HYPERLINK("https://www.asus.com/","Asus")</f>
        <v>Asus</v>
      </c>
      <c r="D17" s="312" t="s">
        <v>3371</v>
      </c>
      <c r="E17" s="411">
        <v>196.0</v>
      </c>
      <c r="F17" s="411">
        <v>128.5</v>
      </c>
      <c r="G17" s="411">
        <v>40.5</v>
      </c>
      <c r="H17" s="411">
        <v>2.0</v>
      </c>
      <c r="I17" s="411">
        <v>2321.0</v>
      </c>
      <c r="J17" s="411">
        <v>16.0</v>
      </c>
      <c r="K17" s="411">
        <v>53.0</v>
      </c>
      <c r="L17" s="411" t="s">
        <v>166</v>
      </c>
      <c r="M17" s="411">
        <v>1.0</v>
      </c>
      <c r="N17" s="411">
        <v>1.0</v>
      </c>
      <c r="O17" s="411">
        <v>1.0</v>
      </c>
      <c r="P17" s="411" t="s">
        <v>166</v>
      </c>
      <c r="Q17" s="411" t="s">
        <v>166</v>
      </c>
      <c r="R17" s="411" t="s">
        <v>166</v>
      </c>
      <c r="S17" s="411" t="s">
        <v>166</v>
      </c>
      <c r="T17" s="410"/>
    </row>
    <row r="18">
      <c r="A18" s="409" t="s">
        <v>1664</v>
      </c>
      <c r="B18" s="410" t="s">
        <v>3369</v>
      </c>
      <c r="C18" s="282" t="str">
        <f t="shared" si="5"/>
        <v>Asus</v>
      </c>
      <c r="D18" s="312" t="s">
        <v>3372</v>
      </c>
      <c r="E18" s="411">
        <v>201.0</v>
      </c>
      <c r="F18" s="411">
        <v>124.0</v>
      </c>
      <c r="G18" s="411">
        <v>40.5</v>
      </c>
      <c r="H18" s="411">
        <v>2.0</v>
      </c>
      <c r="I18" s="411">
        <v>2321.0</v>
      </c>
      <c r="J18" s="411">
        <v>16.0</v>
      </c>
      <c r="K18" s="411">
        <v>53.0</v>
      </c>
      <c r="L18" s="411" t="s">
        <v>166</v>
      </c>
      <c r="M18" s="411">
        <v>2.0</v>
      </c>
      <c r="N18" s="411">
        <v>1.0</v>
      </c>
      <c r="O18" s="411">
        <v>1.0</v>
      </c>
      <c r="P18" s="411" t="s">
        <v>166</v>
      </c>
      <c r="Q18" s="411" t="s">
        <v>166</v>
      </c>
      <c r="R18" s="411" t="s">
        <v>166</v>
      </c>
      <c r="S18" s="411" t="s">
        <v>166</v>
      </c>
      <c r="T18" s="410"/>
    </row>
    <row r="19">
      <c r="A19" s="409" t="s">
        <v>1664</v>
      </c>
      <c r="B19" s="410" t="s">
        <v>3369</v>
      </c>
      <c r="C19" s="174" t="str">
        <f t="shared" ref="C19:C20" si="6">HYPERLINK("https://www.gigabyte.com/","Gigabyte")</f>
        <v>Gigabyte</v>
      </c>
      <c r="D19" s="312" t="s">
        <v>3373</v>
      </c>
      <c r="E19" s="411">
        <v>182.0</v>
      </c>
      <c r="F19" s="411">
        <v>69.0</v>
      </c>
      <c r="G19" s="411">
        <v>36.0</v>
      </c>
      <c r="H19" s="411">
        <v>2.0</v>
      </c>
      <c r="I19" s="411">
        <v>2321.0</v>
      </c>
      <c r="J19" s="411">
        <v>16.0</v>
      </c>
      <c r="K19" s="411">
        <v>53.0</v>
      </c>
      <c r="L19" s="411" t="s">
        <v>166</v>
      </c>
      <c r="M19" s="411">
        <v>2.0</v>
      </c>
      <c r="N19" s="411">
        <v>1.0</v>
      </c>
      <c r="O19" s="411">
        <v>1.0</v>
      </c>
      <c r="P19" s="411" t="s">
        <v>166</v>
      </c>
      <c r="Q19" s="411" t="s">
        <v>166</v>
      </c>
      <c r="R19" s="411" t="s">
        <v>166</v>
      </c>
      <c r="S19" s="411" t="s">
        <v>174</v>
      </c>
      <c r="T19" s="410"/>
    </row>
    <row r="20">
      <c r="A20" s="409" t="s">
        <v>1664</v>
      </c>
      <c r="B20" s="410" t="s">
        <v>3369</v>
      </c>
      <c r="C20" s="174" t="str">
        <f t="shared" si="6"/>
        <v>Gigabyte</v>
      </c>
      <c r="D20" s="312" t="s">
        <v>3374</v>
      </c>
      <c r="E20" s="411">
        <v>192.0</v>
      </c>
      <c r="F20" s="411">
        <v>117.0</v>
      </c>
      <c r="G20" s="411">
        <v>38.0</v>
      </c>
      <c r="H20" s="411">
        <v>2.0</v>
      </c>
      <c r="I20" s="411">
        <v>2321.0</v>
      </c>
      <c r="J20" s="411">
        <v>16.0</v>
      </c>
      <c r="K20" s="411">
        <v>53.0</v>
      </c>
      <c r="L20" s="411" t="s">
        <v>166</v>
      </c>
      <c r="M20" s="411">
        <v>2.0</v>
      </c>
      <c r="N20" s="411">
        <v>1.0</v>
      </c>
      <c r="O20" s="411">
        <v>1.0</v>
      </c>
      <c r="P20" s="411" t="s">
        <v>166</v>
      </c>
      <c r="Q20" s="411" t="s">
        <v>166</v>
      </c>
      <c r="R20" s="411" t="s">
        <v>166</v>
      </c>
      <c r="S20" s="411" t="s">
        <v>166</v>
      </c>
      <c r="T20" s="410"/>
    </row>
    <row r="21">
      <c r="A21" s="409" t="s">
        <v>1664</v>
      </c>
      <c r="B21" s="410" t="s">
        <v>3369</v>
      </c>
      <c r="C21" s="174" t="str">
        <f>HYPERLINK("https://www.msi.com/index.php","MSI")</f>
        <v>MSI</v>
      </c>
      <c r="D21" s="312" t="s">
        <v>3375</v>
      </c>
      <c r="E21" s="411">
        <v>172.0</v>
      </c>
      <c r="F21" s="411">
        <v>112.0</v>
      </c>
      <c r="G21" s="411">
        <v>39.0</v>
      </c>
      <c r="H21" s="411">
        <v>2.0</v>
      </c>
      <c r="I21" s="411">
        <v>2321.0</v>
      </c>
      <c r="J21" s="411">
        <v>16.0</v>
      </c>
      <c r="K21" s="411">
        <v>53.0</v>
      </c>
      <c r="L21" s="411" t="s">
        <v>166</v>
      </c>
      <c r="M21" s="411">
        <v>1.0</v>
      </c>
      <c r="N21" s="411">
        <v>1.0</v>
      </c>
      <c r="O21" s="411">
        <v>1.0</v>
      </c>
      <c r="P21" s="411" t="s">
        <v>166</v>
      </c>
      <c r="Q21" s="411" t="s">
        <v>166</v>
      </c>
      <c r="R21" s="411" t="s">
        <v>166</v>
      </c>
      <c r="S21" s="411" t="s">
        <v>166</v>
      </c>
      <c r="T21" s="410"/>
    </row>
    <row r="22">
      <c r="A22" s="409" t="s">
        <v>1664</v>
      </c>
      <c r="B22" s="410" t="s">
        <v>3369</v>
      </c>
      <c r="C22" s="416" t="str">
        <f t="shared" ref="C22:C23" si="7">HYPERLINK("https://www.powercolor.com/","PowerColor")</f>
        <v>PowerColor</v>
      </c>
      <c r="D22" s="312" t="s">
        <v>3356</v>
      </c>
      <c r="E22" s="411">
        <v>155.0</v>
      </c>
      <c r="F22" s="411">
        <v>69.0</v>
      </c>
      <c r="G22" s="411">
        <v>18.0</v>
      </c>
      <c r="H22" s="411">
        <v>1.0</v>
      </c>
      <c r="I22" s="411">
        <v>2321.0</v>
      </c>
      <c r="J22" s="411">
        <v>16.0</v>
      </c>
      <c r="K22" s="411">
        <v>53.0</v>
      </c>
      <c r="L22" s="411" t="s">
        <v>166</v>
      </c>
      <c r="M22" s="411">
        <v>1.0</v>
      </c>
      <c r="N22" s="411">
        <v>1.0</v>
      </c>
      <c r="O22" s="411">
        <v>1.0</v>
      </c>
      <c r="P22" s="411" t="s">
        <v>166</v>
      </c>
      <c r="Q22" s="411" t="s">
        <v>166</v>
      </c>
      <c r="R22" s="411" t="s">
        <v>166</v>
      </c>
      <c r="S22" s="411" t="s">
        <v>174</v>
      </c>
      <c r="T22" s="410"/>
    </row>
    <row r="23">
      <c r="A23" s="409" t="s">
        <v>1664</v>
      </c>
      <c r="B23" s="410" t="s">
        <v>3369</v>
      </c>
      <c r="C23" s="416" t="str">
        <f t="shared" si="7"/>
        <v>PowerColor</v>
      </c>
      <c r="D23" s="312" t="s">
        <v>3367</v>
      </c>
      <c r="E23" s="411">
        <v>165.0</v>
      </c>
      <c r="F23" s="411">
        <v>125.0</v>
      </c>
      <c r="G23" s="411">
        <v>40.0</v>
      </c>
      <c r="H23" s="411">
        <v>2.0</v>
      </c>
      <c r="I23" s="411">
        <v>2321.0</v>
      </c>
      <c r="J23" s="411">
        <v>16.0</v>
      </c>
      <c r="K23" s="411">
        <v>53.0</v>
      </c>
      <c r="L23" s="411" t="s">
        <v>166</v>
      </c>
      <c r="M23" s="411">
        <v>1.0</v>
      </c>
      <c r="N23" s="411">
        <v>1.0</v>
      </c>
      <c r="O23" s="411">
        <v>1.0</v>
      </c>
      <c r="P23" s="411" t="s">
        <v>166</v>
      </c>
      <c r="Q23" s="411" t="s">
        <v>166</v>
      </c>
      <c r="R23" s="411" t="s">
        <v>166</v>
      </c>
      <c r="S23" s="411" t="s">
        <v>166</v>
      </c>
      <c r="T23" s="410"/>
    </row>
    <row r="24">
      <c r="A24" s="409" t="s">
        <v>1664</v>
      </c>
      <c r="B24" s="410" t="s">
        <v>3369</v>
      </c>
      <c r="C24" s="282" t="s">
        <v>1432</v>
      </c>
      <c r="D24" s="312" t="s">
        <v>3376</v>
      </c>
      <c r="E24" s="411">
        <v>170.0</v>
      </c>
      <c r="F24" s="411">
        <v>69.0</v>
      </c>
      <c r="G24" s="411">
        <v>17.2</v>
      </c>
      <c r="H24" s="411">
        <v>1.0</v>
      </c>
      <c r="I24" s="411">
        <v>2321.0</v>
      </c>
      <c r="J24" s="411">
        <v>16.0</v>
      </c>
      <c r="K24" s="411">
        <v>55.0</v>
      </c>
      <c r="L24" s="411" t="s">
        <v>166</v>
      </c>
      <c r="M24" s="411">
        <v>1.0</v>
      </c>
      <c r="N24" s="411">
        <v>1.0</v>
      </c>
      <c r="O24" s="411">
        <v>1.0</v>
      </c>
      <c r="P24" s="411" t="s">
        <v>166</v>
      </c>
      <c r="Q24" s="411" t="s">
        <v>166</v>
      </c>
      <c r="R24" s="411" t="s">
        <v>166</v>
      </c>
      <c r="S24" s="411" t="s">
        <v>174</v>
      </c>
      <c r="T24" s="410"/>
    </row>
    <row r="25">
      <c r="A25" s="409" t="s">
        <v>1664</v>
      </c>
      <c r="B25" s="410" t="s">
        <v>3369</v>
      </c>
      <c r="C25" s="282" t="str">
        <f>HYPERLINK("https://www.xfxforce.com/","XFX")</f>
        <v>XFX</v>
      </c>
      <c r="D25" s="312" t="s">
        <v>3377</v>
      </c>
      <c r="E25" s="411">
        <v>155.0</v>
      </c>
      <c r="F25" s="411">
        <v>68.0</v>
      </c>
      <c r="G25" s="411">
        <v>15.0</v>
      </c>
      <c r="H25" s="411">
        <v>1.0</v>
      </c>
      <c r="I25" s="411">
        <v>2321.0</v>
      </c>
      <c r="J25" s="411">
        <v>16.0</v>
      </c>
      <c r="K25" s="411">
        <v>53.0</v>
      </c>
      <c r="L25" s="411" t="s">
        <v>166</v>
      </c>
      <c r="M25" s="411">
        <v>1.0</v>
      </c>
      <c r="N25" s="411">
        <v>1.0</v>
      </c>
      <c r="O25" s="411">
        <v>1.0</v>
      </c>
      <c r="P25" s="411" t="s">
        <v>166</v>
      </c>
      <c r="Q25" s="411" t="s">
        <v>166</v>
      </c>
      <c r="R25" s="411" t="s">
        <v>166</v>
      </c>
      <c r="S25" s="411" t="s">
        <v>174</v>
      </c>
      <c r="T25" s="410"/>
    </row>
    <row r="26">
      <c r="A26" s="406" t="s">
        <v>1664</v>
      </c>
      <c r="B26" s="407" t="s">
        <v>3369</v>
      </c>
      <c r="C26" s="391" t="s">
        <v>3378</v>
      </c>
      <c r="D26" s="313" t="s">
        <v>3379</v>
      </c>
      <c r="E26" s="408">
        <v>170.0</v>
      </c>
      <c r="F26" s="408">
        <v>69.0</v>
      </c>
      <c r="G26" s="408">
        <v>18.5</v>
      </c>
      <c r="H26" s="408">
        <v>1.0</v>
      </c>
      <c r="I26" s="408">
        <v>2321.0</v>
      </c>
      <c r="J26" s="408">
        <v>16.0</v>
      </c>
      <c r="K26" s="408">
        <v>53.0</v>
      </c>
      <c r="L26" s="408" t="s">
        <v>166</v>
      </c>
      <c r="M26" s="408">
        <v>1.0</v>
      </c>
      <c r="N26" s="408">
        <v>1.0</v>
      </c>
      <c r="O26" s="408">
        <v>1.0</v>
      </c>
      <c r="P26" s="408" t="s">
        <v>166</v>
      </c>
      <c r="Q26" s="408" t="s">
        <v>166</v>
      </c>
      <c r="R26" s="408" t="s">
        <v>166</v>
      </c>
      <c r="S26" s="408" t="s">
        <v>174</v>
      </c>
      <c r="T26" s="407"/>
    </row>
    <row r="27">
      <c r="A27" s="409" t="s">
        <v>1664</v>
      </c>
      <c r="B27" s="410" t="s">
        <v>3380</v>
      </c>
      <c r="C27" s="282" t="str">
        <f>HYPERLINK("https://www.asrock.com/","ASRock")</f>
        <v>ASRock</v>
      </c>
      <c r="D27" s="312" t="s">
        <v>3370</v>
      </c>
      <c r="E27" s="411">
        <v>179.0</v>
      </c>
      <c r="F27" s="411">
        <v>124.0</v>
      </c>
      <c r="G27" s="411">
        <v>40.0</v>
      </c>
      <c r="H27" s="411">
        <v>2.0</v>
      </c>
      <c r="I27" s="411">
        <v>2815.0</v>
      </c>
      <c r="J27" s="411">
        <v>18.0</v>
      </c>
      <c r="K27" s="411">
        <v>107.0</v>
      </c>
      <c r="L27" s="411">
        <v>8.0</v>
      </c>
      <c r="M27" s="411">
        <v>1.0</v>
      </c>
      <c r="N27" s="411">
        <v>1.0</v>
      </c>
      <c r="O27" s="411">
        <v>1.0</v>
      </c>
      <c r="P27" s="411" t="s">
        <v>166</v>
      </c>
      <c r="Q27" s="411" t="s">
        <v>166</v>
      </c>
      <c r="R27" s="411" t="s">
        <v>166</v>
      </c>
      <c r="S27" s="411" t="s">
        <v>166</v>
      </c>
      <c r="T27" s="410"/>
    </row>
    <row r="28">
      <c r="A28" s="409" t="s">
        <v>1664</v>
      </c>
      <c r="B28" s="410" t="s">
        <v>3380</v>
      </c>
      <c r="C28" s="282" t="str">
        <f>HYPERLINK("https://www.asus.com/","Asus")</f>
        <v>Asus</v>
      </c>
      <c r="D28" s="312" t="s">
        <v>3381</v>
      </c>
      <c r="E28" s="411">
        <v>201.0</v>
      </c>
      <c r="F28" s="411">
        <v>128.0</v>
      </c>
      <c r="G28" s="411">
        <v>40.0</v>
      </c>
      <c r="H28" s="411">
        <v>2.0</v>
      </c>
      <c r="I28" s="411">
        <v>2820.0</v>
      </c>
      <c r="J28" s="411">
        <v>18.0</v>
      </c>
      <c r="K28" s="411">
        <v>107.0</v>
      </c>
      <c r="L28" s="411">
        <v>6.0</v>
      </c>
      <c r="M28" s="411">
        <v>2.0</v>
      </c>
      <c r="N28" s="411">
        <v>1.0</v>
      </c>
      <c r="O28" s="411">
        <v>1.0</v>
      </c>
      <c r="P28" s="411" t="s">
        <v>166</v>
      </c>
      <c r="Q28" s="411" t="s">
        <v>166</v>
      </c>
      <c r="R28" s="411" t="s">
        <v>166</v>
      </c>
      <c r="S28" s="411" t="s">
        <v>166</v>
      </c>
      <c r="T28" s="410"/>
    </row>
    <row r="29">
      <c r="A29" s="409" t="s">
        <v>1664</v>
      </c>
      <c r="B29" s="410" t="s">
        <v>3380</v>
      </c>
      <c r="C29" s="174" t="str">
        <f>HYPERLINK("https://www.gigabyte.com/","Gigabyte")</f>
        <v>Gigabyte</v>
      </c>
      <c r="D29" s="312" t="s">
        <v>3374</v>
      </c>
      <c r="E29" s="411">
        <v>192.0</v>
      </c>
      <c r="F29" s="411">
        <v>117.0</v>
      </c>
      <c r="G29" s="411">
        <v>38.0</v>
      </c>
      <c r="H29" s="411">
        <v>2.0</v>
      </c>
      <c r="I29" s="411">
        <v>2815.0</v>
      </c>
      <c r="J29" s="411">
        <v>18.0</v>
      </c>
      <c r="K29" s="411">
        <v>107.0</v>
      </c>
      <c r="L29" s="411">
        <v>6.0</v>
      </c>
      <c r="M29" s="411">
        <v>2.0</v>
      </c>
      <c r="N29" s="411">
        <v>1.0</v>
      </c>
      <c r="O29" s="411">
        <v>1.0</v>
      </c>
      <c r="P29" s="411" t="s">
        <v>166</v>
      </c>
      <c r="Q29" s="411" t="s">
        <v>166</v>
      </c>
      <c r="R29" s="411" t="s">
        <v>166</v>
      </c>
      <c r="S29" s="411" t="s">
        <v>166</v>
      </c>
      <c r="T29" s="410"/>
    </row>
    <row r="30">
      <c r="A30" s="409" t="s">
        <v>1664</v>
      </c>
      <c r="B30" s="410" t="s">
        <v>3380</v>
      </c>
      <c r="C30" s="174" t="str">
        <f t="shared" ref="C30:C31" si="8">HYPERLINK("https://www.msi.com/index.php","MSI")</f>
        <v>MSI</v>
      </c>
      <c r="D30" s="312" t="s">
        <v>3382</v>
      </c>
      <c r="E30" s="411">
        <v>172.0</v>
      </c>
      <c r="F30" s="411">
        <v>112.0</v>
      </c>
      <c r="G30" s="411">
        <v>42.0</v>
      </c>
      <c r="H30" s="411">
        <v>2.0</v>
      </c>
      <c r="I30" s="411">
        <v>2815.0</v>
      </c>
      <c r="J30" s="411">
        <v>18.0</v>
      </c>
      <c r="K30" s="411">
        <v>107.0</v>
      </c>
      <c r="L30" s="411">
        <v>6.0</v>
      </c>
      <c r="M30" s="411">
        <v>2.0</v>
      </c>
      <c r="N30" s="411">
        <v>1.0</v>
      </c>
      <c r="O30" s="411">
        <v>1.0</v>
      </c>
      <c r="P30" s="411" t="s">
        <v>166</v>
      </c>
      <c r="Q30" s="411" t="s">
        <v>166</v>
      </c>
      <c r="R30" s="411" t="s">
        <v>166</v>
      </c>
      <c r="S30" s="411" t="s">
        <v>166</v>
      </c>
      <c r="T30" s="410"/>
    </row>
    <row r="31">
      <c r="A31" s="409" t="s">
        <v>1664</v>
      </c>
      <c r="B31" s="410" t="s">
        <v>3380</v>
      </c>
      <c r="C31" s="174" t="str">
        <f t="shared" si="8"/>
        <v>MSI</v>
      </c>
      <c r="D31" s="312" t="s">
        <v>3383</v>
      </c>
      <c r="E31" s="411">
        <v>172.0</v>
      </c>
      <c r="F31" s="411">
        <v>112.0</v>
      </c>
      <c r="G31" s="411">
        <v>42.0</v>
      </c>
      <c r="H31" s="411">
        <v>2.0</v>
      </c>
      <c r="I31" s="411">
        <v>2825.0</v>
      </c>
      <c r="J31" s="411">
        <v>18.0</v>
      </c>
      <c r="K31" s="411">
        <v>107.0</v>
      </c>
      <c r="L31" s="411">
        <v>6.0</v>
      </c>
      <c r="M31" s="411">
        <v>2.0</v>
      </c>
      <c r="N31" s="411">
        <v>1.0</v>
      </c>
      <c r="O31" s="411">
        <v>1.0</v>
      </c>
      <c r="P31" s="411" t="s">
        <v>166</v>
      </c>
      <c r="Q31" s="411" t="s">
        <v>166</v>
      </c>
      <c r="R31" s="411" t="s">
        <v>166</v>
      </c>
      <c r="S31" s="411" t="s">
        <v>166</v>
      </c>
      <c r="T31" s="410"/>
    </row>
    <row r="32">
      <c r="A32" s="409" t="s">
        <v>1664</v>
      </c>
      <c r="B32" s="410" t="s">
        <v>3380</v>
      </c>
      <c r="C32" s="416" t="str">
        <f t="shared" ref="C32:C33" si="9">HYPERLINK("https://www.powercolor.com/","PowerColor")</f>
        <v>PowerColor</v>
      </c>
      <c r="D32" s="312" t="s">
        <v>3367</v>
      </c>
      <c r="E32" s="411">
        <v>165.0</v>
      </c>
      <c r="F32" s="411">
        <v>125.0</v>
      </c>
      <c r="G32" s="411">
        <v>40.0</v>
      </c>
      <c r="H32" s="411">
        <v>2.0</v>
      </c>
      <c r="I32" s="411">
        <v>2815.0</v>
      </c>
      <c r="J32" s="411">
        <v>18.0</v>
      </c>
      <c r="K32" s="411">
        <v>107.0</v>
      </c>
      <c r="L32" s="411">
        <v>8.0</v>
      </c>
      <c r="M32" s="411">
        <v>1.0</v>
      </c>
      <c r="N32" s="411">
        <v>1.0</v>
      </c>
      <c r="O32" s="411">
        <v>1.0</v>
      </c>
      <c r="P32" s="411" t="s">
        <v>166</v>
      </c>
      <c r="Q32" s="411" t="s">
        <v>166</v>
      </c>
      <c r="R32" s="411" t="s">
        <v>166</v>
      </c>
      <c r="S32" s="411" t="s">
        <v>166</v>
      </c>
      <c r="T32" s="410"/>
    </row>
    <row r="33">
      <c r="A33" s="409" t="s">
        <v>1664</v>
      </c>
      <c r="B33" s="410" t="s">
        <v>3380</v>
      </c>
      <c r="C33" s="416" t="str">
        <f t="shared" si="9"/>
        <v>PowerColor</v>
      </c>
      <c r="D33" s="312" t="s">
        <v>3384</v>
      </c>
      <c r="E33" s="411">
        <v>191.0</v>
      </c>
      <c r="F33" s="411">
        <v>126.0</v>
      </c>
      <c r="G33" s="411">
        <v>40.0</v>
      </c>
      <c r="H33" s="411">
        <v>2.0</v>
      </c>
      <c r="I33" s="411">
        <v>2820.0</v>
      </c>
      <c r="J33" s="411">
        <v>18.0</v>
      </c>
      <c r="K33" s="411">
        <v>107.0</v>
      </c>
      <c r="L33" s="411">
        <v>8.0</v>
      </c>
      <c r="M33" s="411">
        <v>2.0</v>
      </c>
      <c r="N33" s="411">
        <v>1.0</v>
      </c>
      <c r="O33" s="411">
        <v>1.0</v>
      </c>
      <c r="P33" s="411" t="s">
        <v>166</v>
      </c>
      <c r="Q33" s="411" t="s">
        <v>166</v>
      </c>
      <c r="R33" s="411" t="s">
        <v>166</v>
      </c>
      <c r="S33" s="411" t="s">
        <v>166</v>
      </c>
      <c r="T33" s="410"/>
    </row>
    <row r="34">
      <c r="A34" s="409" t="s">
        <v>1664</v>
      </c>
      <c r="B34" s="410" t="s">
        <v>3380</v>
      </c>
      <c r="C34" s="416" t="s">
        <v>1432</v>
      </c>
      <c r="D34" s="312" t="s">
        <v>3376</v>
      </c>
      <c r="E34" s="411">
        <v>194.0</v>
      </c>
      <c r="F34" s="411">
        <v>120.0</v>
      </c>
      <c r="G34" s="411">
        <v>39.8</v>
      </c>
      <c r="H34" s="411">
        <v>2.0</v>
      </c>
      <c r="I34" s="411">
        <v>2825.0</v>
      </c>
      <c r="J34" s="411">
        <v>18.0</v>
      </c>
      <c r="K34" s="411">
        <v>130.0</v>
      </c>
      <c r="L34" s="411">
        <v>6.0</v>
      </c>
      <c r="M34" s="411">
        <v>2.0</v>
      </c>
      <c r="N34" s="411">
        <v>1.0</v>
      </c>
      <c r="O34" s="411">
        <v>1.0</v>
      </c>
      <c r="P34" s="411" t="s">
        <v>166</v>
      </c>
      <c r="Q34" s="411" t="s">
        <v>166</v>
      </c>
      <c r="R34" s="411" t="s">
        <v>166</v>
      </c>
      <c r="S34" s="411" t="s">
        <v>166</v>
      </c>
      <c r="T34" s="410"/>
    </row>
    <row r="35">
      <c r="A35" s="406" t="s">
        <v>1664</v>
      </c>
      <c r="B35" s="407" t="s">
        <v>3380</v>
      </c>
      <c r="C35" s="403" t="s">
        <v>3378</v>
      </c>
      <c r="D35" s="313" t="s">
        <v>3385</v>
      </c>
      <c r="E35" s="408">
        <v>172.0</v>
      </c>
      <c r="F35" s="408" t="s">
        <v>170</v>
      </c>
      <c r="G35" s="408">
        <v>41.0</v>
      </c>
      <c r="H35" s="408">
        <v>2.0</v>
      </c>
      <c r="I35" s="408">
        <v>2825.0</v>
      </c>
      <c r="J35" s="408">
        <v>18.0</v>
      </c>
      <c r="K35" s="408">
        <v>107.0</v>
      </c>
      <c r="L35" s="408">
        <v>6.0</v>
      </c>
      <c r="M35" s="408">
        <v>1.0</v>
      </c>
      <c r="N35" s="408">
        <v>1.0</v>
      </c>
      <c r="O35" s="408">
        <v>1.0</v>
      </c>
      <c r="P35" s="408" t="s">
        <v>166</v>
      </c>
      <c r="Q35" s="408" t="s">
        <v>166</v>
      </c>
      <c r="R35" s="408" t="s">
        <v>166</v>
      </c>
      <c r="S35" s="408" t="s">
        <v>166</v>
      </c>
      <c r="T35" s="407"/>
    </row>
    <row r="36">
      <c r="A36" s="406" t="s">
        <v>1664</v>
      </c>
      <c r="B36" s="407" t="s">
        <v>3386</v>
      </c>
      <c r="C36" s="273" t="s">
        <v>1432</v>
      </c>
      <c r="D36" s="313" t="s">
        <v>3376</v>
      </c>
      <c r="E36" s="408">
        <v>194.0</v>
      </c>
      <c r="F36" s="408">
        <v>107.0</v>
      </c>
      <c r="G36" s="408">
        <v>40.0</v>
      </c>
      <c r="H36" s="408">
        <v>2.0</v>
      </c>
      <c r="I36" s="408">
        <v>2855.0</v>
      </c>
      <c r="J36" s="408">
        <v>18.0</v>
      </c>
      <c r="K36" s="408">
        <v>130.0</v>
      </c>
      <c r="L36" s="408">
        <v>6.0</v>
      </c>
      <c r="M36" s="408">
        <v>2.0</v>
      </c>
      <c r="N36" s="408">
        <v>1.0</v>
      </c>
      <c r="O36" s="408">
        <v>1.0</v>
      </c>
      <c r="P36" s="408" t="s">
        <v>166</v>
      </c>
      <c r="Q36" s="408" t="s">
        <v>166</v>
      </c>
      <c r="R36" s="408" t="s">
        <v>166</v>
      </c>
      <c r="S36" s="408" t="s">
        <v>166</v>
      </c>
      <c r="T36" s="407"/>
    </row>
    <row r="37">
      <c r="A37" s="409" t="s">
        <v>1664</v>
      </c>
      <c r="B37" s="410" t="s">
        <v>3387</v>
      </c>
      <c r="C37" s="282" t="str">
        <f>HYPERLINK("https://www.asrock.com/","ASRock")</f>
        <v>ASRock</v>
      </c>
      <c r="D37" s="312" t="s">
        <v>3370</v>
      </c>
      <c r="E37" s="411">
        <v>179.0</v>
      </c>
      <c r="F37" s="411">
        <v>124.0</v>
      </c>
      <c r="G37" s="411">
        <v>40.0</v>
      </c>
      <c r="H37" s="411">
        <v>2.0</v>
      </c>
      <c r="I37" s="411">
        <v>2491.0</v>
      </c>
      <c r="J37" s="411">
        <v>14.0</v>
      </c>
      <c r="K37" s="411">
        <v>132.0</v>
      </c>
      <c r="L37" s="411">
        <v>8.0</v>
      </c>
      <c r="M37" s="411">
        <v>1.0</v>
      </c>
      <c r="N37" s="411">
        <v>2.0</v>
      </c>
      <c r="O37" s="411">
        <v>2.0</v>
      </c>
      <c r="P37" s="411" t="s">
        <v>166</v>
      </c>
      <c r="Q37" s="411" t="s">
        <v>166</v>
      </c>
      <c r="R37" s="411" t="s">
        <v>166</v>
      </c>
      <c r="S37" s="411" t="s">
        <v>166</v>
      </c>
      <c r="T37" s="410"/>
    </row>
    <row r="38">
      <c r="A38" s="409" t="s">
        <v>1664</v>
      </c>
      <c r="B38" s="410" t="s">
        <v>3387</v>
      </c>
      <c r="C38" s="416" t="str">
        <f>HYPERLINK("https://www.powercolor.com/","PowerColor")</f>
        <v>PowerColor</v>
      </c>
      <c r="D38" s="312" t="s">
        <v>3384</v>
      </c>
      <c r="E38" s="411">
        <v>200.0</v>
      </c>
      <c r="F38" s="411">
        <v>111.0</v>
      </c>
      <c r="G38" s="411">
        <v>39.0</v>
      </c>
      <c r="H38" s="411">
        <v>2.0</v>
      </c>
      <c r="I38" s="411">
        <v>2491.0</v>
      </c>
      <c r="J38" s="411">
        <v>14.0</v>
      </c>
      <c r="K38" s="411">
        <v>132.0</v>
      </c>
      <c r="L38" s="411">
        <v>8.0</v>
      </c>
      <c r="M38" s="411">
        <v>2.0</v>
      </c>
      <c r="N38" s="411">
        <v>3.0</v>
      </c>
      <c r="O38" s="411">
        <v>1.0</v>
      </c>
      <c r="P38" s="411" t="s">
        <v>166</v>
      </c>
      <c r="Q38" s="411" t="s">
        <v>166</v>
      </c>
      <c r="R38" s="411" t="s">
        <v>166</v>
      </c>
      <c r="S38" s="411" t="s">
        <v>166</v>
      </c>
      <c r="T38" s="410"/>
    </row>
    <row r="39">
      <c r="A39" s="406" t="s">
        <v>1664</v>
      </c>
      <c r="B39" s="407" t="s">
        <v>3387</v>
      </c>
      <c r="C39" s="291" t="s">
        <v>1432</v>
      </c>
      <c r="D39" s="313" t="s">
        <v>3376</v>
      </c>
      <c r="E39" s="408">
        <v>193.0</v>
      </c>
      <c r="F39" s="408">
        <v>120.05</v>
      </c>
      <c r="G39" s="408">
        <v>40.05</v>
      </c>
      <c r="H39" s="408">
        <v>2.0</v>
      </c>
      <c r="I39" s="408">
        <v>2491.0</v>
      </c>
      <c r="J39" s="408">
        <v>14.0</v>
      </c>
      <c r="K39" s="408">
        <v>140.0</v>
      </c>
      <c r="L39" s="408">
        <v>8.0</v>
      </c>
      <c r="M39" s="408">
        <v>2.0</v>
      </c>
      <c r="N39" s="408">
        <v>3.0</v>
      </c>
      <c r="O39" s="408">
        <v>1.0</v>
      </c>
      <c r="P39" s="408" t="s">
        <v>166</v>
      </c>
      <c r="Q39" s="408" t="s">
        <v>166</v>
      </c>
      <c r="R39" s="408" t="s">
        <v>166</v>
      </c>
      <c r="S39" s="408" t="s">
        <v>166</v>
      </c>
      <c r="T39" s="407"/>
    </row>
    <row r="40">
      <c r="A40" s="409" t="s">
        <v>1664</v>
      </c>
      <c r="B40" s="410" t="s">
        <v>3388</v>
      </c>
      <c r="C40" s="282" t="str">
        <f>HYPERLINK("https://www.asrock.com/","ASRock")</f>
        <v>ASRock</v>
      </c>
      <c r="D40" s="312" t="s">
        <v>3370</v>
      </c>
      <c r="E40" s="411">
        <v>179.0</v>
      </c>
      <c r="F40" s="411">
        <v>124.0</v>
      </c>
      <c r="G40" s="411">
        <v>40.0</v>
      </c>
      <c r="H40" s="411">
        <v>2.0</v>
      </c>
      <c r="I40" s="411">
        <v>2589.0</v>
      </c>
      <c r="J40" s="411">
        <v>16.0</v>
      </c>
      <c r="K40" s="411">
        <v>160.0</v>
      </c>
      <c r="L40" s="411">
        <v>8.0</v>
      </c>
      <c r="M40" s="411">
        <v>1.0</v>
      </c>
      <c r="N40" s="411">
        <v>2.0</v>
      </c>
      <c r="O40" s="411">
        <v>2.0</v>
      </c>
      <c r="P40" s="411" t="s">
        <v>166</v>
      </c>
      <c r="Q40" s="411" t="s">
        <v>166</v>
      </c>
      <c r="R40" s="411" t="s">
        <v>166</v>
      </c>
      <c r="S40" s="411" t="s">
        <v>166</v>
      </c>
      <c r="T40" s="410"/>
    </row>
    <row r="41">
      <c r="A41" s="409" t="s">
        <v>1664</v>
      </c>
      <c r="B41" s="410" t="s">
        <v>3388</v>
      </c>
      <c r="C41" s="174" t="str">
        <f t="shared" ref="C41:C42" si="10">HYPERLINK("https://www.msi.com/index.php","MSI")</f>
        <v>MSI</v>
      </c>
      <c r="D41" s="414" t="s">
        <v>3389</v>
      </c>
      <c r="E41" s="415">
        <v>215.0</v>
      </c>
      <c r="F41" s="415">
        <v>128.0</v>
      </c>
      <c r="G41" s="415">
        <v>42.0</v>
      </c>
      <c r="H41" s="415">
        <v>2.0</v>
      </c>
      <c r="I41" s="415">
        <v>2589.0</v>
      </c>
      <c r="J41" s="415">
        <v>16.0</v>
      </c>
      <c r="K41" s="415">
        <v>160.0</v>
      </c>
      <c r="L41" s="415">
        <v>8.0</v>
      </c>
      <c r="M41" s="415">
        <v>2.0</v>
      </c>
      <c r="N41" s="415">
        <v>3.0</v>
      </c>
      <c r="O41" s="415">
        <v>1.0</v>
      </c>
      <c r="P41" s="415" t="s">
        <v>166</v>
      </c>
      <c r="Q41" s="415" t="s">
        <v>166</v>
      </c>
      <c r="R41" s="415" t="s">
        <v>166</v>
      </c>
      <c r="S41" s="415" t="s">
        <v>166</v>
      </c>
      <c r="T41" s="413"/>
    </row>
    <row r="42">
      <c r="A42" s="409" t="s">
        <v>1664</v>
      </c>
      <c r="B42" s="410" t="s">
        <v>3388</v>
      </c>
      <c r="C42" s="174" t="str">
        <f t="shared" si="10"/>
        <v>MSI</v>
      </c>
      <c r="D42" s="414" t="s">
        <v>3390</v>
      </c>
      <c r="E42" s="415">
        <v>215.0</v>
      </c>
      <c r="F42" s="415">
        <v>128.0</v>
      </c>
      <c r="G42" s="415">
        <v>42.0</v>
      </c>
      <c r="H42" s="415">
        <v>2.0</v>
      </c>
      <c r="I42" s="415">
        <v>2602.0</v>
      </c>
      <c r="J42" s="415">
        <v>16.0</v>
      </c>
      <c r="K42" s="415">
        <v>160.0</v>
      </c>
      <c r="L42" s="415">
        <v>8.0</v>
      </c>
      <c r="M42" s="415">
        <v>2.0</v>
      </c>
      <c r="N42" s="415">
        <v>3.0</v>
      </c>
      <c r="O42" s="415">
        <v>1.0</v>
      </c>
      <c r="P42" s="415" t="s">
        <v>166</v>
      </c>
      <c r="Q42" s="415" t="s">
        <v>166</v>
      </c>
      <c r="R42" s="415" t="s">
        <v>166</v>
      </c>
      <c r="S42" s="415" t="s">
        <v>166</v>
      </c>
      <c r="T42" s="413"/>
    </row>
    <row r="43">
      <c r="A43" s="406" t="s">
        <v>1664</v>
      </c>
      <c r="B43" s="407" t="s">
        <v>3388</v>
      </c>
      <c r="C43" s="291" t="str">
        <f t="shared" ref="C43:C44" si="11">HYPERLINK("https://www.powercolor.com/","PowerColor")</f>
        <v>PowerColor</v>
      </c>
      <c r="D43" s="404" t="s">
        <v>3384</v>
      </c>
      <c r="E43" s="405">
        <v>200.0</v>
      </c>
      <c r="F43" s="405">
        <v>111.0</v>
      </c>
      <c r="G43" s="405">
        <v>39.0</v>
      </c>
      <c r="H43" s="405">
        <v>2.0</v>
      </c>
      <c r="I43" s="405">
        <v>2589.0</v>
      </c>
      <c r="J43" s="405">
        <v>16.0</v>
      </c>
      <c r="K43" s="405">
        <v>160.0</v>
      </c>
      <c r="L43" s="405">
        <v>8.0</v>
      </c>
      <c r="M43" s="405">
        <v>2.0</v>
      </c>
      <c r="N43" s="405">
        <v>3.0</v>
      </c>
      <c r="O43" s="405">
        <v>1.0</v>
      </c>
      <c r="P43" s="405" t="s">
        <v>166</v>
      </c>
      <c r="Q43" s="405" t="s">
        <v>166</v>
      </c>
      <c r="R43" s="405" t="s">
        <v>166</v>
      </c>
      <c r="S43" s="405" t="s">
        <v>166</v>
      </c>
      <c r="T43" s="402"/>
    </row>
    <row r="44">
      <c r="A44" s="406" t="s">
        <v>1664</v>
      </c>
      <c r="B44" s="407" t="s">
        <v>3391</v>
      </c>
      <c r="C44" s="290" t="str">
        <f t="shared" si="11"/>
        <v>PowerColor</v>
      </c>
      <c r="D44" s="391" t="s">
        <v>3384</v>
      </c>
      <c r="E44" s="408">
        <v>200.0</v>
      </c>
      <c r="F44" s="408">
        <v>111.0</v>
      </c>
      <c r="G44" s="408">
        <v>39.0</v>
      </c>
      <c r="H44" s="408">
        <v>2.0</v>
      </c>
      <c r="I44" s="408">
        <v>2635.0</v>
      </c>
      <c r="J44" s="408">
        <v>17.5</v>
      </c>
      <c r="K44" s="408">
        <v>180.0</v>
      </c>
      <c r="L44" s="408">
        <v>8.0</v>
      </c>
      <c r="M44" s="408">
        <v>2.0</v>
      </c>
      <c r="N44" s="408">
        <v>3.0</v>
      </c>
      <c r="O44" s="408">
        <v>1.0</v>
      </c>
      <c r="P44" s="408" t="s">
        <v>166</v>
      </c>
      <c r="Q44" s="408" t="s">
        <v>166</v>
      </c>
      <c r="R44" s="408" t="s">
        <v>166</v>
      </c>
      <c r="S44" s="408" t="s">
        <v>166</v>
      </c>
      <c r="T44" s="407"/>
    </row>
    <row r="45">
      <c r="A45" s="409" t="s">
        <v>1664</v>
      </c>
      <c r="B45" s="410" t="s">
        <v>3392</v>
      </c>
      <c r="C45" s="174" t="str">
        <f>HYPERLINK("https://www.amd.com/en","AMD")</f>
        <v>AMD</v>
      </c>
      <c r="D45" s="414" t="s">
        <v>3393</v>
      </c>
      <c r="E45" s="415">
        <v>204.0</v>
      </c>
      <c r="F45" s="415">
        <v>115.0</v>
      </c>
      <c r="G45" s="415">
        <v>40.0</v>
      </c>
      <c r="H45" s="415">
        <v>2.0</v>
      </c>
      <c r="I45" s="415">
        <v>2655.0</v>
      </c>
      <c r="J45" s="415">
        <v>18.0</v>
      </c>
      <c r="K45" s="415">
        <v>165.0</v>
      </c>
      <c r="L45" s="415">
        <v>8.0</v>
      </c>
      <c r="M45" s="415">
        <v>2.0</v>
      </c>
      <c r="N45" s="415">
        <v>3.0</v>
      </c>
      <c r="O45" s="415">
        <v>1.0</v>
      </c>
      <c r="P45" s="415" t="s">
        <v>166</v>
      </c>
      <c r="Q45" s="415" t="s">
        <v>166</v>
      </c>
      <c r="R45" s="415" t="s">
        <v>166</v>
      </c>
      <c r="S45" s="415" t="s">
        <v>166</v>
      </c>
      <c r="T45" s="413"/>
    </row>
    <row r="46">
      <c r="A46" s="409" t="s">
        <v>1664</v>
      </c>
      <c r="B46" s="410" t="s">
        <v>3392</v>
      </c>
      <c r="C46" s="174" t="s">
        <v>1554</v>
      </c>
      <c r="D46" s="414" t="s">
        <v>3394</v>
      </c>
      <c r="E46" s="415">
        <v>205.0</v>
      </c>
      <c r="F46" s="415">
        <v>128.0</v>
      </c>
      <c r="G46" s="415">
        <v>49.0</v>
      </c>
      <c r="H46" s="415">
        <v>2.0</v>
      </c>
      <c r="I46" s="415">
        <v>2715.0</v>
      </c>
      <c r="J46" s="415">
        <v>18.0</v>
      </c>
      <c r="K46" s="415">
        <v>165.0</v>
      </c>
      <c r="L46" s="415">
        <v>8.0</v>
      </c>
      <c r="M46" s="415">
        <v>2.0</v>
      </c>
      <c r="N46" s="415">
        <v>3.0</v>
      </c>
      <c r="O46" s="415">
        <v>1.0</v>
      </c>
      <c r="P46" s="415" t="s">
        <v>166</v>
      </c>
      <c r="Q46" s="415" t="s">
        <v>166</v>
      </c>
      <c r="R46" s="415" t="s">
        <v>166</v>
      </c>
      <c r="S46" s="415" t="s">
        <v>166</v>
      </c>
      <c r="T46" s="413"/>
    </row>
    <row r="47">
      <c r="A47" s="406" t="s">
        <v>1664</v>
      </c>
      <c r="B47" s="407" t="s">
        <v>3392</v>
      </c>
      <c r="C47" s="291" t="str">
        <f>HYPERLINK("https://www.powercolor.com/","PowerColor")</f>
        <v>PowerColor</v>
      </c>
      <c r="D47" s="404" t="s">
        <v>3384</v>
      </c>
      <c r="E47" s="405">
        <v>200.0</v>
      </c>
      <c r="F47" s="405">
        <v>111.0</v>
      </c>
      <c r="G47" s="405">
        <v>39.0</v>
      </c>
      <c r="H47" s="405">
        <v>2.0</v>
      </c>
      <c r="I47" s="405">
        <v>2655.0</v>
      </c>
      <c r="J47" s="405">
        <v>18.0</v>
      </c>
      <c r="K47" s="405">
        <v>165.0</v>
      </c>
      <c r="L47" s="405">
        <v>8.0</v>
      </c>
      <c r="M47" s="405">
        <v>2.0</v>
      </c>
      <c r="N47" s="405">
        <v>3.0</v>
      </c>
      <c r="O47" s="405">
        <v>1.0</v>
      </c>
      <c r="P47" s="405" t="s">
        <v>166</v>
      </c>
      <c r="Q47" s="405" t="s">
        <v>166</v>
      </c>
      <c r="R47" s="405" t="s">
        <v>166</v>
      </c>
      <c r="S47" s="405" t="s">
        <v>166</v>
      </c>
      <c r="T47" s="402"/>
    </row>
    <row r="48">
      <c r="A48" s="409" t="s">
        <v>1688</v>
      </c>
      <c r="B48" s="410" t="s">
        <v>3395</v>
      </c>
      <c r="C48" s="282" t="str">
        <f t="shared" ref="C48:C49" si="12">HYPERLINK("https://www.asrock.com/","ASRock")</f>
        <v>ASRock</v>
      </c>
      <c r="D48" s="312" t="s">
        <v>3356</v>
      </c>
      <c r="E48" s="411">
        <v>169.0</v>
      </c>
      <c r="F48" s="411">
        <v>69.0</v>
      </c>
      <c r="G48" s="411">
        <v>39.0</v>
      </c>
      <c r="H48" s="411">
        <v>1.0</v>
      </c>
      <c r="I48" s="411">
        <v>2000.0</v>
      </c>
      <c r="J48" s="411">
        <v>15.5</v>
      </c>
      <c r="K48" s="411">
        <v>75.0</v>
      </c>
      <c r="L48" s="411" t="s">
        <v>166</v>
      </c>
      <c r="M48" s="411">
        <v>2.0</v>
      </c>
      <c r="N48" s="411">
        <v>1.0</v>
      </c>
      <c r="O48" s="411">
        <v>1.0</v>
      </c>
      <c r="P48" s="411" t="s">
        <v>166</v>
      </c>
      <c r="Q48" s="411" t="s">
        <v>166</v>
      </c>
      <c r="R48" s="411" t="s">
        <v>166</v>
      </c>
      <c r="S48" s="411" t="s">
        <v>174</v>
      </c>
      <c r="T48" s="410"/>
    </row>
    <row r="49">
      <c r="A49" s="409" t="s">
        <v>1688</v>
      </c>
      <c r="B49" s="410" t="s">
        <v>3395</v>
      </c>
      <c r="C49" s="282" t="str">
        <f t="shared" si="12"/>
        <v>ASRock</v>
      </c>
      <c r="D49" s="312" t="s">
        <v>3396</v>
      </c>
      <c r="E49" s="411">
        <v>190.0</v>
      </c>
      <c r="F49" s="411">
        <v>124.0</v>
      </c>
      <c r="G49" s="411">
        <v>39.0</v>
      </c>
      <c r="H49" s="411">
        <v>2.0</v>
      </c>
      <c r="I49" s="411">
        <v>2250.0</v>
      </c>
      <c r="J49" s="411">
        <v>15.5</v>
      </c>
      <c r="K49" s="411">
        <v>75.0</v>
      </c>
      <c r="L49" s="411">
        <v>8.0</v>
      </c>
      <c r="M49" s="411">
        <v>1.0</v>
      </c>
      <c r="N49" s="411">
        <v>3.0</v>
      </c>
      <c r="O49" s="411">
        <v>1.0</v>
      </c>
      <c r="P49" s="411" t="s">
        <v>166</v>
      </c>
      <c r="Q49" s="411" t="s">
        <v>166</v>
      </c>
      <c r="R49" s="411" t="s">
        <v>166</v>
      </c>
      <c r="S49" s="411" t="s">
        <v>166</v>
      </c>
      <c r="T49" s="410"/>
    </row>
    <row r="50">
      <c r="A50" s="409" t="s">
        <v>1688</v>
      </c>
      <c r="B50" s="410" t="s">
        <v>3395</v>
      </c>
      <c r="C50" s="282" t="str">
        <f>HYPERLINK("https://www.msi.com/index.php","MSI")</f>
        <v>MSI</v>
      </c>
      <c r="D50" s="312" t="s">
        <v>3397</v>
      </c>
      <c r="E50" s="411">
        <v>172.0</v>
      </c>
      <c r="F50" s="411">
        <v>69.0</v>
      </c>
      <c r="G50" s="411">
        <v>38.0</v>
      </c>
      <c r="H50" s="411">
        <v>2.0</v>
      </c>
      <c r="I50" s="411">
        <v>2000.0</v>
      </c>
      <c r="J50" s="411">
        <v>15.5</v>
      </c>
      <c r="K50" s="411">
        <v>75.0</v>
      </c>
      <c r="L50" s="411" t="s">
        <v>166</v>
      </c>
      <c r="M50" s="411">
        <v>2.0</v>
      </c>
      <c r="N50" s="411">
        <v>1.0</v>
      </c>
      <c r="O50" s="411">
        <v>1.0</v>
      </c>
      <c r="P50" s="411" t="s">
        <v>166</v>
      </c>
      <c r="Q50" s="411" t="s">
        <v>166</v>
      </c>
      <c r="R50" s="411" t="s">
        <v>166</v>
      </c>
      <c r="S50" s="411" t="s">
        <v>174</v>
      </c>
      <c r="T50" s="410" t="s">
        <v>3398</v>
      </c>
    </row>
    <row r="51">
      <c r="A51" s="406" t="s">
        <v>1688</v>
      </c>
      <c r="B51" s="407" t="s">
        <v>3395</v>
      </c>
      <c r="C51" s="290" t="s">
        <v>3399</v>
      </c>
      <c r="D51" s="313" t="s">
        <v>3400</v>
      </c>
      <c r="E51" s="408">
        <v>152.6</v>
      </c>
      <c r="F51" s="408">
        <v>115.0</v>
      </c>
      <c r="G51" s="408">
        <v>40.0</v>
      </c>
      <c r="H51" s="408">
        <v>2.0</v>
      </c>
      <c r="I51" s="408">
        <v>2000.0</v>
      </c>
      <c r="J51" s="408">
        <v>15.5</v>
      </c>
      <c r="K51" s="408">
        <v>75.0</v>
      </c>
      <c r="L51" s="408" t="s">
        <v>166</v>
      </c>
      <c r="M51" s="408">
        <v>1.0</v>
      </c>
      <c r="N51" s="408">
        <v>3.0</v>
      </c>
      <c r="O51" s="408">
        <v>1.0</v>
      </c>
      <c r="P51" s="408" t="s">
        <v>166</v>
      </c>
      <c r="Q51" s="408" t="s">
        <v>166</v>
      </c>
      <c r="R51" s="408" t="s">
        <v>166</v>
      </c>
      <c r="S51" s="408" t="s">
        <v>166</v>
      </c>
      <c r="T51" s="407"/>
    </row>
    <row r="52">
      <c r="A52" s="418" t="s">
        <v>3401</v>
      </c>
      <c r="B52" s="419" t="s">
        <v>3402</v>
      </c>
      <c r="C52" s="323" t="s">
        <v>1554</v>
      </c>
      <c r="D52" s="386" t="s">
        <v>3371</v>
      </c>
      <c r="E52" s="222">
        <v>192.0</v>
      </c>
      <c r="F52" s="222">
        <v>111.0</v>
      </c>
      <c r="G52" s="222">
        <v>37.0</v>
      </c>
      <c r="H52" s="411">
        <v>2.0</v>
      </c>
      <c r="I52" s="222">
        <v>1392.0</v>
      </c>
      <c r="J52" s="222">
        <v>7.0</v>
      </c>
      <c r="K52" s="222">
        <v>75.0</v>
      </c>
      <c r="L52" s="222" t="s">
        <v>166</v>
      </c>
      <c r="M52" s="222">
        <v>1.0</v>
      </c>
      <c r="N52" s="222">
        <v>1.0</v>
      </c>
      <c r="O52" s="222">
        <v>1.0</v>
      </c>
      <c r="P52" s="411" t="s">
        <v>166</v>
      </c>
      <c r="Q52" s="222">
        <v>1.0</v>
      </c>
      <c r="R52" s="222" t="s">
        <v>166</v>
      </c>
      <c r="S52" s="222" t="s">
        <v>166</v>
      </c>
      <c r="T52" s="420"/>
    </row>
    <row r="53">
      <c r="A53" s="418" t="s">
        <v>3401</v>
      </c>
      <c r="B53" s="419" t="s">
        <v>3402</v>
      </c>
      <c r="C53" s="323" t="s">
        <v>1554</v>
      </c>
      <c r="D53" s="386" t="s">
        <v>3394</v>
      </c>
      <c r="E53" s="222">
        <v>203.0</v>
      </c>
      <c r="F53" s="222">
        <v>115.0</v>
      </c>
      <c r="G53" s="222">
        <v>38.0</v>
      </c>
      <c r="H53" s="415">
        <v>2.0</v>
      </c>
      <c r="I53" s="222">
        <v>1455.0</v>
      </c>
      <c r="J53" s="222">
        <v>7.0</v>
      </c>
      <c r="K53" s="222">
        <v>75.0</v>
      </c>
      <c r="L53" s="222" t="s">
        <v>166</v>
      </c>
      <c r="M53" s="222">
        <v>2.0</v>
      </c>
      <c r="N53" s="222">
        <v>1.0</v>
      </c>
      <c r="O53" s="222">
        <v>1.0</v>
      </c>
      <c r="P53" s="415" t="s">
        <v>166</v>
      </c>
      <c r="Q53" s="222">
        <v>1.0</v>
      </c>
      <c r="R53" s="222" t="s">
        <v>166</v>
      </c>
      <c r="S53" s="222" t="s">
        <v>166</v>
      </c>
      <c r="T53" s="420"/>
    </row>
    <row r="54">
      <c r="A54" s="421" t="s">
        <v>3401</v>
      </c>
      <c r="B54" s="422" t="s">
        <v>3402</v>
      </c>
      <c r="C54" s="423" t="s">
        <v>1554</v>
      </c>
      <c r="D54" s="424" t="s">
        <v>3403</v>
      </c>
      <c r="E54" s="425">
        <v>203.0</v>
      </c>
      <c r="F54" s="425">
        <v>115.0</v>
      </c>
      <c r="G54" s="425">
        <v>38.0</v>
      </c>
      <c r="H54" s="415">
        <v>2.0</v>
      </c>
      <c r="I54" s="425">
        <v>1442.0</v>
      </c>
      <c r="J54" s="425">
        <v>7.0</v>
      </c>
      <c r="K54" s="425">
        <v>75.0</v>
      </c>
      <c r="L54" s="425" t="s">
        <v>166</v>
      </c>
      <c r="M54" s="425">
        <v>2.0</v>
      </c>
      <c r="N54" s="425">
        <v>1.0</v>
      </c>
      <c r="O54" s="425">
        <v>1.0</v>
      </c>
      <c r="P54" s="415" t="s">
        <v>166</v>
      </c>
      <c r="Q54" s="425">
        <v>1.0</v>
      </c>
      <c r="R54" s="425" t="s">
        <v>166</v>
      </c>
      <c r="S54" s="425" t="s">
        <v>166</v>
      </c>
      <c r="T54" s="426"/>
    </row>
    <row r="55">
      <c r="A55" s="421" t="s">
        <v>3401</v>
      </c>
      <c r="B55" s="422" t="s">
        <v>3402</v>
      </c>
      <c r="C55" s="423" t="s">
        <v>1554</v>
      </c>
      <c r="D55" s="424" t="s">
        <v>3404</v>
      </c>
      <c r="E55" s="425">
        <v>203.0</v>
      </c>
      <c r="F55" s="425">
        <v>115.0</v>
      </c>
      <c r="G55" s="425">
        <v>38.0</v>
      </c>
      <c r="H55" s="415">
        <v>2.0</v>
      </c>
      <c r="I55" s="425">
        <v>1480.0</v>
      </c>
      <c r="J55" s="425">
        <v>7.0</v>
      </c>
      <c r="K55" s="425">
        <v>75.0</v>
      </c>
      <c r="L55" s="425" t="s">
        <v>166</v>
      </c>
      <c r="M55" s="425">
        <v>2.0</v>
      </c>
      <c r="N55" s="425">
        <v>1.0</v>
      </c>
      <c r="O55" s="425">
        <v>1.0</v>
      </c>
      <c r="P55" s="415" t="s">
        <v>166</v>
      </c>
      <c r="Q55" s="425">
        <v>1.0</v>
      </c>
      <c r="R55" s="222" t="s">
        <v>166</v>
      </c>
      <c r="S55" s="222" t="s">
        <v>166</v>
      </c>
      <c r="T55" s="420"/>
    </row>
    <row r="56">
      <c r="A56" s="421" t="s">
        <v>3401</v>
      </c>
      <c r="B56" s="422" t="s">
        <v>3402</v>
      </c>
      <c r="C56" s="324" t="s">
        <v>3405</v>
      </c>
      <c r="D56" s="386" t="s">
        <v>3406</v>
      </c>
      <c r="E56" s="222">
        <v>166.0</v>
      </c>
      <c r="F56" s="222">
        <v>112.0</v>
      </c>
      <c r="G56" s="222">
        <v>38.0</v>
      </c>
      <c r="H56" s="415">
        <v>2.0</v>
      </c>
      <c r="I56" s="222">
        <v>1392.0</v>
      </c>
      <c r="J56" s="425">
        <v>7.0</v>
      </c>
      <c r="K56" s="425">
        <v>75.0</v>
      </c>
      <c r="L56" s="222" t="s">
        <v>166</v>
      </c>
      <c r="M56" s="222">
        <v>1.0</v>
      </c>
      <c r="N56" s="425">
        <v>1.0</v>
      </c>
      <c r="O56" s="425">
        <v>1.0</v>
      </c>
      <c r="P56" s="415" t="s">
        <v>166</v>
      </c>
      <c r="Q56" s="425">
        <v>1.0</v>
      </c>
      <c r="R56" s="222" t="s">
        <v>166</v>
      </c>
      <c r="S56" s="222" t="s">
        <v>166</v>
      </c>
      <c r="T56" s="420"/>
    </row>
    <row r="57">
      <c r="A57" s="421" t="s">
        <v>3401</v>
      </c>
      <c r="B57" s="422" t="s">
        <v>3402</v>
      </c>
      <c r="C57" s="324" t="s">
        <v>3405</v>
      </c>
      <c r="D57" s="386" t="s">
        <v>3407</v>
      </c>
      <c r="E57" s="222">
        <v>181.0</v>
      </c>
      <c r="F57" s="222">
        <v>113.0</v>
      </c>
      <c r="G57" s="222">
        <v>35.0</v>
      </c>
      <c r="H57" s="415">
        <v>2.0</v>
      </c>
      <c r="I57" s="222">
        <v>1417.0</v>
      </c>
      <c r="J57" s="425">
        <v>7.0</v>
      </c>
      <c r="K57" s="425">
        <v>75.0</v>
      </c>
      <c r="L57" s="222" t="s">
        <v>166</v>
      </c>
      <c r="M57" s="222">
        <v>1.0</v>
      </c>
      <c r="N57" s="425">
        <v>1.0</v>
      </c>
      <c r="O57" s="425">
        <v>1.0</v>
      </c>
      <c r="P57" s="415" t="s">
        <v>166</v>
      </c>
      <c r="Q57" s="425">
        <v>1.0</v>
      </c>
      <c r="R57" s="222" t="s">
        <v>166</v>
      </c>
      <c r="S57" s="222" t="s">
        <v>166</v>
      </c>
      <c r="T57" s="420"/>
    </row>
    <row r="58">
      <c r="A58" s="421" t="s">
        <v>3401</v>
      </c>
      <c r="B58" s="422" t="s">
        <v>3402</v>
      </c>
      <c r="C58" s="324" t="s">
        <v>3405</v>
      </c>
      <c r="D58" s="386" t="s">
        <v>3408</v>
      </c>
      <c r="E58" s="222">
        <v>166.0</v>
      </c>
      <c r="F58" s="222">
        <v>112.0</v>
      </c>
      <c r="G58" s="222">
        <v>35.0</v>
      </c>
      <c r="H58" s="415">
        <v>2.0</v>
      </c>
      <c r="I58" s="222">
        <v>1392.0</v>
      </c>
      <c r="J58" s="425">
        <v>7.0</v>
      </c>
      <c r="K58" s="425">
        <v>75.0</v>
      </c>
      <c r="L58" s="222" t="s">
        <v>166</v>
      </c>
      <c r="M58" s="222">
        <v>1.0</v>
      </c>
      <c r="N58" s="425">
        <v>1.0</v>
      </c>
      <c r="O58" s="425">
        <v>1.0</v>
      </c>
      <c r="P58" s="415" t="s">
        <v>166</v>
      </c>
      <c r="Q58" s="425">
        <v>1.0</v>
      </c>
      <c r="R58" s="222" t="s">
        <v>166</v>
      </c>
      <c r="S58" s="222" t="s">
        <v>166</v>
      </c>
      <c r="T58" s="420"/>
    </row>
    <row r="59">
      <c r="A59" s="418" t="s">
        <v>3401</v>
      </c>
      <c r="B59" s="419" t="s">
        <v>3402</v>
      </c>
      <c r="C59" s="323" t="s">
        <v>2340</v>
      </c>
      <c r="D59" s="386" t="s">
        <v>3409</v>
      </c>
      <c r="E59" s="222">
        <v>144.78</v>
      </c>
      <c r="F59" s="222">
        <v>111.15</v>
      </c>
      <c r="G59" s="222">
        <v>40.0</v>
      </c>
      <c r="H59" s="415">
        <v>2.0</v>
      </c>
      <c r="I59" s="222">
        <v>1392.0</v>
      </c>
      <c r="J59" s="222">
        <v>7.0</v>
      </c>
      <c r="K59" s="222">
        <v>75.0</v>
      </c>
      <c r="L59" s="222" t="s">
        <v>166</v>
      </c>
      <c r="M59" s="222">
        <v>1.0</v>
      </c>
      <c r="N59" s="222">
        <v>1.0</v>
      </c>
      <c r="O59" s="222">
        <v>1.0</v>
      </c>
      <c r="P59" s="415" t="s">
        <v>166</v>
      </c>
      <c r="Q59" s="222">
        <v>1.0</v>
      </c>
      <c r="R59" s="222" t="s">
        <v>166</v>
      </c>
      <c r="S59" s="222" t="s">
        <v>166</v>
      </c>
      <c r="T59" s="420"/>
    </row>
    <row r="60">
      <c r="A60" s="418" t="s">
        <v>3401</v>
      </c>
      <c r="B60" s="419" t="s">
        <v>3402</v>
      </c>
      <c r="C60" s="323" t="s">
        <v>2340</v>
      </c>
      <c r="D60" s="386" t="s">
        <v>3410</v>
      </c>
      <c r="E60" s="222">
        <v>144.78</v>
      </c>
      <c r="F60" s="222">
        <v>111.15</v>
      </c>
      <c r="G60" s="222">
        <v>40.0</v>
      </c>
      <c r="H60" s="415">
        <v>2.0</v>
      </c>
      <c r="I60" s="222">
        <v>1468.0</v>
      </c>
      <c r="J60" s="222">
        <v>7.0</v>
      </c>
      <c r="K60" s="222">
        <v>75.0</v>
      </c>
      <c r="L60" s="222" t="s">
        <v>166</v>
      </c>
      <c r="M60" s="222">
        <v>1.0</v>
      </c>
      <c r="N60" s="222">
        <v>1.0</v>
      </c>
      <c r="O60" s="222">
        <v>1.0</v>
      </c>
      <c r="P60" s="415" t="s">
        <v>166</v>
      </c>
      <c r="Q60" s="222">
        <v>1.0</v>
      </c>
      <c r="R60" s="222" t="s">
        <v>166</v>
      </c>
      <c r="S60" s="222" t="s">
        <v>166</v>
      </c>
      <c r="T60" s="420"/>
    </row>
    <row r="61">
      <c r="A61" s="418" t="s">
        <v>3401</v>
      </c>
      <c r="B61" s="419" t="s">
        <v>3402</v>
      </c>
      <c r="C61" s="323" t="s">
        <v>3411</v>
      </c>
      <c r="D61" s="386" t="s">
        <v>3412</v>
      </c>
      <c r="E61" s="222">
        <v>161.0</v>
      </c>
      <c r="F61" s="222">
        <v>112.0</v>
      </c>
      <c r="G61" s="222">
        <v>40.0</v>
      </c>
      <c r="H61" s="415">
        <v>2.0</v>
      </c>
      <c r="I61" s="222">
        <v>1392.0</v>
      </c>
      <c r="J61" s="222">
        <v>7.0</v>
      </c>
      <c r="K61" s="222">
        <v>75.0</v>
      </c>
      <c r="L61" s="222" t="s">
        <v>166</v>
      </c>
      <c r="M61" s="222">
        <v>1.0</v>
      </c>
      <c r="N61" s="222">
        <v>1.0</v>
      </c>
      <c r="O61" s="222">
        <v>1.0</v>
      </c>
      <c r="P61" s="415" t="s">
        <v>166</v>
      </c>
      <c r="Q61" s="222">
        <v>1.0</v>
      </c>
      <c r="R61" s="222" t="s">
        <v>166</v>
      </c>
      <c r="S61" s="222" t="s">
        <v>166</v>
      </c>
      <c r="T61" s="420"/>
    </row>
    <row r="62">
      <c r="A62" s="418" t="s">
        <v>3401</v>
      </c>
      <c r="B62" s="419" t="s">
        <v>3402</v>
      </c>
      <c r="C62" s="323" t="s">
        <v>2367</v>
      </c>
      <c r="D62" s="386" t="s">
        <v>3356</v>
      </c>
      <c r="E62" s="222">
        <v>167.0</v>
      </c>
      <c r="F62" s="222">
        <v>68.9</v>
      </c>
      <c r="G62" s="222">
        <v>37.0</v>
      </c>
      <c r="H62" s="415">
        <v>2.0</v>
      </c>
      <c r="I62" s="222">
        <v>1430.0</v>
      </c>
      <c r="J62" s="222">
        <v>7.0</v>
      </c>
      <c r="K62" s="222">
        <v>75.0</v>
      </c>
      <c r="L62" s="222" t="s">
        <v>166</v>
      </c>
      <c r="M62" s="222">
        <v>1.0</v>
      </c>
      <c r="N62" s="222">
        <v>1.0</v>
      </c>
      <c r="O62" s="222">
        <v>2.0</v>
      </c>
      <c r="P62" s="415" t="s">
        <v>166</v>
      </c>
      <c r="Q62" s="222">
        <v>1.0</v>
      </c>
      <c r="R62" s="222" t="s">
        <v>166</v>
      </c>
      <c r="S62" s="222" t="s">
        <v>174</v>
      </c>
      <c r="T62" s="389"/>
    </row>
    <row r="63">
      <c r="A63" s="418" t="s">
        <v>3401</v>
      </c>
      <c r="B63" s="419" t="s">
        <v>3402</v>
      </c>
      <c r="C63" s="323" t="s">
        <v>2367</v>
      </c>
      <c r="D63" s="427" t="s">
        <v>3413</v>
      </c>
      <c r="E63" s="222">
        <v>167.0</v>
      </c>
      <c r="F63" s="222">
        <v>68.9</v>
      </c>
      <c r="G63" s="222">
        <v>37.0</v>
      </c>
      <c r="H63" s="415">
        <v>2.0</v>
      </c>
      <c r="I63" s="222">
        <v>1442.0</v>
      </c>
      <c r="J63" s="222">
        <v>7.0</v>
      </c>
      <c r="K63" s="222">
        <v>75.0</v>
      </c>
      <c r="L63" s="222" t="s">
        <v>166</v>
      </c>
      <c r="M63" s="222">
        <v>1.0</v>
      </c>
      <c r="N63" s="222">
        <v>1.0</v>
      </c>
      <c r="O63" s="222">
        <v>2.0</v>
      </c>
      <c r="P63" s="415" t="s">
        <v>166</v>
      </c>
      <c r="Q63" s="222">
        <v>1.0</v>
      </c>
      <c r="R63" s="222" t="s">
        <v>166</v>
      </c>
      <c r="S63" s="222" t="s">
        <v>174</v>
      </c>
      <c r="T63" s="389"/>
    </row>
    <row r="64">
      <c r="A64" s="418" t="s">
        <v>3401</v>
      </c>
      <c r="B64" s="419" t="s">
        <v>3402</v>
      </c>
      <c r="C64" s="323" t="s">
        <v>2367</v>
      </c>
      <c r="D64" s="427" t="s">
        <v>3414</v>
      </c>
      <c r="E64" s="222">
        <v>172.0</v>
      </c>
      <c r="F64" s="222">
        <v>113.0</v>
      </c>
      <c r="G64" s="222">
        <v>30.0</v>
      </c>
      <c r="H64" s="415">
        <v>2.0</v>
      </c>
      <c r="I64" s="222">
        <v>1430.0</v>
      </c>
      <c r="J64" s="222">
        <v>7.0</v>
      </c>
      <c r="K64" s="222">
        <v>75.0</v>
      </c>
      <c r="L64" s="222" t="s">
        <v>166</v>
      </c>
      <c r="M64" s="222">
        <v>1.0</v>
      </c>
      <c r="N64" s="222">
        <v>1.0</v>
      </c>
      <c r="O64" s="222">
        <v>1.0</v>
      </c>
      <c r="P64" s="415" t="s">
        <v>166</v>
      </c>
      <c r="Q64" s="222">
        <v>1.0</v>
      </c>
      <c r="R64" s="222" t="s">
        <v>166</v>
      </c>
      <c r="S64" s="222" t="s">
        <v>166</v>
      </c>
      <c r="T64" s="420"/>
    </row>
    <row r="65">
      <c r="A65" s="418" t="s">
        <v>3401</v>
      </c>
      <c r="B65" s="419" t="s">
        <v>3402</v>
      </c>
      <c r="C65" s="323" t="s">
        <v>2367</v>
      </c>
      <c r="D65" s="427" t="s">
        <v>3415</v>
      </c>
      <c r="E65" s="222">
        <v>191.0</v>
      </c>
      <c r="F65" s="222">
        <v>111.0</v>
      </c>
      <c r="G65" s="222">
        <v>36.0</v>
      </c>
      <c r="H65" s="415">
        <v>2.0</v>
      </c>
      <c r="I65" s="222">
        <v>1455.0</v>
      </c>
      <c r="J65" s="222">
        <v>7.0</v>
      </c>
      <c r="K65" s="222">
        <v>75.0</v>
      </c>
      <c r="L65" s="222" t="s">
        <v>166</v>
      </c>
      <c r="M65" s="222">
        <v>2.0</v>
      </c>
      <c r="N65" s="222">
        <v>1.0</v>
      </c>
      <c r="O65" s="222">
        <v>1.0</v>
      </c>
      <c r="P65" s="415" t="s">
        <v>166</v>
      </c>
      <c r="Q65" s="222">
        <v>1.0</v>
      </c>
      <c r="R65" s="222" t="s">
        <v>166</v>
      </c>
      <c r="S65" s="222" t="s">
        <v>166</v>
      </c>
      <c r="T65" s="420"/>
    </row>
    <row r="66">
      <c r="A66" s="418" t="s">
        <v>3401</v>
      </c>
      <c r="B66" s="419" t="s">
        <v>3402</v>
      </c>
      <c r="C66" s="323" t="s">
        <v>3416</v>
      </c>
      <c r="D66" s="388" t="s">
        <v>3417</v>
      </c>
      <c r="E66" s="222">
        <v>211.0</v>
      </c>
      <c r="F66" s="222">
        <v>99.8</v>
      </c>
      <c r="G66" s="222">
        <v>20.0</v>
      </c>
      <c r="H66" s="222">
        <v>1.0</v>
      </c>
      <c r="I66" s="222">
        <v>1392.0</v>
      </c>
      <c r="J66" s="222">
        <v>7.0</v>
      </c>
      <c r="K66" s="222">
        <v>75.0</v>
      </c>
      <c r="L66" s="222" t="s">
        <v>166</v>
      </c>
      <c r="M66" s="222">
        <v>1.0</v>
      </c>
      <c r="N66" s="222">
        <v>1.0</v>
      </c>
      <c r="O66" s="222">
        <v>1.0</v>
      </c>
      <c r="P66" s="415" t="s">
        <v>166</v>
      </c>
      <c r="Q66" s="222">
        <v>1.0</v>
      </c>
      <c r="R66" s="222" t="s">
        <v>166</v>
      </c>
      <c r="S66" s="222" t="s">
        <v>166</v>
      </c>
      <c r="T66" s="389"/>
    </row>
    <row r="67">
      <c r="A67" s="418" t="s">
        <v>3401</v>
      </c>
      <c r="B67" s="419" t="s">
        <v>3402</v>
      </c>
      <c r="C67" s="323" t="s">
        <v>3416</v>
      </c>
      <c r="D67" s="388" t="s">
        <v>3418</v>
      </c>
      <c r="E67" s="222">
        <v>145.0</v>
      </c>
      <c r="F67" s="222">
        <v>99.8</v>
      </c>
      <c r="G67" s="222">
        <v>40.0</v>
      </c>
      <c r="H67" s="415">
        <v>2.0</v>
      </c>
      <c r="I67" s="222">
        <v>1392.0</v>
      </c>
      <c r="J67" s="222">
        <v>7.0</v>
      </c>
      <c r="K67" s="222">
        <v>75.0</v>
      </c>
      <c r="L67" s="222" t="s">
        <v>166</v>
      </c>
      <c r="M67" s="222">
        <v>1.0</v>
      </c>
      <c r="N67" s="222">
        <v>1.0</v>
      </c>
      <c r="O67" s="222">
        <v>1.0</v>
      </c>
      <c r="P67" s="415" t="s">
        <v>166</v>
      </c>
      <c r="Q67" s="222">
        <v>1.0</v>
      </c>
      <c r="R67" s="222" t="s">
        <v>166</v>
      </c>
      <c r="S67" s="222" t="s">
        <v>166</v>
      </c>
      <c r="T67" s="420"/>
    </row>
    <row r="68">
      <c r="A68" s="418" t="s">
        <v>3401</v>
      </c>
      <c r="B68" s="419" t="s">
        <v>3402</v>
      </c>
      <c r="C68" s="323" t="s">
        <v>3416</v>
      </c>
      <c r="D68" s="388" t="s">
        <v>1145</v>
      </c>
      <c r="E68" s="222">
        <v>195.0</v>
      </c>
      <c r="F68" s="222">
        <v>99.8</v>
      </c>
      <c r="G68" s="222">
        <v>40.0</v>
      </c>
      <c r="H68" s="415">
        <v>2.0</v>
      </c>
      <c r="I68" s="222">
        <v>1392.0</v>
      </c>
      <c r="J68" s="222">
        <v>7.0</v>
      </c>
      <c r="K68" s="222">
        <v>75.0</v>
      </c>
      <c r="L68" s="222" t="s">
        <v>166</v>
      </c>
      <c r="M68" s="222">
        <v>2.0</v>
      </c>
      <c r="N68" s="222">
        <v>1.0</v>
      </c>
      <c r="O68" s="222">
        <v>1.0</v>
      </c>
      <c r="P68" s="415" t="s">
        <v>166</v>
      </c>
      <c r="Q68" s="222">
        <v>1.0</v>
      </c>
      <c r="R68" s="222" t="s">
        <v>166</v>
      </c>
      <c r="S68" s="222" t="s">
        <v>166</v>
      </c>
      <c r="T68" s="420"/>
    </row>
    <row r="69">
      <c r="A69" s="418" t="s">
        <v>3401</v>
      </c>
      <c r="B69" s="419" t="s">
        <v>3402</v>
      </c>
      <c r="C69" s="323" t="s">
        <v>3419</v>
      </c>
      <c r="D69" s="388" t="s">
        <v>3420</v>
      </c>
      <c r="E69" s="222">
        <v>175.0</v>
      </c>
      <c r="F69" s="222">
        <v>128.0</v>
      </c>
      <c r="G69" s="222">
        <v>42.0</v>
      </c>
      <c r="H69" s="415">
        <v>2.0</v>
      </c>
      <c r="I69" s="222">
        <v>1392.0</v>
      </c>
      <c r="J69" s="222">
        <v>7.0</v>
      </c>
      <c r="K69" s="222">
        <v>75.0</v>
      </c>
      <c r="L69" s="222" t="s">
        <v>166</v>
      </c>
      <c r="M69" s="222">
        <v>1.0</v>
      </c>
      <c r="N69" s="222">
        <v>1.0</v>
      </c>
      <c r="O69" s="222">
        <v>1.0</v>
      </c>
      <c r="P69" s="415" t="s">
        <v>166</v>
      </c>
      <c r="Q69" s="222">
        <v>1.0</v>
      </c>
      <c r="R69" s="222" t="s">
        <v>166</v>
      </c>
      <c r="S69" s="222" t="s">
        <v>166</v>
      </c>
      <c r="T69" s="420"/>
    </row>
    <row r="70">
      <c r="A70" s="418" t="s">
        <v>3401</v>
      </c>
      <c r="B70" s="419" t="s">
        <v>3402</v>
      </c>
      <c r="C70" s="323" t="s">
        <v>3419</v>
      </c>
      <c r="D70" s="388" t="s">
        <v>3421</v>
      </c>
      <c r="E70" s="222">
        <v>165.0</v>
      </c>
      <c r="F70" s="222">
        <v>128.0</v>
      </c>
      <c r="G70" s="222">
        <v>42.0</v>
      </c>
      <c r="H70" s="415">
        <v>2.0</v>
      </c>
      <c r="I70" s="222">
        <v>1392.0</v>
      </c>
      <c r="J70" s="222">
        <v>7.0</v>
      </c>
      <c r="K70" s="222">
        <v>75.0</v>
      </c>
      <c r="L70" s="222" t="s">
        <v>166</v>
      </c>
      <c r="M70" s="222">
        <v>1.0</v>
      </c>
      <c r="N70" s="222">
        <v>1.0</v>
      </c>
      <c r="O70" s="222">
        <v>1.0</v>
      </c>
      <c r="P70" s="415" t="s">
        <v>166</v>
      </c>
      <c r="Q70" s="222">
        <v>1.0</v>
      </c>
      <c r="R70" s="222" t="s">
        <v>166</v>
      </c>
      <c r="S70" s="222" t="s">
        <v>166</v>
      </c>
      <c r="T70" s="420"/>
    </row>
    <row r="71">
      <c r="A71" s="418" t="s">
        <v>3401</v>
      </c>
      <c r="B71" s="419" t="s">
        <v>3402</v>
      </c>
      <c r="C71" s="323" t="s">
        <v>3419</v>
      </c>
      <c r="D71" s="388" t="s">
        <v>3422</v>
      </c>
      <c r="E71" s="222">
        <v>165.0</v>
      </c>
      <c r="F71" s="222">
        <v>126.0</v>
      </c>
      <c r="G71" s="222">
        <v>42.0</v>
      </c>
      <c r="H71" s="415">
        <v>2.0</v>
      </c>
      <c r="I71" s="222">
        <v>1392.0</v>
      </c>
      <c r="J71" s="222">
        <v>7.0</v>
      </c>
      <c r="K71" s="222">
        <v>75.0</v>
      </c>
      <c r="L71" s="222" t="s">
        <v>166</v>
      </c>
      <c r="M71" s="222">
        <v>1.0</v>
      </c>
      <c r="N71" s="222">
        <v>1.0</v>
      </c>
      <c r="O71" s="222">
        <v>1.0</v>
      </c>
      <c r="P71" s="415" t="s">
        <v>166</v>
      </c>
      <c r="Q71" s="222">
        <v>1.0</v>
      </c>
      <c r="R71" s="222" t="s">
        <v>166</v>
      </c>
      <c r="S71" s="222" t="s">
        <v>166</v>
      </c>
      <c r="T71" s="420"/>
    </row>
    <row r="72">
      <c r="A72" s="418" t="s">
        <v>3401</v>
      </c>
      <c r="B72" s="419" t="s">
        <v>3402</v>
      </c>
      <c r="C72" s="323" t="s">
        <v>3419</v>
      </c>
      <c r="D72" s="388" t="s">
        <v>3423</v>
      </c>
      <c r="E72" s="222">
        <v>200.0</v>
      </c>
      <c r="F72" s="222">
        <v>126.0</v>
      </c>
      <c r="G72" s="222">
        <v>42.0</v>
      </c>
      <c r="H72" s="415">
        <v>2.0</v>
      </c>
      <c r="I72" s="222">
        <v>1392.0</v>
      </c>
      <c r="J72" s="222">
        <v>7.0</v>
      </c>
      <c r="K72" s="222">
        <v>75.0</v>
      </c>
      <c r="L72" s="222" t="s">
        <v>166</v>
      </c>
      <c r="M72" s="222">
        <v>2.0</v>
      </c>
      <c r="N72" s="222">
        <v>1.0</v>
      </c>
      <c r="O72" s="222">
        <v>1.0</v>
      </c>
      <c r="P72" s="415" t="s">
        <v>166</v>
      </c>
      <c r="Q72" s="222">
        <v>1.0</v>
      </c>
      <c r="R72" s="222" t="s">
        <v>166</v>
      </c>
      <c r="S72" s="222" t="s">
        <v>166</v>
      </c>
      <c r="T72" s="420"/>
    </row>
    <row r="73">
      <c r="A73" s="418" t="s">
        <v>3401</v>
      </c>
      <c r="B73" s="419" t="s">
        <v>3402</v>
      </c>
      <c r="C73" s="323" t="s">
        <v>3424</v>
      </c>
      <c r="D73" s="427" t="s">
        <v>3425</v>
      </c>
      <c r="E73" s="222">
        <v>182.0</v>
      </c>
      <c r="F73" s="222">
        <v>69.0</v>
      </c>
      <c r="G73" s="222">
        <v>35.0</v>
      </c>
      <c r="H73" s="415">
        <v>2.0</v>
      </c>
      <c r="I73" s="222">
        <v>1392.0</v>
      </c>
      <c r="J73" s="222">
        <v>7.0</v>
      </c>
      <c r="K73" s="222">
        <v>75.0</v>
      </c>
      <c r="L73" s="222" t="s">
        <v>166</v>
      </c>
      <c r="M73" s="222">
        <v>2.0</v>
      </c>
      <c r="N73" s="222">
        <v>1.0</v>
      </c>
      <c r="O73" s="222">
        <v>1.0</v>
      </c>
      <c r="P73" s="415" t="s">
        <v>166</v>
      </c>
      <c r="Q73" s="222">
        <v>1.0</v>
      </c>
      <c r="R73" s="222" t="s">
        <v>166</v>
      </c>
      <c r="S73" s="222" t="s">
        <v>174</v>
      </c>
      <c r="T73" s="389"/>
    </row>
    <row r="74">
      <c r="A74" s="418" t="s">
        <v>3401</v>
      </c>
      <c r="B74" s="419" t="s">
        <v>3402</v>
      </c>
      <c r="C74" s="323" t="s">
        <v>3424</v>
      </c>
      <c r="D74" s="427" t="s">
        <v>3426</v>
      </c>
      <c r="E74" s="222">
        <v>182.0</v>
      </c>
      <c r="F74" s="222">
        <v>69.0</v>
      </c>
      <c r="G74" s="222">
        <v>35.0</v>
      </c>
      <c r="H74" s="415">
        <v>2.0</v>
      </c>
      <c r="I74" s="222">
        <v>1392.0</v>
      </c>
      <c r="J74" s="222">
        <v>7.0</v>
      </c>
      <c r="K74" s="222">
        <v>75.0</v>
      </c>
      <c r="L74" s="222" t="s">
        <v>166</v>
      </c>
      <c r="M74" s="222">
        <v>2.0</v>
      </c>
      <c r="N74" s="222">
        <v>1.0</v>
      </c>
      <c r="O74" s="222">
        <v>1.0</v>
      </c>
      <c r="P74" s="415" t="s">
        <v>166</v>
      </c>
      <c r="Q74" s="222">
        <v>1.0</v>
      </c>
      <c r="R74" s="222" t="s">
        <v>166</v>
      </c>
      <c r="S74" s="222" t="s">
        <v>174</v>
      </c>
      <c r="T74" s="389"/>
    </row>
    <row r="75">
      <c r="A75" s="428" t="s">
        <v>3401</v>
      </c>
      <c r="B75" s="429" t="s">
        <v>3402</v>
      </c>
      <c r="C75" s="430" t="s">
        <v>3424</v>
      </c>
      <c r="D75" s="427" t="s">
        <v>3427</v>
      </c>
      <c r="E75" s="431">
        <v>182.0</v>
      </c>
      <c r="F75" s="432">
        <v>69.0</v>
      </c>
      <c r="G75" s="433">
        <v>35.0</v>
      </c>
      <c r="H75" s="415">
        <v>2.0</v>
      </c>
      <c r="I75" s="222">
        <v>1392.0</v>
      </c>
      <c r="J75" s="311">
        <v>7.0</v>
      </c>
      <c r="K75" s="434">
        <v>75.0</v>
      </c>
      <c r="L75" s="307" t="s">
        <v>166</v>
      </c>
      <c r="M75" s="307">
        <v>2.0</v>
      </c>
      <c r="N75" s="307">
        <v>1.0</v>
      </c>
      <c r="O75" s="307">
        <v>1.0</v>
      </c>
      <c r="P75" s="307" t="s">
        <v>166</v>
      </c>
      <c r="Q75" s="307">
        <v>1.0</v>
      </c>
      <c r="R75" s="309" t="s">
        <v>166</v>
      </c>
      <c r="S75" s="309" t="s">
        <v>174</v>
      </c>
      <c r="T75" s="429"/>
    </row>
    <row r="76">
      <c r="A76" s="418" t="s">
        <v>3401</v>
      </c>
      <c r="B76" s="419" t="s">
        <v>3402</v>
      </c>
      <c r="C76" s="323" t="s">
        <v>3424</v>
      </c>
      <c r="D76" s="427" t="s">
        <v>3428</v>
      </c>
      <c r="E76" s="222">
        <v>177.0</v>
      </c>
      <c r="F76" s="222">
        <v>118.0</v>
      </c>
      <c r="G76" s="222">
        <v>34.0</v>
      </c>
      <c r="H76" s="415">
        <v>2.0</v>
      </c>
      <c r="I76" s="222">
        <v>1392.0</v>
      </c>
      <c r="J76" s="222">
        <v>7.0</v>
      </c>
      <c r="K76" s="222">
        <v>75.0</v>
      </c>
      <c r="L76" s="222" t="s">
        <v>166</v>
      </c>
      <c r="M76" s="222">
        <v>1.0</v>
      </c>
      <c r="N76" s="222">
        <v>1.0</v>
      </c>
      <c r="O76" s="222">
        <v>1.0</v>
      </c>
      <c r="P76" s="415" t="s">
        <v>166</v>
      </c>
      <c r="Q76" s="222">
        <v>1.0</v>
      </c>
      <c r="R76" s="222" t="s">
        <v>166</v>
      </c>
      <c r="S76" s="222" t="s">
        <v>166</v>
      </c>
      <c r="T76" s="420"/>
    </row>
    <row r="77">
      <c r="A77" s="418" t="s">
        <v>3401</v>
      </c>
      <c r="B77" s="419" t="s">
        <v>3402</v>
      </c>
      <c r="C77" s="323" t="s">
        <v>3424</v>
      </c>
      <c r="D77" s="427" t="s">
        <v>3429</v>
      </c>
      <c r="E77" s="222">
        <v>177.0</v>
      </c>
      <c r="F77" s="222">
        <v>118.0</v>
      </c>
      <c r="G77" s="222">
        <v>34.0</v>
      </c>
      <c r="H77" s="415">
        <v>2.0</v>
      </c>
      <c r="I77" s="222">
        <v>1455.0</v>
      </c>
      <c r="J77" s="222">
        <v>7.0</v>
      </c>
      <c r="K77" s="222">
        <v>75.0</v>
      </c>
      <c r="L77" s="222" t="s">
        <v>166</v>
      </c>
      <c r="M77" s="222">
        <v>1.0</v>
      </c>
      <c r="N77" s="222">
        <v>1.0</v>
      </c>
      <c r="O77" s="222">
        <v>1.0</v>
      </c>
      <c r="P77" s="415" t="s">
        <v>166</v>
      </c>
      <c r="Q77" s="222">
        <v>1.0</v>
      </c>
      <c r="R77" s="222" t="s">
        <v>166</v>
      </c>
      <c r="S77" s="222" t="s">
        <v>166</v>
      </c>
      <c r="T77" s="389"/>
    </row>
    <row r="78">
      <c r="A78" s="428" t="s">
        <v>3401</v>
      </c>
      <c r="B78" s="429" t="s">
        <v>3402</v>
      </c>
      <c r="C78" s="430" t="s">
        <v>3424</v>
      </c>
      <c r="D78" s="427" t="s">
        <v>3430</v>
      </c>
      <c r="E78" s="435">
        <v>177.0</v>
      </c>
      <c r="F78" s="436">
        <v>118.0</v>
      </c>
      <c r="G78" s="437">
        <v>34.0</v>
      </c>
      <c r="H78" s="415">
        <v>2.0</v>
      </c>
      <c r="I78" s="222">
        <v>1392.0</v>
      </c>
      <c r="J78" s="311">
        <v>7.0</v>
      </c>
      <c r="K78" s="434">
        <v>75.0</v>
      </c>
      <c r="L78" s="307" t="s">
        <v>166</v>
      </c>
      <c r="M78" s="307">
        <v>1.0</v>
      </c>
      <c r="N78" s="307">
        <v>1.0</v>
      </c>
      <c r="O78" s="307">
        <v>1.0</v>
      </c>
      <c r="P78" s="307" t="s">
        <v>166</v>
      </c>
      <c r="Q78" s="307">
        <v>1.0</v>
      </c>
      <c r="R78" s="222" t="s">
        <v>166</v>
      </c>
      <c r="S78" s="222" t="s">
        <v>166</v>
      </c>
      <c r="T78" s="389"/>
    </row>
    <row r="79">
      <c r="A79" s="428" t="s">
        <v>3401</v>
      </c>
      <c r="B79" s="429" t="s">
        <v>3402</v>
      </c>
      <c r="C79" s="430" t="s">
        <v>3424</v>
      </c>
      <c r="D79" s="427" t="s">
        <v>3431</v>
      </c>
      <c r="E79" s="435">
        <v>177.0</v>
      </c>
      <c r="F79" s="436">
        <v>118.0</v>
      </c>
      <c r="G79" s="437">
        <v>34.0</v>
      </c>
      <c r="H79" s="415">
        <v>2.0</v>
      </c>
      <c r="I79" s="222">
        <v>1455.0</v>
      </c>
      <c r="J79" s="311">
        <v>7.0</v>
      </c>
      <c r="K79" s="434">
        <v>75.0</v>
      </c>
      <c r="L79" s="307" t="s">
        <v>166</v>
      </c>
      <c r="M79" s="307">
        <v>1.0</v>
      </c>
      <c r="N79" s="307">
        <v>1.0</v>
      </c>
      <c r="O79" s="307">
        <v>1.0</v>
      </c>
      <c r="P79" s="307" t="s">
        <v>166</v>
      </c>
      <c r="Q79" s="307">
        <v>1.0</v>
      </c>
      <c r="R79" s="222" t="s">
        <v>166</v>
      </c>
      <c r="S79" s="222" t="s">
        <v>166</v>
      </c>
      <c r="T79" s="389"/>
    </row>
    <row r="80">
      <c r="A80" s="418" t="s">
        <v>3401</v>
      </c>
      <c r="B80" s="419" t="s">
        <v>3402</v>
      </c>
      <c r="C80" s="323" t="s">
        <v>3424</v>
      </c>
      <c r="D80" s="386" t="s">
        <v>3432</v>
      </c>
      <c r="E80" s="222">
        <v>215.0</v>
      </c>
      <c r="F80" s="222">
        <v>112.0</v>
      </c>
      <c r="G80" s="222">
        <v>38.0</v>
      </c>
      <c r="H80" s="415">
        <v>2.0</v>
      </c>
      <c r="I80" s="222">
        <v>1455.0</v>
      </c>
      <c r="J80" s="222">
        <v>7.0</v>
      </c>
      <c r="K80" s="222">
        <v>75.0</v>
      </c>
      <c r="L80" s="222" t="s">
        <v>166</v>
      </c>
      <c r="M80" s="222">
        <v>2.0</v>
      </c>
      <c r="N80" s="222">
        <v>1.0</v>
      </c>
      <c r="O80" s="222">
        <v>1.0</v>
      </c>
      <c r="P80" s="415" t="s">
        <v>166</v>
      </c>
      <c r="Q80" s="222">
        <v>1.0</v>
      </c>
      <c r="R80" s="222" t="s">
        <v>166</v>
      </c>
      <c r="S80" s="222" t="s">
        <v>166</v>
      </c>
      <c r="T80" s="420"/>
    </row>
    <row r="81">
      <c r="A81" s="418" t="s">
        <v>3401</v>
      </c>
      <c r="B81" s="419" t="s">
        <v>3402</v>
      </c>
      <c r="C81" s="323" t="s">
        <v>3424</v>
      </c>
      <c r="D81" s="386" t="s">
        <v>3433</v>
      </c>
      <c r="E81" s="222">
        <v>215.0</v>
      </c>
      <c r="F81" s="222">
        <v>112.0</v>
      </c>
      <c r="G81" s="222">
        <v>38.0</v>
      </c>
      <c r="H81" s="415">
        <v>2.0</v>
      </c>
      <c r="I81" s="222">
        <v>1455.0</v>
      </c>
      <c r="J81" s="222">
        <v>7.0</v>
      </c>
      <c r="K81" s="222">
        <v>75.0</v>
      </c>
      <c r="L81" s="222" t="s">
        <v>166</v>
      </c>
      <c r="M81" s="222">
        <v>2.0</v>
      </c>
      <c r="N81" s="222">
        <v>1.0</v>
      </c>
      <c r="O81" s="222">
        <v>1.0</v>
      </c>
      <c r="P81" s="415" t="s">
        <v>166</v>
      </c>
      <c r="Q81" s="222">
        <v>1.0</v>
      </c>
      <c r="R81" s="222" t="s">
        <v>166</v>
      </c>
      <c r="S81" s="222" t="s">
        <v>166</v>
      </c>
      <c r="T81" s="420"/>
    </row>
    <row r="82">
      <c r="A82" s="418" t="s">
        <v>3401</v>
      </c>
      <c r="B82" s="419" t="s">
        <v>3402</v>
      </c>
      <c r="C82" s="323" t="s">
        <v>3424</v>
      </c>
      <c r="D82" s="386" t="s">
        <v>3434</v>
      </c>
      <c r="E82" s="222">
        <v>155.0</v>
      </c>
      <c r="F82" s="222">
        <v>112.0</v>
      </c>
      <c r="G82" s="222">
        <v>37.0</v>
      </c>
      <c r="H82" s="415">
        <v>2.0</v>
      </c>
      <c r="I82" s="222">
        <v>1455.0</v>
      </c>
      <c r="J82" s="222">
        <v>7.0</v>
      </c>
      <c r="K82" s="222">
        <v>75.0</v>
      </c>
      <c r="L82" s="222" t="s">
        <v>166</v>
      </c>
      <c r="M82" s="222">
        <v>1.0</v>
      </c>
      <c r="N82" s="222">
        <v>1.0</v>
      </c>
      <c r="O82" s="222">
        <v>1.0</v>
      </c>
      <c r="P82" s="415" t="s">
        <v>166</v>
      </c>
      <c r="Q82" s="222">
        <v>1.0</v>
      </c>
      <c r="R82" s="222" t="s">
        <v>166</v>
      </c>
      <c r="S82" s="222" t="s">
        <v>166</v>
      </c>
      <c r="T82" s="420"/>
    </row>
    <row r="83">
      <c r="A83" s="418" t="s">
        <v>3401</v>
      </c>
      <c r="B83" s="419" t="s">
        <v>3402</v>
      </c>
      <c r="C83" s="323" t="s">
        <v>3424</v>
      </c>
      <c r="D83" s="386" t="s">
        <v>3435</v>
      </c>
      <c r="E83" s="222">
        <v>155.0</v>
      </c>
      <c r="F83" s="222">
        <v>112.0</v>
      </c>
      <c r="G83" s="222">
        <v>37.0</v>
      </c>
      <c r="H83" s="415">
        <v>2.0</v>
      </c>
      <c r="I83" s="222">
        <v>1455.0</v>
      </c>
      <c r="J83" s="222">
        <v>7.0</v>
      </c>
      <c r="K83" s="222">
        <v>75.0</v>
      </c>
      <c r="L83" s="222" t="s">
        <v>166</v>
      </c>
      <c r="M83" s="222">
        <v>1.0</v>
      </c>
      <c r="N83" s="222">
        <v>1.0</v>
      </c>
      <c r="O83" s="222">
        <v>1.0</v>
      </c>
      <c r="P83" s="415" t="s">
        <v>166</v>
      </c>
      <c r="Q83" s="222">
        <v>1.0</v>
      </c>
      <c r="R83" s="222" t="s">
        <v>166</v>
      </c>
      <c r="S83" s="222" t="s">
        <v>166</v>
      </c>
      <c r="T83" s="420"/>
    </row>
    <row r="84">
      <c r="A84" s="418" t="s">
        <v>3401</v>
      </c>
      <c r="B84" s="419" t="s">
        <v>3402</v>
      </c>
      <c r="C84" s="323" t="s">
        <v>3436</v>
      </c>
      <c r="D84" s="427" t="s">
        <v>3437</v>
      </c>
      <c r="E84" s="222">
        <v>182.0</v>
      </c>
      <c r="F84" s="222">
        <v>142.0</v>
      </c>
      <c r="G84" s="222">
        <v>40.0</v>
      </c>
      <c r="H84" s="415">
        <v>2.0</v>
      </c>
      <c r="I84" s="222">
        <v>1392.0</v>
      </c>
      <c r="J84" s="222">
        <v>7.0</v>
      </c>
      <c r="K84" s="222">
        <v>75.0</v>
      </c>
      <c r="L84" s="222" t="s">
        <v>166</v>
      </c>
      <c r="M84" s="222" t="s">
        <v>166</v>
      </c>
      <c r="N84" s="222">
        <v>1.0</v>
      </c>
      <c r="O84" s="222">
        <v>1.0</v>
      </c>
      <c r="P84" s="415" t="s">
        <v>166</v>
      </c>
      <c r="Q84" s="222">
        <v>1.0</v>
      </c>
      <c r="R84" s="222" t="s">
        <v>166</v>
      </c>
      <c r="S84" s="222" t="s">
        <v>166</v>
      </c>
      <c r="T84" s="389" t="s">
        <v>3438</v>
      </c>
    </row>
    <row r="85">
      <c r="A85" s="418" t="s">
        <v>3401</v>
      </c>
      <c r="B85" s="419" t="s">
        <v>3402</v>
      </c>
      <c r="C85" s="323" t="s">
        <v>3436</v>
      </c>
      <c r="D85" s="427" t="s">
        <v>3439</v>
      </c>
      <c r="E85" s="222">
        <v>166.0</v>
      </c>
      <c r="F85" s="222">
        <v>112.0</v>
      </c>
      <c r="G85" s="222">
        <v>40.0</v>
      </c>
      <c r="H85" s="415">
        <v>2.0</v>
      </c>
      <c r="I85" s="222">
        <v>1392.0</v>
      </c>
      <c r="J85" s="222">
        <v>7.0</v>
      </c>
      <c r="K85" s="222">
        <v>75.0</v>
      </c>
      <c r="L85" s="222" t="s">
        <v>166</v>
      </c>
      <c r="M85" s="222">
        <v>1.0</v>
      </c>
      <c r="N85" s="222">
        <v>1.0</v>
      </c>
      <c r="O85" s="222">
        <v>1.0</v>
      </c>
      <c r="P85" s="415" t="s">
        <v>166</v>
      </c>
      <c r="Q85" s="222">
        <v>1.0</v>
      </c>
      <c r="R85" s="222" t="s">
        <v>166</v>
      </c>
      <c r="S85" s="222" t="s">
        <v>166</v>
      </c>
      <c r="T85" s="420"/>
    </row>
    <row r="86">
      <c r="A86" s="418" t="s">
        <v>3401</v>
      </c>
      <c r="B86" s="419" t="s">
        <v>3402</v>
      </c>
      <c r="C86" s="323" t="s">
        <v>3440</v>
      </c>
      <c r="D86" s="427" t="s">
        <v>3356</v>
      </c>
      <c r="E86" s="222">
        <v>174.0</v>
      </c>
      <c r="F86" s="222">
        <v>70.0</v>
      </c>
      <c r="G86" s="222">
        <v>35.3</v>
      </c>
      <c r="H86" s="415">
        <v>2.0</v>
      </c>
      <c r="I86" s="222">
        <v>1392.0</v>
      </c>
      <c r="J86" s="222">
        <v>7.0</v>
      </c>
      <c r="K86" s="222">
        <v>75.0</v>
      </c>
      <c r="L86" s="222" t="s">
        <v>166</v>
      </c>
      <c r="M86" s="222">
        <v>2.0</v>
      </c>
      <c r="N86" s="222">
        <v>1.0</v>
      </c>
      <c r="O86" s="222">
        <v>1.0</v>
      </c>
      <c r="P86" s="415" t="s">
        <v>166</v>
      </c>
      <c r="Q86" s="222">
        <v>1.0</v>
      </c>
      <c r="R86" s="222" t="s">
        <v>166</v>
      </c>
      <c r="S86" s="222" t="s">
        <v>174</v>
      </c>
      <c r="T86" s="389"/>
    </row>
    <row r="87">
      <c r="A87" s="418" t="s">
        <v>3401</v>
      </c>
      <c r="B87" s="419" t="s">
        <v>3402</v>
      </c>
      <c r="C87" s="323" t="s">
        <v>3440</v>
      </c>
      <c r="D87" s="427" t="s">
        <v>3441</v>
      </c>
      <c r="E87" s="222">
        <v>144.78</v>
      </c>
      <c r="F87" s="222">
        <v>111.15</v>
      </c>
      <c r="G87" s="222">
        <v>40.0</v>
      </c>
      <c r="H87" s="415">
        <v>2.0</v>
      </c>
      <c r="I87" s="222">
        <v>1417.0</v>
      </c>
      <c r="J87" s="222">
        <v>7.0</v>
      </c>
      <c r="K87" s="222">
        <v>75.0</v>
      </c>
      <c r="L87" s="222" t="s">
        <v>166</v>
      </c>
      <c r="M87" s="222">
        <v>1.0</v>
      </c>
      <c r="N87" s="222">
        <v>1.0</v>
      </c>
      <c r="O87" s="222">
        <v>1.0</v>
      </c>
      <c r="P87" s="415" t="s">
        <v>166</v>
      </c>
      <c r="Q87" s="222">
        <v>1.0</v>
      </c>
      <c r="R87" s="222" t="s">
        <v>166</v>
      </c>
      <c r="S87" s="222" t="s">
        <v>166</v>
      </c>
      <c r="T87" s="420"/>
    </row>
    <row r="88">
      <c r="A88" s="438" t="s">
        <v>3401</v>
      </c>
      <c r="B88" s="439" t="s">
        <v>3402</v>
      </c>
      <c r="C88" s="440" t="s">
        <v>3440</v>
      </c>
      <c r="D88" s="441" t="s">
        <v>3442</v>
      </c>
      <c r="E88" s="233">
        <v>174.0</v>
      </c>
      <c r="F88" s="233">
        <v>111.15</v>
      </c>
      <c r="G88" s="233">
        <v>40.0</v>
      </c>
      <c r="H88" s="405">
        <v>2.0</v>
      </c>
      <c r="I88" s="233">
        <v>1506.0</v>
      </c>
      <c r="J88" s="233">
        <v>7.0</v>
      </c>
      <c r="K88" s="233">
        <v>75.0</v>
      </c>
      <c r="L88" s="233" t="s">
        <v>166</v>
      </c>
      <c r="M88" s="233">
        <v>2.0</v>
      </c>
      <c r="N88" s="233">
        <v>1.0</v>
      </c>
      <c r="O88" s="233">
        <v>1.0</v>
      </c>
      <c r="P88" s="405" t="s">
        <v>166</v>
      </c>
      <c r="Q88" s="233">
        <v>1.0</v>
      </c>
      <c r="R88" s="233" t="s">
        <v>166</v>
      </c>
      <c r="S88" s="233" t="s">
        <v>166</v>
      </c>
      <c r="T88" s="442"/>
    </row>
    <row r="89">
      <c r="A89" s="418" t="s">
        <v>3401</v>
      </c>
      <c r="B89" s="419" t="s">
        <v>3443</v>
      </c>
      <c r="C89" s="282" t="str">
        <f>HYPERLINK("https://www.asus.com/","Asus")</f>
        <v>Asus</v>
      </c>
      <c r="D89" s="272" t="s">
        <v>3371</v>
      </c>
      <c r="E89" s="411">
        <v>183.0</v>
      </c>
      <c r="F89" s="411">
        <v>121.0</v>
      </c>
      <c r="G89" s="411">
        <v>38.0</v>
      </c>
      <c r="H89" s="411">
        <v>2.0</v>
      </c>
      <c r="I89" s="411">
        <v>1708.0</v>
      </c>
      <c r="J89" s="411">
        <v>8.0</v>
      </c>
      <c r="K89" s="411">
        <v>120.0</v>
      </c>
      <c r="L89" s="411">
        <v>6.0</v>
      </c>
      <c r="M89" s="411">
        <v>1.0</v>
      </c>
      <c r="N89" s="411">
        <v>2.0</v>
      </c>
      <c r="O89" s="411">
        <v>2.0</v>
      </c>
      <c r="P89" s="411" t="s">
        <v>166</v>
      </c>
      <c r="Q89" s="411">
        <v>1.0</v>
      </c>
      <c r="R89" s="411" t="s">
        <v>166</v>
      </c>
      <c r="S89" s="411" t="s">
        <v>166</v>
      </c>
      <c r="T89" s="410"/>
    </row>
    <row r="90">
      <c r="A90" s="418" t="s">
        <v>3401</v>
      </c>
      <c r="B90" s="419" t="s">
        <v>3443</v>
      </c>
      <c r="C90" s="174" t="str">
        <f t="shared" ref="C90:C91" si="13">HYPERLINK("https://www.evga.com/","EVGA")</f>
        <v>EVGA</v>
      </c>
      <c r="D90" s="416" t="s">
        <v>3409</v>
      </c>
      <c r="E90" s="415">
        <v>172.72</v>
      </c>
      <c r="F90" s="415">
        <v>111.15</v>
      </c>
      <c r="G90" s="415">
        <v>40.0</v>
      </c>
      <c r="H90" s="415">
        <v>2.0</v>
      </c>
      <c r="I90" s="415">
        <v>1708.0</v>
      </c>
      <c r="J90" s="415">
        <v>8.0</v>
      </c>
      <c r="K90" s="415">
        <v>120.0</v>
      </c>
      <c r="L90" s="415">
        <v>6.0</v>
      </c>
      <c r="M90" s="415">
        <v>1.0</v>
      </c>
      <c r="N90" s="415">
        <v>3.0</v>
      </c>
      <c r="O90" s="415">
        <v>1.0</v>
      </c>
      <c r="P90" s="415" t="s">
        <v>166</v>
      </c>
      <c r="Q90" s="415">
        <v>1.0</v>
      </c>
      <c r="R90" s="415" t="s">
        <v>166</v>
      </c>
      <c r="S90" s="415" t="s">
        <v>166</v>
      </c>
      <c r="T90" s="413"/>
    </row>
    <row r="91">
      <c r="A91" s="418" t="s">
        <v>3401</v>
      </c>
      <c r="B91" s="419" t="s">
        <v>3443</v>
      </c>
      <c r="C91" s="174" t="str">
        <f t="shared" si="13"/>
        <v>EVGA</v>
      </c>
      <c r="D91" s="416" t="s">
        <v>3410</v>
      </c>
      <c r="E91" s="415">
        <v>172.72</v>
      </c>
      <c r="F91" s="415">
        <v>111.15</v>
      </c>
      <c r="G91" s="415">
        <v>40.0</v>
      </c>
      <c r="H91" s="415">
        <v>2.0</v>
      </c>
      <c r="I91" s="415">
        <v>1835.0</v>
      </c>
      <c r="J91" s="415">
        <v>8.0</v>
      </c>
      <c r="K91" s="415">
        <v>120.0</v>
      </c>
      <c r="L91" s="415">
        <v>6.0</v>
      </c>
      <c r="M91" s="415">
        <v>1.0</v>
      </c>
      <c r="N91" s="415">
        <v>3.0</v>
      </c>
      <c r="O91" s="415">
        <v>1.0</v>
      </c>
      <c r="P91" s="415" t="s">
        <v>166</v>
      </c>
      <c r="Q91" s="415">
        <v>1.0</v>
      </c>
      <c r="R91" s="415" t="s">
        <v>166</v>
      </c>
      <c r="S91" s="415" t="s">
        <v>166</v>
      </c>
      <c r="T91" s="413"/>
    </row>
    <row r="92">
      <c r="A92" s="418" t="s">
        <v>3401</v>
      </c>
      <c r="B92" s="419" t="s">
        <v>3443</v>
      </c>
      <c r="C92" s="174" t="str">
        <f t="shared" ref="C92:C93" si="14">HYPERLINK("https://www.gigabyte.com/","Gigabyte")</f>
        <v>Gigabyte</v>
      </c>
      <c r="D92" s="416" t="s">
        <v>3444</v>
      </c>
      <c r="E92" s="415">
        <v>169.0</v>
      </c>
      <c r="F92" s="415">
        <v>131.0</v>
      </c>
      <c r="G92" s="415">
        <v>37.0</v>
      </c>
      <c r="H92" s="415">
        <v>2.0</v>
      </c>
      <c r="I92" s="415">
        <v>1746.0</v>
      </c>
      <c r="J92" s="415">
        <v>8.0</v>
      </c>
      <c r="K92" s="415">
        <v>120.0</v>
      </c>
      <c r="L92" s="415">
        <v>6.0</v>
      </c>
      <c r="M92" s="415">
        <v>1.0</v>
      </c>
      <c r="N92" s="415">
        <v>1.0</v>
      </c>
      <c r="O92" s="415">
        <v>1.0</v>
      </c>
      <c r="P92" s="415" t="s">
        <v>166</v>
      </c>
      <c r="Q92" s="415">
        <v>2.0</v>
      </c>
      <c r="R92" s="415" t="s">
        <v>166</v>
      </c>
      <c r="S92" s="415" t="s">
        <v>166</v>
      </c>
      <c r="T92" s="413"/>
    </row>
    <row r="93">
      <c r="A93" s="418" t="s">
        <v>3401</v>
      </c>
      <c r="B93" s="419" t="s">
        <v>3443</v>
      </c>
      <c r="C93" s="174" t="str">
        <f t="shared" si="14"/>
        <v>Gigabyte</v>
      </c>
      <c r="D93" s="443" t="s">
        <v>3445</v>
      </c>
      <c r="E93" s="415">
        <v>169.0</v>
      </c>
      <c r="F93" s="415">
        <v>131.0</v>
      </c>
      <c r="G93" s="415">
        <v>37.0</v>
      </c>
      <c r="H93" s="415">
        <v>2.0</v>
      </c>
      <c r="I93" s="415">
        <v>1771.0</v>
      </c>
      <c r="J93" s="415">
        <v>8.0</v>
      </c>
      <c r="K93" s="415">
        <v>120.0</v>
      </c>
      <c r="L93" s="415">
        <v>6.0</v>
      </c>
      <c r="M93" s="415">
        <v>1.0</v>
      </c>
      <c r="N93" s="415">
        <v>1.0</v>
      </c>
      <c r="O93" s="415">
        <v>1.0</v>
      </c>
      <c r="P93" s="415" t="s">
        <v>166</v>
      </c>
      <c r="Q93" s="415">
        <v>2.0</v>
      </c>
      <c r="R93" s="415" t="s">
        <v>166</v>
      </c>
      <c r="S93" s="415" t="s">
        <v>166</v>
      </c>
      <c r="T93" s="413"/>
    </row>
    <row r="94">
      <c r="A94" s="418" t="s">
        <v>3401</v>
      </c>
      <c r="B94" s="419" t="s">
        <v>3443</v>
      </c>
      <c r="C94" s="416" t="str">
        <f>HYPERLINK("http://www.inno3d.com/","Inno3D")</f>
        <v>Inno3D</v>
      </c>
      <c r="D94" s="444" t="s">
        <v>3418</v>
      </c>
      <c r="E94" s="415">
        <v>172.0</v>
      </c>
      <c r="F94" s="415">
        <v>101.0</v>
      </c>
      <c r="G94" s="415">
        <v>40.0</v>
      </c>
      <c r="H94" s="415">
        <v>2.0</v>
      </c>
      <c r="I94" s="415">
        <v>1708.0</v>
      </c>
      <c r="J94" s="415">
        <v>8.0</v>
      </c>
      <c r="K94" s="415">
        <v>120.0</v>
      </c>
      <c r="L94" s="415">
        <v>6.0</v>
      </c>
      <c r="M94" s="415">
        <v>1.0</v>
      </c>
      <c r="N94" s="415">
        <v>1.0</v>
      </c>
      <c r="O94" s="415">
        <v>1.0</v>
      </c>
      <c r="P94" s="415" t="s">
        <v>166</v>
      </c>
      <c r="Q94" s="415">
        <v>1.0</v>
      </c>
      <c r="R94" s="415" t="s">
        <v>166</v>
      </c>
      <c r="S94" s="415" t="s">
        <v>166</v>
      </c>
      <c r="T94" s="413"/>
    </row>
    <row r="95">
      <c r="A95" s="418" t="s">
        <v>3401</v>
      </c>
      <c r="B95" s="419" t="s">
        <v>3443</v>
      </c>
      <c r="C95" s="174" t="str">
        <f t="shared" ref="C95:C98" si="15">HYPERLINK("https://www.msi.com/index.php","MSI")</f>
        <v>MSI</v>
      </c>
      <c r="D95" s="416" t="s">
        <v>3375</v>
      </c>
      <c r="E95" s="415">
        <v>175.0</v>
      </c>
      <c r="F95" s="415">
        <v>115.0</v>
      </c>
      <c r="G95" s="415">
        <v>38.0</v>
      </c>
      <c r="H95" s="415">
        <v>2.0</v>
      </c>
      <c r="I95" s="415">
        <v>1708.0</v>
      </c>
      <c r="J95" s="415">
        <v>8.0</v>
      </c>
      <c r="K95" s="415">
        <v>120.0</v>
      </c>
      <c r="L95" s="415">
        <v>6.0</v>
      </c>
      <c r="M95" s="415">
        <v>1.0</v>
      </c>
      <c r="N95" s="415">
        <v>2.0</v>
      </c>
      <c r="O95" s="415">
        <v>2.0</v>
      </c>
      <c r="P95" s="415" t="s">
        <v>166</v>
      </c>
      <c r="Q95" s="415">
        <v>1.0</v>
      </c>
      <c r="R95" s="415" t="s">
        <v>166</v>
      </c>
      <c r="S95" s="415" t="s">
        <v>166</v>
      </c>
      <c r="T95" s="413"/>
    </row>
    <row r="96">
      <c r="A96" s="418" t="s">
        <v>3401</v>
      </c>
      <c r="B96" s="419" t="s">
        <v>3443</v>
      </c>
      <c r="C96" s="174" t="str">
        <f t="shared" si="15"/>
        <v>MSI</v>
      </c>
      <c r="D96" s="416" t="s">
        <v>3434</v>
      </c>
      <c r="E96" s="415">
        <v>175.0</v>
      </c>
      <c r="F96" s="415">
        <v>115.0</v>
      </c>
      <c r="G96" s="415">
        <v>38.0</v>
      </c>
      <c r="H96" s="415">
        <v>2.0</v>
      </c>
      <c r="I96" s="415">
        <v>1759.0</v>
      </c>
      <c r="J96" s="415">
        <v>8.0</v>
      </c>
      <c r="K96" s="415">
        <v>120.0</v>
      </c>
      <c r="L96" s="415">
        <v>6.0</v>
      </c>
      <c r="M96" s="415">
        <v>1.0</v>
      </c>
      <c r="N96" s="415">
        <v>2.0</v>
      </c>
      <c r="O96" s="415">
        <v>2.0</v>
      </c>
      <c r="P96" s="415" t="s">
        <v>166</v>
      </c>
      <c r="Q96" s="415">
        <v>1.0</v>
      </c>
      <c r="R96" s="415" t="s">
        <v>166</v>
      </c>
      <c r="S96" s="415" t="s">
        <v>166</v>
      </c>
      <c r="T96" s="413"/>
    </row>
    <row r="97">
      <c r="A97" s="418" t="s">
        <v>3401</v>
      </c>
      <c r="B97" s="419" t="s">
        <v>3443</v>
      </c>
      <c r="C97" s="174" t="str">
        <f t="shared" si="15"/>
        <v>MSI</v>
      </c>
      <c r="D97" s="416" t="s">
        <v>3415</v>
      </c>
      <c r="E97" s="415">
        <v>188.0</v>
      </c>
      <c r="F97" s="415">
        <v>116.0</v>
      </c>
      <c r="G97" s="415">
        <v>40.0</v>
      </c>
      <c r="H97" s="415">
        <v>2.0</v>
      </c>
      <c r="I97" s="415">
        <v>1759.0</v>
      </c>
      <c r="J97" s="415">
        <v>8.0</v>
      </c>
      <c r="K97" s="415">
        <v>120.0</v>
      </c>
      <c r="L97" s="415">
        <v>6.0</v>
      </c>
      <c r="M97" s="415">
        <v>1.0</v>
      </c>
      <c r="N97" s="415">
        <v>1.0</v>
      </c>
      <c r="O97" s="415">
        <v>1.0</v>
      </c>
      <c r="P97" s="415" t="s">
        <v>166</v>
      </c>
      <c r="Q97" s="415">
        <v>1.0</v>
      </c>
      <c r="R97" s="415" t="s">
        <v>166</v>
      </c>
      <c r="S97" s="415" t="s">
        <v>166</v>
      </c>
      <c r="T97" s="413"/>
    </row>
    <row r="98">
      <c r="A98" s="418" t="s">
        <v>3401</v>
      </c>
      <c r="B98" s="419" t="s">
        <v>3443</v>
      </c>
      <c r="C98" s="174" t="str">
        <f t="shared" si="15"/>
        <v>MSI</v>
      </c>
      <c r="D98" s="416" t="s">
        <v>3446</v>
      </c>
      <c r="E98" s="415">
        <v>188.0</v>
      </c>
      <c r="F98" s="415">
        <v>116.0</v>
      </c>
      <c r="G98" s="415">
        <v>40.0</v>
      </c>
      <c r="H98" s="415">
        <v>2.0</v>
      </c>
      <c r="I98" s="415">
        <v>1759.0</v>
      </c>
      <c r="J98" s="415">
        <v>8.0</v>
      </c>
      <c r="K98" s="415">
        <v>120.0</v>
      </c>
      <c r="L98" s="415">
        <v>6.0</v>
      </c>
      <c r="M98" s="415">
        <v>1.0</v>
      </c>
      <c r="N98" s="415">
        <v>1.0</v>
      </c>
      <c r="O98" s="415">
        <v>1.0</v>
      </c>
      <c r="P98" s="415" t="s">
        <v>166</v>
      </c>
      <c r="Q98" s="415">
        <v>1.0</v>
      </c>
      <c r="R98" s="415" t="s">
        <v>166</v>
      </c>
      <c r="S98" s="415" t="s">
        <v>166</v>
      </c>
      <c r="T98" s="413"/>
    </row>
    <row r="99">
      <c r="A99" s="418" t="s">
        <v>3401</v>
      </c>
      <c r="B99" s="419" t="s">
        <v>3443</v>
      </c>
      <c r="C99" s="416" t="str">
        <f>HYPERLINK("http://zotac.com/","ZOTAC")</f>
        <v>ZOTAC</v>
      </c>
      <c r="D99" s="443" t="s">
        <v>3441</v>
      </c>
      <c r="E99" s="415">
        <v>174.0</v>
      </c>
      <c r="F99" s="415">
        <v>111.15</v>
      </c>
      <c r="G99" s="415">
        <v>40.0</v>
      </c>
      <c r="H99" s="415">
        <v>2.0</v>
      </c>
      <c r="I99" s="415">
        <v>1708.0</v>
      </c>
      <c r="J99" s="415">
        <v>8.0</v>
      </c>
      <c r="K99" s="415">
        <v>120.0</v>
      </c>
      <c r="L99" s="415">
        <v>6.0</v>
      </c>
      <c r="M99" s="415">
        <v>1.0</v>
      </c>
      <c r="N99" s="415">
        <v>3.0</v>
      </c>
      <c r="O99" s="415">
        <v>1.0</v>
      </c>
      <c r="P99" s="415" t="s">
        <v>166</v>
      </c>
      <c r="Q99" s="415">
        <v>1.0</v>
      </c>
      <c r="R99" s="415" t="s">
        <v>166</v>
      </c>
      <c r="S99" s="415" t="s">
        <v>166</v>
      </c>
      <c r="T99" s="413"/>
    </row>
    <row r="100">
      <c r="A100" s="418" t="s">
        <v>3401</v>
      </c>
      <c r="B100" s="419" t="s">
        <v>3443</v>
      </c>
      <c r="C100" s="445" t="s">
        <v>3440</v>
      </c>
      <c r="D100" s="443" t="s">
        <v>3447</v>
      </c>
      <c r="E100" s="415">
        <v>206.0</v>
      </c>
      <c r="F100" s="415">
        <v>111.15</v>
      </c>
      <c r="G100" s="415">
        <v>40.0</v>
      </c>
      <c r="H100" s="415">
        <v>2.0</v>
      </c>
      <c r="I100" s="415">
        <v>1797.0</v>
      </c>
      <c r="J100" s="415">
        <v>8.0</v>
      </c>
      <c r="K100" s="415">
        <v>120.0</v>
      </c>
      <c r="L100" s="415">
        <v>6.0</v>
      </c>
      <c r="M100" s="415">
        <v>2.0</v>
      </c>
      <c r="N100" s="415">
        <v>3.0</v>
      </c>
      <c r="O100" s="415">
        <v>1.0</v>
      </c>
      <c r="P100" s="415" t="s">
        <v>166</v>
      </c>
      <c r="Q100" s="415">
        <v>1.0</v>
      </c>
      <c r="R100" s="415" t="s">
        <v>166</v>
      </c>
      <c r="S100" s="415" t="s">
        <v>166</v>
      </c>
      <c r="T100" s="413"/>
    </row>
    <row r="101">
      <c r="A101" s="438" t="s">
        <v>3401</v>
      </c>
      <c r="B101" s="439" t="s">
        <v>3443</v>
      </c>
      <c r="C101" s="446" t="s">
        <v>3440</v>
      </c>
      <c r="D101" s="447" t="s">
        <v>3448</v>
      </c>
      <c r="E101" s="405">
        <v>214.0</v>
      </c>
      <c r="F101" s="405">
        <v>111.15</v>
      </c>
      <c r="G101" s="405">
        <v>35.2</v>
      </c>
      <c r="H101" s="405">
        <v>2.0</v>
      </c>
      <c r="I101" s="405">
        <v>1797.0</v>
      </c>
      <c r="J101" s="405">
        <v>8.0</v>
      </c>
      <c r="K101" s="405">
        <v>120.0</v>
      </c>
      <c r="L101" s="405">
        <v>6.0</v>
      </c>
      <c r="M101" s="405">
        <v>2.0</v>
      </c>
      <c r="N101" s="405">
        <v>3.0</v>
      </c>
      <c r="O101" s="405">
        <v>1.0</v>
      </c>
      <c r="P101" s="405" t="s">
        <v>166</v>
      </c>
      <c r="Q101" s="405">
        <v>1.0</v>
      </c>
      <c r="R101" s="405" t="s">
        <v>166</v>
      </c>
      <c r="S101" s="405" t="s">
        <v>166</v>
      </c>
      <c r="T101" s="402"/>
    </row>
    <row r="102">
      <c r="A102" s="418" t="s">
        <v>3401</v>
      </c>
      <c r="B102" s="419" t="s">
        <v>3449</v>
      </c>
      <c r="C102" s="282" t="str">
        <f>HYPERLINK("https://www.asus.com/","Asus")</f>
        <v>Asus</v>
      </c>
      <c r="D102" s="272" t="s">
        <v>3371</v>
      </c>
      <c r="E102" s="411">
        <v>183.0</v>
      </c>
      <c r="F102" s="411">
        <v>121.0</v>
      </c>
      <c r="G102" s="411">
        <v>38.0</v>
      </c>
      <c r="H102" s="411">
        <v>2.0</v>
      </c>
      <c r="I102" s="411">
        <v>1708.0</v>
      </c>
      <c r="J102" s="411">
        <v>8.0</v>
      </c>
      <c r="K102" s="411">
        <v>120.0</v>
      </c>
      <c r="L102" s="411">
        <v>6.0</v>
      </c>
      <c r="M102" s="411">
        <v>1.0</v>
      </c>
      <c r="N102" s="411">
        <v>1.0</v>
      </c>
      <c r="O102" s="411">
        <v>2.0</v>
      </c>
      <c r="P102" s="411" t="s">
        <v>166</v>
      </c>
      <c r="Q102" s="411">
        <v>1.0</v>
      </c>
      <c r="R102" s="411" t="s">
        <v>166</v>
      </c>
      <c r="S102" s="411" t="s">
        <v>166</v>
      </c>
      <c r="T102" s="410"/>
    </row>
    <row r="103">
      <c r="A103" s="418" t="s">
        <v>3401</v>
      </c>
      <c r="B103" s="419" t="s">
        <v>3449</v>
      </c>
      <c r="C103" s="324" t="s">
        <v>3405</v>
      </c>
      <c r="D103" s="272" t="s">
        <v>3450</v>
      </c>
      <c r="E103" s="411">
        <v>195.0</v>
      </c>
      <c r="F103" s="411">
        <v>130.0</v>
      </c>
      <c r="G103" s="411">
        <v>41.5</v>
      </c>
      <c r="H103" s="411">
        <v>2.0</v>
      </c>
      <c r="I103" s="411">
        <v>1733.0</v>
      </c>
      <c r="J103" s="415">
        <v>8.0</v>
      </c>
      <c r="K103" s="415">
        <v>120.0</v>
      </c>
      <c r="L103" s="411">
        <v>6.0</v>
      </c>
      <c r="M103" s="411">
        <v>2.0</v>
      </c>
      <c r="N103" s="411">
        <v>3.0</v>
      </c>
      <c r="O103" s="411">
        <v>1.0</v>
      </c>
      <c r="P103" s="411" t="s">
        <v>166</v>
      </c>
      <c r="Q103" s="411">
        <v>1.0</v>
      </c>
      <c r="R103" s="411" t="s">
        <v>166</v>
      </c>
      <c r="S103" s="411" t="s">
        <v>166</v>
      </c>
      <c r="T103" s="410"/>
    </row>
    <row r="104">
      <c r="A104" s="418" t="s">
        <v>3401</v>
      </c>
      <c r="B104" s="419" t="s">
        <v>3449</v>
      </c>
      <c r="C104" s="174" t="str">
        <f t="shared" ref="C104:C105" si="16">HYPERLINK("https://www.evga.com/","EVGA")</f>
        <v>EVGA</v>
      </c>
      <c r="D104" s="416" t="s">
        <v>3409</v>
      </c>
      <c r="E104" s="415">
        <v>172.72</v>
      </c>
      <c r="F104" s="415">
        <v>111.15</v>
      </c>
      <c r="G104" s="415">
        <v>40.0</v>
      </c>
      <c r="H104" s="415">
        <v>2.0</v>
      </c>
      <c r="I104" s="415">
        <v>1708.0</v>
      </c>
      <c r="J104" s="415">
        <v>8.0</v>
      </c>
      <c r="K104" s="415">
        <v>120.0</v>
      </c>
      <c r="L104" s="415">
        <v>6.0</v>
      </c>
      <c r="M104" s="415">
        <v>1.0</v>
      </c>
      <c r="N104" s="415">
        <v>3.0</v>
      </c>
      <c r="O104" s="415">
        <v>1.0</v>
      </c>
      <c r="P104" s="415" t="s">
        <v>166</v>
      </c>
      <c r="Q104" s="415">
        <v>1.0</v>
      </c>
      <c r="R104" s="415" t="s">
        <v>166</v>
      </c>
      <c r="S104" s="415" t="s">
        <v>166</v>
      </c>
      <c r="T104" s="413"/>
    </row>
    <row r="105">
      <c r="A105" s="418" t="s">
        <v>3401</v>
      </c>
      <c r="B105" s="419" t="s">
        <v>3449</v>
      </c>
      <c r="C105" s="174" t="str">
        <f t="shared" si="16"/>
        <v>EVGA</v>
      </c>
      <c r="D105" s="416" t="s">
        <v>3410</v>
      </c>
      <c r="E105" s="415">
        <v>172.72</v>
      </c>
      <c r="F105" s="415">
        <v>111.15</v>
      </c>
      <c r="G105" s="415">
        <v>40.0</v>
      </c>
      <c r="H105" s="415">
        <v>2.0</v>
      </c>
      <c r="I105" s="415">
        <v>1835.0</v>
      </c>
      <c r="J105" s="415">
        <v>8.0</v>
      </c>
      <c r="K105" s="415">
        <v>120.0</v>
      </c>
      <c r="L105" s="415">
        <v>6.0</v>
      </c>
      <c r="M105" s="415">
        <v>1.0</v>
      </c>
      <c r="N105" s="415">
        <v>3.0</v>
      </c>
      <c r="O105" s="415">
        <v>1.0</v>
      </c>
      <c r="P105" s="415" t="s">
        <v>166</v>
      </c>
      <c r="Q105" s="415">
        <v>1.0</v>
      </c>
      <c r="R105" s="415" t="s">
        <v>166</v>
      </c>
      <c r="S105" s="415" t="s">
        <v>166</v>
      </c>
      <c r="T105" s="413"/>
    </row>
    <row r="106">
      <c r="A106" s="418" t="s">
        <v>3401</v>
      </c>
      <c r="B106" s="419" t="s">
        <v>3449</v>
      </c>
      <c r="C106" s="174" t="str">
        <f t="shared" ref="C106:C107" si="17">HYPERLINK("https://www.gigabyte.com/","Gigabyte")</f>
        <v>Gigabyte</v>
      </c>
      <c r="D106" s="416" t="s">
        <v>3444</v>
      </c>
      <c r="E106" s="415">
        <v>169.0</v>
      </c>
      <c r="F106" s="415">
        <v>131.0</v>
      </c>
      <c r="G106" s="415">
        <v>37.0</v>
      </c>
      <c r="H106" s="415">
        <v>2.0</v>
      </c>
      <c r="I106" s="415">
        <v>1746.0</v>
      </c>
      <c r="J106" s="415">
        <v>8.0</v>
      </c>
      <c r="K106" s="415">
        <v>120.0</v>
      </c>
      <c r="L106" s="415">
        <v>6.0</v>
      </c>
      <c r="M106" s="415">
        <v>1.0</v>
      </c>
      <c r="N106" s="415">
        <v>1.0</v>
      </c>
      <c r="O106" s="415">
        <v>1.0</v>
      </c>
      <c r="P106" s="415" t="s">
        <v>166</v>
      </c>
      <c r="Q106" s="415">
        <v>2.0</v>
      </c>
      <c r="R106" s="415" t="s">
        <v>166</v>
      </c>
      <c r="S106" s="415" t="s">
        <v>166</v>
      </c>
      <c r="T106" s="413"/>
    </row>
    <row r="107">
      <c r="A107" s="418" t="s">
        <v>3401</v>
      </c>
      <c r="B107" s="419" t="s">
        <v>3449</v>
      </c>
      <c r="C107" s="174" t="str">
        <f t="shared" si="17"/>
        <v>Gigabyte</v>
      </c>
      <c r="D107" s="443" t="s">
        <v>3445</v>
      </c>
      <c r="E107" s="415">
        <v>169.0</v>
      </c>
      <c r="F107" s="415">
        <v>131.0</v>
      </c>
      <c r="G107" s="415">
        <v>37.0</v>
      </c>
      <c r="H107" s="415">
        <v>2.0</v>
      </c>
      <c r="I107" s="415">
        <v>1771.0</v>
      </c>
      <c r="J107" s="415">
        <v>8.0</v>
      </c>
      <c r="K107" s="415">
        <v>120.0</v>
      </c>
      <c r="L107" s="415">
        <v>6.0</v>
      </c>
      <c r="M107" s="415">
        <v>1.0</v>
      </c>
      <c r="N107" s="415">
        <v>1.0</v>
      </c>
      <c r="O107" s="415">
        <v>1.0</v>
      </c>
      <c r="P107" s="415" t="s">
        <v>166</v>
      </c>
      <c r="Q107" s="415">
        <v>2.0</v>
      </c>
      <c r="R107" s="415" t="s">
        <v>166</v>
      </c>
      <c r="S107" s="415" t="s">
        <v>166</v>
      </c>
      <c r="T107" s="413"/>
    </row>
    <row r="108">
      <c r="A108" s="418" t="s">
        <v>3401</v>
      </c>
      <c r="B108" s="419" t="s">
        <v>3449</v>
      </c>
      <c r="C108" s="416" t="str">
        <f>HYPERLINK("http://www.inno3d.com/","Inno3D")</f>
        <v>Inno3D</v>
      </c>
      <c r="D108" s="444" t="s">
        <v>3418</v>
      </c>
      <c r="E108" s="415">
        <v>172.0</v>
      </c>
      <c r="F108" s="415">
        <v>101.0</v>
      </c>
      <c r="G108" s="415">
        <v>40.0</v>
      </c>
      <c r="H108" s="415">
        <v>2.0</v>
      </c>
      <c r="I108" s="415">
        <v>1708.0</v>
      </c>
      <c r="J108" s="415">
        <v>8.0</v>
      </c>
      <c r="K108" s="415">
        <v>120.0</v>
      </c>
      <c r="L108" s="415">
        <v>6.0</v>
      </c>
      <c r="M108" s="415">
        <v>1.0</v>
      </c>
      <c r="N108" s="415">
        <v>1.0</v>
      </c>
      <c r="O108" s="415">
        <v>1.0</v>
      </c>
      <c r="P108" s="415" t="s">
        <v>166</v>
      </c>
      <c r="Q108" s="415">
        <v>1.0</v>
      </c>
      <c r="R108" s="415" t="s">
        <v>166</v>
      </c>
      <c r="S108" s="415" t="s">
        <v>166</v>
      </c>
      <c r="T108" s="413"/>
    </row>
    <row r="109">
      <c r="A109" s="418" t="s">
        <v>3401</v>
      </c>
      <c r="B109" s="419" t="s">
        <v>3449</v>
      </c>
      <c r="C109" s="174" t="str">
        <f t="shared" ref="C109:C112" si="18">HYPERLINK("https://www.msi.com/index.php","MSI")</f>
        <v>MSI</v>
      </c>
      <c r="D109" s="416" t="s">
        <v>3375</v>
      </c>
      <c r="E109" s="415">
        <v>175.0</v>
      </c>
      <c r="F109" s="415">
        <v>115.0</v>
      </c>
      <c r="G109" s="415">
        <v>38.0</v>
      </c>
      <c r="H109" s="415">
        <v>2.0</v>
      </c>
      <c r="I109" s="415">
        <v>1708.0</v>
      </c>
      <c r="J109" s="415">
        <v>8.0</v>
      </c>
      <c r="K109" s="415">
        <v>120.0</v>
      </c>
      <c r="L109" s="415">
        <v>6.0</v>
      </c>
      <c r="M109" s="415">
        <v>1.0</v>
      </c>
      <c r="N109" s="415">
        <v>2.0</v>
      </c>
      <c r="O109" s="415">
        <v>2.0</v>
      </c>
      <c r="P109" s="415" t="s">
        <v>166</v>
      </c>
      <c r="Q109" s="415">
        <v>1.0</v>
      </c>
      <c r="R109" s="415" t="s">
        <v>166</v>
      </c>
      <c r="S109" s="415" t="s">
        <v>166</v>
      </c>
      <c r="T109" s="413"/>
    </row>
    <row r="110">
      <c r="A110" s="418" t="s">
        <v>3401</v>
      </c>
      <c r="B110" s="419" t="s">
        <v>3449</v>
      </c>
      <c r="C110" s="174" t="str">
        <f t="shared" si="18"/>
        <v>MSI</v>
      </c>
      <c r="D110" s="416" t="s">
        <v>3434</v>
      </c>
      <c r="E110" s="415">
        <v>175.0</v>
      </c>
      <c r="F110" s="415">
        <v>115.0</v>
      </c>
      <c r="G110" s="415">
        <v>38.0</v>
      </c>
      <c r="H110" s="415">
        <v>2.0</v>
      </c>
      <c r="I110" s="415">
        <v>1759.0</v>
      </c>
      <c r="J110" s="415">
        <v>8.0</v>
      </c>
      <c r="K110" s="415">
        <v>120.0</v>
      </c>
      <c r="L110" s="415">
        <v>6.0</v>
      </c>
      <c r="M110" s="415">
        <v>1.0</v>
      </c>
      <c r="N110" s="415">
        <v>2.0</v>
      </c>
      <c r="O110" s="415">
        <v>2.0</v>
      </c>
      <c r="P110" s="415" t="s">
        <v>166</v>
      </c>
      <c r="Q110" s="415">
        <v>1.0</v>
      </c>
      <c r="R110" s="415" t="s">
        <v>166</v>
      </c>
      <c r="S110" s="415" t="s">
        <v>166</v>
      </c>
      <c r="T110" s="413"/>
    </row>
    <row r="111">
      <c r="A111" s="418" t="s">
        <v>3401</v>
      </c>
      <c r="B111" s="419" t="s">
        <v>3449</v>
      </c>
      <c r="C111" s="174" t="str">
        <f t="shared" si="18"/>
        <v>MSI</v>
      </c>
      <c r="D111" s="416" t="s">
        <v>3415</v>
      </c>
      <c r="E111" s="415">
        <v>188.0</v>
      </c>
      <c r="F111" s="415">
        <v>116.0</v>
      </c>
      <c r="G111" s="415">
        <v>40.0</v>
      </c>
      <c r="H111" s="415">
        <v>2.0</v>
      </c>
      <c r="I111" s="415">
        <v>1759.0</v>
      </c>
      <c r="J111" s="415">
        <v>8.0</v>
      </c>
      <c r="K111" s="415">
        <v>120.0</v>
      </c>
      <c r="L111" s="415">
        <v>6.0</v>
      </c>
      <c r="M111" s="415">
        <v>1.0</v>
      </c>
      <c r="N111" s="415">
        <v>3.0</v>
      </c>
      <c r="O111" s="415">
        <v>1.0</v>
      </c>
      <c r="P111" s="415" t="s">
        <v>166</v>
      </c>
      <c r="Q111" s="415">
        <v>1.0</v>
      </c>
      <c r="R111" s="415" t="s">
        <v>166</v>
      </c>
      <c r="S111" s="415" t="s">
        <v>166</v>
      </c>
      <c r="T111" s="413"/>
    </row>
    <row r="112">
      <c r="A112" s="418" t="s">
        <v>3401</v>
      </c>
      <c r="B112" s="419" t="s">
        <v>3449</v>
      </c>
      <c r="C112" s="174" t="str">
        <f t="shared" si="18"/>
        <v>MSI</v>
      </c>
      <c r="D112" s="416" t="s">
        <v>3446</v>
      </c>
      <c r="E112" s="415">
        <v>188.0</v>
      </c>
      <c r="F112" s="415">
        <v>116.0</v>
      </c>
      <c r="G112" s="415">
        <v>40.0</v>
      </c>
      <c r="H112" s="415">
        <v>2.0</v>
      </c>
      <c r="I112" s="415">
        <v>1759.0</v>
      </c>
      <c r="J112" s="415">
        <v>8.0</v>
      </c>
      <c r="K112" s="415">
        <v>120.0</v>
      </c>
      <c r="L112" s="415">
        <v>6.0</v>
      </c>
      <c r="M112" s="415">
        <v>1.0</v>
      </c>
      <c r="N112" s="415">
        <v>3.0</v>
      </c>
      <c r="O112" s="415">
        <v>1.0</v>
      </c>
      <c r="P112" s="415" t="s">
        <v>166</v>
      </c>
      <c r="Q112" s="415">
        <v>1.0</v>
      </c>
      <c r="R112" s="415" t="s">
        <v>166</v>
      </c>
      <c r="S112" s="415" t="s">
        <v>166</v>
      </c>
      <c r="T112" s="413"/>
    </row>
    <row r="113">
      <c r="A113" s="418" t="s">
        <v>3401</v>
      </c>
      <c r="B113" s="419" t="s">
        <v>3449</v>
      </c>
      <c r="C113" s="416" t="str">
        <f t="shared" ref="C113:C117" si="19">HYPERLINK("http://zotac.com/","ZOTAC")</f>
        <v>ZOTAC</v>
      </c>
      <c r="D113" s="443" t="s">
        <v>3441</v>
      </c>
      <c r="E113" s="415">
        <v>174.0</v>
      </c>
      <c r="F113" s="415">
        <v>111.15</v>
      </c>
      <c r="G113" s="415">
        <v>40.0</v>
      </c>
      <c r="H113" s="415">
        <v>2.0</v>
      </c>
      <c r="I113" s="415">
        <v>1708.0</v>
      </c>
      <c r="J113" s="415">
        <v>8.0</v>
      </c>
      <c r="K113" s="415">
        <v>120.0</v>
      </c>
      <c r="L113" s="415">
        <v>6.0</v>
      </c>
      <c r="M113" s="415">
        <v>1.0</v>
      </c>
      <c r="N113" s="415">
        <v>3.0</v>
      </c>
      <c r="O113" s="415">
        <v>1.0</v>
      </c>
      <c r="P113" s="415" t="s">
        <v>166</v>
      </c>
      <c r="Q113" s="415">
        <v>1.0</v>
      </c>
      <c r="R113" s="415" t="s">
        <v>166</v>
      </c>
      <c r="S113" s="415" t="s">
        <v>166</v>
      </c>
      <c r="T113" s="413"/>
    </row>
    <row r="114">
      <c r="A114" s="418" t="s">
        <v>3401</v>
      </c>
      <c r="B114" s="419" t="s">
        <v>3449</v>
      </c>
      <c r="C114" s="416" t="str">
        <f t="shared" si="19"/>
        <v>ZOTAC</v>
      </c>
      <c r="D114" s="443" t="s">
        <v>3447</v>
      </c>
      <c r="E114" s="415">
        <v>210.0</v>
      </c>
      <c r="F114" s="415">
        <v>128.0</v>
      </c>
      <c r="G114" s="415">
        <v>40.0</v>
      </c>
      <c r="H114" s="415">
        <v>2.0</v>
      </c>
      <c r="I114" s="415">
        <v>1771.0</v>
      </c>
      <c r="J114" s="415">
        <v>8.0</v>
      </c>
      <c r="K114" s="415">
        <v>120.0</v>
      </c>
      <c r="L114" s="415">
        <v>6.0</v>
      </c>
      <c r="M114" s="415">
        <v>2.0</v>
      </c>
      <c r="N114" s="415">
        <v>3.0</v>
      </c>
      <c r="O114" s="415">
        <v>1.0</v>
      </c>
      <c r="P114" s="415" t="s">
        <v>166</v>
      </c>
      <c r="Q114" s="415">
        <v>1.0</v>
      </c>
      <c r="R114" s="415" t="s">
        <v>166</v>
      </c>
      <c r="S114" s="415" t="s">
        <v>166</v>
      </c>
      <c r="T114" s="413"/>
    </row>
    <row r="115">
      <c r="A115" s="438" t="s">
        <v>3401</v>
      </c>
      <c r="B115" s="439" t="s">
        <v>3449</v>
      </c>
      <c r="C115" s="403" t="str">
        <f t="shared" si="19"/>
        <v>ZOTAC</v>
      </c>
      <c r="D115" s="447" t="s">
        <v>3451</v>
      </c>
      <c r="E115" s="405">
        <v>210.0</v>
      </c>
      <c r="F115" s="405">
        <v>128.0</v>
      </c>
      <c r="G115" s="405">
        <v>40.0</v>
      </c>
      <c r="H115" s="405">
        <v>2.0</v>
      </c>
      <c r="I115" s="405">
        <v>1835.0</v>
      </c>
      <c r="J115" s="405">
        <v>9.0</v>
      </c>
      <c r="K115" s="405">
        <v>120.0</v>
      </c>
      <c r="L115" s="405">
        <v>6.0</v>
      </c>
      <c r="M115" s="405">
        <v>2.0</v>
      </c>
      <c r="N115" s="405">
        <v>3.0</v>
      </c>
      <c r="O115" s="405">
        <v>1.0</v>
      </c>
      <c r="P115" s="405" t="s">
        <v>166</v>
      </c>
      <c r="Q115" s="405">
        <v>1.0</v>
      </c>
      <c r="R115" s="405" t="s">
        <v>166</v>
      </c>
      <c r="S115" s="405" t="s">
        <v>166</v>
      </c>
      <c r="T115" s="402"/>
    </row>
    <row r="116">
      <c r="A116" s="418" t="s">
        <v>3401</v>
      </c>
      <c r="B116" s="419" t="s">
        <v>3452</v>
      </c>
      <c r="C116" s="272" t="str">
        <f t="shared" si="19"/>
        <v>ZOTAC</v>
      </c>
      <c r="D116" s="255" t="s">
        <v>3453</v>
      </c>
      <c r="E116" s="411">
        <v>211.0</v>
      </c>
      <c r="F116" s="411">
        <v>125.0</v>
      </c>
      <c r="G116" s="411">
        <v>41.0</v>
      </c>
      <c r="H116" s="411">
        <v>2.0</v>
      </c>
      <c r="I116" s="411">
        <v>1708.0</v>
      </c>
      <c r="J116" s="411">
        <v>8.0</v>
      </c>
      <c r="K116" s="411">
        <v>120.0</v>
      </c>
      <c r="L116" s="411">
        <v>8.0</v>
      </c>
      <c r="M116" s="411">
        <v>2.0</v>
      </c>
      <c r="N116" s="411">
        <v>3.0</v>
      </c>
      <c r="O116" s="411">
        <v>1.0</v>
      </c>
      <c r="P116" s="411" t="s">
        <v>166</v>
      </c>
      <c r="Q116" s="411">
        <v>1.0</v>
      </c>
      <c r="R116" s="411" t="s">
        <v>166</v>
      </c>
      <c r="S116" s="411" t="s">
        <v>166</v>
      </c>
      <c r="T116" s="410"/>
    </row>
    <row r="117">
      <c r="A117" s="438" t="s">
        <v>3401</v>
      </c>
      <c r="B117" s="439" t="s">
        <v>3452</v>
      </c>
      <c r="C117" s="403" t="str">
        <f t="shared" si="19"/>
        <v>ZOTAC</v>
      </c>
      <c r="D117" s="447" t="s">
        <v>3447</v>
      </c>
      <c r="E117" s="405">
        <v>211.0</v>
      </c>
      <c r="F117" s="405">
        <v>125.0</v>
      </c>
      <c r="G117" s="405">
        <v>41.0</v>
      </c>
      <c r="H117" s="405">
        <v>2.0</v>
      </c>
      <c r="I117" s="405">
        <v>1835.0</v>
      </c>
      <c r="J117" s="405">
        <v>10.0</v>
      </c>
      <c r="K117" s="405">
        <v>120.0</v>
      </c>
      <c r="L117" s="405">
        <v>8.0</v>
      </c>
      <c r="M117" s="405">
        <v>2.0</v>
      </c>
      <c r="N117" s="405">
        <v>3.0</v>
      </c>
      <c r="O117" s="405">
        <v>1.0</v>
      </c>
      <c r="P117" s="405" t="s">
        <v>166</v>
      </c>
      <c r="Q117" s="405">
        <v>1.0</v>
      </c>
      <c r="R117" s="405" t="s">
        <v>166</v>
      </c>
      <c r="S117" s="405" t="s">
        <v>166</v>
      </c>
      <c r="T117" s="402"/>
    </row>
    <row r="118">
      <c r="A118" s="409" t="s">
        <v>3401</v>
      </c>
      <c r="B118" s="410" t="s">
        <v>3454</v>
      </c>
      <c r="C118" s="324" t="s">
        <v>3405</v>
      </c>
      <c r="D118" s="414" t="s">
        <v>3455</v>
      </c>
      <c r="E118" s="411">
        <v>181.0</v>
      </c>
      <c r="F118" s="411">
        <v>116.0</v>
      </c>
      <c r="G118" s="411">
        <v>38.6</v>
      </c>
      <c r="H118" s="415">
        <v>2.0</v>
      </c>
      <c r="I118" s="415">
        <v>1708.0</v>
      </c>
      <c r="J118" s="411">
        <v>8.0</v>
      </c>
      <c r="K118" s="411">
        <v>150.0</v>
      </c>
      <c r="L118" s="415">
        <v>8.0</v>
      </c>
      <c r="M118" s="415">
        <v>2.0</v>
      </c>
      <c r="N118" s="415">
        <v>1.0</v>
      </c>
      <c r="O118" s="415">
        <v>1.0</v>
      </c>
      <c r="P118" s="415" t="s">
        <v>166</v>
      </c>
      <c r="Q118" s="415">
        <v>2.0</v>
      </c>
      <c r="R118" s="415" t="s">
        <v>166</v>
      </c>
      <c r="S118" s="415" t="s">
        <v>166</v>
      </c>
      <c r="T118" s="413"/>
    </row>
    <row r="119">
      <c r="A119" s="409" t="s">
        <v>3401</v>
      </c>
      <c r="B119" s="410" t="s">
        <v>3454</v>
      </c>
      <c r="C119" s="282" t="s">
        <v>3456</v>
      </c>
      <c r="D119" s="312" t="str">
        <f>HYPERLINK("http://www.galax.com/en/graphics-card/10-series/galax-geforcer-gtx-1070-oc-mini.html","Mini OC")</f>
        <v>Mini OC</v>
      </c>
      <c r="E119" s="411">
        <v>181.0</v>
      </c>
      <c r="F119" s="411">
        <v>116.0</v>
      </c>
      <c r="G119" s="411">
        <v>38.6</v>
      </c>
      <c r="H119" s="411">
        <v>2.0</v>
      </c>
      <c r="I119" s="411">
        <v>1708.0</v>
      </c>
      <c r="J119" s="411">
        <v>8.0</v>
      </c>
      <c r="K119" s="411">
        <v>150.0</v>
      </c>
      <c r="L119" s="411">
        <v>8.0</v>
      </c>
      <c r="M119" s="411">
        <v>2.0</v>
      </c>
      <c r="N119" s="411">
        <v>3.0</v>
      </c>
      <c r="O119" s="411">
        <v>1.0</v>
      </c>
      <c r="P119" s="411" t="s">
        <v>166</v>
      </c>
      <c r="Q119" s="411">
        <v>1.0</v>
      </c>
      <c r="R119" s="411" t="s">
        <v>166</v>
      </c>
      <c r="S119" s="411" t="s">
        <v>166</v>
      </c>
      <c r="T119" s="410"/>
    </row>
    <row r="120">
      <c r="A120" s="412" t="s">
        <v>3401</v>
      </c>
      <c r="B120" s="413" t="s">
        <v>3454</v>
      </c>
      <c r="C120" s="174" t="str">
        <f t="shared" ref="C120:C121" si="20">HYPERLINK("https://www.gigabyte.com/","Gigabyte")</f>
        <v>Gigabyte</v>
      </c>
      <c r="D120" s="414" t="str">
        <f>HYPERLINK("https://www.gigabyte.com/Graphics-Card/GV-N1070IX-8GD-rev-10#kf","Mini ITX")</f>
        <v>Mini ITX</v>
      </c>
      <c r="E120" s="415">
        <v>169.0</v>
      </c>
      <c r="F120" s="415">
        <v>131.0</v>
      </c>
      <c r="G120" s="415">
        <v>37.0</v>
      </c>
      <c r="H120" s="415">
        <v>2.0</v>
      </c>
      <c r="I120" s="415">
        <v>1721.0</v>
      </c>
      <c r="J120" s="415">
        <v>8.0</v>
      </c>
      <c r="K120" s="415">
        <v>150.0</v>
      </c>
      <c r="L120" s="415">
        <v>8.0</v>
      </c>
      <c r="M120" s="415">
        <v>1.0</v>
      </c>
      <c r="N120" s="415">
        <v>1.0</v>
      </c>
      <c r="O120" s="415">
        <v>1.0</v>
      </c>
      <c r="P120" s="415" t="s">
        <v>166</v>
      </c>
      <c r="Q120" s="415">
        <v>2.0</v>
      </c>
      <c r="R120" s="415" t="s">
        <v>166</v>
      </c>
      <c r="S120" s="415" t="s">
        <v>166</v>
      </c>
      <c r="T120" s="413"/>
    </row>
    <row r="121">
      <c r="A121" s="412" t="s">
        <v>3401</v>
      </c>
      <c r="B121" s="413" t="s">
        <v>3454</v>
      </c>
      <c r="C121" s="174" t="str">
        <f t="shared" si="20"/>
        <v>Gigabyte</v>
      </c>
      <c r="D121" s="414" t="s">
        <v>3445</v>
      </c>
      <c r="E121" s="415">
        <v>169.0</v>
      </c>
      <c r="F121" s="415">
        <v>131.0</v>
      </c>
      <c r="G121" s="415">
        <v>37.0</v>
      </c>
      <c r="H121" s="415">
        <v>2.0</v>
      </c>
      <c r="I121" s="415">
        <v>1746.0</v>
      </c>
      <c r="J121" s="415">
        <v>8.0</v>
      </c>
      <c r="K121" s="415">
        <v>150.0</v>
      </c>
      <c r="L121" s="415">
        <v>8.0</v>
      </c>
      <c r="M121" s="415">
        <v>1.0</v>
      </c>
      <c r="N121" s="415">
        <v>1.0</v>
      </c>
      <c r="O121" s="415">
        <v>1.0</v>
      </c>
      <c r="P121" s="415" t="s">
        <v>166</v>
      </c>
      <c r="Q121" s="415">
        <v>2.0</v>
      </c>
      <c r="R121" s="415" t="s">
        <v>166</v>
      </c>
      <c r="S121" s="415" t="s">
        <v>166</v>
      </c>
      <c r="T121" s="413"/>
    </row>
    <row r="122">
      <c r="A122" s="412" t="s">
        <v>3401</v>
      </c>
      <c r="B122" s="413" t="s">
        <v>3454</v>
      </c>
      <c r="C122" s="174" t="str">
        <f t="shared" ref="C122:C123" si="21">HYPERLINK("https://www.msi.com/index.php","MSI")</f>
        <v>MSI</v>
      </c>
      <c r="D122" s="414" t="s">
        <v>3375</v>
      </c>
      <c r="E122" s="415">
        <v>175.0</v>
      </c>
      <c r="F122" s="415">
        <v>129.0</v>
      </c>
      <c r="G122" s="415">
        <v>37.0</v>
      </c>
      <c r="H122" s="415">
        <v>2.0</v>
      </c>
      <c r="I122" s="415">
        <v>1683.0</v>
      </c>
      <c r="J122" s="415">
        <v>8.0</v>
      </c>
      <c r="K122" s="415">
        <v>150.0</v>
      </c>
      <c r="L122" s="415">
        <v>8.0</v>
      </c>
      <c r="M122" s="415">
        <v>1.0</v>
      </c>
      <c r="N122" s="415">
        <v>2.0</v>
      </c>
      <c r="O122" s="415">
        <v>2.0</v>
      </c>
      <c r="P122" s="415" t="s">
        <v>166</v>
      </c>
      <c r="Q122" s="415">
        <v>1.0</v>
      </c>
      <c r="R122" s="415" t="s">
        <v>166</v>
      </c>
      <c r="S122" s="415" t="s">
        <v>166</v>
      </c>
      <c r="T122" s="413"/>
    </row>
    <row r="123">
      <c r="A123" s="412" t="s">
        <v>3401</v>
      </c>
      <c r="B123" s="413" t="s">
        <v>3454</v>
      </c>
      <c r="C123" s="174" t="str">
        <f t="shared" si="21"/>
        <v>MSI</v>
      </c>
      <c r="D123" s="414" t="s">
        <v>3434</v>
      </c>
      <c r="E123" s="415">
        <v>175.0</v>
      </c>
      <c r="F123" s="415">
        <v>129.0</v>
      </c>
      <c r="G123" s="415">
        <v>37.0</v>
      </c>
      <c r="H123" s="415">
        <v>2.0</v>
      </c>
      <c r="I123" s="415">
        <v>1721.0</v>
      </c>
      <c r="J123" s="415">
        <v>8.0</v>
      </c>
      <c r="K123" s="415">
        <v>150.0</v>
      </c>
      <c r="L123" s="415">
        <v>8.0</v>
      </c>
      <c r="M123" s="415">
        <v>1.0</v>
      </c>
      <c r="N123" s="415">
        <v>2.0</v>
      </c>
      <c r="O123" s="415">
        <v>2.0</v>
      </c>
      <c r="P123" s="415" t="s">
        <v>166</v>
      </c>
      <c r="Q123" s="415">
        <v>1.0</v>
      </c>
      <c r="R123" s="415" t="s">
        <v>166</v>
      </c>
      <c r="S123" s="415" t="s">
        <v>166</v>
      </c>
      <c r="T123" s="413"/>
    </row>
    <row r="124">
      <c r="A124" s="401" t="s">
        <v>3401</v>
      </c>
      <c r="B124" s="402" t="s">
        <v>3454</v>
      </c>
      <c r="C124" s="403" t="str">
        <f t="shared" ref="C124:C125" si="22">HYPERLINK("http://zotac.com/","ZOTAC")</f>
        <v>ZOTAC</v>
      </c>
      <c r="D124" s="404" t="str">
        <f>HYPERLINK("https://www.zotac.com/product/graphics_card/zotac-geforce-gtx-1070-mini-0","Mini")</f>
        <v>Mini</v>
      </c>
      <c r="E124" s="405">
        <v>210.0</v>
      </c>
      <c r="F124" s="405">
        <v>122.0</v>
      </c>
      <c r="G124" s="405">
        <v>40.0</v>
      </c>
      <c r="H124" s="405">
        <v>2.0</v>
      </c>
      <c r="I124" s="405">
        <v>1708.0</v>
      </c>
      <c r="J124" s="405">
        <v>8.0</v>
      </c>
      <c r="K124" s="405">
        <v>150.0</v>
      </c>
      <c r="L124" s="405">
        <v>8.0</v>
      </c>
      <c r="M124" s="405">
        <v>2.0</v>
      </c>
      <c r="N124" s="405">
        <v>3.0</v>
      </c>
      <c r="O124" s="405">
        <v>1.0</v>
      </c>
      <c r="P124" s="405" t="s">
        <v>166</v>
      </c>
      <c r="Q124" s="405">
        <v>1.0</v>
      </c>
      <c r="R124" s="405" t="s">
        <v>166</v>
      </c>
      <c r="S124" s="405" t="s">
        <v>166</v>
      </c>
      <c r="T124" s="402"/>
    </row>
    <row r="125">
      <c r="A125" s="406" t="s">
        <v>3401</v>
      </c>
      <c r="B125" s="407" t="s">
        <v>3457</v>
      </c>
      <c r="C125" s="273" t="str">
        <f t="shared" si="22"/>
        <v>ZOTAC</v>
      </c>
      <c r="D125" s="313" t="str">
        <f>HYPERLINK("https://www.zotac.com/product/graphics_card/zotac-geforce-gtx-1070-ti-mini","Mini")</f>
        <v>Mini</v>
      </c>
      <c r="E125" s="408">
        <v>211.0</v>
      </c>
      <c r="F125" s="408">
        <v>125.0</v>
      </c>
      <c r="G125" s="408">
        <v>41.0</v>
      </c>
      <c r="H125" s="408">
        <v>2.0</v>
      </c>
      <c r="I125" s="408">
        <v>1683.0</v>
      </c>
      <c r="J125" s="408">
        <v>8.0</v>
      </c>
      <c r="K125" s="408">
        <v>180.0</v>
      </c>
      <c r="L125" s="408">
        <v>8.0</v>
      </c>
      <c r="M125" s="408">
        <v>2.0</v>
      </c>
      <c r="N125" s="408">
        <v>3.0</v>
      </c>
      <c r="O125" s="408">
        <v>1.0</v>
      </c>
      <c r="P125" s="408" t="s">
        <v>166</v>
      </c>
      <c r="Q125" s="408">
        <v>1.0</v>
      </c>
      <c r="R125" s="408" t="s">
        <v>166</v>
      </c>
      <c r="S125" s="408" t="s">
        <v>166</v>
      </c>
      <c r="T125" s="407"/>
    </row>
    <row r="126">
      <c r="A126" s="409" t="s">
        <v>3401</v>
      </c>
      <c r="B126" s="410" t="s">
        <v>3458</v>
      </c>
      <c r="C126" s="282" t="str">
        <f>HYPERLINK("https://www.gigabyte.com/","Gigabyte")</f>
        <v>Gigabyte</v>
      </c>
      <c r="D126" s="312" t="str">
        <f>HYPERLINK("https://www.gigabyte.com/Graphics-Card/GV-N1080IX-8GD#kf","Mini ITX")</f>
        <v>Mini ITX</v>
      </c>
      <c r="E126" s="411">
        <v>169.0</v>
      </c>
      <c r="F126" s="411">
        <v>131.0</v>
      </c>
      <c r="G126" s="411">
        <v>37.0</v>
      </c>
      <c r="H126" s="411">
        <v>2.0</v>
      </c>
      <c r="I126" s="411">
        <v>1771.0</v>
      </c>
      <c r="J126" s="411">
        <v>10.0</v>
      </c>
      <c r="K126" s="411">
        <v>180.0</v>
      </c>
      <c r="L126" s="411">
        <v>8.0</v>
      </c>
      <c r="M126" s="411">
        <v>1.0</v>
      </c>
      <c r="N126" s="411">
        <v>3.0</v>
      </c>
      <c r="O126" s="411">
        <v>1.0</v>
      </c>
      <c r="P126" s="411" t="s">
        <v>166</v>
      </c>
      <c r="Q126" s="411">
        <v>1.0</v>
      </c>
      <c r="R126" s="411" t="s">
        <v>166</v>
      </c>
      <c r="S126" s="411" t="s">
        <v>166</v>
      </c>
      <c r="T126" s="410"/>
    </row>
    <row r="127">
      <c r="A127" s="401" t="s">
        <v>3401</v>
      </c>
      <c r="B127" s="402" t="s">
        <v>3458</v>
      </c>
      <c r="C127" s="403" t="str">
        <f t="shared" ref="C127:C129" si="23">HYPERLINK("http://zotac.com/","ZOTAC")</f>
        <v>ZOTAC</v>
      </c>
      <c r="D127" s="404" t="str">
        <f>HYPERLINK("https://www.zotac.com/product/graphics_card/zotac-geforce-gtx-1080-mini","Mini")</f>
        <v>Mini</v>
      </c>
      <c r="E127" s="405">
        <v>211.0</v>
      </c>
      <c r="F127" s="405">
        <v>125.0</v>
      </c>
      <c r="G127" s="405">
        <v>41.0</v>
      </c>
      <c r="H127" s="405">
        <v>2.0</v>
      </c>
      <c r="I127" s="405">
        <v>1759.0</v>
      </c>
      <c r="J127" s="405">
        <v>10.0</v>
      </c>
      <c r="K127" s="405">
        <v>180.0</v>
      </c>
      <c r="L127" s="405">
        <v>8.0</v>
      </c>
      <c r="M127" s="405">
        <v>2.0</v>
      </c>
      <c r="N127" s="405">
        <v>3.0</v>
      </c>
      <c r="O127" s="405">
        <v>1.0</v>
      </c>
      <c r="P127" s="405" t="s">
        <v>166</v>
      </c>
      <c r="Q127" s="405">
        <v>1.0</v>
      </c>
      <c r="R127" s="405" t="s">
        <v>166</v>
      </c>
      <c r="S127" s="405" t="s">
        <v>166</v>
      </c>
      <c r="T127" s="402"/>
    </row>
    <row r="128">
      <c r="A128" s="409" t="s">
        <v>3401</v>
      </c>
      <c r="B128" s="410" t="s">
        <v>3459</v>
      </c>
      <c r="C128" s="282" t="str">
        <f t="shared" si="23"/>
        <v>ZOTAC</v>
      </c>
      <c r="D128" s="312" t="str">
        <f>HYPERLINK("https://www.zotac.com/product/graphics_card/zotac-geforce-gtx-1080-ti-mini","Mini")</f>
        <v>Mini</v>
      </c>
      <c r="E128" s="411">
        <v>211.0</v>
      </c>
      <c r="F128" s="411">
        <v>125.0</v>
      </c>
      <c r="G128" s="411">
        <v>41.0</v>
      </c>
      <c r="H128" s="411">
        <v>2.0</v>
      </c>
      <c r="I128" s="411">
        <v>1620.0</v>
      </c>
      <c r="J128" s="411">
        <v>11.0</v>
      </c>
      <c r="K128" s="411">
        <v>250.0</v>
      </c>
      <c r="L128" s="411" t="s">
        <v>3460</v>
      </c>
      <c r="M128" s="411">
        <v>2.0</v>
      </c>
      <c r="N128" s="411">
        <v>3.0</v>
      </c>
      <c r="O128" s="411">
        <v>1.0</v>
      </c>
      <c r="P128" s="411" t="s">
        <v>166</v>
      </c>
      <c r="Q128" s="411">
        <v>1.0</v>
      </c>
      <c r="R128" s="411" t="s">
        <v>166</v>
      </c>
      <c r="S128" s="411" t="s">
        <v>166</v>
      </c>
      <c r="T128" s="410"/>
    </row>
    <row r="129">
      <c r="A129" s="401" t="s">
        <v>3401</v>
      </c>
      <c r="B129" s="402" t="s">
        <v>3459</v>
      </c>
      <c r="C129" s="291" t="str">
        <f t="shared" si="23"/>
        <v>ZOTAC</v>
      </c>
      <c r="D129" s="404" t="s">
        <v>3461</v>
      </c>
      <c r="E129" s="405">
        <v>212.0</v>
      </c>
      <c r="F129" s="405">
        <v>164.0</v>
      </c>
      <c r="G129" s="405">
        <v>41.0</v>
      </c>
      <c r="H129" s="405">
        <v>2.0</v>
      </c>
      <c r="I129" s="405">
        <v>1620.0</v>
      </c>
      <c r="J129" s="405">
        <v>11.0</v>
      </c>
      <c r="K129" s="405">
        <v>250.0</v>
      </c>
      <c r="L129" s="405" t="s">
        <v>3460</v>
      </c>
      <c r="M129" s="405" t="s">
        <v>166</v>
      </c>
      <c r="N129" s="405">
        <v>3.0</v>
      </c>
      <c r="O129" s="405">
        <v>1.0</v>
      </c>
      <c r="P129" s="405" t="s">
        <v>166</v>
      </c>
      <c r="Q129" s="405">
        <v>1.0</v>
      </c>
      <c r="R129" s="405" t="s">
        <v>174</v>
      </c>
      <c r="S129" s="405" t="s">
        <v>166</v>
      </c>
      <c r="T129" s="402"/>
    </row>
    <row r="130">
      <c r="A130" s="412" t="s">
        <v>3401</v>
      </c>
      <c r="B130" s="413" t="s">
        <v>3462</v>
      </c>
      <c r="C130" s="416" t="str">
        <f t="shared" ref="C130:C135" si="24">HYPERLINK("http://www.palit.com/palit/index.php?lang=en","Palit")</f>
        <v>Palit</v>
      </c>
      <c r="D130" s="414" t="str">
        <f>HYPERLINK("http://www.palit.com/palit/vgapro.php?id=3237&amp;lang=en","StormX")</f>
        <v>StormX</v>
      </c>
      <c r="E130" s="415">
        <v>145.0</v>
      </c>
      <c r="F130" s="415">
        <v>99.0</v>
      </c>
      <c r="G130" s="415">
        <v>40.0</v>
      </c>
      <c r="H130" s="415">
        <v>2.0</v>
      </c>
      <c r="I130" s="415">
        <v>1665.0</v>
      </c>
      <c r="J130" s="415">
        <v>8.0</v>
      </c>
      <c r="K130" s="415">
        <v>75.0</v>
      </c>
      <c r="L130" s="415" t="s">
        <v>166</v>
      </c>
      <c r="M130" s="415">
        <v>1.0</v>
      </c>
      <c r="N130" s="415" t="s">
        <v>166</v>
      </c>
      <c r="O130" s="415">
        <v>1.0</v>
      </c>
      <c r="P130" s="415" t="s">
        <v>166</v>
      </c>
      <c r="Q130" s="415">
        <v>1.0</v>
      </c>
      <c r="R130" s="415" t="s">
        <v>166</v>
      </c>
      <c r="S130" s="415" t="s">
        <v>166</v>
      </c>
      <c r="T130" s="413"/>
    </row>
    <row r="131">
      <c r="A131" s="412" t="s">
        <v>3401</v>
      </c>
      <c r="B131" s="413" t="s">
        <v>3462</v>
      </c>
      <c r="C131" s="416" t="str">
        <f t="shared" si="24"/>
        <v>Palit</v>
      </c>
      <c r="D131" s="414" t="s">
        <v>3463</v>
      </c>
      <c r="E131" s="415">
        <v>145.0</v>
      </c>
      <c r="F131" s="415">
        <v>99.0</v>
      </c>
      <c r="G131" s="415">
        <v>40.0</v>
      </c>
      <c r="H131" s="415">
        <v>2.0</v>
      </c>
      <c r="I131" s="415">
        <v>1725.0</v>
      </c>
      <c r="J131" s="415">
        <v>8.0</v>
      </c>
      <c r="K131" s="415">
        <v>75.0</v>
      </c>
      <c r="L131" s="415" t="s">
        <v>166</v>
      </c>
      <c r="M131" s="415">
        <v>1.0</v>
      </c>
      <c r="N131" s="415" t="s">
        <v>166</v>
      </c>
      <c r="O131" s="415">
        <v>1.0</v>
      </c>
      <c r="P131" s="415" t="s">
        <v>166</v>
      </c>
      <c r="Q131" s="415">
        <v>1.0</v>
      </c>
      <c r="R131" s="415" t="s">
        <v>166</v>
      </c>
      <c r="S131" s="415" t="s">
        <v>166</v>
      </c>
      <c r="T131" s="413"/>
    </row>
    <row r="132">
      <c r="A132" s="428" t="s">
        <v>3401</v>
      </c>
      <c r="B132" s="429" t="s">
        <v>3462</v>
      </c>
      <c r="C132" s="430" t="str">
        <f t="shared" si="24"/>
        <v>Palit</v>
      </c>
      <c r="D132" s="414" t="s">
        <v>3464</v>
      </c>
      <c r="E132" s="448">
        <v>145.0</v>
      </c>
      <c r="F132" s="449">
        <v>99.0</v>
      </c>
      <c r="G132" s="450">
        <v>40.0</v>
      </c>
      <c r="H132" s="415">
        <v>2.0</v>
      </c>
      <c r="I132" s="415">
        <v>1665.0</v>
      </c>
      <c r="J132" s="309">
        <v>8.0</v>
      </c>
      <c r="K132" s="434">
        <v>75.0</v>
      </c>
      <c r="L132" s="307" t="s">
        <v>166</v>
      </c>
      <c r="M132" s="307">
        <v>1.0</v>
      </c>
      <c r="N132" s="307" t="s">
        <v>166</v>
      </c>
      <c r="O132" s="307">
        <v>1.0</v>
      </c>
      <c r="P132" s="307" t="s">
        <v>166</v>
      </c>
      <c r="Q132" s="307">
        <v>1.0</v>
      </c>
      <c r="R132" s="451" t="s">
        <v>166</v>
      </c>
      <c r="S132" s="451" t="s">
        <v>166</v>
      </c>
      <c r="T132" s="413"/>
    </row>
    <row r="133">
      <c r="A133" s="428" t="s">
        <v>3401</v>
      </c>
      <c r="B133" s="429" t="s">
        <v>3462</v>
      </c>
      <c r="C133" s="430" t="str">
        <f t="shared" si="24"/>
        <v>Palit</v>
      </c>
      <c r="D133" s="414" t="s">
        <v>3465</v>
      </c>
      <c r="E133" s="448">
        <v>145.0</v>
      </c>
      <c r="F133" s="449">
        <v>99.0</v>
      </c>
      <c r="G133" s="450">
        <v>40.0</v>
      </c>
      <c r="H133" s="415">
        <v>2.0</v>
      </c>
      <c r="I133" s="415">
        <v>1725.0</v>
      </c>
      <c r="J133" s="309">
        <v>8.0</v>
      </c>
      <c r="K133" s="434">
        <v>75.0</v>
      </c>
      <c r="L133" s="307" t="s">
        <v>166</v>
      </c>
      <c r="M133" s="307">
        <v>1.0</v>
      </c>
      <c r="N133" s="307" t="s">
        <v>166</v>
      </c>
      <c r="O133" s="307">
        <v>1.0</v>
      </c>
      <c r="P133" s="307" t="s">
        <v>166</v>
      </c>
      <c r="Q133" s="307">
        <v>1.0</v>
      </c>
      <c r="R133" s="451" t="s">
        <v>166</v>
      </c>
      <c r="S133" s="451" t="s">
        <v>166</v>
      </c>
      <c r="T133" s="413"/>
    </row>
    <row r="134">
      <c r="A134" s="412" t="s">
        <v>3401</v>
      </c>
      <c r="B134" s="413" t="s">
        <v>3462</v>
      </c>
      <c r="C134" s="416" t="str">
        <f t="shared" si="24"/>
        <v>Palit</v>
      </c>
      <c r="D134" s="414" t="str">
        <f>HYPERLINK("http://www.palit.com/palit/vgapro.php?id=3268&amp;lang=en","Dual")</f>
        <v>Dual</v>
      </c>
      <c r="E134" s="415">
        <v>170.0</v>
      </c>
      <c r="F134" s="415">
        <v>99.0</v>
      </c>
      <c r="G134" s="415">
        <v>40.0</v>
      </c>
      <c r="H134" s="415">
        <v>2.0</v>
      </c>
      <c r="I134" s="415">
        <v>1665.0</v>
      </c>
      <c r="J134" s="415">
        <v>8.0</v>
      </c>
      <c r="K134" s="415">
        <v>75.0</v>
      </c>
      <c r="L134" s="415" t="s">
        <v>166</v>
      </c>
      <c r="M134" s="415">
        <v>2.0</v>
      </c>
      <c r="N134" s="415">
        <v>2.0</v>
      </c>
      <c r="O134" s="415">
        <v>1.0</v>
      </c>
      <c r="P134" s="415" t="s">
        <v>166</v>
      </c>
      <c r="Q134" s="415" t="s">
        <v>166</v>
      </c>
      <c r="R134" s="415" t="s">
        <v>166</v>
      </c>
      <c r="S134" s="415" t="s">
        <v>166</v>
      </c>
      <c r="T134" s="413"/>
    </row>
    <row r="135">
      <c r="A135" s="412" t="s">
        <v>3401</v>
      </c>
      <c r="B135" s="413" t="s">
        <v>3462</v>
      </c>
      <c r="C135" s="416" t="str">
        <f t="shared" si="24"/>
        <v>Palit</v>
      </c>
      <c r="D135" s="414" t="s">
        <v>3381</v>
      </c>
      <c r="E135" s="415">
        <v>170.0</v>
      </c>
      <c r="F135" s="415">
        <v>99.0</v>
      </c>
      <c r="G135" s="415">
        <v>40.0</v>
      </c>
      <c r="H135" s="415">
        <v>2.0</v>
      </c>
      <c r="I135" s="415">
        <v>1815.0</v>
      </c>
      <c r="J135" s="415">
        <v>8.0</v>
      </c>
      <c r="K135" s="415">
        <v>75.0</v>
      </c>
      <c r="L135" s="415" t="s">
        <v>166</v>
      </c>
      <c r="M135" s="415">
        <v>2.0</v>
      </c>
      <c r="N135" s="415">
        <v>2.0</v>
      </c>
      <c r="O135" s="415">
        <v>1.0</v>
      </c>
      <c r="P135" s="415" t="s">
        <v>166</v>
      </c>
      <c r="Q135" s="415" t="s">
        <v>166</v>
      </c>
      <c r="R135" s="415" t="s">
        <v>166</v>
      </c>
      <c r="S135" s="415" t="s">
        <v>166</v>
      </c>
      <c r="T135" s="413"/>
    </row>
    <row r="136">
      <c r="A136" s="412" t="s">
        <v>3401</v>
      </c>
      <c r="B136" s="413" t="s">
        <v>3462</v>
      </c>
      <c r="C136" s="416" t="str">
        <f t="shared" ref="C136:C137" si="25">HYPERLINK("https://pny.com/","PNY")</f>
        <v>PNY</v>
      </c>
      <c r="D136" s="414" t="str">
        <f>HYPERLINK("https://pny.com/pny-geforce-gtx-1650-single-fan","Single Fan")</f>
        <v>Single Fan</v>
      </c>
      <c r="E136" s="415">
        <v>158.0</v>
      </c>
      <c r="F136" s="415">
        <v>125.0</v>
      </c>
      <c r="G136" s="415">
        <v>41.0</v>
      </c>
      <c r="H136" s="415">
        <v>2.0</v>
      </c>
      <c r="I136" s="415">
        <v>1665.0</v>
      </c>
      <c r="J136" s="415">
        <v>8.0</v>
      </c>
      <c r="K136" s="415">
        <v>75.0</v>
      </c>
      <c r="L136" s="415" t="s">
        <v>166</v>
      </c>
      <c r="M136" s="415">
        <v>1.0</v>
      </c>
      <c r="N136" s="415" t="s">
        <v>166</v>
      </c>
      <c r="O136" s="415">
        <v>1.0</v>
      </c>
      <c r="P136" s="415" t="s">
        <v>166</v>
      </c>
      <c r="Q136" s="415">
        <v>1.0</v>
      </c>
      <c r="R136" s="415" t="s">
        <v>166</v>
      </c>
      <c r="S136" s="415" t="s">
        <v>166</v>
      </c>
      <c r="T136" s="413"/>
    </row>
    <row r="137">
      <c r="A137" s="412" t="s">
        <v>3401</v>
      </c>
      <c r="B137" s="413" t="s">
        <v>3462</v>
      </c>
      <c r="C137" s="416" t="str">
        <f t="shared" si="25"/>
        <v>PNY</v>
      </c>
      <c r="D137" s="414" t="str">
        <f>HYPERLINK("https://pny.com/pny-geforce-gtx-1650-xlr8-oc","XLR8 Gaming OC")</f>
        <v>XLR8 Gaming OC</v>
      </c>
      <c r="E137" s="415">
        <v>145.0</v>
      </c>
      <c r="F137" s="415">
        <v>99.0</v>
      </c>
      <c r="G137" s="415">
        <v>40.0</v>
      </c>
      <c r="H137" s="415">
        <v>2.0</v>
      </c>
      <c r="I137" s="415">
        <v>1725.0</v>
      </c>
      <c r="J137" s="415">
        <v>8.0</v>
      </c>
      <c r="K137" s="415">
        <v>75.0</v>
      </c>
      <c r="L137" s="415" t="s">
        <v>166</v>
      </c>
      <c r="M137" s="415">
        <v>1.0</v>
      </c>
      <c r="N137" s="415" t="s">
        <v>166</v>
      </c>
      <c r="O137" s="415">
        <v>1.0</v>
      </c>
      <c r="P137" s="415" t="s">
        <v>166</v>
      </c>
      <c r="Q137" s="415">
        <v>1.0</v>
      </c>
      <c r="R137" s="415" t="s">
        <v>166</v>
      </c>
      <c r="S137" s="415" t="s">
        <v>166</v>
      </c>
      <c r="T137" s="413"/>
    </row>
    <row r="138">
      <c r="A138" s="412" t="s">
        <v>3401</v>
      </c>
      <c r="B138" s="413" t="s">
        <v>3462</v>
      </c>
      <c r="C138" s="416" t="str">
        <f t="shared" ref="C138:C140" si="26">HYPERLINK("http://zotac.com/","ZOTAC")</f>
        <v>ZOTAC</v>
      </c>
      <c r="D138" s="414" t="str">
        <f>HYPERLINK("https://www.zotac.com/product/graphics_card/zotac-gaming-geforce-gtx-1650-low-profile","Low Profile")</f>
        <v>Low Profile</v>
      </c>
      <c r="E138" s="415">
        <v>160.0</v>
      </c>
      <c r="F138" s="415">
        <v>70.0</v>
      </c>
      <c r="G138" s="415">
        <v>34.0</v>
      </c>
      <c r="H138" s="415">
        <v>2.0</v>
      </c>
      <c r="I138" s="415">
        <v>1665.0</v>
      </c>
      <c r="J138" s="415">
        <v>8.0</v>
      </c>
      <c r="K138" s="415">
        <v>75.0</v>
      </c>
      <c r="L138" s="415" t="s">
        <v>166</v>
      </c>
      <c r="M138" s="415">
        <v>2.0</v>
      </c>
      <c r="N138" s="415">
        <v>1.0</v>
      </c>
      <c r="O138" s="415">
        <v>1.0</v>
      </c>
      <c r="P138" s="415" t="s">
        <v>166</v>
      </c>
      <c r="Q138" s="415">
        <v>1.0</v>
      </c>
      <c r="R138" s="415" t="s">
        <v>166</v>
      </c>
      <c r="S138" s="415" t="s">
        <v>174</v>
      </c>
      <c r="T138" s="413"/>
    </row>
    <row r="139">
      <c r="A139" s="412" t="s">
        <v>3401</v>
      </c>
      <c r="B139" s="413" t="s">
        <v>3462</v>
      </c>
      <c r="C139" s="416" t="str">
        <f t="shared" si="26"/>
        <v>ZOTAC</v>
      </c>
      <c r="D139" s="414" t="str">
        <f>HYPERLINK("https://www.zotac.com/product/graphics_card/zotac-gaming-geforce-gtx-1650-oc","OC")</f>
        <v>OC</v>
      </c>
      <c r="E139" s="415">
        <v>151.0</v>
      </c>
      <c r="F139" s="415">
        <v>111.15</v>
      </c>
      <c r="G139" s="415">
        <v>38.8</v>
      </c>
      <c r="H139" s="415">
        <v>2.0</v>
      </c>
      <c r="I139" s="415">
        <v>1695.0</v>
      </c>
      <c r="J139" s="415">
        <v>8.0</v>
      </c>
      <c r="K139" s="415">
        <v>75.0</v>
      </c>
      <c r="L139" s="415" t="s">
        <v>166</v>
      </c>
      <c r="M139" s="415">
        <v>1.0</v>
      </c>
      <c r="N139" s="415">
        <v>1.0</v>
      </c>
      <c r="O139" s="415">
        <v>1.0</v>
      </c>
      <c r="P139" s="415" t="s">
        <v>166</v>
      </c>
      <c r="Q139" s="415">
        <v>1.0</v>
      </c>
      <c r="R139" s="415" t="s">
        <v>166</v>
      </c>
      <c r="S139" s="415" t="s">
        <v>166</v>
      </c>
      <c r="T139" s="413"/>
    </row>
    <row r="140">
      <c r="A140" s="401" t="s">
        <v>3401</v>
      </c>
      <c r="B140" s="402" t="s">
        <v>3462</v>
      </c>
      <c r="C140" s="403" t="str">
        <f t="shared" si="26"/>
        <v>ZOTAC</v>
      </c>
      <c r="D140" s="404" t="str">
        <f>HYPERLINK("https://www.zotac.com/product/graphics_card/zotac-gaming-geforce-gtx-1650-amp","AMP")</f>
        <v>AMP</v>
      </c>
      <c r="E140" s="405">
        <v>162.4</v>
      </c>
      <c r="F140" s="405">
        <v>111.15</v>
      </c>
      <c r="G140" s="405">
        <v>37.1</v>
      </c>
      <c r="H140" s="405">
        <v>2.0</v>
      </c>
      <c r="I140" s="405">
        <v>1725.0</v>
      </c>
      <c r="J140" s="405">
        <v>8.0</v>
      </c>
      <c r="K140" s="405">
        <v>75.0</v>
      </c>
      <c r="L140" s="405" t="s">
        <v>166</v>
      </c>
      <c r="M140" s="405">
        <v>2.0</v>
      </c>
      <c r="N140" s="405">
        <v>1.0</v>
      </c>
      <c r="O140" s="405">
        <v>1.0</v>
      </c>
      <c r="P140" s="405" t="s">
        <v>166</v>
      </c>
      <c r="Q140" s="405">
        <v>1.0</v>
      </c>
      <c r="R140" s="405" t="s">
        <v>166</v>
      </c>
      <c r="S140" s="405" t="s">
        <v>166</v>
      </c>
      <c r="T140" s="402"/>
    </row>
    <row r="141">
      <c r="A141" s="409" t="s">
        <v>3401</v>
      </c>
      <c r="B141" s="410" t="s">
        <v>3466</v>
      </c>
      <c r="C141" s="174" t="s">
        <v>3467</v>
      </c>
      <c r="D141" s="414" t="s">
        <v>3468</v>
      </c>
      <c r="E141" s="415">
        <v>151.0</v>
      </c>
      <c r="F141" s="415">
        <v>111.0</v>
      </c>
      <c r="G141" s="415">
        <v>38.0</v>
      </c>
      <c r="H141" s="415">
        <v>2.0</v>
      </c>
      <c r="I141" s="415">
        <v>1590.0</v>
      </c>
      <c r="J141" s="415">
        <v>12.0</v>
      </c>
      <c r="K141" s="415">
        <v>75.0</v>
      </c>
      <c r="L141" s="415">
        <v>6.0</v>
      </c>
      <c r="M141" s="415">
        <v>1.0</v>
      </c>
      <c r="N141" s="415" t="s">
        <v>166</v>
      </c>
      <c r="O141" s="415">
        <v>1.0</v>
      </c>
      <c r="P141" s="415" t="s">
        <v>166</v>
      </c>
      <c r="Q141" s="415">
        <v>1.0</v>
      </c>
      <c r="R141" s="415" t="s">
        <v>166</v>
      </c>
      <c r="S141" s="415" t="s">
        <v>166</v>
      </c>
      <c r="T141" s="413"/>
    </row>
    <row r="142">
      <c r="A142" s="409" t="s">
        <v>3401</v>
      </c>
      <c r="B142" s="410" t="s">
        <v>3466</v>
      </c>
      <c r="C142" s="282" t="str">
        <f t="shared" ref="C142:C157" si="27">HYPERLINK("https://www.asus.com/","Asus")</f>
        <v>Asus</v>
      </c>
      <c r="D142" s="312" t="str">
        <f>HYPERLINK("https://www.asus.com/Graphics-Cards/PH-GTX1650-4GD6/","Phoenix")</f>
        <v>Phoenix</v>
      </c>
      <c r="E142" s="411">
        <v>174.0</v>
      </c>
      <c r="F142" s="411">
        <v>126.0</v>
      </c>
      <c r="G142" s="411">
        <v>39.0</v>
      </c>
      <c r="H142" s="411">
        <v>2.0</v>
      </c>
      <c r="I142" s="411">
        <v>1620.0</v>
      </c>
      <c r="J142" s="411">
        <v>12.0</v>
      </c>
      <c r="K142" s="411">
        <v>75.0</v>
      </c>
      <c r="L142" s="411" t="s">
        <v>166</v>
      </c>
      <c r="M142" s="411">
        <v>1.0</v>
      </c>
      <c r="N142" s="411">
        <v>1.0</v>
      </c>
      <c r="O142" s="411">
        <v>1.0</v>
      </c>
      <c r="P142" s="411" t="s">
        <v>166</v>
      </c>
      <c r="Q142" s="411">
        <v>1.0</v>
      </c>
      <c r="R142" s="411" t="s">
        <v>166</v>
      </c>
      <c r="S142" s="411" t="s">
        <v>166</v>
      </c>
      <c r="T142" s="410"/>
    </row>
    <row r="143">
      <c r="A143" s="412" t="s">
        <v>3401</v>
      </c>
      <c r="B143" s="413" t="s">
        <v>3466</v>
      </c>
      <c r="C143" s="174" t="str">
        <f t="shared" si="27"/>
        <v>Asus</v>
      </c>
      <c r="D143" s="414" t="s">
        <v>3469</v>
      </c>
      <c r="E143" s="415">
        <v>174.0</v>
      </c>
      <c r="F143" s="415">
        <v>126.0</v>
      </c>
      <c r="G143" s="415">
        <v>39.0</v>
      </c>
      <c r="H143" s="415">
        <v>2.0</v>
      </c>
      <c r="I143" s="415">
        <v>1635.0</v>
      </c>
      <c r="J143" s="415">
        <v>12.0</v>
      </c>
      <c r="K143" s="415">
        <v>75.0</v>
      </c>
      <c r="L143" s="415" t="s">
        <v>166</v>
      </c>
      <c r="M143" s="415">
        <v>1.0</v>
      </c>
      <c r="N143" s="415">
        <v>1.0</v>
      </c>
      <c r="O143" s="415">
        <v>1.0</v>
      </c>
      <c r="P143" s="415" t="s">
        <v>166</v>
      </c>
      <c r="Q143" s="415">
        <v>1.0</v>
      </c>
      <c r="R143" s="415" t="s">
        <v>166</v>
      </c>
      <c r="S143" s="411" t="s">
        <v>166</v>
      </c>
      <c r="T143" s="413"/>
    </row>
    <row r="144">
      <c r="A144" s="412" t="s">
        <v>3401</v>
      </c>
      <c r="B144" s="413" t="s">
        <v>3466</v>
      </c>
      <c r="C144" s="174" t="str">
        <f t="shared" si="27"/>
        <v>Asus</v>
      </c>
      <c r="D144" s="414" t="s">
        <v>3470</v>
      </c>
      <c r="E144" s="415">
        <v>174.0</v>
      </c>
      <c r="F144" s="415">
        <v>126.0</v>
      </c>
      <c r="G144" s="415">
        <v>39.0</v>
      </c>
      <c r="H144" s="415">
        <v>2.0</v>
      </c>
      <c r="I144" s="415">
        <v>1620.0</v>
      </c>
      <c r="J144" s="415">
        <v>12.0</v>
      </c>
      <c r="K144" s="415">
        <v>75.0</v>
      </c>
      <c r="L144" s="415">
        <v>6.0</v>
      </c>
      <c r="M144" s="415">
        <v>1.0</v>
      </c>
      <c r="N144" s="415">
        <v>1.0</v>
      </c>
      <c r="O144" s="415">
        <v>1.0</v>
      </c>
      <c r="P144" s="415" t="s">
        <v>166</v>
      </c>
      <c r="Q144" s="415">
        <v>1.0</v>
      </c>
      <c r="R144" s="415" t="s">
        <v>166</v>
      </c>
      <c r="S144" s="411" t="s">
        <v>166</v>
      </c>
      <c r="T144" s="413"/>
    </row>
    <row r="145">
      <c r="A145" s="412" t="s">
        <v>3401</v>
      </c>
      <c r="B145" s="413" t="s">
        <v>3466</v>
      </c>
      <c r="C145" s="174" t="str">
        <f t="shared" si="27"/>
        <v>Asus</v>
      </c>
      <c r="D145" s="414" t="s">
        <v>3471</v>
      </c>
      <c r="E145" s="415">
        <v>174.0</v>
      </c>
      <c r="F145" s="415">
        <v>126.0</v>
      </c>
      <c r="G145" s="415">
        <v>39.0</v>
      </c>
      <c r="H145" s="415">
        <v>2.0</v>
      </c>
      <c r="I145" s="415">
        <v>1635.0</v>
      </c>
      <c r="J145" s="415">
        <v>12.0</v>
      </c>
      <c r="K145" s="415">
        <v>75.0</v>
      </c>
      <c r="L145" s="415">
        <v>6.0</v>
      </c>
      <c r="M145" s="415">
        <v>1.0</v>
      </c>
      <c r="N145" s="415">
        <v>1.0</v>
      </c>
      <c r="O145" s="415">
        <v>1.0</v>
      </c>
      <c r="P145" s="415" t="s">
        <v>166</v>
      </c>
      <c r="Q145" s="415">
        <v>1.0</v>
      </c>
      <c r="R145" s="415" t="s">
        <v>166</v>
      </c>
      <c r="S145" s="411" t="s">
        <v>166</v>
      </c>
      <c r="T145" s="413"/>
    </row>
    <row r="146">
      <c r="A146" s="412" t="s">
        <v>3401</v>
      </c>
      <c r="B146" s="413" t="s">
        <v>3466</v>
      </c>
      <c r="C146" s="174" t="str">
        <f t="shared" si="27"/>
        <v>Asus</v>
      </c>
      <c r="D146" s="414" t="s">
        <v>3472</v>
      </c>
      <c r="E146" s="415">
        <v>197.0</v>
      </c>
      <c r="F146" s="415">
        <v>121.0</v>
      </c>
      <c r="G146" s="415">
        <v>39.0</v>
      </c>
      <c r="H146" s="415">
        <v>2.0</v>
      </c>
      <c r="I146" s="415">
        <v>1620.0</v>
      </c>
      <c r="J146" s="415">
        <v>12.0</v>
      </c>
      <c r="K146" s="415">
        <v>75.0</v>
      </c>
      <c r="L146" s="415">
        <v>6.0</v>
      </c>
      <c r="M146" s="415">
        <v>1.0</v>
      </c>
      <c r="N146" s="415">
        <v>1.0</v>
      </c>
      <c r="O146" s="415">
        <v>1.0</v>
      </c>
      <c r="P146" s="415" t="s">
        <v>166</v>
      </c>
      <c r="Q146" s="415">
        <v>1.0</v>
      </c>
      <c r="R146" s="415" t="s">
        <v>166</v>
      </c>
      <c r="S146" s="411" t="s">
        <v>166</v>
      </c>
      <c r="T146" s="413"/>
    </row>
    <row r="147">
      <c r="A147" s="412" t="s">
        <v>3401</v>
      </c>
      <c r="B147" s="413" t="s">
        <v>3466</v>
      </c>
      <c r="C147" s="174" t="str">
        <f t="shared" si="27"/>
        <v>Asus</v>
      </c>
      <c r="D147" s="414" t="s">
        <v>3473</v>
      </c>
      <c r="E147" s="415">
        <v>197.0</v>
      </c>
      <c r="F147" s="415">
        <v>121.0</v>
      </c>
      <c r="G147" s="415">
        <v>39.0</v>
      </c>
      <c r="H147" s="415">
        <v>2.0</v>
      </c>
      <c r="I147" s="415">
        <v>1635.0</v>
      </c>
      <c r="J147" s="415">
        <v>12.0</v>
      </c>
      <c r="K147" s="415">
        <v>75.0</v>
      </c>
      <c r="L147" s="415">
        <v>6.0</v>
      </c>
      <c r="M147" s="415">
        <v>1.0</v>
      </c>
      <c r="N147" s="415">
        <v>1.0</v>
      </c>
      <c r="O147" s="415">
        <v>1.0</v>
      </c>
      <c r="P147" s="415" t="s">
        <v>166</v>
      </c>
      <c r="Q147" s="415">
        <v>1.0</v>
      </c>
      <c r="R147" s="415" t="s">
        <v>166</v>
      </c>
      <c r="S147" s="411" t="s">
        <v>166</v>
      </c>
      <c r="T147" s="413"/>
    </row>
    <row r="148">
      <c r="A148" s="412" t="s">
        <v>3401</v>
      </c>
      <c r="B148" s="413" t="s">
        <v>3466</v>
      </c>
      <c r="C148" s="174" t="str">
        <f t="shared" si="27"/>
        <v>Asus</v>
      </c>
      <c r="D148" s="414" t="s">
        <v>3474</v>
      </c>
      <c r="E148" s="415">
        <v>200.0</v>
      </c>
      <c r="F148" s="415">
        <v>124.0</v>
      </c>
      <c r="G148" s="415">
        <v>39.0</v>
      </c>
      <c r="H148" s="415">
        <v>2.0</v>
      </c>
      <c r="I148" s="415">
        <v>1620.0</v>
      </c>
      <c r="J148" s="415">
        <v>12.0</v>
      </c>
      <c r="K148" s="415">
        <v>75.0</v>
      </c>
      <c r="L148" s="415" t="s">
        <v>166</v>
      </c>
      <c r="M148" s="415">
        <v>2.0</v>
      </c>
      <c r="N148" s="415">
        <v>1.0</v>
      </c>
      <c r="O148" s="415">
        <v>1.0</v>
      </c>
      <c r="P148" s="415" t="s">
        <v>166</v>
      </c>
      <c r="Q148" s="415">
        <v>1.0</v>
      </c>
      <c r="R148" s="415" t="s">
        <v>166</v>
      </c>
      <c r="S148" s="411" t="s">
        <v>166</v>
      </c>
      <c r="T148" s="413"/>
    </row>
    <row r="149">
      <c r="A149" s="412" t="s">
        <v>3401</v>
      </c>
      <c r="B149" s="413" t="s">
        <v>3466</v>
      </c>
      <c r="C149" s="174" t="str">
        <f t="shared" si="27"/>
        <v>Asus</v>
      </c>
      <c r="D149" s="414" t="s">
        <v>3475</v>
      </c>
      <c r="E149" s="415">
        <v>200.0</v>
      </c>
      <c r="F149" s="415">
        <v>124.0</v>
      </c>
      <c r="G149" s="415">
        <v>39.0</v>
      </c>
      <c r="H149" s="415">
        <v>2.0</v>
      </c>
      <c r="I149" s="415">
        <v>1650.0</v>
      </c>
      <c r="J149" s="415">
        <v>12.0</v>
      </c>
      <c r="K149" s="415">
        <v>75.0</v>
      </c>
      <c r="L149" s="415" t="s">
        <v>166</v>
      </c>
      <c r="M149" s="415">
        <v>2.0</v>
      </c>
      <c r="N149" s="415">
        <v>1.0</v>
      </c>
      <c r="O149" s="415">
        <v>1.0</v>
      </c>
      <c r="P149" s="415" t="s">
        <v>166</v>
      </c>
      <c r="Q149" s="415">
        <v>1.0</v>
      </c>
      <c r="R149" s="415" t="s">
        <v>166</v>
      </c>
      <c r="S149" s="411" t="s">
        <v>166</v>
      </c>
      <c r="T149" s="413"/>
    </row>
    <row r="150">
      <c r="A150" s="412" t="s">
        <v>3401</v>
      </c>
      <c r="B150" s="413" t="s">
        <v>3466</v>
      </c>
      <c r="C150" s="174" t="str">
        <f t="shared" si="27"/>
        <v>Asus</v>
      </c>
      <c r="D150" s="414" t="s">
        <v>3372</v>
      </c>
      <c r="E150" s="415">
        <v>215.0</v>
      </c>
      <c r="F150" s="415">
        <v>121.0</v>
      </c>
      <c r="G150" s="415">
        <v>44.0</v>
      </c>
      <c r="H150" s="415">
        <v>2.0</v>
      </c>
      <c r="I150" s="415">
        <v>1620.0</v>
      </c>
      <c r="J150" s="415">
        <v>12.0</v>
      </c>
      <c r="K150" s="415">
        <v>75.0</v>
      </c>
      <c r="L150" s="415">
        <v>6.0</v>
      </c>
      <c r="M150" s="415">
        <v>2.0</v>
      </c>
      <c r="N150" s="415">
        <v>1.0</v>
      </c>
      <c r="O150" s="415">
        <v>1.0</v>
      </c>
      <c r="P150" s="415" t="s">
        <v>166</v>
      </c>
      <c r="Q150" s="415">
        <v>1.0</v>
      </c>
      <c r="R150" s="415" t="s">
        <v>166</v>
      </c>
      <c r="S150" s="411" t="s">
        <v>166</v>
      </c>
      <c r="T150" s="413"/>
    </row>
    <row r="151">
      <c r="A151" s="412" t="s">
        <v>3401</v>
      </c>
      <c r="B151" s="413" t="s">
        <v>3466</v>
      </c>
      <c r="C151" s="174" t="str">
        <f t="shared" si="27"/>
        <v>Asus</v>
      </c>
      <c r="D151" s="414" t="s">
        <v>3381</v>
      </c>
      <c r="E151" s="415">
        <v>215.0</v>
      </c>
      <c r="F151" s="415">
        <v>121.0</v>
      </c>
      <c r="G151" s="415">
        <v>44.0</v>
      </c>
      <c r="H151" s="415">
        <v>2.0</v>
      </c>
      <c r="I151" s="415">
        <v>1785.0</v>
      </c>
      <c r="J151" s="415">
        <v>12.0</v>
      </c>
      <c r="K151" s="415">
        <v>75.0</v>
      </c>
      <c r="L151" s="415">
        <v>6.0</v>
      </c>
      <c r="M151" s="415">
        <v>2.0</v>
      </c>
      <c r="N151" s="415">
        <v>1.0</v>
      </c>
      <c r="O151" s="415">
        <v>1.0</v>
      </c>
      <c r="P151" s="415" t="s">
        <v>166</v>
      </c>
      <c r="Q151" s="415">
        <v>1.0</v>
      </c>
      <c r="R151" s="415" t="s">
        <v>166</v>
      </c>
      <c r="S151" s="411" t="s">
        <v>166</v>
      </c>
      <c r="T151" s="413"/>
    </row>
    <row r="152">
      <c r="A152" s="412" t="s">
        <v>3401</v>
      </c>
      <c r="B152" s="413" t="s">
        <v>3466</v>
      </c>
      <c r="C152" s="174" t="str">
        <f t="shared" si="27"/>
        <v>Asus</v>
      </c>
      <c r="D152" s="414" t="s">
        <v>3476</v>
      </c>
      <c r="E152" s="415">
        <v>212.0</v>
      </c>
      <c r="F152" s="415">
        <v>121.0</v>
      </c>
      <c r="G152" s="415">
        <v>40.0</v>
      </c>
      <c r="H152" s="415">
        <v>2.0</v>
      </c>
      <c r="I152" s="415">
        <v>1620.0</v>
      </c>
      <c r="J152" s="415">
        <v>12.0</v>
      </c>
      <c r="K152" s="415">
        <v>75.0</v>
      </c>
      <c r="L152" s="415">
        <v>6.0</v>
      </c>
      <c r="M152" s="415">
        <v>2.0</v>
      </c>
      <c r="N152" s="415">
        <v>1.0</v>
      </c>
      <c r="O152" s="415">
        <v>1.0</v>
      </c>
      <c r="P152" s="415" t="s">
        <v>166</v>
      </c>
      <c r="Q152" s="415">
        <v>1.0</v>
      </c>
      <c r="R152" s="415" t="s">
        <v>166</v>
      </c>
      <c r="S152" s="411" t="s">
        <v>166</v>
      </c>
      <c r="T152" s="413"/>
    </row>
    <row r="153">
      <c r="A153" s="412" t="s">
        <v>3401</v>
      </c>
      <c r="B153" s="413" t="s">
        <v>3466</v>
      </c>
      <c r="C153" s="174" t="str">
        <f t="shared" si="27"/>
        <v>Asus</v>
      </c>
      <c r="D153" s="414" t="s">
        <v>3394</v>
      </c>
      <c r="E153" s="415">
        <v>212.0</v>
      </c>
      <c r="F153" s="415">
        <v>121.0</v>
      </c>
      <c r="G153" s="415">
        <v>40.0</v>
      </c>
      <c r="H153" s="415">
        <v>2.0</v>
      </c>
      <c r="I153" s="415">
        <v>1650.0</v>
      </c>
      <c r="J153" s="415">
        <v>12.0</v>
      </c>
      <c r="K153" s="415">
        <v>75.0</v>
      </c>
      <c r="L153" s="415">
        <v>6.0</v>
      </c>
      <c r="M153" s="415">
        <v>2.0</v>
      </c>
      <c r="N153" s="415">
        <v>1.0</v>
      </c>
      <c r="O153" s="415">
        <v>1.0</v>
      </c>
      <c r="P153" s="415" t="s">
        <v>166</v>
      </c>
      <c r="Q153" s="415">
        <v>1.0</v>
      </c>
      <c r="R153" s="415" t="s">
        <v>166</v>
      </c>
      <c r="S153" s="411" t="s">
        <v>166</v>
      </c>
      <c r="T153" s="413"/>
    </row>
    <row r="154">
      <c r="A154" s="412" t="s">
        <v>3401</v>
      </c>
      <c r="B154" s="413" t="s">
        <v>3466</v>
      </c>
      <c r="C154" s="174" t="str">
        <f t="shared" si="27"/>
        <v>Asus</v>
      </c>
      <c r="D154" s="414" t="s">
        <v>3477</v>
      </c>
      <c r="E154" s="415">
        <v>204.5</v>
      </c>
      <c r="F154" s="415">
        <v>124.9</v>
      </c>
      <c r="G154" s="415">
        <v>45.6</v>
      </c>
      <c r="H154" s="415">
        <v>2.0</v>
      </c>
      <c r="I154" s="415">
        <v>1620.0</v>
      </c>
      <c r="J154" s="415">
        <v>12.0</v>
      </c>
      <c r="K154" s="415">
        <v>75.0</v>
      </c>
      <c r="L154" s="415" t="s">
        <v>166</v>
      </c>
      <c r="M154" s="415">
        <v>2.0</v>
      </c>
      <c r="N154" s="415">
        <v>1.0</v>
      </c>
      <c r="O154" s="415">
        <v>1.0</v>
      </c>
      <c r="P154" s="415" t="s">
        <v>166</v>
      </c>
      <c r="Q154" s="415">
        <v>1.0</v>
      </c>
      <c r="R154" s="415" t="s">
        <v>166</v>
      </c>
      <c r="S154" s="411" t="s">
        <v>166</v>
      </c>
      <c r="T154" s="413"/>
    </row>
    <row r="155">
      <c r="A155" s="412" t="s">
        <v>3401</v>
      </c>
      <c r="B155" s="413" t="s">
        <v>3466</v>
      </c>
      <c r="C155" s="174" t="str">
        <f t="shared" si="27"/>
        <v>Asus</v>
      </c>
      <c r="D155" s="414" t="s">
        <v>3478</v>
      </c>
      <c r="E155" s="415">
        <v>204.5</v>
      </c>
      <c r="F155" s="415">
        <v>124.9</v>
      </c>
      <c r="G155" s="415">
        <v>45.6</v>
      </c>
      <c r="H155" s="415">
        <v>2.0</v>
      </c>
      <c r="I155" s="415">
        <v>1680.0</v>
      </c>
      <c r="J155" s="415">
        <v>12.0</v>
      </c>
      <c r="K155" s="415">
        <v>75.0</v>
      </c>
      <c r="L155" s="415" t="s">
        <v>166</v>
      </c>
      <c r="M155" s="415">
        <v>2.0</v>
      </c>
      <c r="N155" s="415">
        <v>1.0</v>
      </c>
      <c r="O155" s="415">
        <v>1.0</v>
      </c>
      <c r="P155" s="415" t="s">
        <v>166</v>
      </c>
      <c r="Q155" s="415">
        <v>1.0</v>
      </c>
      <c r="R155" s="415" t="s">
        <v>166</v>
      </c>
      <c r="S155" s="411" t="s">
        <v>166</v>
      </c>
      <c r="T155" s="413"/>
    </row>
    <row r="156">
      <c r="A156" s="412" t="s">
        <v>3401</v>
      </c>
      <c r="B156" s="413" t="s">
        <v>3466</v>
      </c>
      <c r="C156" s="174" t="str">
        <f t="shared" si="27"/>
        <v>Asus</v>
      </c>
      <c r="D156" s="414" t="s">
        <v>3479</v>
      </c>
      <c r="E156" s="415">
        <v>205.0</v>
      </c>
      <c r="F156" s="415">
        <v>125.0</v>
      </c>
      <c r="G156" s="415">
        <v>46.6</v>
      </c>
      <c r="H156" s="415">
        <v>2.0</v>
      </c>
      <c r="I156" s="415">
        <v>1620.0</v>
      </c>
      <c r="J156" s="415">
        <v>12.0</v>
      </c>
      <c r="K156" s="415">
        <v>75.0</v>
      </c>
      <c r="L156" s="415">
        <v>6.0</v>
      </c>
      <c r="M156" s="415">
        <v>2.0</v>
      </c>
      <c r="N156" s="415">
        <v>1.0</v>
      </c>
      <c r="O156" s="415">
        <v>1.0</v>
      </c>
      <c r="P156" s="415" t="s">
        <v>166</v>
      </c>
      <c r="Q156" s="415">
        <v>1.0</v>
      </c>
      <c r="R156" s="415" t="s">
        <v>166</v>
      </c>
      <c r="S156" s="411" t="s">
        <v>166</v>
      </c>
      <c r="T156" s="413"/>
    </row>
    <row r="157">
      <c r="A157" s="412" t="s">
        <v>3401</v>
      </c>
      <c r="B157" s="413" t="s">
        <v>3466</v>
      </c>
      <c r="C157" s="174" t="str">
        <f t="shared" si="27"/>
        <v>Asus</v>
      </c>
      <c r="D157" s="414" t="s">
        <v>3480</v>
      </c>
      <c r="E157" s="415">
        <v>205.0</v>
      </c>
      <c r="F157" s="415">
        <v>125.0</v>
      </c>
      <c r="G157" s="415">
        <v>46.6</v>
      </c>
      <c r="H157" s="415">
        <v>2.0</v>
      </c>
      <c r="I157" s="415">
        <v>1665.0</v>
      </c>
      <c r="J157" s="415">
        <v>12.0</v>
      </c>
      <c r="K157" s="415">
        <v>75.0</v>
      </c>
      <c r="L157" s="415">
        <v>6.0</v>
      </c>
      <c r="M157" s="415">
        <v>2.0</v>
      </c>
      <c r="N157" s="415">
        <v>1.0</v>
      </c>
      <c r="O157" s="415">
        <v>1.0</v>
      </c>
      <c r="P157" s="415" t="s">
        <v>166</v>
      </c>
      <c r="Q157" s="415">
        <v>1.0</v>
      </c>
      <c r="R157" s="415" t="s">
        <v>166</v>
      </c>
      <c r="S157" s="411" t="s">
        <v>166</v>
      </c>
      <c r="T157" s="413"/>
    </row>
    <row r="158">
      <c r="A158" s="412" t="s">
        <v>3401</v>
      </c>
      <c r="B158" s="413" t="s">
        <v>3466</v>
      </c>
      <c r="C158" s="174" t="s">
        <v>3405</v>
      </c>
      <c r="D158" s="414" t="s">
        <v>3481</v>
      </c>
      <c r="E158" s="415">
        <v>170.0</v>
      </c>
      <c r="F158" s="415">
        <v>116.0</v>
      </c>
      <c r="G158" s="415">
        <v>43.0</v>
      </c>
      <c r="H158" s="415">
        <v>2.0</v>
      </c>
      <c r="I158" s="415">
        <v>1590.0</v>
      </c>
      <c r="J158" s="415">
        <v>12.0</v>
      </c>
      <c r="K158" s="415">
        <v>75.0</v>
      </c>
      <c r="L158" s="415" t="s">
        <v>166</v>
      </c>
      <c r="M158" s="415">
        <v>2.0</v>
      </c>
      <c r="N158" s="415">
        <v>1.0</v>
      </c>
      <c r="O158" s="415">
        <v>1.0</v>
      </c>
      <c r="P158" s="415" t="s">
        <v>166</v>
      </c>
      <c r="Q158" s="415">
        <v>1.0</v>
      </c>
      <c r="R158" s="415" t="s">
        <v>166</v>
      </c>
      <c r="S158" s="411" t="s">
        <v>166</v>
      </c>
      <c r="T158" s="413"/>
    </row>
    <row r="159">
      <c r="A159" s="412" t="s">
        <v>3401</v>
      </c>
      <c r="B159" s="413" t="s">
        <v>3466</v>
      </c>
      <c r="C159" s="174" t="s">
        <v>3405</v>
      </c>
      <c r="D159" s="414" t="s">
        <v>3482</v>
      </c>
      <c r="E159" s="415">
        <v>183.0</v>
      </c>
      <c r="F159" s="415">
        <v>115.0</v>
      </c>
      <c r="G159" s="415">
        <v>35.0</v>
      </c>
      <c r="H159" s="415">
        <v>2.0</v>
      </c>
      <c r="I159" s="415">
        <v>1590.0</v>
      </c>
      <c r="J159" s="415">
        <v>12.0</v>
      </c>
      <c r="K159" s="415">
        <v>75.0</v>
      </c>
      <c r="L159" s="415">
        <v>6.0</v>
      </c>
      <c r="M159" s="415">
        <v>2.0</v>
      </c>
      <c r="N159" s="415">
        <v>1.0</v>
      </c>
      <c r="O159" s="415">
        <v>1.0</v>
      </c>
      <c r="P159" s="415" t="s">
        <v>166</v>
      </c>
      <c r="Q159" s="415">
        <v>1.0</v>
      </c>
      <c r="R159" s="415" t="s">
        <v>166</v>
      </c>
      <c r="S159" s="411" t="s">
        <v>166</v>
      </c>
      <c r="T159" s="413"/>
    </row>
    <row r="160">
      <c r="A160" s="412" t="s">
        <v>3401</v>
      </c>
      <c r="B160" s="413" t="s">
        <v>3466</v>
      </c>
      <c r="C160" s="174" t="s">
        <v>3405</v>
      </c>
      <c r="D160" s="414" t="s">
        <v>3483</v>
      </c>
      <c r="E160" s="415">
        <v>173.0</v>
      </c>
      <c r="F160" s="415">
        <v>110.0</v>
      </c>
      <c r="G160" s="415">
        <v>36.0</v>
      </c>
      <c r="H160" s="415">
        <v>2.0</v>
      </c>
      <c r="I160" s="415">
        <v>1725.0</v>
      </c>
      <c r="J160" s="415">
        <v>12.0</v>
      </c>
      <c r="K160" s="415">
        <v>75.0</v>
      </c>
      <c r="L160" s="415">
        <v>6.0</v>
      </c>
      <c r="M160" s="415">
        <v>2.0</v>
      </c>
      <c r="N160" s="415">
        <v>1.0</v>
      </c>
      <c r="O160" s="415">
        <v>1.0</v>
      </c>
      <c r="P160" s="415" t="s">
        <v>166</v>
      </c>
      <c r="Q160" s="415">
        <v>1.0</v>
      </c>
      <c r="R160" s="415" t="s">
        <v>166</v>
      </c>
      <c r="S160" s="411" t="s">
        <v>166</v>
      </c>
      <c r="T160" s="413"/>
    </row>
    <row r="161">
      <c r="A161" s="412" t="s">
        <v>3401</v>
      </c>
      <c r="B161" s="413" t="s">
        <v>3466</v>
      </c>
      <c r="C161" s="174" t="str">
        <f t="shared" ref="C161:C164" si="28">HYPERLINK("https://www.evga.com/","EVGA")</f>
        <v>EVGA</v>
      </c>
      <c r="D161" s="414" t="s">
        <v>3484</v>
      </c>
      <c r="E161" s="415">
        <v>202.1</v>
      </c>
      <c r="F161" s="415">
        <v>111.15</v>
      </c>
      <c r="G161" s="415">
        <v>40.0</v>
      </c>
      <c r="H161" s="415">
        <v>2.0</v>
      </c>
      <c r="I161" s="415">
        <v>1605.0</v>
      </c>
      <c r="J161" s="415">
        <v>12.0</v>
      </c>
      <c r="K161" s="415">
        <v>75.0</v>
      </c>
      <c r="L161" s="415">
        <v>6.0</v>
      </c>
      <c r="M161" s="415">
        <v>2.0</v>
      </c>
      <c r="N161" s="415">
        <v>1.0</v>
      </c>
      <c r="O161" s="415">
        <v>1.0</v>
      </c>
      <c r="P161" s="415" t="s">
        <v>166</v>
      </c>
      <c r="Q161" s="415">
        <v>1.0</v>
      </c>
      <c r="R161" s="415" t="s">
        <v>166</v>
      </c>
      <c r="S161" s="411" t="s">
        <v>166</v>
      </c>
      <c r="T161" s="413"/>
    </row>
    <row r="162">
      <c r="A162" s="412" t="s">
        <v>3401</v>
      </c>
      <c r="B162" s="413" t="s">
        <v>3466</v>
      </c>
      <c r="C162" s="174" t="str">
        <f t="shared" si="28"/>
        <v>EVGA</v>
      </c>
      <c r="D162" s="414" t="s">
        <v>3485</v>
      </c>
      <c r="E162" s="415">
        <v>202.1</v>
      </c>
      <c r="F162" s="415">
        <v>111.15</v>
      </c>
      <c r="G162" s="415">
        <v>40.0</v>
      </c>
      <c r="H162" s="415">
        <v>2.0</v>
      </c>
      <c r="I162" s="415">
        <v>1740.0</v>
      </c>
      <c r="J162" s="415">
        <v>12.0</v>
      </c>
      <c r="K162" s="415">
        <v>75.0</v>
      </c>
      <c r="L162" s="415">
        <v>6.0</v>
      </c>
      <c r="M162" s="415">
        <v>2.0</v>
      </c>
      <c r="N162" s="415">
        <v>1.0</v>
      </c>
      <c r="O162" s="415">
        <v>1.0</v>
      </c>
      <c r="P162" s="415" t="s">
        <v>166</v>
      </c>
      <c r="Q162" s="415">
        <v>1.0</v>
      </c>
      <c r="R162" s="415" t="s">
        <v>166</v>
      </c>
      <c r="S162" s="411" t="s">
        <v>166</v>
      </c>
      <c r="T162" s="413"/>
    </row>
    <row r="163">
      <c r="A163" s="412" t="s">
        <v>3401</v>
      </c>
      <c r="B163" s="413" t="s">
        <v>3466</v>
      </c>
      <c r="C163" s="174" t="str">
        <f t="shared" si="28"/>
        <v>EVGA</v>
      </c>
      <c r="D163" s="414" t="s">
        <v>3486</v>
      </c>
      <c r="E163" s="415">
        <v>202.1</v>
      </c>
      <c r="F163" s="415">
        <v>111.15</v>
      </c>
      <c r="G163" s="415">
        <v>40.0</v>
      </c>
      <c r="H163" s="415">
        <v>2.0</v>
      </c>
      <c r="I163" s="415">
        <v>1605.0</v>
      </c>
      <c r="J163" s="415">
        <v>12.0</v>
      </c>
      <c r="K163" s="415">
        <v>75.0</v>
      </c>
      <c r="L163" s="415">
        <v>6.0</v>
      </c>
      <c r="M163" s="415">
        <v>2.0</v>
      </c>
      <c r="N163" s="415">
        <v>2.0</v>
      </c>
      <c r="O163" s="415">
        <v>1.0</v>
      </c>
      <c r="P163" s="415" t="s">
        <v>166</v>
      </c>
      <c r="Q163" s="415" t="s">
        <v>166</v>
      </c>
      <c r="R163" s="415" t="s">
        <v>166</v>
      </c>
      <c r="S163" s="411" t="s">
        <v>166</v>
      </c>
      <c r="T163" s="413"/>
    </row>
    <row r="164">
      <c r="A164" s="412" t="s">
        <v>3401</v>
      </c>
      <c r="B164" s="413" t="s">
        <v>3466</v>
      </c>
      <c r="C164" s="174" t="str">
        <f t="shared" si="28"/>
        <v>EVGA</v>
      </c>
      <c r="D164" s="414" t="s">
        <v>3487</v>
      </c>
      <c r="E164" s="415">
        <v>202.1</v>
      </c>
      <c r="F164" s="415">
        <v>111.15</v>
      </c>
      <c r="G164" s="415">
        <v>40.0</v>
      </c>
      <c r="H164" s="415">
        <v>2.0</v>
      </c>
      <c r="I164" s="415">
        <v>1710.0</v>
      </c>
      <c r="J164" s="415">
        <v>12.0</v>
      </c>
      <c r="K164" s="415">
        <v>75.0</v>
      </c>
      <c r="L164" s="415">
        <v>6.0</v>
      </c>
      <c r="M164" s="415">
        <v>2.0</v>
      </c>
      <c r="N164" s="415">
        <v>2.0</v>
      </c>
      <c r="O164" s="415">
        <v>1.0</v>
      </c>
      <c r="P164" s="415" t="s">
        <v>166</v>
      </c>
      <c r="Q164" s="415" t="s">
        <v>166</v>
      </c>
      <c r="R164" s="415" t="s">
        <v>166</v>
      </c>
      <c r="S164" s="411" t="s">
        <v>166</v>
      </c>
      <c r="T164" s="413"/>
    </row>
    <row r="165">
      <c r="A165" s="412" t="s">
        <v>3401</v>
      </c>
      <c r="B165" s="413" t="s">
        <v>3466</v>
      </c>
      <c r="C165" s="416" t="str">
        <f t="shared" ref="C165:C166" si="29">HYPERLINK("http://www.gainward.com/main/index.php?lang=en","Gainward")</f>
        <v>Gainward</v>
      </c>
      <c r="D165" s="414" t="str">
        <f>HYPERLINK("http://www.gainward.com/main/vgapro.php?id=1083&amp;lang=en","Ghost")</f>
        <v>Ghost</v>
      </c>
      <c r="E165" s="415">
        <v>170.0</v>
      </c>
      <c r="F165" s="415">
        <v>112.0</v>
      </c>
      <c r="G165" s="415">
        <v>40.0</v>
      </c>
      <c r="H165" s="415">
        <v>2.0</v>
      </c>
      <c r="I165" s="415">
        <v>1590.0</v>
      </c>
      <c r="J165" s="415">
        <v>12.0</v>
      </c>
      <c r="K165" s="415">
        <v>75.0</v>
      </c>
      <c r="L165" s="415">
        <v>6.0</v>
      </c>
      <c r="M165" s="415">
        <v>2.0</v>
      </c>
      <c r="N165" s="415">
        <v>2.0</v>
      </c>
      <c r="O165" s="415">
        <v>1.0</v>
      </c>
      <c r="P165" s="415" t="s">
        <v>166</v>
      </c>
      <c r="Q165" s="415" t="s">
        <v>166</v>
      </c>
      <c r="R165" s="415" t="s">
        <v>166</v>
      </c>
      <c r="S165" s="411" t="s">
        <v>166</v>
      </c>
      <c r="T165" s="413"/>
    </row>
    <row r="166">
      <c r="A166" s="412" t="s">
        <v>3401</v>
      </c>
      <c r="B166" s="413" t="s">
        <v>3466</v>
      </c>
      <c r="C166" s="416" t="str">
        <f t="shared" si="29"/>
        <v>Gainward</v>
      </c>
      <c r="D166" s="414" t="s">
        <v>3488</v>
      </c>
      <c r="E166" s="415">
        <v>170.0</v>
      </c>
      <c r="F166" s="415">
        <v>112.0</v>
      </c>
      <c r="G166" s="415">
        <v>40.0</v>
      </c>
      <c r="H166" s="415">
        <v>2.0</v>
      </c>
      <c r="I166" s="415">
        <v>1725.0</v>
      </c>
      <c r="J166" s="415">
        <v>12.0</v>
      </c>
      <c r="K166" s="415">
        <v>75.0</v>
      </c>
      <c r="L166" s="415">
        <v>6.0</v>
      </c>
      <c r="M166" s="415">
        <v>2.0</v>
      </c>
      <c r="N166" s="415">
        <v>2.0</v>
      </c>
      <c r="O166" s="415">
        <v>1.0</v>
      </c>
      <c r="P166" s="415" t="s">
        <v>166</v>
      </c>
      <c r="Q166" s="415" t="s">
        <v>166</v>
      </c>
      <c r="R166" s="415" t="s">
        <v>166</v>
      </c>
      <c r="S166" s="411" t="s">
        <v>166</v>
      </c>
      <c r="T166" s="413"/>
    </row>
    <row r="167">
      <c r="A167" s="412" t="s">
        <v>3401</v>
      </c>
      <c r="B167" s="413" t="s">
        <v>3466</v>
      </c>
      <c r="C167" s="174" t="s">
        <v>3456</v>
      </c>
      <c r="D167" s="414" t="str">
        <f>HYPERLINK("https://www.galax.com/en/graphics-card/16-series/geforce-gtx-1650-lp-gddr6.html","LP")</f>
        <v>LP</v>
      </c>
      <c r="E167" s="415">
        <v>166.0</v>
      </c>
      <c r="F167" s="415">
        <v>69.0</v>
      </c>
      <c r="G167" s="415">
        <v>34.0</v>
      </c>
      <c r="H167" s="415">
        <v>2.0</v>
      </c>
      <c r="I167" s="415">
        <v>1615.0</v>
      </c>
      <c r="J167" s="415">
        <v>12.0</v>
      </c>
      <c r="K167" s="415">
        <v>75.0</v>
      </c>
      <c r="L167" s="415" t="s">
        <v>166</v>
      </c>
      <c r="M167" s="415">
        <v>2.0</v>
      </c>
      <c r="N167" s="415">
        <v>1.0</v>
      </c>
      <c r="O167" s="415">
        <v>1.0</v>
      </c>
      <c r="P167" s="415" t="s">
        <v>166</v>
      </c>
      <c r="Q167" s="415">
        <v>1.0</v>
      </c>
      <c r="R167" s="415" t="s">
        <v>166</v>
      </c>
      <c r="S167" s="415" t="s">
        <v>174</v>
      </c>
      <c r="T167" s="413"/>
    </row>
    <row r="168">
      <c r="A168" s="412" t="s">
        <v>3401</v>
      </c>
      <c r="B168" s="413" t="s">
        <v>3466</v>
      </c>
      <c r="C168" s="174" t="s">
        <v>3456</v>
      </c>
      <c r="D168" s="414" t="str">
        <f>HYPERLINK("https://www.galax.com/en/graphics-card/16-series/galax-geforce-gtx-1650-prodigy-gddr6.html","Prodigy")</f>
        <v>Prodigy</v>
      </c>
      <c r="E168" s="415">
        <v>181.0</v>
      </c>
      <c r="F168" s="415">
        <v>97.0</v>
      </c>
      <c r="G168" s="415">
        <v>33.0</v>
      </c>
      <c r="H168" s="415">
        <v>2.0</v>
      </c>
      <c r="I168" s="415">
        <v>1590.0</v>
      </c>
      <c r="J168" s="415">
        <v>12.0</v>
      </c>
      <c r="K168" s="415">
        <v>75.0</v>
      </c>
      <c r="L168" s="415" t="s">
        <v>166</v>
      </c>
      <c r="M168" s="415">
        <v>1.0</v>
      </c>
      <c r="N168" s="415">
        <v>1.0</v>
      </c>
      <c r="O168" s="415">
        <v>1.0</v>
      </c>
      <c r="P168" s="415" t="s">
        <v>166</v>
      </c>
      <c r="Q168" s="415">
        <v>1.0</v>
      </c>
      <c r="R168" s="415" t="s">
        <v>166</v>
      </c>
      <c r="S168" s="411" t="s">
        <v>166</v>
      </c>
      <c r="T168" s="413"/>
    </row>
    <row r="169">
      <c r="A169" s="412" t="s">
        <v>3401</v>
      </c>
      <c r="B169" s="413" t="s">
        <v>3466</v>
      </c>
      <c r="C169" s="174" t="s">
        <v>3456</v>
      </c>
      <c r="D169" s="414" t="str">
        <f>HYPERLINK("https://www.galax.com/en/graphics-card/16-series/geforce-gtx-16501clickoc-gddr6.html","(1-Click OC)")</f>
        <v>(1-Click OC)</v>
      </c>
      <c r="E169" s="415">
        <v>181.0</v>
      </c>
      <c r="F169" s="415">
        <v>97.0</v>
      </c>
      <c r="G169" s="415">
        <v>33.0</v>
      </c>
      <c r="H169" s="415">
        <v>2.0</v>
      </c>
      <c r="I169" s="415">
        <v>1605.0</v>
      </c>
      <c r="J169" s="415">
        <v>12.0</v>
      </c>
      <c r="K169" s="415">
        <v>75.0</v>
      </c>
      <c r="L169" s="415" t="s">
        <v>166</v>
      </c>
      <c r="M169" s="415">
        <v>2.0</v>
      </c>
      <c r="N169" s="415">
        <v>1.0</v>
      </c>
      <c r="O169" s="415">
        <v>1.0</v>
      </c>
      <c r="P169" s="415" t="s">
        <v>166</v>
      </c>
      <c r="Q169" s="415">
        <v>1.0</v>
      </c>
      <c r="R169" s="415" t="s">
        <v>166</v>
      </c>
      <c r="S169" s="411" t="s">
        <v>166</v>
      </c>
      <c r="T169" s="413"/>
    </row>
    <row r="170">
      <c r="A170" s="412" t="s">
        <v>3401</v>
      </c>
      <c r="B170" s="413" t="s">
        <v>3466</v>
      </c>
      <c r="C170" s="174" t="s">
        <v>3456</v>
      </c>
      <c r="D170" s="414" t="s">
        <v>3489</v>
      </c>
      <c r="E170" s="415">
        <v>181.0</v>
      </c>
      <c r="F170" s="415">
        <v>97.0</v>
      </c>
      <c r="G170" s="415">
        <v>33.0</v>
      </c>
      <c r="H170" s="415">
        <v>2.0</v>
      </c>
      <c r="I170" s="415">
        <v>1620.0</v>
      </c>
      <c r="J170" s="415">
        <v>12.0</v>
      </c>
      <c r="K170" s="415">
        <v>75.0</v>
      </c>
      <c r="L170" s="415" t="s">
        <v>166</v>
      </c>
      <c r="M170" s="415">
        <v>2.0</v>
      </c>
      <c r="N170" s="415">
        <v>1.0</v>
      </c>
      <c r="O170" s="415">
        <v>1.0</v>
      </c>
      <c r="P170" s="415" t="s">
        <v>166</v>
      </c>
      <c r="Q170" s="415">
        <v>1.0</v>
      </c>
      <c r="R170" s="415" t="s">
        <v>166</v>
      </c>
      <c r="S170" s="411" t="s">
        <v>166</v>
      </c>
      <c r="T170" s="413"/>
    </row>
    <row r="171">
      <c r="A171" s="412" t="s">
        <v>3401</v>
      </c>
      <c r="B171" s="413" t="s">
        <v>3466</v>
      </c>
      <c r="C171" s="174" t="str">
        <f t="shared" ref="C171:C174" si="30">HYPERLINK("https://www.gigabyte.com/","Gigabyte")</f>
        <v>Gigabyte</v>
      </c>
      <c r="D171" s="414" t="str">
        <f>HYPERLINK("https://www.gigabyte.com/Graphics-Card/GV-N1656OC-4GL#kf","Low Profile OC")</f>
        <v>Low Profile OC</v>
      </c>
      <c r="E171" s="415">
        <v>166.9</v>
      </c>
      <c r="F171" s="415">
        <v>69.0</v>
      </c>
      <c r="G171" s="415">
        <v>39.0</v>
      </c>
      <c r="H171" s="415">
        <v>2.0</v>
      </c>
      <c r="I171" s="415">
        <v>1620.0</v>
      </c>
      <c r="J171" s="415">
        <v>12.0</v>
      </c>
      <c r="K171" s="415">
        <v>75.0</v>
      </c>
      <c r="L171" s="415" t="s">
        <v>166</v>
      </c>
      <c r="M171" s="415">
        <v>2.0</v>
      </c>
      <c r="N171" s="415">
        <v>1.0</v>
      </c>
      <c r="O171" s="415">
        <v>2.0</v>
      </c>
      <c r="P171" s="415" t="s">
        <v>166</v>
      </c>
      <c r="Q171" s="415">
        <v>1.0</v>
      </c>
      <c r="R171" s="415" t="s">
        <v>166</v>
      </c>
      <c r="S171" s="415" t="s">
        <v>174</v>
      </c>
      <c r="T171" s="413"/>
    </row>
    <row r="172">
      <c r="A172" s="412" t="s">
        <v>3401</v>
      </c>
      <c r="B172" s="413" t="s">
        <v>3466</v>
      </c>
      <c r="C172" s="174" t="str">
        <f t="shared" si="30"/>
        <v>Gigabyte</v>
      </c>
      <c r="D172" s="414" t="str">
        <f>HYPERLINK("https://www.gigabyte.com/Graphics-Card/GV-N1656OC-4GD#kf","OC")</f>
        <v>OC</v>
      </c>
      <c r="E172" s="415">
        <v>152.0</v>
      </c>
      <c r="F172" s="415">
        <v>114.0</v>
      </c>
      <c r="G172" s="415">
        <v>36.0</v>
      </c>
      <c r="H172" s="415">
        <v>2.0</v>
      </c>
      <c r="I172" s="415">
        <v>1635.0</v>
      </c>
      <c r="J172" s="415">
        <v>12.0</v>
      </c>
      <c r="K172" s="415">
        <v>75.0</v>
      </c>
      <c r="L172" s="415" t="s">
        <v>166</v>
      </c>
      <c r="M172" s="415">
        <v>1.0</v>
      </c>
      <c r="N172" s="415">
        <v>1.0</v>
      </c>
      <c r="O172" s="415">
        <v>1.0</v>
      </c>
      <c r="P172" s="415" t="s">
        <v>166</v>
      </c>
      <c r="Q172" s="415">
        <v>1.0</v>
      </c>
      <c r="R172" s="415" t="s">
        <v>166</v>
      </c>
      <c r="S172" s="411" t="s">
        <v>166</v>
      </c>
      <c r="T172" s="413"/>
    </row>
    <row r="173">
      <c r="A173" s="412" t="s">
        <v>3401</v>
      </c>
      <c r="B173" s="413" t="s">
        <v>3466</v>
      </c>
      <c r="C173" s="174" t="str">
        <f t="shared" si="30"/>
        <v>Gigabyte</v>
      </c>
      <c r="D173" s="414" t="str">
        <f>HYPERLINK("https://www.gigabyte.com/Graphics-Card/GV-N1656WF2OC-4GD#kf","Windforce OC")</f>
        <v>Windforce OC</v>
      </c>
      <c r="E173" s="415">
        <v>191.0</v>
      </c>
      <c r="F173" s="415">
        <v>112.0</v>
      </c>
      <c r="G173" s="415">
        <v>36.0</v>
      </c>
      <c r="H173" s="415">
        <v>2.0</v>
      </c>
      <c r="I173" s="415">
        <v>1710.0</v>
      </c>
      <c r="J173" s="415">
        <v>12.0</v>
      </c>
      <c r="K173" s="415">
        <v>75.0</v>
      </c>
      <c r="L173" s="415">
        <v>6.0</v>
      </c>
      <c r="M173" s="415">
        <v>2.0</v>
      </c>
      <c r="N173" s="415">
        <v>1.0</v>
      </c>
      <c r="O173" s="415">
        <v>1.0</v>
      </c>
      <c r="P173" s="415" t="s">
        <v>166</v>
      </c>
      <c r="Q173" s="415">
        <v>1.0</v>
      </c>
      <c r="R173" s="415" t="s">
        <v>166</v>
      </c>
      <c r="S173" s="411" t="s">
        <v>166</v>
      </c>
      <c r="T173" s="413"/>
    </row>
    <row r="174">
      <c r="A174" s="412" t="s">
        <v>3401</v>
      </c>
      <c r="B174" s="413" t="s">
        <v>3466</v>
      </c>
      <c r="C174" s="174" t="str">
        <f t="shared" si="30"/>
        <v>Gigabyte</v>
      </c>
      <c r="D174" s="414" t="str">
        <f>HYPERLINK("https://www.gigabyte.com/Graphics-Card/GV-N1656EAGLE-OC-4GD#kf","Eagle OC")</f>
        <v>Eagle OC</v>
      </c>
      <c r="E174" s="415">
        <v>212.0</v>
      </c>
      <c r="F174" s="415">
        <v>121.0</v>
      </c>
      <c r="G174" s="415">
        <v>40.0</v>
      </c>
      <c r="H174" s="415">
        <v>2.0</v>
      </c>
      <c r="I174" s="415">
        <v>1815.0</v>
      </c>
      <c r="J174" s="415">
        <v>12.0</v>
      </c>
      <c r="K174" s="415">
        <v>75.0</v>
      </c>
      <c r="L174" s="415">
        <v>6.0</v>
      </c>
      <c r="M174" s="415">
        <v>2.0</v>
      </c>
      <c r="N174" s="415">
        <v>1.0</v>
      </c>
      <c r="O174" s="415">
        <v>1.0</v>
      </c>
      <c r="P174" s="415" t="s">
        <v>166</v>
      </c>
      <c r="Q174" s="415">
        <v>1.0</v>
      </c>
      <c r="R174" s="415" t="s">
        <v>166</v>
      </c>
      <c r="S174" s="411" t="s">
        <v>166</v>
      </c>
      <c r="T174" s="413"/>
    </row>
    <row r="175">
      <c r="A175" s="412" t="s">
        <v>3401</v>
      </c>
      <c r="B175" s="413" t="s">
        <v>3466</v>
      </c>
      <c r="C175" s="416" t="str">
        <f t="shared" ref="C175:C177" si="31">HYPERLINK("http://www.inno3d.com/","Inno3D")</f>
        <v>Inno3D</v>
      </c>
      <c r="D175" s="414" t="s">
        <v>3418</v>
      </c>
      <c r="E175" s="415">
        <v>160.0</v>
      </c>
      <c r="F175" s="415">
        <v>116.0</v>
      </c>
      <c r="G175" s="415">
        <v>40.0</v>
      </c>
      <c r="H175" s="415">
        <v>2.0</v>
      </c>
      <c r="I175" s="415">
        <v>1590.0</v>
      </c>
      <c r="J175" s="415">
        <v>12.0</v>
      </c>
      <c r="K175" s="415">
        <v>75.0</v>
      </c>
      <c r="L175" s="415" t="s">
        <v>166</v>
      </c>
      <c r="M175" s="415">
        <v>1.0</v>
      </c>
      <c r="N175" s="415">
        <v>2.0</v>
      </c>
      <c r="O175" s="415">
        <v>1.0</v>
      </c>
      <c r="P175" s="415" t="s">
        <v>166</v>
      </c>
      <c r="Q175" s="415" t="s">
        <v>166</v>
      </c>
      <c r="R175" s="415" t="s">
        <v>166</v>
      </c>
      <c r="S175" s="411" t="s">
        <v>166</v>
      </c>
      <c r="T175" s="413"/>
    </row>
    <row r="176">
      <c r="A176" s="412" t="s">
        <v>3401</v>
      </c>
      <c r="B176" s="413" t="s">
        <v>3466</v>
      </c>
      <c r="C176" s="416" t="str">
        <f t="shared" si="31"/>
        <v>Inno3D</v>
      </c>
      <c r="D176" s="414" t="s">
        <v>3490</v>
      </c>
      <c r="E176" s="415">
        <v>188.0</v>
      </c>
      <c r="F176" s="415">
        <v>116.0</v>
      </c>
      <c r="G176" s="415">
        <v>40.0</v>
      </c>
      <c r="H176" s="415">
        <v>2.0</v>
      </c>
      <c r="I176" s="415">
        <v>1590.0</v>
      </c>
      <c r="J176" s="415">
        <v>12.0</v>
      </c>
      <c r="K176" s="415">
        <v>75.0</v>
      </c>
      <c r="L176" s="415">
        <v>6.0</v>
      </c>
      <c r="M176" s="415">
        <v>1.0</v>
      </c>
      <c r="N176" s="415">
        <v>1.0</v>
      </c>
      <c r="O176" s="415">
        <v>1.0</v>
      </c>
      <c r="P176" s="415" t="s">
        <v>166</v>
      </c>
      <c r="Q176" s="415">
        <v>1.0</v>
      </c>
      <c r="R176" s="415" t="s">
        <v>166</v>
      </c>
      <c r="S176" s="411" t="s">
        <v>166</v>
      </c>
      <c r="T176" s="413"/>
    </row>
    <row r="177">
      <c r="A177" s="412" t="s">
        <v>3401</v>
      </c>
      <c r="B177" s="413" t="s">
        <v>3466</v>
      </c>
      <c r="C177" s="416" t="str">
        <f t="shared" si="31"/>
        <v>Inno3D</v>
      </c>
      <c r="D177" s="414" t="s">
        <v>3491</v>
      </c>
      <c r="E177" s="415">
        <v>196.0</v>
      </c>
      <c r="F177" s="415">
        <v>113.0</v>
      </c>
      <c r="G177" s="415">
        <v>40.0</v>
      </c>
      <c r="H177" s="415">
        <v>2.0</v>
      </c>
      <c r="I177" s="415">
        <v>1620.0</v>
      </c>
      <c r="J177" s="415">
        <v>12.0</v>
      </c>
      <c r="K177" s="415">
        <v>75.0</v>
      </c>
      <c r="L177" s="415" t="s">
        <v>166</v>
      </c>
      <c r="M177" s="415">
        <v>2.0</v>
      </c>
      <c r="N177" s="415">
        <v>2.0</v>
      </c>
      <c r="O177" s="415">
        <v>1.0</v>
      </c>
      <c r="P177" s="415" t="s">
        <v>166</v>
      </c>
      <c r="Q177" s="415" t="s">
        <v>166</v>
      </c>
      <c r="R177" s="415" t="s">
        <v>166</v>
      </c>
      <c r="S177" s="411" t="s">
        <v>166</v>
      </c>
      <c r="T177" s="413"/>
    </row>
    <row r="178">
      <c r="A178" s="412" t="s">
        <v>3401</v>
      </c>
      <c r="B178" s="413" t="s">
        <v>3466</v>
      </c>
      <c r="C178" s="323" t="s">
        <v>3419</v>
      </c>
      <c r="D178" s="414" t="s">
        <v>3492</v>
      </c>
      <c r="E178" s="415">
        <v>172.0</v>
      </c>
      <c r="F178" s="415">
        <v>69.0</v>
      </c>
      <c r="G178" s="415">
        <v>41.0</v>
      </c>
      <c r="H178" s="415">
        <v>2.0</v>
      </c>
      <c r="I178" s="415">
        <v>1590.0</v>
      </c>
      <c r="J178" s="415">
        <v>12.0</v>
      </c>
      <c r="K178" s="415">
        <v>75.0</v>
      </c>
      <c r="L178" s="415" t="s">
        <v>166</v>
      </c>
      <c r="M178" s="415">
        <v>2.0</v>
      </c>
      <c r="N178" s="415">
        <v>1.0</v>
      </c>
      <c r="O178" s="415">
        <v>1.0</v>
      </c>
      <c r="P178" s="415" t="s">
        <v>166</v>
      </c>
      <c r="Q178" s="415">
        <v>1.0</v>
      </c>
      <c r="R178" s="415" t="s">
        <v>166</v>
      </c>
      <c r="S178" s="415" t="s">
        <v>174</v>
      </c>
      <c r="T178" s="413"/>
    </row>
    <row r="179">
      <c r="A179" s="412" t="s">
        <v>3401</v>
      </c>
      <c r="B179" s="413" t="s">
        <v>3466</v>
      </c>
      <c r="C179" s="323" t="s">
        <v>3419</v>
      </c>
      <c r="D179" s="414" t="s">
        <v>3493</v>
      </c>
      <c r="E179" s="415">
        <v>158.0</v>
      </c>
      <c r="F179" s="415">
        <v>125.0</v>
      </c>
      <c r="G179" s="415">
        <v>41.0</v>
      </c>
      <c r="H179" s="415">
        <v>2.0</v>
      </c>
      <c r="I179" s="415">
        <v>1590.0</v>
      </c>
      <c r="J179" s="415">
        <v>12.0</v>
      </c>
      <c r="K179" s="415">
        <v>75.0</v>
      </c>
      <c r="L179" s="415" t="s">
        <v>166</v>
      </c>
      <c r="M179" s="415">
        <v>2.0</v>
      </c>
      <c r="N179" s="415">
        <v>1.0</v>
      </c>
      <c r="O179" s="415">
        <v>1.0</v>
      </c>
      <c r="P179" s="415" t="s">
        <v>166</v>
      </c>
      <c r="Q179" s="415">
        <v>1.0</v>
      </c>
      <c r="R179" s="415" t="s">
        <v>166</v>
      </c>
      <c r="S179" s="415" t="s">
        <v>166</v>
      </c>
      <c r="T179" s="413"/>
    </row>
    <row r="180">
      <c r="A180" s="412" t="s">
        <v>3401</v>
      </c>
      <c r="B180" s="413" t="s">
        <v>3466</v>
      </c>
      <c r="C180" s="174" t="str">
        <f t="shared" ref="C180:C191" si="32">HYPERLINK("https://www.msi.com/index.php","MSI")</f>
        <v>MSI</v>
      </c>
      <c r="D180" s="414" t="str">
        <f>HYPERLINK("https://www.msi.com/Graphics-card/GeForce-GTX-1650-D6-AERO-ITX","AERO ITX")</f>
        <v>AERO ITX</v>
      </c>
      <c r="E180" s="415">
        <v>170.0</v>
      </c>
      <c r="F180" s="415">
        <v>111.0</v>
      </c>
      <c r="G180" s="415">
        <v>38.0</v>
      </c>
      <c r="H180" s="415">
        <v>2.0</v>
      </c>
      <c r="I180" s="415">
        <v>1590.0</v>
      </c>
      <c r="J180" s="415">
        <v>12.0</v>
      </c>
      <c r="K180" s="415">
        <v>75.0</v>
      </c>
      <c r="L180" s="415" t="s">
        <v>166</v>
      </c>
      <c r="M180" s="415">
        <v>1.0</v>
      </c>
      <c r="N180" s="415">
        <v>1.0</v>
      </c>
      <c r="O180" s="415">
        <v>1.0</v>
      </c>
      <c r="P180" s="415" t="s">
        <v>166</v>
      </c>
      <c r="Q180" s="415">
        <v>1.0</v>
      </c>
      <c r="R180" s="415" t="s">
        <v>166</v>
      </c>
      <c r="S180" s="415" t="s">
        <v>166</v>
      </c>
      <c r="T180" s="413"/>
    </row>
    <row r="181">
      <c r="A181" s="412" t="s">
        <v>3401</v>
      </c>
      <c r="B181" s="413" t="s">
        <v>3466</v>
      </c>
      <c r="C181" s="174" t="str">
        <f t="shared" si="32"/>
        <v>MSI</v>
      </c>
      <c r="D181" s="414" t="s">
        <v>3434</v>
      </c>
      <c r="E181" s="415">
        <v>170.0</v>
      </c>
      <c r="F181" s="415">
        <v>111.0</v>
      </c>
      <c r="G181" s="415">
        <v>38.0</v>
      </c>
      <c r="H181" s="415">
        <v>2.0</v>
      </c>
      <c r="I181" s="415">
        <v>1620.0</v>
      </c>
      <c r="J181" s="415">
        <v>12.0</v>
      </c>
      <c r="K181" s="415">
        <v>75.0</v>
      </c>
      <c r="L181" s="415" t="s">
        <v>166</v>
      </c>
      <c r="M181" s="415">
        <v>1.0</v>
      </c>
      <c r="N181" s="415">
        <v>1.0</v>
      </c>
      <c r="O181" s="415">
        <v>1.0</v>
      </c>
      <c r="P181" s="415" t="s">
        <v>166</v>
      </c>
      <c r="Q181" s="415">
        <v>1.0</v>
      </c>
      <c r="R181" s="415" t="s">
        <v>166</v>
      </c>
      <c r="S181" s="415" t="s">
        <v>166</v>
      </c>
      <c r="T181" s="413"/>
    </row>
    <row r="182">
      <c r="A182" s="412" t="s">
        <v>3401</v>
      </c>
      <c r="B182" s="413" t="s">
        <v>3466</v>
      </c>
      <c r="C182" s="174" t="str">
        <f t="shared" si="32"/>
        <v>MSI</v>
      </c>
      <c r="D182" s="414" t="s">
        <v>3494</v>
      </c>
      <c r="E182" s="415">
        <v>171.0</v>
      </c>
      <c r="F182" s="415">
        <v>115.0</v>
      </c>
      <c r="G182" s="415">
        <v>43.0</v>
      </c>
      <c r="H182" s="415">
        <v>2.0</v>
      </c>
      <c r="I182" s="415">
        <v>1590.0</v>
      </c>
      <c r="J182" s="415">
        <v>12.0</v>
      </c>
      <c r="K182" s="415">
        <v>75.0</v>
      </c>
      <c r="L182" s="415">
        <v>6.0</v>
      </c>
      <c r="M182" s="415">
        <v>1.0</v>
      </c>
      <c r="N182" s="415">
        <v>1.0</v>
      </c>
      <c r="O182" s="415">
        <v>1.0</v>
      </c>
      <c r="P182" s="415" t="s">
        <v>166</v>
      </c>
      <c r="Q182" s="415">
        <v>1.0</v>
      </c>
      <c r="R182" s="415" t="s">
        <v>166</v>
      </c>
      <c r="S182" s="415" t="s">
        <v>166</v>
      </c>
      <c r="T182" s="413"/>
    </row>
    <row r="183">
      <c r="A183" s="412" t="s">
        <v>3401</v>
      </c>
      <c r="B183" s="413" t="s">
        <v>3466</v>
      </c>
      <c r="C183" s="174" t="str">
        <f t="shared" si="32"/>
        <v>MSI</v>
      </c>
      <c r="D183" s="414" t="s">
        <v>3435</v>
      </c>
      <c r="E183" s="415">
        <v>171.0</v>
      </c>
      <c r="F183" s="415">
        <v>115.0</v>
      </c>
      <c r="G183" s="415">
        <v>43.0</v>
      </c>
      <c r="H183" s="415">
        <v>2.0</v>
      </c>
      <c r="I183" s="415">
        <v>1620.0</v>
      </c>
      <c r="J183" s="415">
        <v>12.0</v>
      </c>
      <c r="K183" s="415">
        <v>75.0</v>
      </c>
      <c r="L183" s="415">
        <v>6.0</v>
      </c>
      <c r="M183" s="415">
        <v>1.0</v>
      </c>
      <c r="N183" s="415">
        <v>1.0</v>
      </c>
      <c r="O183" s="415">
        <v>1.0</v>
      </c>
      <c r="P183" s="415" t="s">
        <v>166</v>
      </c>
      <c r="Q183" s="415">
        <v>1.0</v>
      </c>
      <c r="R183" s="415" t="s">
        <v>166</v>
      </c>
      <c r="S183" s="415" t="s">
        <v>166</v>
      </c>
      <c r="T183" s="413"/>
    </row>
    <row r="184">
      <c r="A184" s="412" t="s">
        <v>3401</v>
      </c>
      <c r="B184" s="413" t="s">
        <v>3466</v>
      </c>
      <c r="C184" s="174" t="str">
        <f t="shared" si="32"/>
        <v>MSI</v>
      </c>
      <c r="D184" s="414" t="s">
        <v>3495</v>
      </c>
      <c r="E184" s="415">
        <v>172.0</v>
      </c>
      <c r="F184" s="415">
        <v>115.0</v>
      </c>
      <c r="G184" s="415">
        <v>42.0</v>
      </c>
      <c r="H184" s="415">
        <v>2.0</v>
      </c>
      <c r="I184" s="415">
        <v>1590.0</v>
      </c>
      <c r="J184" s="415">
        <v>12.0</v>
      </c>
      <c r="K184" s="415">
        <v>75.0</v>
      </c>
      <c r="L184" s="415">
        <v>6.0</v>
      </c>
      <c r="M184" s="415">
        <v>1.0</v>
      </c>
      <c r="N184" s="415">
        <v>1.0</v>
      </c>
      <c r="O184" s="415">
        <v>1.0</v>
      </c>
      <c r="P184" s="415" t="s">
        <v>166</v>
      </c>
      <c r="Q184" s="415">
        <v>1.0</v>
      </c>
      <c r="R184" s="415" t="s">
        <v>166</v>
      </c>
      <c r="S184" s="415" t="s">
        <v>166</v>
      </c>
      <c r="T184" s="413"/>
    </row>
    <row r="185">
      <c r="A185" s="412" t="s">
        <v>3401</v>
      </c>
      <c r="B185" s="413" t="s">
        <v>3466</v>
      </c>
      <c r="C185" s="174" t="str">
        <f t="shared" si="32"/>
        <v>MSI</v>
      </c>
      <c r="D185" s="414" t="s">
        <v>3496</v>
      </c>
      <c r="E185" s="415">
        <v>172.0</v>
      </c>
      <c r="F185" s="415">
        <v>115.0</v>
      </c>
      <c r="G185" s="415">
        <v>42.0</v>
      </c>
      <c r="H185" s="415">
        <v>2.0</v>
      </c>
      <c r="I185" s="415">
        <v>1620.0</v>
      </c>
      <c r="J185" s="415">
        <v>12.0</v>
      </c>
      <c r="K185" s="415">
        <v>75.0</v>
      </c>
      <c r="L185" s="415">
        <v>6.0</v>
      </c>
      <c r="M185" s="415">
        <v>1.0</v>
      </c>
      <c r="N185" s="415">
        <v>1.0</v>
      </c>
      <c r="O185" s="415">
        <v>1.0</v>
      </c>
      <c r="P185" s="415" t="s">
        <v>166</v>
      </c>
      <c r="Q185" s="415">
        <v>1.0</v>
      </c>
      <c r="R185" s="415" t="s">
        <v>166</v>
      </c>
      <c r="S185" s="415" t="s">
        <v>166</v>
      </c>
      <c r="T185" s="413"/>
    </row>
    <row r="186">
      <c r="A186" s="412" t="s">
        <v>3401</v>
      </c>
      <c r="B186" s="413" t="s">
        <v>3466</v>
      </c>
      <c r="C186" s="174" t="str">
        <f t="shared" si="32"/>
        <v>MSI</v>
      </c>
      <c r="D186" s="414" t="s">
        <v>3497</v>
      </c>
      <c r="E186" s="415">
        <v>178.0</v>
      </c>
      <c r="F186" s="415">
        <v>111.0</v>
      </c>
      <c r="G186" s="415">
        <v>38.0</v>
      </c>
      <c r="H186" s="415">
        <v>2.0</v>
      </c>
      <c r="I186" s="415">
        <v>1590.0</v>
      </c>
      <c r="J186" s="415">
        <v>12.0</v>
      </c>
      <c r="K186" s="415">
        <v>75.0</v>
      </c>
      <c r="L186" s="415" t="s">
        <v>166</v>
      </c>
      <c r="M186" s="415">
        <v>2.0</v>
      </c>
      <c r="N186" s="415">
        <v>1.0</v>
      </c>
      <c r="O186" s="415">
        <v>1.0</v>
      </c>
      <c r="P186" s="415" t="s">
        <v>166</v>
      </c>
      <c r="Q186" s="415">
        <v>1.0</v>
      </c>
      <c r="R186" s="415" t="s">
        <v>166</v>
      </c>
      <c r="S186" s="415" t="s">
        <v>166</v>
      </c>
      <c r="T186" s="413"/>
    </row>
    <row r="187">
      <c r="A187" s="412" t="s">
        <v>3401</v>
      </c>
      <c r="B187" s="413" t="s">
        <v>3466</v>
      </c>
      <c r="C187" s="174" t="str">
        <f t="shared" si="32"/>
        <v>MSI</v>
      </c>
      <c r="D187" s="414" t="s">
        <v>3498</v>
      </c>
      <c r="E187" s="415">
        <v>178.0</v>
      </c>
      <c r="F187" s="415">
        <v>111.0</v>
      </c>
      <c r="G187" s="415">
        <v>38.0</v>
      </c>
      <c r="H187" s="415">
        <v>2.0</v>
      </c>
      <c r="I187" s="415">
        <v>1620.0</v>
      </c>
      <c r="J187" s="415">
        <v>12.0</v>
      </c>
      <c r="K187" s="415">
        <v>75.0</v>
      </c>
      <c r="L187" s="415" t="s">
        <v>166</v>
      </c>
      <c r="M187" s="415">
        <v>2.0</v>
      </c>
      <c r="N187" s="415">
        <v>1.0</v>
      </c>
      <c r="O187" s="415">
        <v>1.0</v>
      </c>
      <c r="P187" s="415" t="s">
        <v>166</v>
      </c>
      <c r="Q187" s="415">
        <v>1.0</v>
      </c>
      <c r="R187" s="415" t="s">
        <v>166</v>
      </c>
      <c r="S187" s="415" t="s">
        <v>166</v>
      </c>
      <c r="T187" s="413"/>
    </row>
    <row r="188">
      <c r="A188" s="412" t="s">
        <v>3401</v>
      </c>
      <c r="B188" s="413" t="s">
        <v>3466</v>
      </c>
      <c r="C188" s="174" t="str">
        <f t="shared" si="32"/>
        <v>MSI</v>
      </c>
      <c r="D188" s="414" t="s">
        <v>3499</v>
      </c>
      <c r="E188" s="415">
        <v>179.0</v>
      </c>
      <c r="F188" s="415">
        <v>115.0</v>
      </c>
      <c r="G188" s="415">
        <v>42.0</v>
      </c>
      <c r="H188" s="415">
        <v>2.0</v>
      </c>
      <c r="I188" s="415">
        <v>1590.0</v>
      </c>
      <c r="J188" s="415">
        <v>12.0</v>
      </c>
      <c r="K188" s="415">
        <v>75.0</v>
      </c>
      <c r="L188" s="415">
        <v>6.0</v>
      </c>
      <c r="M188" s="415">
        <v>2.0</v>
      </c>
      <c r="N188" s="415">
        <v>1.0</v>
      </c>
      <c r="O188" s="415">
        <v>1.0</v>
      </c>
      <c r="P188" s="415" t="s">
        <v>166</v>
      </c>
      <c r="Q188" s="415">
        <v>1.0</v>
      </c>
      <c r="R188" s="415" t="s">
        <v>166</v>
      </c>
      <c r="S188" s="415" t="s">
        <v>166</v>
      </c>
      <c r="T188" s="413"/>
    </row>
    <row r="189">
      <c r="A189" s="412" t="s">
        <v>3401</v>
      </c>
      <c r="B189" s="413" t="s">
        <v>3466</v>
      </c>
      <c r="C189" s="174" t="str">
        <f t="shared" si="32"/>
        <v>MSI</v>
      </c>
      <c r="D189" s="414" t="s">
        <v>3500</v>
      </c>
      <c r="E189" s="415">
        <v>179.0</v>
      </c>
      <c r="F189" s="415">
        <v>115.0</v>
      </c>
      <c r="G189" s="415">
        <v>42.0</v>
      </c>
      <c r="H189" s="415">
        <v>2.0</v>
      </c>
      <c r="I189" s="415">
        <v>1620.0</v>
      </c>
      <c r="J189" s="415">
        <v>12.0</v>
      </c>
      <c r="K189" s="415">
        <v>75.0</v>
      </c>
      <c r="L189" s="415">
        <v>6.0</v>
      </c>
      <c r="M189" s="415">
        <v>2.0</v>
      </c>
      <c r="N189" s="415">
        <v>1.0</v>
      </c>
      <c r="O189" s="415">
        <v>1.0</v>
      </c>
      <c r="P189" s="415" t="s">
        <v>166</v>
      </c>
      <c r="Q189" s="415">
        <v>1.0</v>
      </c>
      <c r="R189" s="415" t="s">
        <v>166</v>
      </c>
      <c r="S189" s="415" t="s">
        <v>166</v>
      </c>
      <c r="T189" s="413"/>
    </row>
    <row r="190">
      <c r="A190" s="412" t="s">
        <v>3401</v>
      </c>
      <c r="B190" s="413" t="s">
        <v>3466</v>
      </c>
      <c r="C190" s="174" t="str">
        <f t="shared" si="32"/>
        <v>MSI</v>
      </c>
      <c r="D190" s="414" t="s">
        <v>3501</v>
      </c>
      <c r="E190" s="415">
        <v>180.0</v>
      </c>
      <c r="F190" s="415">
        <v>115.0</v>
      </c>
      <c r="G190" s="415">
        <v>42.0</v>
      </c>
      <c r="H190" s="415">
        <v>2.0</v>
      </c>
      <c r="I190" s="415">
        <v>1590.0</v>
      </c>
      <c r="J190" s="415">
        <v>12.0</v>
      </c>
      <c r="K190" s="415">
        <v>75.0</v>
      </c>
      <c r="L190" s="415">
        <v>6.0</v>
      </c>
      <c r="M190" s="415">
        <v>2.0</v>
      </c>
      <c r="N190" s="415">
        <v>1.0</v>
      </c>
      <c r="O190" s="415">
        <v>1.0</v>
      </c>
      <c r="P190" s="415" t="s">
        <v>166</v>
      </c>
      <c r="Q190" s="415">
        <v>1.0</v>
      </c>
      <c r="R190" s="415" t="s">
        <v>166</v>
      </c>
      <c r="S190" s="415" t="s">
        <v>166</v>
      </c>
      <c r="T190" s="413"/>
    </row>
    <row r="191">
      <c r="A191" s="412" t="s">
        <v>3401</v>
      </c>
      <c r="B191" s="413" t="s">
        <v>3466</v>
      </c>
      <c r="C191" s="174" t="str">
        <f t="shared" si="32"/>
        <v>MSI</v>
      </c>
      <c r="D191" s="414" t="s">
        <v>3502</v>
      </c>
      <c r="E191" s="415">
        <v>180.0</v>
      </c>
      <c r="F191" s="415">
        <v>115.0</v>
      </c>
      <c r="G191" s="415">
        <v>42.0</v>
      </c>
      <c r="H191" s="415">
        <v>2.0</v>
      </c>
      <c r="I191" s="415">
        <v>1620.0</v>
      </c>
      <c r="J191" s="415">
        <v>12.0</v>
      </c>
      <c r="K191" s="415">
        <v>75.0</v>
      </c>
      <c r="L191" s="415">
        <v>6.0</v>
      </c>
      <c r="M191" s="415">
        <v>2.0</v>
      </c>
      <c r="N191" s="415">
        <v>1.0</v>
      </c>
      <c r="O191" s="415">
        <v>1.0</v>
      </c>
      <c r="P191" s="415" t="s">
        <v>166</v>
      </c>
      <c r="Q191" s="415">
        <v>1.0</v>
      </c>
      <c r="R191" s="415" t="s">
        <v>166</v>
      </c>
      <c r="S191" s="415" t="s">
        <v>166</v>
      </c>
      <c r="T191" s="413"/>
    </row>
    <row r="192">
      <c r="A192" s="412" t="s">
        <v>3401</v>
      </c>
      <c r="B192" s="413" t="s">
        <v>3466</v>
      </c>
      <c r="C192" s="416" t="str">
        <f t="shared" ref="C192:C193" si="33">HYPERLINK("http://www.palit.com/palit/index.php?lang=en","Palit")</f>
        <v>Palit</v>
      </c>
      <c r="D192" s="414" t="str">
        <f>HYPERLINK("http://www.palit.com/palit/vgapro.php?id=3675&amp;lang=en","GP")</f>
        <v>GP</v>
      </c>
      <c r="E192" s="415">
        <v>170.0</v>
      </c>
      <c r="F192" s="415">
        <v>112.0</v>
      </c>
      <c r="G192" s="415">
        <v>40.0</v>
      </c>
      <c r="H192" s="415">
        <v>2.0</v>
      </c>
      <c r="I192" s="415">
        <v>1590.0</v>
      </c>
      <c r="J192" s="415">
        <v>12.0</v>
      </c>
      <c r="K192" s="415">
        <v>75.0</v>
      </c>
      <c r="L192" s="415">
        <v>6.0</v>
      </c>
      <c r="M192" s="415">
        <v>2.0</v>
      </c>
      <c r="N192" s="415">
        <v>2.0</v>
      </c>
      <c r="O192" s="415">
        <v>1.0</v>
      </c>
      <c r="P192" s="415" t="s">
        <v>166</v>
      </c>
      <c r="Q192" s="415" t="s">
        <v>166</v>
      </c>
      <c r="R192" s="415" t="s">
        <v>166</v>
      </c>
      <c r="S192" s="415" t="s">
        <v>166</v>
      </c>
      <c r="T192" s="413"/>
    </row>
    <row r="193">
      <c r="A193" s="412" t="s">
        <v>3401</v>
      </c>
      <c r="B193" s="413" t="s">
        <v>3466</v>
      </c>
      <c r="C193" s="416" t="str">
        <f t="shared" si="33"/>
        <v>Palit</v>
      </c>
      <c r="D193" s="414" t="s">
        <v>3503</v>
      </c>
      <c r="E193" s="415">
        <v>170.0</v>
      </c>
      <c r="F193" s="415">
        <v>112.0</v>
      </c>
      <c r="G193" s="415">
        <v>40.0</v>
      </c>
      <c r="H193" s="415">
        <v>2.0</v>
      </c>
      <c r="I193" s="415">
        <v>1725.0</v>
      </c>
      <c r="J193" s="415">
        <v>12.0</v>
      </c>
      <c r="K193" s="415">
        <v>75.0</v>
      </c>
      <c r="L193" s="415">
        <v>6.0</v>
      </c>
      <c r="M193" s="415">
        <v>2.0</v>
      </c>
      <c r="N193" s="415">
        <v>2.0</v>
      </c>
      <c r="O193" s="415">
        <v>1.0</v>
      </c>
      <c r="P193" s="415" t="s">
        <v>166</v>
      </c>
      <c r="Q193" s="415" t="s">
        <v>166</v>
      </c>
      <c r="R193" s="415" t="s">
        <v>166</v>
      </c>
      <c r="S193" s="415" t="s">
        <v>166</v>
      </c>
      <c r="T193" s="413"/>
    </row>
    <row r="194">
      <c r="A194" s="412" t="s">
        <v>3401</v>
      </c>
      <c r="B194" s="413" t="s">
        <v>3466</v>
      </c>
      <c r="C194" s="452" t="s">
        <v>3378</v>
      </c>
      <c r="D194" s="414" t="s">
        <v>3379</v>
      </c>
      <c r="E194" s="415">
        <v>147.0</v>
      </c>
      <c r="F194" s="415">
        <v>70.0</v>
      </c>
      <c r="G194" s="415">
        <v>20.0</v>
      </c>
      <c r="H194" s="415">
        <v>1.0</v>
      </c>
      <c r="I194" s="415">
        <v>1590.0</v>
      </c>
      <c r="J194" s="415">
        <v>12.0</v>
      </c>
      <c r="K194" s="415">
        <v>75.0</v>
      </c>
      <c r="L194" s="415" t="s">
        <v>166</v>
      </c>
      <c r="M194" s="415">
        <v>1.0</v>
      </c>
      <c r="N194" s="415">
        <v>1.0</v>
      </c>
      <c r="O194" s="415">
        <v>1.0</v>
      </c>
      <c r="P194" s="415" t="s">
        <v>166</v>
      </c>
      <c r="Q194" s="415" t="s">
        <v>166</v>
      </c>
      <c r="R194" s="415" t="s">
        <v>166</v>
      </c>
      <c r="S194" s="415" t="s">
        <v>174</v>
      </c>
      <c r="T194" s="413"/>
    </row>
    <row r="195">
      <c r="A195" s="412" t="s">
        <v>3401</v>
      </c>
      <c r="B195" s="413" t="s">
        <v>3466</v>
      </c>
      <c r="C195" s="416" t="str">
        <f t="shared" ref="C195:C196" si="34">HYPERLINK("http://zotac.com/","ZOTAC")</f>
        <v>ZOTAC</v>
      </c>
      <c r="D195" s="414" t="str">
        <f>HYPERLINK("https://www.zotac.com/hk/product/graphics_card/zotac-gaming-geforce-gtx-1650-oc-gddr6","OC")</f>
        <v>OC</v>
      </c>
      <c r="E195" s="415">
        <v>151.0</v>
      </c>
      <c r="F195" s="415">
        <v>111.15</v>
      </c>
      <c r="G195" s="415">
        <v>38.8</v>
      </c>
      <c r="H195" s="415">
        <v>2.0</v>
      </c>
      <c r="I195" s="415">
        <v>1620.0</v>
      </c>
      <c r="J195" s="415">
        <v>12.0</v>
      </c>
      <c r="K195" s="415">
        <v>75.0</v>
      </c>
      <c r="L195" s="415" t="s">
        <v>166</v>
      </c>
      <c r="M195" s="415">
        <v>1.0</v>
      </c>
      <c r="N195" s="415">
        <v>1.0</v>
      </c>
      <c r="O195" s="415">
        <v>1.0</v>
      </c>
      <c r="P195" s="415" t="s">
        <v>166</v>
      </c>
      <c r="Q195" s="415">
        <v>1.0</v>
      </c>
      <c r="R195" s="415" t="s">
        <v>166</v>
      </c>
      <c r="S195" s="415" t="s">
        <v>166</v>
      </c>
      <c r="T195" s="413"/>
    </row>
    <row r="196">
      <c r="A196" s="401" t="s">
        <v>3401</v>
      </c>
      <c r="B196" s="402" t="s">
        <v>3466</v>
      </c>
      <c r="C196" s="403" t="str">
        <f t="shared" si="34"/>
        <v>ZOTAC</v>
      </c>
      <c r="D196" s="404" t="str">
        <f>HYPERLINK("https://www.zotac.com/hk/product/graphics_card/zotac-gaming-geforce-gtx-1650-amp-gddr6","AMP")</f>
        <v>AMP</v>
      </c>
      <c r="E196" s="405">
        <v>162.4</v>
      </c>
      <c r="F196" s="405">
        <v>111.15</v>
      </c>
      <c r="G196" s="405">
        <v>37.1</v>
      </c>
      <c r="H196" s="405">
        <v>2.0</v>
      </c>
      <c r="I196" s="405">
        <v>1650.0</v>
      </c>
      <c r="J196" s="405">
        <v>12.0</v>
      </c>
      <c r="K196" s="405">
        <v>75.0</v>
      </c>
      <c r="L196" s="405" t="s">
        <v>166</v>
      </c>
      <c r="M196" s="405">
        <v>2.0</v>
      </c>
      <c r="N196" s="405">
        <v>1.0</v>
      </c>
      <c r="O196" s="405">
        <v>1.0</v>
      </c>
      <c r="P196" s="405" t="s">
        <v>166</v>
      </c>
      <c r="Q196" s="405">
        <v>1.0</v>
      </c>
      <c r="R196" s="405" t="s">
        <v>166</v>
      </c>
      <c r="S196" s="405" t="s">
        <v>166</v>
      </c>
      <c r="T196" s="402"/>
    </row>
    <row r="197">
      <c r="A197" s="409" t="s">
        <v>3401</v>
      </c>
      <c r="B197" s="410" t="s">
        <v>3504</v>
      </c>
      <c r="C197" s="174" t="s">
        <v>3467</v>
      </c>
      <c r="D197" s="414" t="s">
        <v>3468</v>
      </c>
      <c r="E197" s="415">
        <v>155.0</v>
      </c>
      <c r="F197" s="415">
        <v>115.0</v>
      </c>
      <c r="G197" s="415">
        <v>40.0</v>
      </c>
      <c r="H197" s="415">
        <v>2.0</v>
      </c>
      <c r="I197" s="415">
        <v>1725.0</v>
      </c>
      <c r="J197" s="415">
        <v>12.0</v>
      </c>
      <c r="K197" s="415">
        <v>100.0</v>
      </c>
      <c r="L197" s="415">
        <v>6.0</v>
      </c>
      <c r="M197" s="415">
        <v>1.0</v>
      </c>
      <c r="N197" s="415">
        <v>1.0</v>
      </c>
      <c r="O197" s="415">
        <v>1.0</v>
      </c>
      <c r="P197" s="415" t="s">
        <v>166</v>
      </c>
      <c r="Q197" s="415">
        <v>1.0</v>
      </c>
      <c r="R197" s="415" t="s">
        <v>166</v>
      </c>
      <c r="S197" s="415" t="s">
        <v>166</v>
      </c>
      <c r="T197" s="413"/>
    </row>
    <row r="198">
      <c r="A198" s="409" t="s">
        <v>3401</v>
      </c>
      <c r="B198" s="410" t="s">
        <v>3504</v>
      </c>
      <c r="C198" s="282" t="str">
        <f t="shared" ref="C198:C201" si="35">HYPERLINK("https://www.asus.com/","Asus")</f>
        <v>Asus</v>
      </c>
      <c r="D198" s="312" t="s">
        <v>3371</v>
      </c>
      <c r="E198" s="411">
        <v>174.0</v>
      </c>
      <c r="F198" s="411">
        <v>121.0</v>
      </c>
      <c r="G198" s="411">
        <v>39.0</v>
      </c>
      <c r="H198" s="411">
        <v>2.0</v>
      </c>
      <c r="I198" s="411">
        <v>1755.0</v>
      </c>
      <c r="J198" s="411">
        <v>12.0</v>
      </c>
      <c r="K198" s="411">
        <v>100.0</v>
      </c>
      <c r="L198" s="411">
        <v>6.0</v>
      </c>
      <c r="M198" s="411">
        <v>1.0</v>
      </c>
      <c r="N198" s="411">
        <v>1.0</v>
      </c>
      <c r="O198" s="411">
        <v>1.0</v>
      </c>
      <c r="P198" s="411" t="s">
        <v>166</v>
      </c>
      <c r="Q198" s="411">
        <v>1.0</v>
      </c>
      <c r="R198" s="411" t="s">
        <v>166</v>
      </c>
      <c r="S198" s="411" t="s">
        <v>166</v>
      </c>
      <c r="T198" s="410"/>
    </row>
    <row r="199">
      <c r="A199" s="412" t="s">
        <v>3401</v>
      </c>
      <c r="B199" s="413" t="s">
        <v>3504</v>
      </c>
      <c r="C199" s="174" t="str">
        <f t="shared" si="35"/>
        <v>Asus</v>
      </c>
      <c r="D199" s="414" t="s">
        <v>3469</v>
      </c>
      <c r="E199" s="415">
        <v>174.0</v>
      </c>
      <c r="F199" s="415">
        <v>121.0</v>
      </c>
      <c r="G199" s="415">
        <v>39.0</v>
      </c>
      <c r="H199" s="415">
        <v>2.0</v>
      </c>
      <c r="I199" s="415">
        <v>1770.0</v>
      </c>
      <c r="J199" s="415">
        <v>12.0</v>
      </c>
      <c r="K199" s="415">
        <v>100.0</v>
      </c>
      <c r="L199" s="415">
        <v>6.0</v>
      </c>
      <c r="M199" s="415">
        <v>1.0</v>
      </c>
      <c r="N199" s="415">
        <v>1.0</v>
      </c>
      <c r="O199" s="415">
        <v>1.0</v>
      </c>
      <c r="P199" s="415" t="s">
        <v>166</v>
      </c>
      <c r="Q199" s="415">
        <v>1.0</v>
      </c>
      <c r="R199" s="415" t="s">
        <v>166</v>
      </c>
      <c r="S199" s="415" t="s">
        <v>166</v>
      </c>
      <c r="T199" s="413"/>
    </row>
    <row r="200">
      <c r="A200" s="412" t="s">
        <v>3401</v>
      </c>
      <c r="B200" s="413" t="s">
        <v>3504</v>
      </c>
      <c r="C200" s="174" t="str">
        <f t="shared" si="35"/>
        <v>Asus</v>
      </c>
      <c r="D200" s="414" t="s">
        <v>3477</v>
      </c>
      <c r="E200" s="415">
        <v>206.0</v>
      </c>
      <c r="F200" s="415">
        <v>124.0</v>
      </c>
      <c r="G200" s="415">
        <v>46.0</v>
      </c>
      <c r="H200" s="415">
        <v>2.0</v>
      </c>
      <c r="I200" s="415">
        <v>1755.0</v>
      </c>
      <c r="J200" s="415">
        <v>12.0</v>
      </c>
      <c r="K200" s="415">
        <v>100.0</v>
      </c>
      <c r="L200" s="415">
        <v>6.0</v>
      </c>
      <c r="M200" s="415">
        <v>2.0</v>
      </c>
      <c r="N200" s="415">
        <v>1.0</v>
      </c>
      <c r="O200" s="415">
        <v>1.0</v>
      </c>
      <c r="P200" s="415" t="s">
        <v>166</v>
      </c>
      <c r="Q200" s="415">
        <v>1.0</v>
      </c>
      <c r="R200" s="415" t="s">
        <v>166</v>
      </c>
      <c r="S200" s="415" t="s">
        <v>166</v>
      </c>
      <c r="T200" s="413"/>
    </row>
    <row r="201">
      <c r="A201" s="412" t="s">
        <v>3401</v>
      </c>
      <c r="B201" s="413" t="s">
        <v>3504</v>
      </c>
      <c r="C201" s="174" t="str">
        <f t="shared" si="35"/>
        <v>Asus</v>
      </c>
      <c r="D201" s="414" t="s">
        <v>3478</v>
      </c>
      <c r="E201" s="415">
        <v>206.0</v>
      </c>
      <c r="F201" s="415">
        <v>124.0</v>
      </c>
      <c r="G201" s="415">
        <v>46.0</v>
      </c>
      <c r="H201" s="415">
        <v>2.0</v>
      </c>
      <c r="I201" s="415">
        <v>1800.0</v>
      </c>
      <c r="J201" s="415">
        <v>12.0</v>
      </c>
      <c r="K201" s="415">
        <v>100.0</v>
      </c>
      <c r="L201" s="415">
        <v>6.0</v>
      </c>
      <c r="M201" s="415">
        <v>2.0</v>
      </c>
      <c r="N201" s="415">
        <v>1.0</v>
      </c>
      <c r="O201" s="415">
        <v>1.0</v>
      </c>
      <c r="P201" s="415" t="s">
        <v>166</v>
      </c>
      <c r="Q201" s="415">
        <v>1.0</v>
      </c>
      <c r="R201" s="415" t="s">
        <v>166</v>
      </c>
      <c r="S201" s="415" t="s">
        <v>166</v>
      </c>
      <c r="T201" s="413"/>
    </row>
    <row r="202">
      <c r="A202" s="412" t="s">
        <v>3401</v>
      </c>
      <c r="B202" s="413" t="s">
        <v>3504</v>
      </c>
      <c r="C202" s="174" t="s">
        <v>3405</v>
      </c>
      <c r="D202" s="414" t="s">
        <v>3505</v>
      </c>
      <c r="E202" s="415">
        <v>168.0</v>
      </c>
      <c r="F202" s="415">
        <v>126.0</v>
      </c>
      <c r="G202" s="415">
        <v>40.0</v>
      </c>
      <c r="H202" s="415">
        <v>2.0</v>
      </c>
      <c r="I202" s="415">
        <v>1770.0</v>
      </c>
      <c r="J202" s="415">
        <v>12.0</v>
      </c>
      <c r="K202" s="415">
        <v>100.0</v>
      </c>
      <c r="L202" s="415">
        <v>6.0</v>
      </c>
      <c r="M202" s="415">
        <v>1.0</v>
      </c>
      <c r="N202" s="415">
        <v>1.0</v>
      </c>
      <c r="O202" s="415">
        <v>1.0</v>
      </c>
      <c r="P202" s="415" t="s">
        <v>166</v>
      </c>
      <c r="Q202" s="415">
        <v>1.0</v>
      </c>
      <c r="R202" s="415" t="s">
        <v>166</v>
      </c>
      <c r="S202" s="415" t="s">
        <v>166</v>
      </c>
      <c r="T202" s="413"/>
    </row>
    <row r="203">
      <c r="A203" s="412" t="s">
        <v>3401</v>
      </c>
      <c r="B203" s="413" t="s">
        <v>3504</v>
      </c>
      <c r="C203" s="174" t="str">
        <f t="shared" ref="C203:C205" si="36">HYPERLINK("https://www.evga.com/","EVGA")</f>
        <v>EVGA</v>
      </c>
      <c r="D203" s="414" t="s">
        <v>3486</v>
      </c>
      <c r="E203" s="415">
        <v>202.1</v>
      </c>
      <c r="F203" s="415">
        <v>111.15</v>
      </c>
      <c r="G203" s="415">
        <v>40.0</v>
      </c>
      <c r="H203" s="415">
        <v>2.0</v>
      </c>
      <c r="I203" s="415">
        <v>1725.0</v>
      </c>
      <c r="J203" s="415">
        <v>12.0</v>
      </c>
      <c r="K203" s="415">
        <v>100.0</v>
      </c>
      <c r="L203" s="415">
        <v>6.0</v>
      </c>
      <c r="M203" s="415">
        <v>2.0</v>
      </c>
      <c r="N203" s="415">
        <v>1.0</v>
      </c>
      <c r="O203" s="415">
        <v>1.0</v>
      </c>
      <c r="P203" s="415" t="s">
        <v>166</v>
      </c>
      <c r="Q203" s="415">
        <v>1.0</v>
      </c>
      <c r="R203" s="415" t="s">
        <v>166</v>
      </c>
      <c r="S203" s="415" t="s">
        <v>166</v>
      </c>
      <c r="T203" s="413"/>
    </row>
    <row r="204">
      <c r="A204" s="412" t="s">
        <v>3401</v>
      </c>
      <c r="B204" s="413" t="s">
        <v>3504</v>
      </c>
      <c r="C204" s="174" t="str">
        <f t="shared" si="36"/>
        <v>EVGA</v>
      </c>
      <c r="D204" s="414" t="s">
        <v>3487</v>
      </c>
      <c r="E204" s="415">
        <v>202.1</v>
      </c>
      <c r="F204" s="415">
        <v>111.15</v>
      </c>
      <c r="G204" s="415">
        <v>40.0</v>
      </c>
      <c r="H204" s="415">
        <v>2.0</v>
      </c>
      <c r="I204" s="415">
        <v>1755.0</v>
      </c>
      <c r="J204" s="415">
        <v>12.0</v>
      </c>
      <c r="K204" s="415">
        <v>100.0</v>
      </c>
      <c r="L204" s="415">
        <v>6.0</v>
      </c>
      <c r="M204" s="415">
        <v>2.0</v>
      </c>
      <c r="N204" s="415">
        <v>1.0</v>
      </c>
      <c r="O204" s="415">
        <v>1.0</v>
      </c>
      <c r="P204" s="415" t="s">
        <v>166</v>
      </c>
      <c r="Q204" s="415">
        <v>1.0</v>
      </c>
      <c r="R204" s="415" t="s">
        <v>166</v>
      </c>
      <c r="S204" s="415" t="s">
        <v>166</v>
      </c>
      <c r="T204" s="413"/>
    </row>
    <row r="205">
      <c r="A205" s="412" t="s">
        <v>3401</v>
      </c>
      <c r="B205" s="413" t="s">
        <v>3504</v>
      </c>
      <c r="C205" s="174" t="str">
        <f t="shared" si="36"/>
        <v>EVGA</v>
      </c>
      <c r="D205" s="414" t="s">
        <v>3506</v>
      </c>
      <c r="E205" s="415">
        <v>189.89</v>
      </c>
      <c r="F205" s="415">
        <v>111.15</v>
      </c>
      <c r="G205" s="415">
        <v>55.0</v>
      </c>
      <c r="H205" s="415">
        <v>3.0</v>
      </c>
      <c r="I205" s="415">
        <v>1725.0</v>
      </c>
      <c r="J205" s="415">
        <v>12.0</v>
      </c>
      <c r="K205" s="415">
        <v>100.0</v>
      </c>
      <c r="L205" s="415">
        <v>6.0</v>
      </c>
      <c r="M205" s="415">
        <v>1.0</v>
      </c>
      <c r="N205" s="415">
        <v>1.0</v>
      </c>
      <c r="O205" s="415">
        <v>1.0</v>
      </c>
      <c r="P205" s="415" t="s">
        <v>166</v>
      </c>
      <c r="Q205" s="415">
        <v>1.0</v>
      </c>
      <c r="R205" s="415" t="s">
        <v>166</v>
      </c>
      <c r="S205" s="415" t="s">
        <v>166</v>
      </c>
      <c r="T205" s="413"/>
    </row>
    <row r="206">
      <c r="A206" s="412" t="s">
        <v>3401</v>
      </c>
      <c r="B206" s="413" t="s">
        <v>3504</v>
      </c>
      <c r="C206" s="416" t="str">
        <f t="shared" ref="C206:C207" si="37">HYPERLINK("http://www.gainward.com/main/index.php?lang=en","Gainward")</f>
        <v>Gainward</v>
      </c>
      <c r="D206" s="414" t="str">
        <f>HYPERLINK("http://www.gainward.com/main/vgapro.php?id=1075&amp;lang=en","Pegasus")</f>
        <v>Pegasus</v>
      </c>
      <c r="E206" s="415">
        <v>168.0</v>
      </c>
      <c r="F206" s="415">
        <v>126.0</v>
      </c>
      <c r="G206" s="415">
        <v>40.0</v>
      </c>
      <c r="H206" s="415">
        <v>2.0</v>
      </c>
      <c r="I206" s="415">
        <v>1725.0</v>
      </c>
      <c r="J206" s="415">
        <v>12.0</v>
      </c>
      <c r="K206" s="415">
        <v>100.0</v>
      </c>
      <c r="L206" s="415">
        <v>6.0</v>
      </c>
      <c r="M206" s="415">
        <v>1.0</v>
      </c>
      <c r="N206" s="415">
        <v>1.0</v>
      </c>
      <c r="O206" s="415">
        <v>1.0</v>
      </c>
      <c r="P206" s="415" t="s">
        <v>166</v>
      </c>
      <c r="Q206" s="415">
        <v>1.0</v>
      </c>
      <c r="R206" s="415" t="s">
        <v>166</v>
      </c>
      <c r="S206" s="415" t="s">
        <v>166</v>
      </c>
      <c r="T206" s="413"/>
    </row>
    <row r="207">
      <c r="A207" s="412" t="s">
        <v>3401</v>
      </c>
      <c r="B207" s="413" t="s">
        <v>3504</v>
      </c>
      <c r="C207" s="416" t="str">
        <f t="shared" si="37"/>
        <v>Gainward</v>
      </c>
      <c r="D207" s="414" t="s">
        <v>3507</v>
      </c>
      <c r="E207" s="415">
        <v>168.0</v>
      </c>
      <c r="F207" s="415">
        <v>126.0</v>
      </c>
      <c r="G207" s="415">
        <v>40.0</v>
      </c>
      <c r="H207" s="415">
        <v>2.0</v>
      </c>
      <c r="I207" s="415">
        <v>1770.0</v>
      </c>
      <c r="J207" s="415">
        <v>12.0</v>
      </c>
      <c r="K207" s="415">
        <v>100.0</v>
      </c>
      <c r="L207" s="415">
        <v>6.0</v>
      </c>
      <c r="M207" s="415">
        <v>1.0</v>
      </c>
      <c r="N207" s="415">
        <v>1.0</v>
      </c>
      <c r="O207" s="415">
        <v>1.0</v>
      </c>
      <c r="P207" s="415" t="s">
        <v>166</v>
      </c>
      <c r="Q207" s="415">
        <v>1.0</v>
      </c>
      <c r="R207" s="415" t="s">
        <v>166</v>
      </c>
      <c r="S207" s="415" t="s">
        <v>166</v>
      </c>
      <c r="T207" s="413"/>
    </row>
    <row r="208">
      <c r="A208" s="412" t="s">
        <v>3401</v>
      </c>
      <c r="B208" s="413" t="s">
        <v>3504</v>
      </c>
      <c r="C208" s="174" t="s">
        <v>3456</v>
      </c>
      <c r="D208" s="414" t="str">
        <f>HYPERLINK("http://www.galax.com/en/graphics-card/16super-series/galax-geforce-gtx-1650superex1clickoc.html","EX (1-Click OC)")</f>
        <v>EX (1-Click OC)</v>
      </c>
      <c r="E208" s="415">
        <v>199.0</v>
      </c>
      <c r="F208" s="415">
        <v>111.0</v>
      </c>
      <c r="G208" s="415">
        <v>39.0</v>
      </c>
      <c r="H208" s="415">
        <v>2.0</v>
      </c>
      <c r="I208" s="415">
        <v>1755.0</v>
      </c>
      <c r="J208" s="415">
        <v>12.0</v>
      </c>
      <c r="K208" s="415">
        <v>100.0</v>
      </c>
      <c r="L208" s="415">
        <v>6.0</v>
      </c>
      <c r="M208" s="415">
        <v>2.0</v>
      </c>
      <c r="N208" s="415">
        <v>1.0</v>
      </c>
      <c r="O208" s="415">
        <v>1.0</v>
      </c>
      <c r="P208" s="415" t="s">
        <v>166</v>
      </c>
      <c r="Q208" s="415">
        <v>1.0</v>
      </c>
      <c r="R208" s="415" t="s">
        <v>166</v>
      </c>
      <c r="S208" s="415" t="s">
        <v>166</v>
      </c>
      <c r="T208" s="413"/>
    </row>
    <row r="209">
      <c r="A209" s="412" t="s">
        <v>3401</v>
      </c>
      <c r="B209" s="413" t="s">
        <v>3504</v>
      </c>
      <c r="C209" s="174" t="str">
        <f t="shared" ref="C209:C210" si="38">HYPERLINK("https://www.gigabyte.com/","Gigabyte")</f>
        <v>Gigabyte</v>
      </c>
      <c r="D209" s="414" t="str">
        <f>HYPERLINK("https://www.gigabyte.com/Graphics-Card/GV-N165SD6-4GD#kf","D6")</f>
        <v>D6</v>
      </c>
      <c r="E209" s="415">
        <v>172.0</v>
      </c>
      <c r="F209" s="415">
        <v>122.0</v>
      </c>
      <c r="G209" s="415">
        <v>40.0</v>
      </c>
      <c r="H209" s="415">
        <v>2.0</v>
      </c>
      <c r="I209" s="415">
        <v>1725.0</v>
      </c>
      <c r="J209" s="415">
        <v>12.0</v>
      </c>
      <c r="K209" s="415">
        <v>100.0</v>
      </c>
      <c r="L209" s="415">
        <v>6.0</v>
      </c>
      <c r="M209" s="415">
        <v>1.0</v>
      </c>
      <c r="N209" s="415">
        <v>1.0</v>
      </c>
      <c r="O209" s="415">
        <v>1.0</v>
      </c>
      <c r="P209" s="415" t="s">
        <v>166</v>
      </c>
      <c r="Q209" s="415">
        <v>1.0</v>
      </c>
      <c r="R209" s="415" t="s">
        <v>166</v>
      </c>
      <c r="S209" s="415" t="s">
        <v>166</v>
      </c>
      <c r="T209" s="413"/>
    </row>
    <row r="210">
      <c r="A210" s="412" t="s">
        <v>3401</v>
      </c>
      <c r="B210" s="413" t="s">
        <v>3504</v>
      </c>
      <c r="C210" s="174" t="str">
        <f t="shared" si="38"/>
        <v>Gigabyte</v>
      </c>
      <c r="D210" s="414" t="s">
        <v>3415</v>
      </c>
      <c r="E210" s="415">
        <v>172.0</v>
      </c>
      <c r="F210" s="415">
        <v>122.0</v>
      </c>
      <c r="G210" s="415">
        <v>40.0</v>
      </c>
      <c r="H210" s="415">
        <v>2.0</v>
      </c>
      <c r="I210" s="415">
        <v>1740.0</v>
      </c>
      <c r="J210" s="415">
        <v>12.0</v>
      </c>
      <c r="K210" s="415">
        <v>100.0</v>
      </c>
      <c r="L210" s="415">
        <v>6.0</v>
      </c>
      <c r="M210" s="415">
        <v>1.0</v>
      </c>
      <c r="N210" s="415">
        <v>1.0</v>
      </c>
      <c r="O210" s="415">
        <v>1.0</v>
      </c>
      <c r="P210" s="415" t="s">
        <v>166</v>
      </c>
      <c r="Q210" s="415">
        <v>1.0</v>
      </c>
      <c r="R210" s="415" t="s">
        <v>166</v>
      </c>
      <c r="S210" s="415" t="s">
        <v>166</v>
      </c>
      <c r="T210" s="413"/>
    </row>
    <row r="211">
      <c r="A211" s="412" t="s">
        <v>3401</v>
      </c>
      <c r="B211" s="413" t="s">
        <v>3504</v>
      </c>
      <c r="C211" s="416" t="str">
        <f>HYPERLINK("http://www.inno3d.com/","Inno3D")</f>
        <v>Inno3D</v>
      </c>
      <c r="D211" s="414" t="s">
        <v>3418</v>
      </c>
      <c r="E211" s="415">
        <v>188.0</v>
      </c>
      <c r="F211" s="415">
        <v>115.0</v>
      </c>
      <c r="G211" s="415">
        <v>40.0</v>
      </c>
      <c r="H211" s="415">
        <v>2.0</v>
      </c>
      <c r="I211" s="415">
        <v>1725.0</v>
      </c>
      <c r="J211" s="415">
        <v>12.0</v>
      </c>
      <c r="K211" s="415">
        <v>100.0</v>
      </c>
      <c r="L211" s="415">
        <v>6.0</v>
      </c>
      <c r="M211" s="415">
        <v>1.0</v>
      </c>
      <c r="N211" s="415">
        <v>1.0</v>
      </c>
      <c r="O211" s="415">
        <v>1.0</v>
      </c>
      <c r="P211" s="415" t="s">
        <v>166</v>
      </c>
      <c r="Q211" s="415">
        <v>1.0</v>
      </c>
      <c r="R211" s="415" t="s">
        <v>166</v>
      </c>
      <c r="S211" s="415" t="s">
        <v>166</v>
      </c>
      <c r="T211" s="413"/>
    </row>
    <row r="212">
      <c r="A212" s="412" t="s">
        <v>3401</v>
      </c>
      <c r="B212" s="413" t="s">
        <v>3504</v>
      </c>
      <c r="C212" s="323" t="s">
        <v>3419</v>
      </c>
      <c r="D212" s="453" t="s">
        <v>3508</v>
      </c>
      <c r="E212" s="415">
        <v>175.0</v>
      </c>
      <c r="F212" s="415">
        <v>130.0</v>
      </c>
      <c r="G212" s="415">
        <v>40.0</v>
      </c>
      <c r="H212" s="415">
        <v>2.0</v>
      </c>
      <c r="I212" s="415">
        <v>1725.0</v>
      </c>
      <c r="J212" s="415">
        <v>12.0</v>
      </c>
      <c r="K212" s="415">
        <v>100.0</v>
      </c>
      <c r="L212" s="415">
        <v>6.0</v>
      </c>
      <c r="M212" s="415">
        <v>1.0</v>
      </c>
      <c r="N212" s="415">
        <v>1.0</v>
      </c>
      <c r="O212" s="415">
        <v>1.0</v>
      </c>
      <c r="P212" s="415" t="s">
        <v>166</v>
      </c>
      <c r="Q212" s="415">
        <v>1.0</v>
      </c>
      <c r="R212" s="415" t="s">
        <v>166</v>
      </c>
      <c r="S212" s="415" t="s">
        <v>166</v>
      </c>
      <c r="T212" s="413"/>
    </row>
    <row r="213">
      <c r="A213" s="412" t="s">
        <v>3401</v>
      </c>
      <c r="B213" s="413" t="s">
        <v>3504</v>
      </c>
      <c r="C213" s="323" t="s">
        <v>3419</v>
      </c>
      <c r="D213" s="414" t="s">
        <v>3509</v>
      </c>
      <c r="E213" s="415">
        <v>172.0</v>
      </c>
      <c r="F213" s="415">
        <v>131.0</v>
      </c>
      <c r="G213" s="415">
        <v>42.0</v>
      </c>
      <c r="H213" s="415">
        <v>2.0</v>
      </c>
      <c r="I213" s="415">
        <v>1725.0</v>
      </c>
      <c r="J213" s="415">
        <v>12.0</v>
      </c>
      <c r="K213" s="415">
        <v>100.0</v>
      </c>
      <c r="L213" s="415">
        <v>6.0</v>
      </c>
      <c r="M213" s="415">
        <v>1.0</v>
      </c>
      <c r="N213" s="415">
        <v>1.0</v>
      </c>
      <c r="O213" s="415">
        <v>1.0</v>
      </c>
      <c r="P213" s="415" t="s">
        <v>166</v>
      </c>
      <c r="Q213" s="415">
        <v>1.0</v>
      </c>
      <c r="R213" s="415" t="s">
        <v>166</v>
      </c>
      <c r="S213" s="415" t="s">
        <v>166</v>
      </c>
      <c r="T213" s="413"/>
    </row>
    <row r="214">
      <c r="A214" s="412" t="s">
        <v>3401</v>
      </c>
      <c r="B214" s="413" t="s">
        <v>3504</v>
      </c>
      <c r="C214" s="174" t="str">
        <f t="shared" ref="C214:C217" si="39">HYPERLINK("https://www.msi.com/index.php","MSI")</f>
        <v>MSI</v>
      </c>
      <c r="D214" s="414" t="s">
        <v>3375</v>
      </c>
      <c r="E214" s="415">
        <v>172.0</v>
      </c>
      <c r="F214" s="415">
        <v>115.0</v>
      </c>
      <c r="G214" s="415">
        <v>42.0</v>
      </c>
      <c r="H214" s="415">
        <v>2.0</v>
      </c>
      <c r="I214" s="415">
        <v>1725.0</v>
      </c>
      <c r="J214" s="415">
        <v>12.0</v>
      </c>
      <c r="K214" s="415">
        <v>100.0</v>
      </c>
      <c r="L214" s="415">
        <v>6.0</v>
      </c>
      <c r="M214" s="415">
        <v>1.0</v>
      </c>
      <c r="N214" s="415">
        <v>1.0</v>
      </c>
      <c r="O214" s="415">
        <v>1.0</v>
      </c>
      <c r="P214" s="415" t="s">
        <v>166</v>
      </c>
      <c r="Q214" s="415">
        <v>1.0</v>
      </c>
      <c r="R214" s="415" t="s">
        <v>166</v>
      </c>
      <c r="S214" s="415" t="s">
        <v>166</v>
      </c>
      <c r="T214" s="413"/>
    </row>
    <row r="215">
      <c r="A215" s="412" t="s">
        <v>3401</v>
      </c>
      <c r="B215" s="413" t="s">
        <v>3504</v>
      </c>
      <c r="C215" s="174" t="str">
        <f t="shared" si="39"/>
        <v>MSI</v>
      </c>
      <c r="D215" s="414" t="s">
        <v>3434</v>
      </c>
      <c r="E215" s="415">
        <v>172.0</v>
      </c>
      <c r="F215" s="415">
        <v>115.0</v>
      </c>
      <c r="G215" s="415">
        <v>42.0</v>
      </c>
      <c r="H215" s="415">
        <v>2.0</v>
      </c>
      <c r="I215" s="415">
        <v>1740.0</v>
      </c>
      <c r="J215" s="415">
        <v>12.0</v>
      </c>
      <c r="K215" s="415">
        <v>100.0</v>
      </c>
      <c r="L215" s="415">
        <v>6.0</v>
      </c>
      <c r="M215" s="415">
        <v>1.0</v>
      </c>
      <c r="N215" s="415">
        <v>1.0</v>
      </c>
      <c r="O215" s="415">
        <v>1.0</v>
      </c>
      <c r="P215" s="415" t="s">
        <v>166</v>
      </c>
      <c r="Q215" s="415">
        <v>1.0</v>
      </c>
      <c r="R215" s="415" t="s">
        <v>166</v>
      </c>
      <c r="S215" s="415" t="s">
        <v>166</v>
      </c>
      <c r="T215" s="413"/>
    </row>
    <row r="216">
      <c r="A216" s="412" t="s">
        <v>3401</v>
      </c>
      <c r="B216" s="413" t="s">
        <v>3504</v>
      </c>
      <c r="C216" s="174" t="str">
        <f t="shared" si="39"/>
        <v>MSI</v>
      </c>
      <c r="D216" s="414" t="s">
        <v>3497</v>
      </c>
      <c r="E216" s="415">
        <v>180.0</v>
      </c>
      <c r="F216" s="415">
        <v>115.0</v>
      </c>
      <c r="G216" s="415">
        <v>42.0</v>
      </c>
      <c r="H216" s="415">
        <v>2.0</v>
      </c>
      <c r="I216" s="415">
        <v>1725.0</v>
      </c>
      <c r="J216" s="415">
        <v>12.0</v>
      </c>
      <c r="K216" s="415">
        <v>100.0</v>
      </c>
      <c r="L216" s="415">
        <v>6.0</v>
      </c>
      <c r="M216" s="415">
        <v>2.0</v>
      </c>
      <c r="N216" s="415">
        <v>1.0</v>
      </c>
      <c r="O216" s="415">
        <v>1.0</v>
      </c>
      <c r="P216" s="415" t="s">
        <v>166</v>
      </c>
      <c r="Q216" s="415">
        <v>1.0</v>
      </c>
      <c r="R216" s="415" t="s">
        <v>166</v>
      </c>
      <c r="S216" s="415" t="s">
        <v>166</v>
      </c>
      <c r="T216" s="413"/>
    </row>
    <row r="217">
      <c r="A217" s="412" t="s">
        <v>3401</v>
      </c>
      <c r="B217" s="413" t="s">
        <v>3504</v>
      </c>
      <c r="C217" s="174" t="str">
        <f t="shared" si="39"/>
        <v>MSI</v>
      </c>
      <c r="D217" s="414" t="s">
        <v>3498</v>
      </c>
      <c r="E217" s="415">
        <v>180.0</v>
      </c>
      <c r="F217" s="415">
        <v>115.0</v>
      </c>
      <c r="G217" s="415">
        <v>42.0</v>
      </c>
      <c r="H217" s="415">
        <v>2.0</v>
      </c>
      <c r="I217" s="415">
        <v>1740.0</v>
      </c>
      <c r="J217" s="415">
        <v>12.0</v>
      </c>
      <c r="K217" s="415">
        <v>100.0</v>
      </c>
      <c r="L217" s="415">
        <v>6.0</v>
      </c>
      <c r="M217" s="415">
        <v>2.0</v>
      </c>
      <c r="N217" s="415">
        <v>1.0</v>
      </c>
      <c r="O217" s="415">
        <v>1.0</v>
      </c>
      <c r="P217" s="415" t="s">
        <v>166</v>
      </c>
      <c r="Q217" s="415">
        <v>1.0</v>
      </c>
      <c r="R217" s="415" t="s">
        <v>166</v>
      </c>
      <c r="S217" s="415" t="s">
        <v>166</v>
      </c>
      <c r="T217" s="413"/>
    </row>
    <row r="218">
      <c r="A218" s="412" t="s">
        <v>3401</v>
      </c>
      <c r="B218" s="413" t="s">
        <v>3504</v>
      </c>
      <c r="C218" s="416" t="str">
        <f t="shared" ref="C218:C219" si="40">HYPERLINK("http://www.palit.com/palit/index.php?lang=en","Palit")</f>
        <v>Palit</v>
      </c>
      <c r="D218" s="414" t="str">
        <f>HYPERLINK("http://www.palit.com/palit/vgapro.php?id=3437&amp;lang=en","StormX")</f>
        <v>StormX</v>
      </c>
      <c r="E218" s="415">
        <v>168.0</v>
      </c>
      <c r="F218" s="415">
        <v>122.0</v>
      </c>
      <c r="G218" s="415">
        <v>40.0</v>
      </c>
      <c r="H218" s="415">
        <v>2.0</v>
      </c>
      <c r="I218" s="415">
        <v>1725.0</v>
      </c>
      <c r="J218" s="415">
        <v>12.0</v>
      </c>
      <c r="K218" s="415">
        <v>100.0</v>
      </c>
      <c r="L218" s="415">
        <v>6.0</v>
      </c>
      <c r="M218" s="415">
        <v>1.0</v>
      </c>
      <c r="N218" s="415">
        <v>1.0</v>
      </c>
      <c r="O218" s="415">
        <v>1.0</v>
      </c>
      <c r="P218" s="415" t="s">
        <v>166</v>
      </c>
      <c r="Q218" s="415">
        <v>1.0</v>
      </c>
      <c r="R218" s="415" t="s">
        <v>166</v>
      </c>
      <c r="S218" s="415" t="s">
        <v>166</v>
      </c>
      <c r="T218" s="413"/>
    </row>
    <row r="219">
      <c r="A219" s="412" t="s">
        <v>3401</v>
      </c>
      <c r="B219" s="413" t="s">
        <v>3504</v>
      </c>
      <c r="C219" s="416" t="str">
        <f t="shared" si="40"/>
        <v>Palit</v>
      </c>
      <c r="D219" s="414" t="s">
        <v>3463</v>
      </c>
      <c r="E219" s="415">
        <v>168.0</v>
      </c>
      <c r="F219" s="415">
        <v>122.0</v>
      </c>
      <c r="G219" s="415">
        <v>40.0</v>
      </c>
      <c r="H219" s="415">
        <v>2.0</v>
      </c>
      <c r="I219" s="415">
        <v>1770.0</v>
      </c>
      <c r="J219" s="415">
        <v>12.0</v>
      </c>
      <c r="K219" s="415">
        <v>100.0</v>
      </c>
      <c r="L219" s="415">
        <v>6.0</v>
      </c>
      <c r="M219" s="415">
        <v>1.0</v>
      </c>
      <c r="N219" s="415">
        <v>1.0</v>
      </c>
      <c r="O219" s="415">
        <v>1.0</v>
      </c>
      <c r="P219" s="415" t="s">
        <v>166</v>
      </c>
      <c r="Q219" s="415">
        <v>1.0</v>
      </c>
      <c r="R219" s="415" t="s">
        <v>166</v>
      </c>
      <c r="S219" s="415" t="s">
        <v>166</v>
      </c>
      <c r="T219" s="413"/>
    </row>
    <row r="220">
      <c r="A220" s="412" t="s">
        <v>3401</v>
      </c>
      <c r="B220" s="413" t="s">
        <v>3504</v>
      </c>
      <c r="C220" s="416" t="str">
        <f>HYPERLINK("https://pny.com/","PNY")</f>
        <v>PNY</v>
      </c>
      <c r="D220" s="414" t="str">
        <f>HYPERLINK("https://pny.com/pny-geforce-gtx-1650-super-single-fan","Single Fan")</f>
        <v>Single Fan</v>
      </c>
      <c r="E220" s="415">
        <v>168.0</v>
      </c>
      <c r="F220" s="415">
        <v>126.0</v>
      </c>
      <c r="G220" s="415">
        <v>40.0</v>
      </c>
      <c r="H220" s="415">
        <v>2.0</v>
      </c>
      <c r="I220" s="415">
        <v>1725.0</v>
      </c>
      <c r="J220" s="415">
        <v>12.0</v>
      </c>
      <c r="K220" s="415">
        <v>100.0</v>
      </c>
      <c r="L220" s="415">
        <v>6.0</v>
      </c>
      <c r="M220" s="415">
        <v>1.0</v>
      </c>
      <c r="N220" s="415">
        <v>1.0</v>
      </c>
      <c r="O220" s="415">
        <v>1.0</v>
      </c>
      <c r="P220" s="415" t="s">
        <v>166</v>
      </c>
      <c r="Q220" s="415">
        <v>1.0</v>
      </c>
      <c r="R220" s="415" t="s">
        <v>166</v>
      </c>
      <c r="S220" s="415" t="s">
        <v>166</v>
      </c>
      <c r="T220" s="413"/>
    </row>
    <row r="221">
      <c r="A221" s="401" t="s">
        <v>3401</v>
      </c>
      <c r="B221" s="402" t="s">
        <v>3504</v>
      </c>
      <c r="C221" s="403" t="str">
        <f>HYPERLINK("http://zotac.com/","ZOTAC")</f>
        <v>ZOTAC</v>
      </c>
      <c r="D221" s="404" t="str">
        <f>HYPERLINK("https://www.zotac.com/product/graphics_card/zotac-gaming-geforce-gtx-1650-super-twin-fan","Twin Fan")</f>
        <v>Twin Fan</v>
      </c>
      <c r="E221" s="405">
        <v>158.5</v>
      </c>
      <c r="F221" s="405">
        <v>115.2</v>
      </c>
      <c r="G221" s="405">
        <v>35.3</v>
      </c>
      <c r="H221" s="405">
        <v>2.0</v>
      </c>
      <c r="I221" s="405">
        <v>1725.0</v>
      </c>
      <c r="J221" s="405">
        <v>12.0</v>
      </c>
      <c r="K221" s="405">
        <v>100.0</v>
      </c>
      <c r="L221" s="405">
        <v>6.0</v>
      </c>
      <c r="M221" s="405">
        <v>2.0</v>
      </c>
      <c r="N221" s="405">
        <v>1.0</v>
      </c>
      <c r="O221" s="405">
        <v>1.0</v>
      </c>
      <c r="P221" s="405" t="s">
        <v>166</v>
      </c>
      <c r="Q221" s="405">
        <v>1.0</v>
      </c>
      <c r="R221" s="405" t="s">
        <v>166</v>
      </c>
      <c r="S221" s="405" t="s">
        <v>166</v>
      </c>
      <c r="T221" s="402"/>
    </row>
    <row r="222">
      <c r="A222" s="409" t="s">
        <v>3401</v>
      </c>
      <c r="B222" s="410" t="s">
        <v>3510</v>
      </c>
      <c r="C222" s="174" t="s">
        <v>3467</v>
      </c>
      <c r="D222" s="414" t="s">
        <v>3511</v>
      </c>
      <c r="E222" s="415">
        <v>148.0</v>
      </c>
      <c r="F222" s="415">
        <v>111.0</v>
      </c>
      <c r="G222" s="415">
        <v>35.0</v>
      </c>
      <c r="H222" s="415">
        <v>2.0</v>
      </c>
      <c r="I222" s="415">
        <v>1785.0</v>
      </c>
      <c r="J222" s="415">
        <v>8.0</v>
      </c>
      <c r="K222" s="415">
        <v>120.0</v>
      </c>
      <c r="L222" s="415">
        <v>8.0</v>
      </c>
      <c r="M222" s="415">
        <v>1.0</v>
      </c>
      <c r="N222" s="415">
        <v>1.0</v>
      </c>
      <c r="O222" s="415">
        <v>1.0</v>
      </c>
      <c r="P222" s="415" t="s">
        <v>166</v>
      </c>
      <c r="Q222" s="415">
        <v>1.0</v>
      </c>
      <c r="R222" s="415" t="s">
        <v>166</v>
      </c>
      <c r="S222" s="415" t="s">
        <v>166</v>
      </c>
      <c r="T222" s="413"/>
    </row>
    <row r="223">
      <c r="A223" s="409" t="s">
        <v>3401</v>
      </c>
      <c r="B223" s="410" t="s">
        <v>3510</v>
      </c>
      <c r="C223" s="282" t="str">
        <f t="shared" ref="C223:C226" si="41">HYPERLINK("https://www.asus.com/","Asus")</f>
        <v>Asus</v>
      </c>
      <c r="D223" s="312" t="s">
        <v>3371</v>
      </c>
      <c r="E223" s="411">
        <v>174.0</v>
      </c>
      <c r="F223" s="411">
        <v>121.0</v>
      </c>
      <c r="G223" s="411">
        <v>39.0</v>
      </c>
      <c r="H223" s="411">
        <v>2.0</v>
      </c>
      <c r="I223" s="411">
        <v>1815.0</v>
      </c>
      <c r="J223" s="411">
        <v>8.0</v>
      </c>
      <c r="K223" s="411">
        <v>120.0</v>
      </c>
      <c r="L223" s="411">
        <v>8.0</v>
      </c>
      <c r="M223" s="411">
        <v>1.0</v>
      </c>
      <c r="N223" s="411">
        <v>1.0</v>
      </c>
      <c r="O223" s="411">
        <v>1.0</v>
      </c>
      <c r="P223" s="411" t="s">
        <v>166</v>
      </c>
      <c r="Q223" s="411">
        <v>1.0</v>
      </c>
      <c r="R223" s="411" t="s">
        <v>166</v>
      </c>
      <c r="S223" s="411" t="s">
        <v>166</v>
      </c>
      <c r="T223" s="410"/>
    </row>
    <row r="224">
      <c r="A224" s="412" t="s">
        <v>3401</v>
      </c>
      <c r="B224" s="413" t="s">
        <v>3510</v>
      </c>
      <c r="C224" s="174" t="str">
        <f t="shared" si="41"/>
        <v>Asus</v>
      </c>
      <c r="D224" s="414" t="s">
        <v>3469</v>
      </c>
      <c r="E224" s="415">
        <v>174.0</v>
      </c>
      <c r="F224" s="415">
        <v>121.0</v>
      </c>
      <c r="G224" s="415">
        <v>39.0</v>
      </c>
      <c r="H224" s="415">
        <v>2.0</v>
      </c>
      <c r="I224" s="415">
        <v>1830.0</v>
      </c>
      <c r="J224" s="415">
        <v>8.0</v>
      </c>
      <c r="K224" s="415">
        <v>120.0</v>
      </c>
      <c r="L224" s="415">
        <v>8.0</v>
      </c>
      <c r="M224" s="415">
        <v>1.0</v>
      </c>
      <c r="N224" s="415">
        <v>1.0</v>
      </c>
      <c r="O224" s="415">
        <v>1.0</v>
      </c>
      <c r="P224" s="415" t="s">
        <v>166</v>
      </c>
      <c r="Q224" s="415">
        <v>1.0</v>
      </c>
      <c r="R224" s="415" t="s">
        <v>166</v>
      </c>
      <c r="S224" s="415" t="s">
        <v>166</v>
      </c>
      <c r="T224" s="413"/>
    </row>
    <row r="225">
      <c r="A225" s="412" t="s">
        <v>3401</v>
      </c>
      <c r="B225" s="413" t="s">
        <v>3510</v>
      </c>
      <c r="C225" s="174" t="str">
        <f t="shared" si="41"/>
        <v>Asus</v>
      </c>
      <c r="D225" s="414" t="s">
        <v>3477</v>
      </c>
      <c r="E225" s="415">
        <v>205.0</v>
      </c>
      <c r="F225" s="415">
        <v>123.0</v>
      </c>
      <c r="G225" s="415">
        <v>46.0</v>
      </c>
      <c r="H225" s="415">
        <v>2.0</v>
      </c>
      <c r="I225" s="415">
        <v>1815.0</v>
      </c>
      <c r="J225" s="415">
        <v>8.0</v>
      </c>
      <c r="K225" s="415">
        <v>120.0</v>
      </c>
      <c r="L225" s="415">
        <v>8.0</v>
      </c>
      <c r="M225" s="415">
        <v>2.0</v>
      </c>
      <c r="N225" s="415">
        <v>1.0</v>
      </c>
      <c r="O225" s="415">
        <v>1.0</v>
      </c>
      <c r="P225" s="415" t="s">
        <v>166</v>
      </c>
      <c r="Q225" s="415">
        <v>1.0</v>
      </c>
      <c r="R225" s="415" t="s">
        <v>166</v>
      </c>
      <c r="S225" s="415" t="s">
        <v>166</v>
      </c>
      <c r="T225" s="413"/>
    </row>
    <row r="226">
      <c r="A226" s="412" t="s">
        <v>3401</v>
      </c>
      <c r="B226" s="413" t="s">
        <v>3510</v>
      </c>
      <c r="C226" s="174" t="str">
        <f t="shared" si="41"/>
        <v>Asus</v>
      </c>
      <c r="D226" s="414" t="s">
        <v>3478</v>
      </c>
      <c r="E226" s="415">
        <v>205.0</v>
      </c>
      <c r="F226" s="415">
        <v>123.0</v>
      </c>
      <c r="G226" s="415">
        <v>46.0</v>
      </c>
      <c r="H226" s="415">
        <v>2.0</v>
      </c>
      <c r="I226" s="415">
        <v>1845.0</v>
      </c>
      <c r="J226" s="415">
        <v>8.0</v>
      </c>
      <c r="K226" s="415">
        <v>120.0</v>
      </c>
      <c r="L226" s="415">
        <v>8.0</v>
      </c>
      <c r="M226" s="415">
        <v>2.0</v>
      </c>
      <c r="N226" s="415">
        <v>1.0</v>
      </c>
      <c r="O226" s="415">
        <v>1.0</v>
      </c>
      <c r="P226" s="415" t="s">
        <v>166</v>
      </c>
      <c r="Q226" s="415">
        <v>1.0</v>
      </c>
      <c r="R226" s="415" t="s">
        <v>166</v>
      </c>
      <c r="S226" s="415" t="s">
        <v>166</v>
      </c>
      <c r="T226" s="413"/>
    </row>
    <row r="227">
      <c r="A227" s="412" t="s">
        <v>3401</v>
      </c>
      <c r="B227" s="413" t="s">
        <v>3510</v>
      </c>
      <c r="C227" s="174" t="s">
        <v>3405</v>
      </c>
      <c r="D227" s="414" t="s">
        <v>3505</v>
      </c>
      <c r="E227" s="415">
        <v>168.0</v>
      </c>
      <c r="F227" s="415">
        <v>122.0</v>
      </c>
      <c r="G227" s="415">
        <v>40.0</v>
      </c>
      <c r="H227" s="415">
        <v>2.0</v>
      </c>
      <c r="I227" s="415">
        <v>1830.0</v>
      </c>
      <c r="J227" s="415">
        <v>8.0</v>
      </c>
      <c r="K227" s="415">
        <v>120.0</v>
      </c>
      <c r="L227" s="415">
        <v>8.0</v>
      </c>
      <c r="M227" s="415">
        <v>1.0</v>
      </c>
      <c r="N227" s="415">
        <v>1.0</v>
      </c>
      <c r="O227" s="415">
        <v>1.0</v>
      </c>
      <c r="P227" s="415" t="s">
        <v>166</v>
      </c>
      <c r="Q227" s="415">
        <v>1.0</v>
      </c>
      <c r="R227" s="415" t="s">
        <v>166</v>
      </c>
      <c r="S227" s="415" t="s">
        <v>166</v>
      </c>
      <c r="T227" s="413"/>
    </row>
    <row r="228">
      <c r="A228" s="412" t="s">
        <v>3401</v>
      </c>
      <c r="B228" s="413" t="s">
        <v>3510</v>
      </c>
      <c r="C228" s="174" t="str">
        <f t="shared" ref="C228:C232" si="42">HYPERLINK("https://www.evga.com/","EVGA")</f>
        <v>EVGA</v>
      </c>
      <c r="D228" s="414" t="s">
        <v>3512</v>
      </c>
      <c r="E228" s="415">
        <v>189.89</v>
      </c>
      <c r="F228" s="415">
        <v>111.15</v>
      </c>
      <c r="G228" s="415">
        <v>55.0</v>
      </c>
      <c r="H228" s="415">
        <v>3.0</v>
      </c>
      <c r="I228" s="415">
        <v>1785.0</v>
      </c>
      <c r="J228" s="415">
        <v>8.0</v>
      </c>
      <c r="K228" s="415">
        <v>120.0</v>
      </c>
      <c r="L228" s="415">
        <v>8.0</v>
      </c>
      <c r="M228" s="415">
        <v>1.0</v>
      </c>
      <c r="N228" s="415">
        <v>1.0</v>
      </c>
      <c r="O228" s="415">
        <v>1.0</v>
      </c>
      <c r="P228" s="415" t="s">
        <v>166</v>
      </c>
      <c r="Q228" s="415">
        <v>1.0</v>
      </c>
      <c r="R228" s="415" t="s">
        <v>166</v>
      </c>
      <c r="S228" s="415" t="s">
        <v>166</v>
      </c>
      <c r="T228" s="413"/>
    </row>
    <row r="229">
      <c r="A229" s="412" t="s">
        <v>3401</v>
      </c>
      <c r="B229" s="413" t="s">
        <v>3510</v>
      </c>
      <c r="C229" s="174" t="str">
        <f t="shared" si="42"/>
        <v>EVGA</v>
      </c>
      <c r="D229" s="414" t="s">
        <v>3486</v>
      </c>
      <c r="E229" s="415">
        <v>202.1</v>
      </c>
      <c r="F229" s="415">
        <v>111.15</v>
      </c>
      <c r="G229" s="415">
        <v>40.0</v>
      </c>
      <c r="H229" s="415">
        <v>2.0</v>
      </c>
      <c r="I229" s="415">
        <v>1785.0</v>
      </c>
      <c r="J229" s="415">
        <v>8.0</v>
      </c>
      <c r="K229" s="415">
        <v>120.0</v>
      </c>
      <c r="L229" s="415">
        <v>8.0</v>
      </c>
      <c r="M229" s="415">
        <v>2.0</v>
      </c>
      <c r="N229" s="415">
        <v>1.0</v>
      </c>
      <c r="O229" s="415">
        <v>1.0</v>
      </c>
      <c r="P229" s="415" t="s">
        <v>166</v>
      </c>
      <c r="Q229" s="415">
        <v>1.0</v>
      </c>
      <c r="R229" s="415" t="s">
        <v>166</v>
      </c>
      <c r="S229" s="415" t="s">
        <v>166</v>
      </c>
      <c r="T229" s="413"/>
    </row>
    <row r="230">
      <c r="A230" s="412" t="s">
        <v>3401</v>
      </c>
      <c r="B230" s="413" t="s">
        <v>3510</v>
      </c>
      <c r="C230" s="174" t="str">
        <f t="shared" si="42"/>
        <v>EVGA</v>
      </c>
      <c r="D230" s="414" t="s">
        <v>3487</v>
      </c>
      <c r="E230" s="415">
        <v>202.1</v>
      </c>
      <c r="F230" s="415">
        <v>111.15</v>
      </c>
      <c r="G230" s="415">
        <v>40.0</v>
      </c>
      <c r="H230" s="415">
        <v>2.0</v>
      </c>
      <c r="I230" s="415">
        <v>1830.0</v>
      </c>
      <c r="J230" s="415">
        <v>8.0</v>
      </c>
      <c r="K230" s="415">
        <v>120.0</v>
      </c>
      <c r="L230" s="415">
        <v>8.0</v>
      </c>
      <c r="M230" s="415">
        <v>2.0</v>
      </c>
      <c r="N230" s="415">
        <v>1.0</v>
      </c>
      <c r="O230" s="415">
        <v>1.0</v>
      </c>
      <c r="P230" s="415" t="s">
        <v>166</v>
      </c>
      <c r="Q230" s="415">
        <v>1.0</v>
      </c>
      <c r="R230" s="415" t="s">
        <v>166</v>
      </c>
      <c r="S230" s="415" t="s">
        <v>166</v>
      </c>
      <c r="T230" s="413"/>
    </row>
    <row r="231">
      <c r="A231" s="428" t="s">
        <v>3401</v>
      </c>
      <c r="B231" s="429" t="s">
        <v>3510</v>
      </c>
      <c r="C231" s="454" t="str">
        <f t="shared" si="42"/>
        <v>EVGA</v>
      </c>
      <c r="D231" s="414" t="s">
        <v>3506</v>
      </c>
      <c r="E231" s="455">
        <v>189.89</v>
      </c>
      <c r="F231" s="456">
        <v>111.15</v>
      </c>
      <c r="G231" s="457">
        <v>55.0</v>
      </c>
      <c r="H231" s="451">
        <v>3.0</v>
      </c>
      <c r="I231" s="415">
        <v>1785.0</v>
      </c>
      <c r="J231" s="309">
        <v>8.0</v>
      </c>
      <c r="K231" s="450">
        <v>120.0</v>
      </c>
      <c r="L231" s="307">
        <v>8.0</v>
      </c>
      <c r="M231" s="307">
        <v>1.0</v>
      </c>
      <c r="N231" s="307">
        <v>1.0</v>
      </c>
      <c r="O231" s="307">
        <v>1.0</v>
      </c>
      <c r="P231" s="307" t="s">
        <v>166</v>
      </c>
      <c r="Q231" s="307">
        <v>1.0</v>
      </c>
      <c r="R231" s="451" t="s">
        <v>166</v>
      </c>
      <c r="S231" s="451" t="s">
        <v>166</v>
      </c>
      <c r="T231" s="413"/>
    </row>
    <row r="232">
      <c r="A232" s="412" t="s">
        <v>3401</v>
      </c>
      <c r="B232" s="413" t="s">
        <v>3510</v>
      </c>
      <c r="C232" s="174" t="str">
        <f t="shared" si="42"/>
        <v>EVGA</v>
      </c>
      <c r="D232" s="414" t="s">
        <v>3513</v>
      </c>
      <c r="E232" s="415">
        <v>189.89</v>
      </c>
      <c r="F232" s="415">
        <v>111.15</v>
      </c>
      <c r="G232" s="415">
        <v>55.0</v>
      </c>
      <c r="H232" s="415">
        <v>3.0</v>
      </c>
      <c r="I232" s="415">
        <v>1830.0</v>
      </c>
      <c r="J232" s="415">
        <v>8.0</v>
      </c>
      <c r="K232" s="415">
        <v>120.0</v>
      </c>
      <c r="L232" s="415">
        <v>8.0</v>
      </c>
      <c r="M232" s="415">
        <v>1.0</v>
      </c>
      <c r="N232" s="415">
        <v>1.0</v>
      </c>
      <c r="O232" s="415">
        <v>1.0</v>
      </c>
      <c r="P232" s="415" t="s">
        <v>166</v>
      </c>
      <c r="Q232" s="415">
        <v>1.0</v>
      </c>
      <c r="R232" s="415" t="s">
        <v>166</v>
      </c>
      <c r="S232" s="415" t="s">
        <v>166</v>
      </c>
      <c r="T232" s="413"/>
    </row>
    <row r="233">
      <c r="A233" s="412" t="s">
        <v>3401</v>
      </c>
      <c r="B233" s="413" t="s">
        <v>3510</v>
      </c>
      <c r="C233" s="416" t="str">
        <f t="shared" ref="C233:C234" si="43">HYPERLINK("http://www.gainward.com/main/index.php?lang=en","Gainward")</f>
        <v>Gainward</v>
      </c>
      <c r="D233" s="414" t="str">
        <f>HYPERLINK("http://www.gainward.com/main/vgapro.php?id=1048&amp;lang=en","Pegasus")</f>
        <v>Pegasus</v>
      </c>
      <c r="E233" s="415">
        <v>168.0</v>
      </c>
      <c r="F233" s="415">
        <v>126.0</v>
      </c>
      <c r="G233" s="415">
        <v>40.0</v>
      </c>
      <c r="H233" s="415">
        <v>2.0</v>
      </c>
      <c r="I233" s="415">
        <v>1785.0</v>
      </c>
      <c r="J233" s="415">
        <v>8.0</v>
      </c>
      <c r="K233" s="415">
        <v>120.0</v>
      </c>
      <c r="L233" s="415">
        <v>8.0</v>
      </c>
      <c r="M233" s="415">
        <v>1.0</v>
      </c>
      <c r="N233" s="415">
        <v>1.0</v>
      </c>
      <c r="O233" s="415">
        <v>1.0</v>
      </c>
      <c r="P233" s="415" t="s">
        <v>166</v>
      </c>
      <c r="Q233" s="415">
        <v>1.0</v>
      </c>
      <c r="R233" s="415" t="s">
        <v>166</v>
      </c>
      <c r="S233" s="415" t="s">
        <v>166</v>
      </c>
      <c r="T233" s="413"/>
    </row>
    <row r="234">
      <c r="A234" s="412" t="s">
        <v>3401</v>
      </c>
      <c r="B234" s="413" t="s">
        <v>3510</v>
      </c>
      <c r="C234" s="416" t="str">
        <f t="shared" si="43"/>
        <v>Gainward</v>
      </c>
      <c r="D234" s="414" t="s">
        <v>3507</v>
      </c>
      <c r="E234" s="415">
        <v>168.0</v>
      </c>
      <c r="F234" s="415">
        <v>126.0</v>
      </c>
      <c r="G234" s="415">
        <v>40.0</v>
      </c>
      <c r="H234" s="415">
        <v>2.0</v>
      </c>
      <c r="I234" s="415">
        <v>1830.0</v>
      </c>
      <c r="J234" s="415">
        <v>8.0</v>
      </c>
      <c r="K234" s="415">
        <v>120.0</v>
      </c>
      <c r="L234" s="415">
        <v>8.0</v>
      </c>
      <c r="M234" s="415">
        <v>1.0</v>
      </c>
      <c r="N234" s="415">
        <v>1.0</v>
      </c>
      <c r="O234" s="415">
        <v>1.0</v>
      </c>
      <c r="P234" s="415" t="s">
        <v>166</v>
      </c>
      <c r="Q234" s="415">
        <v>1.0</v>
      </c>
      <c r="R234" s="415" t="s">
        <v>166</v>
      </c>
      <c r="S234" s="415" t="s">
        <v>166</v>
      </c>
      <c r="T234" s="413"/>
    </row>
    <row r="235">
      <c r="A235" s="412" t="s">
        <v>3401</v>
      </c>
      <c r="B235" s="413" t="s">
        <v>3510</v>
      </c>
      <c r="C235" s="174" t="s">
        <v>3456</v>
      </c>
      <c r="D235" s="414" t="str">
        <f>HYPERLINK("http://www.galax.com/en/graphics-card/16-series/galax-geforce-gtx-1660mini1clickoc.html","Mini (1-Click OC)")</f>
        <v>Mini (1-Click OC)</v>
      </c>
      <c r="E235" s="415">
        <v>175.0</v>
      </c>
      <c r="F235" s="415">
        <v>111.0</v>
      </c>
      <c r="G235" s="415">
        <v>38.0</v>
      </c>
      <c r="H235" s="415">
        <v>2.0</v>
      </c>
      <c r="I235" s="415">
        <v>1815.0</v>
      </c>
      <c r="J235" s="415">
        <v>8.0</v>
      </c>
      <c r="K235" s="415">
        <v>120.0</v>
      </c>
      <c r="L235" s="415">
        <v>8.0</v>
      </c>
      <c r="M235" s="415">
        <v>2.0</v>
      </c>
      <c r="N235" s="415">
        <v>1.0</v>
      </c>
      <c r="O235" s="415">
        <v>1.0</v>
      </c>
      <c r="P235" s="415" t="s">
        <v>166</v>
      </c>
      <c r="Q235" s="415">
        <v>1.0</v>
      </c>
      <c r="R235" s="415" t="s">
        <v>166</v>
      </c>
      <c r="S235" s="415" t="s">
        <v>166</v>
      </c>
      <c r="T235" s="413"/>
    </row>
    <row r="236">
      <c r="A236" s="412" t="s">
        <v>3401</v>
      </c>
      <c r="B236" s="413" t="s">
        <v>3510</v>
      </c>
      <c r="C236" s="174" t="s">
        <v>3456</v>
      </c>
      <c r="D236" s="414" t="s">
        <v>3514</v>
      </c>
      <c r="E236" s="415">
        <v>175.0</v>
      </c>
      <c r="F236" s="415">
        <v>111.0</v>
      </c>
      <c r="G236" s="415">
        <v>38.0</v>
      </c>
      <c r="H236" s="415">
        <v>2.0</v>
      </c>
      <c r="I236" s="415">
        <v>1815.0</v>
      </c>
      <c r="J236" s="415">
        <v>8.0</v>
      </c>
      <c r="K236" s="415">
        <v>120.0</v>
      </c>
      <c r="L236" s="415">
        <v>8.0</v>
      </c>
      <c r="M236" s="415">
        <v>2.0</v>
      </c>
      <c r="N236" s="415">
        <v>1.0</v>
      </c>
      <c r="O236" s="415">
        <v>1.0</v>
      </c>
      <c r="P236" s="415" t="s">
        <v>166</v>
      </c>
      <c r="Q236" s="415">
        <v>1.0</v>
      </c>
      <c r="R236" s="415" t="s">
        <v>166</v>
      </c>
      <c r="S236" s="415" t="s">
        <v>166</v>
      </c>
      <c r="T236" s="413"/>
    </row>
    <row r="237">
      <c r="A237" s="412" t="s">
        <v>3401</v>
      </c>
      <c r="B237" s="413" t="s">
        <v>3510</v>
      </c>
      <c r="C237" s="174" t="s">
        <v>3456</v>
      </c>
      <c r="D237" s="414" t="str">
        <f>HYPERLINK("http://www.galax.com/en/graphics-card/16-series/galax-geforce-gtx-1660-1-click-oc.html","(1-Click OC)")</f>
        <v>(1-Click OC)</v>
      </c>
      <c r="E237" s="415">
        <v>214.0</v>
      </c>
      <c r="F237" s="415">
        <v>118.65</v>
      </c>
      <c r="G237" s="415">
        <v>38.6</v>
      </c>
      <c r="H237" s="415">
        <v>2.0</v>
      </c>
      <c r="I237" s="415">
        <v>1815.0</v>
      </c>
      <c r="J237" s="415">
        <v>8.0</v>
      </c>
      <c r="K237" s="415">
        <v>120.0</v>
      </c>
      <c r="L237" s="415">
        <v>6.0</v>
      </c>
      <c r="M237" s="415">
        <v>2.0</v>
      </c>
      <c r="N237" s="415">
        <v>1.0</v>
      </c>
      <c r="O237" s="415">
        <v>1.0</v>
      </c>
      <c r="P237" s="415" t="s">
        <v>166</v>
      </c>
      <c r="Q237" s="415">
        <v>1.0</v>
      </c>
      <c r="R237" s="415" t="s">
        <v>166</v>
      </c>
      <c r="S237" s="415" t="s">
        <v>166</v>
      </c>
      <c r="T237" s="413"/>
    </row>
    <row r="238">
      <c r="A238" s="412" t="s">
        <v>3401</v>
      </c>
      <c r="B238" s="413" t="s">
        <v>3510</v>
      </c>
      <c r="C238" s="174" t="s">
        <v>3456</v>
      </c>
      <c r="D238" s="414" t="s">
        <v>3515</v>
      </c>
      <c r="E238" s="415">
        <v>214.0</v>
      </c>
      <c r="F238" s="415">
        <v>118.65</v>
      </c>
      <c r="G238" s="415">
        <v>38.6</v>
      </c>
      <c r="H238" s="415">
        <v>2.0</v>
      </c>
      <c r="I238" s="415">
        <v>1800.0</v>
      </c>
      <c r="J238" s="415">
        <v>8.0</v>
      </c>
      <c r="K238" s="415">
        <v>120.0</v>
      </c>
      <c r="L238" s="415">
        <v>6.0</v>
      </c>
      <c r="M238" s="415">
        <v>2.0</v>
      </c>
      <c r="N238" s="415">
        <v>1.0</v>
      </c>
      <c r="O238" s="415">
        <v>1.0</v>
      </c>
      <c r="P238" s="415" t="s">
        <v>166</v>
      </c>
      <c r="Q238" s="415">
        <v>1.0</v>
      </c>
      <c r="R238" s="415" t="s">
        <v>166</v>
      </c>
      <c r="S238" s="415" t="s">
        <v>166</v>
      </c>
      <c r="T238" s="413"/>
    </row>
    <row r="239">
      <c r="A239" s="412" t="s">
        <v>3401</v>
      </c>
      <c r="B239" s="413" t="s">
        <v>3510</v>
      </c>
      <c r="C239" s="174" t="str">
        <f>HYPERLINK("https://www.gigabyte.com/","Gigabyte")</f>
        <v>Gigabyte</v>
      </c>
      <c r="D239" s="414" t="str">
        <f>HYPERLINK("https://www.gigabyte.com/Graphics-Card/GV-N1660IXOC-6GD#kf","Mini ITX OC")</f>
        <v>Mini ITX OC</v>
      </c>
      <c r="E239" s="415">
        <v>170.0</v>
      </c>
      <c r="F239" s="415">
        <v>121.2</v>
      </c>
      <c r="G239" s="415">
        <v>36.5</v>
      </c>
      <c r="H239" s="415">
        <v>2.0</v>
      </c>
      <c r="I239" s="415">
        <v>1800.0</v>
      </c>
      <c r="J239" s="415">
        <v>8.0</v>
      </c>
      <c r="K239" s="415">
        <v>120.0</v>
      </c>
      <c r="L239" s="415">
        <v>8.0</v>
      </c>
      <c r="M239" s="415">
        <v>1.0</v>
      </c>
      <c r="N239" s="415">
        <v>3.0</v>
      </c>
      <c r="O239" s="415">
        <v>1.0</v>
      </c>
      <c r="P239" s="415" t="s">
        <v>166</v>
      </c>
      <c r="Q239" s="415" t="s">
        <v>166</v>
      </c>
      <c r="R239" s="415" t="s">
        <v>166</v>
      </c>
      <c r="S239" s="415" t="s">
        <v>166</v>
      </c>
      <c r="T239" s="413"/>
    </row>
    <row r="240">
      <c r="A240" s="412" t="s">
        <v>3401</v>
      </c>
      <c r="B240" s="413" t="s">
        <v>3510</v>
      </c>
      <c r="C240" s="416" t="str">
        <f t="shared" ref="C240:C241" si="44">HYPERLINK("http://www.inno3d.com/","Inno3D")</f>
        <v>Inno3D</v>
      </c>
      <c r="D240" s="414" t="s">
        <v>3418</v>
      </c>
      <c r="E240" s="415">
        <v>188.0</v>
      </c>
      <c r="F240" s="415">
        <v>115.0</v>
      </c>
      <c r="G240" s="415">
        <v>40.0</v>
      </c>
      <c r="H240" s="415">
        <v>2.0</v>
      </c>
      <c r="I240" s="415">
        <v>1785.0</v>
      </c>
      <c r="J240" s="415">
        <v>8.0</v>
      </c>
      <c r="K240" s="415">
        <v>120.0</v>
      </c>
      <c r="L240" s="415">
        <v>8.0</v>
      </c>
      <c r="M240" s="415">
        <v>1.0</v>
      </c>
      <c r="N240" s="415">
        <v>3.0</v>
      </c>
      <c r="O240" s="415">
        <v>1.0</v>
      </c>
      <c r="P240" s="415" t="s">
        <v>166</v>
      </c>
      <c r="Q240" s="415" t="s">
        <v>166</v>
      </c>
      <c r="R240" s="415" t="s">
        <v>166</v>
      </c>
      <c r="S240" s="415" t="s">
        <v>166</v>
      </c>
      <c r="T240" s="413"/>
    </row>
    <row r="241">
      <c r="A241" s="412" t="s">
        <v>3401</v>
      </c>
      <c r="B241" s="413" t="s">
        <v>3510</v>
      </c>
      <c r="C241" s="416" t="str">
        <f t="shared" si="44"/>
        <v>Inno3D</v>
      </c>
      <c r="D241" s="414" t="s">
        <v>3516</v>
      </c>
      <c r="E241" s="415">
        <v>196.0</v>
      </c>
      <c r="F241" s="415">
        <v>113.0</v>
      </c>
      <c r="G241" s="415">
        <v>40.0</v>
      </c>
      <c r="H241" s="415">
        <v>2.0</v>
      </c>
      <c r="I241" s="415">
        <v>1785.0</v>
      </c>
      <c r="J241" s="415">
        <v>8.0</v>
      </c>
      <c r="K241" s="415">
        <v>120.0</v>
      </c>
      <c r="L241" s="415">
        <v>8.0</v>
      </c>
      <c r="M241" s="415">
        <v>2.0</v>
      </c>
      <c r="N241" s="415">
        <v>3.0</v>
      </c>
      <c r="O241" s="415">
        <v>1.0</v>
      </c>
      <c r="P241" s="415" t="s">
        <v>166</v>
      </c>
      <c r="Q241" s="415" t="s">
        <v>166</v>
      </c>
      <c r="R241" s="415" t="s">
        <v>166</v>
      </c>
      <c r="S241" s="415" t="s">
        <v>166</v>
      </c>
      <c r="T241" s="413"/>
    </row>
    <row r="242">
      <c r="A242" s="412" t="s">
        <v>3401</v>
      </c>
      <c r="B242" s="413" t="s">
        <v>3510</v>
      </c>
      <c r="C242" s="323" t="s">
        <v>3419</v>
      </c>
      <c r="D242" s="414" t="s">
        <v>3517</v>
      </c>
      <c r="E242" s="415">
        <v>160.0</v>
      </c>
      <c r="F242" s="415">
        <v>125.0</v>
      </c>
      <c r="G242" s="415">
        <v>41.0</v>
      </c>
      <c r="H242" s="415">
        <v>2.0</v>
      </c>
      <c r="I242" s="415">
        <v>1785.0</v>
      </c>
      <c r="J242" s="415">
        <v>8.0</v>
      </c>
      <c r="K242" s="415">
        <v>120.0</v>
      </c>
      <c r="L242" s="415">
        <v>8.0</v>
      </c>
      <c r="M242" s="415">
        <v>1.0</v>
      </c>
      <c r="N242" s="415">
        <v>1.0</v>
      </c>
      <c r="O242" s="415">
        <v>1.0</v>
      </c>
      <c r="P242" s="415" t="s">
        <v>166</v>
      </c>
      <c r="Q242" s="415">
        <v>1.0</v>
      </c>
      <c r="R242" s="415" t="s">
        <v>166</v>
      </c>
      <c r="S242" s="415" t="s">
        <v>166</v>
      </c>
      <c r="T242" s="413"/>
    </row>
    <row r="243">
      <c r="A243" s="412" t="s">
        <v>3401</v>
      </c>
      <c r="B243" s="413" t="s">
        <v>3510</v>
      </c>
      <c r="C243" s="174" t="str">
        <f t="shared" ref="C243:C248" si="45">HYPERLINK("https://www.msi.com/index.php","MSI")</f>
        <v>MSI</v>
      </c>
      <c r="D243" s="414" t="s">
        <v>3375</v>
      </c>
      <c r="E243" s="415">
        <v>178.0</v>
      </c>
      <c r="F243" s="415">
        <v>126.0</v>
      </c>
      <c r="G243" s="415">
        <v>41.0</v>
      </c>
      <c r="H243" s="415">
        <v>2.0</v>
      </c>
      <c r="I243" s="415">
        <v>1785.0</v>
      </c>
      <c r="J243" s="415">
        <v>8.0</v>
      </c>
      <c r="K243" s="415">
        <v>120.0</v>
      </c>
      <c r="L243" s="415">
        <v>8.0</v>
      </c>
      <c r="M243" s="415">
        <v>1.0</v>
      </c>
      <c r="N243" s="415">
        <v>1.0</v>
      </c>
      <c r="O243" s="415">
        <v>1.0</v>
      </c>
      <c r="P243" s="415" t="s">
        <v>166</v>
      </c>
      <c r="Q243" s="415">
        <v>1.0</v>
      </c>
      <c r="R243" s="415" t="s">
        <v>166</v>
      </c>
      <c r="S243" s="415" t="s">
        <v>166</v>
      </c>
      <c r="T243" s="413"/>
    </row>
    <row r="244">
      <c r="A244" s="412" t="s">
        <v>3401</v>
      </c>
      <c r="B244" s="413" t="s">
        <v>3510</v>
      </c>
      <c r="C244" s="174" t="str">
        <f t="shared" si="45"/>
        <v>MSI</v>
      </c>
      <c r="D244" s="414" t="s">
        <v>3434</v>
      </c>
      <c r="E244" s="415">
        <v>178.0</v>
      </c>
      <c r="F244" s="415">
        <v>126.0</v>
      </c>
      <c r="G244" s="415">
        <v>41.0</v>
      </c>
      <c r="H244" s="415">
        <v>2.0</v>
      </c>
      <c r="I244" s="415">
        <v>1830.0</v>
      </c>
      <c r="J244" s="415">
        <v>8.0</v>
      </c>
      <c r="K244" s="415">
        <v>120.0</v>
      </c>
      <c r="L244" s="415">
        <v>8.0</v>
      </c>
      <c r="M244" s="415">
        <v>1.0</v>
      </c>
      <c r="N244" s="415">
        <v>1.0</v>
      </c>
      <c r="O244" s="415">
        <v>1.0</v>
      </c>
      <c r="P244" s="415" t="s">
        <v>166</v>
      </c>
      <c r="Q244" s="415">
        <v>1.0</v>
      </c>
      <c r="R244" s="415" t="s">
        <v>166</v>
      </c>
      <c r="S244" s="415" t="s">
        <v>166</v>
      </c>
      <c r="T244" s="413"/>
    </row>
    <row r="245">
      <c r="A245" s="412" t="s">
        <v>3401</v>
      </c>
      <c r="B245" s="413" t="s">
        <v>3510</v>
      </c>
      <c r="C245" s="174" t="str">
        <f t="shared" si="45"/>
        <v>MSI</v>
      </c>
      <c r="D245" s="414" t="s">
        <v>3497</v>
      </c>
      <c r="E245" s="415">
        <v>204.0</v>
      </c>
      <c r="F245" s="415">
        <v>128.0</v>
      </c>
      <c r="G245" s="415">
        <v>42.0</v>
      </c>
      <c r="H245" s="415">
        <v>2.0</v>
      </c>
      <c r="I245" s="415">
        <v>1785.0</v>
      </c>
      <c r="J245" s="415">
        <v>8.0</v>
      </c>
      <c r="K245" s="415">
        <v>120.0</v>
      </c>
      <c r="L245" s="415">
        <v>8.0</v>
      </c>
      <c r="M245" s="415">
        <v>2.0</v>
      </c>
      <c r="N245" s="415">
        <v>3.0</v>
      </c>
      <c r="O245" s="415">
        <v>1.0</v>
      </c>
      <c r="P245" s="415" t="s">
        <v>166</v>
      </c>
      <c r="Q245" s="415" t="s">
        <v>166</v>
      </c>
      <c r="R245" s="415" t="s">
        <v>166</v>
      </c>
      <c r="S245" s="415" t="s">
        <v>166</v>
      </c>
      <c r="T245" s="413"/>
    </row>
    <row r="246">
      <c r="A246" s="412" t="s">
        <v>3401</v>
      </c>
      <c r="B246" s="413" t="s">
        <v>3510</v>
      </c>
      <c r="C246" s="174" t="str">
        <f t="shared" si="45"/>
        <v>MSI</v>
      </c>
      <c r="D246" s="414" t="s">
        <v>3498</v>
      </c>
      <c r="E246" s="415">
        <v>204.0</v>
      </c>
      <c r="F246" s="415">
        <v>128.0</v>
      </c>
      <c r="G246" s="415">
        <v>42.0</v>
      </c>
      <c r="H246" s="415">
        <v>2.0</v>
      </c>
      <c r="I246" s="415">
        <v>1830.0</v>
      </c>
      <c r="J246" s="415">
        <v>8.0</v>
      </c>
      <c r="K246" s="415">
        <v>120.0</v>
      </c>
      <c r="L246" s="415">
        <v>8.0</v>
      </c>
      <c r="M246" s="415">
        <v>2.0</v>
      </c>
      <c r="N246" s="415">
        <v>3.0</v>
      </c>
      <c r="O246" s="415">
        <v>1.0</v>
      </c>
      <c r="P246" s="415" t="s">
        <v>166</v>
      </c>
      <c r="Q246" s="415" t="s">
        <v>166</v>
      </c>
      <c r="R246" s="415" t="s">
        <v>166</v>
      </c>
      <c r="S246" s="415" t="s">
        <v>166</v>
      </c>
      <c r="T246" s="413"/>
    </row>
    <row r="247">
      <c r="A247" s="428" t="s">
        <v>3401</v>
      </c>
      <c r="B247" s="429" t="s">
        <v>3510</v>
      </c>
      <c r="C247" s="454" t="str">
        <f t="shared" si="45"/>
        <v>MSI</v>
      </c>
      <c r="D247" s="414" t="s">
        <v>3499</v>
      </c>
      <c r="E247" s="458">
        <v>204.0</v>
      </c>
      <c r="F247" s="459">
        <v>128.0</v>
      </c>
      <c r="G247" s="431">
        <v>42.0</v>
      </c>
      <c r="H247" s="415">
        <v>2.0</v>
      </c>
      <c r="I247" s="415">
        <v>1785.0</v>
      </c>
      <c r="J247" s="309">
        <v>8.0</v>
      </c>
      <c r="K247" s="450">
        <v>120.0</v>
      </c>
      <c r="L247" s="307">
        <v>8.0</v>
      </c>
      <c r="M247" s="307">
        <v>2.0</v>
      </c>
      <c r="N247" s="307">
        <v>3.0</v>
      </c>
      <c r="O247" s="307">
        <v>1.0</v>
      </c>
      <c r="P247" s="307" t="s">
        <v>166</v>
      </c>
      <c r="Q247" s="307" t="s">
        <v>166</v>
      </c>
      <c r="R247" s="451" t="s">
        <v>166</v>
      </c>
      <c r="S247" s="451" t="s">
        <v>166</v>
      </c>
      <c r="T247" s="413"/>
    </row>
    <row r="248">
      <c r="A248" s="428" t="s">
        <v>3401</v>
      </c>
      <c r="B248" s="429" t="s">
        <v>3510</v>
      </c>
      <c r="C248" s="454" t="str">
        <f t="shared" si="45"/>
        <v>MSI</v>
      </c>
      <c r="D248" s="414" t="s">
        <v>3500</v>
      </c>
      <c r="E248" s="458">
        <v>204.0</v>
      </c>
      <c r="F248" s="459">
        <v>128.0</v>
      </c>
      <c r="G248" s="431">
        <v>42.0</v>
      </c>
      <c r="H248" s="415">
        <v>2.0</v>
      </c>
      <c r="I248" s="415">
        <v>1830.0</v>
      </c>
      <c r="J248" s="309">
        <v>8.0</v>
      </c>
      <c r="K248" s="450">
        <v>120.0</v>
      </c>
      <c r="L248" s="307">
        <v>8.0</v>
      </c>
      <c r="M248" s="307">
        <v>2.0</v>
      </c>
      <c r="N248" s="307">
        <v>3.0</v>
      </c>
      <c r="O248" s="307">
        <v>1.0</v>
      </c>
      <c r="P248" s="307" t="s">
        <v>166</v>
      </c>
      <c r="Q248" s="307" t="s">
        <v>166</v>
      </c>
      <c r="R248" s="451" t="s">
        <v>166</v>
      </c>
      <c r="S248" s="451" t="s">
        <v>166</v>
      </c>
      <c r="T248" s="413"/>
    </row>
    <row r="249">
      <c r="A249" s="412" t="s">
        <v>3401</v>
      </c>
      <c r="B249" s="413" t="s">
        <v>3510</v>
      </c>
      <c r="C249" s="416" t="str">
        <f t="shared" ref="C249:C250" si="46">HYPERLINK("http://www.palit.com/palit/index.php?lang=en","Palit")</f>
        <v>Palit</v>
      </c>
      <c r="D249" s="414" t="str">
        <f>HYPERLINK("http://www.palit.com/palit/vgapro.php?id=3209&amp;lang=en","StormX")</f>
        <v>StormX</v>
      </c>
      <c r="E249" s="415">
        <v>168.0</v>
      </c>
      <c r="F249" s="415">
        <v>122.0</v>
      </c>
      <c r="G249" s="415">
        <v>40.0</v>
      </c>
      <c r="H249" s="415">
        <v>2.0</v>
      </c>
      <c r="I249" s="415">
        <v>1785.0</v>
      </c>
      <c r="J249" s="415">
        <v>8.0</v>
      </c>
      <c r="K249" s="415">
        <v>120.0</v>
      </c>
      <c r="L249" s="415">
        <v>8.0</v>
      </c>
      <c r="M249" s="415">
        <v>1.0</v>
      </c>
      <c r="N249" s="415">
        <v>1.0</v>
      </c>
      <c r="O249" s="415">
        <v>1.0</v>
      </c>
      <c r="P249" s="415" t="s">
        <v>166</v>
      </c>
      <c r="Q249" s="415">
        <v>1.0</v>
      </c>
      <c r="R249" s="415" t="s">
        <v>166</v>
      </c>
      <c r="S249" s="415" t="s">
        <v>166</v>
      </c>
      <c r="T249" s="413"/>
    </row>
    <row r="250">
      <c r="A250" s="412" t="s">
        <v>3401</v>
      </c>
      <c r="B250" s="413" t="s">
        <v>3510</v>
      </c>
      <c r="C250" s="416" t="str">
        <f t="shared" si="46"/>
        <v>Palit</v>
      </c>
      <c r="D250" s="414" t="s">
        <v>3463</v>
      </c>
      <c r="E250" s="415">
        <v>168.0</v>
      </c>
      <c r="F250" s="415">
        <v>122.0</v>
      </c>
      <c r="G250" s="415">
        <v>40.0</v>
      </c>
      <c r="H250" s="415">
        <v>2.0</v>
      </c>
      <c r="I250" s="415">
        <v>1830.0</v>
      </c>
      <c r="J250" s="415">
        <v>8.0</v>
      </c>
      <c r="K250" s="415">
        <v>120.0</v>
      </c>
      <c r="L250" s="415">
        <v>8.0</v>
      </c>
      <c r="M250" s="415">
        <v>1.0</v>
      </c>
      <c r="N250" s="415">
        <v>1.0</v>
      </c>
      <c r="O250" s="415">
        <v>1.0</v>
      </c>
      <c r="P250" s="415" t="s">
        <v>166</v>
      </c>
      <c r="Q250" s="415">
        <v>1.0</v>
      </c>
      <c r="R250" s="415" t="s">
        <v>166</v>
      </c>
      <c r="S250" s="415" t="s">
        <v>166</v>
      </c>
      <c r="T250" s="413"/>
    </row>
    <row r="251">
      <c r="A251" s="412" t="s">
        <v>3401</v>
      </c>
      <c r="B251" s="413" t="s">
        <v>3510</v>
      </c>
      <c r="C251" s="416" t="str">
        <f t="shared" ref="C251:C253" si="47">HYPERLINK("http://zotac.com/","ZOTAC")</f>
        <v>ZOTAC</v>
      </c>
      <c r="D251" s="414" t="s">
        <v>3518</v>
      </c>
      <c r="E251" s="415">
        <v>173.4</v>
      </c>
      <c r="F251" s="415">
        <v>111.15</v>
      </c>
      <c r="G251" s="415">
        <v>35.3</v>
      </c>
      <c r="H251" s="415">
        <v>2.0</v>
      </c>
      <c r="I251" s="415">
        <v>1785.0</v>
      </c>
      <c r="J251" s="415">
        <v>8.0</v>
      </c>
      <c r="K251" s="415">
        <v>120.0</v>
      </c>
      <c r="L251" s="415">
        <v>8.0</v>
      </c>
      <c r="M251" s="415">
        <v>2.0</v>
      </c>
      <c r="N251" s="415">
        <v>3.0</v>
      </c>
      <c r="O251" s="415">
        <v>1.0</v>
      </c>
      <c r="P251" s="415" t="s">
        <v>166</v>
      </c>
      <c r="Q251" s="415" t="s">
        <v>166</v>
      </c>
      <c r="R251" s="415" t="s">
        <v>166</v>
      </c>
      <c r="S251" s="415" t="s">
        <v>166</v>
      </c>
      <c r="T251" s="413"/>
    </row>
    <row r="252">
      <c r="A252" s="412" t="s">
        <v>3401</v>
      </c>
      <c r="B252" s="413" t="s">
        <v>3510</v>
      </c>
      <c r="C252" s="416" t="str">
        <f t="shared" si="47"/>
        <v>ZOTAC</v>
      </c>
      <c r="D252" s="414" t="str">
        <f>HYPERLINK("https://www.zotac.com/product/graphics_card/zotac-gaming-geforce-gtx-1660-twin-fan","Twin Fan")</f>
        <v>Twin Fan</v>
      </c>
      <c r="E252" s="415">
        <v>215.9</v>
      </c>
      <c r="F252" s="415">
        <v>111.15</v>
      </c>
      <c r="G252" s="415">
        <v>35.3</v>
      </c>
      <c r="H252" s="415">
        <v>2.0</v>
      </c>
      <c r="I252" s="415">
        <v>1785.0</v>
      </c>
      <c r="J252" s="415">
        <v>8.0</v>
      </c>
      <c r="K252" s="415">
        <v>120.0</v>
      </c>
      <c r="L252" s="415">
        <v>8.0</v>
      </c>
      <c r="M252" s="415">
        <v>2.0</v>
      </c>
      <c r="N252" s="415">
        <v>3.0</v>
      </c>
      <c r="O252" s="415">
        <v>1.0</v>
      </c>
      <c r="P252" s="415" t="s">
        <v>166</v>
      </c>
      <c r="Q252" s="415" t="s">
        <v>166</v>
      </c>
      <c r="R252" s="415" t="s">
        <v>166</v>
      </c>
      <c r="S252" s="415" t="s">
        <v>166</v>
      </c>
      <c r="T252" s="413"/>
    </row>
    <row r="253">
      <c r="A253" s="401" t="s">
        <v>3401</v>
      </c>
      <c r="B253" s="402" t="s">
        <v>3510</v>
      </c>
      <c r="C253" s="403" t="str">
        <f t="shared" si="47"/>
        <v>ZOTAC</v>
      </c>
      <c r="D253" s="404" t="str">
        <f>HYPERLINK("https://www.zotac.com/product/graphics_card/zotac-gaming-geforce-gtx-1660-amp-6gb-gddr5","AMP")</f>
        <v>AMP</v>
      </c>
      <c r="E253" s="405">
        <v>209.6</v>
      </c>
      <c r="F253" s="405">
        <v>119.3</v>
      </c>
      <c r="G253" s="405">
        <v>41.0</v>
      </c>
      <c r="H253" s="405">
        <v>2.0</v>
      </c>
      <c r="I253" s="405">
        <v>1845.0</v>
      </c>
      <c r="J253" s="405">
        <v>8.0</v>
      </c>
      <c r="K253" s="405">
        <v>130.0</v>
      </c>
      <c r="L253" s="405">
        <v>8.0</v>
      </c>
      <c r="M253" s="405">
        <v>2.0</v>
      </c>
      <c r="N253" s="405">
        <v>3.0</v>
      </c>
      <c r="O253" s="405">
        <v>1.0</v>
      </c>
      <c r="P253" s="405" t="s">
        <v>166</v>
      </c>
      <c r="Q253" s="405" t="s">
        <v>166</v>
      </c>
      <c r="R253" s="405" t="s">
        <v>166</v>
      </c>
      <c r="S253" s="405" t="s">
        <v>166</v>
      </c>
      <c r="T253" s="402"/>
    </row>
    <row r="254">
      <c r="A254" s="409" t="s">
        <v>3401</v>
      </c>
      <c r="B254" s="410" t="s">
        <v>3519</v>
      </c>
      <c r="C254" s="282" t="str">
        <f t="shared" ref="C254:C259" si="48">HYPERLINK("https://www.asus.com/","Asus")</f>
        <v>Asus</v>
      </c>
      <c r="D254" s="312" t="s">
        <v>3371</v>
      </c>
      <c r="E254" s="411">
        <v>174.0</v>
      </c>
      <c r="F254" s="411">
        <v>121.0</v>
      </c>
      <c r="G254" s="411">
        <v>39.0</v>
      </c>
      <c r="H254" s="411">
        <v>2.0</v>
      </c>
      <c r="I254" s="411">
        <v>1815.0</v>
      </c>
      <c r="J254" s="411">
        <v>14.0</v>
      </c>
      <c r="K254" s="411">
        <v>125.0</v>
      </c>
      <c r="L254" s="411">
        <v>8.0</v>
      </c>
      <c r="M254" s="411">
        <v>1.0</v>
      </c>
      <c r="N254" s="411">
        <v>1.0</v>
      </c>
      <c r="O254" s="411">
        <v>1.0</v>
      </c>
      <c r="P254" s="411" t="s">
        <v>166</v>
      </c>
      <c r="Q254" s="411">
        <v>1.0</v>
      </c>
      <c r="R254" s="411" t="s">
        <v>166</v>
      </c>
      <c r="S254" s="411" t="s">
        <v>166</v>
      </c>
      <c r="T254" s="410"/>
    </row>
    <row r="255">
      <c r="A255" s="412" t="s">
        <v>3401</v>
      </c>
      <c r="B255" s="413" t="s">
        <v>3519</v>
      </c>
      <c r="C255" s="174" t="str">
        <f t="shared" si="48"/>
        <v>Asus</v>
      </c>
      <c r="D255" s="414" t="s">
        <v>3469</v>
      </c>
      <c r="E255" s="415">
        <v>174.0</v>
      </c>
      <c r="F255" s="415">
        <v>121.0</v>
      </c>
      <c r="G255" s="415">
        <v>39.0</v>
      </c>
      <c r="H255" s="415">
        <v>2.0</v>
      </c>
      <c r="I255" s="415">
        <v>1830.0</v>
      </c>
      <c r="J255" s="415">
        <v>14.0</v>
      </c>
      <c r="K255" s="415">
        <v>125.0</v>
      </c>
      <c r="L255" s="415">
        <v>8.0</v>
      </c>
      <c r="M255" s="415">
        <v>1.0</v>
      </c>
      <c r="N255" s="415">
        <v>1.0</v>
      </c>
      <c r="O255" s="415">
        <v>1.0</v>
      </c>
      <c r="P255" s="415" t="s">
        <v>166</v>
      </c>
      <c r="Q255" s="415">
        <v>1.0</v>
      </c>
      <c r="R255" s="415" t="s">
        <v>166</v>
      </c>
      <c r="S255" s="415" t="s">
        <v>166</v>
      </c>
      <c r="T255" s="413"/>
    </row>
    <row r="256">
      <c r="A256" s="412" t="s">
        <v>3401</v>
      </c>
      <c r="B256" s="413" t="s">
        <v>3519</v>
      </c>
      <c r="C256" s="174" t="str">
        <f t="shared" si="48"/>
        <v>Asus</v>
      </c>
      <c r="D256" s="414" t="s">
        <v>3477</v>
      </c>
      <c r="E256" s="415">
        <v>206.0</v>
      </c>
      <c r="F256" s="415">
        <v>124.0</v>
      </c>
      <c r="G256" s="415">
        <v>46.0</v>
      </c>
      <c r="H256" s="415">
        <v>2.0</v>
      </c>
      <c r="I256" s="415">
        <v>1815.0</v>
      </c>
      <c r="J256" s="415">
        <v>14.0</v>
      </c>
      <c r="K256" s="415">
        <v>125.0</v>
      </c>
      <c r="L256" s="415">
        <v>8.0</v>
      </c>
      <c r="M256" s="415">
        <v>2.0</v>
      </c>
      <c r="N256" s="415">
        <v>1.0</v>
      </c>
      <c r="O256" s="415">
        <v>1.0</v>
      </c>
      <c r="P256" s="415" t="s">
        <v>166</v>
      </c>
      <c r="Q256" s="415">
        <v>1.0</v>
      </c>
      <c r="R256" s="415" t="s">
        <v>166</v>
      </c>
      <c r="S256" s="415" t="s">
        <v>166</v>
      </c>
      <c r="T256" s="413"/>
    </row>
    <row r="257">
      <c r="A257" s="412" t="s">
        <v>3401</v>
      </c>
      <c r="B257" s="413" t="s">
        <v>3519</v>
      </c>
      <c r="C257" s="174" t="str">
        <f t="shared" si="48"/>
        <v>Asus</v>
      </c>
      <c r="D257" s="414" t="s">
        <v>3478</v>
      </c>
      <c r="E257" s="415">
        <v>206.0</v>
      </c>
      <c r="F257" s="415">
        <v>124.0</v>
      </c>
      <c r="G257" s="415">
        <v>46.0</v>
      </c>
      <c r="H257" s="415">
        <v>2.0</v>
      </c>
      <c r="I257" s="415">
        <v>1845.0</v>
      </c>
      <c r="J257" s="415">
        <v>14.0</v>
      </c>
      <c r="K257" s="415">
        <v>125.0</v>
      </c>
      <c r="L257" s="415">
        <v>8.0</v>
      </c>
      <c r="M257" s="415">
        <v>2.0</v>
      </c>
      <c r="N257" s="415">
        <v>1.0</v>
      </c>
      <c r="O257" s="415">
        <v>1.0</v>
      </c>
      <c r="P257" s="415" t="s">
        <v>166</v>
      </c>
      <c r="Q257" s="415">
        <v>1.0</v>
      </c>
      <c r="R257" s="415" t="s">
        <v>166</v>
      </c>
      <c r="S257" s="415" t="s">
        <v>166</v>
      </c>
      <c r="T257" s="413"/>
    </row>
    <row r="258">
      <c r="A258" s="412" t="s">
        <v>3401</v>
      </c>
      <c r="B258" s="413" t="s">
        <v>3519</v>
      </c>
      <c r="C258" s="174" t="str">
        <f t="shared" si="48"/>
        <v>Asus</v>
      </c>
      <c r="D258" s="414" t="s">
        <v>3520</v>
      </c>
      <c r="E258" s="415">
        <v>197.0</v>
      </c>
      <c r="F258" s="415">
        <v>121.0</v>
      </c>
      <c r="G258" s="415">
        <v>39.0</v>
      </c>
      <c r="H258" s="415">
        <v>2.0</v>
      </c>
      <c r="I258" s="415">
        <v>1815.0</v>
      </c>
      <c r="J258" s="415">
        <v>14.0</v>
      </c>
      <c r="K258" s="415">
        <v>125.0</v>
      </c>
      <c r="L258" s="415">
        <v>8.0</v>
      </c>
      <c r="M258" s="415">
        <v>2.0</v>
      </c>
      <c r="N258" s="415">
        <v>1.0</v>
      </c>
      <c r="O258" s="415">
        <v>1.0</v>
      </c>
      <c r="P258" s="415" t="s">
        <v>166</v>
      </c>
      <c r="Q258" s="415">
        <v>1.0</v>
      </c>
      <c r="R258" s="415" t="s">
        <v>166</v>
      </c>
      <c r="S258" s="415" t="s">
        <v>166</v>
      </c>
      <c r="T258" s="413"/>
    </row>
    <row r="259">
      <c r="A259" s="412" t="s">
        <v>3401</v>
      </c>
      <c r="B259" s="413" t="s">
        <v>3519</v>
      </c>
      <c r="C259" s="174" t="str">
        <f t="shared" si="48"/>
        <v>Asus</v>
      </c>
      <c r="D259" s="414" t="s">
        <v>3521</v>
      </c>
      <c r="E259" s="415">
        <v>197.0</v>
      </c>
      <c r="F259" s="415">
        <v>121.0</v>
      </c>
      <c r="G259" s="415">
        <v>39.0</v>
      </c>
      <c r="H259" s="415">
        <v>2.0</v>
      </c>
      <c r="I259" s="415">
        <v>1860.0</v>
      </c>
      <c r="J259" s="415">
        <v>14.0</v>
      </c>
      <c r="K259" s="415">
        <v>125.0</v>
      </c>
      <c r="L259" s="415">
        <v>8.0</v>
      </c>
      <c r="M259" s="415">
        <v>2.0</v>
      </c>
      <c r="N259" s="415">
        <v>1.0</v>
      </c>
      <c r="O259" s="415">
        <v>1.0</v>
      </c>
      <c r="P259" s="415" t="s">
        <v>166</v>
      </c>
      <c r="Q259" s="415">
        <v>1.0</v>
      </c>
      <c r="R259" s="415" t="s">
        <v>166</v>
      </c>
      <c r="S259" s="415" t="s">
        <v>166</v>
      </c>
      <c r="T259" s="413"/>
    </row>
    <row r="260">
      <c r="A260" s="412" t="s">
        <v>3401</v>
      </c>
      <c r="B260" s="413" t="s">
        <v>3519</v>
      </c>
      <c r="C260" s="174" t="str">
        <f t="shared" ref="C260:C262" si="49">HYPERLINK("https://www.evga.com/","EVGA")</f>
        <v>EVGA</v>
      </c>
      <c r="D260" s="414" t="s">
        <v>3512</v>
      </c>
      <c r="E260" s="415">
        <v>189.89</v>
      </c>
      <c r="F260" s="415">
        <v>111.37</v>
      </c>
      <c r="G260" s="415">
        <v>55.0</v>
      </c>
      <c r="H260" s="415">
        <v>3.0</v>
      </c>
      <c r="I260" s="415">
        <v>1785.0</v>
      </c>
      <c r="J260" s="415">
        <v>14.0</v>
      </c>
      <c r="K260" s="415">
        <v>125.0</v>
      </c>
      <c r="L260" s="415">
        <v>8.0</v>
      </c>
      <c r="M260" s="415">
        <v>1.0</v>
      </c>
      <c r="N260" s="415">
        <v>1.0</v>
      </c>
      <c r="O260" s="415">
        <v>1.0</v>
      </c>
      <c r="P260" s="415" t="s">
        <v>166</v>
      </c>
      <c r="Q260" s="415">
        <v>1.0</v>
      </c>
      <c r="R260" s="415" t="s">
        <v>166</v>
      </c>
      <c r="S260" s="415" t="s">
        <v>166</v>
      </c>
      <c r="T260" s="413"/>
    </row>
    <row r="261">
      <c r="A261" s="412" t="s">
        <v>3401</v>
      </c>
      <c r="B261" s="413" t="s">
        <v>3519</v>
      </c>
      <c r="C261" s="174" t="str">
        <f t="shared" si="49"/>
        <v>EVGA</v>
      </c>
      <c r="D261" s="414" t="s">
        <v>3486</v>
      </c>
      <c r="E261" s="415">
        <v>202.1</v>
      </c>
      <c r="F261" s="415">
        <v>111.15</v>
      </c>
      <c r="G261" s="415">
        <v>40.0</v>
      </c>
      <c r="H261" s="415">
        <v>2.0</v>
      </c>
      <c r="I261" s="415">
        <v>1785.0</v>
      </c>
      <c r="J261" s="415">
        <v>14.0</v>
      </c>
      <c r="K261" s="415">
        <v>125.0</v>
      </c>
      <c r="L261" s="415">
        <v>8.0</v>
      </c>
      <c r="M261" s="415">
        <v>2.0</v>
      </c>
      <c r="N261" s="415">
        <v>1.0</v>
      </c>
      <c r="O261" s="415">
        <v>1.0</v>
      </c>
      <c r="P261" s="415" t="s">
        <v>166</v>
      </c>
      <c r="Q261" s="415">
        <v>1.0</v>
      </c>
      <c r="R261" s="415" t="s">
        <v>166</v>
      </c>
      <c r="S261" s="415" t="s">
        <v>166</v>
      </c>
      <c r="T261" s="413"/>
    </row>
    <row r="262">
      <c r="A262" s="412" t="s">
        <v>3401</v>
      </c>
      <c r="B262" s="413" t="s">
        <v>3519</v>
      </c>
      <c r="C262" s="174" t="str">
        <f t="shared" si="49"/>
        <v>EVGA</v>
      </c>
      <c r="D262" s="414" t="s">
        <v>3487</v>
      </c>
      <c r="E262" s="415">
        <v>202.1</v>
      </c>
      <c r="F262" s="415">
        <v>111.15</v>
      </c>
      <c r="G262" s="415">
        <v>40.0</v>
      </c>
      <c r="H262" s="415">
        <v>2.0</v>
      </c>
      <c r="I262" s="415">
        <v>1830.0</v>
      </c>
      <c r="J262" s="415">
        <v>14.0</v>
      </c>
      <c r="K262" s="415">
        <v>125.0</v>
      </c>
      <c r="L262" s="415">
        <v>8.0</v>
      </c>
      <c r="M262" s="415">
        <v>2.0</v>
      </c>
      <c r="N262" s="415">
        <v>1.0</v>
      </c>
      <c r="O262" s="415">
        <v>1.0</v>
      </c>
      <c r="P262" s="415" t="s">
        <v>166</v>
      </c>
      <c r="Q262" s="415">
        <v>1.0</v>
      </c>
      <c r="R262" s="415" t="s">
        <v>166</v>
      </c>
      <c r="S262" s="415" t="s">
        <v>166</v>
      </c>
      <c r="T262" s="413"/>
    </row>
    <row r="263">
      <c r="A263" s="412" t="s">
        <v>3401</v>
      </c>
      <c r="B263" s="413" t="s">
        <v>3519</v>
      </c>
      <c r="C263" s="416" t="str">
        <f t="shared" ref="C263:C264" si="50">HYPERLINK("http://www.gainward.com/main/index.php?lang=en","Gainward")</f>
        <v>Gainward</v>
      </c>
      <c r="D263" s="414" t="str">
        <f>HYPERLINK("http://www.gainward.com/main/vgapro.php?id=1073&amp;lang=en","Pegasus")</f>
        <v>Pegasus</v>
      </c>
      <c r="E263" s="415">
        <v>168.0</v>
      </c>
      <c r="F263" s="415">
        <v>126.0</v>
      </c>
      <c r="G263" s="415">
        <v>40.0</v>
      </c>
      <c r="H263" s="415">
        <v>2.0</v>
      </c>
      <c r="I263" s="415">
        <v>1785.0</v>
      </c>
      <c r="J263" s="415">
        <v>14.0</v>
      </c>
      <c r="K263" s="415">
        <v>125.0</v>
      </c>
      <c r="L263" s="415">
        <v>8.0</v>
      </c>
      <c r="M263" s="415">
        <v>1.0</v>
      </c>
      <c r="N263" s="415">
        <v>1.0</v>
      </c>
      <c r="O263" s="415">
        <v>1.0</v>
      </c>
      <c r="P263" s="415" t="s">
        <v>166</v>
      </c>
      <c r="Q263" s="415">
        <v>1.0</v>
      </c>
      <c r="R263" s="415" t="s">
        <v>166</v>
      </c>
      <c r="S263" s="415" t="s">
        <v>166</v>
      </c>
      <c r="T263" s="413"/>
    </row>
    <row r="264">
      <c r="A264" s="412" t="s">
        <v>3401</v>
      </c>
      <c r="B264" s="413" t="s">
        <v>3519</v>
      </c>
      <c r="C264" s="416" t="str">
        <f t="shared" si="50"/>
        <v>Gainward</v>
      </c>
      <c r="D264" s="414" t="s">
        <v>3507</v>
      </c>
      <c r="E264" s="415">
        <v>168.0</v>
      </c>
      <c r="F264" s="415">
        <v>126.0</v>
      </c>
      <c r="G264" s="415">
        <v>40.0</v>
      </c>
      <c r="H264" s="415">
        <v>2.0</v>
      </c>
      <c r="I264" s="415">
        <v>1830.0</v>
      </c>
      <c r="J264" s="415">
        <v>14.0</v>
      </c>
      <c r="K264" s="415">
        <v>125.0</v>
      </c>
      <c r="L264" s="415">
        <v>8.0</v>
      </c>
      <c r="M264" s="415">
        <v>1.0</v>
      </c>
      <c r="N264" s="415">
        <v>1.0</v>
      </c>
      <c r="O264" s="415">
        <v>1.0</v>
      </c>
      <c r="P264" s="415" t="s">
        <v>166</v>
      </c>
      <c r="Q264" s="415">
        <v>1.0</v>
      </c>
      <c r="R264" s="415" t="s">
        <v>166</v>
      </c>
      <c r="S264" s="415" t="s">
        <v>166</v>
      </c>
      <c r="T264" s="413"/>
    </row>
    <row r="265">
      <c r="A265" s="412" t="s">
        <v>3401</v>
      </c>
      <c r="B265" s="413" t="s">
        <v>3519</v>
      </c>
      <c r="C265" s="174" t="s">
        <v>3456</v>
      </c>
      <c r="D265" s="414" t="str">
        <f>HYPERLINK("http://www.galax.com/en/graphics-card/16super-series/galax-geforce-gtx-1660superwhitemini1clickoc.html","ELITE White (1-Click OC)")</f>
        <v>ELITE White (1-Click OC)</v>
      </c>
      <c r="E265" s="415">
        <v>175.0</v>
      </c>
      <c r="F265" s="415">
        <v>111.0</v>
      </c>
      <c r="G265" s="415">
        <v>38.0</v>
      </c>
      <c r="H265" s="415">
        <v>2.0</v>
      </c>
      <c r="I265" s="415">
        <v>1815.0</v>
      </c>
      <c r="J265" s="415">
        <v>14.0</v>
      </c>
      <c r="K265" s="415">
        <v>125.0</v>
      </c>
      <c r="L265" s="415">
        <v>8.0</v>
      </c>
      <c r="M265" s="415">
        <v>2.0</v>
      </c>
      <c r="N265" s="415">
        <v>1.0</v>
      </c>
      <c r="O265" s="415">
        <v>1.0</v>
      </c>
      <c r="P265" s="415" t="s">
        <v>166</v>
      </c>
      <c r="Q265" s="415">
        <v>1.0</v>
      </c>
      <c r="R265" s="415" t="s">
        <v>166</v>
      </c>
      <c r="S265" s="415" t="s">
        <v>166</v>
      </c>
      <c r="T265" s="413"/>
    </row>
    <row r="266">
      <c r="A266" s="412" t="s">
        <v>3401</v>
      </c>
      <c r="B266" s="413" t="s">
        <v>3519</v>
      </c>
      <c r="C266" s="174" t="s">
        <v>3456</v>
      </c>
      <c r="D266" s="414" t="str">
        <f>HYPERLINK("http://www.galax.com/en/graphics-card/16super-series/galax-geforce-gtx-1660super1clickoc.html","(1-Click OC)")</f>
        <v>(1-Click OC)</v>
      </c>
      <c r="E266" s="415">
        <v>214.0</v>
      </c>
      <c r="F266" s="415">
        <v>118.65</v>
      </c>
      <c r="G266" s="415">
        <v>38.6</v>
      </c>
      <c r="H266" s="415">
        <v>2.0</v>
      </c>
      <c r="I266" s="415">
        <v>1815.0</v>
      </c>
      <c r="J266" s="415">
        <v>14.0</v>
      </c>
      <c r="K266" s="415">
        <v>125.0</v>
      </c>
      <c r="L266" s="415">
        <v>8.0</v>
      </c>
      <c r="M266" s="415">
        <v>2.0</v>
      </c>
      <c r="N266" s="415">
        <v>1.0</v>
      </c>
      <c r="O266" s="415">
        <v>1.0</v>
      </c>
      <c r="P266" s="415" t="s">
        <v>166</v>
      </c>
      <c r="Q266" s="415">
        <v>1.0</v>
      </c>
      <c r="R266" s="415" t="s">
        <v>166</v>
      </c>
      <c r="S266" s="415" t="s">
        <v>166</v>
      </c>
      <c r="T266" s="413"/>
    </row>
    <row r="267">
      <c r="A267" s="412" t="s">
        <v>3401</v>
      </c>
      <c r="B267" s="413" t="s">
        <v>3519</v>
      </c>
      <c r="C267" s="174" t="s">
        <v>3456</v>
      </c>
      <c r="D267" s="414" t="s">
        <v>3522</v>
      </c>
      <c r="E267" s="415">
        <v>214.0</v>
      </c>
      <c r="F267" s="415">
        <v>118.65</v>
      </c>
      <c r="G267" s="415">
        <v>38.6</v>
      </c>
      <c r="H267" s="415">
        <v>2.0</v>
      </c>
      <c r="I267" s="415">
        <v>1815.0</v>
      </c>
      <c r="J267" s="415">
        <v>14.0</v>
      </c>
      <c r="K267" s="415">
        <v>125.0</v>
      </c>
      <c r="L267" s="415">
        <v>8.0</v>
      </c>
      <c r="M267" s="415">
        <v>2.0</v>
      </c>
      <c r="N267" s="415">
        <v>1.0</v>
      </c>
      <c r="O267" s="415">
        <v>1.0</v>
      </c>
      <c r="P267" s="415" t="s">
        <v>166</v>
      </c>
      <c r="Q267" s="415">
        <v>1.0</v>
      </c>
      <c r="R267" s="415" t="s">
        <v>166</v>
      </c>
      <c r="S267" s="415" t="s">
        <v>166</v>
      </c>
      <c r="T267" s="413"/>
    </row>
    <row r="268">
      <c r="A268" s="412" t="s">
        <v>3401</v>
      </c>
      <c r="B268" s="413" t="s">
        <v>3519</v>
      </c>
      <c r="C268" s="174" t="str">
        <f t="shared" ref="C268:C269" si="51">HYPERLINK("https://www.gigabyte.com/","Gigabyte")</f>
        <v>Gigabyte</v>
      </c>
      <c r="D268" s="414" t="str">
        <f>HYPERLINK("https://www.gigabyte.com/Graphics-Card/GV-N166SIX-6GD#kf","Mini ITX")</f>
        <v>Mini ITX</v>
      </c>
      <c r="E268" s="415">
        <v>170.0</v>
      </c>
      <c r="F268" s="415">
        <v>121.3</v>
      </c>
      <c r="G268" s="415">
        <v>36.4</v>
      </c>
      <c r="H268" s="415">
        <v>2.0</v>
      </c>
      <c r="I268" s="415">
        <v>1785.0</v>
      </c>
      <c r="J268" s="415">
        <v>14.0</v>
      </c>
      <c r="K268" s="415">
        <v>125.0</v>
      </c>
      <c r="L268" s="415">
        <v>8.0</v>
      </c>
      <c r="M268" s="415">
        <v>1.0</v>
      </c>
      <c r="N268" s="415">
        <v>3.0</v>
      </c>
      <c r="O268" s="415">
        <v>1.0</v>
      </c>
      <c r="P268" s="415" t="s">
        <v>166</v>
      </c>
      <c r="Q268" s="415" t="s">
        <v>166</v>
      </c>
      <c r="R268" s="415" t="s">
        <v>166</v>
      </c>
      <c r="S268" s="415" t="s">
        <v>166</v>
      </c>
      <c r="T268" s="413"/>
    </row>
    <row r="269">
      <c r="A269" s="412" t="s">
        <v>3401</v>
      </c>
      <c r="B269" s="413" t="s">
        <v>3519</v>
      </c>
      <c r="C269" s="174" t="str">
        <f t="shared" si="51"/>
        <v>Gigabyte</v>
      </c>
      <c r="D269" s="414" t="s">
        <v>3445</v>
      </c>
      <c r="E269" s="415">
        <v>170.0</v>
      </c>
      <c r="F269" s="415">
        <v>121.3</v>
      </c>
      <c r="G269" s="415">
        <v>36.4</v>
      </c>
      <c r="H269" s="415">
        <v>2.0</v>
      </c>
      <c r="I269" s="415">
        <v>1800.0</v>
      </c>
      <c r="J269" s="415">
        <v>14.0</v>
      </c>
      <c r="K269" s="415">
        <v>125.0</v>
      </c>
      <c r="L269" s="415">
        <v>8.0</v>
      </c>
      <c r="M269" s="415">
        <v>1.0</v>
      </c>
      <c r="N269" s="415">
        <v>3.0</v>
      </c>
      <c r="O269" s="415">
        <v>1.0</v>
      </c>
      <c r="P269" s="415" t="s">
        <v>166</v>
      </c>
      <c r="Q269" s="415" t="s">
        <v>166</v>
      </c>
      <c r="R269" s="415" t="s">
        <v>166</v>
      </c>
      <c r="S269" s="415" t="s">
        <v>166</v>
      </c>
      <c r="T269" s="413"/>
    </row>
    <row r="270">
      <c r="A270" s="412" t="s">
        <v>3401</v>
      </c>
      <c r="B270" s="413" t="s">
        <v>3519</v>
      </c>
      <c r="C270" s="416" t="str">
        <f>HYPERLINK("http://www.inno3d.com/","Inno3D")</f>
        <v>Inno3D</v>
      </c>
      <c r="D270" s="414" t="s">
        <v>3418</v>
      </c>
      <c r="E270" s="415">
        <v>188.0</v>
      </c>
      <c r="F270" s="415">
        <v>115.0</v>
      </c>
      <c r="G270" s="415">
        <v>40.0</v>
      </c>
      <c r="H270" s="415">
        <v>2.0</v>
      </c>
      <c r="I270" s="415">
        <v>1785.0</v>
      </c>
      <c r="J270" s="415">
        <v>14.0</v>
      </c>
      <c r="K270" s="415">
        <v>125.0</v>
      </c>
      <c r="L270" s="415">
        <v>8.0</v>
      </c>
      <c r="M270" s="415">
        <v>1.0</v>
      </c>
      <c r="N270" s="415">
        <v>3.0</v>
      </c>
      <c r="O270" s="415">
        <v>1.0</v>
      </c>
      <c r="P270" s="415" t="s">
        <v>166</v>
      </c>
      <c r="Q270" s="415" t="s">
        <v>166</v>
      </c>
      <c r="R270" s="415" t="s">
        <v>166</v>
      </c>
      <c r="S270" s="415" t="s">
        <v>166</v>
      </c>
      <c r="T270" s="413"/>
    </row>
    <row r="271">
      <c r="A271" s="412" t="s">
        <v>3401</v>
      </c>
      <c r="B271" s="413" t="s">
        <v>3519</v>
      </c>
      <c r="C271" s="323" t="s">
        <v>3419</v>
      </c>
      <c r="D271" s="414" t="s">
        <v>3523</v>
      </c>
      <c r="E271" s="415">
        <v>160.0</v>
      </c>
      <c r="F271" s="415">
        <v>125.0</v>
      </c>
      <c r="G271" s="415">
        <v>41.0</v>
      </c>
      <c r="H271" s="415">
        <v>2.0</v>
      </c>
      <c r="I271" s="415">
        <v>1785.0</v>
      </c>
      <c r="J271" s="415">
        <v>14.0</v>
      </c>
      <c r="K271" s="415">
        <v>125.0</v>
      </c>
      <c r="L271" s="415">
        <v>8.0</v>
      </c>
      <c r="M271" s="415">
        <v>1.0</v>
      </c>
      <c r="N271" s="415">
        <v>1.0</v>
      </c>
      <c r="O271" s="415">
        <v>1.0</v>
      </c>
      <c r="P271" s="415" t="s">
        <v>166</v>
      </c>
      <c r="Q271" s="415">
        <v>1.0</v>
      </c>
      <c r="R271" s="415" t="s">
        <v>166</v>
      </c>
      <c r="S271" s="415" t="s">
        <v>166</v>
      </c>
      <c r="T271" s="413"/>
    </row>
    <row r="272">
      <c r="A272" s="412" t="s">
        <v>3401</v>
      </c>
      <c r="B272" s="413" t="s">
        <v>3519</v>
      </c>
      <c r="C272" s="174" t="str">
        <f t="shared" ref="C272:C281" si="52">HYPERLINK("https://www.msi.com/index.php","MSI")</f>
        <v>MSI</v>
      </c>
      <c r="D272" s="414" t="s">
        <v>3375</v>
      </c>
      <c r="E272" s="415">
        <v>178.0</v>
      </c>
      <c r="F272" s="415">
        <v>126.0</v>
      </c>
      <c r="G272" s="415">
        <v>41.0</v>
      </c>
      <c r="H272" s="415">
        <v>2.0</v>
      </c>
      <c r="I272" s="415">
        <v>1785.0</v>
      </c>
      <c r="J272" s="415">
        <v>14.0</v>
      </c>
      <c r="K272" s="415">
        <v>125.0</v>
      </c>
      <c r="L272" s="415">
        <v>8.0</v>
      </c>
      <c r="M272" s="415">
        <v>1.0</v>
      </c>
      <c r="N272" s="415">
        <v>1.0</v>
      </c>
      <c r="O272" s="415">
        <v>1.0</v>
      </c>
      <c r="P272" s="415" t="s">
        <v>166</v>
      </c>
      <c r="Q272" s="415">
        <v>1.0</v>
      </c>
      <c r="R272" s="415" t="s">
        <v>166</v>
      </c>
      <c r="S272" s="415" t="s">
        <v>166</v>
      </c>
      <c r="T272" s="413"/>
    </row>
    <row r="273">
      <c r="A273" s="412" t="s">
        <v>3401</v>
      </c>
      <c r="B273" s="413" t="s">
        <v>3519</v>
      </c>
      <c r="C273" s="174" t="str">
        <f t="shared" si="52"/>
        <v>MSI</v>
      </c>
      <c r="D273" s="414" t="s">
        <v>3434</v>
      </c>
      <c r="E273" s="415">
        <v>178.0</v>
      </c>
      <c r="F273" s="415">
        <v>126.0</v>
      </c>
      <c r="G273" s="415">
        <v>41.0</v>
      </c>
      <c r="H273" s="415">
        <v>2.0</v>
      </c>
      <c r="I273" s="415">
        <v>1815.0</v>
      </c>
      <c r="J273" s="415">
        <v>14.0</v>
      </c>
      <c r="K273" s="415">
        <v>125.0</v>
      </c>
      <c r="L273" s="415">
        <v>8.0</v>
      </c>
      <c r="M273" s="415">
        <v>1.0</v>
      </c>
      <c r="N273" s="415">
        <v>1.0</v>
      </c>
      <c r="O273" s="415">
        <v>1.0</v>
      </c>
      <c r="P273" s="415" t="s">
        <v>166</v>
      </c>
      <c r="Q273" s="415">
        <v>1.0</v>
      </c>
      <c r="R273" s="415" t="s">
        <v>166</v>
      </c>
      <c r="S273" s="415" t="s">
        <v>166</v>
      </c>
      <c r="T273" s="413"/>
    </row>
    <row r="274">
      <c r="A274" s="412" t="s">
        <v>3401</v>
      </c>
      <c r="B274" s="413" t="s">
        <v>3519</v>
      </c>
      <c r="C274" s="174" t="str">
        <f t="shared" si="52"/>
        <v>MSI</v>
      </c>
      <c r="D274" s="414" t="s">
        <v>3494</v>
      </c>
      <c r="E274" s="415">
        <v>174.0</v>
      </c>
      <c r="F274" s="415">
        <v>127.0</v>
      </c>
      <c r="G274" s="415">
        <v>43.0</v>
      </c>
      <c r="H274" s="415">
        <v>2.0</v>
      </c>
      <c r="I274" s="415">
        <v>1785.0</v>
      </c>
      <c r="J274" s="415">
        <v>14.0</v>
      </c>
      <c r="K274" s="415">
        <v>125.0</v>
      </c>
      <c r="L274" s="415">
        <v>8.0</v>
      </c>
      <c r="M274" s="415">
        <v>1.0</v>
      </c>
      <c r="N274" s="415">
        <v>3.0</v>
      </c>
      <c r="O274" s="415">
        <v>1.0</v>
      </c>
      <c r="P274" s="415" t="s">
        <v>166</v>
      </c>
      <c r="Q274" s="415" t="s">
        <v>166</v>
      </c>
      <c r="R274" s="415" t="s">
        <v>166</v>
      </c>
      <c r="S274" s="415" t="s">
        <v>166</v>
      </c>
      <c r="T274" s="413"/>
    </row>
    <row r="275">
      <c r="A275" s="412" t="s">
        <v>3401</v>
      </c>
      <c r="B275" s="413" t="s">
        <v>3519</v>
      </c>
      <c r="C275" s="174" t="str">
        <f t="shared" si="52"/>
        <v>MSI</v>
      </c>
      <c r="D275" s="414" t="s">
        <v>3435</v>
      </c>
      <c r="E275" s="415">
        <v>174.0</v>
      </c>
      <c r="F275" s="415">
        <v>127.0</v>
      </c>
      <c r="G275" s="415">
        <v>43.0</v>
      </c>
      <c r="H275" s="415">
        <v>2.0</v>
      </c>
      <c r="I275" s="415">
        <v>1815.0</v>
      </c>
      <c r="J275" s="415">
        <v>14.0</v>
      </c>
      <c r="K275" s="415">
        <v>125.0</v>
      </c>
      <c r="L275" s="415">
        <v>8.0</v>
      </c>
      <c r="M275" s="415">
        <v>1.0</v>
      </c>
      <c r="N275" s="415">
        <v>3.0</v>
      </c>
      <c r="O275" s="415">
        <v>1.0</v>
      </c>
      <c r="P275" s="415" t="s">
        <v>166</v>
      </c>
      <c r="Q275" s="415" t="s">
        <v>166</v>
      </c>
      <c r="R275" s="415" t="s">
        <v>166</v>
      </c>
      <c r="S275" s="415" t="s">
        <v>166</v>
      </c>
      <c r="T275" s="413"/>
    </row>
    <row r="276">
      <c r="A276" s="412" t="s">
        <v>3401</v>
      </c>
      <c r="B276" s="413" t="s">
        <v>3519</v>
      </c>
      <c r="C276" s="174" t="str">
        <f t="shared" si="52"/>
        <v>MSI</v>
      </c>
      <c r="D276" s="414" t="s">
        <v>3497</v>
      </c>
      <c r="E276" s="415">
        <v>204.0</v>
      </c>
      <c r="F276" s="415">
        <v>128.0</v>
      </c>
      <c r="G276" s="415">
        <v>42.0</v>
      </c>
      <c r="H276" s="415">
        <v>2.0</v>
      </c>
      <c r="I276" s="415">
        <v>1785.0</v>
      </c>
      <c r="J276" s="415">
        <v>14.0</v>
      </c>
      <c r="K276" s="415">
        <v>125.0</v>
      </c>
      <c r="L276" s="415">
        <v>8.0</v>
      </c>
      <c r="M276" s="415">
        <v>2.0</v>
      </c>
      <c r="N276" s="415">
        <v>3.0</v>
      </c>
      <c r="O276" s="415">
        <v>1.0</v>
      </c>
      <c r="P276" s="415" t="s">
        <v>166</v>
      </c>
      <c r="Q276" s="415" t="s">
        <v>166</v>
      </c>
      <c r="R276" s="415" t="s">
        <v>166</v>
      </c>
      <c r="S276" s="415" t="s">
        <v>166</v>
      </c>
      <c r="T276" s="413"/>
    </row>
    <row r="277">
      <c r="A277" s="412" t="s">
        <v>3401</v>
      </c>
      <c r="B277" s="413" t="s">
        <v>3519</v>
      </c>
      <c r="C277" s="174" t="str">
        <f t="shared" si="52"/>
        <v>MSI</v>
      </c>
      <c r="D277" s="414" t="s">
        <v>3498</v>
      </c>
      <c r="E277" s="415">
        <v>204.0</v>
      </c>
      <c r="F277" s="415">
        <v>128.0</v>
      </c>
      <c r="G277" s="415">
        <v>42.0</v>
      </c>
      <c r="H277" s="415">
        <v>2.0</v>
      </c>
      <c r="I277" s="415">
        <v>1815.0</v>
      </c>
      <c r="J277" s="415">
        <v>14.0</v>
      </c>
      <c r="K277" s="415">
        <v>125.0</v>
      </c>
      <c r="L277" s="415">
        <v>8.0</v>
      </c>
      <c r="M277" s="415">
        <v>2.0</v>
      </c>
      <c r="N277" s="415">
        <v>3.0</v>
      </c>
      <c r="O277" s="415">
        <v>1.0</v>
      </c>
      <c r="P277" s="415" t="s">
        <v>166</v>
      </c>
      <c r="Q277" s="415" t="s">
        <v>166</v>
      </c>
      <c r="R277" s="415" t="s">
        <v>166</v>
      </c>
      <c r="S277" s="415" t="s">
        <v>166</v>
      </c>
      <c r="T277" s="413"/>
    </row>
    <row r="278">
      <c r="A278" s="412" t="s">
        <v>3401</v>
      </c>
      <c r="B278" s="413" t="s">
        <v>3519</v>
      </c>
      <c r="C278" s="174" t="str">
        <f t="shared" si="52"/>
        <v>MSI</v>
      </c>
      <c r="D278" s="414" t="s">
        <v>3499</v>
      </c>
      <c r="E278" s="415">
        <v>204.0</v>
      </c>
      <c r="F278" s="415">
        <v>128.0</v>
      </c>
      <c r="G278" s="415">
        <v>42.0</v>
      </c>
      <c r="H278" s="415">
        <v>2.0</v>
      </c>
      <c r="I278" s="415">
        <v>1785.0</v>
      </c>
      <c r="J278" s="415">
        <v>14.0</v>
      </c>
      <c r="K278" s="415">
        <v>125.0</v>
      </c>
      <c r="L278" s="415">
        <v>8.0</v>
      </c>
      <c r="M278" s="415">
        <v>2.0</v>
      </c>
      <c r="N278" s="415">
        <v>3.0</v>
      </c>
      <c r="O278" s="415">
        <v>1.0</v>
      </c>
      <c r="P278" s="415" t="s">
        <v>166</v>
      </c>
      <c r="Q278" s="415" t="s">
        <v>166</v>
      </c>
      <c r="R278" s="415" t="s">
        <v>166</v>
      </c>
      <c r="S278" s="415" t="s">
        <v>166</v>
      </c>
      <c r="T278" s="413"/>
    </row>
    <row r="279">
      <c r="A279" s="428" t="s">
        <v>3401</v>
      </c>
      <c r="B279" s="429" t="s">
        <v>3519</v>
      </c>
      <c r="C279" s="454" t="str">
        <f t="shared" si="52"/>
        <v>MSI</v>
      </c>
      <c r="D279" s="414" t="s">
        <v>3500</v>
      </c>
      <c r="E279" s="458">
        <v>204.0</v>
      </c>
      <c r="F279" s="459">
        <v>128.0</v>
      </c>
      <c r="G279" s="431">
        <v>42.0</v>
      </c>
      <c r="H279" s="415">
        <v>2.0</v>
      </c>
      <c r="I279" s="415">
        <v>1815.0</v>
      </c>
      <c r="J279" s="309">
        <v>14.0</v>
      </c>
      <c r="K279" s="460">
        <v>125.0</v>
      </c>
      <c r="L279" s="307">
        <v>8.0</v>
      </c>
      <c r="M279" s="307">
        <v>2.0</v>
      </c>
      <c r="N279" s="307">
        <v>3.0</v>
      </c>
      <c r="O279" s="307">
        <v>1.0</v>
      </c>
      <c r="P279" s="307" t="s">
        <v>166</v>
      </c>
      <c r="Q279" s="307" t="s">
        <v>166</v>
      </c>
      <c r="R279" s="451" t="s">
        <v>166</v>
      </c>
      <c r="S279" s="451" t="s">
        <v>166</v>
      </c>
      <c r="T279" s="413"/>
    </row>
    <row r="280">
      <c r="A280" s="428" t="s">
        <v>3401</v>
      </c>
      <c r="B280" s="429" t="s">
        <v>3519</v>
      </c>
      <c r="C280" s="454" t="str">
        <f t="shared" si="52"/>
        <v>MSI</v>
      </c>
      <c r="D280" s="414" t="s">
        <v>3501</v>
      </c>
      <c r="E280" s="451">
        <v>205.0</v>
      </c>
      <c r="F280" s="451">
        <v>127.0</v>
      </c>
      <c r="G280" s="451">
        <v>43.0</v>
      </c>
      <c r="H280" s="415">
        <v>2.0</v>
      </c>
      <c r="I280" s="415">
        <v>1785.0</v>
      </c>
      <c r="J280" s="309">
        <v>14.0</v>
      </c>
      <c r="K280" s="460">
        <v>125.0</v>
      </c>
      <c r="L280" s="451">
        <v>8.0</v>
      </c>
      <c r="M280" s="451">
        <v>2.0</v>
      </c>
      <c r="N280" s="451">
        <v>3.0</v>
      </c>
      <c r="O280" s="451">
        <v>1.0</v>
      </c>
      <c r="P280" s="451" t="s">
        <v>166</v>
      </c>
      <c r="Q280" s="451" t="s">
        <v>166</v>
      </c>
      <c r="R280" s="451" t="s">
        <v>166</v>
      </c>
      <c r="S280" s="451" t="s">
        <v>166</v>
      </c>
      <c r="T280" s="413"/>
    </row>
    <row r="281">
      <c r="A281" s="428" t="s">
        <v>3401</v>
      </c>
      <c r="B281" s="429" t="s">
        <v>3519</v>
      </c>
      <c r="C281" s="454" t="str">
        <f t="shared" si="52"/>
        <v>MSI</v>
      </c>
      <c r="D281" s="414" t="s">
        <v>3502</v>
      </c>
      <c r="E281" s="451">
        <v>205.0</v>
      </c>
      <c r="F281" s="451">
        <v>127.0</v>
      </c>
      <c r="G281" s="451">
        <v>43.0</v>
      </c>
      <c r="H281" s="415">
        <v>2.0</v>
      </c>
      <c r="I281" s="415">
        <v>1815.0</v>
      </c>
      <c r="J281" s="309">
        <v>14.0</v>
      </c>
      <c r="K281" s="460">
        <v>125.0</v>
      </c>
      <c r="L281" s="451">
        <v>8.0</v>
      </c>
      <c r="M281" s="451">
        <v>2.0</v>
      </c>
      <c r="N281" s="451">
        <v>3.0</v>
      </c>
      <c r="O281" s="451">
        <v>1.0</v>
      </c>
      <c r="P281" s="451" t="s">
        <v>166</v>
      </c>
      <c r="Q281" s="451" t="s">
        <v>166</v>
      </c>
      <c r="R281" s="451" t="s">
        <v>166</v>
      </c>
      <c r="S281" s="451" t="s">
        <v>166</v>
      </c>
      <c r="T281" s="413"/>
    </row>
    <row r="282">
      <c r="A282" s="412" t="s">
        <v>3401</v>
      </c>
      <c r="B282" s="413" t="s">
        <v>3519</v>
      </c>
      <c r="C282" s="416" t="str">
        <f t="shared" ref="C282:C283" si="53">HYPERLINK("http://www.palit.com/palit/index.php?lang=en","Palit")</f>
        <v>Palit</v>
      </c>
      <c r="D282" s="414" t="str">
        <f>HYPERLINK("http://www.palit.com/palit/vgapro.php?id=3402&amp;lang=en","StormX")</f>
        <v>StormX</v>
      </c>
      <c r="E282" s="415">
        <v>168.0</v>
      </c>
      <c r="F282" s="415">
        <v>122.0</v>
      </c>
      <c r="G282" s="415">
        <v>40.0</v>
      </c>
      <c r="H282" s="415">
        <v>2.0</v>
      </c>
      <c r="I282" s="415">
        <v>1785.0</v>
      </c>
      <c r="J282" s="415">
        <v>14.0</v>
      </c>
      <c r="K282" s="415">
        <v>125.0</v>
      </c>
      <c r="L282" s="415">
        <v>8.0</v>
      </c>
      <c r="M282" s="415">
        <v>1.0</v>
      </c>
      <c r="N282" s="415">
        <v>1.0</v>
      </c>
      <c r="O282" s="415">
        <v>1.0</v>
      </c>
      <c r="P282" s="415" t="s">
        <v>166</v>
      </c>
      <c r="Q282" s="415">
        <v>1.0</v>
      </c>
      <c r="R282" s="415" t="s">
        <v>166</v>
      </c>
      <c r="S282" s="415" t="s">
        <v>166</v>
      </c>
      <c r="T282" s="413"/>
    </row>
    <row r="283">
      <c r="A283" s="412" t="s">
        <v>3401</v>
      </c>
      <c r="B283" s="413" t="s">
        <v>3519</v>
      </c>
      <c r="C283" s="416" t="str">
        <f t="shared" si="53"/>
        <v>Palit</v>
      </c>
      <c r="D283" s="414" t="s">
        <v>3463</v>
      </c>
      <c r="E283" s="415">
        <v>168.0</v>
      </c>
      <c r="F283" s="415">
        <v>122.0</v>
      </c>
      <c r="G283" s="415">
        <v>40.0</v>
      </c>
      <c r="H283" s="415">
        <v>2.0</v>
      </c>
      <c r="I283" s="415">
        <v>1830.0</v>
      </c>
      <c r="J283" s="415">
        <v>14.0</v>
      </c>
      <c r="K283" s="415">
        <v>125.0</v>
      </c>
      <c r="L283" s="415">
        <v>8.0</v>
      </c>
      <c r="M283" s="415">
        <v>1.0</v>
      </c>
      <c r="N283" s="415">
        <v>1.0</v>
      </c>
      <c r="O283" s="415">
        <v>1.0</v>
      </c>
      <c r="P283" s="415" t="s">
        <v>166</v>
      </c>
      <c r="Q283" s="415">
        <v>1.0</v>
      </c>
      <c r="R283" s="415" t="s">
        <v>166</v>
      </c>
      <c r="S283" s="415" t="s">
        <v>166</v>
      </c>
      <c r="T283" s="413"/>
    </row>
    <row r="284">
      <c r="A284" s="412" t="s">
        <v>3401</v>
      </c>
      <c r="B284" s="413" t="s">
        <v>3519</v>
      </c>
      <c r="C284" s="416" t="str">
        <f>HYPERLINK("https://pny.com/","PNY")</f>
        <v>PNY</v>
      </c>
      <c r="D284" s="414" t="str">
        <f>HYPERLINK("https://pny.com/PNY-GeForce-GTX-1660-SUPER-6GB-Single-Fan","Single Fan")</f>
        <v>Single Fan</v>
      </c>
      <c r="E284" s="415">
        <v>168.0</v>
      </c>
      <c r="F284" s="415">
        <v>126.0</v>
      </c>
      <c r="G284" s="415">
        <v>40.0</v>
      </c>
      <c r="H284" s="415">
        <v>2.0</v>
      </c>
      <c r="I284" s="415">
        <v>1785.0</v>
      </c>
      <c r="J284" s="415">
        <v>14.0</v>
      </c>
      <c r="K284" s="415">
        <v>125.0</v>
      </c>
      <c r="L284" s="415">
        <v>8.0</v>
      </c>
      <c r="M284" s="415">
        <v>1.0</v>
      </c>
      <c r="N284" s="415">
        <v>1.0</v>
      </c>
      <c r="O284" s="415">
        <v>1.0</v>
      </c>
      <c r="P284" s="415" t="s">
        <v>166</v>
      </c>
      <c r="Q284" s="415">
        <v>1.0</v>
      </c>
      <c r="R284" s="415" t="s">
        <v>166</v>
      </c>
      <c r="S284" s="415" t="s">
        <v>166</v>
      </c>
      <c r="T284" s="413"/>
    </row>
    <row r="285">
      <c r="A285" s="412" t="s">
        <v>3401</v>
      </c>
      <c r="B285" s="413" t="s">
        <v>3519</v>
      </c>
      <c r="C285" s="416" t="str">
        <f t="shared" ref="C285:C286" si="54">HYPERLINK("http://zotac.com/","ZOTAC")</f>
        <v>ZOTAC</v>
      </c>
      <c r="D285" s="414" t="str">
        <f>HYPERLINK("https://www.zotac.com/product/graphics_card/zotac-gaming-geforce-gtx-1660-super-twin-fan","Twin Fan")</f>
        <v>Twin Fan</v>
      </c>
      <c r="E285" s="415">
        <v>173.4</v>
      </c>
      <c r="F285" s="415">
        <v>111.15</v>
      </c>
      <c r="G285" s="415">
        <v>35.3</v>
      </c>
      <c r="H285" s="415">
        <v>2.0</v>
      </c>
      <c r="I285" s="415">
        <v>1785.0</v>
      </c>
      <c r="J285" s="415">
        <v>14.0</v>
      </c>
      <c r="K285" s="415">
        <v>125.0</v>
      </c>
      <c r="L285" s="415">
        <v>8.0</v>
      </c>
      <c r="M285" s="415">
        <v>2.0</v>
      </c>
      <c r="N285" s="415">
        <v>3.0</v>
      </c>
      <c r="O285" s="415">
        <v>1.0</v>
      </c>
      <c r="P285" s="415" t="s">
        <v>166</v>
      </c>
      <c r="Q285" s="415" t="s">
        <v>166</v>
      </c>
      <c r="R285" s="415" t="s">
        <v>166</v>
      </c>
      <c r="S285" s="415" t="s">
        <v>166</v>
      </c>
      <c r="T285" s="413"/>
    </row>
    <row r="286">
      <c r="A286" s="401" t="s">
        <v>3401</v>
      </c>
      <c r="B286" s="402" t="s">
        <v>3519</v>
      </c>
      <c r="C286" s="403" t="str">
        <f t="shared" si="54"/>
        <v>ZOTAC</v>
      </c>
      <c r="D286" s="404" t="str">
        <f>HYPERLINK("https://www.zotac.com/product/graphics_card/zotac-gaming-geforce-gtx-1660-super-amp","AMP")</f>
        <v>AMP</v>
      </c>
      <c r="E286" s="405">
        <v>209.6</v>
      </c>
      <c r="F286" s="405">
        <v>119.3</v>
      </c>
      <c r="G286" s="405">
        <v>41.0</v>
      </c>
      <c r="H286" s="405">
        <v>2.0</v>
      </c>
      <c r="I286" s="405">
        <v>1845.0</v>
      </c>
      <c r="J286" s="405">
        <v>14.0</v>
      </c>
      <c r="K286" s="405">
        <v>125.0</v>
      </c>
      <c r="L286" s="405">
        <v>8.0</v>
      </c>
      <c r="M286" s="405">
        <v>2.0</v>
      </c>
      <c r="N286" s="405">
        <v>3.0</v>
      </c>
      <c r="O286" s="405">
        <v>1.0</v>
      </c>
      <c r="P286" s="405" t="s">
        <v>166</v>
      </c>
      <c r="Q286" s="405" t="s">
        <v>166</v>
      </c>
      <c r="R286" s="405" t="s">
        <v>166</v>
      </c>
      <c r="S286" s="405" t="s">
        <v>166</v>
      </c>
      <c r="T286" s="402"/>
    </row>
    <row r="287">
      <c r="A287" s="409" t="s">
        <v>3401</v>
      </c>
      <c r="B287" s="410" t="s">
        <v>3524</v>
      </c>
      <c r="C287" s="174" t="s">
        <v>3467</v>
      </c>
      <c r="D287" s="414" t="s">
        <v>3525</v>
      </c>
      <c r="E287" s="415">
        <v>148.0</v>
      </c>
      <c r="F287" s="415">
        <v>111.0</v>
      </c>
      <c r="G287" s="415">
        <v>35.0</v>
      </c>
      <c r="H287" s="415">
        <v>2.0</v>
      </c>
      <c r="I287" s="415">
        <v>1770.0</v>
      </c>
      <c r="J287" s="415">
        <v>12.0</v>
      </c>
      <c r="K287" s="411">
        <v>120.0</v>
      </c>
      <c r="L287" s="415">
        <v>8.0</v>
      </c>
      <c r="M287" s="415">
        <v>1.0</v>
      </c>
      <c r="N287" s="415">
        <v>1.0</v>
      </c>
      <c r="O287" s="415">
        <v>1.0</v>
      </c>
      <c r="P287" s="415" t="s">
        <v>166</v>
      </c>
      <c r="Q287" s="415">
        <v>1.0</v>
      </c>
      <c r="R287" s="415" t="s">
        <v>166</v>
      </c>
      <c r="S287" s="415" t="s">
        <v>166</v>
      </c>
      <c r="T287" s="413"/>
    </row>
    <row r="288">
      <c r="A288" s="409" t="s">
        <v>3401</v>
      </c>
      <c r="B288" s="410" t="s">
        <v>3524</v>
      </c>
      <c r="C288" s="282" t="str">
        <f t="shared" ref="C288:C296" si="55">HYPERLINK("https://www.asus.com/","Asus")</f>
        <v>Asus</v>
      </c>
      <c r="D288" s="312" t="s">
        <v>3371</v>
      </c>
      <c r="E288" s="411">
        <v>174.0</v>
      </c>
      <c r="F288" s="411">
        <v>121.0</v>
      </c>
      <c r="G288" s="411">
        <v>39.0</v>
      </c>
      <c r="H288" s="411">
        <v>2.0</v>
      </c>
      <c r="I288" s="411">
        <v>1800.0</v>
      </c>
      <c r="J288" s="411">
        <v>12.0</v>
      </c>
      <c r="K288" s="411">
        <v>120.0</v>
      </c>
      <c r="L288" s="411">
        <v>8.0</v>
      </c>
      <c r="M288" s="411">
        <v>1.0</v>
      </c>
      <c r="N288" s="411">
        <v>1.0</v>
      </c>
      <c r="O288" s="411">
        <v>2.0</v>
      </c>
      <c r="P288" s="411" t="s">
        <v>166</v>
      </c>
      <c r="Q288" s="411">
        <v>1.0</v>
      </c>
      <c r="R288" s="411" t="s">
        <v>166</v>
      </c>
      <c r="S288" s="411" t="s">
        <v>166</v>
      </c>
      <c r="T288" s="410"/>
    </row>
    <row r="289">
      <c r="A289" s="412" t="s">
        <v>3401</v>
      </c>
      <c r="B289" s="413" t="s">
        <v>3524</v>
      </c>
      <c r="C289" s="174" t="str">
        <f t="shared" si="55"/>
        <v>Asus</v>
      </c>
      <c r="D289" s="414" t="s">
        <v>3469</v>
      </c>
      <c r="E289" s="415">
        <v>174.0</v>
      </c>
      <c r="F289" s="415">
        <v>121.0</v>
      </c>
      <c r="G289" s="415">
        <v>39.0</v>
      </c>
      <c r="H289" s="415">
        <v>2.0</v>
      </c>
      <c r="I289" s="415">
        <v>1815.0</v>
      </c>
      <c r="J289" s="415">
        <v>12.0</v>
      </c>
      <c r="K289" s="415">
        <v>120.0</v>
      </c>
      <c r="L289" s="415">
        <v>8.0</v>
      </c>
      <c r="M289" s="415">
        <v>1.0</v>
      </c>
      <c r="N289" s="415">
        <v>1.0</v>
      </c>
      <c r="O289" s="415">
        <v>2.0</v>
      </c>
      <c r="P289" s="415" t="s">
        <v>166</v>
      </c>
      <c r="Q289" s="415">
        <v>1.0</v>
      </c>
      <c r="R289" s="415" t="s">
        <v>166</v>
      </c>
      <c r="S289" s="415" t="s">
        <v>166</v>
      </c>
      <c r="T289" s="413"/>
    </row>
    <row r="290">
      <c r="A290" s="412" t="s">
        <v>3401</v>
      </c>
      <c r="B290" s="413" t="s">
        <v>3524</v>
      </c>
      <c r="C290" s="174" t="str">
        <f t="shared" si="55"/>
        <v>Asus</v>
      </c>
      <c r="D290" s="414" t="s">
        <v>3372</v>
      </c>
      <c r="E290" s="415">
        <v>215.0</v>
      </c>
      <c r="F290" s="415">
        <v>121.0</v>
      </c>
      <c r="G290" s="415">
        <v>44.0</v>
      </c>
      <c r="H290" s="415">
        <v>2.0</v>
      </c>
      <c r="I290" s="415">
        <v>1800.0</v>
      </c>
      <c r="J290" s="415">
        <v>12.0</v>
      </c>
      <c r="K290" s="415">
        <v>120.0</v>
      </c>
      <c r="L290" s="415">
        <v>8.0</v>
      </c>
      <c r="M290" s="415">
        <v>2.0</v>
      </c>
      <c r="N290" s="415">
        <v>1.0</v>
      </c>
      <c r="O290" s="415">
        <v>2.0</v>
      </c>
      <c r="P290" s="415" t="s">
        <v>166</v>
      </c>
      <c r="Q290" s="415">
        <v>1.0</v>
      </c>
      <c r="R290" s="415" t="s">
        <v>166</v>
      </c>
      <c r="S290" s="415" t="s">
        <v>166</v>
      </c>
      <c r="T290" s="413"/>
    </row>
    <row r="291">
      <c r="A291" s="412" t="s">
        <v>3401</v>
      </c>
      <c r="B291" s="413" t="s">
        <v>3524</v>
      </c>
      <c r="C291" s="174" t="str">
        <f t="shared" si="55"/>
        <v>Asus</v>
      </c>
      <c r="D291" s="414" t="s">
        <v>3381</v>
      </c>
      <c r="E291" s="415">
        <v>215.0</v>
      </c>
      <c r="F291" s="415">
        <v>121.0</v>
      </c>
      <c r="G291" s="415">
        <v>44.0</v>
      </c>
      <c r="H291" s="415">
        <v>2.0</v>
      </c>
      <c r="I291" s="415">
        <v>1830.0</v>
      </c>
      <c r="J291" s="415">
        <v>12.0</v>
      </c>
      <c r="K291" s="415">
        <v>120.0</v>
      </c>
      <c r="L291" s="415">
        <v>8.0</v>
      </c>
      <c r="M291" s="415">
        <v>2.0</v>
      </c>
      <c r="N291" s="415">
        <v>1.0</v>
      </c>
      <c r="O291" s="415">
        <v>2.0</v>
      </c>
      <c r="P291" s="415" t="s">
        <v>166</v>
      </c>
      <c r="Q291" s="415">
        <v>1.0</v>
      </c>
      <c r="R291" s="415" t="s">
        <v>166</v>
      </c>
      <c r="S291" s="415" t="s">
        <v>166</v>
      </c>
      <c r="T291" s="413"/>
    </row>
    <row r="292">
      <c r="A292" s="412" t="s">
        <v>3401</v>
      </c>
      <c r="B292" s="413" t="s">
        <v>3524</v>
      </c>
      <c r="C292" s="174" t="str">
        <f t="shared" si="55"/>
        <v>Asus</v>
      </c>
      <c r="D292" s="414" t="s">
        <v>3477</v>
      </c>
      <c r="E292" s="415">
        <v>205.0</v>
      </c>
      <c r="F292" s="415">
        <v>123.0</v>
      </c>
      <c r="G292" s="415">
        <v>46.0</v>
      </c>
      <c r="H292" s="415">
        <v>2.0</v>
      </c>
      <c r="I292" s="415">
        <v>1800.0</v>
      </c>
      <c r="J292" s="415">
        <v>12.0</v>
      </c>
      <c r="K292" s="415">
        <v>120.0</v>
      </c>
      <c r="L292" s="415">
        <v>8.0</v>
      </c>
      <c r="M292" s="415">
        <v>2.0</v>
      </c>
      <c r="N292" s="415">
        <v>1.0</v>
      </c>
      <c r="O292" s="415">
        <v>2.0</v>
      </c>
      <c r="P292" s="415" t="s">
        <v>166</v>
      </c>
      <c r="Q292" s="415">
        <v>1.0</v>
      </c>
      <c r="R292" s="415" t="s">
        <v>166</v>
      </c>
      <c r="S292" s="415" t="s">
        <v>166</v>
      </c>
      <c r="T292" s="413"/>
    </row>
    <row r="293">
      <c r="A293" s="412" t="s">
        <v>3401</v>
      </c>
      <c r="B293" s="413" t="s">
        <v>3524</v>
      </c>
      <c r="C293" s="174" t="str">
        <f t="shared" si="55"/>
        <v>Asus</v>
      </c>
      <c r="D293" s="414" t="s">
        <v>3478</v>
      </c>
      <c r="E293" s="415">
        <v>205.0</v>
      </c>
      <c r="F293" s="415">
        <v>123.0</v>
      </c>
      <c r="G293" s="415">
        <v>46.0</v>
      </c>
      <c r="H293" s="415">
        <v>2.0</v>
      </c>
      <c r="I293" s="415">
        <v>1845.0</v>
      </c>
      <c r="J293" s="415">
        <v>12.0</v>
      </c>
      <c r="K293" s="415">
        <v>120.0</v>
      </c>
      <c r="L293" s="415">
        <v>8.0</v>
      </c>
      <c r="M293" s="415">
        <v>2.0</v>
      </c>
      <c r="N293" s="415">
        <v>1.0</v>
      </c>
      <c r="O293" s="415">
        <v>2.0</v>
      </c>
      <c r="P293" s="415" t="s">
        <v>166</v>
      </c>
      <c r="Q293" s="415">
        <v>1.0</v>
      </c>
      <c r="R293" s="415" t="s">
        <v>166</v>
      </c>
      <c r="S293" s="415" t="s">
        <v>166</v>
      </c>
      <c r="T293" s="413"/>
    </row>
    <row r="294">
      <c r="A294" s="412" t="s">
        <v>3401</v>
      </c>
      <c r="B294" s="413" t="s">
        <v>3524</v>
      </c>
      <c r="C294" s="174" t="str">
        <f t="shared" si="55"/>
        <v>Asus</v>
      </c>
      <c r="D294" s="414" t="s">
        <v>3526</v>
      </c>
      <c r="E294" s="415">
        <v>206.0</v>
      </c>
      <c r="F294" s="415">
        <v>124.0</v>
      </c>
      <c r="G294" s="415">
        <v>46.0</v>
      </c>
      <c r="H294" s="415">
        <v>2.0</v>
      </c>
      <c r="I294" s="415">
        <v>1800.0</v>
      </c>
      <c r="J294" s="415">
        <v>12.0</v>
      </c>
      <c r="K294" s="415">
        <v>120.0</v>
      </c>
      <c r="L294" s="415">
        <v>8.0</v>
      </c>
      <c r="M294" s="415">
        <v>2.0</v>
      </c>
      <c r="N294" s="415">
        <v>1.0</v>
      </c>
      <c r="O294" s="415">
        <v>2.0</v>
      </c>
      <c r="P294" s="415" t="s">
        <v>166</v>
      </c>
      <c r="Q294" s="415">
        <v>1.0</v>
      </c>
      <c r="R294" s="415" t="s">
        <v>166</v>
      </c>
      <c r="S294" s="415" t="s">
        <v>166</v>
      </c>
      <c r="T294" s="413"/>
    </row>
    <row r="295">
      <c r="A295" s="412" t="s">
        <v>3401</v>
      </c>
      <c r="B295" s="413" t="s">
        <v>3524</v>
      </c>
      <c r="C295" s="174" t="str">
        <f t="shared" si="55"/>
        <v>Asus</v>
      </c>
      <c r="D295" s="414" t="s">
        <v>3527</v>
      </c>
      <c r="E295" s="415">
        <v>206.0</v>
      </c>
      <c r="F295" s="415">
        <v>124.0</v>
      </c>
      <c r="G295" s="415">
        <v>46.0</v>
      </c>
      <c r="H295" s="415">
        <v>2.0</v>
      </c>
      <c r="I295" s="415">
        <v>1845.0</v>
      </c>
      <c r="J295" s="415">
        <v>12.0</v>
      </c>
      <c r="K295" s="415">
        <v>120.0</v>
      </c>
      <c r="L295" s="415">
        <v>8.0</v>
      </c>
      <c r="M295" s="415">
        <v>2.0</v>
      </c>
      <c r="N295" s="415">
        <v>1.0</v>
      </c>
      <c r="O295" s="415">
        <v>2.0</v>
      </c>
      <c r="P295" s="415" t="s">
        <v>166</v>
      </c>
      <c r="Q295" s="415">
        <v>1.0</v>
      </c>
      <c r="R295" s="415" t="s">
        <v>166</v>
      </c>
      <c r="S295" s="415" t="s">
        <v>166</v>
      </c>
      <c r="T295" s="413"/>
    </row>
    <row r="296">
      <c r="A296" s="412" t="s">
        <v>3401</v>
      </c>
      <c r="B296" s="413" t="s">
        <v>3524</v>
      </c>
      <c r="C296" s="174" t="str">
        <f t="shared" si="55"/>
        <v>Asus</v>
      </c>
      <c r="D296" s="414" t="s">
        <v>3528</v>
      </c>
      <c r="E296" s="415">
        <v>206.0</v>
      </c>
      <c r="F296" s="415">
        <v>124.0</v>
      </c>
      <c r="G296" s="415">
        <v>46.0</v>
      </c>
      <c r="H296" s="415">
        <v>2.0</v>
      </c>
      <c r="I296" s="415">
        <v>1845.0</v>
      </c>
      <c r="J296" s="415">
        <v>12.0</v>
      </c>
      <c r="K296" s="415">
        <v>120.0</v>
      </c>
      <c r="L296" s="415">
        <v>8.0</v>
      </c>
      <c r="M296" s="415">
        <v>2.0</v>
      </c>
      <c r="N296" s="415">
        <v>1.0</v>
      </c>
      <c r="O296" s="415">
        <v>2.0</v>
      </c>
      <c r="P296" s="415" t="s">
        <v>166</v>
      </c>
      <c r="Q296" s="415">
        <v>1.0</v>
      </c>
      <c r="R296" s="415" t="s">
        <v>166</v>
      </c>
      <c r="S296" s="415" t="s">
        <v>166</v>
      </c>
      <c r="T296" s="413"/>
    </row>
    <row r="297">
      <c r="A297" s="412" t="s">
        <v>3401</v>
      </c>
      <c r="B297" s="413" t="s">
        <v>3524</v>
      </c>
      <c r="C297" s="174" t="str">
        <f t="shared" ref="C297:C300" si="56">HYPERLINK("https://www.evga.com/","EVGA")</f>
        <v>EVGA</v>
      </c>
      <c r="D297" s="414" t="s">
        <v>3486</v>
      </c>
      <c r="E297" s="415">
        <v>202.1</v>
      </c>
      <c r="F297" s="415">
        <v>111.15</v>
      </c>
      <c r="G297" s="415">
        <v>40.0</v>
      </c>
      <c r="H297" s="415">
        <v>2.0</v>
      </c>
      <c r="I297" s="415">
        <v>1770.0</v>
      </c>
      <c r="J297" s="415">
        <v>12.0</v>
      </c>
      <c r="K297" s="415">
        <v>120.0</v>
      </c>
      <c r="L297" s="415">
        <v>8.0</v>
      </c>
      <c r="M297" s="415">
        <v>2.0</v>
      </c>
      <c r="N297" s="415">
        <v>1.0</v>
      </c>
      <c r="O297" s="415">
        <v>1.0</v>
      </c>
      <c r="P297" s="415" t="s">
        <v>166</v>
      </c>
      <c r="Q297" s="415">
        <v>1.0</v>
      </c>
      <c r="R297" s="415" t="s">
        <v>166</v>
      </c>
      <c r="S297" s="415" t="s">
        <v>166</v>
      </c>
      <c r="T297" s="413"/>
    </row>
    <row r="298">
      <c r="A298" s="412" t="s">
        <v>3401</v>
      </c>
      <c r="B298" s="413" t="s">
        <v>3524</v>
      </c>
      <c r="C298" s="174" t="str">
        <f t="shared" si="56"/>
        <v>EVGA</v>
      </c>
      <c r="D298" s="414" t="s">
        <v>3487</v>
      </c>
      <c r="E298" s="415">
        <v>202.1</v>
      </c>
      <c r="F298" s="415">
        <v>111.15</v>
      </c>
      <c r="G298" s="415">
        <v>40.0</v>
      </c>
      <c r="H298" s="415">
        <v>2.0</v>
      </c>
      <c r="I298" s="415">
        <v>1845.0</v>
      </c>
      <c r="J298" s="415">
        <v>12.0</v>
      </c>
      <c r="K298" s="415">
        <v>120.0</v>
      </c>
      <c r="L298" s="415">
        <v>8.0</v>
      </c>
      <c r="M298" s="415">
        <v>2.0</v>
      </c>
      <c r="N298" s="415">
        <v>1.0</v>
      </c>
      <c r="O298" s="415">
        <v>1.0</v>
      </c>
      <c r="P298" s="415" t="s">
        <v>166</v>
      </c>
      <c r="Q298" s="415">
        <v>1.0</v>
      </c>
      <c r="R298" s="415" t="s">
        <v>166</v>
      </c>
      <c r="S298" s="415" t="s">
        <v>166</v>
      </c>
      <c r="T298" s="413"/>
    </row>
    <row r="299">
      <c r="A299" s="412" t="s">
        <v>3401</v>
      </c>
      <c r="B299" s="413" t="s">
        <v>3524</v>
      </c>
      <c r="C299" s="174" t="str">
        <f t="shared" si="56"/>
        <v>EVGA</v>
      </c>
      <c r="D299" s="414" t="s">
        <v>3506</v>
      </c>
      <c r="E299" s="415">
        <v>189.89</v>
      </c>
      <c r="F299" s="415">
        <v>111.15</v>
      </c>
      <c r="G299" s="415">
        <v>55.0</v>
      </c>
      <c r="H299" s="415">
        <v>3.0</v>
      </c>
      <c r="I299" s="415">
        <v>1770.0</v>
      </c>
      <c r="J299" s="415">
        <v>12.0</v>
      </c>
      <c r="K299" s="415">
        <v>120.0</v>
      </c>
      <c r="L299" s="415">
        <v>8.0</v>
      </c>
      <c r="M299" s="415">
        <v>1.0</v>
      </c>
      <c r="N299" s="415">
        <v>1.0</v>
      </c>
      <c r="O299" s="415">
        <v>1.0</v>
      </c>
      <c r="P299" s="415" t="s">
        <v>166</v>
      </c>
      <c r="Q299" s="415">
        <v>1.0</v>
      </c>
      <c r="R299" s="415" t="s">
        <v>166</v>
      </c>
      <c r="S299" s="415" t="s">
        <v>166</v>
      </c>
      <c r="T299" s="413"/>
    </row>
    <row r="300">
      <c r="A300" s="412" t="s">
        <v>3401</v>
      </c>
      <c r="B300" s="413" t="s">
        <v>3524</v>
      </c>
      <c r="C300" s="174" t="str">
        <f t="shared" si="56"/>
        <v>EVGA</v>
      </c>
      <c r="D300" s="414" t="s">
        <v>3513</v>
      </c>
      <c r="E300" s="415">
        <v>189.89</v>
      </c>
      <c r="F300" s="415">
        <v>111.15</v>
      </c>
      <c r="G300" s="415">
        <v>55.0</v>
      </c>
      <c r="H300" s="415">
        <v>3.0</v>
      </c>
      <c r="I300" s="415">
        <v>1845.0</v>
      </c>
      <c r="J300" s="415">
        <v>12.0</v>
      </c>
      <c r="K300" s="415">
        <v>120.0</v>
      </c>
      <c r="L300" s="415">
        <v>8.0</v>
      </c>
      <c r="M300" s="415">
        <v>1.0</v>
      </c>
      <c r="N300" s="415">
        <v>1.0</v>
      </c>
      <c r="O300" s="415">
        <v>1.0</v>
      </c>
      <c r="P300" s="415" t="s">
        <v>166</v>
      </c>
      <c r="Q300" s="415">
        <v>1.0</v>
      </c>
      <c r="R300" s="415" t="s">
        <v>166</v>
      </c>
      <c r="S300" s="415" t="s">
        <v>166</v>
      </c>
      <c r="T300" s="413"/>
    </row>
    <row r="301">
      <c r="A301" s="412" t="s">
        <v>3401</v>
      </c>
      <c r="B301" s="413" t="s">
        <v>3524</v>
      </c>
      <c r="C301" s="416" t="str">
        <f t="shared" ref="C301:C302" si="57">HYPERLINK("http://www.gainward.com/main/index.php?lang=en","Gainward")</f>
        <v>Gainward</v>
      </c>
      <c r="D301" s="414" t="str">
        <f>HYPERLINK("http://www.gainward.com/main/vgapro.php?id=1041&amp;lang=en","Pegasus")</f>
        <v>Pegasus</v>
      </c>
      <c r="E301" s="415">
        <v>168.0</v>
      </c>
      <c r="F301" s="415">
        <v>126.0</v>
      </c>
      <c r="G301" s="415">
        <v>40.0</v>
      </c>
      <c r="H301" s="415">
        <v>2.0</v>
      </c>
      <c r="I301" s="415">
        <v>1770.0</v>
      </c>
      <c r="J301" s="415">
        <v>12.0</v>
      </c>
      <c r="K301" s="415">
        <v>120.0</v>
      </c>
      <c r="L301" s="415">
        <v>8.0</v>
      </c>
      <c r="M301" s="415">
        <v>1.0</v>
      </c>
      <c r="N301" s="415">
        <v>1.0</v>
      </c>
      <c r="O301" s="415">
        <v>1.0</v>
      </c>
      <c r="P301" s="415" t="s">
        <v>166</v>
      </c>
      <c r="Q301" s="415">
        <v>1.0</v>
      </c>
      <c r="R301" s="415" t="s">
        <v>166</v>
      </c>
      <c r="S301" s="415" t="s">
        <v>166</v>
      </c>
      <c r="T301" s="413"/>
    </row>
    <row r="302">
      <c r="A302" s="412" t="s">
        <v>3401</v>
      </c>
      <c r="B302" s="413" t="s">
        <v>3524</v>
      </c>
      <c r="C302" s="416" t="str">
        <f t="shared" si="57"/>
        <v>Gainward</v>
      </c>
      <c r="D302" s="414" t="s">
        <v>3507</v>
      </c>
      <c r="E302" s="415">
        <v>168.0</v>
      </c>
      <c r="F302" s="415">
        <v>126.0</v>
      </c>
      <c r="G302" s="415">
        <v>40.0</v>
      </c>
      <c r="H302" s="415">
        <v>2.0</v>
      </c>
      <c r="I302" s="415">
        <v>1815.0</v>
      </c>
      <c r="J302" s="415">
        <v>12.0</v>
      </c>
      <c r="K302" s="415">
        <v>120.0</v>
      </c>
      <c r="L302" s="415">
        <v>8.0</v>
      </c>
      <c r="M302" s="415">
        <v>1.0</v>
      </c>
      <c r="N302" s="415">
        <v>1.0</v>
      </c>
      <c r="O302" s="415">
        <v>1.0</v>
      </c>
      <c r="P302" s="415" t="s">
        <v>166</v>
      </c>
      <c r="Q302" s="415">
        <v>1.0</v>
      </c>
      <c r="R302" s="415" t="s">
        <v>166</v>
      </c>
      <c r="S302" s="415" t="s">
        <v>166</v>
      </c>
      <c r="T302" s="413"/>
    </row>
    <row r="303">
      <c r="A303" s="412" t="s">
        <v>3401</v>
      </c>
      <c r="B303" s="413" t="s">
        <v>3524</v>
      </c>
      <c r="C303" s="174" t="s">
        <v>3456</v>
      </c>
      <c r="D303" s="414" t="str">
        <f>HYPERLINK("https://www.galax.com/en/graphics-card/16-series/galax-geforce-gtx-1660-ti-1-click-oc.html","(1-Click OC)")</f>
        <v>(1-Click OC)</v>
      </c>
      <c r="E303" s="415">
        <v>214.0</v>
      </c>
      <c r="F303" s="415">
        <v>118.65</v>
      </c>
      <c r="G303" s="415">
        <v>38.6</v>
      </c>
      <c r="H303" s="415">
        <v>2.0</v>
      </c>
      <c r="I303" s="415">
        <v>1800.0</v>
      </c>
      <c r="J303" s="415">
        <v>12.0</v>
      </c>
      <c r="K303" s="415">
        <v>120.0</v>
      </c>
      <c r="L303" s="415">
        <v>8.0</v>
      </c>
      <c r="M303" s="415">
        <v>2.0</v>
      </c>
      <c r="N303" s="415">
        <v>1.0</v>
      </c>
      <c r="O303" s="415">
        <v>1.0</v>
      </c>
      <c r="P303" s="415" t="s">
        <v>166</v>
      </c>
      <c r="Q303" s="415">
        <v>1.0</v>
      </c>
      <c r="R303" s="415" t="s">
        <v>166</v>
      </c>
      <c r="S303" s="415" t="s">
        <v>166</v>
      </c>
      <c r="T303" s="413"/>
    </row>
    <row r="304">
      <c r="A304" s="412" t="s">
        <v>3401</v>
      </c>
      <c r="B304" s="413" t="s">
        <v>3524</v>
      </c>
      <c r="C304" s="174" t="s">
        <v>3456</v>
      </c>
      <c r="D304" s="414" t="s">
        <v>3515</v>
      </c>
      <c r="E304" s="415">
        <v>214.0</v>
      </c>
      <c r="F304" s="415">
        <v>118.65</v>
      </c>
      <c r="G304" s="415">
        <v>38.6</v>
      </c>
      <c r="H304" s="415">
        <v>2.0</v>
      </c>
      <c r="I304" s="415">
        <v>1800.0</v>
      </c>
      <c r="J304" s="415">
        <v>12.0</v>
      </c>
      <c r="K304" s="415">
        <v>120.0</v>
      </c>
      <c r="L304" s="415">
        <v>8.0</v>
      </c>
      <c r="M304" s="415">
        <v>2.0</v>
      </c>
      <c r="N304" s="415">
        <v>1.0</v>
      </c>
      <c r="O304" s="415">
        <v>1.0</v>
      </c>
      <c r="P304" s="415" t="s">
        <v>166</v>
      </c>
      <c r="Q304" s="415">
        <v>1.0</v>
      </c>
      <c r="R304" s="415" t="s">
        <v>166</v>
      </c>
      <c r="S304" s="415" t="s">
        <v>166</v>
      </c>
      <c r="T304" s="413"/>
    </row>
    <row r="305">
      <c r="A305" s="412" t="s">
        <v>3401</v>
      </c>
      <c r="B305" s="413" t="s">
        <v>3524</v>
      </c>
      <c r="C305" s="174" t="s">
        <v>3456</v>
      </c>
      <c r="D305" s="414" t="str">
        <f>HYPERLINK("http://www.galax.com/en/graphics-card/16-series/galax-geforce-gtx-1660ti-white-mini-1clickoc.html","White Mini (1-Click OC)")</f>
        <v>White Mini (1-Click OC)</v>
      </c>
      <c r="E305" s="415">
        <v>175.0</v>
      </c>
      <c r="F305" s="415">
        <v>111.0</v>
      </c>
      <c r="G305" s="415">
        <v>38.0</v>
      </c>
      <c r="H305" s="415">
        <v>2.0</v>
      </c>
      <c r="I305" s="415">
        <v>1830.0</v>
      </c>
      <c r="J305" s="415">
        <v>12.0</v>
      </c>
      <c r="K305" s="415">
        <v>120.0</v>
      </c>
      <c r="L305" s="415">
        <v>8.0</v>
      </c>
      <c r="M305" s="415">
        <v>2.0</v>
      </c>
      <c r="N305" s="415">
        <v>1.0</v>
      </c>
      <c r="O305" s="415">
        <v>1.0</v>
      </c>
      <c r="P305" s="415" t="s">
        <v>166</v>
      </c>
      <c r="Q305" s="415">
        <v>1.0</v>
      </c>
      <c r="R305" s="415" t="s">
        <v>166</v>
      </c>
      <c r="S305" s="415" t="s">
        <v>166</v>
      </c>
      <c r="T305" s="413"/>
    </row>
    <row r="306">
      <c r="A306" s="412" t="s">
        <v>3401</v>
      </c>
      <c r="B306" s="413" t="s">
        <v>3524</v>
      </c>
      <c r="C306" s="174" t="str">
        <f t="shared" ref="C306:C307" si="58">HYPERLINK("https://www.gigabyte.com/","Gigabyte")</f>
        <v>Gigabyte</v>
      </c>
      <c r="D306" s="414" t="str">
        <f>HYPERLINK("https://www.gigabyte.com/Graphics-Card/GV-N166TIX-6GD#kf","Mini ITX")</f>
        <v>Mini ITX</v>
      </c>
      <c r="E306" s="415">
        <v>170.0</v>
      </c>
      <c r="F306" s="415">
        <v>121.3</v>
      </c>
      <c r="G306" s="415">
        <v>36.4</v>
      </c>
      <c r="H306" s="415">
        <v>2.0</v>
      </c>
      <c r="I306" s="415">
        <v>1770.0</v>
      </c>
      <c r="J306" s="415">
        <v>12.0</v>
      </c>
      <c r="K306" s="415">
        <v>120.0</v>
      </c>
      <c r="L306" s="415">
        <v>8.0</v>
      </c>
      <c r="M306" s="415">
        <v>1.0</v>
      </c>
      <c r="N306" s="415">
        <v>3.0</v>
      </c>
      <c r="O306" s="415">
        <v>1.0</v>
      </c>
      <c r="P306" s="415" t="s">
        <v>166</v>
      </c>
      <c r="Q306" s="415" t="s">
        <v>166</v>
      </c>
      <c r="R306" s="415" t="s">
        <v>166</v>
      </c>
      <c r="S306" s="415" t="s">
        <v>166</v>
      </c>
      <c r="T306" s="413"/>
    </row>
    <row r="307">
      <c r="A307" s="412" t="s">
        <v>3401</v>
      </c>
      <c r="B307" s="413" t="s">
        <v>3524</v>
      </c>
      <c r="C307" s="174" t="str">
        <f t="shared" si="58"/>
        <v>Gigabyte</v>
      </c>
      <c r="D307" s="414" t="s">
        <v>3445</v>
      </c>
      <c r="E307" s="415">
        <v>170.0</v>
      </c>
      <c r="F307" s="415">
        <v>121.3</v>
      </c>
      <c r="G307" s="415">
        <v>36.4</v>
      </c>
      <c r="H307" s="415">
        <v>2.0</v>
      </c>
      <c r="I307" s="415">
        <v>1785.0</v>
      </c>
      <c r="J307" s="415">
        <v>12.0</v>
      </c>
      <c r="K307" s="415">
        <v>120.0</v>
      </c>
      <c r="L307" s="415">
        <v>8.0</v>
      </c>
      <c r="M307" s="415">
        <v>1.0</v>
      </c>
      <c r="N307" s="415">
        <v>3.0</v>
      </c>
      <c r="O307" s="415">
        <v>1.0</v>
      </c>
      <c r="P307" s="415" t="s">
        <v>166</v>
      </c>
      <c r="Q307" s="415" t="s">
        <v>166</v>
      </c>
      <c r="R307" s="415" t="s">
        <v>166</v>
      </c>
      <c r="S307" s="415" t="s">
        <v>166</v>
      </c>
      <c r="T307" s="413"/>
    </row>
    <row r="308">
      <c r="A308" s="412" t="s">
        <v>3401</v>
      </c>
      <c r="B308" s="413" t="s">
        <v>3524</v>
      </c>
      <c r="C308" s="416" t="str">
        <f t="shared" ref="C308:C309" si="59">HYPERLINK("http://www.inno3d.com/","Inno3D")</f>
        <v>Inno3D</v>
      </c>
      <c r="D308" s="414" t="s">
        <v>3418</v>
      </c>
      <c r="E308" s="415">
        <v>188.0</v>
      </c>
      <c r="F308" s="415">
        <v>115.0</v>
      </c>
      <c r="G308" s="415">
        <v>40.0</v>
      </c>
      <c r="H308" s="415">
        <v>2.0</v>
      </c>
      <c r="I308" s="415">
        <v>1770.0</v>
      </c>
      <c r="J308" s="415">
        <v>12.0</v>
      </c>
      <c r="K308" s="415">
        <v>120.0</v>
      </c>
      <c r="L308" s="415">
        <v>8.0</v>
      </c>
      <c r="M308" s="415">
        <v>1.0</v>
      </c>
      <c r="N308" s="415">
        <v>3.0</v>
      </c>
      <c r="O308" s="415">
        <v>1.0</v>
      </c>
      <c r="P308" s="415" t="s">
        <v>166</v>
      </c>
      <c r="Q308" s="415" t="s">
        <v>166</v>
      </c>
      <c r="R308" s="415" t="s">
        <v>166</v>
      </c>
      <c r="S308" s="415" t="s">
        <v>166</v>
      </c>
      <c r="T308" s="413"/>
    </row>
    <row r="309">
      <c r="A309" s="412" t="s">
        <v>3401</v>
      </c>
      <c r="B309" s="413" t="s">
        <v>3524</v>
      </c>
      <c r="C309" s="416" t="str">
        <f t="shared" si="59"/>
        <v>Inno3D</v>
      </c>
      <c r="D309" s="414" t="s">
        <v>3516</v>
      </c>
      <c r="E309" s="415">
        <v>196.0</v>
      </c>
      <c r="F309" s="415">
        <v>113.0</v>
      </c>
      <c r="G309" s="415">
        <v>40.0</v>
      </c>
      <c r="H309" s="415">
        <v>2.0</v>
      </c>
      <c r="I309" s="415">
        <v>1770.0</v>
      </c>
      <c r="J309" s="415">
        <v>12.0</v>
      </c>
      <c r="K309" s="415">
        <v>120.0</v>
      </c>
      <c r="L309" s="415">
        <v>8.0</v>
      </c>
      <c r="M309" s="415">
        <v>2.0</v>
      </c>
      <c r="N309" s="415">
        <v>3.0</v>
      </c>
      <c r="O309" s="415">
        <v>1.0</v>
      </c>
      <c r="P309" s="415" t="s">
        <v>166</v>
      </c>
      <c r="Q309" s="415" t="s">
        <v>166</v>
      </c>
      <c r="R309" s="415" t="s">
        <v>166</v>
      </c>
      <c r="S309" s="415" t="s">
        <v>166</v>
      </c>
      <c r="T309" s="413"/>
    </row>
    <row r="310">
      <c r="A310" s="412" t="s">
        <v>3401</v>
      </c>
      <c r="B310" s="413" t="s">
        <v>3524</v>
      </c>
      <c r="C310" s="323" t="s">
        <v>3419</v>
      </c>
      <c r="D310" s="414" t="s">
        <v>3523</v>
      </c>
      <c r="E310" s="415">
        <v>160.0</v>
      </c>
      <c r="F310" s="415">
        <v>125.0</v>
      </c>
      <c r="G310" s="415">
        <v>41.0</v>
      </c>
      <c r="H310" s="415">
        <v>2.0</v>
      </c>
      <c r="I310" s="415">
        <v>1770.0</v>
      </c>
      <c r="J310" s="415">
        <v>12.0</v>
      </c>
      <c r="K310" s="415">
        <v>120.0</v>
      </c>
      <c r="L310" s="415">
        <v>8.0</v>
      </c>
      <c r="M310" s="415">
        <v>1.0</v>
      </c>
      <c r="N310" s="415">
        <v>1.0</v>
      </c>
      <c r="O310" s="415">
        <v>1.0</v>
      </c>
      <c r="P310" s="415" t="s">
        <v>166</v>
      </c>
      <c r="Q310" s="415">
        <v>1.0</v>
      </c>
      <c r="R310" s="415" t="s">
        <v>166</v>
      </c>
      <c r="S310" s="415" t="s">
        <v>166</v>
      </c>
      <c r="T310" s="413"/>
    </row>
    <row r="311">
      <c r="A311" s="412" t="s">
        <v>3401</v>
      </c>
      <c r="B311" s="413" t="s">
        <v>3524</v>
      </c>
      <c r="C311" s="174" t="str">
        <f t="shared" ref="C311:C316" si="60">HYPERLINK("https://www.msi.com/index.php","MSI")</f>
        <v>MSI</v>
      </c>
      <c r="D311" s="414" t="s">
        <v>3375</v>
      </c>
      <c r="E311" s="415">
        <v>178.0</v>
      </c>
      <c r="F311" s="415">
        <v>126.0</v>
      </c>
      <c r="G311" s="415">
        <v>41.0</v>
      </c>
      <c r="H311" s="415">
        <v>2.0</v>
      </c>
      <c r="I311" s="415">
        <v>1770.0</v>
      </c>
      <c r="J311" s="415">
        <v>12.0</v>
      </c>
      <c r="K311" s="415">
        <v>120.0</v>
      </c>
      <c r="L311" s="415">
        <v>8.0</v>
      </c>
      <c r="M311" s="415">
        <v>1.0</v>
      </c>
      <c r="N311" s="415">
        <v>1.0</v>
      </c>
      <c r="O311" s="415">
        <v>1.0</v>
      </c>
      <c r="P311" s="415" t="s">
        <v>166</v>
      </c>
      <c r="Q311" s="415">
        <v>1.0</v>
      </c>
      <c r="R311" s="415" t="s">
        <v>166</v>
      </c>
      <c r="S311" s="415" t="s">
        <v>166</v>
      </c>
      <c r="T311" s="413"/>
    </row>
    <row r="312">
      <c r="A312" s="412" t="s">
        <v>3401</v>
      </c>
      <c r="B312" s="413" t="s">
        <v>3524</v>
      </c>
      <c r="C312" s="174" t="str">
        <f t="shared" si="60"/>
        <v>MSI</v>
      </c>
      <c r="D312" s="414" t="s">
        <v>3434</v>
      </c>
      <c r="E312" s="415">
        <v>178.0</v>
      </c>
      <c r="F312" s="415">
        <v>126.0</v>
      </c>
      <c r="G312" s="415">
        <v>41.0</v>
      </c>
      <c r="H312" s="415">
        <v>2.0</v>
      </c>
      <c r="I312" s="415">
        <v>1830.0</v>
      </c>
      <c r="J312" s="415">
        <v>12.0</v>
      </c>
      <c r="K312" s="415">
        <v>120.0</v>
      </c>
      <c r="L312" s="415">
        <v>8.0</v>
      </c>
      <c r="M312" s="415">
        <v>1.0</v>
      </c>
      <c r="N312" s="415">
        <v>1.0</v>
      </c>
      <c r="O312" s="415">
        <v>1.0</v>
      </c>
      <c r="P312" s="415" t="s">
        <v>166</v>
      </c>
      <c r="Q312" s="415">
        <v>1.0</v>
      </c>
      <c r="R312" s="415" t="s">
        <v>166</v>
      </c>
      <c r="S312" s="415" t="s">
        <v>166</v>
      </c>
      <c r="T312" s="413"/>
    </row>
    <row r="313">
      <c r="A313" s="412" t="s">
        <v>3401</v>
      </c>
      <c r="B313" s="413" t="s">
        <v>3524</v>
      </c>
      <c r="C313" s="174" t="str">
        <f t="shared" si="60"/>
        <v>MSI</v>
      </c>
      <c r="D313" s="414" t="s">
        <v>3497</v>
      </c>
      <c r="E313" s="415">
        <v>204.0</v>
      </c>
      <c r="F313" s="415">
        <v>128.0</v>
      </c>
      <c r="G313" s="415">
        <v>42.0</v>
      </c>
      <c r="H313" s="415">
        <v>2.0</v>
      </c>
      <c r="I313" s="415">
        <v>1770.0</v>
      </c>
      <c r="J313" s="415">
        <v>12.0</v>
      </c>
      <c r="K313" s="415">
        <v>120.0</v>
      </c>
      <c r="L313" s="415">
        <v>8.0</v>
      </c>
      <c r="M313" s="415">
        <v>2.0</v>
      </c>
      <c r="N313" s="415">
        <v>3.0</v>
      </c>
      <c r="O313" s="415">
        <v>1.0</v>
      </c>
      <c r="P313" s="415" t="s">
        <v>166</v>
      </c>
      <c r="Q313" s="415" t="s">
        <v>166</v>
      </c>
      <c r="R313" s="415" t="s">
        <v>166</v>
      </c>
      <c r="S313" s="415" t="s">
        <v>166</v>
      </c>
      <c r="T313" s="413"/>
    </row>
    <row r="314">
      <c r="A314" s="412" t="s">
        <v>3401</v>
      </c>
      <c r="B314" s="413" t="s">
        <v>3524</v>
      </c>
      <c r="C314" s="174" t="str">
        <f t="shared" si="60"/>
        <v>MSI</v>
      </c>
      <c r="D314" s="414" t="s">
        <v>3498</v>
      </c>
      <c r="E314" s="415">
        <v>204.0</v>
      </c>
      <c r="F314" s="415">
        <v>128.0</v>
      </c>
      <c r="G314" s="415">
        <v>42.0</v>
      </c>
      <c r="H314" s="415">
        <v>2.0</v>
      </c>
      <c r="I314" s="415">
        <v>1830.0</v>
      </c>
      <c r="J314" s="415">
        <v>12.0</v>
      </c>
      <c r="K314" s="415">
        <v>120.0</v>
      </c>
      <c r="L314" s="415">
        <v>8.0</v>
      </c>
      <c r="M314" s="415">
        <v>2.0</v>
      </c>
      <c r="N314" s="415">
        <v>3.0</v>
      </c>
      <c r="O314" s="415">
        <v>1.0</v>
      </c>
      <c r="P314" s="415" t="s">
        <v>166</v>
      </c>
      <c r="Q314" s="415" t="s">
        <v>166</v>
      </c>
      <c r="R314" s="415" t="s">
        <v>166</v>
      </c>
      <c r="S314" s="415" t="s">
        <v>166</v>
      </c>
      <c r="T314" s="413"/>
    </row>
    <row r="315">
      <c r="A315" s="412" t="s">
        <v>3401</v>
      </c>
      <c r="B315" s="413" t="s">
        <v>3524</v>
      </c>
      <c r="C315" s="174" t="str">
        <f t="shared" si="60"/>
        <v>MSI</v>
      </c>
      <c r="D315" s="414" t="s">
        <v>3499</v>
      </c>
      <c r="E315" s="415">
        <v>204.0</v>
      </c>
      <c r="F315" s="415">
        <v>128.0</v>
      </c>
      <c r="G315" s="415">
        <v>42.0</v>
      </c>
      <c r="H315" s="415">
        <v>2.0</v>
      </c>
      <c r="I315" s="415">
        <v>1770.0</v>
      </c>
      <c r="J315" s="415">
        <v>12.0</v>
      </c>
      <c r="K315" s="415">
        <v>120.0</v>
      </c>
      <c r="L315" s="415">
        <v>8.0</v>
      </c>
      <c r="M315" s="415">
        <v>2.0</v>
      </c>
      <c r="N315" s="415">
        <v>3.0</v>
      </c>
      <c r="O315" s="415">
        <v>1.0</v>
      </c>
      <c r="P315" s="415" t="s">
        <v>166</v>
      </c>
      <c r="Q315" s="415" t="s">
        <v>166</v>
      </c>
      <c r="R315" s="415" t="s">
        <v>166</v>
      </c>
      <c r="S315" s="415" t="s">
        <v>166</v>
      </c>
      <c r="T315" s="413"/>
    </row>
    <row r="316">
      <c r="A316" s="412" t="s">
        <v>3401</v>
      </c>
      <c r="B316" s="413" t="s">
        <v>3524</v>
      </c>
      <c r="C316" s="174" t="str">
        <f t="shared" si="60"/>
        <v>MSI</v>
      </c>
      <c r="D316" s="414" t="s">
        <v>3500</v>
      </c>
      <c r="E316" s="415">
        <v>204.0</v>
      </c>
      <c r="F316" s="415">
        <v>128.0</v>
      </c>
      <c r="G316" s="415">
        <v>42.0</v>
      </c>
      <c r="H316" s="415">
        <v>2.0</v>
      </c>
      <c r="I316" s="415">
        <v>1830.0</v>
      </c>
      <c r="J316" s="415">
        <v>12.0</v>
      </c>
      <c r="K316" s="415">
        <v>120.0</v>
      </c>
      <c r="L316" s="415">
        <v>8.0</v>
      </c>
      <c r="M316" s="415">
        <v>2.0</v>
      </c>
      <c r="N316" s="415">
        <v>3.0</v>
      </c>
      <c r="O316" s="415">
        <v>1.0</v>
      </c>
      <c r="P316" s="415" t="s">
        <v>166</v>
      </c>
      <c r="Q316" s="415" t="s">
        <v>166</v>
      </c>
      <c r="R316" s="415" t="s">
        <v>166</v>
      </c>
      <c r="S316" s="415" t="s">
        <v>166</v>
      </c>
      <c r="T316" s="413"/>
    </row>
    <row r="317">
      <c r="A317" s="412" t="s">
        <v>3401</v>
      </c>
      <c r="B317" s="413" t="s">
        <v>3524</v>
      </c>
      <c r="C317" s="416" t="str">
        <f t="shared" ref="C317:C318" si="61">HYPERLINK("http://www.palit.com/palit/index.php?lang=en","Palit")</f>
        <v>Palit</v>
      </c>
      <c r="D317" s="414" t="str">
        <f>HYPERLINK("http://www.palit.com/palit/vgapro.php?id=3153&amp;lang=en","StormX")</f>
        <v>StormX</v>
      </c>
      <c r="E317" s="415">
        <v>168.0</v>
      </c>
      <c r="F317" s="415">
        <v>122.0</v>
      </c>
      <c r="G317" s="415">
        <v>40.0</v>
      </c>
      <c r="H317" s="415">
        <v>2.0</v>
      </c>
      <c r="I317" s="415">
        <v>1770.0</v>
      </c>
      <c r="J317" s="415">
        <v>12.0</v>
      </c>
      <c r="K317" s="415">
        <v>120.0</v>
      </c>
      <c r="L317" s="415">
        <v>8.0</v>
      </c>
      <c r="M317" s="415">
        <v>1.0</v>
      </c>
      <c r="N317" s="415">
        <v>1.0</v>
      </c>
      <c r="O317" s="415">
        <v>1.0</v>
      </c>
      <c r="P317" s="415" t="s">
        <v>166</v>
      </c>
      <c r="Q317" s="415">
        <v>1.0</v>
      </c>
      <c r="R317" s="415" t="s">
        <v>166</v>
      </c>
      <c r="S317" s="415" t="s">
        <v>166</v>
      </c>
      <c r="T317" s="413"/>
    </row>
    <row r="318">
      <c r="A318" s="412" t="s">
        <v>3401</v>
      </c>
      <c r="B318" s="413" t="s">
        <v>3524</v>
      </c>
      <c r="C318" s="416" t="str">
        <f t="shared" si="61"/>
        <v>Palit</v>
      </c>
      <c r="D318" s="414" t="s">
        <v>3463</v>
      </c>
      <c r="E318" s="415">
        <v>168.0</v>
      </c>
      <c r="F318" s="415">
        <v>122.0</v>
      </c>
      <c r="G318" s="415">
        <v>40.0</v>
      </c>
      <c r="H318" s="415">
        <v>2.0</v>
      </c>
      <c r="I318" s="415">
        <v>1815.0</v>
      </c>
      <c r="J318" s="415">
        <v>12.0</v>
      </c>
      <c r="K318" s="415">
        <v>120.0</v>
      </c>
      <c r="L318" s="415">
        <v>8.0</v>
      </c>
      <c r="M318" s="415">
        <v>1.0</v>
      </c>
      <c r="N318" s="415">
        <v>1.0</v>
      </c>
      <c r="O318" s="415">
        <v>1.0</v>
      </c>
      <c r="P318" s="415" t="s">
        <v>166</v>
      </c>
      <c r="Q318" s="415">
        <v>1.0</v>
      </c>
      <c r="R318" s="415" t="s">
        <v>166</v>
      </c>
      <c r="S318" s="415" t="s">
        <v>166</v>
      </c>
      <c r="T318" s="413"/>
    </row>
    <row r="319">
      <c r="A319" s="412" t="s">
        <v>3401</v>
      </c>
      <c r="B319" s="413" t="s">
        <v>3524</v>
      </c>
      <c r="C319" s="416" t="str">
        <f>HYPERLINK("https://pny.com/","PNY")</f>
        <v>PNY</v>
      </c>
      <c r="D319" s="414" t="str">
        <f>HYPERLINK("https://pny.com/pny-geforce-gtx-1660ti-xlr8-oc-single-fan","XLR8 Gaming OC")</f>
        <v>XLR8 Gaming OC</v>
      </c>
      <c r="E319" s="415">
        <v>168.0</v>
      </c>
      <c r="F319" s="415">
        <v>126.0</v>
      </c>
      <c r="G319" s="415">
        <v>40.0</v>
      </c>
      <c r="H319" s="415">
        <v>2.0</v>
      </c>
      <c r="I319" s="415">
        <v>1815.0</v>
      </c>
      <c r="J319" s="415">
        <v>12.0</v>
      </c>
      <c r="K319" s="415">
        <v>120.0</v>
      </c>
      <c r="L319" s="415">
        <v>8.0</v>
      </c>
      <c r="M319" s="415">
        <v>1.0</v>
      </c>
      <c r="N319" s="415">
        <v>1.0</v>
      </c>
      <c r="O319" s="415">
        <v>1.0</v>
      </c>
      <c r="P319" s="415" t="s">
        <v>166</v>
      </c>
      <c r="Q319" s="415">
        <v>1.0</v>
      </c>
      <c r="R319" s="415" t="s">
        <v>166</v>
      </c>
      <c r="S319" s="415" t="s">
        <v>166</v>
      </c>
      <c r="T319" s="413"/>
    </row>
    <row r="320">
      <c r="A320" s="412" t="s">
        <v>3401</v>
      </c>
      <c r="B320" s="413" t="s">
        <v>3524</v>
      </c>
      <c r="C320" s="416" t="str">
        <f t="shared" ref="C320:C321" si="62">HYPERLINK("http://zotac.com/","ZOTAC")</f>
        <v>ZOTAC</v>
      </c>
      <c r="D320" s="414" t="s">
        <v>3529</v>
      </c>
      <c r="E320" s="415">
        <v>173.4</v>
      </c>
      <c r="F320" s="415">
        <v>111.15</v>
      </c>
      <c r="G320" s="415">
        <v>35.3</v>
      </c>
      <c r="H320" s="415">
        <v>2.0</v>
      </c>
      <c r="I320" s="415">
        <v>1770.0</v>
      </c>
      <c r="J320" s="415">
        <v>12.0</v>
      </c>
      <c r="K320" s="415">
        <v>120.0</v>
      </c>
      <c r="L320" s="415">
        <v>8.0</v>
      </c>
      <c r="M320" s="415">
        <v>2.0</v>
      </c>
      <c r="N320" s="415">
        <v>3.0</v>
      </c>
      <c r="O320" s="415">
        <v>1.0</v>
      </c>
      <c r="P320" s="415" t="s">
        <v>166</v>
      </c>
      <c r="Q320" s="415" t="s">
        <v>166</v>
      </c>
      <c r="R320" s="415" t="s">
        <v>166</v>
      </c>
      <c r="S320" s="415" t="s">
        <v>166</v>
      </c>
      <c r="T320" s="413"/>
    </row>
    <row r="321">
      <c r="A321" s="401" t="s">
        <v>3401</v>
      </c>
      <c r="B321" s="402" t="s">
        <v>3524</v>
      </c>
      <c r="C321" s="403" t="str">
        <f t="shared" si="62"/>
        <v>ZOTAC</v>
      </c>
      <c r="D321" s="404" t="str">
        <f>HYPERLINK("https://www.zotac.com/product/graphics_card/zotac-gaming-geforce-gtx-1660-ti-amp-6gb-gddr6","AMP")</f>
        <v>AMP</v>
      </c>
      <c r="E321" s="405">
        <v>209.6</v>
      </c>
      <c r="F321" s="405">
        <v>119.3</v>
      </c>
      <c r="G321" s="405">
        <v>41.0</v>
      </c>
      <c r="H321" s="405">
        <v>2.0</v>
      </c>
      <c r="I321" s="405">
        <v>1860.0</v>
      </c>
      <c r="J321" s="405">
        <v>12.0</v>
      </c>
      <c r="K321" s="405">
        <v>130.0</v>
      </c>
      <c r="L321" s="405">
        <v>8.0</v>
      </c>
      <c r="M321" s="405">
        <v>2.0</v>
      </c>
      <c r="N321" s="405">
        <v>3.0</v>
      </c>
      <c r="O321" s="405">
        <v>1.0</v>
      </c>
      <c r="P321" s="405" t="s">
        <v>166</v>
      </c>
      <c r="Q321" s="405" t="s">
        <v>166</v>
      </c>
      <c r="R321" s="405" t="s">
        <v>166</v>
      </c>
      <c r="S321" s="405" t="s">
        <v>166</v>
      </c>
      <c r="T321" s="402"/>
    </row>
    <row r="322">
      <c r="A322" s="409" t="s">
        <v>3401</v>
      </c>
      <c r="B322" s="410" t="s">
        <v>3530</v>
      </c>
      <c r="C322" s="282" t="str">
        <f t="shared" ref="C322:C326" si="63">HYPERLINK("https://www.asus.com/","Asus")</f>
        <v>Asus</v>
      </c>
      <c r="D322" s="312" t="s">
        <v>3371</v>
      </c>
      <c r="E322" s="411">
        <v>177.0</v>
      </c>
      <c r="F322" s="411">
        <v>121.0</v>
      </c>
      <c r="G322" s="411">
        <v>39.0</v>
      </c>
      <c r="H322" s="411">
        <v>2.0</v>
      </c>
      <c r="I322" s="411">
        <v>1710.0</v>
      </c>
      <c r="J322" s="411">
        <v>14.0</v>
      </c>
      <c r="K322" s="411">
        <v>160.0</v>
      </c>
      <c r="L322" s="411">
        <v>8.0</v>
      </c>
      <c r="M322" s="411">
        <v>1.0</v>
      </c>
      <c r="N322" s="411">
        <v>1.0</v>
      </c>
      <c r="O322" s="411">
        <v>2.0</v>
      </c>
      <c r="P322" s="411" t="s">
        <v>166</v>
      </c>
      <c r="Q322" s="411">
        <v>1.0</v>
      </c>
      <c r="R322" s="411" t="s">
        <v>166</v>
      </c>
      <c r="S322" s="411" t="s">
        <v>166</v>
      </c>
      <c r="T322" s="410"/>
    </row>
    <row r="323">
      <c r="A323" s="412" t="s">
        <v>3401</v>
      </c>
      <c r="B323" s="413" t="s">
        <v>3530</v>
      </c>
      <c r="C323" s="174" t="str">
        <f t="shared" si="63"/>
        <v>Asus</v>
      </c>
      <c r="D323" s="414" t="s">
        <v>3477</v>
      </c>
      <c r="E323" s="415">
        <v>204.0</v>
      </c>
      <c r="F323" s="415">
        <v>125.0</v>
      </c>
      <c r="G323" s="415">
        <v>46.0</v>
      </c>
      <c r="H323" s="415">
        <v>2.0</v>
      </c>
      <c r="I323" s="415">
        <v>1710.0</v>
      </c>
      <c r="J323" s="415">
        <v>14.0</v>
      </c>
      <c r="K323" s="415">
        <v>160.0</v>
      </c>
      <c r="L323" s="415">
        <v>8.0</v>
      </c>
      <c r="M323" s="415">
        <v>2.0</v>
      </c>
      <c r="N323" s="415">
        <v>1.0</v>
      </c>
      <c r="O323" s="415">
        <v>2.0</v>
      </c>
      <c r="P323" s="415" t="s">
        <v>166</v>
      </c>
      <c r="Q323" s="415">
        <v>1.0</v>
      </c>
      <c r="R323" s="415" t="s">
        <v>166</v>
      </c>
      <c r="S323" s="415" t="s">
        <v>166</v>
      </c>
      <c r="T323" s="413"/>
    </row>
    <row r="324">
      <c r="A324" s="412" t="s">
        <v>3401</v>
      </c>
      <c r="B324" s="413" t="s">
        <v>3530</v>
      </c>
      <c r="C324" s="174" t="str">
        <f t="shared" si="63"/>
        <v>Asus</v>
      </c>
      <c r="D324" s="414" t="s">
        <v>3478</v>
      </c>
      <c r="E324" s="415">
        <v>204.0</v>
      </c>
      <c r="F324" s="415">
        <v>125.0</v>
      </c>
      <c r="G324" s="415">
        <v>46.0</v>
      </c>
      <c r="H324" s="415">
        <v>2.0</v>
      </c>
      <c r="I324" s="415">
        <v>1740.0</v>
      </c>
      <c r="J324" s="415">
        <v>14.0</v>
      </c>
      <c r="K324" s="415">
        <v>160.0</v>
      </c>
      <c r="L324" s="415">
        <v>8.0</v>
      </c>
      <c r="M324" s="415">
        <v>2.0</v>
      </c>
      <c r="N324" s="415">
        <v>1.0</v>
      </c>
      <c r="O324" s="415">
        <v>2.0</v>
      </c>
      <c r="P324" s="415" t="s">
        <v>166</v>
      </c>
      <c r="Q324" s="415">
        <v>1.0</v>
      </c>
      <c r="R324" s="415" t="s">
        <v>166</v>
      </c>
      <c r="S324" s="415" t="s">
        <v>166</v>
      </c>
      <c r="T324" s="413"/>
    </row>
    <row r="325">
      <c r="A325" s="412" t="s">
        <v>3401</v>
      </c>
      <c r="B325" s="413" t="s">
        <v>3530</v>
      </c>
      <c r="C325" s="174" t="str">
        <f t="shared" si="63"/>
        <v>Asus</v>
      </c>
      <c r="D325" s="414" t="s">
        <v>3520</v>
      </c>
      <c r="E325" s="415">
        <v>197.0</v>
      </c>
      <c r="F325" s="415">
        <v>121.0</v>
      </c>
      <c r="G325" s="415">
        <v>39.0</v>
      </c>
      <c r="H325" s="415">
        <v>2.0</v>
      </c>
      <c r="I325" s="415">
        <v>1710.0</v>
      </c>
      <c r="J325" s="415">
        <v>14.0</v>
      </c>
      <c r="K325" s="415">
        <v>160.0</v>
      </c>
      <c r="L325" s="415">
        <v>8.0</v>
      </c>
      <c r="M325" s="415">
        <v>2.0</v>
      </c>
      <c r="N325" s="415">
        <v>1.0</v>
      </c>
      <c r="O325" s="415">
        <v>1.0</v>
      </c>
      <c r="P325" s="415" t="s">
        <v>166</v>
      </c>
      <c r="Q325" s="415">
        <v>1.0</v>
      </c>
      <c r="R325" s="415" t="s">
        <v>166</v>
      </c>
      <c r="S325" s="415" t="s">
        <v>166</v>
      </c>
      <c r="T325" s="413"/>
    </row>
    <row r="326">
      <c r="A326" s="412" t="s">
        <v>3401</v>
      </c>
      <c r="B326" s="413" t="s">
        <v>3530</v>
      </c>
      <c r="C326" s="174" t="str">
        <f t="shared" si="63"/>
        <v>Asus</v>
      </c>
      <c r="D326" s="414" t="s">
        <v>3521</v>
      </c>
      <c r="E326" s="415">
        <v>197.0</v>
      </c>
      <c r="F326" s="415">
        <v>121.0</v>
      </c>
      <c r="G326" s="415">
        <v>39.0</v>
      </c>
      <c r="H326" s="415">
        <v>2.0</v>
      </c>
      <c r="I326" s="415">
        <v>1755.0</v>
      </c>
      <c r="J326" s="415">
        <v>14.0</v>
      </c>
      <c r="K326" s="415">
        <v>160.0</v>
      </c>
      <c r="L326" s="415">
        <v>8.0</v>
      </c>
      <c r="M326" s="415">
        <v>2.0</v>
      </c>
      <c r="N326" s="415">
        <v>1.0</v>
      </c>
      <c r="O326" s="415">
        <v>1.0</v>
      </c>
      <c r="P326" s="415" t="s">
        <v>166</v>
      </c>
      <c r="Q326" s="415">
        <v>1.0</v>
      </c>
      <c r="R326" s="415" t="s">
        <v>166</v>
      </c>
      <c r="S326" s="415" t="s">
        <v>166</v>
      </c>
      <c r="T326" s="413"/>
    </row>
    <row r="327">
      <c r="A327" s="412" t="s">
        <v>3401</v>
      </c>
      <c r="B327" s="413" t="s">
        <v>3530</v>
      </c>
      <c r="C327" s="174" t="s">
        <v>3405</v>
      </c>
      <c r="D327" s="414" t="s">
        <v>3531</v>
      </c>
      <c r="E327" s="415">
        <v>205.0</v>
      </c>
      <c r="F327" s="415">
        <v>126.0</v>
      </c>
      <c r="G327" s="415">
        <v>43.0</v>
      </c>
      <c r="H327" s="415">
        <v>2.0</v>
      </c>
      <c r="I327" s="415">
        <v>1680.0</v>
      </c>
      <c r="J327" s="415">
        <v>14.0</v>
      </c>
      <c r="K327" s="415">
        <v>160.0</v>
      </c>
      <c r="L327" s="415">
        <v>8.0</v>
      </c>
      <c r="M327" s="415">
        <v>2.0</v>
      </c>
      <c r="N327" s="415">
        <v>1.0</v>
      </c>
      <c r="O327" s="415">
        <v>1.0</v>
      </c>
      <c r="P327" s="415" t="s">
        <v>166</v>
      </c>
      <c r="Q327" s="415">
        <v>1.0</v>
      </c>
      <c r="R327" s="415" t="s">
        <v>166</v>
      </c>
      <c r="S327" s="415" t="s">
        <v>166</v>
      </c>
      <c r="T327" s="413"/>
    </row>
    <row r="328">
      <c r="A328" s="412" t="s">
        <v>3401</v>
      </c>
      <c r="B328" s="413" t="s">
        <v>3530</v>
      </c>
      <c r="C328" s="174" t="str">
        <f t="shared" ref="C328:C333" si="64">HYPERLINK("https://www.evga.com/","EVGA")</f>
        <v>EVGA</v>
      </c>
      <c r="D328" s="414" t="s">
        <v>3484</v>
      </c>
      <c r="E328" s="415">
        <v>202.1</v>
      </c>
      <c r="F328" s="415">
        <v>111.15</v>
      </c>
      <c r="G328" s="415">
        <v>40.0</v>
      </c>
      <c r="H328" s="415">
        <v>2.0</v>
      </c>
      <c r="I328" s="415">
        <v>1755.0</v>
      </c>
      <c r="J328" s="415">
        <v>14.0</v>
      </c>
      <c r="K328" s="415">
        <v>160.0</v>
      </c>
      <c r="L328" s="415">
        <v>8.0</v>
      </c>
      <c r="M328" s="415">
        <v>2.0</v>
      </c>
      <c r="N328" s="415">
        <v>1.0</v>
      </c>
      <c r="O328" s="415">
        <v>1.0</v>
      </c>
      <c r="P328" s="415" t="s">
        <v>166</v>
      </c>
      <c r="Q328" s="415">
        <v>1.0</v>
      </c>
      <c r="R328" s="415" t="s">
        <v>166</v>
      </c>
      <c r="S328" s="415" t="s">
        <v>166</v>
      </c>
      <c r="T328" s="413"/>
    </row>
    <row r="329">
      <c r="A329" s="412" t="s">
        <v>3401</v>
      </c>
      <c r="B329" s="413" t="s">
        <v>3530</v>
      </c>
      <c r="C329" s="174" t="str">
        <f t="shared" si="64"/>
        <v>EVGA</v>
      </c>
      <c r="D329" s="414" t="s">
        <v>3485</v>
      </c>
      <c r="E329" s="415">
        <v>202.1</v>
      </c>
      <c r="F329" s="415">
        <v>111.15</v>
      </c>
      <c r="G329" s="415">
        <v>40.0</v>
      </c>
      <c r="H329" s="415">
        <v>2.0</v>
      </c>
      <c r="I329" s="415">
        <v>1755.0</v>
      </c>
      <c r="J329" s="415">
        <v>14.0</v>
      </c>
      <c r="K329" s="415">
        <v>160.0</v>
      </c>
      <c r="L329" s="415">
        <v>8.0</v>
      </c>
      <c r="M329" s="415">
        <v>2.0</v>
      </c>
      <c r="N329" s="415">
        <v>1.0</v>
      </c>
      <c r="O329" s="415">
        <v>1.0</v>
      </c>
      <c r="P329" s="415" t="s">
        <v>166</v>
      </c>
      <c r="Q329" s="415">
        <v>1.0</v>
      </c>
      <c r="R329" s="415" t="s">
        <v>166</v>
      </c>
      <c r="S329" s="415" t="s">
        <v>166</v>
      </c>
      <c r="T329" s="413"/>
    </row>
    <row r="330">
      <c r="A330" s="412" t="s">
        <v>3401</v>
      </c>
      <c r="B330" s="413" t="s">
        <v>3530</v>
      </c>
      <c r="C330" s="174" t="str">
        <f t="shared" si="64"/>
        <v>EVGA</v>
      </c>
      <c r="D330" s="414" t="s">
        <v>3409</v>
      </c>
      <c r="E330" s="415">
        <v>189.89</v>
      </c>
      <c r="F330" s="415">
        <v>111.15</v>
      </c>
      <c r="G330" s="415">
        <v>55.0</v>
      </c>
      <c r="H330" s="415">
        <v>3.0</v>
      </c>
      <c r="I330" s="415">
        <v>1680.0</v>
      </c>
      <c r="J330" s="415">
        <v>14.0</v>
      </c>
      <c r="K330" s="415">
        <v>160.0</v>
      </c>
      <c r="L330" s="415">
        <v>8.0</v>
      </c>
      <c r="M330" s="415">
        <v>1.0</v>
      </c>
      <c r="N330" s="415">
        <v>1.0</v>
      </c>
      <c r="O330" s="415">
        <v>1.0</v>
      </c>
      <c r="P330" s="415" t="s">
        <v>166</v>
      </c>
      <c r="Q330" s="415">
        <v>1.0</v>
      </c>
      <c r="R330" s="415" t="s">
        <v>166</v>
      </c>
      <c r="S330" s="415" t="s">
        <v>166</v>
      </c>
      <c r="T330" s="413"/>
    </row>
    <row r="331">
      <c r="A331" s="412" t="s">
        <v>3401</v>
      </c>
      <c r="B331" s="413" t="s">
        <v>3530</v>
      </c>
      <c r="C331" s="174" t="str">
        <f t="shared" si="64"/>
        <v>EVGA</v>
      </c>
      <c r="D331" s="414" t="s">
        <v>3410</v>
      </c>
      <c r="E331" s="415">
        <v>189.89</v>
      </c>
      <c r="F331" s="415">
        <v>111.15</v>
      </c>
      <c r="G331" s="415">
        <v>55.0</v>
      </c>
      <c r="H331" s="415">
        <v>3.0</v>
      </c>
      <c r="I331" s="415">
        <v>1710.0</v>
      </c>
      <c r="J331" s="415">
        <v>14.0</v>
      </c>
      <c r="K331" s="415">
        <v>160.0</v>
      </c>
      <c r="L331" s="415">
        <v>8.0</v>
      </c>
      <c r="M331" s="415">
        <v>1.0</v>
      </c>
      <c r="N331" s="415">
        <v>1.0</v>
      </c>
      <c r="O331" s="415">
        <v>1.0</v>
      </c>
      <c r="P331" s="415" t="s">
        <v>166</v>
      </c>
      <c r="Q331" s="415">
        <v>1.0</v>
      </c>
      <c r="R331" s="415" t="s">
        <v>166</v>
      </c>
      <c r="S331" s="415" t="s">
        <v>166</v>
      </c>
      <c r="T331" s="413"/>
    </row>
    <row r="332">
      <c r="A332" s="428" t="s">
        <v>3401</v>
      </c>
      <c r="B332" s="429" t="s">
        <v>3530</v>
      </c>
      <c r="C332" s="454" t="str">
        <f t="shared" si="64"/>
        <v>EVGA</v>
      </c>
      <c r="D332" s="414" t="s">
        <v>3506</v>
      </c>
      <c r="E332" s="455">
        <v>189.89</v>
      </c>
      <c r="F332" s="461">
        <v>111.15</v>
      </c>
      <c r="G332" s="457">
        <v>55.0</v>
      </c>
      <c r="H332" s="451">
        <v>3.0</v>
      </c>
      <c r="I332" s="415">
        <v>1680.0</v>
      </c>
      <c r="J332" s="309">
        <v>14.0</v>
      </c>
      <c r="K332" s="462">
        <v>160.0</v>
      </c>
      <c r="L332" s="307">
        <v>8.0</v>
      </c>
      <c r="M332" s="307">
        <v>1.0</v>
      </c>
      <c r="N332" s="307">
        <v>1.0</v>
      </c>
      <c r="O332" s="307">
        <v>1.0</v>
      </c>
      <c r="P332" s="307" t="s">
        <v>166</v>
      </c>
      <c r="Q332" s="307">
        <v>1.0</v>
      </c>
      <c r="R332" s="451" t="s">
        <v>166</v>
      </c>
      <c r="S332" s="451" t="s">
        <v>166</v>
      </c>
      <c r="T332" s="413"/>
    </row>
    <row r="333">
      <c r="A333" s="412" t="s">
        <v>3401</v>
      </c>
      <c r="B333" s="413" t="s">
        <v>3530</v>
      </c>
      <c r="C333" s="174" t="str">
        <f t="shared" si="64"/>
        <v>EVGA</v>
      </c>
      <c r="D333" s="414" t="s">
        <v>3513</v>
      </c>
      <c r="E333" s="415">
        <v>189.89</v>
      </c>
      <c r="F333" s="415">
        <v>111.15</v>
      </c>
      <c r="G333" s="415">
        <v>55.0</v>
      </c>
      <c r="H333" s="415">
        <v>3.0</v>
      </c>
      <c r="I333" s="415">
        <v>1755.0</v>
      </c>
      <c r="J333" s="415">
        <v>14.0</v>
      </c>
      <c r="K333" s="415">
        <v>160.0</v>
      </c>
      <c r="L333" s="415">
        <v>8.0</v>
      </c>
      <c r="M333" s="415">
        <v>1.0</v>
      </c>
      <c r="N333" s="415">
        <v>1.0</v>
      </c>
      <c r="O333" s="415">
        <v>1.0</v>
      </c>
      <c r="P333" s="415" t="s">
        <v>166</v>
      </c>
      <c r="Q333" s="415">
        <v>1.0</v>
      </c>
      <c r="R333" s="415" t="s">
        <v>166</v>
      </c>
      <c r="S333" s="415" t="s">
        <v>166</v>
      </c>
      <c r="T333" s="413"/>
    </row>
    <row r="334">
      <c r="A334" s="412" t="s">
        <v>3401</v>
      </c>
      <c r="B334" s="413" t="s">
        <v>3530</v>
      </c>
      <c r="C334" s="416" t="str">
        <f t="shared" ref="C334:C335" si="65">HYPERLINK("http://www.gainward.com/main/index.php?lang=en","Gainward")</f>
        <v>Gainward</v>
      </c>
      <c r="D334" s="414" t="str">
        <f>HYPERLINK("http://www.gainward.com/main/vgapro.php?id=1037&amp;lang=en","Pegasus")</f>
        <v>Pegasus</v>
      </c>
      <c r="E334" s="415">
        <v>168.0</v>
      </c>
      <c r="F334" s="415">
        <v>126.0</v>
      </c>
      <c r="G334" s="415">
        <v>40.0</v>
      </c>
      <c r="H334" s="415">
        <v>2.0</v>
      </c>
      <c r="I334" s="415">
        <v>1680.0</v>
      </c>
      <c r="J334" s="415">
        <v>14.0</v>
      </c>
      <c r="K334" s="415">
        <v>160.0</v>
      </c>
      <c r="L334" s="415">
        <v>8.0</v>
      </c>
      <c r="M334" s="415">
        <v>1.0</v>
      </c>
      <c r="N334" s="415">
        <v>1.0</v>
      </c>
      <c r="O334" s="415">
        <v>1.0</v>
      </c>
      <c r="P334" s="415" t="s">
        <v>166</v>
      </c>
      <c r="Q334" s="415">
        <v>1.0</v>
      </c>
      <c r="R334" s="415" t="s">
        <v>166</v>
      </c>
      <c r="S334" s="415" t="s">
        <v>166</v>
      </c>
      <c r="T334" s="413"/>
    </row>
    <row r="335">
      <c r="A335" s="412" t="s">
        <v>3401</v>
      </c>
      <c r="B335" s="413" t="s">
        <v>3530</v>
      </c>
      <c r="C335" s="416" t="str">
        <f t="shared" si="65"/>
        <v>Gainward</v>
      </c>
      <c r="D335" s="414" t="s">
        <v>3507</v>
      </c>
      <c r="E335" s="415">
        <v>168.0</v>
      </c>
      <c r="F335" s="415">
        <v>126.0</v>
      </c>
      <c r="G335" s="415">
        <v>40.0</v>
      </c>
      <c r="H335" s="415">
        <v>2.0</v>
      </c>
      <c r="I335" s="415">
        <v>1725.0</v>
      </c>
      <c r="J335" s="415">
        <v>14.0</v>
      </c>
      <c r="K335" s="415">
        <v>160.0</v>
      </c>
      <c r="L335" s="415">
        <v>8.0</v>
      </c>
      <c r="M335" s="415">
        <v>1.0</v>
      </c>
      <c r="N335" s="415">
        <v>1.0</v>
      </c>
      <c r="O335" s="415">
        <v>1.0</v>
      </c>
      <c r="P335" s="415" t="s">
        <v>166</v>
      </c>
      <c r="Q335" s="415">
        <v>1.0</v>
      </c>
      <c r="R335" s="415" t="s">
        <v>166</v>
      </c>
      <c r="S335" s="415" t="s">
        <v>166</v>
      </c>
      <c r="T335" s="413"/>
    </row>
    <row r="336">
      <c r="A336" s="412" t="s">
        <v>3401</v>
      </c>
      <c r="B336" s="413" t="s">
        <v>3530</v>
      </c>
      <c r="C336" s="174" t="s">
        <v>3456</v>
      </c>
      <c r="D336" s="414" t="str">
        <f>HYPERLINK("http://www.galax.com/en/graphics-card/20-series/2060-series/galax-geforce-rtx-2060-1click.html","(1-Click OC)")</f>
        <v>(1-Click OC)</v>
      </c>
      <c r="E336" s="415">
        <v>214.0</v>
      </c>
      <c r="F336" s="415">
        <v>118.65</v>
      </c>
      <c r="G336" s="415">
        <v>38.6</v>
      </c>
      <c r="H336" s="415">
        <v>2.0</v>
      </c>
      <c r="I336" s="415">
        <v>1710.0</v>
      </c>
      <c r="J336" s="415">
        <v>14.0</v>
      </c>
      <c r="K336" s="415">
        <v>160.0</v>
      </c>
      <c r="L336" s="415">
        <v>8.0</v>
      </c>
      <c r="M336" s="415">
        <v>2.0</v>
      </c>
      <c r="N336" s="415">
        <v>1.0</v>
      </c>
      <c r="O336" s="415">
        <v>1.0</v>
      </c>
      <c r="P336" s="415" t="s">
        <v>166</v>
      </c>
      <c r="Q336" s="415">
        <v>1.0</v>
      </c>
      <c r="R336" s="415" t="s">
        <v>166</v>
      </c>
      <c r="S336" s="415" t="s">
        <v>166</v>
      </c>
      <c r="T336" s="413"/>
    </row>
    <row r="337">
      <c r="A337" s="412" t="s">
        <v>3401</v>
      </c>
      <c r="B337" s="413" t="s">
        <v>3530</v>
      </c>
      <c r="C337" s="174" t="s">
        <v>3456</v>
      </c>
      <c r="D337" s="414" t="s">
        <v>3532</v>
      </c>
      <c r="E337" s="415">
        <v>175.0</v>
      </c>
      <c r="F337" s="415">
        <v>111.0</v>
      </c>
      <c r="G337" s="415">
        <v>38.0</v>
      </c>
      <c r="H337" s="415">
        <v>2.0</v>
      </c>
      <c r="I337" s="415">
        <v>1725.0</v>
      </c>
      <c r="J337" s="415">
        <v>14.0</v>
      </c>
      <c r="K337" s="415">
        <v>160.0</v>
      </c>
      <c r="L337" s="415">
        <v>8.0</v>
      </c>
      <c r="M337" s="415">
        <v>2.0</v>
      </c>
      <c r="N337" s="415">
        <v>1.0</v>
      </c>
      <c r="O337" s="415">
        <v>1.0</v>
      </c>
      <c r="P337" s="415" t="s">
        <v>166</v>
      </c>
      <c r="Q337" s="415">
        <v>1.0</v>
      </c>
      <c r="R337" s="415" t="s">
        <v>166</v>
      </c>
      <c r="S337" s="415" t="s">
        <v>166</v>
      </c>
      <c r="T337" s="413"/>
    </row>
    <row r="338">
      <c r="A338" s="412" t="s">
        <v>3401</v>
      </c>
      <c r="B338" s="413" t="s">
        <v>3530</v>
      </c>
      <c r="C338" s="174" t="s">
        <v>3456</v>
      </c>
      <c r="D338" s="414" t="s">
        <v>3514</v>
      </c>
      <c r="E338" s="415">
        <v>175.0</v>
      </c>
      <c r="F338" s="415">
        <v>111.0</v>
      </c>
      <c r="G338" s="415">
        <v>38.0</v>
      </c>
      <c r="H338" s="415">
        <v>2.0</v>
      </c>
      <c r="I338" s="415">
        <v>1725.0</v>
      </c>
      <c r="J338" s="415">
        <v>14.0</v>
      </c>
      <c r="K338" s="415">
        <v>160.0</v>
      </c>
      <c r="L338" s="415">
        <v>8.0</v>
      </c>
      <c r="M338" s="415">
        <v>2.0</v>
      </c>
      <c r="N338" s="415">
        <v>1.0</v>
      </c>
      <c r="O338" s="415">
        <v>1.0</v>
      </c>
      <c r="P338" s="415" t="s">
        <v>166</v>
      </c>
      <c r="Q338" s="415">
        <v>1.0</v>
      </c>
      <c r="R338" s="415" t="s">
        <v>166</v>
      </c>
      <c r="S338" s="415" t="s">
        <v>166</v>
      </c>
      <c r="T338" s="413"/>
    </row>
    <row r="339">
      <c r="A339" s="412" t="s">
        <v>3401</v>
      </c>
      <c r="B339" s="413" t="s">
        <v>3530</v>
      </c>
      <c r="C339" s="174" t="str">
        <f t="shared" ref="C339:C340" si="66">HYPERLINK("https://www.gigabyte.com/","Gigabyte")</f>
        <v>Gigabyte</v>
      </c>
      <c r="D339" s="414" t="str">
        <f>HYPERLINK("https://www.gigabyte.com/Graphics-Card/GV-N2060IX-6GD#kf","Mini ITX")</f>
        <v>Mini ITX</v>
      </c>
      <c r="E339" s="415">
        <v>170.0</v>
      </c>
      <c r="F339" s="415">
        <v>121.3</v>
      </c>
      <c r="G339" s="415">
        <v>36.4</v>
      </c>
      <c r="H339" s="415">
        <v>2.0</v>
      </c>
      <c r="I339" s="415">
        <v>1680.0</v>
      </c>
      <c r="J339" s="415">
        <v>14.0</v>
      </c>
      <c r="K339" s="415">
        <v>160.0</v>
      </c>
      <c r="L339" s="415">
        <v>8.0</v>
      </c>
      <c r="M339" s="415">
        <v>1.0</v>
      </c>
      <c r="N339" s="415">
        <v>3.0</v>
      </c>
      <c r="O339" s="415">
        <v>1.0</v>
      </c>
      <c r="P339" s="415" t="s">
        <v>166</v>
      </c>
      <c r="Q339" s="415" t="s">
        <v>166</v>
      </c>
      <c r="R339" s="415" t="s">
        <v>166</v>
      </c>
      <c r="S339" s="415" t="s">
        <v>166</v>
      </c>
      <c r="T339" s="413"/>
    </row>
    <row r="340">
      <c r="A340" s="412" t="s">
        <v>3401</v>
      </c>
      <c r="B340" s="413" t="s">
        <v>3530</v>
      </c>
      <c r="C340" s="174" t="str">
        <f t="shared" si="66"/>
        <v>Gigabyte</v>
      </c>
      <c r="D340" s="414" t="s">
        <v>3445</v>
      </c>
      <c r="E340" s="415">
        <v>170.0</v>
      </c>
      <c r="F340" s="415">
        <v>121.3</v>
      </c>
      <c r="G340" s="415">
        <v>36.4</v>
      </c>
      <c r="H340" s="415">
        <v>2.0</v>
      </c>
      <c r="I340" s="415">
        <v>1695.0</v>
      </c>
      <c r="J340" s="415">
        <v>14.0</v>
      </c>
      <c r="K340" s="415">
        <v>160.0</v>
      </c>
      <c r="L340" s="415">
        <v>8.0</v>
      </c>
      <c r="M340" s="415">
        <v>1.0</v>
      </c>
      <c r="N340" s="415">
        <v>3.0</v>
      </c>
      <c r="O340" s="415">
        <v>1.0</v>
      </c>
      <c r="P340" s="415" t="s">
        <v>166</v>
      </c>
      <c r="Q340" s="415" t="s">
        <v>166</v>
      </c>
      <c r="R340" s="415" t="s">
        <v>166</v>
      </c>
      <c r="S340" s="415" t="s">
        <v>166</v>
      </c>
      <c r="T340" s="413"/>
    </row>
    <row r="341">
      <c r="A341" s="412" t="s">
        <v>3401</v>
      </c>
      <c r="B341" s="413" t="s">
        <v>3530</v>
      </c>
      <c r="C341" s="416" t="str">
        <f t="shared" ref="C341:C342" si="67">HYPERLINK("http://www.inno3d.com/","Inno3D")</f>
        <v>Inno3D</v>
      </c>
      <c r="D341" s="453" t="s">
        <v>3418</v>
      </c>
      <c r="E341" s="415">
        <v>186.0</v>
      </c>
      <c r="F341" s="415">
        <v>116.0</v>
      </c>
      <c r="G341" s="415">
        <v>40.0</v>
      </c>
      <c r="H341" s="415">
        <v>2.0</v>
      </c>
      <c r="I341" s="415">
        <v>1680.0</v>
      </c>
      <c r="J341" s="415">
        <v>14.0</v>
      </c>
      <c r="K341" s="415">
        <v>160.0</v>
      </c>
      <c r="L341" s="415">
        <v>8.0</v>
      </c>
      <c r="M341" s="415">
        <v>1.0</v>
      </c>
      <c r="N341" s="415">
        <v>3.0</v>
      </c>
      <c r="O341" s="415">
        <v>1.0</v>
      </c>
      <c r="P341" s="415" t="s">
        <v>166</v>
      </c>
      <c r="Q341" s="415" t="s">
        <v>166</v>
      </c>
      <c r="R341" s="415" t="s">
        <v>166</v>
      </c>
      <c r="S341" s="415" t="s">
        <v>166</v>
      </c>
      <c r="T341" s="413"/>
    </row>
    <row r="342">
      <c r="A342" s="412" t="s">
        <v>3401</v>
      </c>
      <c r="B342" s="413" t="s">
        <v>3530</v>
      </c>
      <c r="C342" s="416" t="str">
        <f t="shared" si="67"/>
        <v>Inno3D</v>
      </c>
      <c r="D342" s="414" t="s">
        <v>3516</v>
      </c>
      <c r="E342" s="415">
        <v>196.0</v>
      </c>
      <c r="F342" s="415">
        <v>113.0</v>
      </c>
      <c r="G342" s="415">
        <v>40.0</v>
      </c>
      <c r="H342" s="415">
        <v>2.0</v>
      </c>
      <c r="I342" s="415">
        <v>1680.0</v>
      </c>
      <c r="J342" s="415">
        <v>14.0</v>
      </c>
      <c r="K342" s="415">
        <v>160.0</v>
      </c>
      <c r="L342" s="415">
        <v>8.0</v>
      </c>
      <c r="M342" s="415">
        <v>2.0</v>
      </c>
      <c r="N342" s="415">
        <v>3.0</v>
      </c>
      <c r="O342" s="415">
        <v>1.0</v>
      </c>
      <c r="P342" s="415" t="s">
        <v>166</v>
      </c>
      <c r="Q342" s="415" t="s">
        <v>166</v>
      </c>
      <c r="R342" s="415" t="s">
        <v>166</v>
      </c>
      <c r="S342" s="415" t="s">
        <v>166</v>
      </c>
      <c r="T342" s="413"/>
    </row>
    <row r="343">
      <c r="A343" s="412" t="s">
        <v>3401</v>
      </c>
      <c r="B343" s="413" t="s">
        <v>3530</v>
      </c>
      <c r="C343" s="174" t="str">
        <f t="shared" ref="C343:C346" si="68">HYPERLINK("https://www.msi.com/index.php","MSI")</f>
        <v>MSI</v>
      </c>
      <c r="D343" s="414" t="s">
        <v>3375</v>
      </c>
      <c r="E343" s="415">
        <v>175.0</v>
      </c>
      <c r="F343" s="415">
        <v>126.0</v>
      </c>
      <c r="G343" s="415">
        <v>43.0</v>
      </c>
      <c r="H343" s="415">
        <v>2.0</v>
      </c>
      <c r="I343" s="415">
        <v>1680.0</v>
      </c>
      <c r="J343" s="415">
        <v>14.0</v>
      </c>
      <c r="K343" s="415">
        <v>160.0</v>
      </c>
      <c r="L343" s="415">
        <v>8.0</v>
      </c>
      <c r="M343" s="415">
        <v>1.0</v>
      </c>
      <c r="N343" s="415">
        <v>3.0</v>
      </c>
      <c r="O343" s="415">
        <v>1.0</v>
      </c>
      <c r="P343" s="415" t="s">
        <v>166</v>
      </c>
      <c r="Q343" s="415" t="s">
        <v>166</v>
      </c>
      <c r="R343" s="415" t="s">
        <v>166</v>
      </c>
      <c r="S343" s="415" t="s">
        <v>166</v>
      </c>
      <c r="T343" s="413"/>
    </row>
    <row r="344">
      <c r="A344" s="412" t="s">
        <v>3401</v>
      </c>
      <c r="B344" s="413" t="s">
        <v>3530</v>
      </c>
      <c r="C344" s="174" t="str">
        <f t="shared" si="68"/>
        <v>MSI</v>
      </c>
      <c r="D344" s="414" t="s">
        <v>3434</v>
      </c>
      <c r="E344" s="415">
        <v>175.0</v>
      </c>
      <c r="F344" s="415">
        <v>126.0</v>
      </c>
      <c r="G344" s="415">
        <v>43.0</v>
      </c>
      <c r="H344" s="415">
        <v>2.0</v>
      </c>
      <c r="I344" s="415">
        <v>1710.0</v>
      </c>
      <c r="J344" s="415">
        <v>14.0</v>
      </c>
      <c r="K344" s="415">
        <v>160.0</v>
      </c>
      <c r="L344" s="415">
        <v>8.0</v>
      </c>
      <c r="M344" s="415">
        <v>1.0</v>
      </c>
      <c r="N344" s="415">
        <v>3.0</v>
      </c>
      <c r="O344" s="415">
        <v>1.0</v>
      </c>
      <c r="P344" s="415" t="s">
        <v>166</v>
      </c>
      <c r="Q344" s="415" t="s">
        <v>166</v>
      </c>
      <c r="R344" s="415" t="s">
        <v>166</v>
      </c>
      <c r="S344" s="415" t="s">
        <v>166</v>
      </c>
      <c r="T344" s="413"/>
    </row>
    <row r="345">
      <c r="A345" s="412" t="s">
        <v>3401</v>
      </c>
      <c r="B345" s="413" t="s">
        <v>3530</v>
      </c>
      <c r="C345" s="174" t="str">
        <f t="shared" si="68"/>
        <v>MSI</v>
      </c>
      <c r="D345" s="414" t="s">
        <v>3497</v>
      </c>
      <c r="E345" s="415">
        <v>205.0</v>
      </c>
      <c r="F345" s="415">
        <v>128.0</v>
      </c>
      <c r="G345" s="415">
        <v>41.0</v>
      </c>
      <c r="H345" s="415">
        <v>2.0</v>
      </c>
      <c r="I345" s="415">
        <v>1680.0</v>
      </c>
      <c r="J345" s="415">
        <v>14.0</v>
      </c>
      <c r="K345" s="415">
        <v>160.0</v>
      </c>
      <c r="L345" s="415">
        <v>8.0</v>
      </c>
      <c r="M345" s="415">
        <v>2.0</v>
      </c>
      <c r="N345" s="415">
        <v>3.0</v>
      </c>
      <c r="O345" s="415">
        <v>1.0</v>
      </c>
      <c r="P345" s="415" t="s">
        <v>166</v>
      </c>
      <c r="Q345" s="415" t="s">
        <v>166</v>
      </c>
      <c r="R345" s="415" t="s">
        <v>166</v>
      </c>
      <c r="S345" s="415" t="s">
        <v>166</v>
      </c>
      <c r="T345" s="413"/>
    </row>
    <row r="346">
      <c r="A346" s="412" t="s">
        <v>3401</v>
      </c>
      <c r="B346" s="413" t="s">
        <v>3530</v>
      </c>
      <c r="C346" s="174" t="str">
        <f t="shared" si="68"/>
        <v>MSI</v>
      </c>
      <c r="D346" s="414" t="s">
        <v>3498</v>
      </c>
      <c r="E346" s="415">
        <v>205.0</v>
      </c>
      <c r="F346" s="415">
        <v>128.0</v>
      </c>
      <c r="G346" s="415">
        <v>41.0</v>
      </c>
      <c r="H346" s="415">
        <v>2.0</v>
      </c>
      <c r="I346" s="415">
        <v>1710.0</v>
      </c>
      <c r="J346" s="415">
        <v>14.0</v>
      </c>
      <c r="K346" s="415">
        <v>160.0</v>
      </c>
      <c r="L346" s="415">
        <v>8.0</v>
      </c>
      <c r="M346" s="415">
        <v>2.0</v>
      </c>
      <c r="N346" s="415">
        <v>3.0</v>
      </c>
      <c r="O346" s="415">
        <v>1.0</v>
      </c>
      <c r="P346" s="415" t="s">
        <v>166</v>
      </c>
      <c r="Q346" s="415" t="s">
        <v>166</v>
      </c>
      <c r="R346" s="415" t="s">
        <v>166</v>
      </c>
      <c r="S346" s="415" t="s">
        <v>166</v>
      </c>
      <c r="T346" s="413"/>
    </row>
    <row r="347">
      <c r="A347" s="412" t="s">
        <v>3401</v>
      </c>
      <c r="B347" s="413" t="s">
        <v>3530</v>
      </c>
      <c r="C347" s="416" t="str">
        <f t="shared" ref="C347:C348" si="69">HYPERLINK("http://www.palit.com/palit/index.php?lang=en","Palit")</f>
        <v>Palit</v>
      </c>
      <c r="D347" s="414" t="str">
        <f>HYPERLINK("http://www.palit.com/palit/vgapro.php?id=3146&amp;lang=en","StormX")</f>
        <v>StormX</v>
      </c>
      <c r="E347" s="415">
        <v>168.0</v>
      </c>
      <c r="F347" s="415">
        <v>122.0</v>
      </c>
      <c r="G347" s="415">
        <v>40.0</v>
      </c>
      <c r="H347" s="415">
        <v>2.0</v>
      </c>
      <c r="I347" s="415">
        <v>1680.0</v>
      </c>
      <c r="J347" s="415">
        <v>14.0</v>
      </c>
      <c r="K347" s="415">
        <v>160.0</v>
      </c>
      <c r="L347" s="415">
        <v>8.0</v>
      </c>
      <c r="M347" s="415">
        <v>1.0</v>
      </c>
      <c r="N347" s="415">
        <v>1.0</v>
      </c>
      <c r="O347" s="415">
        <v>1.0</v>
      </c>
      <c r="P347" s="415" t="s">
        <v>166</v>
      </c>
      <c r="Q347" s="415">
        <v>1.0</v>
      </c>
      <c r="R347" s="415" t="s">
        <v>166</v>
      </c>
      <c r="S347" s="415" t="s">
        <v>166</v>
      </c>
      <c r="T347" s="413"/>
    </row>
    <row r="348">
      <c r="A348" s="412" t="s">
        <v>3401</v>
      </c>
      <c r="B348" s="413" t="s">
        <v>3530</v>
      </c>
      <c r="C348" s="416" t="str">
        <f t="shared" si="69"/>
        <v>Palit</v>
      </c>
      <c r="D348" s="414" t="s">
        <v>3463</v>
      </c>
      <c r="E348" s="415">
        <v>168.0</v>
      </c>
      <c r="F348" s="415">
        <v>122.0</v>
      </c>
      <c r="G348" s="415">
        <v>40.0</v>
      </c>
      <c r="H348" s="415">
        <v>2.0</v>
      </c>
      <c r="I348" s="415">
        <v>1725.0</v>
      </c>
      <c r="J348" s="415">
        <v>14.0</v>
      </c>
      <c r="K348" s="415">
        <v>160.0</v>
      </c>
      <c r="L348" s="415">
        <v>8.0</v>
      </c>
      <c r="M348" s="415">
        <v>1.0</v>
      </c>
      <c r="N348" s="415">
        <v>1.0</v>
      </c>
      <c r="O348" s="415">
        <v>1.0</v>
      </c>
      <c r="P348" s="415" t="s">
        <v>166</v>
      </c>
      <c r="Q348" s="415">
        <v>1.0</v>
      </c>
      <c r="R348" s="415" t="s">
        <v>166</v>
      </c>
      <c r="S348" s="415" t="s">
        <v>166</v>
      </c>
      <c r="T348" s="413"/>
    </row>
    <row r="349">
      <c r="A349" s="412" t="s">
        <v>3401</v>
      </c>
      <c r="B349" s="413" t="s">
        <v>3530</v>
      </c>
      <c r="C349" s="416" t="str">
        <f>HYPERLINK("https://pny.com/","PNY")</f>
        <v>PNY</v>
      </c>
      <c r="D349" s="414" t="str">
        <f>HYPERLINK("https://pny.com/pny-geforce-rtx-2060-6gb-xlr8-gaming-oc-single-fan","XLR8 Gaming OC")</f>
        <v>XLR8 Gaming OC</v>
      </c>
      <c r="E349" s="415">
        <v>168.0</v>
      </c>
      <c r="F349" s="415">
        <v>126.0</v>
      </c>
      <c r="G349" s="415">
        <v>40.0</v>
      </c>
      <c r="H349" s="415">
        <v>2.0</v>
      </c>
      <c r="I349" s="415">
        <v>1725.0</v>
      </c>
      <c r="J349" s="415">
        <v>14.0</v>
      </c>
      <c r="K349" s="415">
        <v>160.0</v>
      </c>
      <c r="L349" s="415">
        <v>8.0</v>
      </c>
      <c r="M349" s="415">
        <v>1.0</v>
      </c>
      <c r="N349" s="415">
        <v>1.0</v>
      </c>
      <c r="O349" s="415">
        <v>1.0</v>
      </c>
      <c r="P349" s="415" t="s">
        <v>166</v>
      </c>
      <c r="Q349" s="415">
        <v>1.0</v>
      </c>
      <c r="R349" s="415" t="s">
        <v>166</v>
      </c>
      <c r="S349" s="415" t="s">
        <v>166</v>
      </c>
      <c r="T349" s="413"/>
    </row>
    <row r="350">
      <c r="A350" s="412" t="s">
        <v>3401</v>
      </c>
      <c r="B350" s="413" t="s">
        <v>3530</v>
      </c>
      <c r="C350" s="416" t="str">
        <f t="shared" ref="C350:C353" si="70">HYPERLINK("http://zotac.com/","ZOTAC")</f>
        <v>ZOTAC</v>
      </c>
      <c r="D350" s="414" t="s">
        <v>3533</v>
      </c>
      <c r="E350" s="415">
        <v>209.6</v>
      </c>
      <c r="F350" s="415">
        <v>119.3</v>
      </c>
      <c r="G350" s="415">
        <v>41.0</v>
      </c>
      <c r="H350" s="415">
        <v>2.0</v>
      </c>
      <c r="I350" s="415">
        <v>1680.0</v>
      </c>
      <c r="J350" s="415">
        <v>14.0</v>
      </c>
      <c r="K350" s="415">
        <v>160.0</v>
      </c>
      <c r="L350" s="415">
        <v>8.0</v>
      </c>
      <c r="M350" s="415">
        <v>2.0</v>
      </c>
      <c r="N350" s="415">
        <v>3.0</v>
      </c>
      <c r="O350" s="415">
        <v>1.0</v>
      </c>
      <c r="P350" s="415" t="s">
        <v>166</v>
      </c>
      <c r="Q350" s="415" t="s">
        <v>166</v>
      </c>
      <c r="R350" s="415" t="s">
        <v>166</v>
      </c>
      <c r="S350" s="415" t="s">
        <v>166</v>
      </c>
      <c r="T350" s="413"/>
    </row>
    <row r="351">
      <c r="A351" s="428" t="s">
        <v>3401</v>
      </c>
      <c r="B351" s="429" t="s">
        <v>3530</v>
      </c>
      <c r="C351" s="430" t="str">
        <f t="shared" si="70"/>
        <v>ZOTAC</v>
      </c>
      <c r="D351" s="414" t="s">
        <v>3534</v>
      </c>
      <c r="E351" s="463">
        <v>209.6</v>
      </c>
      <c r="F351" s="431">
        <v>119.3</v>
      </c>
      <c r="G351" s="464">
        <v>41.0</v>
      </c>
      <c r="H351" s="415">
        <v>2.0</v>
      </c>
      <c r="I351" s="415">
        <v>1680.0</v>
      </c>
      <c r="J351" s="309">
        <v>14.0</v>
      </c>
      <c r="K351" s="462">
        <v>160.0</v>
      </c>
      <c r="L351" s="307">
        <v>8.0</v>
      </c>
      <c r="M351" s="307">
        <v>2.0</v>
      </c>
      <c r="N351" s="307">
        <v>3.0</v>
      </c>
      <c r="O351" s="307">
        <v>1.0</v>
      </c>
      <c r="P351" s="307" t="s">
        <v>166</v>
      </c>
      <c r="Q351" s="307" t="s">
        <v>166</v>
      </c>
      <c r="R351" s="451" t="s">
        <v>166</v>
      </c>
      <c r="S351" s="451" t="s">
        <v>166</v>
      </c>
      <c r="T351" s="413"/>
    </row>
    <row r="352">
      <c r="A352" s="428" t="s">
        <v>3401</v>
      </c>
      <c r="B352" s="429" t="s">
        <v>3530</v>
      </c>
      <c r="C352" s="430" t="str">
        <f t="shared" si="70"/>
        <v>ZOTAC</v>
      </c>
      <c r="D352" s="414" t="s">
        <v>3535</v>
      </c>
      <c r="E352" s="465">
        <v>211.0</v>
      </c>
      <c r="F352" s="466">
        <v>125.0</v>
      </c>
      <c r="G352" s="464">
        <v>41.0</v>
      </c>
      <c r="H352" s="415">
        <v>2.0</v>
      </c>
      <c r="I352" s="415">
        <v>1680.0</v>
      </c>
      <c r="J352" s="309">
        <v>14.0</v>
      </c>
      <c r="K352" s="462">
        <v>160.0</v>
      </c>
      <c r="L352" s="307">
        <v>8.0</v>
      </c>
      <c r="M352" s="307">
        <v>2.0</v>
      </c>
      <c r="N352" s="307">
        <v>3.0</v>
      </c>
      <c r="O352" s="307">
        <v>1.0</v>
      </c>
      <c r="P352" s="307" t="s">
        <v>166</v>
      </c>
      <c r="Q352" s="307" t="s">
        <v>166</v>
      </c>
      <c r="R352" s="451" t="s">
        <v>166</v>
      </c>
      <c r="S352" s="451" t="s">
        <v>166</v>
      </c>
      <c r="T352" s="413"/>
    </row>
    <row r="353">
      <c r="A353" s="401" t="s">
        <v>3401</v>
      </c>
      <c r="B353" s="402" t="s">
        <v>3530</v>
      </c>
      <c r="C353" s="403" t="str">
        <f t="shared" si="70"/>
        <v>ZOTAC</v>
      </c>
      <c r="D353" s="404" t="s">
        <v>3536</v>
      </c>
      <c r="E353" s="405">
        <v>209.6</v>
      </c>
      <c r="F353" s="405">
        <v>119.3</v>
      </c>
      <c r="G353" s="405">
        <v>41.0</v>
      </c>
      <c r="H353" s="405">
        <v>2.0</v>
      </c>
      <c r="I353" s="405">
        <v>1800.0</v>
      </c>
      <c r="J353" s="405">
        <v>14.0</v>
      </c>
      <c r="K353" s="405">
        <v>170.0</v>
      </c>
      <c r="L353" s="405">
        <v>8.0</v>
      </c>
      <c r="M353" s="405">
        <v>2.0</v>
      </c>
      <c r="N353" s="405">
        <v>3.0</v>
      </c>
      <c r="O353" s="405">
        <v>1.0</v>
      </c>
      <c r="P353" s="405" t="s">
        <v>166</v>
      </c>
      <c r="Q353" s="405" t="s">
        <v>166</v>
      </c>
      <c r="R353" s="405" t="s">
        <v>166</v>
      </c>
      <c r="S353" s="405" t="s">
        <v>166</v>
      </c>
      <c r="T353" s="402"/>
    </row>
    <row r="354">
      <c r="A354" s="467" t="s">
        <v>3401</v>
      </c>
      <c r="B354" s="410" t="s">
        <v>3537</v>
      </c>
      <c r="C354" s="282" t="s">
        <v>3538</v>
      </c>
      <c r="D354" s="312" t="s">
        <v>3539</v>
      </c>
      <c r="E354" s="411">
        <v>214.0</v>
      </c>
      <c r="F354" s="411">
        <v>112.0</v>
      </c>
      <c r="G354" s="411">
        <v>40.0</v>
      </c>
      <c r="H354" s="411">
        <v>2.0</v>
      </c>
      <c r="I354" s="411">
        <v>1650.0</v>
      </c>
      <c r="J354" s="411">
        <v>14.0</v>
      </c>
      <c r="K354" s="411">
        <v>184.0</v>
      </c>
      <c r="L354" s="411">
        <v>8.0</v>
      </c>
      <c r="M354" s="411">
        <v>2.0</v>
      </c>
      <c r="N354" s="411">
        <v>1.0</v>
      </c>
      <c r="O354" s="411">
        <v>1.0</v>
      </c>
      <c r="P354" s="411" t="s">
        <v>166</v>
      </c>
      <c r="Q354" s="411">
        <v>1.0</v>
      </c>
      <c r="R354" s="411" t="s">
        <v>166</v>
      </c>
      <c r="S354" s="411" t="s">
        <v>166</v>
      </c>
      <c r="T354" s="410"/>
    </row>
    <row r="355">
      <c r="A355" s="468" t="s">
        <v>3401</v>
      </c>
      <c r="B355" s="407" t="s">
        <v>3537</v>
      </c>
      <c r="C355" s="273" t="s">
        <v>3440</v>
      </c>
      <c r="D355" s="313" t="s">
        <v>3533</v>
      </c>
      <c r="E355" s="408">
        <v>209.6</v>
      </c>
      <c r="F355" s="408">
        <v>119.3</v>
      </c>
      <c r="G355" s="408">
        <v>41.0</v>
      </c>
      <c r="H355" s="408">
        <v>2.0</v>
      </c>
      <c r="I355" s="408">
        <v>1650.0</v>
      </c>
      <c r="J355" s="408">
        <v>14.0</v>
      </c>
      <c r="K355" s="408">
        <v>184.0</v>
      </c>
      <c r="L355" s="408">
        <v>8.0</v>
      </c>
      <c r="M355" s="408">
        <v>2.0</v>
      </c>
      <c r="N355" s="408">
        <v>3.0</v>
      </c>
      <c r="O355" s="408">
        <v>1.0</v>
      </c>
      <c r="P355" s="408" t="s">
        <v>166</v>
      </c>
      <c r="Q355" s="408" t="s">
        <v>166</v>
      </c>
      <c r="R355" s="408" t="s">
        <v>166</v>
      </c>
      <c r="S355" s="408" t="s">
        <v>166</v>
      </c>
      <c r="T355" s="407"/>
    </row>
    <row r="356">
      <c r="A356" s="409" t="s">
        <v>3401</v>
      </c>
      <c r="B356" s="410" t="s">
        <v>3540</v>
      </c>
      <c r="C356" s="282" t="s">
        <v>3456</v>
      </c>
      <c r="D356" s="312" t="str">
        <f>HYPERLINK("http://www.galax.com/en/graphics-card/20-series/geforcer-rtx-super-series/geforcer-rtx-2060-super-series/galax-geforce-rtx-2060-super-elite-1click.html","ELITE (1-Click OC)")</f>
        <v>ELITE (1-Click OC)</v>
      </c>
      <c r="E356" s="411">
        <v>175.0</v>
      </c>
      <c r="F356" s="411">
        <v>111.0</v>
      </c>
      <c r="G356" s="411">
        <v>38.0</v>
      </c>
      <c r="H356" s="411">
        <v>2.0</v>
      </c>
      <c r="I356" s="411">
        <v>1665.0</v>
      </c>
      <c r="J356" s="411">
        <v>14.0</v>
      </c>
      <c r="K356" s="411">
        <v>175.0</v>
      </c>
      <c r="L356" s="411">
        <v>8.0</v>
      </c>
      <c r="M356" s="411">
        <v>2.0</v>
      </c>
      <c r="N356" s="411">
        <v>1.0</v>
      </c>
      <c r="O356" s="411">
        <v>1.0</v>
      </c>
      <c r="P356" s="411" t="s">
        <v>166</v>
      </c>
      <c r="Q356" s="411">
        <v>1.0</v>
      </c>
      <c r="R356" s="411" t="s">
        <v>166</v>
      </c>
      <c r="S356" s="411" t="s">
        <v>166</v>
      </c>
      <c r="T356" s="410"/>
    </row>
    <row r="357">
      <c r="A357" s="412" t="s">
        <v>3401</v>
      </c>
      <c r="B357" s="413" t="s">
        <v>3540</v>
      </c>
      <c r="C357" s="416" t="str">
        <f>HYPERLINK("http://www.inno3d.com/","Inno3D")</f>
        <v>Inno3D</v>
      </c>
      <c r="D357" s="414" t="s">
        <v>3418</v>
      </c>
      <c r="E357" s="415">
        <v>186.0</v>
      </c>
      <c r="F357" s="415">
        <v>116.0</v>
      </c>
      <c r="G357" s="415">
        <v>40.0</v>
      </c>
      <c r="H357" s="415">
        <v>2.0</v>
      </c>
      <c r="I357" s="415">
        <v>1650.0</v>
      </c>
      <c r="J357" s="415">
        <v>14.0</v>
      </c>
      <c r="K357" s="415">
        <v>175.0</v>
      </c>
      <c r="L357" s="415">
        <v>8.0</v>
      </c>
      <c r="M357" s="415">
        <v>1.0</v>
      </c>
      <c r="N357" s="415">
        <v>3.0</v>
      </c>
      <c r="O357" s="415">
        <v>1.0</v>
      </c>
      <c r="P357" s="415" t="s">
        <v>166</v>
      </c>
      <c r="Q357" s="415" t="s">
        <v>166</v>
      </c>
      <c r="R357" s="415" t="s">
        <v>166</v>
      </c>
      <c r="S357" s="415" t="s">
        <v>166</v>
      </c>
      <c r="T357" s="413"/>
    </row>
    <row r="358">
      <c r="A358" s="412" t="s">
        <v>3401</v>
      </c>
      <c r="B358" s="413" t="s">
        <v>3540</v>
      </c>
      <c r="C358" s="174" t="str">
        <f>HYPERLINK("https://www.msi.com/index.php","MSI")</f>
        <v>MSI</v>
      </c>
      <c r="D358" s="414" t="s">
        <v>3375</v>
      </c>
      <c r="E358" s="415">
        <v>175.0</v>
      </c>
      <c r="F358" s="415">
        <v>127.0</v>
      </c>
      <c r="G358" s="415">
        <v>42.0</v>
      </c>
      <c r="H358" s="415">
        <v>2.0</v>
      </c>
      <c r="I358" s="415">
        <v>1650.0</v>
      </c>
      <c r="J358" s="415">
        <v>14.0</v>
      </c>
      <c r="K358" s="415">
        <v>175.0</v>
      </c>
      <c r="L358" s="415">
        <v>8.0</v>
      </c>
      <c r="M358" s="415">
        <v>1.0</v>
      </c>
      <c r="N358" s="415">
        <v>3.0</v>
      </c>
      <c r="O358" s="415">
        <v>1.0</v>
      </c>
      <c r="P358" s="415" t="s">
        <v>166</v>
      </c>
      <c r="Q358" s="415" t="s">
        <v>166</v>
      </c>
      <c r="R358" s="415" t="s">
        <v>166</v>
      </c>
      <c r="S358" s="415" t="s">
        <v>166</v>
      </c>
      <c r="T358" s="413"/>
    </row>
    <row r="359">
      <c r="A359" s="401" t="s">
        <v>3401</v>
      </c>
      <c r="B359" s="402" t="s">
        <v>3540</v>
      </c>
      <c r="C359" s="403" t="str">
        <f>HYPERLINK("http://zotac.com/","ZOTAC")</f>
        <v>ZOTAC</v>
      </c>
      <c r="D359" s="404" t="str">
        <f>HYPERLINK("https://www.zotac.com/product/graphics_card/zotac-gaming-geforce-rtx-2060-super-mini","Mini")</f>
        <v>Mini</v>
      </c>
      <c r="E359" s="405">
        <v>209.6</v>
      </c>
      <c r="F359" s="405">
        <v>119.3</v>
      </c>
      <c r="G359" s="405">
        <v>41.0</v>
      </c>
      <c r="H359" s="405">
        <v>2.0</v>
      </c>
      <c r="I359" s="405">
        <v>1650.0</v>
      </c>
      <c r="J359" s="405">
        <v>14.0</v>
      </c>
      <c r="K359" s="405">
        <v>175.0</v>
      </c>
      <c r="L359" s="405">
        <v>8.0</v>
      </c>
      <c r="M359" s="405">
        <v>2.0</v>
      </c>
      <c r="N359" s="405">
        <v>3.0</v>
      </c>
      <c r="O359" s="405">
        <v>1.0</v>
      </c>
      <c r="P359" s="405" t="s">
        <v>166</v>
      </c>
      <c r="Q359" s="405" t="s">
        <v>166</v>
      </c>
      <c r="R359" s="405" t="s">
        <v>166</v>
      </c>
      <c r="S359" s="405" t="s">
        <v>166</v>
      </c>
      <c r="T359" s="402"/>
    </row>
    <row r="360">
      <c r="A360" s="409" t="s">
        <v>3401</v>
      </c>
      <c r="B360" s="410" t="s">
        <v>3541</v>
      </c>
      <c r="C360" s="282" t="str">
        <f t="shared" ref="C360:C361" si="71">HYPERLINK("https://www.asus.com/","Asus")</f>
        <v>Asus</v>
      </c>
      <c r="D360" s="312" t="s">
        <v>3520</v>
      </c>
      <c r="E360" s="411">
        <v>197.0</v>
      </c>
      <c r="F360" s="411">
        <v>121.0</v>
      </c>
      <c r="G360" s="411">
        <v>39.0</v>
      </c>
      <c r="H360" s="411">
        <v>2.0</v>
      </c>
      <c r="I360" s="411">
        <v>1650.0</v>
      </c>
      <c r="J360" s="411">
        <v>14.0</v>
      </c>
      <c r="K360" s="411">
        <v>175.0</v>
      </c>
      <c r="L360" s="411">
        <v>8.0</v>
      </c>
      <c r="M360" s="411">
        <v>2.0</v>
      </c>
      <c r="N360" s="411">
        <v>1.0</v>
      </c>
      <c r="O360" s="411">
        <v>1.0</v>
      </c>
      <c r="P360" s="411" t="s">
        <v>166</v>
      </c>
      <c r="Q360" s="411">
        <v>1.0</v>
      </c>
      <c r="R360" s="411" t="s">
        <v>166</v>
      </c>
      <c r="S360" s="411" t="s">
        <v>166</v>
      </c>
      <c r="T360" s="410"/>
    </row>
    <row r="361">
      <c r="A361" s="412" t="s">
        <v>3401</v>
      </c>
      <c r="B361" s="413" t="s">
        <v>3541</v>
      </c>
      <c r="C361" s="174" t="str">
        <f t="shared" si="71"/>
        <v>Asus</v>
      </c>
      <c r="D361" s="414" t="s">
        <v>3521</v>
      </c>
      <c r="E361" s="415">
        <v>197.0</v>
      </c>
      <c r="F361" s="415">
        <v>121.0</v>
      </c>
      <c r="G361" s="415">
        <v>39.0</v>
      </c>
      <c r="H361" s="415">
        <v>2.0</v>
      </c>
      <c r="I361" s="415">
        <v>1680.0</v>
      </c>
      <c r="J361" s="415">
        <v>14.0</v>
      </c>
      <c r="K361" s="415">
        <v>175.0</v>
      </c>
      <c r="L361" s="415">
        <v>8.0</v>
      </c>
      <c r="M361" s="415">
        <v>2.0</v>
      </c>
      <c r="N361" s="415">
        <v>1.0</v>
      </c>
      <c r="O361" s="415">
        <v>1.0</v>
      </c>
      <c r="P361" s="415" t="s">
        <v>166</v>
      </c>
      <c r="Q361" s="415">
        <v>1.0</v>
      </c>
      <c r="R361" s="415" t="s">
        <v>166</v>
      </c>
      <c r="S361" s="415" t="s">
        <v>166</v>
      </c>
      <c r="T361" s="413"/>
    </row>
    <row r="362">
      <c r="A362" s="412" t="s">
        <v>3401</v>
      </c>
      <c r="B362" s="413" t="s">
        <v>3541</v>
      </c>
      <c r="C362" s="174" t="s">
        <v>3456</v>
      </c>
      <c r="D362" s="414" t="s">
        <v>3532</v>
      </c>
      <c r="E362" s="415">
        <v>175.0</v>
      </c>
      <c r="F362" s="415">
        <v>111.0</v>
      </c>
      <c r="G362" s="415">
        <v>38.0</v>
      </c>
      <c r="H362" s="415">
        <v>2.0</v>
      </c>
      <c r="I362" s="415">
        <v>1665.0</v>
      </c>
      <c r="J362" s="415">
        <v>14.0</v>
      </c>
      <c r="K362" s="415">
        <v>175.0</v>
      </c>
      <c r="L362" s="415">
        <v>8.0</v>
      </c>
      <c r="M362" s="415">
        <v>2.0</v>
      </c>
      <c r="N362" s="415">
        <v>1.0</v>
      </c>
      <c r="O362" s="415">
        <v>1.0</v>
      </c>
      <c r="P362" s="415" t="s">
        <v>166</v>
      </c>
      <c r="Q362" s="415">
        <v>1.0</v>
      </c>
      <c r="R362" s="415" t="s">
        <v>166</v>
      </c>
      <c r="S362" s="415" t="s">
        <v>166</v>
      </c>
      <c r="T362" s="413"/>
    </row>
    <row r="363">
      <c r="A363" s="412" t="s">
        <v>3401</v>
      </c>
      <c r="B363" s="413" t="s">
        <v>3541</v>
      </c>
      <c r="C363" s="174" t="s">
        <v>3456</v>
      </c>
      <c r="D363" s="414" t="s">
        <v>3514</v>
      </c>
      <c r="E363" s="415">
        <v>175.0</v>
      </c>
      <c r="F363" s="415">
        <v>111.0</v>
      </c>
      <c r="G363" s="415">
        <v>38.0</v>
      </c>
      <c r="H363" s="415">
        <v>2.0</v>
      </c>
      <c r="I363" s="415">
        <v>1665.0</v>
      </c>
      <c r="J363" s="415">
        <v>14.0</v>
      </c>
      <c r="K363" s="415">
        <v>175.0</v>
      </c>
      <c r="L363" s="415">
        <v>8.0</v>
      </c>
      <c r="M363" s="415">
        <v>2.0</v>
      </c>
      <c r="N363" s="415">
        <v>1.0</v>
      </c>
      <c r="O363" s="415">
        <v>1.0</v>
      </c>
      <c r="P363" s="415" t="s">
        <v>166</v>
      </c>
      <c r="Q363" s="415">
        <v>1.0</v>
      </c>
      <c r="R363" s="415" t="s">
        <v>166</v>
      </c>
      <c r="S363" s="415" t="s">
        <v>166</v>
      </c>
      <c r="T363" s="413"/>
    </row>
    <row r="364">
      <c r="A364" s="412" t="s">
        <v>3401</v>
      </c>
      <c r="B364" s="413" t="s">
        <v>3541</v>
      </c>
      <c r="C364" s="174" t="str">
        <f t="shared" ref="C364:C365" si="72">HYPERLINK("https://www.gigabyte.com/","Gigabyte")</f>
        <v>Gigabyte</v>
      </c>
      <c r="D364" s="414" t="str">
        <f>HYPERLINK("https://www.gigabyte.com/Graphics-Card/GV-N2070IX-8GC#kf","Mini ITX")</f>
        <v>Mini ITX</v>
      </c>
      <c r="E364" s="415">
        <v>169.99</v>
      </c>
      <c r="F364" s="415">
        <v>121.45</v>
      </c>
      <c r="G364" s="415">
        <v>42.1</v>
      </c>
      <c r="H364" s="415">
        <v>2.0</v>
      </c>
      <c r="I364" s="415">
        <v>1620.0</v>
      </c>
      <c r="J364" s="415">
        <v>14.0</v>
      </c>
      <c r="K364" s="415">
        <v>175.0</v>
      </c>
      <c r="L364" s="415">
        <v>8.0</v>
      </c>
      <c r="M364" s="415">
        <v>1.0</v>
      </c>
      <c r="N364" s="415">
        <v>3.0</v>
      </c>
      <c r="O364" s="415">
        <v>1.0</v>
      </c>
      <c r="P364" s="415">
        <v>1.0</v>
      </c>
      <c r="Q364" s="415" t="s">
        <v>166</v>
      </c>
      <c r="R364" s="415" t="s">
        <v>166</v>
      </c>
      <c r="S364" s="415" t="s">
        <v>166</v>
      </c>
      <c r="T364" s="413"/>
    </row>
    <row r="365">
      <c r="A365" s="412" t="s">
        <v>3401</v>
      </c>
      <c r="B365" s="413" t="s">
        <v>3541</v>
      </c>
      <c r="C365" s="174" t="str">
        <f t="shared" si="72"/>
        <v>Gigabyte</v>
      </c>
      <c r="D365" s="414" t="str">
        <f>HYPERLINK("https://www.gigabyte.com/Graphics-Card/GV-N2070IX-8GD#kf","Mini ITX V2")</f>
        <v>Mini ITX V2</v>
      </c>
      <c r="E365" s="415">
        <v>170.0</v>
      </c>
      <c r="F365" s="415">
        <v>121.3</v>
      </c>
      <c r="G365" s="415">
        <v>36.4</v>
      </c>
      <c r="H365" s="415">
        <v>2.0</v>
      </c>
      <c r="I365" s="415">
        <v>1620.0</v>
      </c>
      <c r="J365" s="415">
        <v>14.0</v>
      </c>
      <c r="K365" s="415">
        <v>175.0</v>
      </c>
      <c r="L365" s="415">
        <v>8.0</v>
      </c>
      <c r="M365" s="415">
        <v>1.0</v>
      </c>
      <c r="N365" s="415">
        <v>3.0</v>
      </c>
      <c r="O365" s="415">
        <v>1.0</v>
      </c>
      <c r="P365" s="415" t="s">
        <v>166</v>
      </c>
      <c r="Q365" s="415" t="s">
        <v>166</v>
      </c>
      <c r="R365" s="415" t="s">
        <v>166</v>
      </c>
      <c r="S365" s="415" t="s">
        <v>166</v>
      </c>
      <c r="T365" s="413"/>
    </row>
    <row r="366">
      <c r="A366" s="412" t="s">
        <v>3401</v>
      </c>
      <c r="B366" s="413" t="s">
        <v>3541</v>
      </c>
      <c r="C366" s="416" t="str">
        <f>HYPERLINK("http://www.inno3d.com/","Inno3D")</f>
        <v>Inno3D</v>
      </c>
      <c r="D366" s="414" t="s">
        <v>3516</v>
      </c>
      <c r="E366" s="415">
        <v>196.0</v>
      </c>
      <c r="F366" s="415">
        <v>113.0</v>
      </c>
      <c r="G366" s="415">
        <v>40.0</v>
      </c>
      <c r="H366" s="415">
        <v>2.0</v>
      </c>
      <c r="I366" s="415">
        <v>1620.0</v>
      </c>
      <c r="J366" s="415">
        <v>14.0</v>
      </c>
      <c r="K366" s="415">
        <v>175.0</v>
      </c>
      <c r="L366" s="415">
        <v>8.0</v>
      </c>
      <c r="M366" s="415">
        <v>2.0</v>
      </c>
      <c r="N366" s="415">
        <v>3.0</v>
      </c>
      <c r="O366" s="415">
        <v>1.0</v>
      </c>
      <c r="P366" s="415" t="s">
        <v>166</v>
      </c>
      <c r="Q366" s="415" t="s">
        <v>166</v>
      </c>
      <c r="R366" s="415" t="s">
        <v>166</v>
      </c>
      <c r="S366" s="415" t="s">
        <v>166</v>
      </c>
      <c r="T366" s="413"/>
    </row>
    <row r="367">
      <c r="A367" s="412" t="s">
        <v>3401</v>
      </c>
      <c r="B367" s="413" t="s">
        <v>3541</v>
      </c>
      <c r="C367" s="174" t="str">
        <f>HYPERLINK("https://www.msi.com/index.php","MSI")</f>
        <v>MSI</v>
      </c>
      <c r="D367" s="414" t="s">
        <v>3375</v>
      </c>
      <c r="E367" s="415">
        <v>174.0</v>
      </c>
      <c r="F367" s="415">
        <v>127.0</v>
      </c>
      <c r="G367" s="415">
        <v>42.0</v>
      </c>
      <c r="H367" s="415">
        <v>2.0</v>
      </c>
      <c r="I367" s="415">
        <v>1620.0</v>
      </c>
      <c r="J367" s="415">
        <v>14.0</v>
      </c>
      <c r="K367" s="415">
        <v>175.0</v>
      </c>
      <c r="L367" s="415">
        <v>8.0</v>
      </c>
      <c r="M367" s="415">
        <v>1.0</v>
      </c>
      <c r="N367" s="415">
        <v>3.0</v>
      </c>
      <c r="O367" s="415">
        <v>1.0</v>
      </c>
      <c r="P367" s="415" t="s">
        <v>166</v>
      </c>
      <c r="Q367" s="415" t="s">
        <v>166</v>
      </c>
      <c r="R367" s="415" t="s">
        <v>166</v>
      </c>
      <c r="S367" s="415" t="s">
        <v>166</v>
      </c>
      <c r="T367" s="413"/>
    </row>
    <row r="368">
      <c r="A368" s="412" t="s">
        <v>3401</v>
      </c>
      <c r="B368" s="413" t="s">
        <v>3541</v>
      </c>
      <c r="C368" s="416" t="str">
        <f t="shared" ref="C368:C370" si="73">HYPERLINK("http://zotac.com/","ZOTAC")</f>
        <v>ZOTAC</v>
      </c>
      <c r="D368" s="414" t="str">
        <f>HYPERLINK("https://www.zotac.com/product/graphics_card/zotac-gaming-geforce-rtx-2070-mini","Mini")</f>
        <v>Mini</v>
      </c>
      <c r="E368" s="415">
        <v>211.0</v>
      </c>
      <c r="F368" s="415">
        <v>129.0</v>
      </c>
      <c r="G368" s="415">
        <v>41.0</v>
      </c>
      <c r="H368" s="415">
        <v>2.0</v>
      </c>
      <c r="I368" s="415">
        <v>1620.0</v>
      </c>
      <c r="J368" s="415">
        <v>14.0</v>
      </c>
      <c r="K368" s="415">
        <v>175.0</v>
      </c>
      <c r="L368" s="415">
        <v>8.0</v>
      </c>
      <c r="M368" s="415">
        <v>2.0</v>
      </c>
      <c r="N368" s="415">
        <v>3.0</v>
      </c>
      <c r="O368" s="415">
        <v>1.0</v>
      </c>
      <c r="P368" s="415" t="s">
        <v>166</v>
      </c>
      <c r="Q368" s="415">
        <v>1.0</v>
      </c>
      <c r="R368" s="415" t="s">
        <v>166</v>
      </c>
      <c r="S368" s="415" t="s">
        <v>166</v>
      </c>
      <c r="T368" s="413"/>
    </row>
    <row r="369">
      <c r="A369" s="401" t="s">
        <v>3401</v>
      </c>
      <c r="B369" s="402" t="s">
        <v>3541</v>
      </c>
      <c r="C369" s="403" t="str">
        <f t="shared" si="73"/>
        <v>ZOTAC</v>
      </c>
      <c r="D369" s="404" t="s">
        <v>3542</v>
      </c>
      <c r="E369" s="405">
        <v>211.0</v>
      </c>
      <c r="F369" s="405">
        <v>129.0</v>
      </c>
      <c r="G369" s="405">
        <v>41.0</v>
      </c>
      <c r="H369" s="405">
        <v>2.0</v>
      </c>
      <c r="I369" s="405">
        <v>1650.0</v>
      </c>
      <c r="J369" s="405">
        <v>14.0</v>
      </c>
      <c r="K369" s="405">
        <v>175.0</v>
      </c>
      <c r="L369" s="405">
        <v>8.0</v>
      </c>
      <c r="M369" s="405">
        <v>2.0</v>
      </c>
      <c r="N369" s="405">
        <v>3.0</v>
      </c>
      <c r="O369" s="405">
        <v>1.0</v>
      </c>
      <c r="P369" s="405" t="s">
        <v>166</v>
      </c>
      <c r="Q369" s="405">
        <v>1.0</v>
      </c>
      <c r="R369" s="405" t="s">
        <v>166</v>
      </c>
      <c r="S369" s="405" t="s">
        <v>166</v>
      </c>
      <c r="T369" s="402"/>
    </row>
    <row r="370">
      <c r="A370" s="406" t="s">
        <v>3401</v>
      </c>
      <c r="B370" s="407" t="s">
        <v>3543</v>
      </c>
      <c r="C370" s="273" t="str">
        <f t="shared" si="73"/>
        <v>ZOTAC</v>
      </c>
      <c r="D370" s="313" t="str">
        <f>HYPERLINK("https://www.zotac.com/product/graphics_card/zotac-gaming-geforce-rtx-2070-super-mini","Mini")</f>
        <v>Mini</v>
      </c>
      <c r="E370" s="408">
        <v>209.6</v>
      </c>
      <c r="F370" s="408">
        <v>126.1</v>
      </c>
      <c r="G370" s="408">
        <v>41.0</v>
      </c>
      <c r="H370" s="408">
        <v>2.0</v>
      </c>
      <c r="I370" s="408">
        <v>1770.0</v>
      </c>
      <c r="J370" s="408">
        <v>14.0</v>
      </c>
      <c r="K370" s="408">
        <v>215.0</v>
      </c>
      <c r="L370" s="408" t="s">
        <v>3361</v>
      </c>
      <c r="M370" s="408">
        <v>2.0</v>
      </c>
      <c r="N370" s="408">
        <v>3.0</v>
      </c>
      <c r="O370" s="408">
        <v>1.0</v>
      </c>
      <c r="P370" s="408" t="s">
        <v>166</v>
      </c>
      <c r="Q370" s="408" t="s">
        <v>166</v>
      </c>
      <c r="R370" s="408" t="s">
        <v>166</v>
      </c>
      <c r="S370" s="408" t="s">
        <v>166</v>
      </c>
      <c r="T370" s="407"/>
    </row>
    <row r="371">
      <c r="A371" s="409" t="s">
        <v>3401</v>
      </c>
      <c r="B371" s="410" t="s">
        <v>3544</v>
      </c>
      <c r="C371" s="174" t="str">
        <f t="shared" ref="C371:C374" si="74">HYPERLINK("https://www.asus.com/","Asus")</f>
        <v>Asus</v>
      </c>
      <c r="D371" s="469" t="s">
        <v>3545</v>
      </c>
      <c r="E371" s="415">
        <v>182.0</v>
      </c>
      <c r="F371" s="415">
        <v>69.0</v>
      </c>
      <c r="G371" s="415">
        <v>40.0</v>
      </c>
      <c r="H371" s="415">
        <v>2.0</v>
      </c>
      <c r="I371" s="415">
        <v>1500.0</v>
      </c>
      <c r="J371" s="415">
        <v>14.0</v>
      </c>
      <c r="K371" s="415">
        <v>70.0</v>
      </c>
      <c r="L371" s="228" t="s">
        <v>166</v>
      </c>
      <c r="M371" s="415">
        <v>2.0</v>
      </c>
      <c r="N371" s="415">
        <v>1.0</v>
      </c>
      <c r="O371" s="415">
        <v>1.0</v>
      </c>
      <c r="P371" s="415" t="s">
        <v>166</v>
      </c>
      <c r="Q371" s="415">
        <v>1.0</v>
      </c>
      <c r="R371" s="411" t="s">
        <v>166</v>
      </c>
      <c r="S371" s="411" t="s">
        <v>174</v>
      </c>
      <c r="T371" s="410"/>
    </row>
    <row r="372">
      <c r="A372" s="409" t="s">
        <v>3401</v>
      </c>
      <c r="B372" s="410" t="s">
        <v>3544</v>
      </c>
      <c r="C372" s="174" t="str">
        <f t="shared" si="74"/>
        <v>Asus</v>
      </c>
      <c r="D372" s="469" t="s">
        <v>3546</v>
      </c>
      <c r="E372" s="415">
        <v>182.0</v>
      </c>
      <c r="F372" s="415">
        <v>69.0</v>
      </c>
      <c r="G372" s="415">
        <v>40.0</v>
      </c>
      <c r="H372" s="415">
        <v>2.0</v>
      </c>
      <c r="I372" s="415">
        <v>1537.0</v>
      </c>
      <c r="J372" s="415">
        <v>14.0</v>
      </c>
      <c r="K372" s="415">
        <v>70.0</v>
      </c>
      <c r="L372" s="228" t="s">
        <v>166</v>
      </c>
      <c r="M372" s="415">
        <v>2.0</v>
      </c>
      <c r="N372" s="415">
        <v>1.0</v>
      </c>
      <c r="O372" s="415">
        <v>1.0</v>
      </c>
      <c r="P372" s="415" t="s">
        <v>166</v>
      </c>
      <c r="Q372" s="415">
        <v>1.0</v>
      </c>
      <c r="R372" s="411" t="s">
        <v>166</v>
      </c>
      <c r="S372" s="411" t="s">
        <v>174</v>
      </c>
      <c r="T372" s="410"/>
    </row>
    <row r="373">
      <c r="A373" s="409" t="s">
        <v>3401</v>
      </c>
      <c r="B373" s="410" t="s">
        <v>3544</v>
      </c>
      <c r="C373" s="174" t="str">
        <f t="shared" si="74"/>
        <v>Asus</v>
      </c>
      <c r="D373" s="469" t="s">
        <v>3372</v>
      </c>
      <c r="E373" s="415">
        <v>201.0</v>
      </c>
      <c r="F373" s="415">
        <v>120.0</v>
      </c>
      <c r="G373" s="415">
        <v>37.0</v>
      </c>
      <c r="H373" s="415">
        <v>2.0</v>
      </c>
      <c r="I373" s="415">
        <v>1500.0</v>
      </c>
      <c r="J373" s="415">
        <v>14.0</v>
      </c>
      <c r="K373" s="415">
        <v>70.0</v>
      </c>
      <c r="L373" s="228" t="s">
        <v>166</v>
      </c>
      <c r="M373" s="415">
        <v>2.0</v>
      </c>
      <c r="N373" s="415">
        <v>1.0</v>
      </c>
      <c r="O373" s="415">
        <v>1.0</v>
      </c>
      <c r="P373" s="415" t="s">
        <v>166</v>
      </c>
      <c r="Q373" s="415">
        <v>1.0</v>
      </c>
      <c r="R373" s="411" t="s">
        <v>166</v>
      </c>
      <c r="S373" s="411" t="s">
        <v>166</v>
      </c>
      <c r="T373" s="410"/>
    </row>
    <row r="374">
      <c r="A374" s="409" t="s">
        <v>3401</v>
      </c>
      <c r="B374" s="410" t="s">
        <v>3544</v>
      </c>
      <c r="C374" s="174" t="str">
        <f t="shared" si="74"/>
        <v>Asus</v>
      </c>
      <c r="D374" s="469" t="s">
        <v>3381</v>
      </c>
      <c r="E374" s="415">
        <v>201.0</v>
      </c>
      <c r="F374" s="415">
        <v>120.0</v>
      </c>
      <c r="G374" s="415">
        <v>37.0</v>
      </c>
      <c r="H374" s="415">
        <v>2.0</v>
      </c>
      <c r="I374" s="415">
        <v>1537.0</v>
      </c>
      <c r="J374" s="415">
        <v>14.0</v>
      </c>
      <c r="K374" s="415">
        <v>70.0</v>
      </c>
      <c r="L374" s="228" t="s">
        <v>166</v>
      </c>
      <c r="M374" s="415">
        <v>2.0</v>
      </c>
      <c r="N374" s="415">
        <v>1.0</v>
      </c>
      <c r="O374" s="415">
        <v>1.0</v>
      </c>
      <c r="P374" s="415" t="s">
        <v>166</v>
      </c>
      <c r="Q374" s="415">
        <v>1.0</v>
      </c>
      <c r="R374" s="411" t="s">
        <v>166</v>
      </c>
      <c r="S374" s="411" t="s">
        <v>166</v>
      </c>
      <c r="T374" s="410"/>
    </row>
    <row r="375">
      <c r="A375" s="409" t="s">
        <v>3401</v>
      </c>
      <c r="B375" s="410" t="s">
        <v>3544</v>
      </c>
      <c r="C375" s="416" t="str">
        <f t="shared" ref="C375:C376" si="75">HYPERLINK("http://www.gainward.com/main/index.php?lang=en","Gainward")</f>
        <v>Gainward</v>
      </c>
      <c r="D375" s="469" t="s">
        <v>3547</v>
      </c>
      <c r="E375" s="415">
        <v>162.0</v>
      </c>
      <c r="F375" s="415">
        <v>117.0</v>
      </c>
      <c r="G375" s="415">
        <v>40.0</v>
      </c>
      <c r="H375" s="415">
        <v>2.0</v>
      </c>
      <c r="I375" s="415">
        <v>1470.0</v>
      </c>
      <c r="J375" s="415">
        <v>14.0</v>
      </c>
      <c r="K375" s="415">
        <v>70.0</v>
      </c>
      <c r="L375" s="228" t="s">
        <v>166</v>
      </c>
      <c r="M375" s="415">
        <v>1.0</v>
      </c>
      <c r="N375" s="415">
        <v>1.0</v>
      </c>
      <c r="O375" s="415">
        <v>1.0</v>
      </c>
      <c r="P375" s="415" t="s">
        <v>166</v>
      </c>
      <c r="Q375" s="415">
        <v>1.0</v>
      </c>
      <c r="R375" s="411" t="s">
        <v>166</v>
      </c>
      <c r="S375" s="411" t="s">
        <v>166</v>
      </c>
      <c r="T375" s="410"/>
    </row>
    <row r="376">
      <c r="A376" s="409" t="s">
        <v>3401</v>
      </c>
      <c r="B376" s="410" t="s">
        <v>3544</v>
      </c>
      <c r="C376" s="416" t="str">
        <f t="shared" si="75"/>
        <v>Gainward</v>
      </c>
      <c r="D376" s="469" t="s">
        <v>3507</v>
      </c>
      <c r="E376" s="415">
        <v>162.0</v>
      </c>
      <c r="F376" s="415">
        <v>117.0</v>
      </c>
      <c r="G376" s="415">
        <v>40.0</v>
      </c>
      <c r="H376" s="415">
        <v>2.0</v>
      </c>
      <c r="I376" s="415">
        <v>1492.0</v>
      </c>
      <c r="J376" s="415">
        <v>14.0</v>
      </c>
      <c r="K376" s="415">
        <v>70.0</v>
      </c>
      <c r="L376" s="228" t="s">
        <v>166</v>
      </c>
      <c r="M376" s="415">
        <v>1.0</v>
      </c>
      <c r="N376" s="415">
        <v>1.0</v>
      </c>
      <c r="O376" s="415">
        <v>1.0</v>
      </c>
      <c r="P376" s="415" t="s">
        <v>166</v>
      </c>
      <c r="Q376" s="415">
        <v>1.0</v>
      </c>
      <c r="R376" s="411" t="s">
        <v>166</v>
      </c>
      <c r="S376" s="411" t="s">
        <v>166</v>
      </c>
      <c r="T376" s="410"/>
    </row>
    <row r="377">
      <c r="A377" s="409" t="s">
        <v>3401</v>
      </c>
      <c r="B377" s="410" t="s">
        <v>3544</v>
      </c>
      <c r="C377" s="174" t="s">
        <v>3456</v>
      </c>
      <c r="D377" s="469" t="s">
        <v>3548</v>
      </c>
      <c r="E377" s="415">
        <v>169.0</v>
      </c>
      <c r="F377" s="415">
        <v>69.0</v>
      </c>
      <c r="G377" s="415">
        <v>34.0</v>
      </c>
      <c r="H377" s="415">
        <v>2.0</v>
      </c>
      <c r="I377" s="415">
        <v>1485.0</v>
      </c>
      <c r="J377" s="415">
        <v>14.0</v>
      </c>
      <c r="K377" s="415">
        <v>70.0</v>
      </c>
      <c r="L377" s="228" t="s">
        <v>166</v>
      </c>
      <c r="M377" s="415">
        <v>2.0</v>
      </c>
      <c r="N377" s="415">
        <v>2.0</v>
      </c>
      <c r="O377" s="415">
        <v>2.0</v>
      </c>
      <c r="P377" s="415" t="s">
        <v>166</v>
      </c>
      <c r="Q377" s="415" t="s">
        <v>166</v>
      </c>
      <c r="R377" s="411" t="s">
        <v>166</v>
      </c>
      <c r="S377" s="411" t="s">
        <v>174</v>
      </c>
      <c r="T377" s="410"/>
    </row>
    <row r="378">
      <c r="A378" s="409" t="s">
        <v>3401</v>
      </c>
      <c r="B378" s="410" t="s">
        <v>3544</v>
      </c>
      <c r="C378" s="174" t="s">
        <v>3456</v>
      </c>
      <c r="D378" s="469" t="s">
        <v>3549</v>
      </c>
      <c r="E378" s="415">
        <v>209.0</v>
      </c>
      <c r="F378" s="415">
        <v>118.0</v>
      </c>
      <c r="G378" s="415">
        <v>41.5</v>
      </c>
      <c r="H378" s="415">
        <v>2.0</v>
      </c>
      <c r="I378" s="415">
        <v>1485.0</v>
      </c>
      <c r="J378" s="415">
        <v>14.0</v>
      </c>
      <c r="K378" s="415">
        <v>70.0</v>
      </c>
      <c r="L378" s="228" t="s">
        <v>166</v>
      </c>
      <c r="M378" s="415">
        <v>2.0</v>
      </c>
      <c r="N378" s="415">
        <v>3.0</v>
      </c>
      <c r="O378" s="415">
        <v>1.0</v>
      </c>
      <c r="P378" s="415" t="s">
        <v>166</v>
      </c>
      <c r="Q378" s="415" t="s">
        <v>166</v>
      </c>
      <c r="R378" s="411" t="s">
        <v>166</v>
      </c>
      <c r="S378" s="411" t="s">
        <v>166</v>
      </c>
      <c r="T378" s="410"/>
    </row>
    <row r="379">
      <c r="A379" s="409" t="s">
        <v>3401</v>
      </c>
      <c r="B379" s="410" t="s">
        <v>3544</v>
      </c>
      <c r="C379" s="174" t="str">
        <f t="shared" ref="C379:C380" si="76">HYPERLINK("https://www.gigabyte.com/","Gigabyte")</f>
        <v>Gigabyte</v>
      </c>
      <c r="D379" s="469" t="s">
        <v>3550</v>
      </c>
      <c r="E379" s="415">
        <v>181.0</v>
      </c>
      <c r="F379" s="415">
        <v>69.0</v>
      </c>
      <c r="G379" s="415">
        <v>36.0</v>
      </c>
      <c r="H379" s="415">
        <v>2.0</v>
      </c>
      <c r="I379" s="415">
        <v>1477.0</v>
      </c>
      <c r="J379" s="415">
        <v>14.0</v>
      </c>
      <c r="K379" s="415">
        <v>70.0</v>
      </c>
      <c r="L379" s="228" t="s">
        <v>166</v>
      </c>
      <c r="M379" s="415">
        <v>2.0</v>
      </c>
      <c r="N379" s="415">
        <v>2.0</v>
      </c>
      <c r="O379" s="415">
        <v>2.0</v>
      </c>
      <c r="P379" s="415" t="s">
        <v>166</v>
      </c>
      <c r="Q379" s="415" t="s">
        <v>166</v>
      </c>
      <c r="R379" s="411" t="s">
        <v>166</v>
      </c>
      <c r="S379" s="411" t="s">
        <v>174</v>
      </c>
      <c r="T379" s="410"/>
    </row>
    <row r="380">
      <c r="A380" s="409" t="s">
        <v>3401</v>
      </c>
      <c r="B380" s="410" t="s">
        <v>3544</v>
      </c>
      <c r="C380" s="174" t="str">
        <f t="shared" si="76"/>
        <v>Gigabyte</v>
      </c>
      <c r="D380" s="469" t="s">
        <v>3551</v>
      </c>
      <c r="E380" s="415">
        <v>192.0</v>
      </c>
      <c r="F380" s="415">
        <v>117.0</v>
      </c>
      <c r="G380" s="415">
        <v>36.0</v>
      </c>
      <c r="H380" s="415">
        <v>2.0</v>
      </c>
      <c r="I380" s="415">
        <v>1500.0</v>
      </c>
      <c r="J380" s="415">
        <v>14.0</v>
      </c>
      <c r="K380" s="415">
        <v>70.0</v>
      </c>
      <c r="L380" s="228" t="s">
        <v>166</v>
      </c>
      <c r="M380" s="415">
        <v>2.0</v>
      </c>
      <c r="N380" s="415">
        <v>2.0</v>
      </c>
      <c r="O380" s="415">
        <v>2.0</v>
      </c>
      <c r="P380" s="415" t="s">
        <v>166</v>
      </c>
      <c r="Q380" s="415" t="s">
        <v>166</v>
      </c>
      <c r="R380" s="411" t="s">
        <v>166</v>
      </c>
      <c r="S380" s="411" t="s">
        <v>166</v>
      </c>
      <c r="T380" s="410"/>
    </row>
    <row r="381">
      <c r="A381" s="409" t="s">
        <v>3401</v>
      </c>
      <c r="B381" s="410" t="s">
        <v>3544</v>
      </c>
      <c r="C381" s="323" t="s">
        <v>3419</v>
      </c>
      <c r="D381" s="469" t="s">
        <v>3552</v>
      </c>
      <c r="E381" s="415">
        <v>162.0</v>
      </c>
      <c r="F381" s="415">
        <v>71.0</v>
      </c>
      <c r="G381" s="415">
        <v>39.0</v>
      </c>
      <c r="H381" s="415">
        <v>2.0</v>
      </c>
      <c r="I381" s="415">
        <v>1470.0</v>
      </c>
      <c r="J381" s="415">
        <v>14.0</v>
      </c>
      <c r="K381" s="415">
        <v>70.0</v>
      </c>
      <c r="L381" s="228" t="s">
        <v>166</v>
      </c>
      <c r="M381" s="415">
        <v>2.0</v>
      </c>
      <c r="N381" s="415">
        <v>1.0</v>
      </c>
      <c r="O381" s="415">
        <v>1.0</v>
      </c>
      <c r="P381" s="415" t="s">
        <v>166</v>
      </c>
      <c r="Q381" s="415" t="s">
        <v>166</v>
      </c>
      <c r="R381" s="411" t="s">
        <v>166</v>
      </c>
      <c r="S381" s="411" t="s">
        <v>174</v>
      </c>
      <c r="T381" s="410"/>
    </row>
    <row r="382">
      <c r="A382" s="409" t="s">
        <v>3401</v>
      </c>
      <c r="B382" s="410" t="s">
        <v>3544</v>
      </c>
      <c r="C382" s="323" t="s">
        <v>3419</v>
      </c>
      <c r="D382" s="469" t="s">
        <v>3553</v>
      </c>
      <c r="E382" s="415">
        <v>149.0</v>
      </c>
      <c r="F382" s="415">
        <v>113.0</v>
      </c>
      <c r="G382" s="415">
        <v>40.0</v>
      </c>
      <c r="H382" s="415">
        <v>2.0</v>
      </c>
      <c r="I382" s="415">
        <v>1470.0</v>
      </c>
      <c r="J382" s="415">
        <v>14.0</v>
      </c>
      <c r="K382" s="415">
        <v>70.0</v>
      </c>
      <c r="L382" s="228">
        <v>8.0</v>
      </c>
      <c r="M382" s="415">
        <v>1.0</v>
      </c>
      <c r="N382" s="415">
        <v>1.0</v>
      </c>
      <c r="O382" s="415">
        <v>1.0</v>
      </c>
      <c r="P382" s="415" t="s">
        <v>166</v>
      </c>
      <c r="Q382" s="415">
        <v>1.0</v>
      </c>
      <c r="R382" s="411" t="s">
        <v>166</v>
      </c>
      <c r="S382" s="411" t="s">
        <v>166</v>
      </c>
      <c r="T382" s="410"/>
    </row>
    <row r="383">
      <c r="A383" s="409" t="s">
        <v>3401</v>
      </c>
      <c r="B383" s="410" t="s">
        <v>3544</v>
      </c>
      <c r="C383" s="174" t="str">
        <f t="shared" ref="C383:C388" si="77">HYPERLINK("https://www.msi.com/index.php","MSI")</f>
        <v>MSI</v>
      </c>
      <c r="D383" s="469" t="s">
        <v>3379</v>
      </c>
      <c r="E383" s="415">
        <v>174.0</v>
      </c>
      <c r="F383" s="415">
        <v>69.0</v>
      </c>
      <c r="G383" s="415">
        <v>42.0</v>
      </c>
      <c r="H383" s="415">
        <v>2.0</v>
      </c>
      <c r="I383" s="415">
        <v>1470.0</v>
      </c>
      <c r="J383" s="415">
        <v>14.0</v>
      </c>
      <c r="K383" s="415">
        <v>70.0</v>
      </c>
      <c r="L383" s="228" t="s">
        <v>166</v>
      </c>
      <c r="M383" s="415">
        <v>2.0</v>
      </c>
      <c r="N383" s="415">
        <v>1.0</v>
      </c>
      <c r="O383" s="415">
        <v>2.0</v>
      </c>
      <c r="P383" s="415" t="s">
        <v>166</v>
      </c>
      <c r="Q383" s="415" t="s">
        <v>166</v>
      </c>
      <c r="R383" s="411" t="s">
        <v>166</v>
      </c>
      <c r="S383" s="411" t="s">
        <v>174</v>
      </c>
      <c r="T383" s="410"/>
    </row>
    <row r="384">
      <c r="A384" s="409" t="s">
        <v>3401</v>
      </c>
      <c r="B384" s="410" t="s">
        <v>3544</v>
      </c>
      <c r="C384" s="174" t="str">
        <f t="shared" si="77"/>
        <v>MSI</v>
      </c>
      <c r="D384" s="469" t="s">
        <v>3554</v>
      </c>
      <c r="E384" s="415">
        <v>174.0</v>
      </c>
      <c r="F384" s="415">
        <v>69.0</v>
      </c>
      <c r="G384" s="415">
        <v>42.0</v>
      </c>
      <c r="H384" s="415">
        <v>2.0</v>
      </c>
      <c r="I384" s="415">
        <v>1492.0</v>
      </c>
      <c r="J384" s="415">
        <v>14.0</v>
      </c>
      <c r="K384" s="415">
        <v>70.0</v>
      </c>
      <c r="L384" s="228" t="s">
        <v>166</v>
      </c>
      <c r="M384" s="415">
        <v>2.0</v>
      </c>
      <c r="N384" s="415">
        <v>1.0</v>
      </c>
      <c r="O384" s="415">
        <v>2.0</v>
      </c>
      <c r="P384" s="415" t="s">
        <v>166</v>
      </c>
      <c r="Q384" s="415" t="s">
        <v>166</v>
      </c>
      <c r="R384" s="411" t="s">
        <v>166</v>
      </c>
      <c r="S384" s="411" t="s">
        <v>174</v>
      </c>
      <c r="T384" s="410"/>
    </row>
    <row r="385">
      <c r="A385" s="409" t="s">
        <v>3401</v>
      </c>
      <c r="B385" s="410" t="s">
        <v>3544</v>
      </c>
      <c r="C385" s="174" t="str">
        <f t="shared" si="77"/>
        <v>MSI</v>
      </c>
      <c r="D385" s="469" t="s">
        <v>3555</v>
      </c>
      <c r="E385" s="415">
        <v>189.0</v>
      </c>
      <c r="F385" s="415">
        <v>109.0</v>
      </c>
      <c r="G385" s="415">
        <v>42.0</v>
      </c>
      <c r="H385" s="415">
        <v>2.0</v>
      </c>
      <c r="I385" s="415">
        <v>1470.0</v>
      </c>
      <c r="J385" s="415">
        <v>14.0</v>
      </c>
      <c r="K385" s="415">
        <v>70.0</v>
      </c>
      <c r="L385" s="228" t="s">
        <v>166</v>
      </c>
      <c r="M385" s="415">
        <v>2.0</v>
      </c>
      <c r="N385" s="415">
        <v>1.0</v>
      </c>
      <c r="O385" s="415">
        <v>2.0</v>
      </c>
      <c r="P385" s="415" t="s">
        <v>166</v>
      </c>
      <c r="Q385" s="415" t="s">
        <v>166</v>
      </c>
      <c r="R385" s="411" t="s">
        <v>166</v>
      </c>
      <c r="S385" s="411" t="s">
        <v>166</v>
      </c>
      <c r="T385" s="410"/>
    </row>
    <row r="386">
      <c r="A386" s="409" t="s">
        <v>3401</v>
      </c>
      <c r="B386" s="410" t="s">
        <v>3544</v>
      </c>
      <c r="C386" s="174" t="str">
        <f t="shared" si="77"/>
        <v>MSI</v>
      </c>
      <c r="D386" s="469" t="s">
        <v>3556</v>
      </c>
      <c r="E386" s="415">
        <v>189.0</v>
      </c>
      <c r="F386" s="415">
        <v>109.0</v>
      </c>
      <c r="G386" s="415">
        <v>42.0</v>
      </c>
      <c r="H386" s="415">
        <v>2.0</v>
      </c>
      <c r="I386" s="415">
        <v>1492.0</v>
      </c>
      <c r="J386" s="415">
        <v>14.0</v>
      </c>
      <c r="K386" s="415">
        <v>70.0</v>
      </c>
      <c r="L386" s="228" t="s">
        <v>166</v>
      </c>
      <c r="M386" s="415">
        <v>2.0</v>
      </c>
      <c r="N386" s="415">
        <v>1.0</v>
      </c>
      <c r="O386" s="415">
        <v>2.0</v>
      </c>
      <c r="P386" s="415" t="s">
        <v>166</v>
      </c>
      <c r="Q386" s="415" t="s">
        <v>166</v>
      </c>
      <c r="R386" s="411" t="s">
        <v>166</v>
      </c>
      <c r="S386" s="411" t="s">
        <v>166</v>
      </c>
      <c r="T386" s="410"/>
    </row>
    <row r="387">
      <c r="A387" s="409" t="s">
        <v>3401</v>
      </c>
      <c r="B387" s="410" t="s">
        <v>3544</v>
      </c>
      <c r="C387" s="174" t="str">
        <f t="shared" si="77"/>
        <v>MSI</v>
      </c>
      <c r="D387" s="469" t="s">
        <v>3409</v>
      </c>
      <c r="E387" s="415">
        <v>205.0</v>
      </c>
      <c r="F387" s="415">
        <v>109.0</v>
      </c>
      <c r="G387" s="415">
        <v>42.0</v>
      </c>
      <c r="H387" s="415">
        <v>2.0</v>
      </c>
      <c r="I387" s="415">
        <v>1470.0</v>
      </c>
      <c r="J387" s="415">
        <v>14.0</v>
      </c>
      <c r="K387" s="415">
        <v>70.0</v>
      </c>
      <c r="L387" s="228" t="s">
        <v>166</v>
      </c>
      <c r="M387" s="415">
        <v>2.0</v>
      </c>
      <c r="N387" s="415">
        <v>1.0</v>
      </c>
      <c r="O387" s="415">
        <v>2.0</v>
      </c>
      <c r="P387" s="415" t="s">
        <v>166</v>
      </c>
      <c r="Q387" s="415" t="s">
        <v>166</v>
      </c>
      <c r="R387" s="411" t="s">
        <v>166</v>
      </c>
      <c r="S387" s="411" t="s">
        <v>166</v>
      </c>
      <c r="T387" s="410"/>
    </row>
    <row r="388">
      <c r="A388" s="409" t="s">
        <v>3401</v>
      </c>
      <c r="B388" s="410" t="s">
        <v>3544</v>
      </c>
      <c r="C388" s="174" t="str">
        <f t="shared" si="77"/>
        <v>MSI</v>
      </c>
      <c r="D388" s="469" t="s">
        <v>3557</v>
      </c>
      <c r="E388" s="415">
        <v>205.0</v>
      </c>
      <c r="F388" s="415">
        <v>109.0</v>
      </c>
      <c r="G388" s="415">
        <v>42.0</v>
      </c>
      <c r="H388" s="415">
        <v>2.0</v>
      </c>
      <c r="I388" s="415">
        <v>1507.0</v>
      </c>
      <c r="J388" s="415">
        <v>14.0</v>
      </c>
      <c r="K388" s="415">
        <v>70.0</v>
      </c>
      <c r="L388" s="228" t="s">
        <v>166</v>
      </c>
      <c r="M388" s="415">
        <v>2.0</v>
      </c>
      <c r="N388" s="415">
        <v>1.0</v>
      </c>
      <c r="O388" s="415">
        <v>2.0</v>
      </c>
      <c r="P388" s="415" t="s">
        <v>166</v>
      </c>
      <c r="Q388" s="415" t="s">
        <v>166</v>
      </c>
      <c r="R388" s="411" t="s">
        <v>166</v>
      </c>
      <c r="S388" s="411" t="s">
        <v>166</v>
      </c>
      <c r="T388" s="410"/>
    </row>
    <row r="389">
      <c r="A389" s="409" t="s">
        <v>3401</v>
      </c>
      <c r="B389" s="410" t="s">
        <v>3544</v>
      </c>
      <c r="C389" s="416" t="str">
        <f t="shared" ref="C389:C391" si="78">HYPERLINK("http://www.palit.com/palit/index.php?lang=en","Palit")</f>
        <v>Palit</v>
      </c>
      <c r="D389" s="469" t="s">
        <v>3437</v>
      </c>
      <c r="E389" s="415">
        <v>166.3</v>
      </c>
      <c r="F389" s="415">
        <v>137.0</v>
      </c>
      <c r="G389" s="415">
        <v>38.3</v>
      </c>
      <c r="H389" s="415">
        <v>2.0</v>
      </c>
      <c r="I389" s="415">
        <v>1470.0</v>
      </c>
      <c r="J389" s="415">
        <v>14.0</v>
      </c>
      <c r="K389" s="415">
        <v>70.0</v>
      </c>
      <c r="L389" s="228" t="s">
        <v>166</v>
      </c>
      <c r="M389" s="415" t="s">
        <v>166</v>
      </c>
      <c r="N389" s="415">
        <v>1.0</v>
      </c>
      <c r="O389" s="415">
        <v>1.0</v>
      </c>
      <c r="P389" s="415" t="s">
        <v>166</v>
      </c>
      <c r="Q389" s="415">
        <v>1.0</v>
      </c>
      <c r="R389" s="411" t="s">
        <v>166</v>
      </c>
      <c r="S389" s="411" t="s">
        <v>166</v>
      </c>
      <c r="T389" s="410" t="s">
        <v>3438</v>
      </c>
    </row>
    <row r="390">
      <c r="A390" s="409" t="s">
        <v>3401</v>
      </c>
      <c r="B390" s="410" t="s">
        <v>3544</v>
      </c>
      <c r="C390" s="416" t="str">
        <f t="shared" si="78"/>
        <v>Palit</v>
      </c>
      <c r="D390" s="469" t="s">
        <v>3439</v>
      </c>
      <c r="E390" s="415">
        <v>162.0</v>
      </c>
      <c r="F390" s="415">
        <v>117.0</v>
      </c>
      <c r="G390" s="415">
        <v>40.0</v>
      </c>
      <c r="H390" s="415">
        <v>2.0</v>
      </c>
      <c r="I390" s="415">
        <v>1470.0</v>
      </c>
      <c r="J390" s="415">
        <v>14.0</v>
      </c>
      <c r="K390" s="415">
        <v>70.0</v>
      </c>
      <c r="L390" s="228" t="s">
        <v>166</v>
      </c>
      <c r="M390" s="415">
        <v>1.0</v>
      </c>
      <c r="N390" s="415">
        <v>1.0</v>
      </c>
      <c r="O390" s="415">
        <v>1.0</v>
      </c>
      <c r="P390" s="415" t="s">
        <v>166</v>
      </c>
      <c r="Q390" s="415">
        <v>1.0</v>
      </c>
      <c r="R390" s="411" t="s">
        <v>166</v>
      </c>
      <c r="S390" s="411" t="s">
        <v>166</v>
      </c>
      <c r="T390" s="410"/>
    </row>
    <row r="391">
      <c r="A391" s="409" t="s">
        <v>3401</v>
      </c>
      <c r="B391" s="410" t="s">
        <v>3544</v>
      </c>
      <c r="C391" s="416" t="str">
        <f t="shared" si="78"/>
        <v>Palit</v>
      </c>
      <c r="D391" s="469" t="s">
        <v>3463</v>
      </c>
      <c r="E391" s="415">
        <v>162.0</v>
      </c>
      <c r="F391" s="415">
        <v>117.0</v>
      </c>
      <c r="G391" s="415">
        <v>40.0</v>
      </c>
      <c r="H391" s="415">
        <v>2.0</v>
      </c>
      <c r="I391" s="415">
        <v>1492.0</v>
      </c>
      <c r="J391" s="415">
        <v>14.0</v>
      </c>
      <c r="K391" s="415">
        <v>70.0</v>
      </c>
      <c r="L391" s="228" t="s">
        <v>166</v>
      </c>
      <c r="M391" s="415">
        <v>1.0</v>
      </c>
      <c r="N391" s="415">
        <v>1.0</v>
      </c>
      <c r="O391" s="415">
        <v>1.0</v>
      </c>
      <c r="P391" s="415" t="s">
        <v>166</v>
      </c>
      <c r="Q391" s="415">
        <v>1.0</v>
      </c>
      <c r="R391" s="411" t="s">
        <v>166</v>
      </c>
      <c r="S391" s="411" t="s">
        <v>166</v>
      </c>
      <c r="T391" s="410"/>
    </row>
    <row r="392">
      <c r="A392" s="409" t="s">
        <v>3401</v>
      </c>
      <c r="B392" s="410" t="s">
        <v>3544</v>
      </c>
      <c r="C392" s="416" t="s">
        <v>3378</v>
      </c>
      <c r="D392" s="469" t="s">
        <v>3558</v>
      </c>
      <c r="E392" s="415" t="s">
        <v>170</v>
      </c>
      <c r="F392" s="415" t="s">
        <v>170</v>
      </c>
      <c r="G392" s="415">
        <v>40.0</v>
      </c>
      <c r="H392" s="415">
        <v>2.0</v>
      </c>
      <c r="I392" s="415">
        <v>1470.0</v>
      </c>
      <c r="J392" s="415">
        <v>14.0</v>
      </c>
      <c r="K392" s="415">
        <v>70.0</v>
      </c>
      <c r="L392" s="228" t="s">
        <v>166</v>
      </c>
      <c r="M392" s="415">
        <v>1.0</v>
      </c>
      <c r="N392" s="415">
        <v>1.0</v>
      </c>
      <c r="O392" s="415">
        <v>1.0</v>
      </c>
      <c r="P392" s="415" t="s">
        <v>166</v>
      </c>
      <c r="Q392" s="415">
        <v>1.0</v>
      </c>
      <c r="R392" s="411" t="s">
        <v>166</v>
      </c>
      <c r="S392" s="411" t="s">
        <v>166</v>
      </c>
      <c r="T392" s="410"/>
    </row>
    <row r="393">
      <c r="A393" s="409" t="s">
        <v>3401</v>
      </c>
      <c r="B393" s="410" t="s">
        <v>3544</v>
      </c>
      <c r="C393" s="416" t="s">
        <v>3378</v>
      </c>
      <c r="D393" s="469" t="s">
        <v>3559</v>
      </c>
      <c r="E393" s="415" t="s">
        <v>170</v>
      </c>
      <c r="F393" s="415" t="s">
        <v>170</v>
      </c>
      <c r="G393" s="415">
        <v>40.0</v>
      </c>
      <c r="H393" s="415">
        <v>2.0</v>
      </c>
      <c r="I393" s="415">
        <v>1470.0</v>
      </c>
      <c r="J393" s="415">
        <v>14.0</v>
      </c>
      <c r="K393" s="415">
        <v>70.0</v>
      </c>
      <c r="L393" s="228" t="s">
        <v>166</v>
      </c>
      <c r="M393" s="415">
        <v>2.0</v>
      </c>
      <c r="N393" s="415">
        <v>1.0</v>
      </c>
      <c r="O393" s="415">
        <v>1.0</v>
      </c>
      <c r="P393" s="415" t="s">
        <v>166</v>
      </c>
      <c r="Q393" s="415">
        <v>1.0</v>
      </c>
      <c r="R393" s="411" t="s">
        <v>166</v>
      </c>
      <c r="S393" s="411" t="s">
        <v>166</v>
      </c>
      <c r="T393" s="410"/>
    </row>
    <row r="394">
      <c r="A394" s="409" t="s">
        <v>3401</v>
      </c>
      <c r="B394" s="410" t="s">
        <v>3544</v>
      </c>
      <c r="C394" s="416" t="str">
        <f t="shared" ref="C394:C395" si="79">HYPERLINK("http://zotac.com/","ZOTAC")</f>
        <v>ZOTAC</v>
      </c>
      <c r="D394" s="469" t="s">
        <v>3379</v>
      </c>
      <c r="E394" s="415">
        <v>161.0</v>
      </c>
      <c r="F394" s="415">
        <v>70.6</v>
      </c>
      <c r="G394" s="415">
        <v>39.2</v>
      </c>
      <c r="H394" s="415">
        <v>2.0</v>
      </c>
      <c r="I394" s="415">
        <v>1470.0</v>
      </c>
      <c r="J394" s="415">
        <v>14.0</v>
      </c>
      <c r="K394" s="415">
        <v>70.0</v>
      </c>
      <c r="L394" s="228" t="s">
        <v>166</v>
      </c>
      <c r="M394" s="415">
        <v>2.0</v>
      </c>
      <c r="N394" s="415">
        <v>1.0</v>
      </c>
      <c r="O394" s="415">
        <v>1.0</v>
      </c>
      <c r="P394" s="415" t="s">
        <v>166</v>
      </c>
      <c r="Q394" s="415" t="s">
        <v>166</v>
      </c>
      <c r="R394" s="411" t="s">
        <v>166</v>
      </c>
      <c r="S394" s="411" t="s">
        <v>174</v>
      </c>
      <c r="T394" s="410"/>
    </row>
    <row r="395">
      <c r="A395" s="406" t="s">
        <v>3401</v>
      </c>
      <c r="B395" s="407" t="s">
        <v>3544</v>
      </c>
      <c r="C395" s="403" t="str">
        <f t="shared" si="79"/>
        <v>ZOTAC</v>
      </c>
      <c r="D395" s="470" t="s">
        <v>3560</v>
      </c>
      <c r="E395" s="405">
        <v>150.8</v>
      </c>
      <c r="F395" s="405">
        <v>115.1</v>
      </c>
      <c r="G395" s="405">
        <v>39.2</v>
      </c>
      <c r="H395" s="405">
        <v>2.0</v>
      </c>
      <c r="I395" s="405">
        <v>1470.0</v>
      </c>
      <c r="J395" s="405">
        <v>14.0</v>
      </c>
      <c r="K395" s="405">
        <v>70.0</v>
      </c>
      <c r="L395" s="239" t="s">
        <v>166</v>
      </c>
      <c r="M395" s="405">
        <v>1.0</v>
      </c>
      <c r="N395" s="405">
        <v>3.0</v>
      </c>
      <c r="O395" s="405">
        <v>1.0</v>
      </c>
      <c r="P395" s="405" t="s">
        <v>166</v>
      </c>
      <c r="Q395" s="405" t="s">
        <v>166</v>
      </c>
      <c r="R395" s="408" t="s">
        <v>166</v>
      </c>
      <c r="S395" s="408" t="s">
        <v>166</v>
      </c>
      <c r="T395" s="407"/>
    </row>
    <row r="396">
      <c r="A396" s="409" t="s">
        <v>3401</v>
      </c>
      <c r="B396" s="410" t="s">
        <v>3561</v>
      </c>
      <c r="C396" s="282" t="str">
        <f t="shared" ref="C396:C400" si="80">HYPERLINK("https://www.asus.com/","Asus")</f>
        <v>Asus</v>
      </c>
      <c r="D396" s="471" t="s">
        <v>3371</v>
      </c>
      <c r="E396" s="411">
        <v>177.0</v>
      </c>
      <c r="F396" s="411">
        <v>128.0</v>
      </c>
      <c r="G396" s="411">
        <v>51.0</v>
      </c>
      <c r="H396" s="411">
        <v>2.0</v>
      </c>
      <c r="I396" s="411">
        <v>1807.0</v>
      </c>
      <c r="J396" s="411">
        <v>14.0</v>
      </c>
      <c r="K396" s="411">
        <v>130.0</v>
      </c>
      <c r="L396" s="241">
        <v>8.0</v>
      </c>
      <c r="M396" s="411">
        <v>1.0</v>
      </c>
      <c r="N396" s="411">
        <v>3.0</v>
      </c>
      <c r="O396" s="411">
        <v>1.0</v>
      </c>
      <c r="P396" s="411" t="s">
        <v>166</v>
      </c>
      <c r="Q396" s="411" t="s">
        <v>166</v>
      </c>
      <c r="R396" s="411" t="s">
        <v>166</v>
      </c>
      <c r="S396" s="411" t="s">
        <v>166</v>
      </c>
      <c r="T396" s="410"/>
    </row>
    <row r="397">
      <c r="A397" s="409" t="s">
        <v>3401</v>
      </c>
      <c r="B397" s="410" t="s">
        <v>3561</v>
      </c>
      <c r="C397" s="174" t="str">
        <f t="shared" si="80"/>
        <v>Asus</v>
      </c>
      <c r="D397" s="469" t="s">
        <v>3472</v>
      </c>
      <c r="E397" s="415">
        <v>172.0</v>
      </c>
      <c r="F397" s="415">
        <v>130.0</v>
      </c>
      <c r="G397" s="415">
        <v>47.0</v>
      </c>
      <c r="H397" s="415">
        <v>2.0</v>
      </c>
      <c r="I397" s="415">
        <v>1807.0</v>
      </c>
      <c r="J397" s="415">
        <v>14.0</v>
      </c>
      <c r="K397" s="415">
        <v>130.0</v>
      </c>
      <c r="L397" s="228">
        <v>8.0</v>
      </c>
      <c r="M397" s="415">
        <v>1.0</v>
      </c>
      <c r="N397" s="415">
        <v>3.0</v>
      </c>
      <c r="O397" s="415">
        <v>1.0</v>
      </c>
      <c r="P397" s="415" t="s">
        <v>166</v>
      </c>
      <c r="Q397" s="415" t="s">
        <v>166</v>
      </c>
      <c r="R397" s="411" t="s">
        <v>166</v>
      </c>
      <c r="S397" s="411" t="s">
        <v>166</v>
      </c>
      <c r="T397" s="410"/>
    </row>
    <row r="398">
      <c r="A398" s="409" t="s">
        <v>3401</v>
      </c>
      <c r="B398" s="410" t="s">
        <v>3561</v>
      </c>
      <c r="C398" s="174" t="str">
        <f t="shared" si="80"/>
        <v>Asus</v>
      </c>
      <c r="D398" s="469" t="s">
        <v>3372</v>
      </c>
      <c r="E398" s="415">
        <v>200.0</v>
      </c>
      <c r="F398" s="415">
        <v>123.0</v>
      </c>
      <c r="G398" s="415">
        <v>38.0</v>
      </c>
      <c r="H398" s="415">
        <v>2.0</v>
      </c>
      <c r="I398" s="415">
        <v>1807.0</v>
      </c>
      <c r="J398" s="415">
        <v>14.0</v>
      </c>
      <c r="K398" s="415">
        <v>130.0</v>
      </c>
      <c r="L398" s="228">
        <v>8.0</v>
      </c>
      <c r="M398" s="415">
        <v>2.0</v>
      </c>
      <c r="N398" s="415">
        <v>3.0</v>
      </c>
      <c r="O398" s="415">
        <v>1.0</v>
      </c>
      <c r="P398" s="415" t="s">
        <v>166</v>
      </c>
      <c r="Q398" s="415" t="s">
        <v>166</v>
      </c>
      <c r="R398" s="411" t="s">
        <v>166</v>
      </c>
      <c r="S398" s="411" t="s">
        <v>166</v>
      </c>
      <c r="T398" s="410"/>
    </row>
    <row r="399">
      <c r="A399" s="409" t="s">
        <v>3401</v>
      </c>
      <c r="B399" s="410" t="s">
        <v>3561</v>
      </c>
      <c r="C399" s="174" t="str">
        <f t="shared" si="80"/>
        <v>Asus</v>
      </c>
      <c r="D399" s="469" t="s">
        <v>3381</v>
      </c>
      <c r="E399" s="415">
        <v>200.0</v>
      </c>
      <c r="F399" s="415">
        <v>123.0</v>
      </c>
      <c r="G399" s="415">
        <v>38.0</v>
      </c>
      <c r="H399" s="415">
        <v>2.0</v>
      </c>
      <c r="I399" s="415">
        <v>1852.0</v>
      </c>
      <c r="J399" s="415">
        <v>14.0</v>
      </c>
      <c r="K399" s="415">
        <v>130.0</v>
      </c>
      <c r="L399" s="228">
        <v>8.0</v>
      </c>
      <c r="M399" s="415">
        <v>2.0</v>
      </c>
      <c r="N399" s="415">
        <v>3.0</v>
      </c>
      <c r="O399" s="415">
        <v>1.0</v>
      </c>
      <c r="P399" s="415" t="s">
        <v>166</v>
      </c>
      <c r="Q399" s="415" t="s">
        <v>166</v>
      </c>
      <c r="R399" s="411" t="s">
        <v>166</v>
      </c>
      <c r="S399" s="411" t="s">
        <v>166</v>
      </c>
      <c r="T399" s="410"/>
    </row>
    <row r="400">
      <c r="A400" s="409" t="s">
        <v>3401</v>
      </c>
      <c r="B400" s="410" t="s">
        <v>3561</v>
      </c>
      <c r="C400" s="174" t="str">
        <f t="shared" si="80"/>
        <v>Asus</v>
      </c>
      <c r="D400" s="469" t="s">
        <v>3562</v>
      </c>
      <c r="E400" s="415">
        <v>200.0</v>
      </c>
      <c r="F400" s="415">
        <v>123.0</v>
      </c>
      <c r="G400" s="415">
        <v>38.0</v>
      </c>
      <c r="H400" s="415">
        <v>2.0</v>
      </c>
      <c r="I400" s="415">
        <v>1852.0</v>
      </c>
      <c r="J400" s="415">
        <v>14.0</v>
      </c>
      <c r="K400" s="415">
        <v>130.0</v>
      </c>
      <c r="L400" s="228">
        <v>8.0</v>
      </c>
      <c r="M400" s="415">
        <v>2.0</v>
      </c>
      <c r="N400" s="415">
        <v>3.0</v>
      </c>
      <c r="O400" s="415">
        <v>1.0</v>
      </c>
      <c r="P400" s="415" t="s">
        <v>166</v>
      </c>
      <c r="Q400" s="415" t="s">
        <v>166</v>
      </c>
      <c r="R400" s="411" t="s">
        <v>166</v>
      </c>
      <c r="S400" s="411" t="s">
        <v>166</v>
      </c>
      <c r="T400" s="410"/>
    </row>
    <row r="401">
      <c r="A401" s="409" t="s">
        <v>3401</v>
      </c>
      <c r="B401" s="410" t="s">
        <v>3561</v>
      </c>
      <c r="C401" s="282" t="str">
        <f t="shared" ref="C401:C402" si="81">HYPERLINK("https://www.evga.com/","EVGA")</f>
        <v>EVGA</v>
      </c>
      <c r="D401" s="472" t="s">
        <v>3506</v>
      </c>
      <c r="E401" s="411">
        <v>201.8</v>
      </c>
      <c r="F401" s="411">
        <v>110.0</v>
      </c>
      <c r="G401" s="411">
        <v>40.0</v>
      </c>
      <c r="H401" s="411">
        <v>2.0</v>
      </c>
      <c r="I401" s="415">
        <v>1777.0</v>
      </c>
      <c r="J401" s="415">
        <v>14.0</v>
      </c>
      <c r="K401" s="415">
        <v>130.0</v>
      </c>
      <c r="L401" s="228">
        <v>8.0</v>
      </c>
      <c r="M401" s="415">
        <v>2.0</v>
      </c>
      <c r="N401" s="415">
        <v>3.0</v>
      </c>
      <c r="O401" s="415">
        <v>1.0</v>
      </c>
      <c r="P401" s="415" t="s">
        <v>166</v>
      </c>
      <c r="Q401" s="415" t="s">
        <v>166</v>
      </c>
      <c r="R401" s="411" t="s">
        <v>166</v>
      </c>
      <c r="S401" s="411" t="s">
        <v>166</v>
      </c>
      <c r="T401" s="410"/>
    </row>
    <row r="402">
      <c r="A402" s="409" t="s">
        <v>3401</v>
      </c>
      <c r="B402" s="410" t="s">
        <v>3561</v>
      </c>
      <c r="C402" s="282" t="str">
        <f t="shared" si="81"/>
        <v>EVGA</v>
      </c>
      <c r="D402" s="472" t="s">
        <v>3513</v>
      </c>
      <c r="E402" s="411">
        <v>201.8</v>
      </c>
      <c r="F402" s="411">
        <v>110.0</v>
      </c>
      <c r="G402" s="411">
        <v>40.0</v>
      </c>
      <c r="H402" s="411">
        <v>2.0</v>
      </c>
      <c r="I402" s="415">
        <v>1845.0</v>
      </c>
      <c r="J402" s="415">
        <v>14.0</v>
      </c>
      <c r="K402" s="415">
        <v>130.0</v>
      </c>
      <c r="L402" s="228">
        <v>8.0</v>
      </c>
      <c r="M402" s="415">
        <v>2.0</v>
      </c>
      <c r="N402" s="415">
        <v>3.0</v>
      </c>
      <c r="O402" s="415">
        <v>1.0</v>
      </c>
      <c r="P402" s="415" t="s">
        <v>166</v>
      </c>
      <c r="Q402" s="415" t="s">
        <v>166</v>
      </c>
      <c r="R402" s="411" t="s">
        <v>166</v>
      </c>
      <c r="S402" s="411" t="s">
        <v>166</v>
      </c>
      <c r="T402" s="410"/>
    </row>
    <row r="403">
      <c r="A403" s="409" t="s">
        <v>3401</v>
      </c>
      <c r="B403" s="410" t="s">
        <v>3561</v>
      </c>
      <c r="C403" s="416" t="str">
        <f t="shared" ref="C403:C404" si="82">HYPERLINK("http://www.gainward.com/main/index.php?lang=en","Gainward")</f>
        <v>Gainward</v>
      </c>
      <c r="D403" s="469" t="s">
        <v>3547</v>
      </c>
      <c r="E403" s="415">
        <v>170.0</v>
      </c>
      <c r="F403" s="415">
        <v>125.0</v>
      </c>
      <c r="G403" s="415">
        <v>40.0</v>
      </c>
      <c r="H403" s="415">
        <v>2.0</v>
      </c>
      <c r="I403" s="415">
        <v>1777.0</v>
      </c>
      <c r="J403" s="415">
        <v>14.0</v>
      </c>
      <c r="K403" s="415">
        <v>130.0</v>
      </c>
      <c r="L403" s="228">
        <v>8.0</v>
      </c>
      <c r="M403" s="415">
        <v>1.0</v>
      </c>
      <c r="N403" s="415">
        <v>3.0</v>
      </c>
      <c r="O403" s="415">
        <v>1.0</v>
      </c>
      <c r="P403" s="415" t="s">
        <v>166</v>
      </c>
      <c r="Q403" s="415" t="s">
        <v>166</v>
      </c>
      <c r="R403" s="411" t="s">
        <v>166</v>
      </c>
      <c r="S403" s="411" t="s">
        <v>166</v>
      </c>
      <c r="T403" s="410"/>
    </row>
    <row r="404">
      <c r="A404" s="409" t="s">
        <v>3401</v>
      </c>
      <c r="B404" s="410" t="s">
        <v>3561</v>
      </c>
      <c r="C404" s="416" t="str">
        <f t="shared" si="82"/>
        <v>Gainward</v>
      </c>
      <c r="D404" s="469" t="s">
        <v>3507</v>
      </c>
      <c r="E404" s="415">
        <v>170.0</v>
      </c>
      <c r="F404" s="415">
        <v>125.0</v>
      </c>
      <c r="G404" s="415">
        <v>40.0</v>
      </c>
      <c r="H404" s="415">
        <v>2.0</v>
      </c>
      <c r="I404" s="415">
        <v>1807.0</v>
      </c>
      <c r="J404" s="415">
        <v>14.0</v>
      </c>
      <c r="K404" s="415">
        <v>130.0</v>
      </c>
      <c r="L404" s="228">
        <v>8.0</v>
      </c>
      <c r="M404" s="415">
        <v>1.0</v>
      </c>
      <c r="N404" s="415">
        <v>3.0</v>
      </c>
      <c r="O404" s="415">
        <v>1.0</v>
      </c>
      <c r="P404" s="415" t="s">
        <v>166</v>
      </c>
      <c r="Q404" s="415" t="s">
        <v>166</v>
      </c>
      <c r="R404" s="411" t="s">
        <v>166</v>
      </c>
      <c r="S404" s="411" t="s">
        <v>166</v>
      </c>
      <c r="T404" s="410"/>
    </row>
    <row r="405">
      <c r="A405" s="409" t="s">
        <v>3401</v>
      </c>
      <c r="B405" s="410" t="s">
        <v>3561</v>
      </c>
      <c r="C405" s="174" t="s">
        <v>3456</v>
      </c>
      <c r="D405" s="469" t="s">
        <v>3563</v>
      </c>
      <c r="E405" s="415">
        <v>182.0</v>
      </c>
      <c r="F405" s="415">
        <v>130.0</v>
      </c>
      <c r="G405" s="415">
        <v>42.0</v>
      </c>
      <c r="H405" s="415">
        <v>2.0</v>
      </c>
      <c r="I405" s="415">
        <v>1777.0</v>
      </c>
      <c r="J405" s="415">
        <v>14.0</v>
      </c>
      <c r="K405" s="415">
        <v>130.0</v>
      </c>
      <c r="L405" s="228">
        <v>8.0</v>
      </c>
      <c r="M405" s="415">
        <v>1.0</v>
      </c>
      <c r="N405" s="415">
        <v>3.0</v>
      </c>
      <c r="O405" s="415">
        <v>1.0</v>
      </c>
      <c r="P405" s="415" t="s">
        <v>166</v>
      </c>
      <c r="Q405" s="415" t="s">
        <v>166</v>
      </c>
      <c r="R405" s="411" t="s">
        <v>166</v>
      </c>
      <c r="S405" s="411" t="s">
        <v>166</v>
      </c>
      <c r="T405" s="410"/>
    </row>
    <row r="406">
      <c r="A406" s="409" t="s">
        <v>3401</v>
      </c>
      <c r="B406" s="410" t="s">
        <v>3561</v>
      </c>
      <c r="C406" s="174" t="s">
        <v>3456</v>
      </c>
      <c r="D406" s="469" t="s">
        <v>3564</v>
      </c>
      <c r="E406" s="415">
        <v>189.0</v>
      </c>
      <c r="F406" s="415">
        <v>111.0</v>
      </c>
      <c r="G406" s="415">
        <v>38.0</v>
      </c>
      <c r="H406" s="415">
        <v>2.0</v>
      </c>
      <c r="I406" s="415">
        <v>1792.0</v>
      </c>
      <c r="J406" s="415">
        <v>14.0</v>
      </c>
      <c r="K406" s="415">
        <v>130.0</v>
      </c>
      <c r="L406" s="228">
        <v>8.0</v>
      </c>
      <c r="M406" s="415">
        <v>1.0</v>
      </c>
      <c r="N406" s="415">
        <v>3.0</v>
      </c>
      <c r="O406" s="415">
        <v>1.0</v>
      </c>
      <c r="P406" s="415" t="s">
        <v>166</v>
      </c>
      <c r="Q406" s="415" t="s">
        <v>166</v>
      </c>
      <c r="R406" s="411" t="s">
        <v>166</v>
      </c>
      <c r="S406" s="411" t="s">
        <v>166</v>
      </c>
      <c r="T406" s="410"/>
    </row>
    <row r="407">
      <c r="A407" s="409" t="s">
        <v>3401</v>
      </c>
      <c r="B407" s="410" t="s">
        <v>3561</v>
      </c>
      <c r="C407" s="174" t="s">
        <v>3456</v>
      </c>
      <c r="D407" s="469" t="s">
        <v>3489</v>
      </c>
      <c r="E407" s="415">
        <v>209.0</v>
      </c>
      <c r="F407" s="415">
        <v>118.0</v>
      </c>
      <c r="G407" s="415">
        <v>41.5</v>
      </c>
      <c r="H407" s="415">
        <v>2.0</v>
      </c>
      <c r="I407" s="415">
        <v>1837.0</v>
      </c>
      <c r="J407" s="415">
        <v>14.0</v>
      </c>
      <c r="K407" s="415">
        <v>130.0</v>
      </c>
      <c r="L407" s="228">
        <v>8.0</v>
      </c>
      <c r="M407" s="415">
        <v>2.0</v>
      </c>
      <c r="N407" s="415">
        <v>3.0</v>
      </c>
      <c r="O407" s="415">
        <v>1.0</v>
      </c>
      <c r="P407" s="415" t="s">
        <v>166</v>
      </c>
      <c r="Q407" s="415" t="s">
        <v>166</v>
      </c>
      <c r="R407" s="411" t="s">
        <v>166</v>
      </c>
      <c r="S407" s="411" t="s">
        <v>166</v>
      </c>
      <c r="T407" s="410"/>
    </row>
    <row r="408">
      <c r="A408" s="409" t="s">
        <v>3401</v>
      </c>
      <c r="B408" s="410" t="s">
        <v>3561</v>
      </c>
      <c r="C408" s="174" t="str">
        <f t="shared" ref="C408:C409" si="83">HYPERLINK("https://www.gigabyte.com/","Gigabyte")</f>
        <v>Gigabyte</v>
      </c>
      <c r="D408" s="469" t="s">
        <v>3374</v>
      </c>
      <c r="E408" s="415">
        <v>213.0</v>
      </c>
      <c r="F408" s="415">
        <v>120.0</v>
      </c>
      <c r="G408" s="415">
        <v>41.0</v>
      </c>
      <c r="H408" s="415">
        <v>2.0</v>
      </c>
      <c r="I408" s="415">
        <v>1777.0</v>
      </c>
      <c r="J408" s="415">
        <v>14.0</v>
      </c>
      <c r="K408" s="415">
        <v>130.0</v>
      </c>
      <c r="L408" s="228">
        <v>8.0</v>
      </c>
      <c r="M408" s="415">
        <v>2.0</v>
      </c>
      <c r="N408" s="415">
        <v>2.0</v>
      </c>
      <c r="O408" s="415">
        <v>2.0</v>
      </c>
      <c r="P408" s="415" t="s">
        <v>166</v>
      </c>
      <c r="Q408" s="415" t="s">
        <v>166</v>
      </c>
      <c r="R408" s="411" t="s">
        <v>166</v>
      </c>
      <c r="S408" s="411" t="s">
        <v>166</v>
      </c>
      <c r="T408" s="410"/>
    </row>
    <row r="409">
      <c r="A409" s="409" t="s">
        <v>3401</v>
      </c>
      <c r="B409" s="410" t="s">
        <v>3561</v>
      </c>
      <c r="C409" s="174" t="str">
        <f t="shared" si="83"/>
        <v>Gigabyte</v>
      </c>
      <c r="D409" s="469" t="s">
        <v>3551</v>
      </c>
      <c r="E409" s="415">
        <v>213.0</v>
      </c>
      <c r="F409" s="415">
        <v>120.0</v>
      </c>
      <c r="G409" s="415">
        <v>41.0</v>
      </c>
      <c r="H409" s="415">
        <v>2.0</v>
      </c>
      <c r="I409" s="415">
        <v>1792.0</v>
      </c>
      <c r="J409" s="415">
        <v>14.0</v>
      </c>
      <c r="K409" s="415">
        <v>130.0</v>
      </c>
      <c r="L409" s="228">
        <v>8.0</v>
      </c>
      <c r="M409" s="415">
        <v>2.0</v>
      </c>
      <c r="N409" s="415">
        <v>2.0</v>
      </c>
      <c r="O409" s="415">
        <v>2.0</v>
      </c>
      <c r="P409" s="415" t="s">
        <v>166</v>
      </c>
      <c r="Q409" s="415" t="s">
        <v>166</v>
      </c>
      <c r="R409" s="411" t="s">
        <v>166</v>
      </c>
      <c r="S409" s="411" t="s">
        <v>166</v>
      </c>
      <c r="T409" s="410"/>
    </row>
    <row r="410">
      <c r="A410" s="409" t="s">
        <v>3401</v>
      </c>
      <c r="B410" s="410" t="s">
        <v>3561</v>
      </c>
      <c r="C410" s="174" t="s">
        <v>3565</v>
      </c>
      <c r="D410" s="469" t="s">
        <v>3566</v>
      </c>
      <c r="E410" s="415">
        <v>183.0</v>
      </c>
      <c r="F410" s="415">
        <v>122.0</v>
      </c>
      <c r="G410" s="415">
        <v>41.0</v>
      </c>
      <c r="H410" s="415">
        <v>2.0</v>
      </c>
      <c r="I410" s="415">
        <v>1777.0</v>
      </c>
      <c r="J410" s="415">
        <v>14.0</v>
      </c>
      <c r="K410" s="415">
        <v>130.0</v>
      </c>
      <c r="L410" s="228">
        <v>8.0</v>
      </c>
      <c r="M410" s="415">
        <v>2.0</v>
      </c>
      <c r="N410" s="415">
        <v>3.0</v>
      </c>
      <c r="O410" s="415">
        <v>1.0</v>
      </c>
      <c r="P410" s="415" t="s">
        <v>166</v>
      </c>
      <c r="Q410" s="415" t="s">
        <v>166</v>
      </c>
      <c r="R410" s="411" t="s">
        <v>166</v>
      </c>
      <c r="S410" s="411" t="s">
        <v>166</v>
      </c>
      <c r="T410" s="410"/>
    </row>
    <row r="411">
      <c r="A411" s="409" t="s">
        <v>3401</v>
      </c>
      <c r="B411" s="410" t="s">
        <v>3561</v>
      </c>
      <c r="C411" s="174" t="str">
        <f t="shared" ref="C411:C416" si="84">HYPERLINK("https://www.msi.com/index.php","MSI")</f>
        <v>MSI</v>
      </c>
      <c r="D411" s="469" t="s">
        <v>3375</v>
      </c>
      <c r="E411" s="415">
        <v>172.0</v>
      </c>
      <c r="F411" s="415">
        <v>125.0</v>
      </c>
      <c r="G411" s="415">
        <v>43.0</v>
      </c>
      <c r="H411" s="415">
        <v>2.0</v>
      </c>
      <c r="I411" s="415">
        <v>1777.0</v>
      </c>
      <c r="J411" s="415">
        <v>14.0</v>
      </c>
      <c r="K411" s="415">
        <v>130.0</v>
      </c>
      <c r="L411" s="228">
        <v>8.0</v>
      </c>
      <c r="M411" s="415">
        <v>1.0</v>
      </c>
      <c r="N411" s="415">
        <v>3.0</v>
      </c>
      <c r="O411" s="415">
        <v>1.0</v>
      </c>
      <c r="P411" s="415" t="s">
        <v>166</v>
      </c>
      <c r="Q411" s="415" t="s">
        <v>166</v>
      </c>
      <c r="R411" s="411" t="s">
        <v>166</v>
      </c>
      <c r="S411" s="411" t="s">
        <v>166</v>
      </c>
      <c r="T411" s="410"/>
    </row>
    <row r="412">
      <c r="A412" s="409" t="s">
        <v>3401</v>
      </c>
      <c r="B412" s="410" t="s">
        <v>3561</v>
      </c>
      <c r="C412" s="174" t="str">
        <f t="shared" si="84"/>
        <v>MSI</v>
      </c>
      <c r="D412" s="469" t="s">
        <v>3434</v>
      </c>
      <c r="E412" s="415">
        <v>172.0</v>
      </c>
      <c r="F412" s="415">
        <v>125.0</v>
      </c>
      <c r="G412" s="415">
        <v>43.0</v>
      </c>
      <c r="H412" s="415">
        <v>2.0</v>
      </c>
      <c r="I412" s="415">
        <v>1807.0</v>
      </c>
      <c r="J412" s="415">
        <v>14.0</v>
      </c>
      <c r="K412" s="415">
        <v>130.0</v>
      </c>
      <c r="L412" s="228">
        <v>8.0</v>
      </c>
      <c r="M412" s="415">
        <v>1.0</v>
      </c>
      <c r="N412" s="415">
        <v>3.0</v>
      </c>
      <c r="O412" s="415">
        <v>1.0</v>
      </c>
      <c r="P412" s="415" t="s">
        <v>166</v>
      </c>
      <c r="Q412" s="415" t="s">
        <v>166</v>
      </c>
      <c r="R412" s="411" t="s">
        <v>166</v>
      </c>
      <c r="S412" s="411" t="s">
        <v>166</v>
      </c>
      <c r="T412" s="410"/>
    </row>
    <row r="413">
      <c r="A413" s="409" t="s">
        <v>3401</v>
      </c>
      <c r="B413" s="410" t="s">
        <v>3561</v>
      </c>
      <c r="C413" s="174" t="str">
        <f t="shared" si="84"/>
        <v>MSI</v>
      </c>
      <c r="D413" s="469" t="s">
        <v>3494</v>
      </c>
      <c r="E413" s="415">
        <v>168.0</v>
      </c>
      <c r="F413" s="415">
        <v>111.0</v>
      </c>
      <c r="G413" s="415">
        <v>42.0</v>
      </c>
      <c r="H413" s="415">
        <v>2.0</v>
      </c>
      <c r="I413" s="415">
        <v>1777.0</v>
      </c>
      <c r="J413" s="415">
        <v>14.0</v>
      </c>
      <c r="K413" s="415">
        <v>115.0</v>
      </c>
      <c r="L413" s="228">
        <v>6.0</v>
      </c>
      <c r="M413" s="415">
        <v>1.0</v>
      </c>
      <c r="N413" s="415">
        <v>1.0</v>
      </c>
      <c r="O413" s="415">
        <v>1.0</v>
      </c>
      <c r="P413" s="415" t="s">
        <v>166</v>
      </c>
      <c r="Q413" s="415">
        <v>1.0</v>
      </c>
      <c r="R413" s="411" t="s">
        <v>166</v>
      </c>
      <c r="S413" s="411" t="s">
        <v>166</v>
      </c>
      <c r="T413" s="410"/>
    </row>
    <row r="414">
      <c r="A414" s="409" t="s">
        <v>3401</v>
      </c>
      <c r="B414" s="410" t="s">
        <v>3561</v>
      </c>
      <c r="C414" s="174" t="str">
        <f t="shared" si="84"/>
        <v>MSI</v>
      </c>
      <c r="D414" s="469" t="s">
        <v>3435</v>
      </c>
      <c r="E414" s="415">
        <v>168.0</v>
      </c>
      <c r="F414" s="415">
        <v>111.0</v>
      </c>
      <c r="G414" s="415">
        <v>42.0</v>
      </c>
      <c r="H414" s="415">
        <v>2.0</v>
      </c>
      <c r="I414" s="415">
        <v>1807.0</v>
      </c>
      <c r="J414" s="415">
        <v>14.0</v>
      </c>
      <c r="K414" s="415">
        <v>115.0</v>
      </c>
      <c r="L414" s="228">
        <v>6.0</v>
      </c>
      <c r="M414" s="415">
        <v>1.0</v>
      </c>
      <c r="N414" s="415">
        <v>1.0</v>
      </c>
      <c r="O414" s="415">
        <v>1.0</v>
      </c>
      <c r="P414" s="415" t="s">
        <v>166</v>
      </c>
      <c r="Q414" s="415">
        <v>1.0</v>
      </c>
      <c r="R414" s="411" t="s">
        <v>166</v>
      </c>
      <c r="S414" s="411" t="s">
        <v>166</v>
      </c>
      <c r="T414" s="410"/>
    </row>
    <row r="415">
      <c r="A415" s="409" t="s">
        <v>3401</v>
      </c>
      <c r="B415" s="410" t="s">
        <v>3561</v>
      </c>
      <c r="C415" s="174" t="str">
        <f t="shared" si="84"/>
        <v>MSI</v>
      </c>
      <c r="D415" s="469" t="s">
        <v>3567</v>
      </c>
      <c r="E415" s="415">
        <v>205.0</v>
      </c>
      <c r="F415" s="415">
        <v>112.0</v>
      </c>
      <c r="G415" s="415">
        <v>45.0</v>
      </c>
      <c r="H415" s="415">
        <v>2.0</v>
      </c>
      <c r="I415" s="415">
        <v>1777.0</v>
      </c>
      <c r="J415" s="415">
        <v>14.0</v>
      </c>
      <c r="K415" s="415">
        <v>115.0</v>
      </c>
      <c r="L415" s="228">
        <v>6.0</v>
      </c>
      <c r="M415" s="415">
        <v>2.0</v>
      </c>
      <c r="N415" s="415">
        <v>1.0</v>
      </c>
      <c r="O415" s="415">
        <v>1.0</v>
      </c>
      <c r="P415" s="415" t="s">
        <v>166</v>
      </c>
      <c r="Q415" s="415">
        <v>1.0</v>
      </c>
      <c r="R415" s="411" t="s">
        <v>166</v>
      </c>
      <c r="S415" s="411" t="s">
        <v>166</v>
      </c>
      <c r="T415" s="410"/>
    </row>
    <row r="416">
      <c r="A416" s="409" t="s">
        <v>3401</v>
      </c>
      <c r="B416" s="410" t="s">
        <v>3561</v>
      </c>
      <c r="C416" s="174" t="str">
        <f t="shared" si="84"/>
        <v>MSI</v>
      </c>
      <c r="D416" s="469" t="s">
        <v>3568</v>
      </c>
      <c r="E416" s="415">
        <v>205.0</v>
      </c>
      <c r="F416" s="415">
        <v>112.0</v>
      </c>
      <c r="G416" s="415">
        <v>45.0</v>
      </c>
      <c r="H416" s="415">
        <v>2.0</v>
      </c>
      <c r="I416" s="415">
        <v>1807.0</v>
      </c>
      <c r="J416" s="415">
        <v>14.0</v>
      </c>
      <c r="K416" s="415">
        <v>115.0</v>
      </c>
      <c r="L416" s="228">
        <v>6.0</v>
      </c>
      <c r="M416" s="415">
        <v>2.0</v>
      </c>
      <c r="N416" s="415">
        <v>1.0</v>
      </c>
      <c r="O416" s="415">
        <v>1.0</v>
      </c>
      <c r="P416" s="415" t="s">
        <v>166</v>
      </c>
      <c r="Q416" s="415">
        <v>1.0</v>
      </c>
      <c r="R416" s="411" t="s">
        <v>166</v>
      </c>
      <c r="S416" s="411" t="s">
        <v>166</v>
      </c>
      <c r="T416" s="410"/>
    </row>
    <row r="417">
      <c r="A417" s="409" t="s">
        <v>3401</v>
      </c>
      <c r="B417" s="410" t="s">
        <v>3561</v>
      </c>
      <c r="C417" s="416" t="str">
        <f t="shared" ref="C417:C418" si="85">HYPERLINK("http://www.palit.com/palit/index.php?lang=en","Palit")</f>
        <v>Palit</v>
      </c>
      <c r="D417" s="469" t="s">
        <v>3439</v>
      </c>
      <c r="E417" s="415">
        <v>170.0</v>
      </c>
      <c r="F417" s="415">
        <v>125.0</v>
      </c>
      <c r="G417" s="415">
        <v>40.0</v>
      </c>
      <c r="H417" s="415">
        <v>2.0</v>
      </c>
      <c r="I417" s="415">
        <v>1777.0</v>
      </c>
      <c r="J417" s="415">
        <v>14.0</v>
      </c>
      <c r="K417" s="415">
        <v>130.0</v>
      </c>
      <c r="L417" s="228">
        <v>8.0</v>
      </c>
      <c r="M417" s="415">
        <v>1.0</v>
      </c>
      <c r="N417" s="415">
        <v>3.0</v>
      </c>
      <c r="O417" s="415">
        <v>1.0</v>
      </c>
      <c r="P417" s="415" t="s">
        <v>166</v>
      </c>
      <c r="Q417" s="415" t="s">
        <v>166</v>
      </c>
      <c r="R417" s="411" t="s">
        <v>166</v>
      </c>
      <c r="S417" s="411" t="s">
        <v>166</v>
      </c>
      <c r="T417" s="410"/>
    </row>
    <row r="418">
      <c r="A418" s="409" t="s">
        <v>3401</v>
      </c>
      <c r="B418" s="410" t="s">
        <v>3561</v>
      </c>
      <c r="C418" s="416" t="str">
        <f t="shared" si="85"/>
        <v>Palit</v>
      </c>
      <c r="D418" s="469" t="s">
        <v>3463</v>
      </c>
      <c r="E418" s="415">
        <v>170.0</v>
      </c>
      <c r="F418" s="415">
        <v>125.0</v>
      </c>
      <c r="G418" s="415">
        <v>40.0</v>
      </c>
      <c r="H418" s="415">
        <v>2.0</v>
      </c>
      <c r="I418" s="415">
        <v>1807.0</v>
      </c>
      <c r="J418" s="415">
        <v>14.0</v>
      </c>
      <c r="K418" s="415">
        <v>130.0</v>
      </c>
      <c r="L418" s="228">
        <v>8.0</v>
      </c>
      <c r="M418" s="415">
        <v>1.0</v>
      </c>
      <c r="N418" s="415">
        <v>3.0</v>
      </c>
      <c r="O418" s="415">
        <v>1.0</v>
      </c>
      <c r="P418" s="415" t="s">
        <v>166</v>
      </c>
      <c r="Q418" s="415" t="s">
        <v>166</v>
      </c>
      <c r="R418" s="411" t="s">
        <v>166</v>
      </c>
      <c r="S418" s="411" t="s">
        <v>166</v>
      </c>
      <c r="T418" s="410"/>
    </row>
    <row r="419">
      <c r="A419" s="409" t="s">
        <v>3401</v>
      </c>
      <c r="B419" s="410" t="s">
        <v>3561</v>
      </c>
      <c r="C419" s="174" t="str">
        <f>HYPERLINK("https://pny.com/","PNY")</f>
        <v>PNY</v>
      </c>
      <c r="D419" s="469" t="s">
        <v>3569</v>
      </c>
      <c r="E419" s="415">
        <v>170.0</v>
      </c>
      <c r="F419" s="415">
        <v>125.0</v>
      </c>
      <c r="G419" s="415">
        <v>40.0</v>
      </c>
      <c r="H419" s="415">
        <v>2.0</v>
      </c>
      <c r="I419" s="415">
        <v>1777.0</v>
      </c>
      <c r="J419" s="415">
        <v>14.0</v>
      </c>
      <c r="K419" s="415">
        <v>130.0</v>
      </c>
      <c r="L419" s="228">
        <v>8.0</v>
      </c>
      <c r="M419" s="415">
        <v>1.0</v>
      </c>
      <c r="N419" s="415">
        <v>3.0</v>
      </c>
      <c r="O419" s="415">
        <v>1.0</v>
      </c>
      <c r="P419" s="415" t="s">
        <v>166</v>
      </c>
      <c r="Q419" s="415" t="s">
        <v>166</v>
      </c>
      <c r="R419" s="411" t="s">
        <v>166</v>
      </c>
      <c r="S419" s="411" t="s">
        <v>166</v>
      </c>
      <c r="T419" s="410"/>
    </row>
    <row r="420">
      <c r="A420" s="406" t="s">
        <v>3401</v>
      </c>
      <c r="B420" s="407" t="s">
        <v>3561</v>
      </c>
      <c r="C420" s="403" t="str">
        <f>HYPERLINK("http://zotac.com/","ZOTAC")</f>
        <v>ZOTAC</v>
      </c>
      <c r="D420" s="470" t="s">
        <v>3560</v>
      </c>
      <c r="E420" s="405">
        <v>168.0</v>
      </c>
      <c r="F420" s="405">
        <v>132.2</v>
      </c>
      <c r="G420" s="405">
        <v>39.8</v>
      </c>
      <c r="H420" s="405">
        <v>2.0</v>
      </c>
      <c r="I420" s="405">
        <v>1777.0</v>
      </c>
      <c r="J420" s="405">
        <v>14.0</v>
      </c>
      <c r="K420" s="405">
        <v>130.0</v>
      </c>
      <c r="L420" s="239">
        <v>8.0</v>
      </c>
      <c r="M420" s="405">
        <v>1.0</v>
      </c>
      <c r="N420" s="405">
        <v>3.0</v>
      </c>
      <c r="O420" s="405">
        <v>1.0</v>
      </c>
      <c r="P420" s="405" t="s">
        <v>166</v>
      </c>
      <c r="Q420" s="405" t="s">
        <v>166</v>
      </c>
      <c r="R420" s="408" t="s">
        <v>166</v>
      </c>
      <c r="S420" s="408" t="s">
        <v>166</v>
      </c>
      <c r="T420" s="407"/>
    </row>
    <row r="421">
      <c r="A421" s="409" t="s">
        <v>3401</v>
      </c>
      <c r="B421" s="410" t="s">
        <v>3570</v>
      </c>
      <c r="C421" s="174" t="str">
        <f t="shared" ref="C421:C424" si="86">HYPERLINK("https://www.asus.com/","Asus")</f>
        <v>Asus</v>
      </c>
      <c r="D421" s="469" t="s">
        <v>3372</v>
      </c>
      <c r="E421" s="415">
        <v>200.0</v>
      </c>
      <c r="F421" s="415">
        <v>123.0</v>
      </c>
      <c r="G421" s="415">
        <v>38.0</v>
      </c>
      <c r="H421" s="415">
        <v>2.0</v>
      </c>
      <c r="I421" s="415">
        <v>1807.0</v>
      </c>
      <c r="J421" s="415">
        <v>15.0</v>
      </c>
      <c r="K421" s="415">
        <v>170.0</v>
      </c>
      <c r="L421" s="228">
        <v>8.0</v>
      </c>
      <c r="M421" s="415">
        <v>2.0</v>
      </c>
      <c r="N421" s="415">
        <v>3.0</v>
      </c>
      <c r="O421" s="415">
        <v>1.0</v>
      </c>
      <c r="P421" s="415" t="s">
        <v>166</v>
      </c>
      <c r="Q421" s="415" t="s">
        <v>166</v>
      </c>
      <c r="R421" s="411" t="s">
        <v>166</v>
      </c>
      <c r="S421" s="411" t="s">
        <v>166</v>
      </c>
      <c r="T421" s="410"/>
    </row>
    <row r="422">
      <c r="A422" s="409" t="s">
        <v>3401</v>
      </c>
      <c r="B422" s="410" t="s">
        <v>3570</v>
      </c>
      <c r="C422" s="174" t="str">
        <f t="shared" si="86"/>
        <v>Asus</v>
      </c>
      <c r="D422" s="471" t="s">
        <v>3381</v>
      </c>
      <c r="E422" s="415">
        <v>200.0</v>
      </c>
      <c r="F422" s="415">
        <v>123.0</v>
      </c>
      <c r="G422" s="415">
        <v>38.0</v>
      </c>
      <c r="H422" s="415">
        <v>2.0</v>
      </c>
      <c r="I422" s="415">
        <v>1867.0</v>
      </c>
      <c r="J422" s="415">
        <v>15.0</v>
      </c>
      <c r="K422" s="415">
        <v>170.0</v>
      </c>
      <c r="L422" s="228">
        <v>8.0</v>
      </c>
      <c r="M422" s="415">
        <v>2.0</v>
      </c>
      <c r="N422" s="415">
        <v>3.0</v>
      </c>
      <c r="O422" s="415">
        <v>1.0</v>
      </c>
      <c r="P422" s="415" t="s">
        <v>166</v>
      </c>
      <c r="Q422" s="415" t="s">
        <v>166</v>
      </c>
      <c r="R422" s="411" t="s">
        <v>166</v>
      </c>
      <c r="S422" s="411" t="s">
        <v>166</v>
      </c>
      <c r="T422" s="410"/>
    </row>
    <row r="423">
      <c r="A423" s="409" t="s">
        <v>3401</v>
      </c>
      <c r="B423" s="410" t="s">
        <v>3570</v>
      </c>
      <c r="C423" s="174" t="str">
        <f t="shared" si="86"/>
        <v>Asus</v>
      </c>
      <c r="D423" s="471" t="s">
        <v>3571</v>
      </c>
      <c r="E423" s="415">
        <v>200.0</v>
      </c>
      <c r="F423" s="415">
        <v>123.0</v>
      </c>
      <c r="G423" s="415">
        <v>38.0</v>
      </c>
      <c r="H423" s="415">
        <v>2.0</v>
      </c>
      <c r="I423" s="415">
        <v>1807.0</v>
      </c>
      <c r="J423" s="415">
        <v>15.0</v>
      </c>
      <c r="K423" s="415">
        <v>170.0</v>
      </c>
      <c r="L423" s="228">
        <v>8.0</v>
      </c>
      <c r="M423" s="415">
        <v>2.0</v>
      </c>
      <c r="N423" s="415">
        <v>3.0</v>
      </c>
      <c r="O423" s="415">
        <v>1.0</v>
      </c>
      <c r="P423" s="415" t="s">
        <v>166</v>
      </c>
      <c r="Q423" s="415" t="s">
        <v>166</v>
      </c>
      <c r="R423" s="411" t="s">
        <v>166</v>
      </c>
      <c r="S423" s="411" t="s">
        <v>166</v>
      </c>
      <c r="T423" s="410"/>
    </row>
    <row r="424">
      <c r="A424" s="409" t="s">
        <v>3401</v>
      </c>
      <c r="B424" s="410" t="s">
        <v>3570</v>
      </c>
      <c r="C424" s="174" t="str">
        <f t="shared" si="86"/>
        <v>Asus</v>
      </c>
      <c r="D424" s="471" t="s">
        <v>3572</v>
      </c>
      <c r="E424" s="415">
        <v>200.0</v>
      </c>
      <c r="F424" s="415">
        <v>123.0</v>
      </c>
      <c r="G424" s="415">
        <v>38.0</v>
      </c>
      <c r="H424" s="415">
        <v>2.0</v>
      </c>
      <c r="I424" s="415">
        <v>1867.0</v>
      </c>
      <c r="J424" s="415">
        <v>15.0</v>
      </c>
      <c r="K424" s="415">
        <v>170.0</v>
      </c>
      <c r="L424" s="228">
        <v>8.0</v>
      </c>
      <c r="M424" s="415">
        <v>2.0</v>
      </c>
      <c r="N424" s="415">
        <v>3.0</v>
      </c>
      <c r="O424" s="415">
        <v>1.0</v>
      </c>
      <c r="P424" s="415" t="s">
        <v>166</v>
      </c>
      <c r="Q424" s="415" t="s">
        <v>166</v>
      </c>
      <c r="R424" s="411" t="s">
        <v>166</v>
      </c>
      <c r="S424" s="411" t="s">
        <v>166</v>
      </c>
      <c r="T424" s="410"/>
    </row>
    <row r="425">
      <c r="A425" s="409" t="s">
        <v>3401</v>
      </c>
      <c r="B425" s="410" t="s">
        <v>3570</v>
      </c>
      <c r="C425" s="416" t="str">
        <f>HYPERLINK("http://www.gainward.com/main/index.php?lang=en","Gainward")</f>
        <v>Gainward</v>
      </c>
      <c r="D425" s="471" t="s">
        <v>3547</v>
      </c>
      <c r="E425" s="415">
        <v>170.0</v>
      </c>
      <c r="F425" s="415">
        <v>125.0</v>
      </c>
      <c r="G425" s="415">
        <v>40.0</v>
      </c>
      <c r="H425" s="415">
        <v>2.0</v>
      </c>
      <c r="I425" s="415">
        <v>1777.0</v>
      </c>
      <c r="J425" s="415">
        <v>15.0</v>
      </c>
      <c r="K425" s="415">
        <v>170.0</v>
      </c>
      <c r="L425" s="228">
        <v>8.0</v>
      </c>
      <c r="M425" s="415">
        <v>1.0</v>
      </c>
      <c r="N425" s="415">
        <v>3.0</v>
      </c>
      <c r="O425" s="415">
        <v>1.0</v>
      </c>
      <c r="P425" s="415" t="s">
        <v>166</v>
      </c>
      <c r="Q425" s="415" t="s">
        <v>166</v>
      </c>
      <c r="R425" s="411" t="s">
        <v>166</v>
      </c>
      <c r="S425" s="411" t="s">
        <v>166</v>
      </c>
      <c r="T425" s="410"/>
    </row>
    <row r="426">
      <c r="A426" s="406" t="s">
        <v>3401</v>
      </c>
      <c r="B426" s="407" t="s">
        <v>3570</v>
      </c>
      <c r="C426" s="403" t="str">
        <f>HYPERLINK("http://www.palit.com/palit/index.php?lang=en","Palit")</f>
        <v>Palit</v>
      </c>
      <c r="D426" s="473" t="s">
        <v>3439</v>
      </c>
      <c r="E426" s="405">
        <v>170.0</v>
      </c>
      <c r="F426" s="405">
        <v>125.0</v>
      </c>
      <c r="G426" s="405">
        <v>40.0</v>
      </c>
      <c r="H426" s="405">
        <v>2.0</v>
      </c>
      <c r="I426" s="405">
        <v>1777.0</v>
      </c>
      <c r="J426" s="405">
        <v>15.0</v>
      </c>
      <c r="K426" s="405">
        <v>170.0</v>
      </c>
      <c r="L426" s="239">
        <v>8.0</v>
      </c>
      <c r="M426" s="405">
        <v>1.0</v>
      </c>
      <c r="N426" s="405">
        <v>3.0</v>
      </c>
      <c r="O426" s="405">
        <v>1.0</v>
      </c>
      <c r="P426" s="405" t="s">
        <v>166</v>
      </c>
      <c r="Q426" s="405" t="s">
        <v>166</v>
      </c>
      <c r="R426" s="408" t="s">
        <v>166</v>
      </c>
      <c r="S426" s="408" t="s">
        <v>166</v>
      </c>
      <c r="T426" s="407"/>
    </row>
    <row r="427">
      <c r="A427" s="409" t="s">
        <v>3401</v>
      </c>
      <c r="B427" s="410" t="s">
        <v>3573</v>
      </c>
      <c r="C427" s="282" t="str">
        <f t="shared" ref="C427:C434" si="87">HYPERLINK("https://www.asus.com/","Asus")</f>
        <v>Asus</v>
      </c>
      <c r="D427" s="471" t="s">
        <v>3371</v>
      </c>
      <c r="E427" s="411">
        <v>177.0</v>
      </c>
      <c r="F427" s="411">
        <v>128.0</v>
      </c>
      <c r="G427" s="411">
        <v>51.0</v>
      </c>
      <c r="H427" s="411">
        <v>2.0</v>
      </c>
      <c r="I427" s="411">
        <v>1807.0</v>
      </c>
      <c r="J427" s="411">
        <v>15.0</v>
      </c>
      <c r="K427" s="411">
        <v>170.0</v>
      </c>
      <c r="L427" s="241">
        <v>8.0</v>
      </c>
      <c r="M427" s="411">
        <v>1.0</v>
      </c>
      <c r="N427" s="411">
        <v>3.0</v>
      </c>
      <c r="O427" s="411">
        <v>1.0</v>
      </c>
      <c r="P427" s="411" t="s">
        <v>166</v>
      </c>
      <c r="Q427" s="411" t="s">
        <v>166</v>
      </c>
      <c r="R427" s="411" t="s">
        <v>166</v>
      </c>
      <c r="S427" s="411" t="s">
        <v>166</v>
      </c>
      <c r="T427" s="410"/>
    </row>
    <row r="428">
      <c r="A428" s="409" t="s">
        <v>3401</v>
      </c>
      <c r="B428" s="410" t="s">
        <v>3573</v>
      </c>
      <c r="C428" s="174" t="str">
        <f t="shared" si="87"/>
        <v>Asus</v>
      </c>
      <c r="D428" s="469" t="s">
        <v>3470</v>
      </c>
      <c r="E428" s="415">
        <v>177.0</v>
      </c>
      <c r="F428" s="415">
        <v>128.0</v>
      </c>
      <c r="G428" s="415">
        <v>51.0</v>
      </c>
      <c r="H428" s="415">
        <v>2.0</v>
      </c>
      <c r="I428" s="415">
        <v>1807.0</v>
      </c>
      <c r="J428" s="415">
        <v>15.0</v>
      </c>
      <c r="K428" s="415">
        <v>170.0</v>
      </c>
      <c r="L428" s="228">
        <v>8.0</v>
      </c>
      <c r="M428" s="415">
        <v>1.0</v>
      </c>
      <c r="N428" s="415">
        <v>3.0</v>
      </c>
      <c r="O428" s="415">
        <v>1.0</v>
      </c>
      <c r="P428" s="415" t="s">
        <v>166</v>
      </c>
      <c r="Q428" s="415" t="s">
        <v>166</v>
      </c>
      <c r="R428" s="411" t="s">
        <v>166</v>
      </c>
      <c r="S428" s="411" t="s">
        <v>166</v>
      </c>
      <c r="T428" s="410"/>
    </row>
    <row r="429">
      <c r="A429" s="409" t="s">
        <v>3401</v>
      </c>
      <c r="B429" s="410" t="s">
        <v>3573</v>
      </c>
      <c r="C429" s="174" t="str">
        <f t="shared" si="87"/>
        <v>Asus</v>
      </c>
      <c r="D429" s="471" t="s">
        <v>3372</v>
      </c>
      <c r="E429" s="415">
        <v>200.0</v>
      </c>
      <c r="F429" s="415">
        <v>123.0</v>
      </c>
      <c r="G429" s="415">
        <v>38.0</v>
      </c>
      <c r="H429" s="415">
        <v>2.0</v>
      </c>
      <c r="I429" s="415">
        <v>1807.0</v>
      </c>
      <c r="J429" s="415">
        <v>15.0</v>
      </c>
      <c r="K429" s="415">
        <v>170.0</v>
      </c>
      <c r="L429" s="228">
        <v>8.0</v>
      </c>
      <c r="M429" s="415">
        <v>2.0</v>
      </c>
      <c r="N429" s="415">
        <v>3.0</v>
      </c>
      <c r="O429" s="415">
        <v>1.0</v>
      </c>
      <c r="P429" s="415" t="s">
        <v>166</v>
      </c>
      <c r="Q429" s="415" t="s">
        <v>166</v>
      </c>
      <c r="R429" s="411" t="s">
        <v>166</v>
      </c>
      <c r="S429" s="411" t="s">
        <v>166</v>
      </c>
      <c r="T429" s="410"/>
    </row>
    <row r="430">
      <c r="A430" s="409" t="s">
        <v>3401</v>
      </c>
      <c r="B430" s="410" t="s">
        <v>3573</v>
      </c>
      <c r="C430" s="174" t="str">
        <f t="shared" si="87"/>
        <v>Asus</v>
      </c>
      <c r="D430" s="471" t="s">
        <v>3476</v>
      </c>
      <c r="E430" s="415">
        <v>200.0</v>
      </c>
      <c r="F430" s="415">
        <v>123.0</v>
      </c>
      <c r="G430" s="415">
        <v>38.0</v>
      </c>
      <c r="H430" s="415">
        <v>2.0</v>
      </c>
      <c r="I430" s="415">
        <v>1807.0</v>
      </c>
      <c r="J430" s="415">
        <v>15.0</v>
      </c>
      <c r="K430" s="415">
        <v>170.0</v>
      </c>
      <c r="L430" s="228">
        <v>8.0</v>
      </c>
      <c r="M430" s="415">
        <v>2.0</v>
      </c>
      <c r="N430" s="415">
        <v>3.0</v>
      </c>
      <c r="O430" s="415">
        <v>1.0</v>
      </c>
      <c r="P430" s="415" t="s">
        <v>166</v>
      </c>
      <c r="Q430" s="415" t="s">
        <v>166</v>
      </c>
      <c r="R430" s="411" t="s">
        <v>166</v>
      </c>
      <c r="S430" s="411" t="s">
        <v>166</v>
      </c>
      <c r="T430" s="410"/>
    </row>
    <row r="431">
      <c r="A431" s="409" t="s">
        <v>3401</v>
      </c>
      <c r="B431" s="410" t="s">
        <v>3573</v>
      </c>
      <c r="C431" s="174" t="str">
        <f t="shared" si="87"/>
        <v>Asus</v>
      </c>
      <c r="D431" s="469" t="s">
        <v>3381</v>
      </c>
      <c r="E431" s="415">
        <v>200.0</v>
      </c>
      <c r="F431" s="415">
        <v>123.0</v>
      </c>
      <c r="G431" s="415">
        <v>38.0</v>
      </c>
      <c r="H431" s="415">
        <v>2.0</v>
      </c>
      <c r="I431" s="415">
        <v>1867.0</v>
      </c>
      <c r="J431" s="415">
        <v>15.0</v>
      </c>
      <c r="K431" s="415">
        <v>170.0</v>
      </c>
      <c r="L431" s="228">
        <v>8.0</v>
      </c>
      <c r="M431" s="415">
        <v>2.0</v>
      </c>
      <c r="N431" s="415">
        <v>3.0</v>
      </c>
      <c r="O431" s="415">
        <v>1.0</v>
      </c>
      <c r="P431" s="415" t="s">
        <v>166</v>
      </c>
      <c r="Q431" s="415" t="s">
        <v>166</v>
      </c>
      <c r="R431" s="415" t="s">
        <v>166</v>
      </c>
      <c r="S431" s="415" t="s">
        <v>166</v>
      </c>
      <c r="T431" s="413"/>
    </row>
    <row r="432">
      <c r="A432" s="409" t="s">
        <v>3401</v>
      </c>
      <c r="B432" s="410" t="s">
        <v>3573</v>
      </c>
      <c r="C432" s="174" t="str">
        <f t="shared" si="87"/>
        <v>Asus</v>
      </c>
      <c r="D432" s="469" t="s">
        <v>3574</v>
      </c>
      <c r="E432" s="415">
        <v>200.0</v>
      </c>
      <c r="F432" s="415">
        <v>123.0</v>
      </c>
      <c r="G432" s="415">
        <v>38.0</v>
      </c>
      <c r="H432" s="415">
        <v>2.0</v>
      </c>
      <c r="I432" s="415">
        <v>1867.0</v>
      </c>
      <c r="J432" s="415">
        <v>15.0</v>
      </c>
      <c r="K432" s="415">
        <v>170.0</v>
      </c>
      <c r="L432" s="228">
        <v>8.0</v>
      </c>
      <c r="M432" s="415">
        <v>2.0</v>
      </c>
      <c r="N432" s="415">
        <v>3.0</v>
      </c>
      <c r="O432" s="415">
        <v>1.0</v>
      </c>
      <c r="P432" s="415" t="s">
        <v>166</v>
      </c>
      <c r="Q432" s="415" t="s">
        <v>166</v>
      </c>
      <c r="R432" s="415" t="s">
        <v>166</v>
      </c>
      <c r="S432" s="415" t="s">
        <v>166</v>
      </c>
      <c r="T432" s="413"/>
    </row>
    <row r="433">
      <c r="A433" s="409" t="s">
        <v>3401</v>
      </c>
      <c r="B433" s="410" t="s">
        <v>3573</v>
      </c>
      <c r="C433" s="174" t="str">
        <f t="shared" si="87"/>
        <v>Asus</v>
      </c>
      <c r="D433" s="471" t="s">
        <v>3571</v>
      </c>
      <c r="E433" s="415">
        <v>200.0</v>
      </c>
      <c r="F433" s="415">
        <v>123.0</v>
      </c>
      <c r="G433" s="415">
        <v>38.0</v>
      </c>
      <c r="H433" s="415">
        <v>2.0</v>
      </c>
      <c r="I433" s="411">
        <v>1807.0</v>
      </c>
      <c r="J433" s="415">
        <v>15.0</v>
      </c>
      <c r="K433" s="415">
        <v>170.0</v>
      </c>
      <c r="L433" s="228">
        <v>8.0</v>
      </c>
      <c r="M433" s="415">
        <v>2.0</v>
      </c>
      <c r="N433" s="415">
        <v>3.0</v>
      </c>
      <c r="O433" s="415">
        <v>1.0</v>
      </c>
      <c r="P433" s="415" t="s">
        <v>166</v>
      </c>
      <c r="Q433" s="415" t="s">
        <v>166</v>
      </c>
      <c r="R433" s="415" t="s">
        <v>166</v>
      </c>
      <c r="S433" s="415" t="s">
        <v>166</v>
      </c>
      <c r="T433" s="410"/>
    </row>
    <row r="434">
      <c r="A434" s="409" t="s">
        <v>3401</v>
      </c>
      <c r="B434" s="410" t="s">
        <v>3573</v>
      </c>
      <c r="C434" s="174" t="str">
        <f t="shared" si="87"/>
        <v>Asus</v>
      </c>
      <c r="D434" s="471" t="s">
        <v>3572</v>
      </c>
      <c r="E434" s="415">
        <v>200.0</v>
      </c>
      <c r="F434" s="415">
        <v>123.0</v>
      </c>
      <c r="G434" s="415">
        <v>38.0</v>
      </c>
      <c r="H434" s="415">
        <v>2.0</v>
      </c>
      <c r="I434" s="411">
        <v>1867.0</v>
      </c>
      <c r="J434" s="415">
        <v>15.0</v>
      </c>
      <c r="K434" s="415">
        <v>170.0</v>
      </c>
      <c r="L434" s="228">
        <v>8.0</v>
      </c>
      <c r="M434" s="415">
        <v>2.0</v>
      </c>
      <c r="N434" s="415">
        <v>3.0</v>
      </c>
      <c r="O434" s="415">
        <v>1.0</v>
      </c>
      <c r="P434" s="415" t="s">
        <v>166</v>
      </c>
      <c r="Q434" s="415" t="s">
        <v>166</v>
      </c>
      <c r="R434" s="415" t="s">
        <v>166</v>
      </c>
      <c r="S434" s="415" t="s">
        <v>166</v>
      </c>
      <c r="T434" s="410"/>
    </row>
    <row r="435">
      <c r="A435" s="409" t="s">
        <v>3401</v>
      </c>
      <c r="B435" s="410" t="s">
        <v>3573</v>
      </c>
      <c r="C435" s="174" t="s">
        <v>3575</v>
      </c>
      <c r="D435" s="471" t="s">
        <v>3576</v>
      </c>
      <c r="E435" s="411">
        <f>182-12</f>
        <v>170</v>
      </c>
      <c r="F435" s="411">
        <f>130-15</f>
        <v>115</v>
      </c>
      <c r="G435" s="411">
        <v>42.0</v>
      </c>
      <c r="H435" s="411">
        <v>2.0</v>
      </c>
      <c r="I435" s="411">
        <v>1792.0</v>
      </c>
      <c r="J435" s="415">
        <v>15.0</v>
      </c>
      <c r="K435" s="415">
        <v>170.0</v>
      </c>
      <c r="L435" s="241">
        <v>8.0</v>
      </c>
      <c r="M435" s="411">
        <v>1.0</v>
      </c>
      <c r="N435" s="415">
        <v>3.0</v>
      </c>
      <c r="O435" s="415">
        <v>1.0</v>
      </c>
      <c r="P435" s="415" t="s">
        <v>166</v>
      </c>
      <c r="Q435" s="415" t="s">
        <v>166</v>
      </c>
      <c r="R435" s="411" t="s">
        <v>166</v>
      </c>
      <c r="S435" s="411" t="s">
        <v>166</v>
      </c>
      <c r="T435" s="410"/>
    </row>
    <row r="436">
      <c r="A436" s="409" t="s">
        <v>3401</v>
      </c>
      <c r="B436" s="410" t="s">
        <v>3573</v>
      </c>
      <c r="C436" s="282" t="str">
        <f t="shared" ref="C436:C437" si="88">HYPERLINK("https://www.evga.com/","EVGA")</f>
        <v>EVGA</v>
      </c>
      <c r="D436" s="474" t="s">
        <v>3506</v>
      </c>
      <c r="E436" s="411">
        <v>201.8</v>
      </c>
      <c r="F436" s="411">
        <v>110.0</v>
      </c>
      <c r="G436" s="411">
        <v>40.0</v>
      </c>
      <c r="H436" s="411">
        <v>2.0</v>
      </c>
      <c r="I436" s="411">
        <v>1777.0</v>
      </c>
      <c r="J436" s="411">
        <v>15.0</v>
      </c>
      <c r="K436" s="411">
        <v>170.0</v>
      </c>
      <c r="L436" s="241">
        <v>8.0</v>
      </c>
      <c r="M436" s="411">
        <v>2.0</v>
      </c>
      <c r="N436" s="411">
        <v>3.0</v>
      </c>
      <c r="O436" s="411">
        <v>1.0</v>
      </c>
      <c r="P436" s="411" t="s">
        <v>166</v>
      </c>
      <c r="Q436" s="411" t="s">
        <v>166</v>
      </c>
      <c r="R436" s="411" t="s">
        <v>166</v>
      </c>
      <c r="S436" s="411" t="s">
        <v>166</v>
      </c>
      <c r="T436" s="410"/>
    </row>
    <row r="437">
      <c r="A437" s="412" t="s">
        <v>3401</v>
      </c>
      <c r="B437" s="413" t="s">
        <v>3573</v>
      </c>
      <c r="C437" s="174" t="str">
        <f t="shared" si="88"/>
        <v>EVGA</v>
      </c>
      <c r="D437" s="472" t="s">
        <v>3513</v>
      </c>
      <c r="E437" s="415">
        <v>201.8</v>
      </c>
      <c r="F437" s="415">
        <v>110.0</v>
      </c>
      <c r="G437" s="415">
        <v>40.0</v>
      </c>
      <c r="H437" s="415">
        <v>2.0</v>
      </c>
      <c r="I437" s="415">
        <v>1882.0</v>
      </c>
      <c r="J437" s="415">
        <v>15.0</v>
      </c>
      <c r="K437" s="415">
        <v>170.0</v>
      </c>
      <c r="L437" s="228">
        <v>8.0</v>
      </c>
      <c r="M437" s="415">
        <v>2.0</v>
      </c>
      <c r="N437" s="415">
        <v>3.0</v>
      </c>
      <c r="O437" s="415">
        <v>1.0</v>
      </c>
      <c r="P437" s="415" t="s">
        <v>166</v>
      </c>
      <c r="Q437" s="415" t="s">
        <v>166</v>
      </c>
      <c r="R437" s="415" t="s">
        <v>166</v>
      </c>
      <c r="S437" s="415" t="s">
        <v>166</v>
      </c>
      <c r="T437" s="413"/>
    </row>
    <row r="438">
      <c r="A438" s="412" t="s">
        <v>3401</v>
      </c>
      <c r="B438" s="413" t="s">
        <v>3573</v>
      </c>
      <c r="C438" s="416" t="str">
        <f t="shared" ref="C438:C439" si="89">HYPERLINK("http://www.gainward.com/main/index.php?lang=en","Gainward")</f>
        <v>Gainward</v>
      </c>
      <c r="D438" s="469" t="s">
        <v>3547</v>
      </c>
      <c r="E438" s="415">
        <v>170.0</v>
      </c>
      <c r="F438" s="415">
        <v>125.0</v>
      </c>
      <c r="G438" s="415">
        <v>40.0</v>
      </c>
      <c r="H438" s="415">
        <v>2.0</v>
      </c>
      <c r="I438" s="415">
        <v>1777.0</v>
      </c>
      <c r="J438" s="415">
        <v>15.0</v>
      </c>
      <c r="K438" s="415">
        <v>170.0</v>
      </c>
      <c r="L438" s="228">
        <v>8.0</v>
      </c>
      <c r="M438" s="415">
        <v>1.0</v>
      </c>
      <c r="N438" s="415">
        <v>3.0</v>
      </c>
      <c r="O438" s="415">
        <v>1.0</v>
      </c>
      <c r="P438" s="415" t="s">
        <v>166</v>
      </c>
      <c r="Q438" s="415" t="s">
        <v>166</v>
      </c>
      <c r="R438" s="415" t="s">
        <v>166</v>
      </c>
      <c r="S438" s="415" t="s">
        <v>166</v>
      </c>
      <c r="T438" s="413"/>
    </row>
    <row r="439">
      <c r="A439" s="412" t="s">
        <v>3401</v>
      </c>
      <c r="B439" s="413" t="s">
        <v>3573</v>
      </c>
      <c r="C439" s="416" t="str">
        <f t="shared" si="89"/>
        <v>Gainward</v>
      </c>
      <c r="D439" s="469" t="s">
        <v>3507</v>
      </c>
      <c r="E439" s="415">
        <v>170.0</v>
      </c>
      <c r="F439" s="415">
        <v>125.0</v>
      </c>
      <c r="G439" s="415">
        <v>40.0</v>
      </c>
      <c r="H439" s="415">
        <v>2.0</v>
      </c>
      <c r="I439" s="415">
        <v>1807.0</v>
      </c>
      <c r="J439" s="415">
        <v>15.0</v>
      </c>
      <c r="K439" s="415">
        <v>170.0</v>
      </c>
      <c r="L439" s="228">
        <v>8.0</v>
      </c>
      <c r="M439" s="415">
        <v>1.0</v>
      </c>
      <c r="N439" s="415">
        <v>3.0</v>
      </c>
      <c r="O439" s="415">
        <v>1.0</v>
      </c>
      <c r="P439" s="415" t="s">
        <v>166</v>
      </c>
      <c r="Q439" s="415" t="s">
        <v>166</v>
      </c>
      <c r="R439" s="415" t="s">
        <v>166</v>
      </c>
      <c r="S439" s="415" t="s">
        <v>166</v>
      </c>
      <c r="T439" s="413"/>
    </row>
    <row r="440">
      <c r="A440" s="412" t="s">
        <v>3401</v>
      </c>
      <c r="B440" s="413" t="s">
        <v>3573</v>
      </c>
      <c r="C440" s="174" t="s">
        <v>3456</v>
      </c>
      <c r="D440" s="469" t="s">
        <v>3577</v>
      </c>
      <c r="E440" s="415">
        <v>168.0</v>
      </c>
      <c r="F440" s="415">
        <v>115.0</v>
      </c>
      <c r="G440" s="415">
        <v>40.0</v>
      </c>
      <c r="H440" s="415">
        <v>2.0</v>
      </c>
      <c r="I440" s="415">
        <v>1777.0</v>
      </c>
      <c r="J440" s="415">
        <v>15.0</v>
      </c>
      <c r="K440" s="415">
        <v>170.0</v>
      </c>
      <c r="L440" s="228">
        <v>8.0</v>
      </c>
      <c r="M440" s="415">
        <v>1.0</v>
      </c>
      <c r="N440" s="415">
        <v>3.0</v>
      </c>
      <c r="O440" s="415">
        <v>1.0</v>
      </c>
      <c r="P440" s="415" t="s">
        <v>166</v>
      </c>
      <c r="Q440" s="415" t="s">
        <v>166</v>
      </c>
      <c r="R440" s="415" t="s">
        <v>166</v>
      </c>
      <c r="S440" s="415" t="s">
        <v>166</v>
      </c>
      <c r="T440" s="413"/>
    </row>
    <row r="441">
      <c r="A441" s="412" t="s">
        <v>3401</v>
      </c>
      <c r="B441" s="413" t="s">
        <v>3573</v>
      </c>
      <c r="C441" s="174" t="str">
        <f>HYPERLINK("https://www.gigabyte.com/","Gigabyte")</f>
        <v>Gigabyte</v>
      </c>
      <c r="D441" s="469" t="s">
        <v>3578</v>
      </c>
      <c r="E441" s="415">
        <v>198.0</v>
      </c>
      <c r="F441" s="415">
        <v>121.0</v>
      </c>
      <c r="G441" s="415">
        <v>39.0</v>
      </c>
      <c r="H441" s="415">
        <v>2.0</v>
      </c>
      <c r="I441" s="415">
        <v>1792.0</v>
      </c>
      <c r="J441" s="415">
        <v>15.0</v>
      </c>
      <c r="K441" s="415">
        <v>170.0</v>
      </c>
      <c r="L441" s="228">
        <v>8.0</v>
      </c>
      <c r="M441" s="415">
        <v>2.0</v>
      </c>
      <c r="N441" s="415">
        <v>2.0</v>
      </c>
      <c r="O441" s="415">
        <v>2.0</v>
      </c>
      <c r="P441" s="415" t="s">
        <v>166</v>
      </c>
      <c r="Q441" s="415" t="s">
        <v>166</v>
      </c>
      <c r="R441" s="415" t="s">
        <v>166</v>
      </c>
      <c r="S441" s="415" t="s">
        <v>166</v>
      </c>
      <c r="T441" s="413"/>
    </row>
    <row r="442">
      <c r="A442" s="412" t="s">
        <v>3401</v>
      </c>
      <c r="B442" s="413" t="s">
        <v>3573</v>
      </c>
      <c r="C442" s="174" t="s">
        <v>3565</v>
      </c>
      <c r="D442" s="469" t="s">
        <v>3579</v>
      </c>
      <c r="E442" s="415">
        <v>183.0</v>
      </c>
      <c r="F442" s="415">
        <v>122.0</v>
      </c>
      <c r="G442" s="415">
        <v>41.0</v>
      </c>
      <c r="H442" s="415">
        <v>2.0</v>
      </c>
      <c r="I442" s="415">
        <v>1777.0</v>
      </c>
      <c r="J442" s="415">
        <v>15.0</v>
      </c>
      <c r="K442" s="415">
        <v>170.0</v>
      </c>
      <c r="L442" s="228">
        <v>8.0</v>
      </c>
      <c r="M442" s="415">
        <v>2.0</v>
      </c>
      <c r="N442" s="415">
        <v>3.0</v>
      </c>
      <c r="O442" s="415">
        <v>1.0</v>
      </c>
      <c r="P442" s="415" t="s">
        <v>166</v>
      </c>
      <c r="Q442" s="415" t="s">
        <v>166</v>
      </c>
      <c r="R442" s="415" t="s">
        <v>166</v>
      </c>
      <c r="S442" s="415" t="s">
        <v>166</v>
      </c>
      <c r="T442" s="413"/>
    </row>
    <row r="443">
      <c r="A443" s="412" t="s">
        <v>3401</v>
      </c>
      <c r="B443" s="413" t="s">
        <v>3573</v>
      </c>
      <c r="C443" s="174" t="str">
        <f t="shared" ref="C443:C446" si="90">HYPERLINK("https://www.msi.com/index.php","MSI")</f>
        <v>MSI</v>
      </c>
      <c r="D443" s="469" t="s">
        <v>3375</v>
      </c>
      <c r="E443" s="415">
        <v>172.0</v>
      </c>
      <c r="F443" s="415">
        <v>125.0</v>
      </c>
      <c r="G443" s="415">
        <v>43.0</v>
      </c>
      <c r="H443" s="415">
        <v>2.0</v>
      </c>
      <c r="I443" s="415">
        <v>1777.0</v>
      </c>
      <c r="J443" s="415">
        <v>15.0</v>
      </c>
      <c r="K443" s="415">
        <v>170.0</v>
      </c>
      <c r="L443" s="228">
        <v>8.0</v>
      </c>
      <c r="M443" s="415">
        <v>1.0</v>
      </c>
      <c r="N443" s="415">
        <v>3.0</v>
      </c>
      <c r="O443" s="415">
        <v>1.0</v>
      </c>
      <c r="P443" s="415" t="s">
        <v>166</v>
      </c>
      <c r="Q443" s="415" t="s">
        <v>166</v>
      </c>
      <c r="R443" s="415" t="s">
        <v>166</v>
      </c>
      <c r="S443" s="415" t="s">
        <v>166</v>
      </c>
      <c r="T443" s="413"/>
    </row>
    <row r="444">
      <c r="A444" s="412" t="s">
        <v>3401</v>
      </c>
      <c r="B444" s="413" t="s">
        <v>3573</v>
      </c>
      <c r="C444" s="174" t="str">
        <f t="shared" si="90"/>
        <v>MSI</v>
      </c>
      <c r="D444" s="469" t="s">
        <v>3434</v>
      </c>
      <c r="E444" s="415">
        <v>172.0</v>
      </c>
      <c r="F444" s="415">
        <v>125.0</v>
      </c>
      <c r="G444" s="415">
        <v>43.0</v>
      </c>
      <c r="H444" s="415">
        <v>2.0</v>
      </c>
      <c r="I444" s="415">
        <v>1792.0</v>
      </c>
      <c r="J444" s="415">
        <v>15.0</v>
      </c>
      <c r="K444" s="415">
        <v>170.0</v>
      </c>
      <c r="L444" s="228">
        <v>8.0</v>
      </c>
      <c r="M444" s="415">
        <v>1.0</v>
      </c>
      <c r="N444" s="415">
        <v>3.0</v>
      </c>
      <c r="O444" s="415">
        <v>1.0</v>
      </c>
      <c r="P444" s="415" t="s">
        <v>166</v>
      </c>
      <c r="Q444" s="415" t="s">
        <v>166</v>
      </c>
      <c r="R444" s="415" t="s">
        <v>166</v>
      </c>
      <c r="S444" s="415" t="s">
        <v>166</v>
      </c>
      <c r="T444" s="413"/>
    </row>
    <row r="445">
      <c r="A445" s="412" t="s">
        <v>3401</v>
      </c>
      <c r="B445" s="413" t="s">
        <v>3573</v>
      </c>
      <c r="C445" s="174" t="str">
        <f t="shared" si="90"/>
        <v>MSI</v>
      </c>
      <c r="D445" s="469" t="s">
        <v>3567</v>
      </c>
      <c r="E445" s="415">
        <v>212.0</v>
      </c>
      <c r="F445" s="415">
        <v>115.0</v>
      </c>
      <c r="G445" s="415">
        <v>43.0</v>
      </c>
      <c r="H445" s="415">
        <v>2.0</v>
      </c>
      <c r="I445" s="415">
        <v>1777.0</v>
      </c>
      <c r="J445" s="415">
        <v>15.0</v>
      </c>
      <c r="K445" s="415">
        <v>170.0</v>
      </c>
      <c r="L445" s="228">
        <v>8.0</v>
      </c>
      <c r="M445" s="415">
        <v>2.0</v>
      </c>
      <c r="N445" s="415">
        <v>3.0</v>
      </c>
      <c r="O445" s="415">
        <v>1.0</v>
      </c>
      <c r="P445" s="415" t="s">
        <v>166</v>
      </c>
      <c r="Q445" s="415" t="s">
        <v>166</v>
      </c>
      <c r="R445" s="415" t="s">
        <v>166</v>
      </c>
      <c r="S445" s="415" t="s">
        <v>166</v>
      </c>
      <c r="T445" s="413"/>
    </row>
    <row r="446">
      <c r="A446" s="412" t="s">
        <v>3401</v>
      </c>
      <c r="B446" s="413" t="s">
        <v>3573</v>
      </c>
      <c r="C446" s="174" t="str">
        <f t="shared" si="90"/>
        <v>MSI</v>
      </c>
      <c r="D446" s="469" t="s">
        <v>3568</v>
      </c>
      <c r="E446" s="415">
        <v>212.0</v>
      </c>
      <c r="F446" s="415">
        <v>115.0</v>
      </c>
      <c r="G446" s="415">
        <v>43.0</v>
      </c>
      <c r="H446" s="415">
        <v>2.0</v>
      </c>
      <c r="I446" s="415">
        <v>1792.0</v>
      </c>
      <c r="J446" s="415">
        <v>15.0</v>
      </c>
      <c r="K446" s="415">
        <v>170.0</v>
      </c>
      <c r="L446" s="228">
        <v>8.0</v>
      </c>
      <c r="M446" s="415">
        <v>2.0</v>
      </c>
      <c r="N446" s="415">
        <v>3.0</v>
      </c>
      <c r="O446" s="415">
        <v>1.0</v>
      </c>
      <c r="P446" s="415" t="s">
        <v>166</v>
      </c>
      <c r="Q446" s="415" t="s">
        <v>166</v>
      </c>
      <c r="R446" s="415" t="s">
        <v>166</v>
      </c>
      <c r="S446" s="415" t="s">
        <v>166</v>
      </c>
      <c r="T446" s="413"/>
    </row>
    <row r="447">
      <c r="A447" s="412" t="s">
        <v>3401</v>
      </c>
      <c r="B447" s="413" t="s">
        <v>3573</v>
      </c>
      <c r="C447" s="416" t="str">
        <f t="shared" ref="C447:C448" si="91">HYPERLINK("http://www.palit.com/palit/index.php?lang=en","Palit")</f>
        <v>Palit</v>
      </c>
      <c r="D447" s="469" t="s">
        <v>3439</v>
      </c>
      <c r="E447" s="415">
        <v>170.0</v>
      </c>
      <c r="F447" s="415">
        <v>125.0</v>
      </c>
      <c r="G447" s="415">
        <v>39.0</v>
      </c>
      <c r="H447" s="415">
        <v>2.0</v>
      </c>
      <c r="I447" s="415">
        <v>1777.0</v>
      </c>
      <c r="J447" s="415">
        <v>15.0</v>
      </c>
      <c r="K447" s="415">
        <v>170.0</v>
      </c>
      <c r="L447" s="228">
        <v>8.0</v>
      </c>
      <c r="M447" s="415">
        <v>1.0</v>
      </c>
      <c r="N447" s="415">
        <v>3.0</v>
      </c>
      <c r="O447" s="415">
        <v>1.0</v>
      </c>
      <c r="P447" s="415" t="s">
        <v>166</v>
      </c>
      <c r="Q447" s="415" t="s">
        <v>166</v>
      </c>
      <c r="R447" s="415" t="s">
        <v>166</v>
      </c>
      <c r="S447" s="415" t="s">
        <v>166</v>
      </c>
      <c r="T447" s="413"/>
    </row>
    <row r="448">
      <c r="A448" s="412" t="s">
        <v>3401</v>
      </c>
      <c r="B448" s="413" t="s">
        <v>3573</v>
      </c>
      <c r="C448" s="416" t="str">
        <f t="shared" si="91"/>
        <v>Palit</v>
      </c>
      <c r="D448" s="469" t="s">
        <v>3463</v>
      </c>
      <c r="E448" s="415">
        <v>170.0</v>
      </c>
      <c r="F448" s="415">
        <v>125.0</v>
      </c>
      <c r="G448" s="415">
        <v>39.0</v>
      </c>
      <c r="H448" s="415">
        <v>2.0</v>
      </c>
      <c r="I448" s="415">
        <v>1807.0</v>
      </c>
      <c r="J448" s="415">
        <v>15.0</v>
      </c>
      <c r="K448" s="415">
        <v>170.0</v>
      </c>
      <c r="L448" s="228">
        <v>8.0</v>
      </c>
      <c r="M448" s="415">
        <v>1.0</v>
      </c>
      <c r="N448" s="415">
        <v>3.0</v>
      </c>
      <c r="O448" s="415">
        <v>1.0</v>
      </c>
      <c r="P448" s="415" t="s">
        <v>166</v>
      </c>
      <c r="Q448" s="415" t="s">
        <v>166</v>
      </c>
      <c r="R448" s="415" t="s">
        <v>166</v>
      </c>
      <c r="S448" s="415" t="s">
        <v>166</v>
      </c>
      <c r="T448" s="413"/>
    </row>
    <row r="449">
      <c r="A449" s="412" t="s">
        <v>3401</v>
      </c>
      <c r="B449" s="413" t="s">
        <v>3573</v>
      </c>
      <c r="C449" s="416" t="str">
        <f>HYPERLINK("https://pny.com/","PNY")</f>
        <v>PNY</v>
      </c>
      <c r="D449" s="469" t="s">
        <v>3569</v>
      </c>
      <c r="E449" s="415">
        <v>170.0</v>
      </c>
      <c r="F449" s="415">
        <v>125.0</v>
      </c>
      <c r="G449" s="415">
        <v>40.0</v>
      </c>
      <c r="H449" s="415">
        <v>2.0</v>
      </c>
      <c r="I449" s="415">
        <v>1852.0</v>
      </c>
      <c r="J449" s="415">
        <v>15.0</v>
      </c>
      <c r="K449" s="415">
        <v>170.0</v>
      </c>
      <c r="L449" s="228">
        <v>8.0</v>
      </c>
      <c r="M449" s="415">
        <v>1.0</v>
      </c>
      <c r="N449" s="415">
        <v>3.0</v>
      </c>
      <c r="O449" s="415">
        <v>1.0</v>
      </c>
      <c r="P449" s="415" t="s">
        <v>166</v>
      </c>
      <c r="Q449" s="415" t="s">
        <v>166</v>
      </c>
      <c r="R449" s="415" t="s">
        <v>166</v>
      </c>
      <c r="S449" s="415" t="s">
        <v>166</v>
      </c>
      <c r="T449" s="413"/>
    </row>
    <row r="450">
      <c r="A450" s="401" t="s">
        <v>3401</v>
      </c>
      <c r="B450" s="402" t="s">
        <v>3573</v>
      </c>
      <c r="C450" s="403" t="s">
        <v>3378</v>
      </c>
      <c r="D450" s="470" t="s">
        <v>3385</v>
      </c>
      <c r="E450" s="405">
        <v>188.0</v>
      </c>
      <c r="F450" s="405">
        <v>129.0</v>
      </c>
      <c r="G450" s="405">
        <v>42.0</v>
      </c>
      <c r="H450" s="405">
        <v>2.0</v>
      </c>
      <c r="I450" s="405">
        <v>1777.0</v>
      </c>
      <c r="J450" s="405">
        <v>15.0</v>
      </c>
      <c r="K450" s="405">
        <v>170.0</v>
      </c>
      <c r="L450" s="239">
        <v>8.0</v>
      </c>
      <c r="M450" s="405">
        <v>1.0</v>
      </c>
      <c r="N450" s="405">
        <v>3.0</v>
      </c>
      <c r="O450" s="405">
        <v>1.0</v>
      </c>
      <c r="P450" s="405" t="s">
        <v>166</v>
      </c>
      <c r="Q450" s="405" t="s">
        <v>166</v>
      </c>
      <c r="R450" s="405" t="s">
        <v>166</v>
      </c>
      <c r="S450" s="405" t="s">
        <v>166</v>
      </c>
      <c r="T450" s="402"/>
    </row>
    <row r="451">
      <c r="A451" s="409" t="s">
        <v>3401</v>
      </c>
      <c r="B451" s="410" t="s">
        <v>3580</v>
      </c>
      <c r="C451" s="282" t="str">
        <f t="shared" ref="C451:C454" si="92">HYPERLINK("https://www.asus.com/","Asus")</f>
        <v>Asus</v>
      </c>
      <c r="D451" s="471" t="s">
        <v>3520</v>
      </c>
      <c r="E451" s="411">
        <v>200.0</v>
      </c>
      <c r="F451" s="411">
        <v>123.0</v>
      </c>
      <c r="G451" s="411">
        <v>38.0</v>
      </c>
      <c r="H451" s="411">
        <v>2.0</v>
      </c>
      <c r="I451" s="411">
        <v>1695.0</v>
      </c>
      <c r="J451" s="411">
        <v>14.0</v>
      </c>
      <c r="K451" s="411">
        <v>200.0</v>
      </c>
      <c r="L451" s="241">
        <v>8.0</v>
      </c>
      <c r="M451" s="411">
        <v>2.0</v>
      </c>
      <c r="N451" s="411">
        <v>3.0</v>
      </c>
      <c r="O451" s="411">
        <v>1.0</v>
      </c>
      <c r="P451" s="411" t="s">
        <v>166</v>
      </c>
      <c r="Q451" s="411" t="s">
        <v>166</v>
      </c>
      <c r="R451" s="411" t="s">
        <v>166</v>
      </c>
      <c r="S451" s="411" t="s">
        <v>166</v>
      </c>
      <c r="T451" s="410"/>
    </row>
    <row r="452">
      <c r="A452" s="409" t="s">
        <v>3401</v>
      </c>
      <c r="B452" s="410" t="s">
        <v>3580</v>
      </c>
      <c r="C452" s="174" t="str">
        <f t="shared" si="92"/>
        <v>Asus</v>
      </c>
      <c r="D452" s="471" t="s">
        <v>3581</v>
      </c>
      <c r="E452" s="411">
        <v>200.0</v>
      </c>
      <c r="F452" s="411">
        <v>123.0</v>
      </c>
      <c r="G452" s="411">
        <v>38.0</v>
      </c>
      <c r="H452" s="411">
        <v>2.0</v>
      </c>
      <c r="I452" s="411">
        <v>1695.0</v>
      </c>
      <c r="J452" s="411">
        <v>14.0</v>
      </c>
      <c r="K452" s="411">
        <v>200.0</v>
      </c>
      <c r="L452" s="241">
        <v>8.0</v>
      </c>
      <c r="M452" s="411">
        <v>2.0</v>
      </c>
      <c r="N452" s="411">
        <v>3.0</v>
      </c>
      <c r="O452" s="411">
        <v>1.0</v>
      </c>
      <c r="P452" s="411" t="s">
        <v>166</v>
      </c>
      <c r="Q452" s="411" t="s">
        <v>166</v>
      </c>
      <c r="R452" s="475" t="s">
        <v>166</v>
      </c>
      <c r="S452" s="475" t="s">
        <v>166</v>
      </c>
      <c r="T452" s="476"/>
    </row>
    <row r="453">
      <c r="A453" s="412" t="s">
        <v>3401</v>
      </c>
      <c r="B453" s="413" t="s">
        <v>3580</v>
      </c>
      <c r="C453" s="174" t="str">
        <f t="shared" si="92"/>
        <v>Asus</v>
      </c>
      <c r="D453" s="469" t="s">
        <v>3521</v>
      </c>
      <c r="E453" s="415">
        <v>200.0</v>
      </c>
      <c r="F453" s="415">
        <v>123.0</v>
      </c>
      <c r="G453" s="415">
        <v>38.0</v>
      </c>
      <c r="H453" s="415">
        <v>2.0</v>
      </c>
      <c r="I453" s="415">
        <v>1710.0</v>
      </c>
      <c r="J453" s="415">
        <v>14.0</v>
      </c>
      <c r="K453" s="415">
        <v>200.0</v>
      </c>
      <c r="L453" s="228">
        <v>8.0</v>
      </c>
      <c r="M453" s="415">
        <v>2.0</v>
      </c>
      <c r="N453" s="415">
        <v>3.0</v>
      </c>
      <c r="O453" s="415">
        <v>1.0</v>
      </c>
      <c r="P453" s="415" t="s">
        <v>166</v>
      </c>
      <c r="Q453" s="415" t="s">
        <v>166</v>
      </c>
      <c r="R453" s="415" t="s">
        <v>166</v>
      </c>
      <c r="S453" s="415" t="s">
        <v>166</v>
      </c>
      <c r="T453" s="413"/>
    </row>
    <row r="454">
      <c r="A454" s="412" t="s">
        <v>3401</v>
      </c>
      <c r="B454" s="413" t="s">
        <v>3580</v>
      </c>
      <c r="C454" s="174" t="str">
        <f t="shared" si="92"/>
        <v>Asus</v>
      </c>
      <c r="D454" s="469" t="s">
        <v>3582</v>
      </c>
      <c r="E454" s="415">
        <v>200.0</v>
      </c>
      <c r="F454" s="415">
        <v>123.0</v>
      </c>
      <c r="G454" s="415">
        <v>38.0</v>
      </c>
      <c r="H454" s="415">
        <v>2.0</v>
      </c>
      <c r="I454" s="415">
        <v>1710.0</v>
      </c>
      <c r="J454" s="415">
        <v>14.0</v>
      </c>
      <c r="K454" s="415">
        <v>200.0</v>
      </c>
      <c r="L454" s="228">
        <v>8.0</v>
      </c>
      <c r="M454" s="415">
        <v>2.0</v>
      </c>
      <c r="N454" s="415">
        <v>3.0</v>
      </c>
      <c r="O454" s="415">
        <v>1.0</v>
      </c>
      <c r="P454" s="415" t="s">
        <v>166</v>
      </c>
      <c r="Q454" s="415" t="s">
        <v>166</v>
      </c>
      <c r="R454" s="477" t="s">
        <v>166</v>
      </c>
      <c r="S454" s="477" t="s">
        <v>166</v>
      </c>
      <c r="T454" s="476"/>
    </row>
    <row r="455">
      <c r="A455" s="412" t="s">
        <v>3401</v>
      </c>
      <c r="B455" s="413" t="s">
        <v>3580</v>
      </c>
      <c r="C455" s="174" t="s">
        <v>3575</v>
      </c>
      <c r="D455" s="478" t="s">
        <v>3583</v>
      </c>
      <c r="E455" s="477">
        <f>184-12</f>
        <v>172</v>
      </c>
      <c r="F455" s="477">
        <f>130-15</f>
        <v>115</v>
      </c>
      <c r="G455" s="477">
        <v>39.7</v>
      </c>
      <c r="H455" s="477">
        <v>2.0</v>
      </c>
      <c r="I455" s="477">
        <v>1680.0</v>
      </c>
      <c r="J455" s="415">
        <v>14.0</v>
      </c>
      <c r="K455" s="415">
        <v>200.0</v>
      </c>
      <c r="L455" s="228">
        <v>8.0</v>
      </c>
      <c r="M455" s="477">
        <v>1.0</v>
      </c>
      <c r="N455" s="415">
        <v>3.0</v>
      </c>
      <c r="O455" s="415">
        <v>1.0</v>
      </c>
      <c r="P455" s="415" t="s">
        <v>166</v>
      </c>
      <c r="Q455" s="415" t="s">
        <v>166</v>
      </c>
      <c r="R455" s="477" t="s">
        <v>166</v>
      </c>
      <c r="S455" s="477" t="s">
        <v>166</v>
      </c>
      <c r="T455" s="476"/>
    </row>
    <row r="456">
      <c r="A456" s="412" t="s">
        <v>3401</v>
      </c>
      <c r="B456" s="413" t="s">
        <v>3580</v>
      </c>
      <c r="C456" s="174" t="str">
        <f t="shared" ref="C456:C459" si="93">HYPERLINK("https://www.evga.com/","EVGA")</f>
        <v>EVGA</v>
      </c>
      <c r="D456" s="478" t="s">
        <v>3584</v>
      </c>
      <c r="E456" s="477">
        <v>201.8</v>
      </c>
      <c r="F456" s="477">
        <v>110.0</v>
      </c>
      <c r="G456" s="477">
        <v>40.0</v>
      </c>
      <c r="H456" s="477">
        <v>2.0</v>
      </c>
      <c r="I456" s="477">
        <v>1665.0</v>
      </c>
      <c r="J456" s="477">
        <v>14.0</v>
      </c>
      <c r="K456" s="477">
        <v>200.0</v>
      </c>
      <c r="L456" s="479">
        <v>8.0</v>
      </c>
      <c r="M456" s="477">
        <v>2.0</v>
      </c>
      <c r="N456" s="477">
        <v>3.0</v>
      </c>
      <c r="O456" s="477">
        <v>1.0</v>
      </c>
      <c r="P456" s="477" t="s">
        <v>166</v>
      </c>
      <c r="Q456" s="477" t="s">
        <v>166</v>
      </c>
      <c r="R456" s="477" t="s">
        <v>166</v>
      </c>
      <c r="S456" s="477" t="s">
        <v>166</v>
      </c>
      <c r="T456" s="476"/>
    </row>
    <row r="457">
      <c r="A457" s="412" t="s">
        <v>3401</v>
      </c>
      <c r="B457" s="413" t="s">
        <v>3580</v>
      </c>
      <c r="C457" s="174" t="str">
        <f t="shared" si="93"/>
        <v>EVGA</v>
      </c>
      <c r="D457" s="480" t="s">
        <v>3585</v>
      </c>
      <c r="E457" s="477">
        <v>201.8</v>
      </c>
      <c r="F457" s="477">
        <v>110.0</v>
      </c>
      <c r="G457" s="477">
        <v>40.0</v>
      </c>
      <c r="H457" s="477">
        <v>2.0</v>
      </c>
      <c r="I457" s="477">
        <v>1665.0</v>
      </c>
      <c r="J457" s="477">
        <v>14.0</v>
      </c>
      <c r="K457" s="477">
        <v>200.0</v>
      </c>
      <c r="L457" s="479">
        <v>8.0</v>
      </c>
      <c r="M457" s="477">
        <v>2.0</v>
      </c>
      <c r="N457" s="477">
        <v>3.0</v>
      </c>
      <c r="O457" s="477">
        <v>1.0</v>
      </c>
      <c r="P457" s="477" t="s">
        <v>166</v>
      </c>
      <c r="Q457" s="477" t="s">
        <v>166</v>
      </c>
      <c r="R457" s="477" t="s">
        <v>166</v>
      </c>
      <c r="S457" s="477" t="s">
        <v>166</v>
      </c>
      <c r="T457" s="476"/>
    </row>
    <row r="458">
      <c r="A458" s="412" t="s">
        <v>3401</v>
      </c>
      <c r="B458" s="413" t="s">
        <v>3580</v>
      </c>
      <c r="C458" s="174" t="str">
        <f t="shared" si="93"/>
        <v>EVGA</v>
      </c>
      <c r="D458" s="480" t="s">
        <v>3586</v>
      </c>
      <c r="E458" s="477">
        <v>201.8</v>
      </c>
      <c r="F458" s="477">
        <v>110.0</v>
      </c>
      <c r="G458" s="477">
        <v>40.0</v>
      </c>
      <c r="H458" s="477">
        <v>2.0</v>
      </c>
      <c r="I458" s="477">
        <v>1710.0</v>
      </c>
      <c r="J458" s="477">
        <v>14.0</v>
      </c>
      <c r="K458" s="477">
        <v>200.0</v>
      </c>
      <c r="L458" s="479">
        <v>8.0</v>
      </c>
      <c r="M458" s="477">
        <v>2.0</v>
      </c>
      <c r="N458" s="477">
        <v>3.0</v>
      </c>
      <c r="O458" s="477">
        <v>1.0</v>
      </c>
      <c r="P458" s="477" t="s">
        <v>166</v>
      </c>
      <c r="Q458" s="477" t="s">
        <v>166</v>
      </c>
      <c r="R458" s="477" t="s">
        <v>166</v>
      </c>
      <c r="S458" s="477" t="s">
        <v>166</v>
      </c>
      <c r="T458" s="476"/>
    </row>
    <row r="459">
      <c r="A459" s="412" t="s">
        <v>3401</v>
      </c>
      <c r="B459" s="413" t="s">
        <v>3580</v>
      </c>
      <c r="C459" s="174" t="str">
        <f t="shared" si="93"/>
        <v>EVGA</v>
      </c>
      <c r="D459" s="480" t="s">
        <v>3587</v>
      </c>
      <c r="E459" s="477">
        <v>201.8</v>
      </c>
      <c r="F459" s="477">
        <v>110.0</v>
      </c>
      <c r="G459" s="477">
        <v>40.0</v>
      </c>
      <c r="H459" s="477">
        <v>2.0</v>
      </c>
      <c r="I459" s="477">
        <v>1710.0</v>
      </c>
      <c r="J459" s="477">
        <v>14.0</v>
      </c>
      <c r="K459" s="477">
        <v>200.0</v>
      </c>
      <c r="L459" s="479">
        <v>8.0</v>
      </c>
      <c r="M459" s="477">
        <v>2.0</v>
      </c>
      <c r="N459" s="477">
        <v>3.0</v>
      </c>
      <c r="O459" s="477">
        <v>1.0</v>
      </c>
      <c r="P459" s="477" t="s">
        <v>166</v>
      </c>
      <c r="Q459" s="477" t="s">
        <v>166</v>
      </c>
      <c r="R459" s="477" t="s">
        <v>166</v>
      </c>
      <c r="S459" s="477" t="s">
        <v>166</v>
      </c>
      <c r="T459" s="476"/>
    </row>
    <row r="460">
      <c r="A460" s="412" t="s">
        <v>3401</v>
      </c>
      <c r="B460" s="413" t="s">
        <v>3580</v>
      </c>
      <c r="C460" s="174" t="str">
        <f>HYPERLINK("https://www.gigabyte.com/","Gigabyte")</f>
        <v>Gigabyte</v>
      </c>
      <c r="D460" s="478" t="s">
        <v>3578</v>
      </c>
      <c r="E460" s="477">
        <v>198.0</v>
      </c>
      <c r="F460" s="477">
        <v>121.0</v>
      </c>
      <c r="G460" s="477">
        <v>39.0</v>
      </c>
      <c r="H460" s="477">
        <v>2.0</v>
      </c>
      <c r="I460" s="477">
        <v>1680.0</v>
      </c>
      <c r="J460" s="477">
        <v>14.0</v>
      </c>
      <c r="K460" s="477">
        <v>200.0</v>
      </c>
      <c r="L460" s="479">
        <v>8.0</v>
      </c>
      <c r="M460" s="477">
        <v>2.0</v>
      </c>
      <c r="N460" s="477">
        <v>2.0</v>
      </c>
      <c r="O460" s="477">
        <v>2.0</v>
      </c>
      <c r="P460" s="477" t="s">
        <v>166</v>
      </c>
      <c r="Q460" s="477" t="s">
        <v>166</v>
      </c>
      <c r="R460" s="477" t="s">
        <v>166</v>
      </c>
      <c r="S460" s="477" t="s">
        <v>166</v>
      </c>
      <c r="T460" s="476"/>
    </row>
    <row r="461">
      <c r="A461" s="412" t="s">
        <v>3401</v>
      </c>
      <c r="B461" s="413" t="s">
        <v>3580</v>
      </c>
      <c r="C461" s="174" t="str">
        <f t="shared" ref="C461:C464" si="94">HYPERLINK("https://www.msi.com/index.php","MSI")</f>
        <v>MSI</v>
      </c>
      <c r="D461" s="478" t="s">
        <v>3375</v>
      </c>
      <c r="E461" s="477">
        <v>172.0</v>
      </c>
      <c r="F461" s="477">
        <v>125.0</v>
      </c>
      <c r="G461" s="477">
        <v>43.0</v>
      </c>
      <c r="H461" s="477">
        <v>2.0</v>
      </c>
      <c r="I461" s="477">
        <v>1665.0</v>
      </c>
      <c r="J461" s="477">
        <v>14.0</v>
      </c>
      <c r="K461" s="477">
        <v>200.0</v>
      </c>
      <c r="L461" s="479">
        <v>8.0</v>
      </c>
      <c r="M461" s="477">
        <v>1.0</v>
      </c>
      <c r="N461" s="477">
        <v>3.0</v>
      </c>
      <c r="O461" s="477">
        <v>1.0</v>
      </c>
      <c r="P461" s="477" t="s">
        <v>166</v>
      </c>
      <c r="Q461" s="477" t="s">
        <v>166</v>
      </c>
      <c r="R461" s="477" t="s">
        <v>166</v>
      </c>
      <c r="S461" s="477" t="s">
        <v>166</v>
      </c>
      <c r="T461" s="476"/>
    </row>
    <row r="462">
      <c r="A462" s="412" t="s">
        <v>3401</v>
      </c>
      <c r="B462" s="413" t="s">
        <v>3580</v>
      </c>
      <c r="C462" s="174" t="str">
        <f t="shared" si="94"/>
        <v>MSI</v>
      </c>
      <c r="D462" s="478" t="s">
        <v>3588</v>
      </c>
      <c r="E462" s="477">
        <v>172.0</v>
      </c>
      <c r="F462" s="477">
        <v>125.0</v>
      </c>
      <c r="G462" s="477">
        <v>43.0</v>
      </c>
      <c r="H462" s="477">
        <v>2.0</v>
      </c>
      <c r="I462" s="477">
        <v>1665.0</v>
      </c>
      <c r="J462" s="477">
        <v>14.0</v>
      </c>
      <c r="K462" s="477">
        <v>200.0</v>
      </c>
      <c r="L462" s="479">
        <v>8.0</v>
      </c>
      <c r="M462" s="477">
        <v>1.0</v>
      </c>
      <c r="N462" s="477">
        <v>3.0</v>
      </c>
      <c r="O462" s="477">
        <v>1.0</v>
      </c>
      <c r="P462" s="477" t="s">
        <v>166</v>
      </c>
      <c r="Q462" s="477" t="s">
        <v>166</v>
      </c>
      <c r="R462" s="477" t="s">
        <v>166</v>
      </c>
      <c r="S462" s="477" t="s">
        <v>166</v>
      </c>
      <c r="T462" s="476"/>
    </row>
    <row r="463">
      <c r="A463" s="412" t="s">
        <v>3401</v>
      </c>
      <c r="B463" s="413" t="s">
        <v>3580</v>
      </c>
      <c r="C463" s="174" t="str">
        <f t="shared" si="94"/>
        <v>MSI</v>
      </c>
      <c r="D463" s="478" t="s">
        <v>3434</v>
      </c>
      <c r="E463" s="477">
        <v>172.0</v>
      </c>
      <c r="F463" s="477">
        <v>125.0</v>
      </c>
      <c r="G463" s="477">
        <v>43.0</v>
      </c>
      <c r="H463" s="477">
        <v>2.0</v>
      </c>
      <c r="I463" s="477">
        <v>1695.0</v>
      </c>
      <c r="J463" s="477">
        <v>14.0</v>
      </c>
      <c r="K463" s="477">
        <v>200.0</v>
      </c>
      <c r="L463" s="479">
        <v>8.0</v>
      </c>
      <c r="M463" s="477">
        <v>1.0</v>
      </c>
      <c r="N463" s="477">
        <v>3.0</v>
      </c>
      <c r="O463" s="477">
        <v>1.0</v>
      </c>
      <c r="P463" s="477" t="s">
        <v>166</v>
      </c>
      <c r="Q463" s="477" t="s">
        <v>166</v>
      </c>
      <c r="R463" s="477" t="s">
        <v>166</v>
      </c>
      <c r="S463" s="477" t="s">
        <v>166</v>
      </c>
      <c r="T463" s="476"/>
    </row>
    <row r="464">
      <c r="A464" s="401" t="s">
        <v>3401</v>
      </c>
      <c r="B464" s="402" t="s">
        <v>3580</v>
      </c>
      <c r="C464" s="291" t="str">
        <f t="shared" si="94"/>
        <v>MSI</v>
      </c>
      <c r="D464" s="470" t="s">
        <v>3589</v>
      </c>
      <c r="E464" s="405">
        <v>172.0</v>
      </c>
      <c r="F464" s="405">
        <v>125.0</v>
      </c>
      <c r="G464" s="405">
        <v>43.0</v>
      </c>
      <c r="H464" s="405">
        <v>2.0</v>
      </c>
      <c r="I464" s="405">
        <v>1695.0</v>
      </c>
      <c r="J464" s="405">
        <v>14.0</v>
      </c>
      <c r="K464" s="405">
        <v>200.0</v>
      </c>
      <c r="L464" s="239">
        <v>8.0</v>
      </c>
      <c r="M464" s="405">
        <v>1.0</v>
      </c>
      <c r="N464" s="405">
        <v>3.0</v>
      </c>
      <c r="O464" s="405">
        <v>1.0</v>
      </c>
      <c r="P464" s="405" t="s">
        <v>166</v>
      </c>
      <c r="Q464" s="405" t="s">
        <v>166</v>
      </c>
      <c r="R464" s="405" t="s">
        <v>166</v>
      </c>
      <c r="S464" s="405" t="s">
        <v>166</v>
      </c>
      <c r="T464" s="402"/>
    </row>
    <row r="465">
      <c r="A465" s="401" t="s">
        <v>3401</v>
      </c>
      <c r="B465" s="402" t="s">
        <v>3590</v>
      </c>
      <c r="C465" s="291" t="str">
        <f t="shared" ref="C465:C469" si="95">HYPERLINK("https://www.asus.com/","Asus")</f>
        <v>Asus</v>
      </c>
      <c r="D465" s="470" t="s">
        <v>2303</v>
      </c>
      <c r="E465" s="405">
        <v>209.0</v>
      </c>
      <c r="F465" s="405">
        <v>111.5</v>
      </c>
      <c r="G465" s="405">
        <v>21.5</v>
      </c>
      <c r="H465" s="405">
        <v>1.0</v>
      </c>
      <c r="I465" s="405">
        <v>1755.0</v>
      </c>
      <c r="J465" s="405">
        <v>14.0</v>
      </c>
      <c r="K465" s="405">
        <v>220.0</v>
      </c>
      <c r="L465" s="239">
        <v>12.0</v>
      </c>
      <c r="M465" s="405" t="s">
        <v>166</v>
      </c>
      <c r="N465" s="405">
        <v>3.0</v>
      </c>
      <c r="O465" s="405">
        <v>1.0</v>
      </c>
      <c r="P465" s="405" t="s">
        <v>166</v>
      </c>
      <c r="Q465" s="405" t="s">
        <v>166</v>
      </c>
      <c r="R465" s="405" t="s">
        <v>174</v>
      </c>
      <c r="S465" s="405" t="s">
        <v>166</v>
      </c>
      <c r="T465" s="481"/>
      <c r="U465" s="158"/>
      <c r="V465" s="158"/>
      <c r="W465" s="158"/>
      <c r="X465" s="158"/>
      <c r="Y465" s="158"/>
      <c r="Z465" s="158"/>
      <c r="AA465" s="158"/>
      <c r="AB465" s="158"/>
      <c r="AC465" s="158"/>
      <c r="AD465" s="158"/>
      <c r="AE465" s="158"/>
      <c r="AF465" s="158"/>
      <c r="AG465" s="158"/>
      <c r="AH465" s="158"/>
      <c r="AI465" s="158"/>
      <c r="AJ465" s="158"/>
      <c r="AK465" s="158"/>
      <c r="AL465" s="158"/>
    </row>
    <row r="466">
      <c r="A466" s="412" t="s">
        <v>3401</v>
      </c>
      <c r="B466" s="476" t="s">
        <v>3591</v>
      </c>
      <c r="C466" s="174" t="str">
        <f t="shared" si="95"/>
        <v>Asus</v>
      </c>
      <c r="D466" s="478" t="s">
        <v>3545</v>
      </c>
      <c r="E466" s="477">
        <v>188.0</v>
      </c>
      <c r="F466" s="477">
        <v>69.0</v>
      </c>
      <c r="G466" s="477">
        <v>39.0</v>
      </c>
      <c r="H466" s="477">
        <v>2.0</v>
      </c>
      <c r="I466" s="477">
        <v>2490.0</v>
      </c>
      <c r="J466" s="477">
        <v>17.0</v>
      </c>
      <c r="K466" s="477">
        <v>115.0</v>
      </c>
      <c r="L466" s="479">
        <v>6.0</v>
      </c>
      <c r="M466" s="477">
        <v>3.0</v>
      </c>
      <c r="N466" s="477">
        <v>2.0</v>
      </c>
      <c r="O466" s="477">
        <v>2.0</v>
      </c>
      <c r="P466" s="477" t="s">
        <v>166</v>
      </c>
      <c r="Q466" s="477" t="s">
        <v>166</v>
      </c>
      <c r="R466" s="477" t="s">
        <v>166</v>
      </c>
      <c r="S466" s="477" t="s">
        <v>174</v>
      </c>
      <c r="T466" s="482"/>
    </row>
    <row r="467">
      <c r="A467" s="412" t="s">
        <v>3401</v>
      </c>
      <c r="B467" s="476" t="s">
        <v>3591</v>
      </c>
      <c r="C467" s="174" t="str">
        <f t="shared" si="95"/>
        <v>Asus</v>
      </c>
      <c r="D467" s="478" t="s">
        <v>3546</v>
      </c>
      <c r="E467" s="477">
        <v>188.0</v>
      </c>
      <c r="F467" s="477">
        <v>69.0</v>
      </c>
      <c r="G467" s="477">
        <v>39.0</v>
      </c>
      <c r="H467" s="477">
        <v>2.0</v>
      </c>
      <c r="I467" s="477">
        <v>2520.0</v>
      </c>
      <c r="J467" s="477">
        <v>17.0</v>
      </c>
      <c r="K467" s="477">
        <v>115.0</v>
      </c>
      <c r="L467" s="479">
        <v>6.0</v>
      </c>
      <c r="M467" s="477">
        <v>3.0</v>
      </c>
      <c r="N467" s="477">
        <v>2.0</v>
      </c>
      <c r="O467" s="477">
        <v>2.0</v>
      </c>
      <c r="P467" s="477" t="s">
        <v>166</v>
      </c>
      <c r="Q467" s="477" t="s">
        <v>166</v>
      </c>
      <c r="R467" s="477" t="s">
        <v>166</v>
      </c>
      <c r="S467" s="477" t="s">
        <v>174</v>
      </c>
      <c r="T467" s="482"/>
    </row>
    <row r="468">
      <c r="A468" s="412" t="s">
        <v>3401</v>
      </c>
      <c r="B468" s="476" t="s">
        <v>3591</v>
      </c>
      <c r="C468" s="174" t="str">
        <f t="shared" si="95"/>
        <v>Asus</v>
      </c>
      <c r="D468" s="478" t="s">
        <v>3476</v>
      </c>
      <c r="E468" s="477">
        <v>202.2</v>
      </c>
      <c r="F468" s="477">
        <v>120.3</v>
      </c>
      <c r="G468" s="477">
        <v>40.1</v>
      </c>
      <c r="H468" s="477">
        <v>2.0</v>
      </c>
      <c r="I468" s="477">
        <v>2490.0</v>
      </c>
      <c r="J468" s="477">
        <v>17.0</v>
      </c>
      <c r="K468" s="477">
        <v>115.0</v>
      </c>
      <c r="L468" s="479">
        <v>8.0</v>
      </c>
      <c r="M468" s="477">
        <v>2.0</v>
      </c>
      <c r="N468" s="477">
        <v>3.0</v>
      </c>
      <c r="O468" s="477">
        <v>1.0</v>
      </c>
      <c r="P468" s="477" t="s">
        <v>166</v>
      </c>
      <c r="Q468" s="477" t="s">
        <v>166</v>
      </c>
      <c r="R468" s="477" t="s">
        <v>166</v>
      </c>
      <c r="S468" s="477" t="s">
        <v>166</v>
      </c>
      <c r="T468" s="482"/>
    </row>
    <row r="469">
      <c r="A469" s="412" t="s">
        <v>3401</v>
      </c>
      <c r="B469" s="476" t="s">
        <v>3591</v>
      </c>
      <c r="C469" s="174" t="str">
        <f t="shared" si="95"/>
        <v>Asus</v>
      </c>
      <c r="D469" s="478" t="s">
        <v>3394</v>
      </c>
      <c r="E469" s="477">
        <v>202.2</v>
      </c>
      <c r="F469" s="477">
        <v>120.3</v>
      </c>
      <c r="G469" s="477">
        <v>40.1</v>
      </c>
      <c r="H469" s="477">
        <v>2.0</v>
      </c>
      <c r="I469" s="477">
        <v>2535.0</v>
      </c>
      <c r="J469" s="477">
        <v>17.0</v>
      </c>
      <c r="K469" s="477">
        <v>115.0</v>
      </c>
      <c r="L469" s="479">
        <v>8.0</v>
      </c>
      <c r="M469" s="477">
        <v>2.0</v>
      </c>
      <c r="N469" s="477">
        <v>3.0</v>
      </c>
      <c r="O469" s="477">
        <v>1.0</v>
      </c>
      <c r="P469" s="477" t="s">
        <v>166</v>
      </c>
      <c r="Q469" s="477" t="s">
        <v>166</v>
      </c>
      <c r="R469" s="477" t="s">
        <v>166</v>
      </c>
      <c r="S469" s="477" t="s">
        <v>166</v>
      </c>
      <c r="T469" s="482"/>
    </row>
    <row r="470">
      <c r="A470" s="412" t="s">
        <v>3401</v>
      </c>
      <c r="B470" s="476" t="s">
        <v>3591</v>
      </c>
      <c r="C470" s="174" t="s">
        <v>3575</v>
      </c>
      <c r="D470" s="478" t="s">
        <v>3441</v>
      </c>
      <c r="E470" s="477">
        <f>190-12</f>
        <v>178</v>
      </c>
      <c r="F470" s="477">
        <f>137-15</f>
        <v>122</v>
      </c>
      <c r="G470" s="477">
        <v>42.0</v>
      </c>
      <c r="H470" s="477">
        <v>2.0</v>
      </c>
      <c r="I470" s="477">
        <v>2460.0</v>
      </c>
      <c r="J470" s="477">
        <v>17.0</v>
      </c>
      <c r="K470" s="477">
        <v>115.0</v>
      </c>
      <c r="L470" s="479">
        <v>8.0</v>
      </c>
      <c r="M470" s="477">
        <v>1.0</v>
      </c>
      <c r="N470" s="477">
        <v>3.0</v>
      </c>
      <c r="O470" s="477">
        <v>1.0</v>
      </c>
      <c r="P470" s="477" t="s">
        <v>166</v>
      </c>
      <c r="Q470" s="477" t="s">
        <v>166</v>
      </c>
      <c r="R470" s="477" t="s">
        <v>166</v>
      </c>
      <c r="S470" s="477" t="s">
        <v>166</v>
      </c>
      <c r="T470" s="482"/>
    </row>
    <row r="471">
      <c r="A471" s="412" t="s">
        <v>3401</v>
      </c>
      <c r="B471" s="476" t="s">
        <v>3591</v>
      </c>
      <c r="C471" s="416" t="str">
        <f t="shared" ref="C471:C473" si="96">HYPERLINK("http://www.gainward.com/main/index.php?lang=en","Gainward")</f>
        <v>Gainward</v>
      </c>
      <c r="D471" s="478" t="s">
        <v>3592</v>
      </c>
      <c r="E471" s="477">
        <v>205.0</v>
      </c>
      <c r="F471" s="477">
        <v>112.0</v>
      </c>
      <c r="G471" s="477">
        <v>41.0</v>
      </c>
      <c r="H471" s="477">
        <v>2.0</v>
      </c>
      <c r="I471" s="477">
        <v>2505.0</v>
      </c>
      <c r="J471" s="477">
        <v>17.0</v>
      </c>
      <c r="K471" s="477">
        <v>115.0</v>
      </c>
      <c r="L471" s="479">
        <v>8.0</v>
      </c>
      <c r="M471" s="477">
        <v>2.0</v>
      </c>
      <c r="N471" s="477">
        <v>3.0</v>
      </c>
      <c r="O471" s="477">
        <v>1.0</v>
      </c>
      <c r="P471" s="477" t="s">
        <v>166</v>
      </c>
      <c r="Q471" s="477" t="s">
        <v>166</v>
      </c>
      <c r="R471" s="477" t="s">
        <v>166</v>
      </c>
      <c r="S471" s="477" t="s">
        <v>166</v>
      </c>
      <c r="T471" s="482"/>
    </row>
    <row r="472">
      <c r="A472" s="412" t="s">
        <v>3401</v>
      </c>
      <c r="B472" s="476" t="s">
        <v>3591</v>
      </c>
      <c r="C472" s="416" t="str">
        <f t="shared" si="96"/>
        <v>Gainward</v>
      </c>
      <c r="D472" s="478" t="s">
        <v>3547</v>
      </c>
      <c r="E472" s="477">
        <v>169.9</v>
      </c>
      <c r="F472" s="477">
        <v>123.0</v>
      </c>
      <c r="G472" s="477">
        <v>38.0</v>
      </c>
      <c r="H472" s="477">
        <v>2.0</v>
      </c>
      <c r="I472" s="477">
        <v>2460.0</v>
      </c>
      <c r="J472" s="477">
        <v>17.0</v>
      </c>
      <c r="K472" s="477">
        <v>115.0</v>
      </c>
      <c r="L472" s="479">
        <v>8.0</v>
      </c>
      <c r="M472" s="477">
        <v>1.0</v>
      </c>
      <c r="N472" s="477">
        <v>3.0</v>
      </c>
      <c r="O472" s="477">
        <v>1.0</v>
      </c>
      <c r="P472" s="477" t="s">
        <v>166</v>
      </c>
      <c r="Q472" s="477" t="s">
        <v>166</v>
      </c>
      <c r="R472" s="477" t="s">
        <v>166</v>
      </c>
      <c r="S472" s="477" t="s">
        <v>166</v>
      </c>
      <c r="T472" s="482"/>
    </row>
    <row r="473">
      <c r="A473" s="483" t="s">
        <v>3401</v>
      </c>
      <c r="B473" s="484" t="s">
        <v>3591</v>
      </c>
      <c r="C473" s="430" t="str">
        <f t="shared" si="96"/>
        <v>Gainward</v>
      </c>
      <c r="D473" s="478" t="s">
        <v>3593</v>
      </c>
      <c r="E473" s="477">
        <v>169.9</v>
      </c>
      <c r="F473" s="477">
        <v>123.0</v>
      </c>
      <c r="G473" s="477">
        <v>38.0</v>
      </c>
      <c r="H473" s="477">
        <v>2.0</v>
      </c>
      <c r="I473" s="477">
        <v>2460.0</v>
      </c>
      <c r="J473" s="477">
        <v>17.0</v>
      </c>
      <c r="K473" s="477">
        <v>115.0</v>
      </c>
      <c r="L473" s="479">
        <v>8.0</v>
      </c>
      <c r="M473" s="477">
        <v>1.0</v>
      </c>
      <c r="N473" s="477">
        <v>3.0</v>
      </c>
      <c r="O473" s="477">
        <v>1.0</v>
      </c>
      <c r="P473" s="477" t="s">
        <v>166</v>
      </c>
      <c r="Q473" s="477" t="s">
        <v>166</v>
      </c>
      <c r="R473" s="477" t="s">
        <v>166</v>
      </c>
      <c r="S473" s="477" t="s">
        <v>166</v>
      </c>
      <c r="T473" s="482"/>
    </row>
    <row r="474">
      <c r="A474" s="412" t="s">
        <v>3401</v>
      </c>
      <c r="B474" s="476" t="s">
        <v>3591</v>
      </c>
      <c r="C474" s="174" t="s">
        <v>3456</v>
      </c>
      <c r="D474" s="478" t="s">
        <v>3594</v>
      </c>
      <c r="E474" s="477">
        <v>202.6</v>
      </c>
      <c r="F474" s="477">
        <v>114.0</v>
      </c>
      <c r="G474" s="477">
        <v>41.0</v>
      </c>
      <c r="H474" s="477">
        <v>2.0</v>
      </c>
      <c r="I474" s="477">
        <v>2460.0</v>
      </c>
      <c r="J474" s="477">
        <v>17.0</v>
      </c>
      <c r="K474" s="477">
        <v>115.0</v>
      </c>
      <c r="L474" s="479">
        <v>6.0</v>
      </c>
      <c r="M474" s="477">
        <v>2.0</v>
      </c>
      <c r="N474" s="477">
        <v>3.0</v>
      </c>
      <c r="O474" s="477">
        <v>1.0</v>
      </c>
      <c r="P474" s="477" t="s">
        <v>166</v>
      </c>
      <c r="Q474" s="477" t="s">
        <v>166</v>
      </c>
      <c r="R474" s="477" t="s">
        <v>166</v>
      </c>
      <c r="S474" s="477" t="s">
        <v>166</v>
      </c>
      <c r="T474" s="482"/>
    </row>
    <row r="475">
      <c r="A475" s="412" t="s">
        <v>3401</v>
      </c>
      <c r="B475" s="476" t="s">
        <v>3591</v>
      </c>
      <c r="C475" s="174" t="s">
        <v>3456</v>
      </c>
      <c r="D475" s="478" t="s">
        <v>3595</v>
      </c>
      <c r="E475" s="477">
        <v>157.0</v>
      </c>
      <c r="F475" s="477">
        <v>111.0</v>
      </c>
      <c r="G475" s="477">
        <v>41.0</v>
      </c>
      <c r="H475" s="477">
        <v>2.0</v>
      </c>
      <c r="I475" s="477">
        <v>2475.0</v>
      </c>
      <c r="J475" s="477">
        <v>17.0</v>
      </c>
      <c r="K475" s="477">
        <v>115.0</v>
      </c>
      <c r="L475" s="479">
        <v>8.0</v>
      </c>
      <c r="M475" s="477">
        <v>1.0</v>
      </c>
      <c r="N475" s="477">
        <v>3.0</v>
      </c>
      <c r="O475" s="477">
        <v>1.0</v>
      </c>
      <c r="P475" s="477" t="s">
        <v>166</v>
      </c>
      <c r="Q475" s="477" t="s">
        <v>166</v>
      </c>
      <c r="R475" s="477" t="s">
        <v>166</v>
      </c>
      <c r="S475" s="477" t="s">
        <v>166</v>
      </c>
      <c r="T475" s="482"/>
    </row>
    <row r="476">
      <c r="A476" s="412" t="s">
        <v>3401</v>
      </c>
      <c r="B476" s="476" t="s">
        <v>3591</v>
      </c>
      <c r="C476" s="174" t="str">
        <f t="shared" ref="C476:C480" si="97">HYPERLINK("https://www.gigabyte.com/","Gigabyte")</f>
        <v>Gigabyte</v>
      </c>
      <c r="D476" s="478" t="s">
        <v>3596</v>
      </c>
      <c r="E476" s="477">
        <v>182.0</v>
      </c>
      <c r="F476" s="477">
        <v>69.0</v>
      </c>
      <c r="G476" s="477">
        <v>40.0</v>
      </c>
      <c r="H476" s="477">
        <v>2.0</v>
      </c>
      <c r="I476" s="477">
        <v>2460.0</v>
      </c>
      <c r="J476" s="477">
        <v>17.0</v>
      </c>
      <c r="K476" s="477">
        <v>115.0</v>
      </c>
      <c r="L476" s="479">
        <v>8.0</v>
      </c>
      <c r="M476" s="477">
        <v>3.0</v>
      </c>
      <c r="N476" s="477">
        <v>2.0</v>
      </c>
      <c r="O476" s="477">
        <v>2.0</v>
      </c>
      <c r="P476" s="477" t="s">
        <v>166</v>
      </c>
      <c r="Q476" s="477" t="s">
        <v>166</v>
      </c>
      <c r="R476" s="477" t="s">
        <v>166</v>
      </c>
      <c r="S476" s="477" t="s">
        <v>174</v>
      </c>
      <c r="T476" s="482"/>
    </row>
    <row r="477">
      <c r="A477" s="412" t="s">
        <v>3401</v>
      </c>
      <c r="B477" s="476" t="s">
        <v>3591</v>
      </c>
      <c r="C477" s="174" t="str">
        <f t="shared" si="97"/>
        <v>Gigabyte</v>
      </c>
      <c r="D477" s="478" t="s">
        <v>3550</v>
      </c>
      <c r="E477" s="477">
        <v>182.0</v>
      </c>
      <c r="F477" s="477">
        <v>69.0</v>
      </c>
      <c r="G477" s="477">
        <v>40.0</v>
      </c>
      <c r="H477" s="477">
        <v>2.0</v>
      </c>
      <c r="I477" s="477">
        <v>2475.0</v>
      </c>
      <c r="J477" s="477">
        <v>17.0</v>
      </c>
      <c r="K477" s="477">
        <v>115.0</v>
      </c>
      <c r="L477" s="479">
        <v>8.0</v>
      </c>
      <c r="M477" s="477">
        <v>3.0</v>
      </c>
      <c r="N477" s="477">
        <v>2.0</v>
      </c>
      <c r="O477" s="477">
        <v>2.0</v>
      </c>
      <c r="P477" s="477" t="s">
        <v>166</v>
      </c>
      <c r="Q477" s="477" t="s">
        <v>166</v>
      </c>
      <c r="R477" s="477" t="s">
        <v>166</v>
      </c>
      <c r="S477" s="477" t="s">
        <v>174</v>
      </c>
      <c r="T477" s="482"/>
    </row>
    <row r="478">
      <c r="A478" s="412" t="s">
        <v>3401</v>
      </c>
      <c r="B478" s="476" t="s">
        <v>3591</v>
      </c>
      <c r="C478" s="174" t="str">
        <f t="shared" si="97"/>
        <v>Gigabyte</v>
      </c>
      <c r="D478" s="478" t="s">
        <v>223</v>
      </c>
      <c r="E478" s="477">
        <v>170.0</v>
      </c>
      <c r="F478" s="477">
        <v>120.0</v>
      </c>
      <c r="G478" s="477">
        <v>40.0</v>
      </c>
      <c r="H478" s="477">
        <v>2.0</v>
      </c>
      <c r="I478" s="477">
        <v>2460.0</v>
      </c>
      <c r="J478" s="477">
        <v>17.0</v>
      </c>
      <c r="K478" s="477">
        <v>115.0</v>
      </c>
      <c r="L478" s="479">
        <v>8.0</v>
      </c>
      <c r="M478" s="477">
        <v>1.0</v>
      </c>
      <c r="N478" s="477">
        <v>2.0</v>
      </c>
      <c r="O478" s="477">
        <v>2.0</v>
      </c>
      <c r="P478" s="477" t="s">
        <v>166</v>
      </c>
      <c r="Q478" s="477" t="s">
        <v>166</v>
      </c>
      <c r="R478" s="477" t="s">
        <v>166</v>
      </c>
      <c r="S478" s="477" t="s">
        <v>166</v>
      </c>
      <c r="T478" s="482"/>
    </row>
    <row r="479">
      <c r="A479" s="412" t="s">
        <v>3401</v>
      </c>
      <c r="B479" s="476" t="s">
        <v>3591</v>
      </c>
      <c r="C479" s="174" t="str">
        <f t="shared" si="97"/>
        <v>Gigabyte</v>
      </c>
      <c r="D479" s="478" t="s">
        <v>3597</v>
      </c>
      <c r="E479" s="477">
        <v>192.0</v>
      </c>
      <c r="F479" s="477">
        <v>120.0</v>
      </c>
      <c r="G479" s="477">
        <v>41.0</v>
      </c>
      <c r="H479" s="477">
        <v>2.0</v>
      </c>
      <c r="I479" s="477">
        <v>2460.0</v>
      </c>
      <c r="J479" s="477">
        <v>17.0</v>
      </c>
      <c r="K479" s="477">
        <v>115.0</v>
      </c>
      <c r="L479" s="479">
        <v>8.0</v>
      </c>
      <c r="M479" s="477">
        <v>2.0</v>
      </c>
      <c r="N479" s="477">
        <v>2.0</v>
      </c>
      <c r="O479" s="477">
        <v>2.0</v>
      </c>
      <c r="P479" s="477" t="s">
        <v>166</v>
      </c>
      <c r="Q479" s="477" t="s">
        <v>166</v>
      </c>
      <c r="R479" s="477" t="s">
        <v>166</v>
      </c>
      <c r="S479" s="477" t="s">
        <v>166</v>
      </c>
      <c r="T479" s="482"/>
    </row>
    <row r="480">
      <c r="A480" s="412" t="s">
        <v>3401</v>
      </c>
      <c r="B480" s="476" t="s">
        <v>3591</v>
      </c>
      <c r="C480" s="174" t="str">
        <f t="shared" si="97"/>
        <v>Gigabyte</v>
      </c>
      <c r="D480" s="478" t="s">
        <v>3578</v>
      </c>
      <c r="E480" s="477">
        <v>192.0</v>
      </c>
      <c r="F480" s="477">
        <v>120.0</v>
      </c>
      <c r="G480" s="477">
        <v>41.0</v>
      </c>
      <c r="H480" s="477">
        <v>2.0</v>
      </c>
      <c r="I480" s="477">
        <v>2475.0</v>
      </c>
      <c r="J480" s="477">
        <v>17.0</v>
      </c>
      <c r="K480" s="477">
        <v>115.0</v>
      </c>
      <c r="L480" s="479">
        <v>8.0</v>
      </c>
      <c r="M480" s="477">
        <v>2.0</v>
      </c>
      <c r="N480" s="477">
        <v>2.0</v>
      </c>
      <c r="O480" s="477">
        <v>2.0</v>
      </c>
      <c r="P480" s="477" t="s">
        <v>166</v>
      </c>
      <c r="Q480" s="477" t="s">
        <v>166</v>
      </c>
      <c r="R480" s="477" t="s">
        <v>166</v>
      </c>
      <c r="S480" s="477" t="s">
        <v>166</v>
      </c>
      <c r="T480" s="482"/>
    </row>
    <row r="481">
      <c r="A481" s="412" t="s">
        <v>3401</v>
      </c>
      <c r="B481" s="476" t="s">
        <v>3591</v>
      </c>
      <c r="C481" s="416" t="str">
        <f>HYPERLINK("http://www.inno3d.com/","Inno3D")</f>
        <v>Inno3D</v>
      </c>
      <c r="D481" s="478" t="s">
        <v>3598</v>
      </c>
      <c r="E481" s="477">
        <v>155.0</v>
      </c>
      <c r="F481" s="477">
        <v>122.0</v>
      </c>
      <c r="G481" s="477">
        <v>39.0</v>
      </c>
      <c r="H481" s="477">
        <v>2.0</v>
      </c>
      <c r="I481" s="477">
        <v>2460.0</v>
      </c>
      <c r="J481" s="477">
        <v>17.0</v>
      </c>
      <c r="K481" s="477">
        <v>115.0</v>
      </c>
      <c r="L481" s="479">
        <v>8.0</v>
      </c>
      <c r="M481" s="477">
        <v>1.0</v>
      </c>
      <c r="N481" s="477">
        <v>3.0</v>
      </c>
      <c r="O481" s="477">
        <v>1.0</v>
      </c>
      <c r="P481" s="477" t="s">
        <v>166</v>
      </c>
      <c r="Q481" s="477" t="s">
        <v>166</v>
      </c>
      <c r="R481" s="477" t="s">
        <v>166</v>
      </c>
      <c r="S481" s="477" t="s">
        <v>166</v>
      </c>
      <c r="T481" s="482"/>
    </row>
    <row r="482">
      <c r="A482" s="412" t="s">
        <v>3401</v>
      </c>
      <c r="B482" s="476" t="s">
        <v>3591</v>
      </c>
      <c r="C482" s="452" t="s">
        <v>3538</v>
      </c>
      <c r="D482" s="478" t="s">
        <v>3599</v>
      </c>
      <c r="E482" s="477">
        <v>148.0</v>
      </c>
      <c r="F482" s="477">
        <v>111.0</v>
      </c>
      <c r="G482" s="477">
        <v>38.0</v>
      </c>
      <c r="H482" s="477">
        <v>2.0</v>
      </c>
      <c r="I482" s="477">
        <v>2460.0</v>
      </c>
      <c r="J482" s="477">
        <v>17.0</v>
      </c>
      <c r="K482" s="477">
        <v>115.0</v>
      </c>
      <c r="L482" s="479">
        <v>8.0</v>
      </c>
      <c r="M482" s="477">
        <v>1.0</v>
      </c>
      <c r="N482" s="477">
        <v>3.0</v>
      </c>
      <c r="O482" s="477">
        <v>1.0</v>
      </c>
      <c r="P482" s="477" t="s">
        <v>166</v>
      </c>
      <c r="Q482" s="477" t="s">
        <v>166</v>
      </c>
      <c r="R482" s="477" t="s">
        <v>166</v>
      </c>
      <c r="S482" s="477" t="s">
        <v>166</v>
      </c>
      <c r="T482" s="482"/>
    </row>
    <row r="483">
      <c r="A483" s="412" t="s">
        <v>3401</v>
      </c>
      <c r="B483" s="476" t="s">
        <v>3591</v>
      </c>
      <c r="C483" s="452" t="s">
        <v>3538</v>
      </c>
      <c r="D483" s="478" t="s">
        <v>3600</v>
      </c>
      <c r="E483" s="477">
        <v>213.0</v>
      </c>
      <c r="F483" s="477">
        <v>111.0</v>
      </c>
      <c r="G483" s="477">
        <v>49.0</v>
      </c>
      <c r="H483" s="477">
        <v>2.0</v>
      </c>
      <c r="I483" s="477">
        <v>2460.0</v>
      </c>
      <c r="J483" s="477">
        <v>17.0</v>
      </c>
      <c r="K483" s="477">
        <v>115.0</v>
      </c>
      <c r="L483" s="479">
        <v>8.0</v>
      </c>
      <c r="M483" s="477">
        <v>2.0</v>
      </c>
      <c r="N483" s="477">
        <v>3.0</v>
      </c>
      <c r="O483" s="477">
        <v>1.0</v>
      </c>
      <c r="P483" s="477" t="s">
        <v>166</v>
      </c>
      <c r="Q483" s="477" t="s">
        <v>166</v>
      </c>
      <c r="R483" s="477" t="s">
        <v>166</v>
      </c>
      <c r="S483" s="477" t="s">
        <v>166</v>
      </c>
      <c r="T483" s="482"/>
    </row>
    <row r="484">
      <c r="A484" s="412" t="s">
        <v>3401</v>
      </c>
      <c r="B484" s="476" t="s">
        <v>3591</v>
      </c>
      <c r="C484" s="452" t="str">
        <f t="shared" ref="C484:C485" si="98">HYPERLINK("http://manli.com/en","Manli")</f>
        <v>Manli</v>
      </c>
      <c r="D484" s="478" t="s">
        <v>3601</v>
      </c>
      <c r="E484" s="477">
        <v>149.0</v>
      </c>
      <c r="F484" s="477">
        <v>113.0</v>
      </c>
      <c r="G484" s="477">
        <v>40.0</v>
      </c>
      <c r="H484" s="477">
        <v>2.0</v>
      </c>
      <c r="I484" s="477">
        <v>2460.0</v>
      </c>
      <c r="J484" s="477">
        <v>17.0</v>
      </c>
      <c r="K484" s="477">
        <v>115.0</v>
      </c>
      <c r="L484" s="479">
        <v>8.0</v>
      </c>
      <c r="M484" s="477">
        <v>1.0</v>
      </c>
      <c r="N484" s="477">
        <v>3.0</v>
      </c>
      <c r="O484" s="477">
        <v>1.0</v>
      </c>
      <c r="P484" s="477" t="s">
        <v>166</v>
      </c>
      <c r="Q484" s="477" t="s">
        <v>166</v>
      </c>
      <c r="R484" s="477" t="s">
        <v>166</v>
      </c>
      <c r="S484" s="477" t="s">
        <v>166</v>
      </c>
      <c r="T484" s="482"/>
    </row>
    <row r="485">
      <c r="A485" s="412" t="s">
        <v>3401</v>
      </c>
      <c r="B485" s="476" t="s">
        <v>3591</v>
      </c>
      <c r="C485" s="452" t="str">
        <f t="shared" si="98"/>
        <v>Manli</v>
      </c>
      <c r="D485" s="478" t="s">
        <v>3602</v>
      </c>
      <c r="E485" s="477">
        <v>215.0</v>
      </c>
      <c r="F485" s="477">
        <v>113.0</v>
      </c>
      <c r="G485" s="477">
        <v>42.0</v>
      </c>
      <c r="H485" s="477">
        <v>2.0</v>
      </c>
      <c r="I485" s="477">
        <v>2460.0</v>
      </c>
      <c r="J485" s="477">
        <v>17.0</v>
      </c>
      <c r="K485" s="477">
        <v>115.0</v>
      </c>
      <c r="L485" s="479">
        <v>8.0</v>
      </c>
      <c r="M485" s="477">
        <v>2.0</v>
      </c>
      <c r="N485" s="477">
        <v>3.0</v>
      </c>
      <c r="O485" s="477">
        <v>1.0</v>
      </c>
      <c r="P485" s="477" t="s">
        <v>166</v>
      </c>
      <c r="Q485" s="477" t="s">
        <v>166</v>
      </c>
      <c r="R485" s="477" t="s">
        <v>166</v>
      </c>
      <c r="S485" s="477" t="s">
        <v>166</v>
      </c>
      <c r="T485" s="482"/>
    </row>
    <row r="486">
      <c r="A486" s="412" t="s">
        <v>3401</v>
      </c>
      <c r="B486" s="476" t="s">
        <v>3591</v>
      </c>
      <c r="C486" s="174" t="str">
        <f t="shared" ref="C486:C491" si="99">HYPERLINK("https://www.msi.com/index.php","MSI")</f>
        <v>MSI</v>
      </c>
      <c r="D486" s="478" t="s">
        <v>3375</v>
      </c>
      <c r="E486" s="477">
        <v>167.0</v>
      </c>
      <c r="F486" s="477">
        <v>111.0</v>
      </c>
      <c r="G486" s="477">
        <v>43.0</v>
      </c>
      <c r="H486" s="477">
        <v>2.0</v>
      </c>
      <c r="I486" s="477">
        <v>2475.0</v>
      </c>
      <c r="J486" s="477">
        <v>17.0</v>
      </c>
      <c r="K486" s="477">
        <v>115.0</v>
      </c>
      <c r="L486" s="479">
        <v>8.0</v>
      </c>
      <c r="M486" s="477">
        <v>1.0</v>
      </c>
      <c r="N486" s="477">
        <v>3.0</v>
      </c>
      <c r="O486" s="477">
        <v>1.0</v>
      </c>
      <c r="P486" s="477" t="s">
        <v>166</v>
      </c>
      <c r="Q486" s="477" t="s">
        <v>166</v>
      </c>
      <c r="R486" s="477" t="s">
        <v>166</v>
      </c>
      <c r="S486" s="477" t="s">
        <v>166</v>
      </c>
      <c r="T486" s="482"/>
    </row>
    <row r="487">
      <c r="A487" s="412" t="s">
        <v>3401</v>
      </c>
      <c r="B487" s="476" t="s">
        <v>3591</v>
      </c>
      <c r="C487" s="174" t="str">
        <f t="shared" si="99"/>
        <v>MSI</v>
      </c>
      <c r="D487" s="478" t="s">
        <v>3434</v>
      </c>
      <c r="E487" s="477">
        <v>167.0</v>
      </c>
      <c r="F487" s="477">
        <v>111.0</v>
      </c>
      <c r="G487" s="477">
        <v>43.0</v>
      </c>
      <c r="H487" s="477">
        <v>2.0</v>
      </c>
      <c r="I487" s="477">
        <v>2505.0</v>
      </c>
      <c r="J487" s="477">
        <v>17.0</v>
      </c>
      <c r="K487" s="477">
        <v>115.0</v>
      </c>
      <c r="L487" s="479">
        <v>8.0</v>
      </c>
      <c r="M487" s="477">
        <v>1.0</v>
      </c>
      <c r="N487" s="477">
        <v>3.0</v>
      </c>
      <c r="O487" s="477">
        <v>1.0</v>
      </c>
      <c r="P487" s="477" t="s">
        <v>166</v>
      </c>
      <c r="Q487" s="477" t="s">
        <v>166</v>
      </c>
      <c r="R487" s="477" t="s">
        <v>166</v>
      </c>
      <c r="S487" s="477" t="s">
        <v>166</v>
      </c>
      <c r="T487" s="482"/>
    </row>
    <row r="488">
      <c r="A488" s="412" t="s">
        <v>3401</v>
      </c>
      <c r="B488" s="476" t="s">
        <v>3591</v>
      </c>
      <c r="C488" s="174" t="str">
        <f t="shared" si="99"/>
        <v>MSI</v>
      </c>
      <c r="D488" s="478" t="s">
        <v>3603</v>
      </c>
      <c r="E488" s="477">
        <v>199.0</v>
      </c>
      <c r="F488" s="477">
        <v>120.0</v>
      </c>
      <c r="G488" s="477">
        <v>41.0</v>
      </c>
      <c r="H488" s="477">
        <v>2.0</v>
      </c>
      <c r="I488" s="477">
        <v>2475.0</v>
      </c>
      <c r="J488" s="477">
        <v>17.0</v>
      </c>
      <c r="K488" s="477">
        <v>115.0</v>
      </c>
      <c r="L488" s="479">
        <v>8.0</v>
      </c>
      <c r="M488" s="477">
        <v>2.0</v>
      </c>
      <c r="N488" s="477">
        <v>3.0</v>
      </c>
      <c r="O488" s="477">
        <v>1.0</v>
      </c>
      <c r="P488" s="477" t="s">
        <v>166</v>
      </c>
      <c r="Q488" s="477" t="s">
        <v>166</v>
      </c>
      <c r="R488" s="477" t="s">
        <v>166</v>
      </c>
      <c r="S488" s="477" t="s">
        <v>166</v>
      </c>
      <c r="T488" s="482"/>
    </row>
    <row r="489">
      <c r="A489" s="412" t="s">
        <v>3401</v>
      </c>
      <c r="B489" s="476" t="s">
        <v>3591</v>
      </c>
      <c r="C489" s="174" t="str">
        <f t="shared" si="99"/>
        <v>MSI</v>
      </c>
      <c r="D489" s="478" t="s">
        <v>3604</v>
      </c>
      <c r="E489" s="477">
        <v>199.0</v>
      </c>
      <c r="F489" s="477">
        <v>120.0</v>
      </c>
      <c r="G489" s="477">
        <v>41.0</v>
      </c>
      <c r="H489" s="477">
        <v>2.0</v>
      </c>
      <c r="I489" s="477">
        <v>2505.0</v>
      </c>
      <c r="J489" s="477">
        <v>17.0</v>
      </c>
      <c r="K489" s="477">
        <v>115.0</v>
      </c>
      <c r="L489" s="479">
        <v>8.0</v>
      </c>
      <c r="M489" s="477">
        <v>2.0</v>
      </c>
      <c r="N489" s="477">
        <v>3.0</v>
      </c>
      <c r="O489" s="477">
        <v>1.0</v>
      </c>
      <c r="P489" s="477" t="s">
        <v>166</v>
      </c>
      <c r="Q489" s="477" t="s">
        <v>166</v>
      </c>
      <c r="R489" s="477" t="s">
        <v>166</v>
      </c>
      <c r="S489" s="477" t="s">
        <v>166</v>
      </c>
      <c r="T489" s="482"/>
    </row>
    <row r="490">
      <c r="A490" s="412" t="s">
        <v>3401</v>
      </c>
      <c r="B490" s="476" t="s">
        <v>3591</v>
      </c>
      <c r="C490" s="174" t="str">
        <f t="shared" si="99"/>
        <v>MSI</v>
      </c>
      <c r="D490" s="478" t="s">
        <v>3605</v>
      </c>
      <c r="E490" s="477">
        <v>199.0</v>
      </c>
      <c r="F490" s="477">
        <v>120.0</v>
      </c>
      <c r="G490" s="477">
        <v>41.0</v>
      </c>
      <c r="H490" s="477">
        <v>2.0</v>
      </c>
      <c r="I490" s="477">
        <v>2475.0</v>
      </c>
      <c r="J490" s="477">
        <v>17.0</v>
      </c>
      <c r="K490" s="477">
        <v>115.0</v>
      </c>
      <c r="L490" s="479">
        <v>8.0</v>
      </c>
      <c r="M490" s="477">
        <v>2.0</v>
      </c>
      <c r="N490" s="477">
        <v>3.0</v>
      </c>
      <c r="O490" s="477">
        <v>1.0</v>
      </c>
      <c r="P490" s="477" t="s">
        <v>166</v>
      </c>
      <c r="Q490" s="477" t="s">
        <v>166</v>
      </c>
      <c r="R490" s="477" t="s">
        <v>166</v>
      </c>
      <c r="S490" s="477" t="s">
        <v>166</v>
      </c>
      <c r="T490" s="482"/>
    </row>
    <row r="491">
      <c r="A491" s="412" t="s">
        <v>3401</v>
      </c>
      <c r="B491" s="476" t="s">
        <v>3591</v>
      </c>
      <c r="C491" s="174" t="str">
        <f t="shared" si="99"/>
        <v>MSI</v>
      </c>
      <c r="D491" s="478" t="s">
        <v>3606</v>
      </c>
      <c r="E491" s="477">
        <v>199.0</v>
      </c>
      <c r="F491" s="477">
        <v>120.0</v>
      </c>
      <c r="G491" s="477">
        <v>41.0</v>
      </c>
      <c r="H491" s="477">
        <v>2.0</v>
      </c>
      <c r="I491" s="477">
        <v>2505.0</v>
      </c>
      <c r="J491" s="477">
        <v>17.0</v>
      </c>
      <c r="K491" s="477">
        <v>115.0</v>
      </c>
      <c r="L491" s="479">
        <v>8.0</v>
      </c>
      <c r="M491" s="477">
        <v>2.0</v>
      </c>
      <c r="N491" s="477">
        <v>3.0</v>
      </c>
      <c r="O491" s="477">
        <v>1.0</v>
      </c>
      <c r="P491" s="477" t="s">
        <v>166</v>
      </c>
      <c r="Q491" s="477" t="s">
        <v>166</v>
      </c>
      <c r="R491" s="477" t="s">
        <v>166</v>
      </c>
      <c r="S491" s="477" t="s">
        <v>166</v>
      </c>
      <c r="T491" s="482"/>
    </row>
    <row r="492">
      <c r="A492" s="412" t="s">
        <v>3401</v>
      </c>
      <c r="B492" s="476" t="s">
        <v>3591</v>
      </c>
      <c r="C492" s="416" t="str">
        <f>HYPERLINK("http://www.palit.com/palit/index.php?lang=en","Palit")</f>
        <v>Palit</v>
      </c>
      <c r="D492" s="478" t="s">
        <v>3439</v>
      </c>
      <c r="E492" s="477">
        <v>169.9</v>
      </c>
      <c r="F492" s="477">
        <v>123.0</v>
      </c>
      <c r="G492" s="477">
        <v>38.0</v>
      </c>
      <c r="H492" s="477">
        <v>2.0</v>
      </c>
      <c r="I492" s="477">
        <v>2460.0</v>
      </c>
      <c r="J492" s="477">
        <v>17.0</v>
      </c>
      <c r="K492" s="477">
        <v>115.0</v>
      </c>
      <c r="L492" s="479">
        <v>8.0</v>
      </c>
      <c r="M492" s="477">
        <v>1.0</v>
      </c>
      <c r="N492" s="477">
        <v>3.0</v>
      </c>
      <c r="O492" s="477">
        <v>1.0</v>
      </c>
      <c r="P492" s="477" t="s">
        <v>166</v>
      </c>
      <c r="Q492" s="477" t="s">
        <v>166</v>
      </c>
      <c r="R492" s="477" t="s">
        <v>166</v>
      </c>
      <c r="S492" s="477" t="s">
        <v>166</v>
      </c>
      <c r="T492" s="482"/>
    </row>
    <row r="493">
      <c r="A493" s="412" t="s">
        <v>3401</v>
      </c>
      <c r="B493" s="476" t="s">
        <v>3591</v>
      </c>
      <c r="C493" s="485" t="str">
        <f>HYPERLINK("https://pny.com/","PNY")</f>
        <v>PNY</v>
      </c>
      <c r="D493" s="478" t="s">
        <v>3607</v>
      </c>
      <c r="E493" s="477">
        <v>210.06</v>
      </c>
      <c r="F493" s="477">
        <v>123.44</v>
      </c>
      <c r="G493" s="477">
        <v>39.88</v>
      </c>
      <c r="H493" s="477">
        <v>2.0</v>
      </c>
      <c r="I493" s="477">
        <v>2460.0</v>
      </c>
      <c r="J493" s="477">
        <v>17.0</v>
      </c>
      <c r="K493" s="477">
        <v>115.0</v>
      </c>
      <c r="L493" s="479">
        <v>8.0</v>
      </c>
      <c r="M493" s="477">
        <v>2.0</v>
      </c>
      <c r="N493" s="477">
        <v>3.0</v>
      </c>
      <c r="O493" s="477">
        <v>1.0</v>
      </c>
      <c r="P493" s="477" t="s">
        <v>166</v>
      </c>
      <c r="Q493" s="477" t="s">
        <v>166</v>
      </c>
      <c r="R493" s="477" t="s">
        <v>166</v>
      </c>
      <c r="S493" s="477" t="s">
        <v>166</v>
      </c>
      <c r="T493" s="482"/>
    </row>
    <row r="494">
      <c r="A494" s="412" t="s">
        <v>3401</v>
      </c>
      <c r="B494" s="476" t="s">
        <v>3591</v>
      </c>
      <c r="C494" s="486" t="s">
        <v>3378</v>
      </c>
      <c r="D494" s="478" t="s">
        <v>3608</v>
      </c>
      <c r="E494" s="477">
        <v>172.0</v>
      </c>
      <c r="F494" s="477">
        <v>113.0</v>
      </c>
      <c r="G494" s="477">
        <v>40.0</v>
      </c>
      <c r="H494" s="477">
        <v>2.0</v>
      </c>
      <c r="I494" s="477">
        <v>2460.0</v>
      </c>
      <c r="J494" s="477">
        <v>17.0</v>
      </c>
      <c r="K494" s="477">
        <v>115.0</v>
      </c>
      <c r="L494" s="479">
        <v>8.0</v>
      </c>
      <c r="M494" s="477">
        <v>1.0</v>
      </c>
      <c r="N494" s="477">
        <v>3.0</v>
      </c>
      <c r="O494" s="477">
        <v>1.0</v>
      </c>
      <c r="P494" s="477" t="s">
        <v>166</v>
      </c>
      <c r="Q494" s="477" t="s">
        <v>166</v>
      </c>
      <c r="R494" s="477" t="s">
        <v>166</v>
      </c>
      <c r="S494" s="477" t="s">
        <v>166</v>
      </c>
      <c r="T494" s="482"/>
    </row>
    <row r="495">
      <c r="A495" s="401" t="s">
        <v>3401</v>
      </c>
      <c r="B495" s="402" t="s">
        <v>3591</v>
      </c>
      <c r="C495" s="403" t="str">
        <f>HYPERLINK("http://zotac.com/","ZOTAC")</f>
        <v>ZOTAC</v>
      </c>
      <c r="D495" s="470" t="s">
        <v>3609</v>
      </c>
      <c r="E495" s="405">
        <v>163.0</v>
      </c>
      <c r="F495" s="405">
        <v>117.6</v>
      </c>
      <c r="G495" s="405">
        <v>39.5</v>
      </c>
      <c r="H495" s="405">
        <v>2.0</v>
      </c>
      <c r="I495" s="405">
        <v>2460.0</v>
      </c>
      <c r="J495" s="405">
        <v>17.0</v>
      </c>
      <c r="K495" s="405">
        <v>115.0</v>
      </c>
      <c r="L495" s="239">
        <v>8.0</v>
      </c>
      <c r="M495" s="405">
        <v>1.0</v>
      </c>
      <c r="N495" s="405">
        <v>3.0</v>
      </c>
      <c r="O495" s="405">
        <v>1.0</v>
      </c>
      <c r="P495" s="405" t="s">
        <v>166</v>
      </c>
      <c r="Q495" s="405" t="s">
        <v>166</v>
      </c>
      <c r="R495" s="405" t="s">
        <v>166</v>
      </c>
      <c r="S495" s="405" t="s">
        <v>166</v>
      </c>
      <c r="T495" s="487"/>
    </row>
    <row r="496">
      <c r="A496" s="412" t="s">
        <v>3401</v>
      </c>
      <c r="B496" s="413" t="s">
        <v>3610</v>
      </c>
      <c r="C496" s="174" t="str">
        <f t="shared" ref="C496:C497" si="100">HYPERLINK("https://www.asus.com/","Asus")</f>
        <v>Asus</v>
      </c>
      <c r="D496" s="488" t="s">
        <v>3476</v>
      </c>
      <c r="E496" s="477">
        <v>202.0</v>
      </c>
      <c r="F496" s="477">
        <v>120.0</v>
      </c>
      <c r="G496" s="477">
        <v>40.1</v>
      </c>
      <c r="H496" s="477">
        <v>2.0</v>
      </c>
      <c r="I496" s="477">
        <v>2565.0</v>
      </c>
      <c r="J496" s="477">
        <v>18.0</v>
      </c>
      <c r="K496" s="477">
        <v>160.0</v>
      </c>
      <c r="L496" s="479">
        <v>8.0</v>
      </c>
      <c r="M496" s="477">
        <v>2.0</v>
      </c>
      <c r="N496" s="477">
        <v>3.0</v>
      </c>
      <c r="O496" s="477">
        <v>1.0</v>
      </c>
      <c r="P496" s="477" t="s">
        <v>166</v>
      </c>
      <c r="Q496" s="477" t="s">
        <v>166</v>
      </c>
      <c r="R496" s="477" t="s">
        <v>166</v>
      </c>
      <c r="S496" s="477" t="s">
        <v>166</v>
      </c>
      <c r="T496" s="482"/>
    </row>
    <row r="497">
      <c r="A497" s="412" t="s">
        <v>3401</v>
      </c>
      <c r="B497" s="413" t="s">
        <v>3610</v>
      </c>
      <c r="C497" s="174" t="str">
        <f t="shared" si="100"/>
        <v>Asus</v>
      </c>
      <c r="D497" s="488" t="s">
        <v>3394</v>
      </c>
      <c r="E497" s="477">
        <v>202.0</v>
      </c>
      <c r="F497" s="477">
        <v>120.0</v>
      </c>
      <c r="G497" s="477">
        <v>40.1</v>
      </c>
      <c r="H497" s="477">
        <v>2.0</v>
      </c>
      <c r="I497" s="477">
        <v>2595.0</v>
      </c>
      <c r="J497" s="477">
        <v>18.0</v>
      </c>
      <c r="K497" s="477">
        <v>160.0</v>
      </c>
      <c r="L497" s="479">
        <v>8.0</v>
      </c>
      <c r="M497" s="477">
        <v>2.0</v>
      </c>
      <c r="N497" s="477">
        <v>3.0</v>
      </c>
      <c r="O497" s="477">
        <v>1.0</v>
      </c>
      <c r="P497" s="477" t="s">
        <v>166</v>
      </c>
      <c r="Q497" s="477" t="s">
        <v>166</v>
      </c>
      <c r="R497" s="477" t="s">
        <v>166</v>
      </c>
      <c r="S497" s="477" t="s">
        <v>166</v>
      </c>
      <c r="T497" s="482"/>
    </row>
    <row r="498">
      <c r="A498" s="412" t="s">
        <v>3401</v>
      </c>
      <c r="B498" s="413" t="s">
        <v>3610</v>
      </c>
      <c r="C498" s="174" t="s">
        <v>3575</v>
      </c>
      <c r="D498" s="488" t="s">
        <v>3611</v>
      </c>
      <c r="E498" s="477">
        <v>188.0</v>
      </c>
      <c r="F498" s="477">
        <v>130.55</v>
      </c>
      <c r="G498" s="477">
        <v>45.8</v>
      </c>
      <c r="H498" s="477">
        <v>2.0</v>
      </c>
      <c r="I498" s="477">
        <v>2580.0</v>
      </c>
      <c r="J498" s="477">
        <v>18.0</v>
      </c>
      <c r="K498" s="477">
        <v>160.0</v>
      </c>
      <c r="L498" s="479">
        <v>8.0</v>
      </c>
      <c r="M498" s="477">
        <v>1.0</v>
      </c>
      <c r="N498" s="477">
        <v>3.0</v>
      </c>
      <c r="O498" s="477">
        <v>1.0</v>
      </c>
      <c r="P498" s="477" t="s">
        <v>166</v>
      </c>
      <c r="Q498" s="477" t="s">
        <v>166</v>
      </c>
      <c r="R498" s="477" t="s">
        <v>166</v>
      </c>
      <c r="S498" s="477" t="s">
        <v>166</v>
      </c>
      <c r="T498" s="482"/>
    </row>
    <row r="499">
      <c r="A499" s="412" t="s">
        <v>3401</v>
      </c>
      <c r="B499" s="413" t="s">
        <v>3610</v>
      </c>
      <c r="C499" s="174" t="str">
        <f t="shared" ref="C499:C501" si="101">HYPERLINK("http://www.gainward.com/main/index.php?lang=en","Gainward")</f>
        <v>Gainward</v>
      </c>
      <c r="D499" s="488" t="s">
        <v>3592</v>
      </c>
      <c r="E499" s="477">
        <v>206.0</v>
      </c>
      <c r="F499" s="477">
        <v>111.5</v>
      </c>
      <c r="G499" s="477">
        <v>41.0</v>
      </c>
      <c r="H499" s="477">
        <v>2.0</v>
      </c>
      <c r="I499" s="477">
        <v>2550.0</v>
      </c>
      <c r="J499" s="477">
        <v>18.0</v>
      </c>
      <c r="K499" s="477">
        <v>160.0</v>
      </c>
      <c r="L499" s="479">
        <v>8.0</v>
      </c>
      <c r="M499" s="477">
        <v>2.0</v>
      </c>
      <c r="N499" s="477">
        <v>3.0</v>
      </c>
      <c r="O499" s="477">
        <v>1.0</v>
      </c>
      <c r="P499" s="477" t="s">
        <v>166</v>
      </c>
      <c r="Q499" s="477" t="s">
        <v>166</v>
      </c>
      <c r="R499" s="477" t="s">
        <v>166</v>
      </c>
      <c r="S499" s="477" t="s">
        <v>166</v>
      </c>
      <c r="T499" s="476"/>
    </row>
    <row r="500">
      <c r="A500" s="412" t="s">
        <v>3401</v>
      </c>
      <c r="B500" s="413" t="s">
        <v>3610</v>
      </c>
      <c r="C500" s="174" t="str">
        <f t="shared" si="101"/>
        <v>Gainward</v>
      </c>
      <c r="D500" s="478" t="s">
        <v>3547</v>
      </c>
      <c r="E500" s="477">
        <v>169.9</v>
      </c>
      <c r="F500" s="477">
        <v>124.1</v>
      </c>
      <c r="G500" s="477">
        <v>38.8</v>
      </c>
      <c r="H500" s="477">
        <v>2.0</v>
      </c>
      <c r="I500" s="477">
        <v>2535.0</v>
      </c>
      <c r="J500" s="477">
        <v>18.0</v>
      </c>
      <c r="K500" s="477">
        <v>160.0</v>
      </c>
      <c r="L500" s="479">
        <v>8.0</v>
      </c>
      <c r="M500" s="477">
        <v>1.0</v>
      </c>
      <c r="N500" s="477">
        <v>3.0</v>
      </c>
      <c r="O500" s="477">
        <v>1.0</v>
      </c>
      <c r="P500" s="477" t="s">
        <v>166</v>
      </c>
      <c r="Q500" s="477" t="s">
        <v>166</v>
      </c>
      <c r="R500" s="477" t="s">
        <v>166</v>
      </c>
      <c r="S500" s="477" t="s">
        <v>166</v>
      </c>
      <c r="T500" s="476"/>
    </row>
    <row r="501">
      <c r="A501" s="412" t="s">
        <v>3401</v>
      </c>
      <c r="B501" s="413" t="s">
        <v>3610</v>
      </c>
      <c r="C501" s="416" t="str">
        <f t="shared" si="101"/>
        <v>Gainward</v>
      </c>
      <c r="D501" s="478" t="s">
        <v>3507</v>
      </c>
      <c r="E501" s="477">
        <v>169.9</v>
      </c>
      <c r="F501" s="477">
        <v>124.1</v>
      </c>
      <c r="G501" s="477">
        <v>38.8</v>
      </c>
      <c r="H501" s="477">
        <v>2.0</v>
      </c>
      <c r="I501" s="477">
        <v>2670.0</v>
      </c>
      <c r="J501" s="477">
        <v>18.0</v>
      </c>
      <c r="K501" s="477">
        <v>160.0</v>
      </c>
      <c r="L501" s="479">
        <v>8.0</v>
      </c>
      <c r="M501" s="477">
        <v>1.0</v>
      </c>
      <c r="N501" s="477">
        <v>3.0</v>
      </c>
      <c r="O501" s="477">
        <v>1.0</v>
      </c>
      <c r="P501" s="477" t="s">
        <v>166</v>
      </c>
      <c r="Q501" s="477" t="s">
        <v>166</v>
      </c>
      <c r="R501" s="477" t="s">
        <v>166</v>
      </c>
      <c r="S501" s="477" t="s">
        <v>166</v>
      </c>
      <c r="T501" s="482"/>
    </row>
    <row r="502">
      <c r="A502" s="412" t="s">
        <v>3401</v>
      </c>
      <c r="B502" s="413" t="s">
        <v>3610</v>
      </c>
      <c r="C502" s="174" t="str">
        <f t="shared" ref="C502:C503" si="102">HYPERLINK("https://www.gigabyte.com/","Gigabyte")</f>
        <v>Gigabyte</v>
      </c>
      <c r="D502" s="478" t="s">
        <v>3597</v>
      </c>
      <c r="E502" s="477">
        <v>201.0</v>
      </c>
      <c r="F502" s="477">
        <v>120.0</v>
      </c>
      <c r="G502" s="477">
        <v>41.0</v>
      </c>
      <c r="H502" s="477">
        <v>2.0</v>
      </c>
      <c r="I502" s="477">
        <v>2535.0</v>
      </c>
      <c r="J502" s="477">
        <v>18.0</v>
      </c>
      <c r="K502" s="477">
        <v>160.0</v>
      </c>
      <c r="L502" s="479">
        <v>8.0</v>
      </c>
      <c r="M502" s="477">
        <v>2.0</v>
      </c>
      <c r="N502" s="477">
        <v>2.0</v>
      </c>
      <c r="O502" s="477">
        <v>2.0</v>
      </c>
      <c r="P502" s="477" t="s">
        <v>166</v>
      </c>
      <c r="Q502" s="477" t="s">
        <v>166</v>
      </c>
      <c r="R502" s="477" t="s">
        <v>166</v>
      </c>
      <c r="S502" s="477" t="s">
        <v>166</v>
      </c>
      <c r="T502" s="482"/>
    </row>
    <row r="503">
      <c r="A503" s="412" t="s">
        <v>3401</v>
      </c>
      <c r="B503" s="413" t="s">
        <v>3610</v>
      </c>
      <c r="C503" s="174" t="str">
        <f t="shared" si="102"/>
        <v>Gigabyte</v>
      </c>
      <c r="D503" s="478" t="s">
        <v>3578</v>
      </c>
      <c r="E503" s="477">
        <v>201.0</v>
      </c>
      <c r="F503" s="477">
        <v>120.0</v>
      </c>
      <c r="G503" s="477">
        <v>41.0</v>
      </c>
      <c r="H503" s="477">
        <v>2.0</v>
      </c>
      <c r="I503" s="477">
        <v>2550.0</v>
      </c>
      <c r="J503" s="477">
        <v>18.0</v>
      </c>
      <c r="K503" s="477">
        <v>160.0</v>
      </c>
      <c r="L503" s="479">
        <v>8.0</v>
      </c>
      <c r="M503" s="477">
        <v>2.0</v>
      </c>
      <c r="N503" s="477">
        <v>2.0</v>
      </c>
      <c r="O503" s="477">
        <v>2.0</v>
      </c>
      <c r="P503" s="477" t="s">
        <v>166</v>
      </c>
      <c r="Q503" s="477" t="s">
        <v>166</v>
      </c>
      <c r="R503" s="477" t="s">
        <v>166</v>
      </c>
      <c r="S503" s="477" t="s">
        <v>166</v>
      </c>
      <c r="T503" s="482"/>
    </row>
    <row r="504">
      <c r="A504" s="412" t="s">
        <v>3401</v>
      </c>
      <c r="B504" s="413" t="s">
        <v>3610</v>
      </c>
      <c r="C504" s="174" t="str">
        <f t="shared" ref="C504:C507" si="103">HYPERLINK("https://www.msi.com/index.php","MSI")</f>
        <v>MSI</v>
      </c>
      <c r="D504" s="478" t="s">
        <v>3603</v>
      </c>
      <c r="E504" s="477">
        <v>199.0</v>
      </c>
      <c r="F504" s="477">
        <v>120.0</v>
      </c>
      <c r="G504" s="477">
        <v>42.0</v>
      </c>
      <c r="H504" s="477">
        <v>2.0</v>
      </c>
      <c r="I504" s="477">
        <v>2550.0</v>
      </c>
      <c r="J504" s="477">
        <v>18.0</v>
      </c>
      <c r="K504" s="477">
        <v>160.0</v>
      </c>
      <c r="L504" s="479">
        <v>8.0</v>
      </c>
      <c r="M504" s="477">
        <v>2.0</v>
      </c>
      <c r="N504" s="477">
        <v>3.0</v>
      </c>
      <c r="O504" s="477">
        <v>1.0</v>
      </c>
      <c r="P504" s="477" t="s">
        <v>166</v>
      </c>
      <c r="Q504" s="477" t="s">
        <v>166</v>
      </c>
      <c r="R504" s="477" t="s">
        <v>166</v>
      </c>
      <c r="S504" s="477" t="s">
        <v>166</v>
      </c>
      <c r="T504" s="476"/>
    </row>
    <row r="505">
      <c r="A505" s="412" t="s">
        <v>3401</v>
      </c>
      <c r="B505" s="413" t="s">
        <v>3610</v>
      </c>
      <c r="C505" s="174" t="str">
        <f t="shared" si="103"/>
        <v>MSI</v>
      </c>
      <c r="D505" s="478" t="s">
        <v>3604</v>
      </c>
      <c r="E505" s="477">
        <v>199.0</v>
      </c>
      <c r="F505" s="477">
        <v>120.0</v>
      </c>
      <c r="G505" s="477">
        <v>42.0</v>
      </c>
      <c r="H505" s="477">
        <v>2.0</v>
      </c>
      <c r="I505" s="477">
        <v>2580.0</v>
      </c>
      <c r="J505" s="477">
        <v>18.0</v>
      </c>
      <c r="K505" s="477">
        <v>160.0</v>
      </c>
      <c r="L505" s="479">
        <v>8.0</v>
      </c>
      <c r="M505" s="477">
        <v>2.0</v>
      </c>
      <c r="N505" s="477">
        <v>3.0</v>
      </c>
      <c r="O505" s="477">
        <v>1.0</v>
      </c>
      <c r="P505" s="477" t="s">
        <v>166</v>
      </c>
      <c r="Q505" s="477" t="s">
        <v>166</v>
      </c>
      <c r="R505" s="477" t="s">
        <v>166</v>
      </c>
      <c r="S505" s="477" t="s">
        <v>166</v>
      </c>
      <c r="T505" s="476"/>
    </row>
    <row r="506">
      <c r="A506" s="412" t="s">
        <v>3401</v>
      </c>
      <c r="B506" s="413" t="s">
        <v>3610</v>
      </c>
      <c r="C506" s="174" t="str">
        <f t="shared" si="103"/>
        <v>MSI</v>
      </c>
      <c r="D506" s="478" t="s">
        <v>3612</v>
      </c>
      <c r="E506" s="477">
        <v>199.0</v>
      </c>
      <c r="F506" s="477">
        <v>120.0</v>
      </c>
      <c r="G506" s="477">
        <v>42.0</v>
      </c>
      <c r="H506" s="477">
        <v>2.0</v>
      </c>
      <c r="I506" s="477">
        <v>2550.0</v>
      </c>
      <c r="J506" s="477">
        <v>18.0</v>
      </c>
      <c r="K506" s="477">
        <v>165.0</v>
      </c>
      <c r="L506" s="479">
        <v>8.0</v>
      </c>
      <c r="M506" s="477">
        <v>2.0</v>
      </c>
      <c r="N506" s="477">
        <v>3.0</v>
      </c>
      <c r="O506" s="477">
        <v>1.0</v>
      </c>
      <c r="P506" s="477" t="s">
        <v>166</v>
      </c>
      <c r="Q506" s="477" t="s">
        <v>166</v>
      </c>
      <c r="R506" s="477" t="s">
        <v>166</v>
      </c>
      <c r="S506" s="477" t="s">
        <v>166</v>
      </c>
      <c r="T506" s="476"/>
    </row>
    <row r="507">
      <c r="A507" s="412" t="s">
        <v>3401</v>
      </c>
      <c r="B507" s="413" t="s">
        <v>3610</v>
      </c>
      <c r="C507" s="174" t="str">
        <f t="shared" si="103"/>
        <v>MSI</v>
      </c>
      <c r="D507" s="478" t="s">
        <v>3613</v>
      </c>
      <c r="E507" s="477">
        <v>199.0</v>
      </c>
      <c r="F507" s="477">
        <v>120.0</v>
      </c>
      <c r="G507" s="477">
        <v>42.0</v>
      </c>
      <c r="H507" s="477">
        <v>2.0</v>
      </c>
      <c r="I507" s="477">
        <v>2580.0</v>
      </c>
      <c r="J507" s="477">
        <v>18.0</v>
      </c>
      <c r="K507" s="477">
        <v>165.0</v>
      </c>
      <c r="L507" s="479">
        <v>8.0</v>
      </c>
      <c r="M507" s="477">
        <v>2.0</v>
      </c>
      <c r="N507" s="477">
        <v>3.0</v>
      </c>
      <c r="O507" s="477">
        <v>1.0</v>
      </c>
      <c r="P507" s="477" t="s">
        <v>166</v>
      </c>
      <c r="Q507" s="477" t="s">
        <v>166</v>
      </c>
      <c r="R507" s="477" t="s">
        <v>166</v>
      </c>
      <c r="S507" s="477" t="s">
        <v>166</v>
      </c>
      <c r="T507" s="476"/>
    </row>
    <row r="508">
      <c r="A508" s="412" t="s">
        <v>3401</v>
      </c>
      <c r="B508" s="413" t="s">
        <v>3610</v>
      </c>
      <c r="C508" s="416" t="str">
        <f t="shared" ref="C508:C509" si="104">HYPERLINK("http://www.palit.com/palit/index.php?lang=en","Palit")</f>
        <v>Palit</v>
      </c>
      <c r="D508" s="478" t="s">
        <v>3439</v>
      </c>
      <c r="E508" s="477">
        <v>169.9</v>
      </c>
      <c r="F508" s="477">
        <v>124.1</v>
      </c>
      <c r="G508" s="477">
        <v>38.8</v>
      </c>
      <c r="H508" s="477">
        <v>2.0</v>
      </c>
      <c r="I508" s="477">
        <v>2535.0</v>
      </c>
      <c r="J508" s="477">
        <v>18.0</v>
      </c>
      <c r="K508" s="477">
        <v>160.0</v>
      </c>
      <c r="L508" s="479">
        <v>8.0</v>
      </c>
      <c r="M508" s="477">
        <v>1.0</v>
      </c>
      <c r="N508" s="477">
        <v>3.0</v>
      </c>
      <c r="O508" s="477">
        <v>1.0</v>
      </c>
      <c r="P508" s="477" t="s">
        <v>166</v>
      </c>
      <c r="Q508" s="477" t="s">
        <v>166</v>
      </c>
      <c r="R508" s="477" t="s">
        <v>166</v>
      </c>
      <c r="S508" s="477" t="s">
        <v>166</v>
      </c>
      <c r="T508" s="482"/>
    </row>
    <row r="509">
      <c r="A509" s="401" t="s">
        <v>3401</v>
      </c>
      <c r="B509" s="402" t="s">
        <v>3610</v>
      </c>
      <c r="C509" s="403" t="str">
        <f t="shared" si="104"/>
        <v>Palit</v>
      </c>
      <c r="D509" s="470" t="s">
        <v>3463</v>
      </c>
      <c r="E509" s="405">
        <v>169.9</v>
      </c>
      <c r="F509" s="405">
        <v>124.1</v>
      </c>
      <c r="G509" s="405">
        <v>38.8</v>
      </c>
      <c r="H509" s="405">
        <v>2.0</v>
      </c>
      <c r="I509" s="405">
        <v>2670.0</v>
      </c>
      <c r="J509" s="405">
        <v>18.0</v>
      </c>
      <c r="K509" s="405">
        <v>160.0</v>
      </c>
      <c r="L509" s="239">
        <v>8.0</v>
      </c>
      <c r="M509" s="405">
        <v>1.0</v>
      </c>
      <c r="N509" s="405">
        <v>3.0</v>
      </c>
      <c r="O509" s="405">
        <v>1.0</v>
      </c>
      <c r="P509" s="405" t="s">
        <v>166</v>
      </c>
      <c r="Q509" s="405" t="s">
        <v>166</v>
      </c>
      <c r="R509" s="405" t="s">
        <v>166</v>
      </c>
      <c r="S509" s="405" t="s">
        <v>166</v>
      </c>
      <c r="T509" s="487"/>
    </row>
    <row r="510">
      <c r="A510" s="412" t="s">
        <v>3401</v>
      </c>
      <c r="B510" s="476" t="s">
        <v>3614</v>
      </c>
      <c r="C510" s="174" t="s">
        <v>3575</v>
      </c>
      <c r="D510" s="478" t="s">
        <v>3611</v>
      </c>
      <c r="E510" s="477">
        <v>188.0</v>
      </c>
      <c r="F510" s="477">
        <v>130.55</v>
      </c>
      <c r="G510" s="477">
        <v>45.8</v>
      </c>
      <c r="H510" s="477">
        <v>2.0</v>
      </c>
      <c r="I510" s="477">
        <v>2580.0</v>
      </c>
      <c r="J510" s="477">
        <v>18.0</v>
      </c>
      <c r="K510" s="477">
        <v>165.0</v>
      </c>
      <c r="L510" s="479">
        <v>8.0</v>
      </c>
      <c r="M510" s="477">
        <v>1.0</v>
      </c>
      <c r="N510" s="477">
        <v>3.0</v>
      </c>
      <c r="O510" s="477">
        <v>1.0</v>
      </c>
      <c r="P510" s="477" t="s">
        <v>166</v>
      </c>
      <c r="Q510" s="477" t="s">
        <v>166</v>
      </c>
      <c r="R510" s="477" t="s">
        <v>166</v>
      </c>
      <c r="S510" s="477" t="s">
        <v>166</v>
      </c>
      <c r="T510" s="482"/>
    </row>
    <row r="511">
      <c r="A511" s="412" t="s">
        <v>3401</v>
      </c>
      <c r="B511" s="476" t="s">
        <v>3614</v>
      </c>
      <c r="C511" s="174" t="str">
        <f>HYPERLINK("https://www.gigabyte.com/","Gigabyte")</f>
        <v>Gigabyte</v>
      </c>
      <c r="D511" s="478" t="s">
        <v>3578</v>
      </c>
      <c r="E511" s="477">
        <v>201.0</v>
      </c>
      <c r="F511" s="477">
        <v>120.0</v>
      </c>
      <c r="G511" s="477">
        <v>41.0</v>
      </c>
      <c r="H511" s="477">
        <v>2.0</v>
      </c>
      <c r="I511" s="477">
        <v>2565.0</v>
      </c>
      <c r="J511" s="477">
        <v>18.0</v>
      </c>
      <c r="K511" s="477">
        <v>165.0</v>
      </c>
      <c r="L511" s="479">
        <v>8.0</v>
      </c>
      <c r="M511" s="477">
        <v>2.0</v>
      </c>
      <c r="N511" s="477">
        <v>2.0</v>
      </c>
      <c r="O511" s="477">
        <v>2.0</v>
      </c>
      <c r="P511" s="477" t="s">
        <v>166</v>
      </c>
      <c r="Q511" s="477" t="s">
        <v>166</v>
      </c>
      <c r="R511" s="477" t="s">
        <v>166</v>
      </c>
      <c r="S511" s="477" t="s">
        <v>166</v>
      </c>
      <c r="T511" s="482"/>
    </row>
    <row r="512">
      <c r="A512" s="401" t="s">
        <v>3401</v>
      </c>
      <c r="B512" s="402" t="s">
        <v>3614</v>
      </c>
      <c r="C512" s="403" t="str">
        <f>HYPERLINK("https://www.msi.com/index.php","MSI")</f>
        <v>MSI</v>
      </c>
      <c r="D512" s="470" t="s">
        <v>3604</v>
      </c>
      <c r="E512" s="405">
        <v>199.0</v>
      </c>
      <c r="F512" s="405">
        <v>120.0</v>
      </c>
      <c r="G512" s="405">
        <v>42.0</v>
      </c>
      <c r="H512" s="405">
        <v>2.0</v>
      </c>
      <c r="I512" s="405">
        <v>2625.0</v>
      </c>
      <c r="J512" s="405">
        <v>18.0</v>
      </c>
      <c r="K512" s="405">
        <v>165.0</v>
      </c>
      <c r="L512" s="239">
        <v>8.0</v>
      </c>
      <c r="M512" s="405">
        <v>2.0</v>
      </c>
      <c r="N512" s="405">
        <v>3.0</v>
      </c>
      <c r="O512" s="405">
        <v>1.0</v>
      </c>
      <c r="P512" s="405" t="s">
        <v>166</v>
      </c>
      <c r="Q512" s="405" t="s">
        <v>166</v>
      </c>
      <c r="R512" s="405" t="s">
        <v>166</v>
      </c>
      <c r="S512" s="405" t="s">
        <v>166</v>
      </c>
      <c r="T512" s="487"/>
    </row>
    <row r="513">
      <c r="A513" s="406" t="s">
        <v>3401</v>
      </c>
      <c r="B513" s="407" t="s">
        <v>3615</v>
      </c>
      <c r="C513" s="290" t="str">
        <f>HYPERLINK("https://www.gigabyte.com/","Gigabyte")</f>
        <v>Gigabyte</v>
      </c>
      <c r="D513" s="473" t="s">
        <v>3616</v>
      </c>
      <c r="E513" s="408">
        <v>201.0</v>
      </c>
      <c r="F513" s="408">
        <v>122.3</v>
      </c>
      <c r="G513" s="408">
        <v>48.4</v>
      </c>
      <c r="H513" s="408">
        <v>2.0</v>
      </c>
      <c r="I513" s="408">
        <v>2490.0</v>
      </c>
      <c r="J513" s="408">
        <v>21.0</v>
      </c>
      <c r="K513" s="408">
        <v>200.0</v>
      </c>
      <c r="L513" s="247">
        <v>8.0</v>
      </c>
      <c r="M513" s="408">
        <v>2.0</v>
      </c>
      <c r="N513" s="408">
        <v>3.0</v>
      </c>
      <c r="O513" s="408">
        <v>1.0</v>
      </c>
      <c r="P513" s="408" t="s">
        <v>166</v>
      </c>
      <c r="Q513" s="408" t="s">
        <v>166</v>
      </c>
      <c r="R513" s="408" t="s">
        <v>166</v>
      </c>
      <c r="S513" s="408" t="s">
        <v>166</v>
      </c>
      <c r="T513" s="489"/>
    </row>
    <row r="514">
      <c r="A514" s="406" t="s">
        <v>3401</v>
      </c>
      <c r="B514" s="407" t="s">
        <v>3617</v>
      </c>
      <c r="C514" s="290" t="str">
        <f t="shared" ref="C514:C515" si="105">HYPERLINK("http://www.inno3d.com/","Inno3D")</f>
        <v>Inno3D</v>
      </c>
      <c r="D514" s="473" t="s">
        <v>3618</v>
      </c>
      <c r="E514" s="408">
        <v>200.0</v>
      </c>
      <c r="F514" s="408">
        <v>159.0</v>
      </c>
      <c r="G514" s="408">
        <v>37.0</v>
      </c>
      <c r="H514" s="408">
        <v>2.0</v>
      </c>
      <c r="I514" s="408">
        <v>2565.0</v>
      </c>
      <c r="J514" s="408">
        <v>22.4</v>
      </c>
      <c r="K514" s="408">
        <v>320.0</v>
      </c>
      <c r="L514" s="247" t="s">
        <v>3619</v>
      </c>
      <c r="M514" s="408" t="s">
        <v>166</v>
      </c>
      <c r="N514" s="408">
        <v>3.0</v>
      </c>
      <c r="O514" s="408">
        <v>1.0</v>
      </c>
      <c r="P514" s="408" t="s">
        <v>166</v>
      </c>
      <c r="Q514" s="408" t="s">
        <v>166</v>
      </c>
      <c r="R514" s="408" t="s">
        <v>174</v>
      </c>
      <c r="S514" s="408" t="s">
        <v>166</v>
      </c>
      <c r="T514" s="407"/>
    </row>
    <row r="515">
      <c r="A515" s="406" t="s">
        <v>3401</v>
      </c>
      <c r="B515" s="407" t="s">
        <v>3620</v>
      </c>
      <c r="C515" s="403" t="str">
        <f t="shared" si="105"/>
        <v>Inno3D</v>
      </c>
      <c r="D515" s="470" t="s">
        <v>3618</v>
      </c>
      <c r="E515" s="405">
        <v>200.0</v>
      </c>
      <c r="F515" s="405">
        <v>159.0</v>
      </c>
      <c r="G515" s="405">
        <v>37.0</v>
      </c>
      <c r="H515" s="405">
        <v>2.0</v>
      </c>
      <c r="I515" s="405">
        <v>2610.0</v>
      </c>
      <c r="J515" s="405">
        <v>23.0</v>
      </c>
      <c r="K515" s="405">
        <v>320.0</v>
      </c>
      <c r="L515" s="239" t="s">
        <v>3619</v>
      </c>
      <c r="M515" s="405" t="s">
        <v>166</v>
      </c>
      <c r="N515" s="405">
        <v>3.0</v>
      </c>
      <c r="O515" s="405">
        <v>1.0</v>
      </c>
      <c r="P515" s="405" t="s">
        <v>166</v>
      </c>
      <c r="Q515" s="405" t="s">
        <v>166</v>
      </c>
      <c r="R515" s="405" t="s">
        <v>174</v>
      </c>
      <c r="S515" s="405" t="s">
        <v>166</v>
      </c>
      <c r="T515" s="402"/>
    </row>
    <row r="516">
      <c r="A516" s="409" t="s">
        <v>3401</v>
      </c>
      <c r="B516" s="410" t="s">
        <v>3621</v>
      </c>
      <c r="C516" s="282" t="s">
        <v>3456</v>
      </c>
      <c r="D516" s="490" t="s">
        <v>3622</v>
      </c>
      <c r="E516" s="475">
        <v>203.0</v>
      </c>
      <c r="F516" s="475">
        <v>135.0</v>
      </c>
      <c r="G516" s="475">
        <v>40.0</v>
      </c>
      <c r="H516" s="475">
        <v>2.0</v>
      </c>
      <c r="I516" s="475">
        <v>2580.0</v>
      </c>
      <c r="J516" s="475">
        <v>21.0</v>
      </c>
      <c r="K516" s="475">
        <v>450.0</v>
      </c>
      <c r="L516" s="491" t="s">
        <v>3619</v>
      </c>
      <c r="M516" s="475" t="s">
        <v>166</v>
      </c>
      <c r="N516" s="475">
        <v>3.0</v>
      </c>
      <c r="O516" s="475">
        <v>1.0</v>
      </c>
      <c r="P516" s="475" t="s">
        <v>166</v>
      </c>
      <c r="Q516" s="475" t="s">
        <v>166</v>
      </c>
      <c r="R516" s="475" t="s">
        <v>174</v>
      </c>
      <c r="S516" s="475" t="s">
        <v>166</v>
      </c>
      <c r="T516" s="492"/>
    </row>
    <row r="517">
      <c r="A517" s="409" t="s">
        <v>3401</v>
      </c>
      <c r="B517" s="410" t="s">
        <v>3621</v>
      </c>
      <c r="C517" s="174" t="s">
        <v>3456</v>
      </c>
      <c r="D517" s="478" t="s">
        <v>3623</v>
      </c>
      <c r="E517" s="477">
        <v>203.0</v>
      </c>
      <c r="F517" s="477">
        <v>135.0</v>
      </c>
      <c r="G517" s="477">
        <v>40.0</v>
      </c>
      <c r="H517" s="477">
        <v>2.0</v>
      </c>
      <c r="I517" s="477">
        <v>2580.0</v>
      </c>
      <c r="J517" s="477">
        <v>21.0</v>
      </c>
      <c r="K517" s="477">
        <v>450.0</v>
      </c>
      <c r="L517" s="479" t="s">
        <v>3619</v>
      </c>
      <c r="M517" s="477" t="s">
        <v>166</v>
      </c>
      <c r="N517" s="477">
        <v>3.0</v>
      </c>
      <c r="O517" s="477">
        <v>1.0</v>
      </c>
      <c r="P517" s="477" t="s">
        <v>166</v>
      </c>
      <c r="Q517" s="477" t="s">
        <v>166</v>
      </c>
      <c r="R517" s="477" t="s">
        <v>174</v>
      </c>
      <c r="S517" s="477" t="s">
        <v>166</v>
      </c>
      <c r="T517" s="476"/>
    </row>
    <row r="518">
      <c r="A518" s="412" t="s">
        <v>3401</v>
      </c>
      <c r="B518" s="413" t="s">
        <v>3621</v>
      </c>
      <c r="C518" s="416" t="str">
        <f t="shared" ref="C518:C519" si="106">HYPERLINK("http://www.inno3d.com/","Inno3D")</f>
        <v>Inno3D</v>
      </c>
      <c r="D518" s="478" t="s">
        <v>3624</v>
      </c>
      <c r="E518" s="477">
        <v>208.0</v>
      </c>
      <c r="F518" s="477">
        <v>134.0</v>
      </c>
      <c r="G518" s="477">
        <v>23.0</v>
      </c>
      <c r="H518" s="477">
        <v>2.0</v>
      </c>
      <c r="I518" s="477">
        <v>2520.0</v>
      </c>
      <c r="J518" s="477">
        <v>21.0</v>
      </c>
      <c r="K518" s="477">
        <v>450.0</v>
      </c>
      <c r="L518" s="479" t="s">
        <v>3619</v>
      </c>
      <c r="M518" s="477" t="s">
        <v>166</v>
      </c>
      <c r="N518" s="477">
        <v>3.0</v>
      </c>
      <c r="O518" s="477">
        <v>1.0</v>
      </c>
      <c r="P518" s="477" t="s">
        <v>166</v>
      </c>
      <c r="Q518" s="477" t="s">
        <v>166</v>
      </c>
      <c r="R518" s="477" t="s">
        <v>174</v>
      </c>
      <c r="S518" s="477" t="s">
        <v>166</v>
      </c>
      <c r="T518" s="482"/>
    </row>
    <row r="519">
      <c r="A519" s="412" t="s">
        <v>3401</v>
      </c>
      <c r="B519" s="413" t="s">
        <v>3621</v>
      </c>
      <c r="C519" s="416" t="str">
        <f t="shared" si="106"/>
        <v>Inno3D</v>
      </c>
      <c r="D519" s="478" t="s">
        <v>3618</v>
      </c>
      <c r="E519" s="477">
        <v>200.0</v>
      </c>
      <c r="F519" s="477">
        <v>159.0</v>
      </c>
      <c r="G519" s="477">
        <v>37.0</v>
      </c>
      <c r="H519" s="477">
        <v>2.0</v>
      </c>
      <c r="I519" s="477">
        <v>2580.0</v>
      </c>
      <c r="J519" s="477">
        <v>21.0</v>
      </c>
      <c r="K519" s="477">
        <v>450.0</v>
      </c>
      <c r="L519" s="479" t="s">
        <v>3619</v>
      </c>
      <c r="M519" s="477" t="s">
        <v>166</v>
      </c>
      <c r="N519" s="477">
        <v>3.0</v>
      </c>
      <c r="O519" s="477">
        <v>1.0</v>
      </c>
      <c r="P519" s="477" t="s">
        <v>166</v>
      </c>
      <c r="Q519" s="477" t="s">
        <v>166</v>
      </c>
      <c r="R519" s="477" t="s">
        <v>174</v>
      </c>
      <c r="S519" s="477" t="s">
        <v>166</v>
      </c>
      <c r="T519" s="482"/>
    </row>
    <row r="520">
      <c r="L520" s="493"/>
      <c r="M520" s="493"/>
    </row>
    <row r="521">
      <c r="L521" s="493"/>
      <c r="M521" s="493"/>
    </row>
    <row r="522">
      <c r="L522" s="493"/>
      <c r="M522" s="493"/>
    </row>
    <row r="523">
      <c r="L523" s="493"/>
      <c r="M523" s="493"/>
    </row>
    <row r="524">
      <c r="L524" s="493"/>
      <c r="M524" s="493"/>
    </row>
    <row r="525">
      <c r="L525" s="493"/>
      <c r="M525" s="493"/>
    </row>
    <row r="526">
      <c r="L526" s="493"/>
      <c r="M526" s="493"/>
    </row>
    <row r="527">
      <c r="L527" s="493"/>
      <c r="M527" s="493"/>
    </row>
    <row r="528">
      <c r="L528" s="493"/>
      <c r="M528" s="493"/>
    </row>
    <row r="529">
      <c r="L529" s="493"/>
      <c r="M529" s="493"/>
    </row>
    <row r="530">
      <c r="L530" s="493"/>
      <c r="M530" s="493"/>
    </row>
    <row r="531">
      <c r="L531" s="493"/>
      <c r="M531" s="493"/>
    </row>
    <row r="532">
      <c r="L532" s="493"/>
      <c r="M532" s="493"/>
    </row>
    <row r="533">
      <c r="L533" s="493"/>
      <c r="M533" s="493"/>
    </row>
  </sheetData>
  <autoFilter ref="$A$1:$T$519"/>
  <customSheetViews>
    <customSheetView guid="{ED4BB880-FC57-4587-A42E-3A21D3864B4F}" filter="1" showAutoFilter="1">
      <autoFilter ref="$A$1:$T$519">
        <filterColumn colId="0">
          <filters>
            <filter val="Intel"/>
          </filters>
        </filterColumn>
      </autoFilter>
    </customSheetView>
    <customSheetView guid="{5DD041BA-2ABE-4709-938D-3F4754640E1F}" filter="1" showAutoFilter="1">
      <autoFilter ref="$A$1:$T$519">
        <filterColumn colId="0">
          <filters>
            <filter val="AMD"/>
          </filters>
        </filterColumn>
        <filterColumn colId="1">
          <filters>
            <filter val="GTX 1080 Ti 11GB GDDR5X"/>
            <filter val="RTX 2060 SUPER 8GB GDDR6"/>
            <filter val="RTX 4080 16GB GDDR6X"/>
            <filter val="RTX 4060 Ti 8GB GDDR6"/>
            <filter val="RTX 4080 SUPER 16GB GDDR6X"/>
            <filter val="GTX 1070 8GB GDDR5"/>
            <filter val="GTX 1650 SUPER 4GB GDDR6"/>
            <filter val="Arc A380 6GB GDDR6"/>
            <filter val="GTX 1660 6GB GDDR5"/>
            <filter val="RTX 3050 8GB GDDR6"/>
            <filter val="RTX 2060 12GB GDDR6"/>
            <filter val="RTX 2070 8GB GDDR6"/>
            <filter val="RTX 3070 8GB GDDR6"/>
            <filter val="RTX 4090 24GB GDDR6X"/>
            <filter val="RTX 2070 SUPER 8GB GDDR6"/>
            <filter val="GTX 1070 Ti 8GB GDDR5"/>
            <filter val="GTX 1060 6GB GDDR5X"/>
            <filter val="GTX 1660 Ti 6GB GDDR6"/>
            <filter val="RTX 3060 12GB GDDR6"/>
            <filter val="GTX 1060 3GB GDDR5"/>
            <filter val="RTX 3060 8GB GDDR6"/>
            <filter val="GTX 1650 4GB GDDR5"/>
            <filter val="RTX 4060 8GB GDDR6"/>
            <filter val="GTX 1080 8GB GDDR5X"/>
            <filter val="GTX 1650 4GB GDDR6"/>
            <filter val="RTX 4060 Ti 16GB GDDR6"/>
            <filter val="RTX 2060 6GB GDDR6"/>
            <filter val="GTX 1050 Ti 4GB GDDR5"/>
            <filter val="RTX 3060 Ti 8GB GDDR6"/>
            <filter val="RTX 4070 12GB GDDR6X"/>
            <filter val="GTX 1660 SUPER 6GB GDDR6"/>
            <filter val="RX 7600 8GB GDDR6"/>
            <filter val="GTX 1060 6GB GDDR5"/>
            <filter val="RTX 3050 6GB GDDR6"/>
          </filters>
        </filterColumn>
      </autoFilter>
    </customSheetView>
    <customSheetView guid="{B8EED002-5DBD-4D9A-8090-3E4DFBD387F6}" filter="1" showAutoFilter="1">
      <autoFilter ref="$A$1:$T$519">
        <filterColumn colId="0">
          <filters>
            <filter val="Nvidia"/>
          </filters>
        </filterColumn>
      </autoFilter>
    </customSheetView>
    <customSheetView guid="{3AEE755D-1901-4D49-AD7C-CE645738D3F2}" filter="1" showAutoFilter="1">
      <autoFilter ref="$A$1:$T$519">
        <filterColumn colId="0">
          <filters>
            <filter val="Nvidia"/>
          </filters>
        </filterColumn>
        <filterColumn colId="1">
          <filters>
            <filter val="RTX 4080 16GB GDDR6X"/>
            <filter val="RTX 4060 Ti 8GB GDDR6"/>
            <filter val="RX 580 8GB GDDR5"/>
            <filter val="RX 6400 4GB GDDR6"/>
            <filter val="RTX 4080 SUPER 16GB GDDR6X"/>
            <filter val="Arc A380 6GB GDDR6"/>
            <filter val="RX 6600 XT 8GB GDDR6"/>
            <filter val="RX 6650 XT 8GB GDDR6"/>
            <filter val="RX 570 8GB GDDR5"/>
            <filter val="RTX 4090 24GB GDDR6X"/>
            <filter val="RX 6500 XT 8GB GDDR6"/>
            <filter val="RX 5500 XT 4GB GDDR6"/>
            <filter val="RTX 4060 8GB GDDR6"/>
            <filter val="RTX 4060 Ti 16GB GDDR6"/>
            <filter val="RX 5600 XT 6GB GDDR6"/>
            <filter val="RX 5700 8GB GDDR6"/>
            <filter val="RX 5500 XT 8GB GDDR6"/>
            <filter val="RX 6500 XT 4GB GDDR6"/>
            <filter val="RTX 4070 12GB GDDR6X"/>
            <filter val="RX 6600 8GB GDDR6"/>
            <filter val="Vega 56 8GB HBM2"/>
            <filter val="RX 7600 8GB GDDR6"/>
            <filter val="RX 570 4GB GDDR5"/>
          </filters>
        </filterColumn>
      </autoFilter>
    </customSheetView>
    <customSheetView guid="{E6ADA16B-A869-4D9F-9829-DC293F52D7AE}" filter="1" showAutoFilter="1">
      <autoFilter ref="$A$1:$T$519">
        <filterColumn colId="1">
          <filters>
            <filter val="RTX 2060 SUPER 8GB GDDR6"/>
            <filter val="RX 6400 4GB GDDR6"/>
            <filter val="Arc A380 6GB GDDR6"/>
            <filter val="RX 6600 XT 8GB GDDR6"/>
            <filter val="RTX 2060 12GB GDDR6"/>
            <filter val="RTX 2070 8GB GDDR6"/>
            <filter val="RX 6650 XT 8GB GDDR6"/>
            <filter val="RTX 2070 SUPER 8GB GDDR6"/>
            <filter val="RX 6500 XT 8GB GDDR6"/>
            <filter val="RTX 2060 6GB GDDR6"/>
            <filter val="RX 6500 XT 4GB GDDR6"/>
            <filter val="RX 6600 8GB GDDR6"/>
            <filter val="RX 7600 8GB GDDR6"/>
          </filters>
        </filterColumn>
        <filterColumn colId="0">
          <filters>
            <filter val="Nvidia"/>
          </filters>
        </filterColumn>
      </autoFilter>
    </customSheetView>
    <customSheetView guid="{6890B77D-197E-478A-9A61-D2A76B50FDCE}" filter="1" showAutoFilter="1">
      <autoFilter ref="$A$1:$T$533">
        <sortState ref="A1:T533">
          <sortCondition ref="C1:C533"/>
        </sortState>
      </autoFilter>
    </customSheetView>
    <customSheetView guid="{3C7B2DE6-29DD-4C1F-8F9A-8FEB4F4DF572}" filter="1" showAutoFilter="1">
      <autoFilter ref="$A$1:$T$519">
        <filterColumn colId="1">
          <filters>
            <filter val="GTX 1080 Ti 11GB GDDR5X"/>
            <filter val="GTX 1070 8GB GDDR5"/>
            <filter val="Arc A380 6GB GDDR6"/>
            <filter val="GTX 1070 Ti 8GB GDDR5"/>
            <filter val="RX 6500 XT 8GB GDDR6"/>
            <filter val="GTX 1060 6GB GDDR5X"/>
            <filter val="GTX 1060 3GB GDDR5"/>
            <filter val="GTX 1080 8GB GDDR5X"/>
            <filter val="GTX 1050 Ti 4GB GDDR5"/>
            <filter val="RX 7600 8GB GDDR6"/>
            <filter val="GTX 1060 6GB GDDR5"/>
          </filters>
        </filterColumn>
        <filterColumn colId="0">
          <filters>
            <filter val="Nvidia"/>
          </filters>
        </filterColumn>
      </autoFilter>
    </customSheetView>
    <customSheetView guid="{AB381EA2-3B0E-4B90-9A61-B1D12E4FF011}" filter="1" showAutoFilter="1">
      <autoFilter ref="$A$1:$T$519">
        <filterColumn colId="4">
          <customFilters>
            <customFilter operator="lessThanOrEqual" val="185"/>
          </customFilters>
        </filterColumn>
      </autoFilter>
    </customSheetView>
    <customSheetView guid="{DE694868-D39E-4DF2-9144-08E49C0746DC}" filter="1" showAutoFilter="1">
      <autoFilter ref="$A$1:$T$519">
        <filterColumn colId="1">
          <filters>
            <filter val="RTX 4080 16GB GDDR6X"/>
            <filter val="RTX 4060 Ti 8GB GDDR6"/>
            <filter val="RTX 4080 SUPER 16GB GDDR6X"/>
            <filter val="Arc A380 6GB GDDR6"/>
            <filter val="RTX 3050 8GB GDDR6"/>
            <filter val="RTX 2060 12GB GDDR6"/>
            <filter val="RTX 4090 24GB GDDR6X"/>
            <filter val="RX 5500 XT 4GB GDDR6"/>
            <filter val="RTX 3060 8GB GDDR6"/>
            <filter val="RTX 4060 8GB GDDR6"/>
            <filter val="RTX 4060 Ti 16GB GDDR6"/>
            <filter val="RX 5600 XT 6GB GDDR6"/>
            <filter val="RX 5500 XT 8GB GDDR6"/>
            <filter val="RTX 4070 12GB GDDR6X"/>
            <filter val="RTX 3050 6GB GDDR6"/>
          </filters>
        </filterColumn>
        <filterColumn colId="0">
          <filters>
            <filter val="AMD"/>
          </filters>
        </filterColumn>
      </autoFilter>
    </customSheetView>
    <customSheetView guid="{A2146494-90CE-4744-8428-68CBD6BCC1D5}" filter="1" showAutoFilter="1">
      <autoFilter ref="$A$1:$T$519">
        <filterColumn colId="6">
          <customFilters>
            <customFilter operator="lessThanOrEqual" val="44"/>
          </customFilters>
        </filterColumn>
      </autoFilter>
    </customSheetView>
    <customSheetView guid="{9468C949-8649-487B-83B0-76EF4EC81AE2}" filter="1" showAutoFilter="1">
      <autoFilter ref="$A$1:$T$519">
        <filterColumn colId="1">
          <filters>
            <filter val="GTX 1080 Ti 11GB GDDR5X"/>
            <filter val="RTX 2060 SUPER 8GB GDDR6"/>
            <filter val="RTX 4080 16GB GDDR6X"/>
            <filter val="RTX 4060 Ti 8GB GDDR6"/>
            <filter val="RX 580 8GB GDDR5"/>
            <filter val="RTX 4080 SUPER 16GB GDDR6X"/>
            <filter val="GTX 1070 8GB GDDR5"/>
            <filter val="GTX 1650 SUPER 4GB GDDR6"/>
            <filter val="Arc A380 6GB GDDR6"/>
            <filter val="GTX 1660 6GB GDDR5"/>
            <filter val="RTX 3050 8GB GDDR6"/>
            <filter val="RTX 2060 12GB GDDR6"/>
            <filter val="RTX 2070 8GB GDDR6"/>
            <filter val="RX 570 8GB GDDR5"/>
            <filter val="RTX 3070 8GB GDDR6"/>
            <filter val="RTX 4090 24GB GDDR6X"/>
            <filter val="RTX 2070 SUPER 8GB GDDR6"/>
            <filter val="GTX 1070 Ti 8GB GDDR5"/>
            <filter val="GTX 1060 6GB GDDR5X"/>
            <filter val="GTX 1660 Ti 6GB GDDR6"/>
            <filter val="RTX 3060 12GB GDDR6"/>
            <filter val="GTX 1060 3GB GDDR5"/>
            <filter val="RTX 3060 8GB GDDR6"/>
            <filter val="GTX 1650 4GB GDDR5"/>
            <filter val="RTX 4060 8GB GDDR6"/>
            <filter val="GTX 1080 8GB GDDR5X"/>
            <filter val="GTX 1650 4GB GDDR6"/>
            <filter val="RTX 4060 Ti 16GB GDDR6"/>
            <filter val="RTX 2060 6GB GDDR6"/>
            <filter val="GTX 1050 Ti 4GB GDDR5"/>
            <filter val="RTX 3060 Ti 8GB GDDR6"/>
            <filter val="RTX 4070 12GB GDDR6X"/>
            <filter val="GTX 1660 SUPER 6GB GDDR6"/>
            <filter val="GTX 1060 6GB GDDR5"/>
            <filter val="RX 570 4GB GDDR5"/>
            <filter val="RTX 3050 6GB GDDR6"/>
          </filters>
        </filterColumn>
        <filterColumn colId="0">
          <filters>
            <filter val="AMD"/>
          </filters>
        </filterColumn>
      </autoFilter>
    </customSheetView>
    <customSheetView guid="{B1A53A6D-003C-4B18-89BB-0984FCCD638C}" filter="1" showAutoFilter="1">
      <autoFilter ref="$A$1:$T$519">
        <filterColumn colId="0">
          <filters>
            <filter val="Nvidia"/>
          </filters>
        </filterColumn>
        <filterColumn colId="1">
          <filters>
            <filter val="RX 580 8GB GDDR5"/>
            <filter val="RX 6400 4GB GDDR6"/>
            <filter val="Arc A380 6GB GDDR6"/>
            <filter val="RTX 3050 8GB GDDR6"/>
            <filter val="RX 6600 XT 8GB GDDR6"/>
            <filter val="RX 6650 XT 8GB GDDR6"/>
            <filter val="RX 570 8GB GDDR5"/>
            <filter val="RTX 3070 8GB GDDR6"/>
            <filter val="RX 6500 XT 8GB GDDR6"/>
            <filter val="RTX 3060 12GB GDDR6"/>
            <filter val="RX 5500 XT 4GB GDDR6"/>
            <filter val="RTX 3060 8GB GDDR6"/>
            <filter val="RX 5600 XT 6GB GDDR6"/>
            <filter val="RX 5700 8GB GDDR6"/>
            <filter val="RX 5500 XT 8GB GDDR6"/>
            <filter val="RX 6500 XT 4GB GDDR6"/>
            <filter val="RTX 3060 Ti 8GB GDDR6"/>
            <filter val="RX 6600 8GB GDDR6"/>
            <filter val="Vega 56 8GB HBM2"/>
            <filter val="RX 7600 8GB GDDR6"/>
            <filter val="RX 570 4GB GDDR5"/>
            <filter val="RTX 3050 6GB GDDR6"/>
          </filters>
        </filterColumn>
      </autoFilter>
    </customSheetView>
    <customSheetView guid="{9F983350-A018-4889-9BD8-452583EBD780}" filter="1" showAutoFilter="1">
      <autoFilter ref="$A$1:$T$519">
        <filterColumn colId="1">
          <filters>
            <filter val="RTX 4080 16GB GDDR6X"/>
            <filter val="RTX 4060 Ti 8GB GDDR6"/>
            <filter val="RTX 4080 SUPER 16GB GDDR6X"/>
            <filter val="Arc A380 6GB GDDR6"/>
            <filter val="RTX 3050 8GB GDDR6"/>
            <filter val="RTX 2060 12GB GDDR6"/>
            <filter val="RTX 4090 24GB GDDR6X"/>
            <filter val="RTX 3060 8GB GDDR6"/>
            <filter val="RTX 4060 8GB GDDR6"/>
            <filter val="RTX 4060 Ti 16GB GDDR6"/>
            <filter val="RTX 4070 12GB GDDR6X"/>
            <filter val="Vega 56 8GB HBM2"/>
            <filter val="RTX 3050 6GB GDDR6"/>
          </filters>
        </filterColumn>
        <filterColumn colId="0">
          <filters>
            <filter val="AMD"/>
          </filters>
        </filterColumn>
      </autoFilter>
    </customSheetView>
    <customSheetView guid="{81C2CD55-3E6E-46FA-8685-6BA37EC7EAD2}" filter="1" showAutoFilter="1">
      <autoFilter ref="$A$1:$T$519">
        <filterColumn colId="1">
          <filters>
            <filter val="GTX 1650 SUPER 4GB GDDR6"/>
            <filter val="Arc A380 6GB GDDR6"/>
            <filter val="GTX 1660 6GB GDDR5"/>
            <filter val="RX 6500 XT 8GB GDDR6"/>
            <filter val="GTX 1660 Ti 6GB GDDR6"/>
            <filter val="GTX 1650 4GB GDDR5"/>
            <filter val="GTX 1650 4GB GDDR6"/>
            <filter val="GTX 1660 SUPER 6GB GDDR6"/>
            <filter val="RX 7600 8GB GDDR6"/>
          </filters>
        </filterColumn>
        <filterColumn colId="0">
          <filters>
            <filter val="Nvidia"/>
          </filters>
        </filterColumn>
      </autoFilter>
    </customSheetView>
    <customSheetView guid="{08559E5C-8D61-4E9F-89F9-351862163AA1}" filter="1" showAutoFilter="1">
      <autoFilter ref="$W$119"/>
    </customSheetView>
    <customSheetView guid="{D92EF7D4-0A6D-466A-998E-A58A18D7B92D}" filter="1" showAutoFilter="1">
      <autoFilter ref="$A$1:$T$519">
        <filterColumn colId="18">
          <filters>
            <filter val="Y"/>
          </filters>
        </filterColumn>
      </autoFilter>
    </customSheetView>
    <customSheetView guid="{8ED02128-7C2D-4648-810F-1691FA522EA1}" filter="1" showAutoFilter="1">
      <autoFilter ref="$A$1:$T$519">
        <filterColumn colId="0">
          <filters>
            <filter val="AMD"/>
          </filters>
        </filterColumn>
        <filterColumn colId="1">
          <filters>
            <filter val="GTX 1080 Ti 11GB GDDR5X"/>
            <filter val="RTX 2060 SUPER 8GB GDDR6"/>
            <filter val="RTX 4080 16GB GDDR6X"/>
            <filter val="RTX 4060 Ti 8GB GDDR6"/>
            <filter val="RX 6400 4GB GDDR6"/>
            <filter val="RTX 4080 SUPER 16GB GDDR6X"/>
            <filter val="GTX 1070 8GB GDDR5"/>
            <filter val="GTX 1650 SUPER 4GB GDDR6"/>
            <filter val="Arc A380 6GB GDDR6"/>
            <filter val="GTX 1660 6GB GDDR5"/>
            <filter val="RTX 3050 8GB GDDR6"/>
            <filter val="RX 6600 XT 8GB GDDR6"/>
            <filter val="RTX 2060 12GB GDDR6"/>
            <filter val="RTX 2070 8GB GDDR6"/>
            <filter val="RX 6650 XT 8GB GDDR6"/>
            <filter val="RTX 3070 8GB GDDR6"/>
            <filter val="RTX 4090 24GB GDDR6X"/>
            <filter val="RTX 2070 SUPER 8GB GDDR6"/>
            <filter val="GTX 1070 Ti 8GB GDDR5"/>
            <filter val="RX 6500 XT 8GB GDDR6"/>
            <filter val="GTX 1060 6GB GDDR5X"/>
            <filter val="GTX 1660 Ti 6GB GDDR6"/>
            <filter val="RTX 3060 12GB GDDR6"/>
            <filter val="GTX 1060 3GB GDDR5"/>
            <filter val="RTX 3060 8GB GDDR6"/>
            <filter val="GTX 1650 4GB GDDR5"/>
            <filter val="RTX 4060 8GB GDDR6"/>
            <filter val="GTX 1080 8GB GDDR5X"/>
            <filter val="GTX 1650 4GB GDDR6"/>
            <filter val="RTX 4060 Ti 16GB GDDR6"/>
            <filter val="RTX 2060 6GB GDDR6"/>
            <filter val="GTX 1050 Ti 4GB GDDR5"/>
            <filter val="RX 6500 XT 4GB GDDR6"/>
            <filter val="RTX 3060 Ti 8GB GDDR6"/>
            <filter val="RTX 4070 12GB GDDR6X"/>
            <filter val="GTX 1660 SUPER 6GB GDDR6"/>
            <filter val="RX 6600 8GB GDDR6"/>
            <filter val="GTX 1060 6GB GDDR5"/>
            <filter val="RTX 3050 6GB GDDR6"/>
          </filters>
        </filterColumn>
      </autoFilter>
    </customSheetView>
    <customSheetView guid="{23F8A8D4-BF6F-443E-A7CB-443445CFA23F}" filter="1" showAutoFilter="1">
      <autoFilter ref="$A$1:$T$519">
        <filterColumn colId="0">
          <filters>
            <filter val="AMD"/>
          </filters>
        </filterColumn>
      </autoFilter>
    </customSheetView>
  </customSheetViews>
  <conditionalFormatting sqref="E2:E519">
    <cfRule type="colorScale" priority="1">
      <colorScale>
        <cfvo type="min"/>
        <cfvo type="formula" val="170"/>
        <cfvo type="max"/>
        <color rgb="FF57BB8A"/>
        <color rgb="FFFFD666"/>
        <color rgb="FFE67C73"/>
      </colorScale>
    </cfRule>
  </conditionalFormatting>
  <conditionalFormatting sqref="F2:F519">
    <cfRule type="colorScale" priority="2">
      <colorScale>
        <cfvo type="min"/>
        <cfvo type="percentile" val="50"/>
        <cfvo type="max"/>
        <color rgb="FF57BB8A"/>
        <color rgb="FFFFD666"/>
        <color rgb="FFE67C73"/>
      </colorScale>
    </cfRule>
  </conditionalFormatting>
  <conditionalFormatting sqref="G2:G519">
    <cfRule type="colorScale" priority="3">
      <colorScale>
        <cfvo type="formula" val="20"/>
        <cfvo type="formula" val="40"/>
        <cfvo type="formula" val="60"/>
        <color rgb="FF57BB8A"/>
        <color rgb="FFFFD666"/>
        <color rgb="FFE67C73"/>
      </colorScale>
    </cfRule>
  </conditionalFormatting>
  <conditionalFormatting sqref="K2:K519">
    <cfRule type="colorScale" priority="4">
      <colorScale>
        <cfvo type="min"/>
        <cfvo type="percentile" val="50"/>
        <cfvo type="max"/>
        <color rgb="FF57BB8A"/>
        <color rgb="FFFFD666"/>
        <color rgb="FFE67C73"/>
      </colorScale>
    </cfRule>
  </conditionalFormatting>
  <conditionalFormatting sqref="I2:I519">
    <cfRule type="colorScale" priority="5">
      <colorScale>
        <cfvo type="min"/>
        <cfvo type="percentile" val="50"/>
        <cfvo type="max"/>
        <color rgb="FFE67C73"/>
        <color rgb="FFFFD666"/>
        <color rgb="FF57BB8A"/>
      </colorScale>
    </cfRule>
  </conditionalFormatting>
  <conditionalFormatting sqref="H2:H519">
    <cfRule type="colorScale" priority="6">
      <colorScale>
        <cfvo type="formula" val="1"/>
        <cfvo type="formula" val="2"/>
        <cfvo type="formula" val="3"/>
        <color rgb="FF57BB8A"/>
        <color rgb="FFFFD666"/>
        <color rgb="FFE67C73"/>
      </colorScale>
    </cfRule>
  </conditionalFormatting>
  <conditionalFormatting sqref="J2:J519">
    <cfRule type="colorScale" priority="7">
      <colorScale>
        <cfvo type="min"/>
        <cfvo type="percentile" val="50"/>
        <cfvo type="max"/>
        <color rgb="FFE67C73"/>
        <color rgb="FFFFD666"/>
        <color rgb="FF57BB8A"/>
      </colorScale>
    </cfRule>
  </conditionalFormatting>
  <conditionalFormatting sqref="M2:Q519">
    <cfRule type="colorScale" priority="8">
      <colorScale>
        <cfvo type="formula" val="1"/>
        <cfvo type="formula" val="2"/>
        <cfvo type="formula" val="3"/>
        <color rgb="FFE67C73"/>
        <color rgb="FFFFD666"/>
        <color rgb="FF57BB8A"/>
      </colorScale>
    </cfRule>
  </conditionalFormatting>
  <conditionalFormatting sqref="R6:S519">
    <cfRule type="cellIs" dxfId="3" priority="9" operator="equal">
      <formula>"Y"</formula>
    </cfRule>
  </conditionalFormatting>
  <hyperlinks>
    <hyperlink r:id="rId2" ref="D7"/>
    <hyperlink r:id="rId3" ref="D9"/>
    <hyperlink r:id="rId4" ref="D12"/>
    <hyperlink r:id="rId5" ref="D13"/>
    <hyperlink r:id="rId6" ref="D14"/>
    <hyperlink r:id="rId7" ref="D16"/>
    <hyperlink r:id="rId8" ref="D17"/>
    <hyperlink r:id="rId9" ref="D18"/>
    <hyperlink r:id="rId10" location="kf" ref="D19"/>
    <hyperlink r:id="rId11" location="kf" ref="D20"/>
    <hyperlink r:id="rId12" ref="D21"/>
    <hyperlink r:id="rId13" ref="D22"/>
    <hyperlink r:id="rId14" ref="D23"/>
    <hyperlink r:id="rId15" ref="C24"/>
    <hyperlink r:id="rId16" ref="D24"/>
    <hyperlink r:id="rId17" ref="D25"/>
    <hyperlink r:id="rId18" ref="C26"/>
    <hyperlink r:id="rId19" ref="D26"/>
    <hyperlink r:id="rId20" ref="D27"/>
    <hyperlink r:id="rId21" ref="D28"/>
    <hyperlink r:id="rId22" location="kf" ref="D29"/>
    <hyperlink r:id="rId23" ref="D30"/>
    <hyperlink r:id="rId24" ref="D31"/>
    <hyperlink r:id="rId25" ref="D32"/>
    <hyperlink r:id="rId26" ref="D33"/>
    <hyperlink r:id="rId27" ref="C34"/>
    <hyperlink r:id="rId28" ref="D34"/>
    <hyperlink r:id="rId29" ref="C35"/>
    <hyperlink r:id="rId30" ref="D35"/>
    <hyperlink r:id="rId31" ref="C36"/>
    <hyperlink r:id="rId32" ref="D36"/>
    <hyperlink r:id="rId33" ref="D37"/>
    <hyperlink r:id="rId34" ref="D38"/>
    <hyperlink r:id="rId35" ref="C39"/>
    <hyperlink r:id="rId36" ref="D39"/>
    <hyperlink r:id="rId37" ref="D40"/>
    <hyperlink r:id="rId38" ref="D41"/>
    <hyperlink r:id="rId39" ref="D42"/>
    <hyperlink r:id="rId40" ref="D43"/>
    <hyperlink r:id="rId41" ref="D44"/>
    <hyperlink r:id="rId42" ref="D45"/>
    <hyperlink r:id="rId43" ref="C46"/>
    <hyperlink r:id="rId44" ref="D46"/>
    <hyperlink r:id="rId45" ref="D47"/>
    <hyperlink r:id="rId46" ref="D48"/>
    <hyperlink r:id="rId47" ref="D49"/>
    <hyperlink r:id="rId48" ref="D50"/>
    <hyperlink r:id="rId49" ref="C51"/>
    <hyperlink r:id="rId50" ref="D51"/>
    <hyperlink r:id="rId51" ref="C52"/>
    <hyperlink r:id="rId52" ref="D52"/>
    <hyperlink r:id="rId53" ref="C53"/>
    <hyperlink r:id="rId54" ref="D53"/>
    <hyperlink r:id="rId55" ref="C54"/>
    <hyperlink r:id="rId56" ref="D54"/>
    <hyperlink r:id="rId57" ref="C55"/>
    <hyperlink r:id="rId58" ref="D55"/>
    <hyperlink r:id="rId59" ref="C56"/>
    <hyperlink r:id="rId60" ref="D56"/>
    <hyperlink r:id="rId61" ref="C57"/>
    <hyperlink r:id="rId62" ref="D57"/>
    <hyperlink r:id="rId63" ref="C58"/>
    <hyperlink r:id="rId64" ref="D58"/>
    <hyperlink r:id="rId65" ref="C59"/>
    <hyperlink r:id="rId66" ref="D59"/>
    <hyperlink r:id="rId67" ref="C60"/>
    <hyperlink r:id="rId68" ref="D60"/>
    <hyperlink r:id="rId69" ref="C61"/>
    <hyperlink r:id="rId70" ref="D61"/>
    <hyperlink r:id="rId71" ref="C62"/>
    <hyperlink r:id="rId72" location="kf" ref="D62"/>
    <hyperlink r:id="rId73" ref="C63"/>
    <hyperlink r:id="rId74" location="kf" ref="D63"/>
    <hyperlink r:id="rId75" ref="C64"/>
    <hyperlink r:id="rId76" location="kf" ref="D64"/>
    <hyperlink r:id="rId77" ref="C65"/>
    <hyperlink r:id="rId78" location="kf" ref="D65"/>
    <hyperlink r:id="rId79" ref="C66"/>
    <hyperlink r:id="rId80" ref="C67"/>
    <hyperlink r:id="rId81" ref="C68"/>
    <hyperlink r:id="rId82" ref="C69"/>
    <hyperlink r:id="rId83" ref="C70"/>
    <hyperlink r:id="rId84" ref="C71"/>
    <hyperlink r:id="rId85" ref="C72"/>
    <hyperlink r:id="rId86" ref="C73"/>
    <hyperlink r:id="rId87" ref="D73"/>
    <hyperlink r:id="rId88" ref="C74"/>
    <hyperlink r:id="rId89" ref="D74"/>
    <hyperlink r:id="rId90" ref="C75"/>
    <hyperlink r:id="rId91" ref="D75"/>
    <hyperlink r:id="rId92" ref="C76"/>
    <hyperlink r:id="rId93" ref="D76"/>
    <hyperlink r:id="rId94" ref="C77"/>
    <hyperlink r:id="rId95" ref="D77"/>
    <hyperlink r:id="rId96" ref="C78"/>
    <hyperlink r:id="rId97" ref="D78"/>
    <hyperlink r:id="rId98" ref="C79"/>
    <hyperlink r:id="rId99" ref="D79"/>
    <hyperlink r:id="rId100" ref="C80"/>
    <hyperlink r:id="rId101" ref="D80"/>
    <hyperlink r:id="rId102" ref="C81"/>
    <hyperlink r:id="rId103" ref="D81"/>
    <hyperlink r:id="rId104" ref="C82"/>
    <hyperlink r:id="rId105" ref="D82"/>
    <hyperlink r:id="rId106" ref="C83"/>
    <hyperlink r:id="rId107" ref="D83"/>
    <hyperlink r:id="rId108" ref="C84"/>
    <hyperlink r:id="rId109" ref="D84"/>
    <hyperlink r:id="rId110" ref="C85"/>
    <hyperlink r:id="rId111" ref="D85"/>
    <hyperlink r:id="rId112" ref="C86"/>
    <hyperlink r:id="rId113" ref="D86"/>
    <hyperlink r:id="rId114" ref="C87"/>
    <hyperlink r:id="rId115" ref="D87"/>
    <hyperlink r:id="rId116" ref="C88"/>
    <hyperlink r:id="rId117" ref="D88"/>
    <hyperlink r:id="rId118" ref="D89"/>
    <hyperlink r:id="rId119" ref="D90"/>
    <hyperlink r:id="rId120" ref="D91"/>
    <hyperlink r:id="rId121" location="kf" ref="D92"/>
    <hyperlink r:id="rId122" location="kf" ref="D93"/>
    <hyperlink r:id="rId123" ref="D95"/>
    <hyperlink r:id="rId124" ref="D96"/>
    <hyperlink r:id="rId125" ref="D97"/>
    <hyperlink r:id="rId126" ref="D98"/>
    <hyperlink r:id="rId127" ref="D99"/>
    <hyperlink r:id="rId128" ref="C100"/>
    <hyperlink r:id="rId129" ref="D100"/>
    <hyperlink r:id="rId130" ref="C101"/>
    <hyperlink r:id="rId131" ref="D101"/>
    <hyperlink r:id="rId132" ref="D102"/>
    <hyperlink r:id="rId133" ref="C103"/>
    <hyperlink r:id="rId134" ref="D103"/>
    <hyperlink r:id="rId135" ref="D104"/>
    <hyperlink r:id="rId136" ref="D105"/>
    <hyperlink r:id="rId137" location="kf" ref="D106"/>
    <hyperlink r:id="rId138" location="kf" ref="D107"/>
    <hyperlink r:id="rId139" ref="D109"/>
    <hyperlink r:id="rId140" ref="D110"/>
    <hyperlink r:id="rId141" ref="D111"/>
    <hyperlink r:id="rId142" ref="D112"/>
    <hyperlink r:id="rId143" ref="D113"/>
    <hyperlink r:id="rId144" ref="D114"/>
    <hyperlink r:id="rId145" ref="D115"/>
    <hyperlink r:id="rId146" ref="D116"/>
    <hyperlink r:id="rId147" ref="D117"/>
    <hyperlink r:id="rId148" ref="C118"/>
    <hyperlink r:id="rId149" ref="D118"/>
    <hyperlink r:id="rId150" ref="C119"/>
    <hyperlink r:id="rId151" location="kf" ref="D121"/>
    <hyperlink r:id="rId152" ref="D122"/>
    <hyperlink r:id="rId153" ref="D123"/>
    <hyperlink r:id="rId154" ref="D129"/>
    <hyperlink r:id="rId155" ref="D131"/>
    <hyperlink r:id="rId156" ref="D132"/>
    <hyperlink r:id="rId157" ref="D133"/>
    <hyperlink r:id="rId158" ref="D135"/>
    <hyperlink r:id="rId159" ref="C141"/>
    <hyperlink r:id="rId160" location="_pp=0_625_44" ref="D141"/>
    <hyperlink r:id="rId161" ref="D143"/>
    <hyperlink r:id="rId162" ref="D144"/>
    <hyperlink r:id="rId163" ref="D145"/>
    <hyperlink r:id="rId164" ref="D146"/>
    <hyperlink r:id="rId165" ref="D147"/>
    <hyperlink r:id="rId166" ref="D148"/>
    <hyperlink r:id="rId167" ref="D149"/>
    <hyperlink r:id="rId168" ref="D150"/>
    <hyperlink r:id="rId169" ref="D151"/>
    <hyperlink r:id="rId170" ref="D152"/>
    <hyperlink r:id="rId171" ref="D153"/>
    <hyperlink r:id="rId172" ref="D154"/>
    <hyperlink r:id="rId173" ref="D155"/>
    <hyperlink r:id="rId174" ref="D156"/>
    <hyperlink r:id="rId175" ref="D157"/>
    <hyperlink r:id="rId176" ref="C158"/>
    <hyperlink r:id="rId177" ref="D158"/>
    <hyperlink r:id="rId178" ref="C159"/>
    <hyperlink r:id="rId179" ref="D159"/>
    <hyperlink r:id="rId180" ref="C160"/>
    <hyperlink r:id="rId181" ref="D160"/>
    <hyperlink r:id="rId182" ref="D161"/>
    <hyperlink r:id="rId183" ref="D162"/>
    <hyperlink r:id="rId184" ref="D163"/>
    <hyperlink r:id="rId185" ref="D164"/>
    <hyperlink r:id="rId186" ref="D166"/>
    <hyperlink r:id="rId187" ref="C167"/>
    <hyperlink r:id="rId188" ref="C168"/>
    <hyperlink r:id="rId189" ref="C169"/>
    <hyperlink r:id="rId190" ref="C170"/>
    <hyperlink r:id="rId191" ref="D170"/>
    <hyperlink r:id="rId192" ref="D175"/>
    <hyperlink r:id="rId193" ref="D176"/>
    <hyperlink r:id="rId194" ref="D177"/>
    <hyperlink r:id="rId195" ref="C178"/>
    <hyperlink r:id="rId196" ref="D178"/>
    <hyperlink r:id="rId197" ref="C179"/>
    <hyperlink r:id="rId198" ref="D179"/>
    <hyperlink r:id="rId199" ref="D181"/>
    <hyperlink r:id="rId200" ref="D182"/>
    <hyperlink r:id="rId201" ref="D183"/>
    <hyperlink r:id="rId202" ref="D184"/>
    <hyperlink r:id="rId203" ref="D185"/>
    <hyperlink r:id="rId204" ref="D186"/>
    <hyperlink r:id="rId205" ref="D187"/>
    <hyperlink r:id="rId206" ref="D188"/>
    <hyperlink r:id="rId207" ref="D189"/>
    <hyperlink r:id="rId208" ref="D190"/>
    <hyperlink r:id="rId209" ref="D191"/>
    <hyperlink r:id="rId210" ref="D193"/>
    <hyperlink r:id="rId211" ref="C194"/>
    <hyperlink r:id="rId212" ref="D194"/>
    <hyperlink r:id="rId213" ref="C197"/>
    <hyperlink r:id="rId214" location="_pp=0_625_61" ref="D197"/>
    <hyperlink r:id="rId215" ref="D198"/>
    <hyperlink r:id="rId216" ref="D199"/>
    <hyperlink r:id="rId217" ref="D200"/>
    <hyperlink r:id="rId218" ref="D201"/>
    <hyperlink r:id="rId219" ref="C202"/>
    <hyperlink r:id="rId220" ref="D202"/>
    <hyperlink r:id="rId221" ref="D203"/>
    <hyperlink r:id="rId222" ref="D204"/>
    <hyperlink r:id="rId223" ref="D205"/>
    <hyperlink r:id="rId224" ref="D207"/>
    <hyperlink r:id="rId225" ref="C208"/>
    <hyperlink r:id="rId226" location="kf" ref="D210"/>
    <hyperlink r:id="rId227" ref="D211"/>
    <hyperlink r:id="rId228" ref="C212"/>
    <hyperlink r:id="rId229" ref="C213"/>
    <hyperlink r:id="rId230" ref="D213"/>
    <hyperlink r:id="rId231" ref="D214"/>
    <hyperlink r:id="rId232" ref="D215"/>
    <hyperlink r:id="rId233" ref="D216"/>
    <hyperlink r:id="rId234" ref="D217"/>
    <hyperlink r:id="rId235" ref="D219"/>
    <hyperlink r:id="rId236" ref="C222"/>
    <hyperlink r:id="rId237" location="_pp=0_625_37" ref="D222"/>
    <hyperlink r:id="rId238" ref="D223"/>
    <hyperlink r:id="rId239" ref="D224"/>
    <hyperlink r:id="rId240" ref="D225"/>
    <hyperlink r:id="rId241" ref="D226"/>
    <hyperlink r:id="rId242" ref="C227"/>
    <hyperlink r:id="rId243" ref="D227"/>
    <hyperlink r:id="rId244" ref="D228"/>
    <hyperlink r:id="rId245" ref="D229"/>
    <hyperlink r:id="rId246" ref="D230"/>
    <hyperlink r:id="rId247" ref="D231"/>
    <hyperlink r:id="rId248" ref="D232"/>
    <hyperlink r:id="rId249" ref="D234"/>
    <hyperlink r:id="rId250" ref="C235"/>
    <hyperlink r:id="rId251" ref="C236"/>
    <hyperlink r:id="rId252" ref="D236"/>
    <hyperlink r:id="rId253" ref="C237"/>
    <hyperlink r:id="rId254" ref="C238"/>
    <hyperlink r:id="rId255" ref="D238"/>
    <hyperlink r:id="rId256" ref="D240"/>
    <hyperlink r:id="rId257" ref="D241"/>
    <hyperlink r:id="rId258" ref="C242"/>
    <hyperlink r:id="rId259" ref="D242"/>
    <hyperlink r:id="rId260" ref="D243"/>
    <hyperlink r:id="rId261" ref="D244"/>
    <hyperlink r:id="rId262" ref="D245"/>
    <hyperlink r:id="rId263" ref="D246"/>
    <hyperlink r:id="rId264" ref="D247"/>
    <hyperlink r:id="rId265" ref="D248"/>
    <hyperlink r:id="rId266" ref="D250"/>
    <hyperlink r:id="rId267" ref="D251"/>
    <hyperlink r:id="rId268" ref="D254"/>
    <hyperlink r:id="rId269" ref="D255"/>
    <hyperlink r:id="rId270" ref="D256"/>
    <hyperlink r:id="rId271" ref="D257"/>
    <hyperlink r:id="rId272" ref="D258"/>
    <hyperlink r:id="rId273" ref="D259"/>
    <hyperlink r:id="rId274" ref="D260"/>
    <hyperlink r:id="rId275" ref="D261"/>
    <hyperlink r:id="rId276" ref="D262"/>
    <hyperlink r:id="rId277" ref="D264"/>
    <hyperlink r:id="rId278" ref="C265"/>
    <hyperlink r:id="rId279" ref="C266"/>
    <hyperlink r:id="rId280" ref="C267"/>
    <hyperlink r:id="rId281" ref="D267"/>
    <hyperlink r:id="rId282" location="kf" ref="D269"/>
    <hyperlink r:id="rId283" ref="D270"/>
    <hyperlink r:id="rId284" ref="C271"/>
    <hyperlink r:id="rId285" ref="D271"/>
    <hyperlink r:id="rId286" ref="D272"/>
    <hyperlink r:id="rId287" ref="D273"/>
    <hyperlink r:id="rId288" ref="D274"/>
    <hyperlink r:id="rId289" ref="D275"/>
    <hyperlink r:id="rId290" ref="D276"/>
    <hyperlink r:id="rId291" ref="D277"/>
    <hyperlink r:id="rId292" ref="D278"/>
    <hyperlink r:id="rId293" ref="D279"/>
    <hyperlink r:id="rId294" ref="D280"/>
    <hyperlink r:id="rId295" ref="D281"/>
    <hyperlink r:id="rId296" ref="D283"/>
    <hyperlink r:id="rId297" ref="C287"/>
    <hyperlink r:id="rId298" location="_pp=0_625_36" ref="D287"/>
    <hyperlink r:id="rId299" ref="D288"/>
    <hyperlink r:id="rId300" ref="D289"/>
    <hyperlink r:id="rId301" ref="D290"/>
    <hyperlink r:id="rId302" ref="D291"/>
    <hyperlink r:id="rId303" ref="D292"/>
    <hyperlink r:id="rId304" ref="D293"/>
    <hyperlink r:id="rId305" ref="D297"/>
    <hyperlink r:id="rId306" ref="D298"/>
    <hyperlink r:id="rId307" ref="D299"/>
    <hyperlink r:id="rId308" ref="D300"/>
    <hyperlink r:id="rId309" ref="D302"/>
    <hyperlink r:id="rId310" ref="C303"/>
    <hyperlink r:id="rId311" ref="C304"/>
    <hyperlink r:id="rId312" ref="D304"/>
    <hyperlink r:id="rId313" ref="C305"/>
    <hyperlink r:id="rId314" location="kf" ref="D307"/>
    <hyperlink r:id="rId315" ref="D308"/>
    <hyperlink r:id="rId316" ref="D309"/>
    <hyperlink r:id="rId317" ref="C310"/>
    <hyperlink r:id="rId318" ref="D310"/>
    <hyperlink r:id="rId319" ref="D311"/>
    <hyperlink r:id="rId320" ref="D312"/>
    <hyperlink r:id="rId321" ref="D313"/>
    <hyperlink r:id="rId322" ref="D314"/>
    <hyperlink r:id="rId323" ref="D315"/>
    <hyperlink r:id="rId324" ref="D316"/>
    <hyperlink r:id="rId325" ref="D318"/>
    <hyperlink r:id="rId326" ref="D320"/>
    <hyperlink r:id="rId327" ref="D322"/>
    <hyperlink r:id="rId328" ref="D323"/>
    <hyperlink r:id="rId329" ref="D324"/>
    <hyperlink r:id="rId330" ref="D325"/>
    <hyperlink r:id="rId331" ref="D326"/>
    <hyperlink r:id="rId332" ref="C327"/>
    <hyperlink r:id="rId333" ref="D327"/>
    <hyperlink r:id="rId334" ref="D328"/>
    <hyperlink r:id="rId335" ref="D329"/>
    <hyperlink r:id="rId336" ref="D330"/>
    <hyperlink r:id="rId337" ref="D331"/>
    <hyperlink r:id="rId338" ref="D332"/>
    <hyperlink r:id="rId339" ref="D333"/>
    <hyperlink r:id="rId340" ref="D335"/>
    <hyperlink r:id="rId341" ref="C336"/>
    <hyperlink r:id="rId342" ref="C337"/>
    <hyperlink r:id="rId343" ref="D337"/>
    <hyperlink r:id="rId344" ref="C338"/>
    <hyperlink r:id="rId345" ref="D338"/>
    <hyperlink r:id="rId346" location="kf" ref="D340"/>
    <hyperlink r:id="rId347" ref="D342"/>
    <hyperlink r:id="rId348" ref="D343"/>
    <hyperlink r:id="rId349" ref="D344"/>
    <hyperlink r:id="rId350" ref="D345"/>
    <hyperlink r:id="rId351" ref="D346"/>
    <hyperlink r:id="rId352" ref="D348"/>
    <hyperlink r:id="rId353" ref="D350"/>
    <hyperlink r:id="rId354" ref="D351"/>
    <hyperlink r:id="rId355" ref="D352"/>
    <hyperlink r:id="rId356" ref="D353"/>
    <hyperlink r:id="rId357" ref="C354"/>
    <hyperlink r:id="rId358" ref="D354"/>
    <hyperlink r:id="rId359" ref="C355"/>
    <hyperlink r:id="rId360" location="spec" ref="D355"/>
    <hyperlink r:id="rId361" ref="C356"/>
    <hyperlink r:id="rId362" ref="D357"/>
    <hyperlink r:id="rId363" ref="D358"/>
    <hyperlink r:id="rId364" ref="D360"/>
    <hyperlink r:id="rId365" ref="D361"/>
    <hyperlink r:id="rId366" ref="C362"/>
    <hyperlink r:id="rId367" ref="D362"/>
    <hyperlink r:id="rId368" ref="C363"/>
    <hyperlink r:id="rId369" ref="D363"/>
    <hyperlink r:id="rId370" ref="D366"/>
    <hyperlink r:id="rId371" ref="D367"/>
    <hyperlink r:id="rId372" ref="D369"/>
    <hyperlink r:id="rId373" ref="D371"/>
    <hyperlink r:id="rId374" ref="D372"/>
    <hyperlink r:id="rId375" ref="D373"/>
    <hyperlink r:id="rId376" ref="D374"/>
    <hyperlink r:id="rId377" ref="D375"/>
    <hyperlink r:id="rId378" ref="D376"/>
    <hyperlink r:id="rId379" ref="C377"/>
    <hyperlink r:id="rId380" ref="D377"/>
    <hyperlink r:id="rId381" ref="C378"/>
    <hyperlink r:id="rId382" ref="D378"/>
    <hyperlink r:id="rId383" location="kf" ref="D379"/>
    <hyperlink r:id="rId384" location="kf" ref="D380"/>
    <hyperlink r:id="rId385" ref="C381"/>
    <hyperlink r:id="rId386" ref="D381"/>
    <hyperlink r:id="rId387" ref="C382"/>
    <hyperlink r:id="rId388" ref="D382"/>
    <hyperlink r:id="rId389" ref="D383"/>
    <hyperlink r:id="rId390" ref="D384"/>
    <hyperlink r:id="rId391" ref="D385"/>
    <hyperlink r:id="rId392" ref="D386"/>
    <hyperlink r:id="rId393" ref="D387"/>
    <hyperlink r:id="rId394" ref="D388"/>
    <hyperlink r:id="rId395" ref="D389"/>
    <hyperlink r:id="rId396" ref="D390"/>
    <hyperlink r:id="rId397" ref="D391"/>
    <hyperlink r:id="rId398" ref="C392"/>
    <hyperlink r:id="rId399" ref="D392"/>
    <hyperlink r:id="rId400" ref="C393"/>
    <hyperlink r:id="rId401" ref="D393"/>
    <hyperlink r:id="rId402" ref="D394"/>
    <hyperlink r:id="rId403" ref="D395"/>
    <hyperlink r:id="rId404" ref="D396"/>
    <hyperlink r:id="rId405" ref="D397"/>
    <hyperlink r:id="rId406" ref="D398"/>
    <hyperlink r:id="rId407" ref="D399"/>
    <hyperlink r:id="rId408" ref="D400"/>
    <hyperlink r:id="rId409" ref="D403"/>
    <hyperlink r:id="rId410" ref="D404"/>
    <hyperlink r:id="rId411" ref="C405"/>
    <hyperlink r:id="rId412" ref="D405"/>
    <hyperlink r:id="rId413" ref="C406"/>
    <hyperlink r:id="rId414" ref="D406"/>
    <hyperlink r:id="rId415" ref="C407"/>
    <hyperlink r:id="rId416" ref="D407"/>
    <hyperlink r:id="rId417" location="kf" ref="D408"/>
    <hyperlink r:id="rId418" location="kf" ref="D409"/>
    <hyperlink r:id="rId419" ref="C410"/>
    <hyperlink r:id="rId420" ref="D410"/>
    <hyperlink r:id="rId421" ref="D411"/>
    <hyperlink r:id="rId422" ref="D412"/>
    <hyperlink r:id="rId423" ref="D413"/>
    <hyperlink r:id="rId424" ref="D414"/>
    <hyperlink r:id="rId425" ref="D415"/>
    <hyperlink r:id="rId426" ref="D416"/>
    <hyperlink r:id="rId427" ref="D417"/>
    <hyperlink r:id="rId428" ref="D418"/>
    <hyperlink r:id="rId429" ref="D419"/>
    <hyperlink r:id="rId430" ref="D420"/>
    <hyperlink r:id="rId431" ref="D421"/>
    <hyperlink r:id="rId432" ref="D422"/>
    <hyperlink r:id="rId433" ref="D423"/>
    <hyperlink r:id="rId434" ref="D424"/>
    <hyperlink r:id="rId435" ref="D425"/>
    <hyperlink r:id="rId436" ref="D426"/>
    <hyperlink r:id="rId437" ref="D427"/>
    <hyperlink r:id="rId438" ref="D428"/>
    <hyperlink r:id="rId439" ref="D429"/>
    <hyperlink r:id="rId440" ref="D430"/>
    <hyperlink r:id="rId441" ref="D431"/>
    <hyperlink r:id="rId442" ref="D432"/>
    <hyperlink r:id="rId443" ref="D433"/>
    <hyperlink r:id="rId444" ref="D434"/>
    <hyperlink r:id="rId445" ref="C435"/>
    <hyperlink r:id="rId446" ref="D435"/>
    <hyperlink r:id="rId447" ref="D438"/>
    <hyperlink r:id="rId448" ref="D439"/>
    <hyperlink r:id="rId449" ref="C440"/>
    <hyperlink r:id="rId450" ref="D440"/>
    <hyperlink r:id="rId451" location="kf" ref="D441"/>
    <hyperlink r:id="rId452" ref="C442"/>
    <hyperlink r:id="rId453" ref="D442"/>
    <hyperlink r:id="rId454" ref="D443"/>
    <hyperlink r:id="rId455" ref="D444"/>
    <hyperlink r:id="rId456" ref="D445"/>
    <hyperlink r:id="rId457" ref="D446"/>
    <hyperlink r:id="rId458" ref="D447"/>
    <hyperlink r:id="rId459" ref="D448"/>
    <hyperlink r:id="rId460" ref="D449"/>
    <hyperlink r:id="rId461" ref="C450"/>
    <hyperlink r:id="rId462" ref="D450"/>
    <hyperlink r:id="rId463" ref="D451"/>
    <hyperlink r:id="rId464" ref="D452"/>
    <hyperlink r:id="rId465" ref="D453"/>
    <hyperlink r:id="rId466" ref="D454"/>
    <hyperlink r:id="rId467" ref="C455"/>
    <hyperlink r:id="rId468" ref="D455"/>
    <hyperlink r:id="rId469" ref="D456"/>
    <hyperlink r:id="rId470" location="kf" ref="D460"/>
    <hyperlink r:id="rId471" ref="D461"/>
    <hyperlink r:id="rId472" ref="D462"/>
    <hyperlink r:id="rId473" ref="D463"/>
    <hyperlink r:id="rId474" ref="D464"/>
    <hyperlink r:id="rId475" ref="D465"/>
    <hyperlink r:id="rId476" ref="D466"/>
    <hyperlink r:id="rId477" ref="D467"/>
    <hyperlink r:id="rId478" ref="D468"/>
    <hyperlink r:id="rId479" ref="D469"/>
    <hyperlink r:id="rId480" ref="C470"/>
    <hyperlink r:id="rId481" ref="D470"/>
    <hyperlink r:id="rId482" ref="D471"/>
    <hyperlink r:id="rId483" ref="D472"/>
    <hyperlink r:id="rId484" ref="D473"/>
    <hyperlink r:id="rId485" ref="C474"/>
    <hyperlink r:id="rId486" ref="D474"/>
    <hyperlink r:id="rId487" ref="C475"/>
    <hyperlink r:id="rId488" ref="D475"/>
    <hyperlink r:id="rId489" location="kf" ref="D476"/>
    <hyperlink r:id="rId490" location="kf" ref="D477"/>
    <hyperlink r:id="rId491" location="kf" ref="D478"/>
    <hyperlink r:id="rId492" ref="D479"/>
    <hyperlink r:id="rId493" location="kf" ref="D480"/>
    <hyperlink r:id="rId494" ref="D481"/>
    <hyperlink r:id="rId495" ref="C482"/>
    <hyperlink r:id="rId496" ref="D482"/>
    <hyperlink r:id="rId497" ref="C483"/>
    <hyperlink r:id="rId498" ref="D483"/>
    <hyperlink r:id="rId499" ref="D484"/>
    <hyperlink r:id="rId500" ref="D485"/>
    <hyperlink r:id="rId501" ref="D486"/>
    <hyperlink r:id="rId502" ref="D487"/>
    <hyperlink r:id="rId503" ref="D488"/>
    <hyperlink r:id="rId504" ref="D489"/>
    <hyperlink r:id="rId505" ref="D490"/>
    <hyperlink r:id="rId506" ref="D491"/>
    <hyperlink r:id="rId507" ref="D492"/>
    <hyperlink r:id="rId508" ref="D493"/>
    <hyperlink r:id="rId509" ref="C494"/>
    <hyperlink r:id="rId510" ref="D494"/>
    <hyperlink r:id="rId511" ref="D495"/>
    <hyperlink r:id="rId512" ref="D496"/>
    <hyperlink r:id="rId513" ref="D497"/>
    <hyperlink r:id="rId514" ref="C498"/>
    <hyperlink r:id="rId515" ref="D498"/>
    <hyperlink r:id="rId516" ref="D499"/>
    <hyperlink r:id="rId517" ref="D500"/>
    <hyperlink r:id="rId518" ref="D501"/>
    <hyperlink r:id="rId519" location="kf" ref="D502"/>
    <hyperlink r:id="rId520" location="kf" ref="D503"/>
    <hyperlink r:id="rId521" ref="D504"/>
    <hyperlink r:id="rId522" ref="D505"/>
    <hyperlink r:id="rId523" ref="D506"/>
    <hyperlink r:id="rId524" ref="D507"/>
    <hyperlink r:id="rId525" ref="D508"/>
    <hyperlink r:id="rId526" ref="D509"/>
    <hyperlink r:id="rId527" ref="C510"/>
    <hyperlink r:id="rId528" ref="D510"/>
    <hyperlink r:id="rId529" location="kf" ref="D511"/>
    <hyperlink r:id="rId530" ref="D512"/>
    <hyperlink r:id="rId531" location="kf" ref="D513"/>
    <hyperlink r:id="rId532" ref="D514"/>
    <hyperlink r:id="rId533" ref="D515"/>
    <hyperlink r:id="rId534" ref="C516"/>
    <hyperlink r:id="rId535" ref="D516"/>
    <hyperlink r:id="rId536" ref="C517"/>
    <hyperlink r:id="rId537" ref="D517"/>
    <hyperlink r:id="rId538" ref="D518"/>
    <hyperlink r:id="rId539" ref="D519"/>
  </hyperlinks>
  <drawing r:id="rId540"/>
  <legacyDrawing r:id="rId54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26.13"/>
    <col customWidth="1" min="3" max="3" width="10.5"/>
    <col customWidth="1" min="4" max="4" width="50.0"/>
    <col customWidth="1" min="5" max="6" width="6.0"/>
    <col customWidth="1" min="7" max="7" width="6.13"/>
    <col customWidth="1" min="8" max="11" width="5.63"/>
    <col customWidth="1" min="12" max="12" width="6.38"/>
    <col customWidth="1" min="13" max="19" width="5.63"/>
    <col customWidth="1" min="20" max="20" width="11.63"/>
  </cols>
  <sheetData>
    <row r="1" ht="65.25" customHeight="1">
      <c r="A1" s="398" t="s">
        <v>3345</v>
      </c>
      <c r="B1" s="398" t="s">
        <v>1976</v>
      </c>
      <c r="C1" s="398" t="s">
        <v>1579</v>
      </c>
      <c r="D1" s="398" t="s">
        <v>3346</v>
      </c>
      <c r="E1" s="399" t="s">
        <v>1582</v>
      </c>
      <c r="F1" s="399" t="s">
        <v>1583</v>
      </c>
      <c r="G1" s="400" t="s">
        <v>2755</v>
      </c>
      <c r="H1" s="399" t="s">
        <v>3347</v>
      </c>
      <c r="I1" s="399" t="s">
        <v>3348</v>
      </c>
      <c r="J1" s="399" t="s">
        <v>3349</v>
      </c>
      <c r="K1" s="399" t="s">
        <v>1588</v>
      </c>
      <c r="L1" s="399" t="s">
        <v>3350</v>
      </c>
      <c r="M1" s="399" t="s">
        <v>25</v>
      </c>
      <c r="N1" s="399" t="s">
        <v>3351</v>
      </c>
      <c r="O1" s="399" t="s">
        <v>3352</v>
      </c>
      <c r="P1" s="399" t="s">
        <v>3353</v>
      </c>
      <c r="Q1" s="399" t="s">
        <v>3354</v>
      </c>
      <c r="R1" s="399" t="s">
        <v>3355</v>
      </c>
      <c r="S1" s="399" t="s">
        <v>1609</v>
      </c>
      <c r="T1" s="398" t="s">
        <v>1602</v>
      </c>
    </row>
    <row r="2">
      <c r="A2" s="494" t="s">
        <v>1664</v>
      </c>
      <c r="B2" s="495" t="s">
        <v>3625</v>
      </c>
      <c r="C2" s="452" t="str">
        <f>HYPERLINK("https://www.asrock.com/","ASRock")</f>
        <v>ASRock</v>
      </c>
      <c r="D2" s="452" t="str">
        <f>HYPERLINK("https://www.asrock.com/Graphics-Card/AMD/Phantom%20Gaming%20X%20Radeon%20VII%2016G/","Phantom Gaming X Radeon VII")</f>
        <v>Phantom Gaming X Radeon VII</v>
      </c>
      <c r="E2" s="266">
        <f>280-12</f>
        <v>268</v>
      </c>
      <c r="F2" s="266">
        <v>125.0</v>
      </c>
      <c r="G2" s="266">
        <v>40.0</v>
      </c>
      <c r="H2" s="266">
        <v>2.0</v>
      </c>
      <c r="I2" s="266">
        <v>1750.0</v>
      </c>
      <c r="J2" s="266">
        <v>2.0</v>
      </c>
      <c r="K2" s="266">
        <v>295.0</v>
      </c>
      <c r="L2" s="266" t="s">
        <v>3460</v>
      </c>
      <c r="M2" s="266">
        <v>3.0</v>
      </c>
      <c r="N2" s="266">
        <v>3.0</v>
      </c>
      <c r="O2" s="266">
        <v>1.0</v>
      </c>
      <c r="P2" s="266" t="s">
        <v>166</v>
      </c>
      <c r="Q2" s="266" t="s">
        <v>166</v>
      </c>
      <c r="R2" s="266" t="s">
        <v>166</v>
      </c>
      <c r="S2" s="266" t="s">
        <v>166</v>
      </c>
      <c r="T2" s="496"/>
    </row>
    <row r="3">
      <c r="A3" s="494" t="s">
        <v>1664</v>
      </c>
      <c r="B3" s="495" t="s">
        <v>3625</v>
      </c>
      <c r="C3" s="174" t="str">
        <f>HYPERLINK("https://www.asus.com/","Asus")</f>
        <v>Asus</v>
      </c>
      <c r="D3" s="452" t="s">
        <v>3626</v>
      </c>
      <c r="E3" s="266">
        <v>267.0</v>
      </c>
      <c r="F3" s="266">
        <v>121.0</v>
      </c>
      <c r="G3" s="266">
        <v>40.0</v>
      </c>
      <c r="H3" s="266">
        <v>2.0</v>
      </c>
      <c r="I3" s="266">
        <v>1750.0</v>
      </c>
      <c r="J3" s="266">
        <v>2.0</v>
      </c>
      <c r="K3" s="266">
        <v>295.0</v>
      </c>
      <c r="L3" s="266" t="s">
        <v>3460</v>
      </c>
      <c r="M3" s="266">
        <v>3.0</v>
      </c>
      <c r="N3" s="266">
        <v>3.0</v>
      </c>
      <c r="O3" s="266">
        <v>1.0</v>
      </c>
      <c r="P3" s="266" t="s">
        <v>166</v>
      </c>
      <c r="Q3" s="266" t="s">
        <v>166</v>
      </c>
      <c r="R3" s="266" t="s">
        <v>166</v>
      </c>
      <c r="S3" s="266" t="s">
        <v>166</v>
      </c>
      <c r="T3" s="496"/>
    </row>
    <row r="4">
      <c r="A4" s="494" t="s">
        <v>1664</v>
      </c>
      <c r="B4" s="495" t="s">
        <v>3625</v>
      </c>
      <c r="C4" s="174" t="s">
        <v>3627</v>
      </c>
      <c r="D4" s="452" t="s">
        <v>3626</v>
      </c>
      <c r="E4" s="266">
        <v>270.0</v>
      </c>
      <c r="F4" s="266">
        <v>116.0</v>
      </c>
      <c r="G4" s="266">
        <v>40.0</v>
      </c>
      <c r="H4" s="266">
        <v>2.0</v>
      </c>
      <c r="I4" s="266">
        <v>1750.0</v>
      </c>
      <c r="J4" s="266">
        <v>2.0</v>
      </c>
      <c r="K4" s="266">
        <v>295.0</v>
      </c>
      <c r="L4" s="266" t="s">
        <v>3460</v>
      </c>
      <c r="M4" s="266">
        <v>3.0</v>
      </c>
      <c r="N4" s="266">
        <v>3.0</v>
      </c>
      <c r="O4" s="266">
        <v>1.0</v>
      </c>
      <c r="P4" s="266" t="s">
        <v>166</v>
      </c>
      <c r="Q4" s="266" t="s">
        <v>166</v>
      </c>
      <c r="R4" s="266" t="s">
        <v>166</v>
      </c>
      <c r="S4" s="266" t="s">
        <v>166</v>
      </c>
      <c r="T4" s="496"/>
    </row>
    <row r="5">
      <c r="A5" s="494" t="s">
        <v>1664</v>
      </c>
      <c r="B5" s="495" t="s">
        <v>3625</v>
      </c>
      <c r="C5" s="174" t="str">
        <f>HYPERLINK("https://www.gigabyte.com/","Gigabyte")</f>
        <v>Gigabyte</v>
      </c>
      <c r="D5" s="452" t="str">
        <f>HYPERLINK("https://www.gigabyte.com/Graphics-Card/GV-RVEGA20-16GD-B#kf","Radeon VII")</f>
        <v>Radeon VII</v>
      </c>
      <c r="E5" s="266">
        <v>267.0</v>
      </c>
      <c r="F5" s="266">
        <v>121.0</v>
      </c>
      <c r="G5" s="266">
        <v>40.0</v>
      </c>
      <c r="H5" s="266">
        <v>2.0</v>
      </c>
      <c r="I5" s="266">
        <v>1750.0</v>
      </c>
      <c r="J5" s="266">
        <v>2.0</v>
      </c>
      <c r="K5" s="266">
        <v>295.0</v>
      </c>
      <c r="L5" s="266" t="s">
        <v>3460</v>
      </c>
      <c r="M5" s="266">
        <v>3.0</v>
      </c>
      <c r="N5" s="266">
        <v>3.0</v>
      </c>
      <c r="O5" s="266">
        <v>1.0</v>
      </c>
      <c r="P5" s="266" t="s">
        <v>166</v>
      </c>
      <c r="Q5" s="266" t="s">
        <v>166</v>
      </c>
      <c r="R5" s="497" t="s">
        <v>166</v>
      </c>
      <c r="S5" s="266" t="s">
        <v>166</v>
      </c>
      <c r="T5" s="496"/>
    </row>
    <row r="6">
      <c r="A6" s="494" t="s">
        <v>1664</v>
      </c>
      <c r="B6" s="495" t="s">
        <v>3625</v>
      </c>
      <c r="C6" s="174" t="str">
        <f>HYPERLINK("https://www.msi.com/index.php","MSI")</f>
        <v>MSI</v>
      </c>
      <c r="D6" s="452" t="s">
        <v>3628</v>
      </c>
      <c r="E6" s="266">
        <v>267.0</v>
      </c>
      <c r="F6" s="266">
        <v>121.0</v>
      </c>
      <c r="G6" s="266">
        <v>40.0</v>
      </c>
      <c r="H6" s="266">
        <v>2.0</v>
      </c>
      <c r="I6" s="266">
        <v>1750.0</v>
      </c>
      <c r="J6" s="266">
        <v>2.0</v>
      </c>
      <c r="K6" s="266">
        <v>295.0</v>
      </c>
      <c r="L6" s="266" t="s">
        <v>3460</v>
      </c>
      <c r="M6" s="266">
        <v>3.0</v>
      </c>
      <c r="N6" s="266">
        <v>3.0</v>
      </c>
      <c r="O6" s="266">
        <v>1.0</v>
      </c>
      <c r="P6" s="266" t="s">
        <v>166</v>
      </c>
      <c r="Q6" s="266" t="s">
        <v>166</v>
      </c>
      <c r="R6" s="497" t="s">
        <v>166</v>
      </c>
      <c r="S6" s="266" t="s">
        <v>166</v>
      </c>
      <c r="T6" s="496"/>
    </row>
    <row r="7">
      <c r="A7" s="494" t="s">
        <v>1664</v>
      </c>
      <c r="B7" s="495" t="s">
        <v>3625</v>
      </c>
      <c r="C7" s="452" t="str">
        <f>HYPERLINK("https://www.powercolor.com/","PowerColor")</f>
        <v>PowerColor</v>
      </c>
      <c r="D7" s="452" t="str">
        <f>HYPERLINK("https://www.powercolor.com/product?id=1548302770","Radeon VII")</f>
        <v>Radeon VII</v>
      </c>
      <c r="E7" s="266">
        <v>280.0</v>
      </c>
      <c r="F7" s="266">
        <v>125.0</v>
      </c>
      <c r="G7" s="266">
        <v>40.0</v>
      </c>
      <c r="H7" s="266">
        <v>2.0</v>
      </c>
      <c r="I7" s="266">
        <v>1750.0</v>
      </c>
      <c r="J7" s="266">
        <v>2.0</v>
      </c>
      <c r="K7" s="266">
        <v>295.0</v>
      </c>
      <c r="L7" s="266" t="s">
        <v>3460</v>
      </c>
      <c r="M7" s="266">
        <v>3.0</v>
      </c>
      <c r="N7" s="266">
        <v>3.0</v>
      </c>
      <c r="O7" s="266">
        <v>1.0</v>
      </c>
      <c r="P7" s="266" t="s">
        <v>166</v>
      </c>
      <c r="Q7" s="266" t="s">
        <v>166</v>
      </c>
      <c r="R7" s="497" t="s">
        <v>166</v>
      </c>
      <c r="S7" s="266" t="s">
        <v>166</v>
      </c>
      <c r="T7" s="496"/>
    </row>
    <row r="8">
      <c r="A8" s="494" t="s">
        <v>1664</v>
      </c>
      <c r="B8" s="495" t="s">
        <v>3625</v>
      </c>
      <c r="C8" s="452" t="str">
        <f>HYPERLINK("https://www.sapphiretech.com/","Sapphire")</f>
        <v>Sapphire</v>
      </c>
      <c r="D8" s="452" t="str">
        <f>HYPERLINK("https://www.sapphiretech.com/en/consumer/212910140g-sapphire-radeon-vii-16g-hbm2-hdmi","Radeon VII")</f>
        <v>Radeon VII</v>
      </c>
      <c r="E8" s="266">
        <v>268.0</v>
      </c>
      <c r="F8" s="266">
        <v>120.0</v>
      </c>
      <c r="G8" s="266">
        <v>42.0</v>
      </c>
      <c r="H8" s="266">
        <v>2.0</v>
      </c>
      <c r="I8" s="266">
        <v>1750.0</v>
      </c>
      <c r="J8" s="266">
        <v>2.0</v>
      </c>
      <c r="K8" s="266">
        <v>295.0</v>
      </c>
      <c r="L8" s="266" t="s">
        <v>3460</v>
      </c>
      <c r="M8" s="266">
        <v>3.0</v>
      </c>
      <c r="N8" s="266">
        <v>3.0</v>
      </c>
      <c r="O8" s="266">
        <v>1.0</v>
      </c>
      <c r="P8" s="266" t="s">
        <v>166</v>
      </c>
      <c r="Q8" s="266" t="s">
        <v>166</v>
      </c>
      <c r="R8" s="497" t="s">
        <v>166</v>
      </c>
      <c r="S8" s="266" t="s">
        <v>166</v>
      </c>
      <c r="T8" s="496"/>
    </row>
    <row r="9">
      <c r="A9" s="498" t="s">
        <v>1664</v>
      </c>
      <c r="B9" s="499" t="s">
        <v>3625</v>
      </c>
      <c r="C9" s="500" t="str">
        <f>HYPERLINK("https://www.xfxforce.com/","XFX")</f>
        <v>XFX</v>
      </c>
      <c r="D9" s="500" t="str">
        <f>HYPERLINK("https://www.xfxforce.com/gpus/amd-radeon-tm-vii-16gb-3xdp-hdmi-triple-fan","Radeon VII")</f>
        <v>Radeon VII</v>
      </c>
      <c r="E9" s="501">
        <v>280.0</v>
      </c>
      <c r="F9" s="501">
        <v>125.0</v>
      </c>
      <c r="G9" s="501">
        <v>40.0</v>
      </c>
      <c r="H9" s="501">
        <v>2.0</v>
      </c>
      <c r="I9" s="501">
        <v>1750.0</v>
      </c>
      <c r="J9" s="501">
        <v>2.0</v>
      </c>
      <c r="K9" s="501">
        <v>295.0</v>
      </c>
      <c r="L9" s="501" t="s">
        <v>3460</v>
      </c>
      <c r="M9" s="501">
        <v>3.0</v>
      </c>
      <c r="N9" s="501">
        <v>3.0</v>
      </c>
      <c r="O9" s="501">
        <v>1.0</v>
      </c>
      <c r="P9" s="501" t="s">
        <v>166</v>
      </c>
      <c r="Q9" s="501" t="s">
        <v>166</v>
      </c>
      <c r="R9" s="502" t="s">
        <v>166</v>
      </c>
      <c r="S9" s="501" t="s">
        <v>166</v>
      </c>
      <c r="T9" s="503"/>
    </row>
    <row r="10">
      <c r="A10" s="504" t="s">
        <v>1664</v>
      </c>
      <c r="B10" s="505" t="s">
        <v>3362</v>
      </c>
      <c r="C10" s="506" t="str">
        <f>HYPERLINK("https://www.asrock.com/","ASRock")</f>
        <v>ASRock</v>
      </c>
      <c r="D10" s="506" t="str">
        <f>HYPERLINK("https://www.asrock.com/Graphics-Card/AMD/Radeon%20RX%205500%20XT%20Challenger%20D%204G%20OC/","Challenger D OC")</f>
        <v>Challenger D OC</v>
      </c>
      <c r="E10" s="507">
        <v>241.0</v>
      </c>
      <c r="F10" s="507">
        <f>127-15</f>
        <v>112</v>
      </c>
      <c r="G10" s="507">
        <v>42.0</v>
      </c>
      <c r="H10" s="507">
        <v>2.0</v>
      </c>
      <c r="I10" s="507">
        <v>1845.0</v>
      </c>
      <c r="J10" s="507">
        <v>14.0</v>
      </c>
      <c r="K10" s="507">
        <v>130.0</v>
      </c>
      <c r="L10" s="507">
        <v>8.0</v>
      </c>
      <c r="M10" s="507">
        <v>2.0</v>
      </c>
      <c r="N10" s="507">
        <v>3.0</v>
      </c>
      <c r="O10" s="507">
        <v>1.0</v>
      </c>
      <c r="P10" s="507" t="s">
        <v>166</v>
      </c>
      <c r="Q10" s="507" t="s">
        <v>166</v>
      </c>
      <c r="R10" s="508" t="s">
        <v>166</v>
      </c>
      <c r="S10" s="507" t="s">
        <v>166</v>
      </c>
      <c r="T10" s="509"/>
    </row>
    <row r="11">
      <c r="A11" s="494" t="s">
        <v>1664</v>
      </c>
      <c r="B11" s="495" t="s">
        <v>3362</v>
      </c>
      <c r="C11" s="174" t="str">
        <f>HYPERLINK("https://www.asus.com/","Asus")</f>
        <v>Asus</v>
      </c>
      <c r="D11" s="452" t="s">
        <v>3629</v>
      </c>
      <c r="E11" s="266">
        <v>242.0</v>
      </c>
      <c r="F11" s="266">
        <v>130.0</v>
      </c>
      <c r="G11" s="266">
        <v>49.0</v>
      </c>
      <c r="H11" s="266">
        <v>2.0</v>
      </c>
      <c r="I11" s="266">
        <v>1865.0</v>
      </c>
      <c r="J11" s="266">
        <v>14.0</v>
      </c>
      <c r="K11" s="266">
        <v>130.0</v>
      </c>
      <c r="L11" s="266">
        <v>8.0</v>
      </c>
      <c r="M11" s="266">
        <v>2.0</v>
      </c>
      <c r="N11" s="266">
        <v>3.0</v>
      </c>
      <c r="O11" s="266">
        <v>1.0</v>
      </c>
      <c r="P11" s="266" t="s">
        <v>166</v>
      </c>
      <c r="Q11" s="266" t="s">
        <v>166</v>
      </c>
      <c r="R11" s="497" t="s">
        <v>166</v>
      </c>
      <c r="S11" s="266" t="s">
        <v>166</v>
      </c>
      <c r="T11" s="496"/>
    </row>
    <row r="12">
      <c r="A12" s="494" t="s">
        <v>1664</v>
      </c>
      <c r="B12" s="495" t="s">
        <v>3362</v>
      </c>
      <c r="C12" s="174" t="str">
        <f t="shared" ref="C12:C14" si="1">HYPERLINK("https://www.gigabyte.com/","Gigabyte")</f>
        <v>Gigabyte</v>
      </c>
      <c r="D12" s="452" t="s">
        <v>223</v>
      </c>
      <c r="E12" s="266">
        <v>225.0</v>
      </c>
      <c r="F12" s="266">
        <v>119.0</v>
      </c>
      <c r="G12" s="266">
        <v>40.0</v>
      </c>
      <c r="H12" s="266">
        <v>2.0</v>
      </c>
      <c r="I12" s="266">
        <v>1845.0</v>
      </c>
      <c r="J12" s="266">
        <v>14.0</v>
      </c>
      <c r="K12" s="266">
        <v>130.0</v>
      </c>
      <c r="L12" s="266">
        <v>8.0</v>
      </c>
      <c r="M12" s="266">
        <v>2.0</v>
      </c>
      <c r="N12" s="266">
        <v>3.0</v>
      </c>
      <c r="O12" s="266">
        <v>1.0</v>
      </c>
      <c r="P12" s="266" t="s">
        <v>166</v>
      </c>
      <c r="Q12" s="266" t="s">
        <v>166</v>
      </c>
      <c r="R12" s="497" t="s">
        <v>166</v>
      </c>
      <c r="S12" s="266" t="s">
        <v>166</v>
      </c>
      <c r="T12" s="496"/>
    </row>
    <row r="13">
      <c r="A13" s="494" t="s">
        <v>1664</v>
      </c>
      <c r="B13" s="495" t="s">
        <v>3362</v>
      </c>
      <c r="C13" s="174" t="str">
        <f t="shared" si="1"/>
        <v>Gigabyte</v>
      </c>
      <c r="D13" s="452" t="str">
        <f>HYPERLINK("https://www.gigabyte.com/Graphics-Card/GV-R55XTOC-4GD#kf","OC")</f>
        <v>OC</v>
      </c>
      <c r="E13" s="266">
        <v>225.0</v>
      </c>
      <c r="F13" s="266">
        <v>119.0</v>
      </c>
      <c r="G13" s="266">
        <v>40.0</v>
      </c>
      <c r="H13" s="266">
        <v>2.0</v>
      </c>
      <c r="I13" s="266">
        <v>1845.0</v>
      </c>
      <c r="J13" s="266">
        <v>14.0</v>
      </c>
      <c r="K13" s="266">
        <v>130.0</v>
      </c>
      <c r="L13" s="266">
        <v>8.0</v>
      </c>
      <c r="M13" s="266">
        <v>2.0</v>
      </c>
      <c r="N13" s="266">
        <v>3.0</v>
      </c>
      <c r="O13" s="266">
        <v>1.0</v>
      </c>
      <c r="P13" s="266" t="s">
        <v>166</v>
      </c>
      <c r="Q13" s="266" t="s">
        <v>166</v>
      </c>
      <c r="R13" s="497" t="s">
        <v>166</v>
      </c>
      <c r="S13" s="266" t="s">
        <v>166</v>
      </c>
      <c r="T13" s="496"/>
    </row>
    <row r="14">
      <c r="A14" s="494" t="s">
        <v>1664</v>
      </c>
      <c r="B14" s="495" t="s">
        <v>3362</v>
      </c>
      <c r="C14" s="174" t="str">
        <f t="shared" si="1"/>
        <v>Gigabyte</v>
      </c>
      <c r="D14" s="452" t="s">
        <v>3630</v>
      </c>
      <c r="E14" s="266">
        <v>281.0</v>
      </c>
      <c r="F14" s="266">
        <v>115.0</v>
      </c>
      <c r="G14" s="266">
        <v>40.0</v>
      </c>
      <c r="H14" s="266">
        <v>2.0</v>
      </c>
      <c r="I14" s="266">
        <v>1845.0</v>
      </c>
      <c r="J14" s="266">
        <v>14.0</v>
      </c>
      <c r="K14" s="266">
        <v>130.0</v>
      </c>
      <c r="L14" s="266">
        <v>8.0</v>
      </c>
      <c r="M14" s="266">
        <v>3.0</v>
      </c>
      <c r="N14" s="266">
        <v>3.0</v>
      </c>
      <c r="O14" s="266">
        <v>1.0</v>
      </c>
      <c r="P14" s="266" t="s">
        <v>166</v>
      </c>
      <c r="Q14" s="266" t="s">
        <v>166</v>
      </c>
      <c r="R14" s="497" t="s">
        <v>166</v>
      </c>
      <c r="S14" s="266" t="s">
        <v>166</v>
      </c>
      <c r="T14" s="496"/>
    </row>
    <row r="15">
      <c r="A15" s="494" t="s">
        <v>1664</v>
      </c>
      <c r="B15" s="495" t="s">
        <v>3362</v>
      </c>
      <c r="C15" s="174" t="str">
        <f t="shared" ref="C15:C16" si="2">HYPERLINK("https://www.msi.com/index.php","MSI")</f>
        <v>MSI</v>
      </c>
      <c r="D15" s="452" t="s">
        <v>3409</v>
      </c>
      <c r="E15" s="266">
        <v>247.0</v>
      </c>
      <c r="F15" s="266">
        <v>128.0</v>
      </c>
      <c r="G15" s="266">
        <v>47.0</v>
      </c>
      <c r="H15" s="266">
        <v>2.0</v>
      </c>
      <c r="I15" s="266">
        <v>1845.0</v>
      </c>
      <c r="J15" s="266">
        <v>14.0</v>
      </c>
      <c r="K15" s="266">
        <v>130.0</v>
      </c>
      <c r="L15" s="266">
        <v>8.0</v>
      </c>
      <c r="M15" s="266">
        <v>2.0</v>
      </c>
      <c r="N15" s="266">
        <v>3.0</v>
      </c>
      <c r="O15" s="266">
        <v>1.0</v>
      </c>
      <c r="P15" s="266" t="s">
        <v>166</v>
      </c>
      <c r="Q15" s="266" t="s">
        <v>166</v>
      </c>
      <c r="R15" s="497" t="s">
        <v>166</v>
      </c>
      <c r="S15" s="266" t="s">
        <v>166</v>
      </c>
      <c r="T15" s="496"/>
    </row>
    <row r="16">
      <c r="A16" s="494" t="s">
        <v>1664</v>
      </c>
      <c r="B16" s="495" t="s">
        <v>3362</v>
      </c>
      <c r="C16" s="174" t="str">
        <f t="shared" si="2"/>
        <v>MSI</v>
      </c>
      <c r="D16" s="452" t="s">
        <v>3557</v>
      </c>
      <c r="E16" s="266">
        <v>247.0</v>
      </c>
      <c r="F16" s="266">
        <v>128.0</v>
      </c>
      <c r="G16" s="266">
        <v>47.0</v>
      </c>
      <c r="H16" s="266">
        <v>2.0</v>
      </c>
      <c r="I16" s="266">
        <v>1845.0</v>
      </c>
      <c r="J16" s="266">
        <v>14.0</v>
      </c>
      <c r="K16" s="266">
        <v>130.0</v>
      </c>
      <c r="L16" s="266">
        <v>8.0</v>
      </c>
      <c r="M16" s="266">
        <v>2.0</v>
      </c>
      <c r="N16" s="266">
        <v>3.0</v>
      </c>
      <c r="O16" s="266">
        <v>1.0</v>
      </c>
      <c r="P16" s="266" t="s">
        <v>166</v>
      </c>
      <c r="Q16" s="266" t="s">
        <v>166</v>
      </c>
      <c r="R16" s="497" t="s">
        <v>166</v>
      </c>
      <c r="S16" s="266" t="s">
        <v>166</v>
      </c>
      <c r="T16" s="496"/>
    </row>
    <row r="17">
      <c r="A17" s="494" t="s">
        <v>1664</v>
      </c>
      <c r="B17" s="495" t="s">
        <v>3362</v>
      </c>
      <c r="C17" s="452" t="str">
        <f>HYPERLINK("https://www.powercolor.com/","PowerColor")</f>
        <v>PowerColor</v>
      </c>
      <c r="D17" s="452" t="str">
        <f>HYPERLINK("https://www.powercolor.com/product?id=1576568488","RX 5500 XT (4GBD6-DH/OC)")</f>
        <v>RX 5500 XT (4GBD6-DH/OC)</v>
      </c>
      <c r="E17" s="266">
        <v>240.0</v>
      </c>
      <c r="F17" s="266">
        <v>126.0</v>
      </c>
      <c r="G17" s="266">
        <v>38.0</v>
      </c>
      <c r="H17" s="266">
        <v>2.0</v>
      </c>
      <c r="I17" s="266">
        <v>1845.0</v>
      </c>
      <c r="J17" s="266">
        <v>14.0</v>
      </c>
      <c r="K17" s="266">
        <v>130.0</v>
      </c>
      <c r="L17" s="266">
        <v>8.0</v>
      </c>
      <c r="M17" s="266">
        <v>2.0</v>
      </c>
      <c r="N17" s="266">
        <v>1.0</v>
      </c>
      <c r="O17" s="266">
        <v>1.0</v>
      </c>
      <c r="P17" s="266" t="s">
        <v>166</v>
      </c>
      <c r="Q17" s="266">
        <v>1.0</v>
      </c>
      <c r="R17" s="497" t="s">
        <v>166</v>
      </c>
      <c r="S17" s="266" t="s">
        <v>166</v>
      </c>
      <c r="T17" s="496"/>
    </row>
    <row r="18">
      <c r="A18" s="494" t="s">
        <v>1664</v>
      </c>
      <c r="B18" s="495" t="s">
        <v>3362</v>
      </c>
      <c r="C18" s="452" t="str">
        <f>HYPERLINK("https://www.sapphiretech.com/","Sapphire")</f>
        <v>Sapphire</v>
      </c>
      <c r="D18" s="452" t="s">
        <v>3376</v>
      </c>
      <c r="E18" s="266">
        <v>233.0</v>
      </c>
      <c r="F18" s="266">
        <v>121.8</v>
      </c>
      <c r="G18" s="266">
        <v>39.6</v>
      </c>
      <c r="H18" s="266">
        <v>2.0</v>
      </c>
      <c r="I18" s="266">
        <v>1845.0</v>
      </c>
      <c r="J18" s="266">
        <v>14.0</v>
      </c>
      <c r="K18" s="266">
        <v>135.0</v>
      </c>
      <c r="L18" s="266">
        <v>8.0</v>
      </c>
      <c r="M18" s="266">
        <v>2.0</v>
      </c>
      <c r="N18" s="266">
        <v>3.0</v>
      </c>
      <c r="O18" s="266">
        <v>1.0</v>
      </c>
      <c r="P18" s="266" t="s">
        <v>166</v>
      </c>
      <c r="Q18" s="266" t="s">
        <v>166</v>
      </c>
      <c r="R18" s="497" t="s">
        <v>166</v>
      </c>
      <c r="S18" s="266" t="s">
        <v>166</v>
      </c>
      <c r="T18" s="496"/>
    </row>
    <row r="19">
      <c r="A19" s="498" t="s">
        <v>1664</v>
      </c>
      <c r="B19" s="499" t="s">
        <v>3362</v>
      </c>
      <c r="C19" s="500" t="str">
        <f>HYPERLINK("https://www.xfxforce.com/","XFX")</f>
        <v>XFX</v>
      </c>
      <c r="D19" s="500" t="str">
        <f>HYPERLINK("https://www.xfxforce.com/gpus/xfx-amd-radeon-tm-rx-5500-xt-4gb-gddr6-thicc-ii-pro","THICC II Pro")</f>
        <v>THICC II Pro</v>
      </c>
      <c r="E19" s="501">
        <v>281.0</v>
      </c>
      <c r="F19" s="501">
        <v>145.0</v>
      </c>
      <c r="G19" s="501">
        <v>44.0</v>
      </c>
      <c r="H19" s="501">
        <v>2.0</v>
      </c>
      <c r="I19" s="501">
        <v>1845.0</v>
      </c>
      <c r="J19" s="501">
        <v>14.0</v>
      </c>
      <c r="K19" s="501">
        <v>130.0</v>
      </c>
      <c r="L19" s="501">
        <v>8.0</v>
      </c>
      <c r="M19" s="501">
        <v>2.0</v>
      </c>
      <c r="N19" s="501">
        <v>3.0</v>
      </c>
      <c r="O19" s="501">
        <v>1.0</v>
      </c>
      <c r="P19" s="501" t="s">
        <v>166</v>
      </c>
      <c r="Q19" s="501" t="s">
        <v>166</v>
      </c>
      <c r="R19" s="502" t="s">
        <v>166</v>
      </c>
      <c r="S19" s="501" t="s">
        <v>166</v>
      </c>
      <c r="T19" s="503"/>
    </row>
    <row r="20">
      <c r="A20" s="504" t="s">
        <v>1664</v>
      </c>
      <c r="B20" s="505" t="s">
        <v>3365</v>
      </c>
      <c r="C20" s="506" t="str">
        <f t="shared" ref="C20:C21" si="3">HYPERLINK("https://www.asrock.com/","ASRock")</f>
        <v>ASRock</v>
      </c>
      <c r="D20" s="506" t="str">
        <f>HYPERLINK("https://www.asrock.com/Graphics-Card/AMD/Radeon%20RX%205500%20XT%20Challenger%20D%208G%20OC/","Challenger D OC")</f>
        <v>Challenger D OC</v>
      </c>
      <c r="E20" s="507">
        <v>241.0</v>
      </c>
      <c r="F20" s="507">
        <f>127-15</f>
        <v>112</v>
      </c>
      <c r="G20" s="507">
        <v>42.0</v>
      </c>
      <c r="H20" s="507">
        <v>2.0</v>
      </c>
      <c r="I20" s="507">
        <v>1845.0</v>
      </c>
      <c r="J20" s="507">
        <v>14.0</v>
      </c>
      <c r="K20" s="507">
        <v>130.0</v>
      </c>
      <c r="L20" s="507">
        <v>8.0</v>
      </c>
      <c r="M20" s="507">
        <v>2.0</v>
      </c>
      <c r="N20" s="507">
        <v>3.0</v>
      </c>
      <c r="O20" s="507">
        <v>1.0</v>
      </c>
      <c r="P20" s="507" t="s">
        <v>166</v>
      </c>
      <c r="Q20" s="507" t="s">
        <v>166</v>
      </c>
      <c r="R20" s="508" t="s">
        <v>166</v>
      </c>
      <c r="S20" s="507" t="s">
        <v>166</v>
      </c>
      <c r="T20" s="509"/>
    </row>
    <row r="21">
      <c r="A21" s="494" t="s">
        <v>1664</v>
      </c>
      <c r="B21" s="495" t="s">
        <v>3365</v>
      </c>
      <c r="C21" s="452" t="str">
        <f t="shared" si="3"/>
        <v>ASRock</v>
      </c>
      <c r="D21" s="452" t="str">
        <f>HYPERLINK("https://www.asrock.com/Graphics-Card/AMD/Radeon%20RX%205500%20XT%20Phantom%20Gaming%20D%208G%20OC/","Phantom Gaming D OC")</f>
        <v>Phantom Gaming D OC</v>
      </c>
      <c r="E21" s="266">
        <v>240.57</v>
      </c>
      <c r="F21" s="266">
        <f>127.16-15</f>
        <v>112.16</v>
      </c>
      <c r="G21" s="266">
        <v>41.92</v>
      </c>
      <c r="H21" s="266">
        <v>2.0</v>
      </c>
      <c r="I21" s="266">
        <v>1845.0</v>
      </c>
      <c r="J21" s="266">
        <v>14.0</v>
      </c>
      <c r="K21" s="266">
        <v>130.0</v>
      </c>
      <c r="L21" s="266">
        <v>8.0</v>
      </c>
      <c r="M21" s="266">
        <v>2.0</v>
      </c>
      <c r="N21" s="266">
        <v>3.0</v>
      </c>
      <c r="O21" s="266">
        <v>1.0</v>
      </c>
      <c r="P21" s="266" t="s">
        <v>166</v>
      </c>
      <c r="Q21" s="266" t="s">
        <v>166</v>
      </c>
      <c r="R21" s="497" t="s">
        <v>166</v>
      </c>
      <c r="S21" s="266" t="s">
        <v>166</v>
      </c>
      <c r="T21" s="496"/>
    </row>
    <row r="22">
      <c r="A22" s="494" t="s">
        <v>1664</v>
      </c>
      <c r="B22" s="495" t="s">
        <v>3365</v>
      </c>
      <c r="C22" s="174" t="str">
        <f t="shared" ref="C22:C23" si="4">HYPERLINK("https://www.asus.com/","Asus")</f>
        <v>Asus</v>
      </c>
      <c r="D22" s="452" t="s">
        <v>3629</v>
      </c>
      <c r="E22" s="266">
        <v>242.0</v>
      </c>
      <c r="F22" s="266">
        <v>130.0</v>
      </c>
      <c r="G22" s="266">
        <v>49.0</v>
      </c>
      <c r="H22" s="266">
        <v>2.0</v>
      </c>
      <c r="I22" s="266">
        <v>1865.0</v>
      </c>
      <c r="J22" s="266">
        <v>14.0</v>
      </c>
      <c r="K22" s="266">
        <v>130.0</v>
      </c>
      <c r="L22" s="266">
        <v>8.0</v>
      </c>
      <c r="M22" s="266">
        <v>2.0</v>
      </c>
      <c r="N22" s="266">
        <v>3.0</v>
      </c>
      <c r="O22" s="266">
        <v>1.0</v>
      </c>
      <c r="P22" s="266" t="s">
        <v>166</v>
      </c>
      <c r="Q22" s="266" t="s">
        <v>166</v>
      </c>
      <c r="R22" s="497" t="s">
        <v>166</v>
      </c>
      <c r="S22" s="266" t="s">
        <v>166</v>
      </c>
      <c r="T22" s="496"/>
    </row>
    <row r="23">
      <c r="A23" s="494" t="s">
        <v>1664</v>
      </c>
      <c r="B23" s="495" t="s">
        <v>3365</v>
      </c>
      <c r="C23" s="174" t="str">
        <f t="shared" si="4"/>
        <v>Asus</v>
      </c>
      <c r="D23" s="452" t="s">
        <v>3631</v>
      </c>
      <c r="E23" s="266">
        <v>280.0</v>
      </c>
      <c r="F23" s="266">
        <v>127.0</v>
      </c>
      <c r="G23" s="266">
        <v>58.0</v>
      </c>
      <c r="H23" s="266">
        <v>2.0</v>
      </c>
      <c r="I23" s="266">
        <v>1865.0</v>
      </c>
      <c r="J23" s="266">
        <v>14.0</v>
      </c>
      <c r="K23" s="266">
        <v>130.0</v>
      </c>
      <c r="L23" s="266">
        <v>8.0</v>
      </c>
      <c r="M23" s="266">
        <v>2.0</v>
      </c>
      <c r="N23" s="266">
        <v>3.0</v>
      </c>
      <c r="O23" s="266">
        <v>1.0</v>
      </c>
      <c r="P23" s="266" t="s">
        <v>166</v>
      </c>
      <c r="Q23" s="266" t="s">
        <v>166</v>
      </c>
      <c r="R23" s="497" t="s">
        <v>166</v>
      </c>
      <c r="S23" s="266" t="s">
        <v>166</v>
      </c>
      <c r="T23" s="496"/>
    </row>
    <row r="24">
      <c r="A24" s="494" t="s">
        <v>1664</v>
      </c>
      <c r="B24" s="495" t="s">
        <v>3365</v>
      </c>
      <c r="C24" s="174" t="s">
        <v>3627</v>
      </c>
      <c r="D24" s="452" t="s">
        <v>3632</v>
      </c>
      <c r="E24" s="266">
        <v>259.0</v>
      </c>
      <c r="F24" s="266">
        <v>119.0</v>
      </c>
      <c r="G24" s="266">
        <v>51.0</v>
      </c>
      <c r="H24" s="266">
        <v>2.0</v>
      </c>
      <c r="I24" s="266">
        <v>1845.0</v>
      </c>
      <c r="J24" s="266">
        <v>14.0</v>
      </c>
      <c r="K24" s="266">
        <v>130.0</v>
      </c>
      <c r="L24" s="266">
        <v>8.0</v>
      </c>
      <c r="M24" s="266">
        <v>2.0</v>
      </c>
      <c r="N24" s="266">
        <v>3.0</v>
      </c>
      <c r="O24" s="266">
        <v>1.0</v>
      </c>
      <c r="P24" s="266" t="s">
        <v>166</v>
      </c>
      <c r="Q24" s="266" t="s">
        <v>166</v>
      </c>
      <c r="R24" s="497" t="s">
        <v>166</v>
      </c>
      <c r="S24" s="266" t="s">
        <v>166</v>
      </c>
      <c r="T24" s="496"/>
    </row>
    <row r="25">
      <c r="A25" s="494" t="s">
        <v>1664</v>
      </c>
      <c r="B25" s="495" t="s">
        <v>3365</v>
      </c>
      <c r="C25" s="174" t="str">
        <f t="shared" ref="C25:C27" si="5">HYPERLINK("https://www.gigabyte.com/","Gigabyte")</f>
        <v>Gigabyte</v>
      </c>
      <c r="D25" s="452" t="s">
        <v>223</v>
      </c>
      <c r="E25" s="266">
        <v>225.0</v>
      </c>
      <c r="F25" s="266">
        <v>119.0</v>
      </c>
      <c r="G25" s="266">
        <v>40.0</v>
      </c>
      <c r="H25" s="266">
        <v>2.0</v>
      </c>
      <c r="I25" s="266">
        <v>1845.0</v>
      </c>
      <c r="J25" s="266">
        <v>14.0</v>
      </c>
      <c r="K25" s="266">
        <v>130.0</v>
      </c>
      <c r="L25" s="266">
        <v>8.0</v>
      </c>
      <c r="M25" s="266">
        <v>2.0</v>
      </c>
      <c r="N25" s="266">
        <v>3.0</v>
      </c>
      <c r="O25" s="266">
        <v>1.0</v>
      </c>
      <c r="P25" s="266" t="s">
        <v>166</v>
      </c>
      <c r="Q25" s="266" t="s">
        <v>166</v>
      </c>
      <c r="R25" s="497" t="s">
        <v>166</v>
      </c>
      <c r="S25" s="266" t="s">
        <v>166</v>
      </c>
      <c r="T25" s="496"/>
    </row>
    <row r="26">
      <c r="A26" s="494" t="s">
        <v>1664</v>
      </c>
      <c r="B26" s="495" t="s">
        <v>3365</v>
      </c>
      <c r="C26" s="174" t="str">
        <f t="shared" si="5"/>
        <v>Gigabyte</v>
      </c>
      <c r="D26" s="452" t="str">
        <f>HYPERLINK("https://www.gigabyte.com/Graphics-Card/GV-R55XTOC-8GD#kf","OC")</f>
        <v>OC</v>
      </c>
      <c r="E26" s="266">
        <v>225.0</v>
      </c>
      <c r="F26" s="266">
        <v>119.0</v>
      </c>
      <c r="G26" s="266">
        <v>40.0</v>
      </c>
      <c r="H26" s="266">
        <v>2.0</v>
      </c>
      <c r="I26" s="266">
        <v>1845.0</v>
      </c>
      <c r="J26" s="266">
        <v>14.0</v>
      </c>
      <c r="K26" s="266">
        <v>130.0</v>
      </c>
      <c r="L26" s="266">
        <v>8.0</v>
      </c>
      <c r="M26" s="266">
        <v>2.0</v>
      </c>
      <c r="N26" s="266">
        <v>3.0</v>
      </c>
      <c r="O26" s="266">
        <v>1.0</v>
      </c>
      <c r="P26" s="266" t="s">
        <v>166</v>
      </c>
      <c r="Q26" s="266" t="s">
        <v>166</v>
      </c>
      <c r="R26" s="497" t="s">
        <v>166</v>
      </c>
      <c r="S26" s="266" t="s">
        <v>166</v>
      </c>
      <c r="T26" s="496"/>
    </row>
    <row r="27">
      <c r="A27" s="494" t="s">
        <v>1664</v>
      </c>
      <c r="B27" s="495" t="s">
        <v>3365</v>
      </c>
      <c r="C27" s="174" t="str">
        <f t="shared" si="5"/>
        <v>Gigabyte</v>
      </c>
      <c r="D27" s="452" t="s">
        <v>3630</v>
      </c>
      <c r="E27" s="266">
        <v>281.0</v>
      </c>
      <c r="F27" s="266">
        <v>115.0</v>
      </c>
      <c r="G27" s="266">
        <v>40.0</v>
      </c>
      <c r="H27" s="266">
        <v>2.0</v>
      </c>
      <c r="I27" s="266">
        <v>1845.0</v>
      </c>
      <c r="J27" s="266">
        <v>14.0</v>
      </c>
      <c r="K27" s="266">
        <v>130.0</v>
      </c>
      <c r="L27" s="266">
        <v>8.0</v>
      </c>
      <c r="M27" s="266">
        <v>3.0</v>
      </c>
      <c r="N27" s="266">
        <v>3.0</v>
      </c>
      <c r="O27" s="266">
        <v>1.0</v>
      </c>
      <c r="P27" s="266" t="s">
        <v>166</v>
      </c>
      <c r="Q27" s="266" t="s">
        <v>166</v>
      </c>
      <c r="R27" s="497" t="s">
        <v>166</v>
      </c>
      <c r="S27" s="266" t="s">
        <v>166</v>
      </c>
      <c r="T27" s="496"/>
    </row>
    <row r="28">
      <c r="A28" s="494" t="s">
        <v>1664</v>
      </c>
      <c r="B28" s="495" t="s">
        <v>3365</v>
      </c>
      <c r="C28" s="174" t="str">
        <f t="shared" ref="C28:C29" si="6">HYPERLINK("https://www.msi.com/index.php","MSI")</f>
        <v>MSI</v>
      </c>
      <c r="D28" s="452" t="s">
        <v>3409</v>
      </c>
      <c r="E28" s="266">
        <v>247.0</v>
      </c>
      <c r="F28" s="266">
        <v>128.0</v>
      </c>
      <c r="G28" s="266">
        <v>47.0</v>
      </c>
      <c r="H28" s="266">
        <v>2.0</v>
      </c>
      <c r="I28" s="266">
        <v>1845.0</v>
      </c>
      <c r="J28" s="266">
        <v>14.0</v>
      </c>
      <c r="K28" s="266">
        <v>130.0</v>
      </c>
      <c r="L28" s="266">
        <v>8.0</v>
      </c>
      <c r="M28" s="266">
        <v>2.0</v>
      </c>
      <c r="N28" s="266">
        <v>3.0</v>
      </c>
      <c r="O28" s="266">
        <v>1.0</v>
      </c>
      <c r="P28" s="266" t="s">
        <v>166</v>
      </c>
      <c r="Q28" s="266" t="s">
        <v>166</v>
      </c>
      <c r="R28" s="497" t="s">
        <v>166</v>
      </c>
      <c r="S28" s="266" t="s">
        <v>166</v>
      </c>
      <c r="T28" s="496"/>
    </row>
    <row r="29">
      <c r="A29" s="494" t="s">
        <v>1664</v>
      </c>
      <c r="B29" s="495" t="s">
        <v>3365</v>
      </c>
      <c r="C29" s="174" t="str">
        <f t="shared" si="6"/>
        <v>MSI</v>
      </c>
      <c r="D29" s="452" t="s">
        <v>3557</v>
      </c>
      <c r="E29" s="510">
        <v>247.0</v>
      </c>
      <c r="F29" s="511">
        <v>128.0</v>
      </c>
      <c r="G29" s="512">
        <v>47.0</v>
      </c>
      <c r="H29" s="513">
        <v>2.0</v>
      </c>
      <c r="I29" s="514">
        <v>1845.0</v>
      </c>
      <c r="J29" s="513">
        <v>14.0</v>
      </c>
      <c r="K29" s="515">
        <v>130.0</v>
      </c>
      <c r="L29" s="516">
        <v>8.0</v>
      </c>
      <c r="M29" s="516">
        <v>2.0</v>
      </c>
      <c r="N29" s="516">
        <v>3.0</v>
      </c>
      <c r="O29" s="516">
        <v>1.0</v>
      </c>
      <c r="P29" s="516" t="s">
        <v>166</v>
      </c>
      <c r="Q29" s="516" t="s">
        <v>166</v>
      </c>
      <c r="R29" s="517" t="s">
        <v>166</v>
      </c>
      <c r="S29" s="518" t="s">
        <v>166</v>
      </c>
      <c r="T29" s="496"/>
    </row>
    <row r="30">
      <c r="A30" s="494" t="s">
        <v>1664</v>
      </c>
      <c r="B30" s="495" t="s">
        <v>3365</v>
      </c>
      <c r="C30" s="452" t="str">
        <f t="shared" ref="C30:C31" si="7">HYPERLINK("https://www.powercolor.com/","PowerColor")</f>
        <v>PowerColor</v>
      </c>
      <c r="D30" s="452" t="str">
        <f>HYPERLINK("https://www.powercolor.com/product?id=1576568449","RX 5500 XT (8GBD6-DH/OC)")</f>
        <v>RX 5500 XT (8GBD6-DH/OC)</v>
      </c>
      <c r="E30" s="266">
        <v>240.0</v>
      </c>
      <c r="F30" s="266">
        <v>126.0</v>
      </c>
      <c r="G30" s="266">
        <v>38.0</v>
      </c>
      <c r="H30" s="266">
        <v>2.0</v>
      </c>
      <c r="I30" s="266">
        <v>1845.0</v>
      </c>
      <c r="J30" s="266">
        <v>14.0</v>
      </c>
      <c r="K30" s="266">
        <v>130.0</v>
      </c>
      <c r="L30" s="266">
        <v>8.0</v>
      </c>
      <c r="M30" s="266">
        <v>2.0</v>
      </c>
      <c r="N30" s="266">
        <v>1.0</v>
      </c>
      <c r="O30" s="266">
        <v>1.0</v>
      </c>
      <c r="P30" s="266" t="s">
        <v>166</v>
      </c>
      <c r="Q30" s="266">
        <v>1.0</v>
      </c>
      <c r="R30" s="497" t="s">
        <v>166</v>
      </c>
      <c r="S30" s="266" t="s">
        <v>166</v>
      </c>
      <c r="T30" s="496"/>
    </row>
    <row r="31">
      <c r="A31" s="494" t="s">
        <v>1664</v>
      </c>
      <c r="B31" s="495" t="s">
        <v>3365</v>
      </c>
      <c r="C31" s="452" t="str">
        <f t="shared" si="7"/>
        <v>PowerColor</v>
      </c>
      <c r="D31" s="452" t="str">
        <f>HYPERLINK("https://www.powercolor.com/product?id=1575278441","Red Dragon")</f>
        <v>Red Dragon</v>
      </c>
      <c r="E31" s="266">
        <v>227.0</v>
      </c>
      <c r="F31" s="266">
        <v>120.0</v>
      </c>
      <c r="G31" s="266">
        <v>42.0</v>
      </c>
      <c r="H31" s="266">
        <v>2.0</v>
      </c>
      <c r="I31" s="266">
        <v>1845.0</v>
      </c>
      <c r="J31" s="266">
        <v>14.0</v>
      </c>
      <c r="K31" s="266">
        <v>130.0</v>
      </c>
      <c r="L31" s="266">
        <v>8.0</v>
      </c>
      <c r="M31" s="266">
        <v>2.0</v>
      </c>
      <c r="N31" s="266">
        <v>1.0</v>
      </c>
      <c r="O31" s="266">
        <v>1.0</v>
      </c>
      <c r="P31" s="266" t="s">
        <v>166</v>
      </c>
      <c r="Q31" s="266">
        <v>1.0</v>
      </c>
      <c r="R31" s="497" t="s">
        <v>166</v>
      </c>
      <c r="S31" s="266" t="s">
        <v>166</v>
      </c>
      <c r="T31" s="496"/>
    </row>
    <row r="32">
      <c r="A32" s="494" t="s">
        <v>1664</v>
      </c>
      <c r="B32" s="495" t="s">
        <v>3365</v>
      </c>
      <c r="C32" s="452" t="str">
        <f t="shared" ref="C32:C33" si="8">HYPERLINK("https://www.sapphiretech.com/","Sapphire")</f>
        <v>Sapphire</v>
      </c>
      <c r="D32" s="452" t="s">
        <v>3376</v>
      </c>
      <c r="E32" s="266">
        <v>233.0</v>
      </c>
      <c r="F32" s="266">
        <v>121.8</v>
      </c>
      <c r="G32" s="266">
        <v>39.6</v>
      </c>
      <c r="H32" s="266">
        <v>2.0</v>
      </c>
      <c r="I32" s="266">
        <v>1845.0</v>
      </c>
      <c r="J32" s="266">
        <v>14.0</v>
      </c>
      <c r="K32" s="266">
        <v>135.0</v>
      </c>
      <c r="L32" s="266">
        <v>8.0</v>
      </c>
      <c r="M32" s="266">
        <v>2.0</v>
      </c>
      <c r="N32" s="266">
        <v>3.0</v>
      </c>
      <c r="O32" s="266">
        <v>1.0</v>
      </c>
      <c r="P32" s="266" t="s">
        <v>166</v>
      </c>
      <c r="Q32" s="266" t="s">
        <v>166</v>
      </c>
      <c r="R32" s="497" t="s">
        <v>166</v>
      </c>
      <c r="S32" s="266" t="s">
        <v>166</v>
      </c>
      <c r="T32" s="496"/>
    </row>
    <row r="33">
      <c r="A33" s="494" t="s">
        <v>1664</v>
      </c>
      <c r="B33" s="495" t="s">
        <v>3365</v>
      </c>
      <c r="C33" s="452" t="str">
        <f t="shared" si="8"/>
        <v>Sapphire</v>
      </c>
      <c r="D33" s="452" t="s">
        <v>3633</v>
      </c>
      <c r="E33" s="266">
        <v>257.0</v>
      </c>
      <c r="F33" s="266">
        <v>132.8</v>
      </c>
      <c r="G33" s="266">
        <v>44.2</v>
      </c>
      <c r="H33" s="266">
        <v>2.0</v>
      </c>
      <c r="I33" s="266">
        <v>1845.0</v>
      </c>
      <c r="J33" s="266">
        <v>14.0</v>
      </c>
      <c r="K33" s="266">
        <v>135.0</v>
      </c>
      <c r="L33" s="266">
        <v>8.0</v>
      </c>
      <c r="M33" s="266">
        <v>2.0</v>
      </c>
      <c r="N33" s="266">
        <v>2.0</v>
      </c>
      <c r="O33" s="266">
        <v>2.0</v>
      </c>
      <c r="P33" s="266" t="s">
        <v>166</v>
      </c>
      <c r="Q33" s="266" t="s">
        <v>166</v>
      </c>
      <c r="R33" s="497" t="s">
        <v>166</v>
      </c>
      <c r="S33" s="266" t="s">
        <v>166</v>
      </c>
      <c r="T33" s="496"/>
    </row>
    <row r="34">
      <c r="A34" s="494" t="s">
        <v>1664</v>
      </c>
      <c r="B34" s="495" t="s">
        <v>3365</v>
      </c>
      <c r="C34" s="452" t="str">
        <f>HYPERLINK("https://www.xfxforce.com/","XFX")</f>
        <v>XFX</v>
      </c>
      <c r="D34" s="452" t="str">
        <f>HYPERLINK("https://www.xfxforce.com/gpus/radeon-tm-rx-5500-xt-8gb-gddr6-thicc-ii-pro","THICC II Pro")</f>
        <v>THICC II Pro</v>
      </c>
      <c r="E34" s="266">
        <v>281.0</v>
      </c>
      <c r="F34" s="266">
        <v>145.0</v>
      </c>
      <c r="G34" s="266">
        <v>44.0</v>
      </c>
      <c r="H34" s="266">
        <v>2.0</v>
      </c>
      <c r="I34" s="266">
        <v>1845.0</v>
      </c>
      <c r="J34" s="266">
        <v>14.0</v>
      </c>
      <c r="K34" s="266">
        <v>130.0</v>
      </c>
      <c r="L34" s="266">
        <v>8.0</v>
      </c>
      <c r="M34" s="266">
        <v>2.0</v>
      </c>
      <c r="N34" s="266">
        <v>3.0</v>
      </c>
      <c r="O34" s="266">
        <v>1.0</v>
      </c>
      <c r="P34" s="266" t="s">
        <v>166</v>
      </c>
      <c r="Q34" s="266" t="s">
        <v>166</v>
      </c>
      <c r="R34" s="497" t="s">
        <v>166</v>
      </c>
      <c r="S34" s="266" t="s">
        <v>166</v>
      </c>
      <c r="T34" s="496"/>
    </row>
    <row r="35">
      <c r="A35" s="494" t="s">
        <v>1664</v>
      </c>
      <c r="B35" s="495" t="s">
        <v>3365</v>
      </c>
      <c r="C35" s="452" t="s">
        <v>3378</v>
      </c>
      <c r="D35" s="452" t="s">
        <v>3634</v>
      </c>
      <c r="E35" s="266" t="s">
        <v>170</v>
      </c>
      <c r="F35" s="266" t="s">
        <v>170</v>
      </c>
      <c r="G35" s="266" t="s">
        <v>170</v>
      </c>
      <c r="H35" s="266">
        <v>2.0</v>
      </c>
      <c r="I35" s="266">
        <v>1845.0</v>
      </c>
      <c r="J35" s="266">
        <v>14.0</v>
      </c>
      <c r="K35" s="266">
        <v>130.0</v>
      </c>
      <c r="L35" s="266">
        <v>8.0</v>
      </c>
      <c r="M35" s="266">
        <v>2.0</v>
      </c>
      <c r="N35" s="266">
        <v>1.0</v>
      </c>
      <c r="O35" s="266">
        <v>1.0</v>
      </c>
      <c r="P35" s="266" t="s">
        <v>166</v>
      </c>
      <c r="Q35" s="266">
        <v>2.0</v>
      </c>
      <c r="R35" s="497" t="s">
        <v>166</v>
      </c>
      <c r="S35" s="266" t="s">
        <v>166</v>
      </c>
      <c r="T35" s="496"/>
    </row>
    <row r="36">
      <c r="A36" s="498" t="s">
        <v>1664</v>
      </c>
      <c r="B36" s="499" t="s">
        <v>3365</v>
      </c>
      <c r="C36" s="500" t="s">
        <v>3378</v>
      </c>
      <c r="D36" s="500" t="s">
        <v>3635</v>
      </c>
      <c r="E36" s="501" t="s">
        <v>170</v>
      </c>
      <c r="F36" s="501" t="s">
        <v>170</v>
      </c>
      <c r="G36" s="501" t="s">
        <v>170</v>
      </c>
      <c r="H36" s="501">
        <v>2.0</v>
      </c>
      <c r="I36" s="501">
        <v>1845.0</v>
      </c>
      <c r="J36" s="501">
        <v>14.0</v>
      </c>
      <c r="K36" s="501">
        <v>130.0</v>
      </c>
      <c r="L36" s="501">
        <v>8.0</v>
      </c>
      <c r="M36" s="501">
        <v>3.0</v>
      </c>
      <c r="N36" s="501">
        <v>1.0</v>
      </c>
      <c r="O36" s="501">
        <v>1.0</v>
      </c>
      <c r="P36" s="501" t="s">
        <v>166</v>
      </c>
      <c r="Q36" s="501">
        <v>2.0</v>
      </c>
      <c r="R36" s="502" t="s">
        <v>166</v>
      </c>
      <c r="S36" s="501" t="s">
        <v>166</v>
      </c>
      <c r="T36" s="503"/>
    </row>
    <row r="37">
      <c r="A37" s="504" t="s">
        <v>1664</v>
      </c>
      <c r="B37" s="505" t="s">
        <v>3366</v>
      </c>
      <c r="C37" s="506" t="str">
        <f t="shared" ref="C37:C40" si="9">HYPERLINK("https://www.asrock.com/","ASRock")</f>
        <v>ASRock</v>
      </c>
      <c r="D37" s="506" t="s">
        <v>3636</v>
      </c>
      <c r="E37" s="507">
        <v>240.5</v>
      </c>
      <c r="F37" s="507">
        <f>126.5-15</f>
        <v>111.5</v>
      </c>
      <c r="G37" s="507">
        <v>53.0</v>
      </c>
      <c r="H37" s="507">
        <v>2.0</v>
      </c>
      <c r="I37" s="507">
        <v>1750.0</v>
      </c>
      <c r="J37" s="507">
        <v>14.0</v>
      </c>
      <c r="K37" s="507">
        <v>160.0</v>
      </c>
      <c r="L37" s="507">
        <v>8.0</v>
      </c>
      <c r="M37" s="507">
        <v>2.0</v>
      </c>
      <c r="N37" s="507">
        <v>3.0</v>
      </c>
      <c r="O37" s="507">
        <v>1.0</v>
      </c>
      <c r="P37" s="507" t="s">
        <v>166</v>
      </c>
      <c r="Q37" s="507" t="s">
        <v>166</v>
      </c>
      <c r="R37" s="508" t="s">
        <v>166</v>
      </c>
      <c r="S37" s="507" t="s">
        <v>166</v>
      </c>
      <c r="T37" s="509"/>
    </row>
    <row r="38">
      <c r="A38" s="494" t="s">
        <v>1664</v>
      </c>
      <c r="B38" s="495" t="s">
        <v>3366</v>
      </c>
      <c r="C38" s="452" t="str">
        <f t="shared" si="9"/>
        <v>ASRock</v>
      </c>
      <c r="D38" s="452" t="s">
        <v>3637</v>
      </c>
      <c r="E38" s="266">
        <v>279.93</v>
      </c>
      <c r="F38" s="266">
        <v>117.7</v>
      </c>
      <c r="G38" s="266">
        <v>52.42</v>
      </c>
      <c r="H38" s="266">
        <v>2.0</v>
      </c>
      <c r="I38" s="266">
        <v>1750.0</v>
      </c>
      <c r="J38" s="266">
        <v>14.0</v>
      </c>
      <c r="K38" s="266">
        <v>160.0</v>
      </c>
      <c r="L38" s="266">
        <v>8.0</v>
      </c>
      <c r="M38" s="266">
        <v>3.0</v>
      </c>
      <c r="N38" s="266">
        <v>3.0</v>
      </c>
      <c r="O38" s="266">
        <v>1.0</v>
      </c>
      <c r="P38" s="266" t="s">
        <v>166</v>
      </c>
      <c r="Q38" s="266" t="s">
        <v>166</v>
      </c>
      <c r="R38" s="497" t="s">
        <v>166</v>
      </c>
      <c r="S38" s="266" t="s">
        <v>166</v>
      </c>
      <c r="T38" s="496"/>
    </row>
    <row r="39">
      <c r="A39" s="494" t="s">
        <v>1664</v>
      </c>
      <c r="B39" s="495" t="s">
        <v>3366</v>
      </c>
      <c r="C39" s="452" t="str">
        <f t="shared" si="9"/>
        <v>ASRock</v>
      </c>
      <c r="D39" s="452" t="s">
        <v>3638</v>
      </c>
      <c r="E39" s="266">
        <v>240.3</v>
      </c>
      <c r="F39" s="266">
        <f t="shared" ref="F39:F40" si="10">126.5-15</f>
        <v>111.5</v>
      </c>
      <c r="G39" s="266">
        <v>53.0</v>
      </c>
      <c r="H39" s="266">
        <v>2.0</v>
      </c>
      <c r="I39" s="266">
        <v>1750.0</v>
      </c>
      <c r="J39" s="266">
        <v>14.0</v>
      </c>
      <c r="K39" s="266">
        <v>160.0</v>
      </c>
      <c r="L39" s="266">
        <v>8.0</v>
      </c>
      <c r="M39" s="266">
        <v>2.0</v>
      </c>
      <c r="N39" s="266">
        <v>3.0</v>
      </c>
      <c r="O39" s="266">
        <v>1.0</v>
      </c>
      <c r="P39" s="266" t="s">
        <v>166</v>
      </c>
      <c r="Q39" s="266" t="s">
        <v>166</v>
      </c>
      <c r="R39" s="497" t="s">
        <v>166</v>
      </c>
      <c r="S39" s="266" t="s">
        <v>166</v>
      </c>
      <c r="T39" s="496"/>
    </row>
    <row r="40">
      <c r="A40" s="494" t="s">
        <v>1664</v>
      </c>
      <c r="B40" s="495" t="s">
        <v>3366</v>
      </c>
      <c r="C40" s="452" t="str">
        <f t="shared" si="9"/>
        <v>ASRock</v>
      </c>
      <c r="D40" s="452" t="s">
        <v>3639</v>
      </c>
      <c r="E40" s="266">
        <v>290.6</v>
      </c>
      <c r="F40" s="266">
        <f t="shared" si="10"/>
        <v>111.5</v>
      </c>
      <c r="G40" s="266">
        <v>53.1</v>
      </c>
      <c r="H40" s="266">
        <v>2.0</v>
      </c>
      <c r="I40" s="266">
        <v>1750.0</v>
      </c>
      <c r="J40" s="266">
        <v>14.0</v>
      </c>
      <c r="K40" s="266">
        <v>160.0</v>
      </c>
      <c r="L40" s="266">
        <v>8.0</v>
      </c>
      <c r="M40" s="266">
        <v>3.0</v>
      </c>
      <c r="N40" s="266">
        <v>3.0</v>
      </c>
      <c r="O40" s="266">
        <v>1.0</v>
      </c>
      <c r="P40" s="266" t="s">
        <v>166</v>
      </c>
      <c r="Q40" s="266" t="s">
        <v>166</v>
      </c>
      <c r="R40" s="497" t="s">
        <v>166</v>
      </c>
      <c r="S40" s="266" t="s">
        <v>166</v>
      </c>
      <c r="T40" s="496"/>
    </row>
    <row r="41">
      <c r="A41" s="494" t="s">
        <v>1664</v>
      </c>
      <c r="B41" s="495" t="s">
        <v>3366</v>
      </c>
      <c r="C41" s="174" t="str">
        <f t="shared" ref="C41:C47" si="11">HYPERLINK("https://www.asus.com/","Asus")</f>
        <v>Asus</v>
      </c>
      <c r="D41" s="452" t="s">
        <v>3640</v>
      </c>
      <c r="E41" s="266">
        <v>283.0</v>
      </c>
      <c r="F41" s="266">
        <v>132.0</v>
      </c>
      <c r="G41" s="266">
        <v>52.0</v>
      </c>
      <c r="H41" s="266">
        <v>2.0</v>
      </c>
      <c r="I41" s="266">
        <v>1770.0</v>
      </c>
      <c r="J41" s="266">
        <v>12.0</v>
      </c>
      <c r="K41" s="266">
        <v>160.0</v>
      </c>
      <c r="L41" s="266">
        <v>8.0</v>
      </c>
      <c r="M41" s="266">
        <v>2.0</v>
      </c>
      <c r="N41" s="266">
        <v>3.0</v>
      </c>
      <c r="O41" s="266">
        <v>1.0</v>
      </c>
      <c r="P41" s="266" t="s">
        <v>166</v>
      </c>
      <c r="Q41" s="266" t="s">
        <v>166</v>
      </c>
      <c r="R41" s="497" t="s">
        <v>166</v>
      </c>
      <c r="S41" s="266" t="s">
        <v>166</v>
      </c>
      <c r="T41" s="496"/>
    </row>
    <row r="42">
      <c r="A42" s="494" t="s">
        <v>1664</v>
      </c>
      <c r="B42" s="495" t="s">
        <v>3366</v>
      </c>
      <c r="C42" s="174" t="str">
        <f t="shared" si="11"/>
        <v>Asus</v>
      </c>
      <c r="D42" s="452" t="s">
        <v>3641</v>
      </c>
      <c r="E42" s="266">
        <v>283.0</v>
      </c>
      <c r="F42" s="266">
        <v>132.0</v>
      </c>
      <c r="G42" s="266">
        <v>52.0</v>
      </c>
      <c r="H42" s="266">
        <v>2.0</v>
      </c>
      <c r="I42" s="266">
        <v>1770.0</v>
      </c>
      <c r="J42" s="266">
        <v>14.0</v>
      </c>
      <c r="K42" s="266">
        <v>160.0</v>
      </c>
      <c r="L42" s="266">
        <v>8.0</v>
      </c>
      <c r="M42" s="266">
        <v>2.0</v>
      </c>
      <c r="N42" s="266">
        <v>3.0</v>
      </c>
      <c r="O42" s="266">
        <v>1.0</v>
      </c>
      <c r="P42" s="266" t="s">
        <v>166</v>
      </c>
      <c r="Q42" s="266" t="s">
        <v>166</v>
      </c>
      <c r="R42" s="497" t="s">
        <v>166</v>
      </c>
      <c r="S42" s="266" t="s">
        <v>166</v>
      </c>
      <c r="T42" s="496"/>
    </row>
    <row r="43">
      <c r="A43" s="494" t="s">
        <v>1664</v>
      </c>
      <c r="B43" s="495" t="s">
        <v>3366</v>
      </c>
      <c r="C43" s="174" t="str">
        <f t="shared" si="11"/>
        <v>Asus</v>
      </c>
      <c r="D43" s="452" t="s">
        <v>3642</v>
      </c>
      <c r="E43" s="266">
        <v>304.0</v>
      </c>
      <c r="F43" s="266">
        <v>118.0</v>
      </c>
      <c r="G43" s="266">
        <v>54.0</v>
      </c>
      <c r="H43" s="266">
        <v>2.0</v>
      </c>
      <c r="I43" s="266">
        <v>1770.0</v>
      </c>
      <c r="J43" s="266">
        <v>12.0</v>
      </c>
      <c r="K43" s="266">
        <v>160.0</v>
      </c>
      <c r="L43" s="266" t="s">
        <v>3361</v>
      </c>
      <c r="M43" s="266">
        <v>3.0</v>
      </c>
      <c r="N43" s="266">
        <v>3.0</v>
      </c>
      <c r="O43" s="266">
        <v>1.0</v>
      </c>
      <c r="P43" s="266" t="s">
        <v>166</v>
      </c>
      <c r="Q43" s="266" t="s">
        <v>166</v>
      </c>
      <c r="R43" s="497" t="s">
        <v>166</v>
      </c>
      <c r="S43" s="266" t="s">
        <v>166</v>
      </c>
      <c r="T43" s="496"/>
    </row>
    <row r="44">
      <c r="A44" s="494" t="s">
        <v>1664</v>
      </c>
      <c r="B44" s="495" t="s">
        <v>3366</v>
      </c>
      <c r="C44" s="174" t="str">
        <f t="shared" si="11"/>
        <v>Asus</v>
      </c>
      <c r="D44" s="452" t="s">
        <v>3643</v>
      </c>
      <c r="E44" s="266">
        <v>304.0</v>
      </c>
      <c r="F44" s="266">
        <v>118.0</v>
      </c>
      <c r="G44" s="266">
        <v>54.0</v>
      </c>
      <c r="H44" s="266">
        <v>2.0</v>
      </c>
      <c r="I44" s="266">
        <v>1770.0</v>
      </c>
      <c r="J44" s="266">
        <v>14.0</v>
      </c>
      <c r="K44" s="266">
        <v>160.0</v>
      </c>
      <c r="L44" s="266" t="s">
        <v>3361</v>
      </c>
      <c r="M44" s="266">
        <v>3.0</v>
      </c>
      <c r="N44" s="266">
        <v>3.0</v>
      </c>
      <c r="O44" s="266">
        <v>1.0</v>
      </c>
      <c r="P44" s="266" t="s">
        <v>166</v>
      </c>
      <c r="Q44" s="266" t="s">
        <v>166</v>
      </c>
      <c r="R44" s="497" t="s">
        <v>166</v>
      </c>
      <c r="S44" s="266" t="s">
        <v>166</v>
      </c>
      <c r="T44" s="496"/>
    </row>
    <row r="45">
      <c r="A45" s="494" t="s">
        <v>1664</v>
      </c>
      <c r="B45" s="495" t="s">
        <v>3366</v>
      </c>
      <c r="C45" s="174" t="str">
        <f t="shared" si="11"/>
        <v>Asus</v>
      </c>
      <c r="D45" s="452" t="s">
        <v>3644</v>
      </c>
      <c r="E45" s="266">
        <v>304.0</v>
      </c>
      <c r="F45" s="266">
        <v>118.0</v>
      </c>
      <c r="G45" s="266">
        <v>54.0</v>
      </c>
      <c r="H45" s="266">
        <v>2.0</v>
      </c>
      <c r="I45" s="266">
        <v>1770.0</v>
      </c>
      <c r="J45" s="266">
        <v>14.0</v>
      </c>
      <c r="K45" s="266">
        <v>160.0</v>
      </c>
      <c r="L45" s="266" t="s">
        <v>3361</v>
      </c>
      <c r="M45" s="266">
        <v>3.0</v>
      </c>
      <c r="N45" s="266">
        <v>3.0</v>
      </c>
      <c r="O45" s="266">
        <v>1.0</v>
      </c>
      <c r="P45" s="266" t="s">
        <v>166</v>
      </c>
      <c r="Q45" s="266" t="s">
        <v>166</v>
      </c>
      <c r="R45" s="497" t="s">
        <v>166</v>
      </c>
      <c r="S45" s="266" t="s">
        <v>166</v>
      </c>
      <c r="T45" s="496"/>
    </row>
    <row r="46">
      <c r="A46" s="494" t="s">
        <v>1664</v>
      </c>
      <c r="B46" s="495" t="s">
        <v>3366</v>
      </c>
      <c r="C46" s="174" t="str">
        <f t="shared" si="11"/>
        <v>Asus</v>
      </c>
      <c r="D46" s="452" t="s">
        <v>3645</v>
      </c>
      <c r="E46" s="266">
        <v>282.6</v>
      </c>
      <c r="F46" s="266">
        <v>128.5</v>
      </c>
      <c r="G46" s="266">
        <v>53.8</v>
      </c>
      <c r="H46" s="266">
        <v>2.0</v>
      </c>
      <c r="I46" s="266">
        <v>1770.0</v>
      </c>
      <c r="J46" s="266">
        <v>14.0</v>
      </c>
      <c r="K46" s="266">
        <v>160.0</v>
      </c>
      <c r="L46" s="266">
        <v>8.0</v>
      </c>
      <c r="M46" s="266">
        <v>3.0</v>
      </c>
      <c r="N46" s="266">
        <v>3.0</v>
      </c>
      <c r="O46" s="266">
        <v>1.0</v>
      </c>
      <c r="P46" s="266" t="s">
        <v>166</v>
      </c>
      <c r="Q46" s="266" t="s">
        <v>166</v>
      </c>
      <c r="R46" s="497" t="s">
        <v>166</v>
      </c>
      <c r="S46" s="266" t="s">
        <v>166</v>
      </c>
      <c r="T46" s="496"/>
    </row>
    <row r="47">
      <c r="A47" s="494" t="s">
        <v>1664</v>
      </c>
      <c r="B47" s="495" t="s">
        <v>3366</v>
      </c>
      <c r="C47" s="174" t="str">
        <f t="shared" si="11"/>
        <v>Asus</v>
      </c>
      <c r="D47" s="452" t="s">
        <v>3646</v>
      </c>
      <c r="E47" s="266">
        <v>282.6</v>
      </c>
      <c r="F47" s="266">
        <v>128.5</v>
      </c>
      <c r="G47" s="266">
        <v>53.8</v>
      </c>
      <c r="H47" s="266">
        <v>2.0</v>
      </c>
      <c r="I47" s="266">
        <v>1770.0</v>
      </c>
      <c r="J47" s="266">
        <v>14.0</v>
      </c>
      <c r="K47" s="266">
        <v>160.0</v>
      </c>
      <c r="L47" s="266">
        <v>8.0</v>
      </c>
      <c r="M47" s="266">
        <v>3.0</v>
      </c>
      <c r="N47" s="266">
        <v>3.0</v>
      </c>
      <c r="O47" s="266">
        <v>1.0</v>
      </c>
      <c r="P47" s="266" t="s">
        <v>166</v>
      </c>
      <c r="Q47" s="266" t="s">
        <v>166</v>
      </c>
      <c r="R47" s="497" t="s">
        <v>166</v>
      </c>
      <c r="S47" s="266" t="s">
        <v>166</v>
      </c>
      <c r="T47" s="496"/>
    </row>
    <row r="48">
      <c r="A48" s="494" t="s">
        <v>1664</v>
      </c>
      <c r="B48" s="495" t="s">
        <v>3366</v>
      </c>
      <c r="C48" s="174" t="s">
        <v>3627</v>
      </c>
      <c r="D48" s="452" t="s">
        <v>3632</v>
      </c>
      <c r="E48" s="266">
        <v>260.0</v>
      </c>
      <c r="F48" s="266">
        <v>117.0</v>
      </c>
      <c r="G48" s="266">
        <v>50.0</v>
      </c>
      <c r="H48" s="266">
        <v>2.0</v>
      </c>
      <c r="I48" s="266">
        <v>1620.0</v>
      </c>
      <c r="J48" s="266">
        <v>14.0</v>
      </c>
      <c r="K48" s="266">
        <v>160.0</v>
      </c>
      <c r="L48" s="266">
        <v>8.0</v>
      </c>
      <c r="M48" s="266">
        <v>2.0</v>
      </c>
      <c r="N48" s="266">
        <v>3.0</v>
      </c>
      <c r="O48" s="266">
        <v>1.0</v>
      </c>
      <c r="P48" s="266" t="s">
        <v>166</v>
      </c>
      <c r="Q48" s="266" t="s">
        <v>166</v>
      </c>
      <c r="R48" s="497" t="s">
        <v>166</v>
      </c>
      <c r="S48" s="266" t="s">
        <v>166</v>
      </c>
      <c r="T48" s="496"/>
    </row>
    <row r="49">
      <c r="A49" s="494" t="s">
        <v>1664</v>
      </c>
      <c r="B49" s="495" t="s">
        <v>3366</v>
      </c>
      <c r="C49" s="174" t="s">
        <v>3627</v>
      </c>
      <c r="D49" s="452" t="s">
        <v>3647</v>
      </c>
      <c r="E49" s="266">
        <v>260.0</v>
      </c>
      <c r="F49" s="266">
        <v>117.0</v>
      </c>
      <c r="G49" s="266">
        <v>50.0</v>
      </c>
      <c r="H49" s="266">
        <v>2.0</v>
      </c>
      <c r="I49" s="266">
        <v>1620.0</v>
      </c>
      <c r="J49" s="266">
        <v>14.0</v>
      </c>
      <c r="K49" s="266">
        <v>160.0</v>
      </c>
      <c r="L49" s="266">
        <v>8.0</v>
      </c>
      <c r="M49" s="266">
        <v>2.0</v>
      </c>
      <c r="N49" s="266">
        <v>3.0</v>
      </c>
      <c r="O49" s="266">
        <v>1.0</v>
      </c>
      <c r="P49" s="266" t="s">
        <v>166</v>
      </c>
      <c r="Q49" s="266" t="s">
        <v>166</v>
      </c>
      <c r="R49" s="497" t="s">
        <v>166</v>
      </c>
      <c r="S49" s="497" t="s">
        <v>166</v>
      </c>
      <c r="T49" s="496"/>
    </row>
    <row r="50">
      <c r="A50" s="494" t="s">
        <v>1664</v>
      </c>
      <c r="B50" s="495" t="s">
        <v>3366</v>
      </c>
      <c r="C50" s="174" t="s">
        <v>3627</v>
      </c>
      <c r="D50" s="452" t="s">
        <v>3648</v>
      </c>
      <c r="E50" s="266">
        <v>319.0</v>
      </c>
      <c r="F50" s="266">
        <v>127.0</v>
      </c>
      <c r="G50" s="266">
        <v>53.0</v>
      </c>
      <c r="H50" s="266">
        <v>2.0</v>
      </c>
      <c r="I50" s="266">
        <v>1750.0</v>
      </c>
      <c r="J50" s="266">
        <v>14.0</v>
      </c>
      <c r="K50" s="266">
        <v>160.0</v>
      </c>
      <c r="L50" s="266" t="s">
        <v>3361</v>
      </c>
      <c r="M50" s="266">
        <v>3.0</v>
      </c>
      <c r="N50" s="266">
        <v>3.0</v>
      </c>
      <c r="O50" s="266">
        <v>1.0</v>
      </c>
      <c r="P50" s="266" t="s">
        <v>166</v>
      </c>
      <c r="Q50" s="266" t="s">
        <v>166</v>
      </c>
      <c r="R50" s="497" t="s">
        <v>166</v>
      </c>
      <c r="S50" s="497" t="s">
        <v>166</v>
      </c>
      <c r="T50" s="496"/>
    </row>
    <row r="51">
      <c r="A51" s="494" t="s">
        <v>1664</v>
      </c>
      <c r="B51" s="495" t="s">
        <v>3366</v>
      </c>
      <c r="C51" s="174" t="str">
        <f t="shared" ref="C51:C55" si="12">HYPERLINK("https://www.gigabyte.com/","Gigabyte")</f>
        <v>Gigabyte</v>
      </c>
      <c r="D51" s="452" t="s">
        <v>3597</v>
      </c>
      <c r="E51" s="266">
        <v>228.0</v>
      </c>
      <c r="F51" s="266">
        <v>118.0</v>
      </c>
      <c r="G51" s="266">
        <v>40.8</v>
      </c>
      <c r="H51" s="266">
        <v>2.0</v>
      </c>
      <c r="I51" s="266">
        <v>1560.0</v>
      </c>
      <c r="J51" s="266">
        <v>14.0</v>
      </c>
      <c r="K51" s="266">
        <v>160.0</v>
      </c>
      <c r="L51" s="266">
        <v>8.0</v>
      </c>
      <c r="M51" s="266">
        <v>2.0</v>
      </c>
      <c r="N51" s="266">
        <v>3.0</v>
      </c>
      <c r="O51" s="266">
        <v>1.0</v>
      </c>
      <c r="P51" s="266" t="s">
        <v>166</v>
      </c>
      <c r="Q51" s="266" t="s">
        <v>166</v>
      </c>
      <c r="R51" s="497" t="s">
        <v>166</v>
      </c>
      <c r="S51" s="497" t="s">
        <v>166</v>
      </c>
      <c r="T51" s="496"/>
    </row>
    <row r="52">
      <c r="A52" s="494" t="s">
        <v>1664</v>
      </c>
      <c r="B52" s="495" t="s">
        <v>3366</v>
      </c>
      <c r="C52" s="174" t="str">
        <f t="shared" si="12"/>
        <v>Gigabyte</v>
      </c>
      <c r="D52" s="452" t="s">
        <v>3578</v>
      </c>
      <c r="E52" s="266">
        <v>228.0</v>
      </c>
      <c r="F52" s="266">
        <v>118.0</v>
      </c>
      <c r="G52" s="266">
        <v>40.8</v>
      </c>
      <c r="H52" s="266">
        <v>2.0</v>
      </c>
      <c r="I52" s="266">
        <v>1620.0</v>
      </c>
      <c r="J52" s="266">
        <v>14.0</v>
      </c>
      <c r="K52" s="266">
        <v>160.0</v>
      </c>
      <c r="L52" s="266">
        <v>8.0</v>
      </c>
      <c r="M52" s="266">
        <v>2.0</v>
      </c>
      <c r="N52" s="266">
        <v>3.0</v>
      </c>
      <c r="O52" s="266">
        <v>1.0</v>
      </c>
      <c r="P52" s="266" t="s">
        <v>166</v>
      </c>
      <c r="Q52" s="266" t="s">
        <v>166</v>
      </c>
      <c r="R52" s="497" t="s">
        <v>166</v>
      </c>
      <c r="S52" s="497" t="s">
        <v>166</v>
      </c>
      <c r="T52" s="496"/>
    </row>
    <row r="53">
      <c r="A53" s="494" t="s">
        <v>1664</v>
      </c>
      <c r="B53" s="495" t="s">
        <v>3366</v>
      </c>
      <c r="C53" s="174" t="str">
        <f t="shared" si="12"/>
        <v>Gigabyte</v>
      </c>
      <c r="D53" s="452" t="s">
        <v>3409</v>
      </c>
      <c r="E53" s="266">
        <v>279.85</v>
      </c>
      <c r="F53" s="266">
        <v>114.35</v>
      </c>
      <c r="G53" s="266">
        <v>49.55</v>
      </c>
      <c r="H53" s="266">
        <v>2.0</v>
      </c>
      <c r="I53" s="266">
        <v>1560.0</v>
      </c>
      <c r="J53" s="266">
        <v>12.0</v>
      </c>
      <c r="K53" s="266">
        <v>160.0</v>
      </c>
      <c r="L53" s="266">
        <v>8.0</v>
      </c>
      <c r="M53" s="266">
        <v>3.0</v>
      </c>
      <c r="N53" s="266">
        <v>3.0</v>
      </c>
      <c r="O53" s="266">
        <v>1.0</v>
      </c>
      <c r="P53" s="266" t="s">
        <v>166</v>
      </c>
      <c r="Q53" s="266" t="s">
        <v>166</v>
      </c>
      <c r="R53" s="497" t="s">
        <v>166</v>
      </c>
      <c r="S53" s="497" t="s">
        <v>166</v>
      </c>
      <c r="T53" s="496"/>
    </row>
    <row r="54">
      <c r="A54" s="494" t="s">
        <v>1664</v>
      </c>
      <c r="B54" s="495" t="s">
        <v>3366</v>
      </c>
      <c r="C54" s="174" t="str">
        <f t="shared" si="12"/>
        <v>Gigabyte</v>
      </c>
      <c r="D54" s="452" t="s">
        <v>3630</v>
      </c>
      <c r="E54" s="266">
        <v>279.85</v>
      </c>
      <c r="F54" s="266">
        <v>114.35</v>
      </c>
      <c r="G54" s="266">
        <v>49.55</v>
      </c>
      <c r="H54" s="266">
        <v>2.0</v>
      </c>
      <c r="I54" s="266">
        <v>1620.0</v>
      </c>
      <c r="J54" s="266">
        <v>14.0</v>
      </c>
      <c r="K54" s="266">
        <v>160.0</v>
      </c>
      <c r="L54" s="266">
        <v>8.0</v>
      </c>
      <c r="M54" s="266">
        <v>3.0</v>
      </c>
      <c r="N54" s="266">
        <v>3.0</v>
      </c>
      <c r="O54" s="266">
        <v>1.0</v>
      </c>
      <c r="P54" s="266" t="s">
        <v>166</v>
      </c>
      <c r="Q54" s="266" t="s">
        <v>166</v>
      </c>
      <c r="R54" s="497" t="s">
        <v>166</v>
      </c>
      <c r="S54" s="497" t="s">
        <v>166</v>
      </c>
      <c r="T54" s="496"/>
    </row>
    <row r="55">
      <c r="A55" s="494" t="s">
        <v>1664</v>
      </c>
      <c r="B55" s="495" t="s">
        <v>3366</v>
      </c>
      <c r="C55" s="174" t="str">
        <f t="shared" si="12"/>
        <v>Gigabyte</v>
      </c>
      <c r="D55" s="452" t="s">
        <v>3649</v>
      </c>
      <c r="E55" s="266">
        <v>279.82</v>
      </c>
      <c r="F55" s="266">
        <v>115.96</v>
      </c>
      <c r="G55" s="266">
        <v>40.4</v>
      </c>
      <c r="H55" s="266">
        <v>2.0</v>
      </c>
      <c r="I55" s="266">
        <v>1750.0</v>
      </c>
      <c r="J55" s="266">
        <v>14.0</v>
      </c>
      <c r="K55" s="266">
        <v>160.0</v>
      </c>
      <c r="L55" s="266">
        <v>8.0</v>
      </c>
      <c r="M55" s="266">
        <v>3.0</v>
      </c>
      <c r="N55" s="266">
        <v>3.0</v>
      </c>
      <c r="O55" s="266">
        <v>1.0</v>
      </c>
      <c r="P55" s="266" t="s">
        <v>166</v>
      </c>
      <c r="Q55" s="266" t="s">
        <v>166</v>
      </c>
      <c r="R55" s="497" t="s">
        <v>166</v>
      </c>
      <c r="S55" s="497" t="s">
        <v>166</v>
      </c>
      <c r="T55" s="496"/>
    </row>
    <row r="56">
      <c r="A56" s="494" t="s">
        <v>1664</v>
      </c>
      <c r="B56" s="495" t="s">
        <v>3366</v>
      </c>
      <c r="C56" s="174" t="str">
        <f t="shared" ref="C56:C61" si="13">HYPERLINK("https://www.msi.com/index.php","MSI")</f>
        <v>MSI</v>
      </c>
      <c r="D56" s="452" t="s">
        <v>3650</v>
      </c>
      <c r="E56" s="266">
        <v>231.0</v>
      </c>
      <c r="F56" s="266">
        <v>127.0</v>
      </c>
      <c r="G56" s="266">
        <v>46.0</v>
      </c>
      <c r="H56" s="266">
        <v>2.0</v>
      </c>
      <c r="I56" s="266">
        <v>1560.0</v>
      </c>
      <c r="J56" s="266">
        <v>14.0</v>
      </c>
      <c r="K56" s="266">
        <v>160.0</v>
      </c>
      <c r="L56" s="266">
        <v>8.0</v>
      </c>
      <c r="M56" s="266">
        <v>2.0</v>
      </c>
      <c r="N56" s="266">
        <v>3.0</v>
      </c>
      <c r="O56" s="266">
        <v>1.0</v>
      </c>
      <c r="P56" s="266" t="s">
        <v>166</v>
      </c>
      <c r="Q56" s="266" t="s">
        <v>166</v>
      </c>
      <c r="R56" s="497" t="s">
        <v>166</v>
      </c>
      <c r="S56" s="497" t="s">
        <v>166</v>
      </c>
      <c r="T56" s="496"/>
    </row>
    <row r="57">
      <c r="A57" s="494" t="s">
        <v>1664</v>
      </c>
      <c r="B57" s="495" t="s">
        <v>3366</v>
      </c>
      <c r="C57" s="174" t="str">
        <f t="shared" si="13"/>
        <v>MSI</v>
      </c>
      <c r="D57" s="452" t="s">
        <v>3363</v>
      </c>
      <c r="E57" s="266">
        <v>231.0</v>
      </c>
      <c r="F57" s="266">
        <v>127.0</v>
      </c>
      <c r="G57" s="266">
        <v>46.0</v>
      </c>
      <c r="H57" s="266">
        <v>2.0</v>
      </c>
      <c r="I57" s="266">
        <v>1620.0</v>
      </c>
      <c r="J57" s="266">
        <v>14.0</v>
      </c>
      <c r="K57" s="266">
        <v>160.0</v>
      </c>
      <c r="L57" s="266">
        <v>8.0</v>
      </c>
      <c r="M57" s="266">
        <v>2.0</v>
      </c>
      <c r="N57" s="266">
        <v>3.0</v>
      </c>
      <c r="O57" s="266">
        <v>1.0</v>
      </c>
      <c r="P57" s="266" t="s">
        <v>166</v>
      </c>
      <c r="Q57" s="266" t="s">
        <v>166</v>
      </c>
      <c r="R57" s="497" t="s">
        <v>166</v>
      </c>
      <c r="S57" s="497" t="s">
        <v>166</v>
      </c>
      <c r="T57" s="496"/>
    </row>
    <row r="58">
      <c r="A58" s="494" t="s">
        <v>1664</v>
      </c>
      <c r="B58" s="495" t="s">
        <v>3366</v>
      </c>
      <c r="C58" s="174" t="str">
        <f t="shared" si="13"/>
        <v>MSI</v>
      </c>
      <c r="D58" s="452" t="s">
        <v>3651</v>
      </c>
      <c r="E58" s="266">
        <v>297.0</v>
      </c>
      <c r="F58" s="266">
        <v>141.0</v>
      </c>
      <c r="G58" s="266">
        <v>42.0</v>
      </c>
      <c r="H58" s="266">
        <v>2.0</v>
      </c>
      <c r="I58" s="266">
        <v>1560.0</v>
      </c>
      <c r="J58" s="266">
        <v>14.0</v>
      </c>
      <c r="K58" s="266">
        <v>160.0</v>
      </c>
      <c r="L58" s="266" t="s">
        <v>3460</v>
      </c>
      <c r="M58" s="266">
        <v>2.0</v>
      </c>
      <c r="N58" s="266">
        <v>3.0</v>
      </c>
      <c r="O58" s="266">
        <v>1.0</v>
      </c>
      <c r="P58" s="266" t="s">
        <v>166</v>
      </c>
      <c r="Q58" s="266" t="s">
        <v>166</v>
      </c>
      <c r="R58" s="497" t="s">
        <v>166</v>
      </c>
      <c r="S58" s="497" t="s">
        <v>166</v>
      </c>
      <c r="T58" s="496"/>
    </row>
    <row r="59">
      <c r="A59" s="494" t="s">
        <v>1664</v>
      </c>
      <c r="B59" s="495" t="s">
        <v>3366</v>
      </c>
      <c r="C59" s="174" t="str">
        <f t="shared" si="13"/>
        <v>MSI</v>
      </c>
      <c r="D59" s="452" t="s">
        <v>3652</v>
      </c>
      <c r="E59" s="266">
        <v>297.0</v>
      </c>
      <c r="F59" s="266">
        <v>141.0</v>
      </c>
      <c r="G59" s="266">
        <v>42.0</v>
      </c>
      <c r="H59" s="266">
        <v>2.0</v>
      </c>
      <c r="I59" s="266">
        <v>1620.0</v>
      </c>
      <c r="J59" s="266">
        <v>14.0</v>
      </c>
      <c r="K59" s="266">
        <v>160.0</v>
      </c>
      <c r="L59" s="266" t="s">
        <v>3460</v>
      </c>
      <c r="M59" s="266">
        <v>2.0</v>
      </c>
      <c r="N59" s="266">
        <v>3.0</v>
      </c>
      <c r="O59" s="266">
        <v>1.0</v>
      </c>
      <c r="P59" s="266" t="s">
        <v>166</v>
      </c>
      <c r="Q59" s="266" t="s">
        <v>166</v>
      </c>
      <c r="R59" s="497" t="s">
        <v>166</v>
      </c>
      <c r="S59" s="497" t="s">
        <v>166</v>
      </c>
      <c r="T59" s="496"/>
    </row>
    <row r="60">
      <c r="A60" s="494" t="s">
        <v>1664</v>
      </c>
      <c r="B60" s="495" t="s">
        <v>3366</v>
      </c>
      <c r="C60" s="174" t="str">
        <f t="shared" si="13"/>
        <v>MSI</v>
      </c>
      <c r="D60" s="452" t="s">
        <v>3409</v>
      </c>
      <c r="E60" s="266">
        <v>297.0</v>
      </c>
      <c r="F60" s="266">
        <v>140.0</v>
      </c>
      <c r="G60" s="266">
        <v>58.0</v>
      </c>
      <c r="H60" s="266">
        <v>2.0</v>
      </c>
      <c r="I60" s="266">
        <v>1600.0</v>
      </c>
      <c r="J60" s="266">
        <v>14.0</v>
      </c>
      <c r="K60" s="266">
        <v>160.0</v>
      </c>
      <c r="L60" s="266" t="s">
        <v>3460</v>
      </c>
      <c r="M60" s="266">
        <v>2.0</v>
      </c>
      <c r="N60" s="266">
        <v>3.0</v>
      </c>
      <c r="O60" s="266">
        <v>1.0</v>
      </c>
      <c r="P60" s="266" t="s">
        <v>166</v>
      </c>
      <c r="Q60" s="266" t="s">
        <v>166</v>
      </c>
      <c r="R60" s="497" t="s">
        <v>166</v>
      </c>
      <c r="S60" s="497" t="s">
        <v>166</v>
      </c>
      <c r="T60" s="496"/>
    </row>
    <row r="61">
      <c r="A61" s="494" t="s">
        <v>1664</v>
      </c>
      <c r="B61" s="495" t="s">
        <v>3366</v>
      </c>
      <c r="C61" s="174" t="str">
        <f t="shared" si="13"/>
        <v>MSI</v>
      </c>
      <c r="D61" s="452" t="s">
        <v>3557</v>
      </c>
      <c r="E61" s="266">
        <v>297.0</v>
      </c>
      <c r="F61" s="266">
        <v>140.0</v>
      </c>
      <c r="G61" s="266">
        <v>58.0</v>
      </c>
      <c r="H61" s="266">
        <v>2.0</v>
      </c>
      <c r="I61" s="266">
        <v>1750.0</v>
      </c>
      <c r="J61" s="266">
        <v>14.0</v>
      </c>
      <c r="K61" s="266">
        <v>160.0</v>
      </c>
      <c r="L61" s="266" t="s">
        <v>3460</v>
      </c>
      <c r="M61" s="266">
        <v>2.0</v>
      </c>
      <c r="N61" s="266">
        <v>3.0</v>
      </c>
      <c r="O61" s="266">
        <v>1.0</v>
      </c>
      <c r="P61" s="266" t="s">
        <v>166</v>
      </c>
      <c r="Q61" s="266" t="s">
        <v>166</v>
      </c>
      <c r="R61" s="497" t="s">
        <v>166</v>
      </c>
      <c r="S61" s="497" t="s">
        <v>166</v>
      </c>
      <c r="T61" s="496"/>
    </row>
    <row r="62">
      <c r="A62" s="494" t="s">
        <v>1664</v>
      </c>
      <c r="B62" s="495" t="s">
        <v>3366</v>
      </c>
      <c r="C62" s="452" t="str">
        <f t="shared" ref="C62:C64" si="14">HYPERLINK("https://www.powercolor.com/","PowerColor")</f>
        <v>PowerColor</v>
      </c>
      <c r="D62" s="452" t="str">
        <f>HYPERLINK("https://www.powercolor.com/product?id=1577415751","RX 5600 XT (6GBD6-3DH/OC)")</f>
        <v>RX 5600 XT (6GBD6-3DH/OC)</v>
      </c>
      <c r="E62" s="266">
        <v>230.0</v>
      </c>
      <c r="F62" s="266">
        <v>98.0</v>
      </c>
      <c r="G62" s="266">
        <v>40.0</v>
      </c>
      <c r="H62" s="266">
        <v>2.0</v>
      </c>
      <c r="I62" s="266">
        <v>1620.0</v>
      </c>
      <c r="J62" s="266">
        <v>12.0</v>
      </c>
      <c r="K62" s="266">
        <v>160.0</v>
      </c>
      <c r="L62" s="266">
        <v>8.0</v>
      </c>
      <c r="M62" s="266">
        <v>2.0</v>
      </c>
      <c r="N62" s="266">
        <v>3.0</v>
      </c>
      <c r="O62" s="266">
        <v>1.0</v>
      </c>
      <c r="P62" s="266" t="s">
        <v>166</v>
      </c>
      <c r="Q62" s="266" t="s">
        <v>166</v>
      </c>
      <c r="R62" s="497" t="s">
        <v>166</v>
      </c>
      <c r="S62" s="497" t="s">
        <v>166</v>
      </c>
      <c r="T62" s="496"/>
    </row>
    <row r="63">
      <c r="A63" s="494" t="s">
        <v>1664</v>
      </c>
      <c r="B63" s="495" t="s">
        <v>3366</v>
      </c>
      <c r="C63" s="452" t="str">
        <f t="shared" si="14"/>
        <v>PowerColor</v>
      </c>
      <c r="D63" s="452" t="str">
        <f>HYPERLINK("https://www.powercolor.com/product?id=1577415960","Red Dragon")</f>
        <v>Red Dragon</v>
      </c>
      <c r="E63" s="266">
        <v>240.0</v>
      </c>
      <c r="F63" s="266">
        <v>118.0</v>
      </c>
      <c r="G63" s="266">
        <v>40.0</v>
      </c>
      <c r="H63" s="266">
        <v>2.0</v>
      </c>
      <c r="I63" s="266">
        <v>1620.0</v>
      </c>
      <c r="J63" s="266">
        <v>14.0</v>
      </c>
      <c r="K63" s="266">
        <v>160.0</v>
      </c>
      <c r="L63" s="266">
        <v>8.0</v>
      </c>
      <c r="M63" s="266">
        <v>2.0</v>
      </c>
      <c r="N63" s="266">
        <v>3.0</v>
      </c>
      <c r="O63" s="266">
        <v>1.0</v>
      </c>
      <c r="P63" s="266" t="s">
        <v>166</v>
      </c>
      <c r="Q63" s="266" t="s">
        <v>166</v>
      </c>
      <c r="R63" s="497" t="s">
        <v>166</v>
      </c>
      <c r="S63" s="497" t="s">
        <v>166</v>
      </c>
      <c r="T63" s="496"/>
    </row>
    <row r="64">
      <c r="A64" s="494" t="s">
        <v>1664</v>
      </c>
      <c r="B64" s="495" t="s">
        <v>3366</v>
      </c>
      <c r="C64" s="452" t="str">
        <f t="shared" si="14"/>
        <v>PowerColor</v>
      </c>
      <c r="D64" s="452" t="s">
        <v>3653</v>
      </c>
      <c r="E64" s="266">
        <v>240.0</v>
      </c>
      <c r="F64" s="266">
        <v>118.0</v>
      </c>
      <c r="G64" s="266">
        <v>52.0</v>
      </c>
      <c r="H64" s="266">
        <v>2.0</v>
      </c>
      <c r="I64" s="266">
        <v>1750.0</v>
      </c>
      <c r="J64" s="266">
        <v>14.0</v>
      </c>
      <c r="K64" s="266">
        <v>160.0</v>
      </c>
      <c r="L64" s="266" t="s">
        <v>3361</v>
      </c>
      <c r="M64" s="266">
        <v>2.0</v>
      </c>
      <c r="N64" s="266">
        <v>3.0</v>
      </c>
      <c r="O64" s="266">
        <v>1.0</v>
      </c>
      <c r="P64" s="266" t="s">
        <v>166</v>
      </c>
      <c r="Q64" s="266" t="s">
        <v>166</v>
      </c>
      <c r="R64" s="497" t="s">
        <v>166</v>
      </c>
      <c r="S64" s="497" t="s">
        <v>166</v>
      </c>
      <c r="T64" s="496"/>
    </row>
    <row r="65">
      <c r="A65" s="494" t="s">
        <v>1664</v>
      </c>
      <c r="B65" s="495" t="s">
        <v>3366</v>
      </c>
      <c r="C65" s="452" t="str">
        <f t="shared" ref="C65:C66" si="15">HYPERLINK("https://www.sapphiretech.com/","Sapphire")</f>
        <v>Sapphire</v>
      </c>
      <c r="D65" s="452" t="s">
        <v>3654</v>
      </c>
      <c r="E65" s="266">
        <v>230.5</v>
      </c>
      <c r="F65" s="266">
        <v>122.5</v>
      </c>
      <c r="G65" s="266">
        <v>40.1</v>
      </c>
      <c r="H65" s="266">
        <v>2.0</v>
      </c>
      <c r="I65" s="266">
        <v>1620.0</v>
      </c>
      <c r="J65" s="266">
        <v>14.0</v>
      </c>
      <c r="K65" s="266">
        <v>150.0</v>
      </c>
      <c r="L65" s="266">
        <v>8.0</v>
      </c>
      <c r="M65" s="266">
        <v>2.0</v>
      </c>
      <c r="N65" s="266">
        <v>2.0</v>
      </c>
      <c r="O65" s="266">
        <v>2.0</v>
      </c>
      <c r="P65" s="266" t="s">
        <v>166</v>
      </c>
      <c r="Q65" s="266" t="s">
        <v>166</v>
      </c>
      <c r="R65" s="497" t="s">
        <v>166</v>
      </c>
      <c r="S65" s="497" t="s">
        <v>166</v>
      </c>
      <c r="T65" s="496"/>
    </row>
    <row r="66">
      <c r="A66" s="494" t="s">
        <v>1664</v>
      </c>
      <c r="B66" s="495" t="s">
        <v>3366</v>
      </c>
      <c r="C66" s="452" t="str">
        <f t="shared" si="15"/>
        <v>Sapphire</v>
      </c>
      <c r="D66" s="452" t="s">
        <v>3376</v>
      </c>
      <c r="E66" s="266">
        <v>254.0</v>
      </c>
      <c r="F66" s="266">
        <v>135.0</v>
      </c>
      <c r="G66" s="266">
        <v>46.5</v>
      </c>
      <c r="H66" s="266">
        <v>2.0</v>
      </c>
      <c r="I66" s="266">
        <v>1750.0</v>
      </c>
      <c r="J66" s="266">
        <v>14.0</v>
      </c>
      <c r="K66" s="266">
        <v>160.0</v>
      </c>
      <c r="L66" s="266">
        <v>8.0</v>
      </c>
      <c r="M66" s="266">
        <v>2.0</v>
      </c>
      <c r="N66" s="266">
        <v>3.0</v>
      </c>
      <c r="O66" s="266">
        <v>1.0</v>
      </c>
      <c r="P66" s="266" t="s">
        <v>166</v>
      </c>
      <c r="Q66" s="266" t="s">
        <v>166</v>
      </c>
      <c r="R66" s="497" t="s">
        <v>166</v>
      </c>
      <c r="S66" s="497" t="s">
        <v>166</v>
      </c>
      <c r="T66" s="496"/>
    </row>
    <row r="67">
      <c r="A67" s="494" t="s">
        <v>1664</v>
      </c>
      <c r="B67" s="495" t="s">
        <v>3366</v>
      </c>
      <c r="C67" s="452" t="str">
        <f t="shared" ref="C67:C70" si="16">HYPERLINK("https://www.xfxforce.com/","XFX")</f>
        <v>XFX</v>
      </c>
      <c r="D67" s="452" t="s">
        <v>3655</v>
      </c>
      <c r="E67" s="266">
        <v>326.0</v>
      </c>
      <c r="F67" s="266">
        <v>148.0</v>
      </c>
      <c r="G67" s="266">
        <v>44.0</v>
      </c>
      <c r="H67" s="266">
        <v>2.0</v>
      </c>
      <c r="I67" s="266">
        <v>1620.0</v>
      </c>
      <c r="J67" s="266">
        <v>12.0</v>
      </c>
      <c r="K67" s="266">
        <v>160.0</v>
      </c>
      <c r="L67" s="266" t="s">
        <v>3361</v>
      </c>
      <c r="M67" s="266">
        <v>2.0</v>
      </c>
      <c r="N67" s="266">
        <v>3.0</v>
      </c>
      <c r="O67" s="266">
        <v>1.0</v>
      </c>
      <c r="P67" s="266" t="s">
        <v>166</v>
      </c>
      <c r="Q67" s="266" t="s">
        <v>166</v>
      </c>
      <c r="R67" s="497" t="s">
        <v>166</v>
      </c>
      <c r="S67" s="497" t="s">
        <v>166</v>
      </c>
      <c r="T67" s="496"/>
    </row>
    <row r="68">
      <c r="A68" s="494" t="s">
        <v>1664</v>
      </c>
      <c r="B68" s="495" t="s">
        <v>3366</v>
      </c>
      <c r="C68" s="452" t="str">
        <f t="shared" si="16"/>
        <v>XFX</v>
      </c>
      <c r="D68" s="452" t="str">
        <f>HYPERLINK("https://www.xfxforce.com/gpus/xfx-amd-radeon-tm-rx-5600-xt-6gb-gddr6-thicc-ii-pro","THICC II Pro")</f>
        <v>THICC II Pro</v>
      </c>
      <c r="E68" s="266">
        <v>280.0</v>
      </c>
      <c r="F68" s="266">
        <v>148.0</v>
      </c>
      <c r="G68" s="266">
        <v>44.0</v>
      </c>
      <c r="H68" s="266">
        <v>2.0</v>
      </c>
      <c r="I68" s="266">
        <v>1620.0</v>
      </c>
      <c r="J68" s="266">
        <v>12.0</v>
      </c>
      <c r="K68" s="266">
        <v>160.0</v>
      </c>
      <c r="L68" s="266">
        <v>8.0</v>
      </c>
      <c r="M68" s="266">
        <v>2.0</v>
      </c>
      <c r="N68" s="266">
        <v>3.0</v>
      </c>
      <c r="O68" s="266">
        <v>1.0</v>
      </c>
      <c r="P68" s="266" t="s">
        <v>166</v>
      </c>
      <c r="Q68" s="266" t="s">
        <v>166</v>
      </c>
      <c r="R68" s="497" t="s">
        <v>166</v>
      </c>
      <c r="S68" s="497" t="s">
        <v>166</v>
      </c>
      <c r="T68" s="496"/>
    </row>
    <row r="69">
      <c r="A69" s="494" t="s">
        <v>1664</v>
      </c>
      <c r="B69" s="495" t="s">
        <v>3366</v>
      </c>
      <c r="C69" s="452" t="str">
        <f t="shared" si="16"/>
        <v>XFX</v>
      </c>
      <c r="D69" s="452" t="str">
        <f>HYPERLINK("https://www.xfxforce.com/gpus/xfx-amd-radeon-tm-rx-5600-xt-6gb-gddr6-thicc-iii-pro","THICC III Pro")</f>
        <v>THICC III Pro</v>
      </c>
      <c r="E69" s="266">
        <v>326.0</v>
      </c>
      <c r="F69" s="266">
        <v>148.0</v>
      </c>
      <c r="G69" s="266">
        <v>44.0</v>
      </c>
      <c r="H69" s="266">
        <v>2.0</v>
      </c>
      <c r="I69" s="266">
        <v>1750.0</v>
      </c>
      <c r="J69" s="266">
        <v>12.0</v>
      </c>
      <c r="K69" s="266">
        <v>160.0</v>
      </c>
      <c r="L69" s="266" t="s">
        <v>3361</v>
      </c>
      <c r="M69" s="266">
        <v>3.0</v>
      </c>
      <c r="N69" s="266">
        <v>3.0</v>
      </c>
      <c r="O69" s="266">
        <v>1.0</v>
      </c>
      <c r="P69" s="266" t="s">
        <v>166</v>
      </c>
      <c r="Q69" s="266" t="s">
        <v>166</v>
      </c>
      <c r="R69" s="497" t="s">
        <v>166</v>
      </c>
      <c r="S69" s="497" t="s">
        <v>166</v>
      </c>
      <c r="T69" s="496"/>
    </row>
    <row r="70">
      <c r="A70" s="494" t="s">
        <v>1664</v>
      </c>
      <c r="B70" s="495" t="s">
        <v>3366</v>
      </c>
      <c r="C70" s="452" t="str">
        <f t="shared" si="16"/>
        <v>XFX</v>
      </c>
      <c r="D70" s="452" t="str">
        <f>HYPERLINK("https://www.xfxforce.com/gpus/xfx-amd-radeon-tm-rx-5600-xt-6gb-gddr6-thicc-iii-ultra","THICC III Ultra")</f>
        <v>THICC III Ultra</v>
      </c>
      <c r="E70" s="266">
        <v>326.0</v>
      </c>
      <c r="F70" s="266">
        <v>148.0</v>
      </c>
      <c r="G70" s="266">
        <v>44.0</v>
      </c>
      <c r="H70" s="266">
        <v>2.0</v>
      </c>
      <c r="I70" s="266">
        <v>1750.0</v>
      </c>
      <c r="J70" s="266">
        <v>12.0</v>
      </c>
      <c r="K70" s="266">
        <v>160.0</v>
      </c>
      <c r="L70" s="266" t="s">
        <v>3361</v>
      </c>
      <c r="M70" s="266">
        <v>3.0</v>
      </c>
      <c r="N70" s="266">
        <v>3.0</v>
      </c>
      <c r="O70" s="266">
        <v>1.0</v>
      </c>
      <c r="P70" s="266" t="s">
        <v>166</v>
      </c>
      <c r="Q70" s="266" t="s">
        <v>166</v>
      </c>
      <c r="R70" s="497" t="s">
        <v>166</v>
      </c>
      <c r="S70" s="497" t="s">
        <v>166</v>
      </c>
      <c r="T70" s="496"/>
    </row>
    <row r="71">
      <c r="A71" s="494" t="s">
        <v>1664</v>
      </c>
      <c r="B71" s="495" t="s">
        <v>3366</v>
      </c>
      <c r="C71" s="452" t="s">
        <v>3378</v>
      </c>
      <c r="D71" s="452" t="s">
        <v>3656</v>
      </c>
      <c r="E71" s="266" t="s">
        <v>170</v>
      </c>
      <c r="F71" s="266" t="s">
        <v>170</v>
      </c>
      <c r="G71" s="266" t="s">
        <v>170</v>
      </c>
      <c r="H71" s="266">
        <v>2.0</v>
      </c>
      <c r="I71" s="266">
        <v>1620.0</v>
      </c>
      <c r="J71" s="266">
        <v>14.0</v>
      </c>
      <c r="K71" s="266">
        <v>160.0</v>
      </c>
      <c r="L71" s="266">
        <v>8.0</v>
      </c>
      <c r="M71" s="266">
        <v>2.0</v>
      </c>
      <c r="N71" s="266">
        <v>3.0</v>
      </c>
      <c r="O71" s="266">
        <v>1.0</v>
      </c>
      <c r="P71" s="266" t="s">
        <v>166</v>
      </c>
      <c r="Q71" s="266" t="s">
        <v>166</v>
      </c>
      <c r="R71" s="497" t="s">
        <v>166</v>
      </c>
      <c r="S71" s="497" t="s">
        <v>166</v>
      </c>
      <c r="T71" s="496"/>
    </row>
    <row r="72">
      <c r="A72" s="498" t="s">
        <v>1664</v>
      </c>
      <c r="B72" s="499" t="s">
        <v>3366</v>
      </c>
      <c r="C72" s="500" t="s">
        <v>3378</v>
      </c>
      <c r="D72" s="500" t="s">
        <v>3635</v>
      </c>
      <c r="E72" s="501" t="s">
        <v>170</v>
      </c>
      <c r="F72" s="501" t="s">
        <v>170</v>
      </c>
      <c r="G72" s="501" t="s">
        <v>170</v>
      </c>
      <c r="H72" s="501">
        <v>2.0</v>
      </c>
      <c r="I72" s="501">
        <v>1620.0</v>
      </c>
      <c r="J72" s="501">
        <v>12.0</v>
      </c>
      <c r="K72" s="501">
        <v>160.0</v>
      </c>
      <c r="L72" s="519" t="s">
        <v>3361</v>
      </c>
      <c r="M72" s="501">
        <v>3.0</v>
      </c>
      <c r="N72" s="501">
        <v>3.0</v>
      </c>
      <c r="O72" s="501">
        <v>1.0</v>
      </c>
      <c r="P72" s="501" t="s">
        <v>166</v>
      </c>
      <c r="Q72" s="501" t="s">
        <v>166</v>
      </c>
      <c r="R72" s="502" t="s">
        <v>166</v>
      </c>
      <c r="S72" s="502" t="s">
        <v>166</v>
      </c>
      <c r="T72" s="503"/>
    </row>
    <row r="73">
      <c r="A73" s="504" t="s">
        <v>1664</v>
      </c>
      <c r="B73" s="505" t="s">
        <v>3368</v>
      </c>
      <c r="C73" s="506" t="str">
        <f t="shared" ref="C73:C75" si="17">HYPERLINK("https://www.asrock.com/","ASRock")</f>
        <v>ASRock</v>
      </c>
      <c r="D73" s="506" t="str">
        <f>HYPERLINK("https://www.asrock.com/Graphics-Card/AMD/Radeon%20RX%205700%208G/","RX 5700")</f>
        <v>RX 5700</v>
      </c>
      <c r="E73" s="507">
        <f>280.85-12</f>
        <v>268.85</v>
      </c>
      <c r="F73" s="507">
        <f>126.47-15</f>
        <v>111.47</v>
      </c>
      <c r="G73" s="507">
        <v>42.0</v>
      </c>
      <c r="H73" s="507">
        <v>2.0</v>
      </c>
      <c r="I73" s="507">
        <v>1765.0</v>
      </c>
      <c r="J73" s="507">
        <v>14.0</v>
      </c>
      <c r="K73" s="507">
        <v>180.0</v>
      </c>
      <c r="L73" s="507" t="s">
        <v>3361</v>
      </c>
      <c r="M73" s="507">
        <v>1.0</v>
      </c>
      <c r="N73" s="507">
        <v>3.0</v>
      </c>
      <c r="O73" s="507">
        <v>1.0</v>
      </c>
      <c r="P73" s="507" t="s">
        <v>166</v>
      </c>
      <c r="Q73" s="507" t="s">
        <v>166</v>
      </c>
      <c r="R73" s="507" t="s">
        <v>166</v>
      </c>
      <c r="S73" s="507" t="s">
        <v>174</v>
      </c>
      <c r="T73" s="494"/>
    </row>
    <row r="74">
      <c r="A74" s="494" t="s">
        <v>1664</v>
      </c>
      <c r="B74" s="495" t="s">
        <v>3368</v>
      </c>
      <c r="C74" s="452" t="str">
        <f t="shared" si="17"/>
        <v>ASRock</v>
      </c>
      <c r="D74" s="452" t="str">
        <f>HYPERLINK("https://www.asrock.com/Graphics-Card/AMD/Radeon%20RX%205700%20Challenger%20D%208G%20OC/","Challenger D OC")</f>
        <v>Challenger D OC</v>
      </c>
      <c r="E74" s="266">
        <f>281-12</f>
        <v>269</v>
      </c>
      <c r="F74" s="266">
        <f>137-15</f>
        <v>122</v>
      </c>
      <c r="G74" s="266">
        <v>42.0</v>
      </c>
      <c r="H74" s="266">
        <v>2.0</v>
      </c>
      <c r="I74" s="266">
        <v>1750.0</v>
      </c>
      <c r="J74" s="266">
        <v>14.0</v>
      </c>
      <c r="K74" s="266">
        <v>180.0</v>
      </c>
      <c r="L74" s="266" t="s">
        <v>3460</v>
      </c>
      <c r="M74" s="266">
        <v>2.0</v>
      </c>
      <c r="N74" s="266">
        <v>3.0</v>
      </c>
      <c r="O74" s="266">
        <v>1.0</v>
      </c>
      <c r="P74" s="266" t="s">
        <v>166</v>
      </c>
      <c r="Q74" s="266" t="s">
        <v>166</v>
      </c>
      <c r="R74" s="497" t="s">
        <v>166</v>
      </c>
      <c r="S74" s="497" t="s">
        <v>166</v>
      </c>
      <c r="T74" s="496"/>
    </row>
    <row r="75">
      <c r="A75" s="494" t="s">
        <v>1664</v>
      </c>
      <c r="B75" s="495" t="s">
        <v>3368</v>
      </c>
      <c r="C75" s="452" t="str">
        <f t="shared" si="17"/>
        <v>ASRock</v>
      </c>
      <c r="D75" s="452" t="s">
        <v>3657</v>
      </c>
      <c r="E75" s="266">
        <f>286.91-12</f>
        <v>274.91</v>
      </c>
      <c r="F75" s="266">
        <f>126.54-15</f>
        <v>111.54</v>
      </c>
      <c r="G75" s="266">
        <v>53.01</v>
      </c>
      <c r="H75" s="266">
        <v>2.0</v>
      </c>
      <c r="I75" s="266">
        <v>1750.0</v>
      </c>
      <c r="J75" s="266">
        <v>14.0</v>
      </c>
      <c r="K75" s="266">
        <v>180.0</v>
      </c>
      <c r="L75" s="266" t="s">
        <v>3460</v>
      </c>
      <c r="M75" s="266">
        <v>3.0</v>
      </c>
      <c r="N75" s="266">
        <v>3.0</v>
      </c>
      <c r="O75" s="266">
        <v>1.0</v>
      </c>
      <c r="P75" s="266" t="s">
        <v>166</v>
      </c>
      <c r="Q75" s="266" t="s">
        <v>166</v>
      </c>
      <c r="R75" s="497" t="s">
        <v>166</v>
      </c>
      <c r="S75" s="497" t="s">
        <v>166</v>
      </c>
      <c r="T75" s="496"/>
    </row>
    <row r="76">
      <c r="A76" s="494" t="s">
        <v>1664</v>
      </c>
      <c r="B76" s="495" t="s">
        <v>3368</v>
      </c>
      <c r="C76" s="174" t="str">
        <f t="shared" ref="C76:C80" si="18">HYPERLINK("https://www.asus.com/","Asus")</f>
        <v>Asus</v>
      </c>
      <c r="D76" s="452" t="s">
        <v>3658</v>
      </c>
      <c r="E76" s="266">
        <v>270.0</v>
      </c>
      <c r="F76" s="266">
        <v>110.0</v>
      </c>
      <c r="G76" s="266">
        <v>35.0</v>
      </c>
      <c r="H76" s="266">
        <v>2.0</v>
      </c>
      <c r="I76" s="266">
        <v>1725.0</v>
      </c>
      <c r="J76" s="266">
        <v>14.0</v>
      </c>
      <c r="K76" s="266">
        <v>180.0</v>
      </c>
      <c r="L76" s="266" t="s">
        <v>3361</v>
      </c>
      <c r="M76" s="266">
        <v>1.0</v>
      </c>
      <c r="N76" s="266">
        <v>3.0</v>
      </c>
      <c r="O76" s="266">
        <v>1.0</v>
      </c>
      <c r="P76" s="266" t="s">
        <v>166</v>
      </c>
      <c r="Q76" s="266" t="s">
        <v>166</v>
      </c>
      <c r="R76" s="266" t="s">
        <v>166</v>
      </c>
      <c r="S76" s="266" t="s">
        <v>174</v>
      </c>
      <c r="T76" s="494"/>
    </row>
    <row r="77">
      <c r="A77" s="494" t="s">
        <v>1664</v>
      </c>
      <c r="B77" s="495" t="s">
        <v>3368</v>
      </c>
      <c r="C77" s="174" t="str">
        <f t="shared" si="18"/>
        <v>Asus</v>
      </c>
      <c r="D77" s="452" t="s">
        <v>3659</v>
      </c>
      <c r="E77" s="266">
        <v>271.0</v>
      </c>
      <c r="F77" s="266">
        <v>132.0</v>
      </c>
      <c r="G77" s="266">
        <v>51.0</v>
      </c>
      <c r="H77" s="266">
        <v>2.0</v>
      </c>
      <c r="I77" s="266">
        <v>1750.0</v>
      </c>
      <c r="J77" s="266">
        <v>14.0</v>
      </c>
      <c r="K77" s="266">
        <v>180.0</v>
      </c>
      <c r="L77" s="266" t="s">
        <v>3361</v>
      </c>
      <c r="M77" s="266">
        <v>2.0</v>
      </c>
      <c r="N77" s="266">
        <v>3.0</v>
      </c>
      <c r="O77" s="266">
        <v>1.0</v>
      </c>
      <c r="P77" s="266" t="s">
        <v>166</v>
      </c>
      <c r="Q77" s="266" t="s">
        <v>166</v>
      </c>
      <c r="R77" s="497" t="s">
        <v>166</v>
      </c>
      <c r="S77" s="497" t="s">
        <v>166</v>
      </c>
      <c r="T77" s="496"/>
    </row>
    <row r="78">
      <c r="A78" s="494" t="s">
        <v>1664</v>
      </c>
      <c r="B78" s="495" t="s">
        <v>3368</v>
      </c>
      <c r="C78" s="174" t="str">
        <f t="shared" si="18"/>
        <v>Asus</v>
      </c>
      <c r="D78" s="452" t="s">
        <v>3660</v>
      </c>
      <c r="E78" s="266">
        <v>269.0</v>
      </c>
      <c r="F78" s="266">
        <v>125.0</v>
      </c>
      <c r="G78" s="266">
        <v>54.0</v>
      </c>
      <c r="H78" s="266">
        <v>2.0</v>
      </c>
      <c r="I78" s="266">
        <v>1750.0</v>
      </c>
      <c r="J78" s="266">
        <v>14.0</v>
      </c>
      <c r="K78" s="266">
        <v>180.0</v>
      </c>
      <c r="L78" s="266" t="s">
        <v>3361</v>
      </c>
      <c r="M78" s="266">
        <v>3.0</v>
      </c>
      <c r="N78" s="266">
        <v>3.0</v>
      </c>
      <c r="O78" s="266">
        <v>1.0</v>
      </c>
      <c r="P78" s="266" t="s">
        <v>166</v>
      </c>
      <c r="Q78" s="266" t="s">
        <v>166</v>
      </c>
      <c r="R78" s="497" t="s">
        <v>166</v>
      </c>
      <c r="S78" s="497" t="s">
        <v>166</v>
      </c>
      <c r="T78" s="496"/>
    </row>
    <row r="79">
      <c r="A79" s="494" t="s">
        <v>1664</v>
      </c>
      <c r="B79" s="495" t="s">
        <v>3368</v>
      </c>
      <c r="C79" s="174" t="str">
        <f t="shared" si="18"/>
        <v>Asus</v>
      </c>
      <c r="D79" s="452" t="s">
        <v>3645</v>
      </c>
      <c r="E79" s="266">
        <v>282.6</v>
      </c>
      <c r="F79" s="266">
        <v>128.5</v>
      </c>
      <c r="G79" s="266">
        <v>53.8</v>
      </c>
      <c r="H79" s="266">
        <v>2.0</v>
      </c>
      <c r="I79" s="266">
        <v>1750.0</v>
      </c>
      <c r="J79" s="266">
        <v>14.0</v>
      </c>
      <c r="K79" s="266">
        <v>180.0</v>
      </c>
      <c r="L79" s="266" t="s">
        <v>3361</v>
      </c>
      <c r="M79" s="266">
        <v>3.0</v>
      </c>
      <c r="N79" s="266">
        <v>3.0</v>
      </c>
      <c r="O79" s="266">
        <v>1.0</v>
      </c>
      <c r="P79" s="266" t="s">
        <v>166</v>
      </c>
      <c r="Q79" s="266" t="s">
        <v>166</v>
      </c>
      <c r="R79" s="497" t="s">
        <v>166</v>
      </c>
      <c r="S79" s="497" t="s">
        <v>166</v>
      </c>
      <c r="T79" s="496"/>
    </row>
    <row r="80">
      <c r="A80" s="494" t="s">
        <v>1664</v>
      </c>
      <c r="B80" s="495" t="s">
        <v>3368</v>
      </c>
      <c r="C80" s="174" t="str">
        <f t="shared" si="18"/>
        <v>Asus</v>
      </c>
      <c r="D80" s="452" t="s">
        <v>3643</v>
      </c>
      <c r="E80" s="266">
        <v>305.0</v>
      </c>
      <c r="F80" s="266">
        <v>130.0</v>
      </c>
      <c r="G80" s="266">
        <v>54.0</v>
      </c>
      <c r="H80" s="266">
        <v>2.0</v>
      </c>
      <c r="I80" s="266">
        <v>1750.0</v>
      </c>
      <c r="J80" s="266">
        <v>14.0</v>
      </c>
      <c r="K80" s="266">
        <v>180.0</v>
      </c>
      <c r="L80" s="266" t="s">
        <v>3361</v>
      </c>
      <c r="M80" s="266">
        <v>3.0</v>
      </c>
      <c r="N80" s="266">
        <v>3.0</v>
      </c>
      <c r="O80" s="266">
        <v>1.0</v>
      </c>
      <c r="P80" s="266" t="s">
        <v>166</v>
      </c>
      <c r="Q80" s="266" t="s">
        <v>166</v>
      </c>
      <c r="R80" s="497" t="s">
        <v>166</v>
      </c>
      <c r="S80" s="497" t="s">
        <v>166</v>
      </c>
      <c r="T80" s="496"/>
    </row>
    <row r="81">
      <c r="A81" s="494" t="s">
        <v>1664</v>
      </c>
      <c r="B81" s="495" t="s">
        <v>3368</v>
      </c>
      <c r="C81" s="174" t="s">
        <v>3627</v>
      </c>
      <c r="D81" s="452" t="s">
        <v>3658</v>
      </c>
      <c r="E81" s="266">
        <v>270.0</v>
      </c>
      <c r="F81" s="266">
        <v>110.0</v>
      </c>
      <c r="G81" s="266">
        <v>35.0</v>
      </c>
      <c r="H81" s="266">
        <v>2.0</v>
      </c>
      <c r="I81" s="266">
        <v>1725.0</v>
      </c>
      <c r="J81" s="266">
        <v>14.0</v>
      </c>
      <c r="K81" s="266">
        <v>180.0</v>
      </c>
      <c r="L81" s="266" t="s">
        <v>3361</v>
      </c>
      <c r="M81" s="266">
        <v>1.0</v>
      </c>
      <c r="N81" s="266">
        <v>3.0</v>
      </c>
      <c r="O81" s="266">
        <v>1.0</v>
      </c>
      <c r="P81" s="266" t="s">
        <v>166</v>
      </c>
      <c r="Q81" s="266" t="s">
        <v>166</v>
      </c>
      <c r="R81" s="266" t="s">
        <v>166</v>
      </c>
      <c r="S81" s="266" t="s">
        <v>174</v>
      </c>
      <c r="T81" s="494"/>
    </row>
    <row r="82">
      <c r="A82" s="494" t="s">
        <v>1664</v>
      </c>
      <c r="B82" s="495" t="s">
        <v>3368</v>
      </c>
      <c r="C82" s="174" t="s">
        <v>3627</v>
      </c>
      <c r="D82" s="452" t="s">
        <v>3632</v>
      </c>
      <c r="E82" s="266">
        <v>260.0</v>
      </c>
      <c r="F82" s="266">
        <v>117.0</v>
      </c>
      <c r="G82" s="266">
        <v>50.0</v>
      </c>
      <c r="H82" s="266">
        <v>2.0</v>
      </c>
      <c r="I82" s="266">
        <v>1905.0</v>
      </c>
      <c r="J82" s="266">
        <v>14.0</v>
      </c>
      <c r="K82" s="266">
        <v>180.0</v>
      </c>
      <c r="L82" s="266" t="s">
        <v>3361</v>
      </c>
      <c r="M82" s="266">
        <v>2.0</v>
      </c>
      <c r="N82" s="266">
        <v>3.0</v>
      </c>
      <c r="O82" s="266">
        <v>1.0</v>
      </c>
      <c r="P82" s="266" t="s">
        <v>166</v>
      </c>
      <c r="Q82" s="266" t="s">
        <v>166</v>
      </c>
      <c r="R82" s="497" t="s">
        <v>166</v>
      </c>
      <c r="S82" s="497" t="s">
        <v>166</v>
      </c>
      <c r="T82" s="496"/>
    </row>
    <row r="83">
      <c r="A83" s="494" t="s">
        <v>1664</v>
      </c>
      <c r="B83" s="495" t="s">
        <v>3368</v>
      </c>
      <c r="C83" s="174" t="s">
        <v>3627</v>
      </c>
      <c r="D83" s="452" t="s">
        <v>3648</v>
      </c>
      <c r="E83" s="266">
        <v>319.0</v>
      </c>
      <c r="F83" s="266">
        <v>127.0</v>
      </c>
      <c r="G83" s="266">
        <v>53.0</v>
      </c>
      <c r="H83" s="266">
        <v>2.0</v>
      </c>
      <c r="I83" s="266">
        <v>1750.0</v>
      </c>
      <c r="J83" s="266">
        <v>14.0</v>
      </c>
      <c r="K83" s="266">
        <v>180.0</v>
      </c>
      <c r="L83" s="266" t="s">
        <v>3460</v>
      </c>
      <c r="M83" s="266">
        <v>3.0</v>
      </c>
      <c r="N83" s="266">
        <v>3.0</v>
      </c>
      <c r="O83" s="266">
        <v>1.0</v>
      </c>
      <c r="P83" s="266" t="s">
        <v>166</v>
      </c>
      <c r="Q83" s="266" t="s">
        <v>166</v>
      </c>
      <c r="R83" s="497" t="s">
        <v>166</v>
      </c>
      <c r="S83" s="497" t="s">
        <v>166</v>
      </c>
      <c r="T83" s="496"/>
    </row>
    <row r="84">
      <c r="A84" s="494" t="s">
        <v>1664</v>
      </c>
      <c r="B84" s="495" t="s">
        <v>3368</v>
      </c>
      <c r="C84" s="174" t="str">
        <f t="shared" ref="C84:C85" si="19">HYPERLINK("https://www.gigabyte.com/","Gigabyte")</f>
        <v>Gigabyte</v>
      </c>
      <c r="D84" s="452" t="str">
        <f>HYPERLINK("https://www.gigabyte.com/Graphics-Card/GV-R57-8GD-B#kf","RX 5700")</f>
        <v>RX 5700</v>
      </c>
      <c r="E84" s="266">
        <v>270.0</v>
      </c>
      <c r="F84" s="266">
        <v>110.0</v>
      </c>
      <c r="G84" s="266">
        <v>35.0</v>
      </c>
      <c r="H84" s="266">
        <v>2.0</v>
      </c>
      <c r="I84" s="266">
        <v>1725.0</v>
      </c>
      <c r="J84" s="266">
        <v>14.0</v>
      </c>
      <c r="K84" s="266">
        <v>180.0</v>
      </c>
      <c r="L84" s="266" t="s">
        <v>3361</v>
      </c>
      <c r="M84" s="266">
        <v>1.0</v>
      </c>
      <c r="N84" s="266">
        <v>3.0</v>
      </c>
      <c r="O84" s="266">
        <v>1.0</v>
      </c>
      <c r="P84" s="266" t="s">
        <v>166</v>
      </c>
      <c r="Q84" s="266" t="s">
        <v>166</v>
      </c>
      <c r="R84" s="266" t="s">
        <v>166</v>
      </c>
      <c r="S84" s="266" t="s">
        <v>174</v>
      </c>
      <c r="T84" s="494"/>
    </row>
    <row r="85">
      <c r="A85" s="494" t="s">
        <v>1664</v>
      </c>
      <c r="B85" s="495" t="s">
        <v>3368</v>
      </c>
      <c r="C85" s="174" t="str">
        <f t="shared" si="19"/>
        <v>Gigabyte</v>
      </c>
      <c r="D85" s="452" t="s">
        <v>3630</v>
      </c>
      <c r="E85" s="266">
        <v>279.85</v>
      </c>
      <c r="F85" s="266">
        <v>114.35</v>
      </c>
      <c r="G85" s="266">
        <v>49.55</v>
      </c>
      <c r="H85" s="266">
        <v>2.0</v>
      </c>
      <c r="I85" s="266">
        <v>1750.0</v>
      </c>
      <c r="J85" s="266">
        <v>14.0</v>
      </c>
      <c r="K85" s="266">
        <v>180.0</v>
      </c>
      <c r="L85" s="266">
        <v>8.0</v>
      </c>
      <c r="M85" s="266">
        <v>3.0</v>
      </c>
      <c r="N85" s="266">
        <v>3.0</v>
      </c>
      <c r="O85" s="266">
        <v>1.0</v>
      </c>
      <c r="P85" s="266" t="s">
        <v>166</v>
      </c>
      <c r="Q85" s="266" t="s">
        <v>166</v>
      </c>
      <c r="R85" s="497" t="s">
        <v>166</v>
      </c>
      <c r="S85" s="497" t="s">
        <v>166</v>
      </c>
      <c r="T85" s="496"/>
    </row>
    <row r="86">
      <c r="A86" s="494" t="s">
        <v>1664</v>
      </c>
      <c r="B86" s="495" t="s">
        <v>3368</v>
      </c>
      <c r="C86" s="452" t="str">
        <f t="shared" ref="C86:C87" si="20">HYPERLINK("http://www.hisdigital.com/us/index.shtml","HIS")</f>
        <v>HIS</v>
      </c>
      <c r="D86" s="452" t="str">
        <f>HYPERLINK("http://www.hisdigital.com/us/product2-968.shtml","RX 5700")</f>
        <v>RX 5700</v>
      </c>
      <c r="E86" s="266">
        <v>268.0</v>
      </c>
      <c r="F86" s="266">
        <v>111.2</v>
      </c>
      <c r="G86" s="266">
        <v>38.0</v>
      </c>
      <c r="H86" s="266">
        <v>2.0</v>
      </c>
      <c r="I86" s="266">
        <v>1725.0</v>
      </c>
      <c r="J86" s="266">
        <v>14.0</v>
      </c>
      <c r="K86" s="266">
        <v>180.0</v>
      </c>
      <c r="L86" s="266" t="s">
        <v>3361</v>
      </c>
      <c r="M86" s="266">
        <v>1.0</v>
      </c>
      <c r="N86" s="266">
        <v>3.0</v>
      </c>
      <c r="O86" s="266">
        <v>1.0</v>
      </c>
      <c r="P86" s="266" t="s">
        <v>166</v>
      </c>
      <c r="Q86" s="266" t="s">
        <v>166</v>
      </c>
      <c r="R86" s="266" t="s">
        <v>166</v>
      </c>
      <c r="S86" s="266" t="s">
        <v>174</v>
      </c>
      <c r="T86" s="494"/>
    </row>
    <row r="87">
      <c r="A87" s="494" t="s">
        <v>1664</v>
      </c>
      <c r="B87" s="495" t="s">
        <v>3368</v>
      </c>
      <c r="C87" s="452" t="str">
        <f t="shared" si="20"/>
        <v>HIS</v>
      </c>
      <c r="D87" s="452" t="s">
        <v>3661</v>
      </c>
      <c r="E87" s="266">
        <v>307.0</v>
      </c>
      <c r="F87" s="266">
        <v>147.0</v>
      </c>
      <c r="G87" s="266">
        <v>51.0</v>
      </c>
      <c r="H87" s="266">
        <v>2.0</v>
      </c>
      <c r="I87" s="266">
        <v>1750.0</v>
      </c>
      <c r="J87" s="266">
        <v>14.0</v>
      </c>
      <c r="K87" s="266">
        <v>180.0</v>
      </c>
      <c r="L87" s="266" t="s">
        <v>3361</v>
      </c>
      <c r="M87" s="266">
        <v>2.0</v>
      </c>
      <c r="N87" s="266">
        <v>3.0</v>
      </c>
      <c r="O87" s="266">
        <v>1.0</v>
      </c>
      <c r="P87" s="266" t="s">
        <v>166</v>
      </c>
      <c r="Q87" s="266" t="s">
        <v>166</v>
      </c>
      <c r="R87" s="497" t="s">
        <v>166</v>
      </c>
      <c r="S87" s="497" t="s">
        <v>166</v>
      </c>
      <c r="T87" s="496"/>
    </row>
    <row r="88">
      <c r="A88" s="494" t="s">
        <v>1664</v>
      </c>
      <c r="B88" s="495" t="s">
        <v>3368</v>
      </c>
      <c r="C88" s="174" t="str">
        <f t="shared" ref="C88:C98" si="21">HYPERLINK("https://www.msi.com/index.php","MSI")</f>
        <v>MSI</v>
      </c>
      <c r="D88" s="452" t="str">
        <f>HYPERLINK("https://www.msi.com/Graphics-card/Radeon-RX-5700-8G","RX 5700")</f>
        <v>RX 5700</v>
      </c>
      <c r="E88" s="266">
        <v>270.0</v>
      </c>
      <c r="F88" s="266">
        <v>110.0</v>
      </c>
      <c r="G88" s="266">
        <v>35.0</v>
      </c>
      <c r="H88" s="266">
        <v>2.0</v>
      </c>
      <c r="I88" s="266">
        <v>1725.0</v>
      </c>
      <c r="J88" s="266">
        <v>14.0</v>
      </c>
      <c r="K88" s="266">
        <v>180.0</v>
      </c>
      <c r="L88" s="266" t="s">
        <v>3361</v>
      </c>
      <c r="M88" s="266">
        <v>1.0</v>
      </c>
      <c r="N88" s="266">
        <v>3.0</v>
      </c>
      <c r="O88" s="266">
        <v>1.0</v>
      </c>
      <c r="P88" s="266" t="s">
        <v>166</v>
      </c>
      <c r="Q88" s="266" t="s">
        <v>166</v>
      </c>
      <c r="R88" s="266" t="s">
        <v>166</v>
      </c>
      <c r="S88" s="266" t="s">
        <v>174</v>
      </c>
      <c r="T88" s="494"/>
    </row>
    <row r="89">
      <c r="A89" s="494" t="s">
        <v>1664</v>
      </c>
      <c r="B89" s="495" t="s">
        <v>3368</v>
      </c>
      <c r="C89" s="174" t="str">
        <f t="shared" si="21"/>
        <v>MSI</v>
      </c>
      <c r="D89" s="452" t="s">
        <v>3650</v>
      </c>
      <c r="E89" s="266">
        <v>232.0</v>
      </c>
      <c r="F89" s="518">
        <v>126.0</v>
      </c>
      <c r="G89" s="518">
        <v>46.0</v>
      </c>
      <c r="H89" s="518">
        <v>2.0</v>
      </c>
      <c r="I89" s="266">
        <v>1725.0</v>
      </c>
      <c r="J89" s="266">
        <v>14.0</v>
      </c>
      <c r="K89" s="266">
        <v>180.0</v>
      </c>
      <c r="L89" s="266">
        <v>8.0</v>
      </c>
      <c r="M89" s="266">
        <v>2.0</v>
      </c>
      <c r="N89" s="266">
        <v>3.0</v>
      </c>
      <c r="O89" s="266">
        <v>1.0</v>
      </c>
      <c r="P89" s="266" t="s">
        <v>166</v>
      </c>
      <c r="Q89" s="266" t="s">
        <v>166</v>
      </c>
      <c r="R89" s="497" t="s">
        <v>166</v>
      </c>
      <c r="S89" s="497" t="s">
        <v>166</v>
      </c>
      <c r="T89" s="496"/>
    </row>
    <row r="90">
      <c r="A90" s="494" t="s">
        <v>1664</v>
      </c>
      <c r="B90" s="495" t="s">
        <v>3368</v>
      </c>
      <c r="C90" s="174" t="str">
        <f t="shared" si="21"/>
        <v>MSI</v>
      </c>
      <c r="D90" s="452" t="s">
        <v>3363</v>
      </c>
      <c r="E90" s="266">
        <v>232.0</v>
      </c>
      <c r="F90" s="518">
        <v>126.0</v>
      </c>
      <c r="G90" s="518">
        <v>46.0</v>
      </c>
      <c r="H90" s="518">
        <v>2.0</v>
      </c>
      <c r="I90" s="266">
        <v>1750.0</v>
      </c>
      <c r="J90" s="266">
        <v>14.0</v>
      </c>
      <c r="K90" s="266">
        <v>180.0</v>
      </c>
      <c r="L90" s="266">
        <v>8.0</v>
      </c>
      <c r="M90" s="266">
        <v>2.0</v>
      </c>
      <c r="N90" s="266">
        <v>3.0</v>
      </c>
      <c r="O90" s="266">
        <v>1.0</v>
      </c>
      <c r="P90" s="266" t="s">
        <v>166</v>
      </c>
      <c r="Q90" s="266" t="s">
        <v>166</v>
      </c>
      <c r="R90" s="497" t="s">
        <v>166</v>
      </c>
      <c r="S90" s="497" t="s">
        <v>166</v>
      </c>
      <c r="T90" s="496"/>
    </row>
    <row r="91">
      <c r="A91" s="494" t="s">
        <v>1664</v>
      </c>
      <c r="B91" s="495" t="s">
        <v>3368</v>
      </c>
      <c r="C91" s="174" t="str">
        <f t="shared" si="21"/>
        <v>MSI</v>
      </c>
      <c r="D91" s="452" t="s">
        <v>3662</v>
      </c>
      <c r="E91" s="520">
        <v>232.0</v>
      </c>
      <c r="F91" s="521">
        <v>126.0</v>
      </c>
      <c r="G91" s="522">
        <v>46.0</v>
      </c>
      <c r="H91" s="518">
        <v>2.0</v>
      </c>
      <c r="I91" s="266">
        <v>1725.0</v>
      </c>
      <c r="J91" s="266">
        <v>14.0</v>
      </c>
      <c r="K91" s="266">
        <v>180.0</v>
      </c>
      <c r="L91" s="266" t="s">
        <v>3361</v>
      </c>
      <c r="M91" s="266">
        <v>2.0</v>
      </c>
      <c r="N91" s="266">
        <v>3.0</v>
      </c>
      <c r="O91" s="266">
        <v>1.0</v>
      </c>
      <c r="P91" s="266" t="s">
        <v>166</v>
      </c>
      <c r="Q91" s="266" t="s">
        <v>166</v>
      </c>
      <c r="R91" s="497" t="s">
        <v>166</v>
      </c>
      <c r="S91" s="497" t="s">
        <v>166</v>
      </c>
      <c r="T91" s="496"/>
    </row>
    <row r="92">
      <c r="A92" s="494" t="s">
        <v>1664</v>
      </c>
      <c r="B92" s="495" t="s">
        <v>3368</v>
      </c>
      <c r="C92" s="174" t="str">
        <f t="shared" si="21"/>
        <v>MSI</v>
      </c>
      <c r="D92" s="452" t="s">
        <v>3663</v>
      </c>
      <c r="E92" s="520">
        <v>232.0</v>
      </c>
      <c r="F92" s="521">
        <v>126.0</v>
      </c>
      <c r="G92" s="522">
        <v>46.0</v>
      </c>
      <c r="H92" s="518">
        <v>2.0</v>
      </c>
      <c r="I92" s="266">
        <v>1750.0</v>
      </c>
      <c r="J92" s="266">
        <v>14.0</v>
      </c>
      <c r="K92" s="266">
        <v>180.0</v>
      </c>
      <c r="L92" s="266" t="s">
        <v>3361</v>
      </c>
      <c r="M92" s="266">
        <v>2.0</v>
      </c>
      <c r="N92" s="266">
        <v>3.0</v>
      </c>
      <c r="O92" s="266">
        <v>1.0</v>
      </c>
      <c r="P92" s="266" t="s">
        <v>166</v>
      </c>
      <c r="Q92" s="266" t="s">
        <v>166</v>
      </c>
      <c r="R92" s="497" t="s">
        <v>166</v>
      </c>
      <c r="S92" s="497" t="s">
        <v>166</v>
      </c>
      <c r="T92" s="496"/>
    </row>
    <row r="93">
      <c r="A93" s="494" t="s">
        <v>1664</v>
      </c>
      <c r="B93" s="495" t="s">
        <v>3368</v>
      </c>
      <c r="C93" s="174" t="str">
        <f t="shared" si="21"/>
        <v>MSI</v>
      </c>
      <c r="D93" s="452" t="s">
        <v>3664</v>
      </c>
      <c r="E93" s="266">
        <v>254.0</v>
      </c>
      <c r="F93" s="266">
        <v>129.0</v>
      </c>
      <c r="G93" s="266">
        <v>51.0</v>
      </c>
      <c r="H93" s="266">
        <v>2.0</v>
      </c>
      <c r="I93" s="266">
        <v>1725.0</v>
      </c>
      <c r="J93" s="266">
        <v>14.0</v>
      </c>
      <c r="K93" s="266">
        <v>180.0</v>
      </c>
      <c r="L93" s="266">
        <v>8.0</v>
      </c>
      <c r="M93" s="266">
        <v>2.0</v>
      </c>
      <c r="N93" s="266">
        <v>3.0</v>
      </c>
      <c r="O93" s="266">
        <v>1.0</v>
      </c>
      <c r="P93" s="266" t="s">
        <v>166</v>
      </c>
      <c r="Q93" s="266" t="s">
        <v>166</v>
      </c>
      <c r="R93" s="497" t="s">
        <v>166</v>
      </c>
      <c r="S93" s="497" t="s">
        <v>166</v>
      </c>
      <c r="T93" s="496"/>
    </row>
    <row r="94">
      <c r="A94" s="494" t="s">
        <v>1664</v>
      </c>
      <c r="B94" s="495" t="s">
        <v>3368</v>
      </c>
      <c r="C94" s="174" t="str">
        <f t="shared" si="21"/>
        <v>MSI</v>
      </c>
      <c r="D94" s="452" t="s">
        <v>3665</v>
      </c>
      <c r="E94" s="266">
        <v>254.0</v>
      </c>
      <c r="F94" s="266">
        <v>129.0</v>
      </c>
      <c r="G94" s="266">
        <v>51.0</v>
      </c>
      <c r="H94" s="266">
        <v>2.0</v>
      </c>
      <c r="I94" s="266">
        <v>1750.0</v>
      </c>
      <c r="J94" s="266">
        <v>14.0</v>
      </c>
      <c r="K94" s="266">
        <v>180.0</v>
      </c>
      <c r="L94" s="266">
        <v>8.0</v>
      </c>
      <c r="M94" s="266">
        <v>2.0</v>
      </c>
      <c r="N94" s="266">
        <v>3.0</v>
      </c>
      <c r="O94" s="266">
        <v>1.0</v>
      </c>
      <c r="P94" s="266" t="s">
        <v>166</v>
      </c>
      <c r="Q94" s="266" t="s">
        <v>166</v>
      </c>
      <c r="R94" s="497" t="s">
        <v>166</v>
      </c>
      <c r="S94" s="497" t="s">
        <v>166</v>
      </c>
      <c r="T94" s="496"/>
    </row>
    <row r="95">
      <c r="A95" s="494" t="s">
        <v>1664</v>
      </c>
      <c r="B95" s="495" t="s">
        <v>3368</v>
      </c>
      <c r="C95" s="174" t="str">
        <f t="shared" si="21"/>
        <v>MSI</v>
      </c>
      <c r="D95" s="452" t="s">
        <v>3666</v>
      </c>
      <c r="E95" s="523">
        <v>254.0</v>
      </c>
      <c r="F95" s="524">
        <v>129.0</v>
      </c>
      <c r="G95" s="525">
        <v>51.0</v>
      </c>
      <c r="H95" s="518">
        <v>2.0</v>
      </c>
      <c r="I95" s="266">
        <v>1725.0</v>
      </c>
      <c r="J95" s="266">
        <v>14.0</v>
      </c>
      <c r="K95" s="266">
        <v>180.0</v>
      </c>
      <c r="L95" s="266" t="s">
        <v>3361</v>
      </c>
      <c r="M95" s="266">
        <v>2.0</v>
      </c>
      <c r="N95" s="266">
        <v>3.0</v>
      </c>
      <c r="O95" s="266">
        <v>1.0</v>
      </c>
      <c r="P95" s="266" t="s">
        <v>166</v>
      </c>
      <c r="Q95" s="266" t="s">
        <v>166</v>
      </c>
      <c r="R95" s="497" t="s">
        <v>166</v>
      </c>
      <c r="S95" s="497" t="s">
        <v>166</v>
      </c>
      <c r="T95" s="496"/>
    </row>
    <row r="96">
      <c r="A96" s="494" t="s">
        <v>1664</v>
      </c>
      <c r="B96" s="495" t="s">
        <v>3368</v>
      </c>
      <c r="C96" s="174" t="str">
        <f t="shared" si="21"/>
        <v>MSI</v>
      </c>
      <c r="D96" s="452" t="s">
        <v>3667</v>
      </c>
      <c r="E96" s="523">
        <v>254.0</v>
      </c>
      <c r="F96" s="524">
        <v>129.0</v>
      </c>
      <c r="G96" s="525">
        <v>51.0</v>
      </c>
      <c r="H96" s="518">
        <v>2.0</v>
      </c>
      <c r="I96" s="266">
        <v>1750.0</v>
      </c>
      <c r="J96" s="266">
        <v>14.0</v>
      </c>
      <c r="K96" s="266">
        <v>180.0</v>
      </c>
      <c r="L96" s="266" t="s">
        <v>3361</v>
      </c>
      <c r="M96" s="266">
        <v>2.0</v>
      </c>
      <c r="N96" s="266">
        <v>3.0</v>
      </c>
      <c r="O96" s="266">
        <v>1.0</v>
      </c>
      <c r="P96" s="266" t="s">
        <v>166</v>
      </c>
      <c r="Q96" s="266" t="s">
        <v>166</v>
      </c>
      <c r="R96" s="497" t="s">
        <v>166</v>
      </c>
      <c r="S96" s="497" t="s">
        <v>166</v>
      </c>
      <c r="T96" s="496"/>
    </row>
    <row r="97">
      <c r="A97" s="494" t="s">
        <v>1664</v>
      </c>
      <c r="B97" s="495" t="s">
        <v>3368</v>
      </c>
      <c r="C97" s="174" t="str">
        <f t="shared" si="21"/>
        <v>MSI</v>
      </c>
      <c r="D97" s="452" t="s">
        <v>3409</v>
      </c>
      <c r="E97" s="266">
        <v>297.0</v>
      </c>
      <c r="F97" s="518">
        <v>140.0</v>
      </c>
      <c r="G97" s="518">
        <v>58.0</v>
      </c>
      <c r="H97" s="518">
        <v>2.0</v>
      </c>
      <c r="I97" s="266">
        <v>1725.0</v>
      </c>
      <c r="J97" s="266">
        <v>14.0</v>
      </c>
      <c r="K97" s="266">
        <v>180.0</v>
      </c>
      <c r="L97" s="266" t="s">
        <v>3460</v>
      </c>
      <c r="M97" s="266">
        <v>2.0</v>
      </c>
      <c r="N97" s="266">
        <v>3.0</v>
      </c>
      <c r="O97" s="266">
        <v>1.0</v>
      </c>
      <c r="P97" s="266" t="s">
        <v>166</v>
      </c>
      <c r="Q97" s="266" t="s">
        <v>166</v>
      </c>
      <c r="R97" s="497" t="s">
        <v>166</v>
      </c>
      <c r="S97" s="497" t="s">
        <v>166</v>
      </c>
      <c r="T97" s="496"/>
    </row>
    <row r="98">
      <c r="A98" s="494" t="s">
        <v>1664</v>
      </c>
      <c r="B98" s="495" t="s">
        <v>3368</v>
      </c>
      <c r="C98" s="174" t="str">
        <f t="shared" si="21"/>
        <v>MSI</v>
      </c>
      <c r="D98" s="452" t="s">
        <v>3557</v>
      </c>
      <c r="E98" s="266">
        <v>297.0</v>
      </c>
      <c r="F98" s="518">
        <v>140.0</v>
      </c>
      <c r="G98" s="518">
        <v>58.0</v>
      </c>
      <c r="H98" s="518">
        <v>2.0</v>
      </c>
      <c r="I98" s="266">
        <v>1750.0</v>
      </c>
      <c r="J98" s="266">
        <v>14.0</v>
      </c>
      <c r="K98" s="266">
        <v>180.0</v>
      </c>
      <c r="L98" s="266" t="s">
        <v>3460</v>
      </c>
      <c r="M98" s="266">
        <v>2.0</v>
      </c>
      <c r="N98" s="266">
        <v>3.0</v>
      </c>
      <c r="O98" s="266">
        <v>1.0</v>
      </c>
      <c r="P98" s="266" t="s">
        <v>166</v>
      </c>
      <c r="Q98" s="266" t="s">
        <v>166</v>
      </c>
      <c r="R98" s="497" t="s">
        <v>166</v>
      </c>
      <c r="S98" s="497" t="s">
        <v>166</v>
      </c>
      <c r="T98" s="496"/>
    </row>
    <row r="99">
      <c r="A99" s="494" t="s">
        <v>1664</v>
      </c>
      <c r="B99" s="495" t="s">
        <v>3368</v>
      </c>
      <c r="C99" s="452" t="str">
        <f t="shared" ref="C99:C102" si="22">HYPERLINK("https://www.powercolor.com/","PowerColor")</f>
        <v>PowerColor</v>
      </c>
      <c r="D99" s="452" t="str">
        <f>HYPERLINK("https://www.powercolor.com/product?id=1562142290","RX 5700")</f>
        <v>RX 5700</v>
      </c>
      <c r="E99" s="266">
        <v>270.0</v>
      </c>
      <c r="F99" s="266">
        <v>110.0</v>
      </c>
      <c r="G99" s="266">
        <v>35.0</v>
      </c>
      <c r="H99" s="266">
        <v>2.0</v>
      </c>
      <c r="I99" s="266">
        <v>1725.0</v>
      </c>
      <c r="J99" s="266">
        <v>14.0</v>
      </c>
      <c r="K99" s="266">
        <v>180.0</v>
      </c>
      <c r="L99" s="266" t="s">
        <v>3361</v>
      </c>
      <c r="M99" s="266">
        <v>1.0</v>
      </c>
      <c r="N99" s="266">
        <v>3.0</v>
      </c>
      <c r="O99" s="266">
        <v>1.0</v>
      </c>
      <c r="P99" s="266" t="s">
        <v>166</v>
      </c>
      <c r="Q99" s="266" t="s">
        <v>166</v>
      </c>
      <c r="R99" s="266" t="s">
        <v>166</v>
      </c>
      <c r="S99" s="266" t="s">
        <v>174</v>
      </c>
      <c r="T99" s="494"/>
    </row>
    <row r="100">
      <c r="A100" s="494" t="s">
        <v>1664</v>
      </c>
      <c r="B100" s="495" t="s">
        <v>3368</v>
      </c>
      <c r="C100" s="452" t="str">
        <f t="shared" si="22"/>
        <v>PowerColor</v>
      </c>
      <c r="D100" s="452" t="str">
        <f>HYPERLINK("https://www.powercolor.com/product?id=1565845929","RX 5700 (8GBD6-3DH/OC)")</f>
        <v>RX 5700 (8GBD6-3DH/OC)</v>
      </c>
      <c r="E100" s="266">
        <v>230.0</v>
      </c>
      <c r="F100" s="266">
        <v>111.0</v>
      </c>
      <c r="G100" s="266">
        <v>41.0</v>
      </c>
      <c r="H100" s="266">
        <v>2.0</v>
      </c>
      <c r="I100" s="266">
        <v>1750.0</v>
      </c>
      <c r="J100" s="266">
        <v>14.0</v>
      </c>
      <c r="K100" s="266">
        <v>180.0</v>
      </c>
      <c r="L100" s="266" t="s">
        <v>3361</v>
      </c>
      <c r="M100" s="266">
        <v>2.0</v>
      </c>
      <c r="N100" s="266">
        <v>3.0</v>
      </c>
      <c r="O100" s="266">
        <v>1.0</v>
      </c>
      <c r="P100" s="266" t="s">
        <v>166</v>
      </c>
      <c r="Q100" s="266" t="s">
        <v>166</v>
      </c>
      <c r="R100" s="497" t="s">
        <v>166</v>
      </c>
      <c r="S100" s="497" t="s">
        <v>166</v>
      </c>
      <c r="T100" s="496"/>
    </row>
    <row r="101">
      <c r="A101" s="494" t="s">
        <v>1664</v>
      </c>
      <c r="B101" s="495" t="s">
        <v>3368</v>
      </c>
      <c r="C101" s="452" t="str">
        <f t="shared" si="22"/>
        <v>PowerColor</v>
      </c>
      <c r="D101" s="452" t="str">
        <f>HYPERLINK("https://www.powercolor.com/product?id=1565954303","Red Dragon")</f>
        <v>Red Dragon</v>
      </c>
      <c r="E101" s="266">
        <v>240.0</v>
      </c>
      <c r="F101" s="266">
        <v>132.0</v>
      </c>
      <c r="G101" s="266">
        <v>41.0</v>
      </c>
      <c r="H101" s="266">
        <v>2.0</v>
      </c>
      <c r="I101" s="266">
        <v>1750.0</v>
      </c>
      <c r="J101" s="266">
        <v>14.0</v>
      </c>
      <c r="K101" s="266">
        <v>180.0</v>
      </c>
      <c r="L101" s="266" t="s">
        <v>3361</v>
      </c>
      <c r="M101" s="266">
        <v>2.0</v>
      </c>
      <c r="N101" s="266">
        <v>3.0</v>
      </c>
      <c r="O101" s="266">
        <v>1.0</v>
      </c>
      <c r="P101" s="266" t="s">
        <v>166</v>
      </c>
      <c r="Q101" s="266" t="s">
        <v>166</v>
      </c>
      <c r="R101" s="497" t="s">
        <v>166</v>
      </c>
      <c r="S101" s="497" t="s">
        <v>166</v>
      </c>
      <c r="T101" s="496"/>
    </row>
    <row r="102">
      <c r="A102" s="494" t="s">
        <v>1664</v>
      </c>
      <c r="B102" s="495" t="s">
        <v>3368</v>
      </c>
      <c r="C102" s="452" t="str">
        <f t="shared" si="22"/>
        <v>PowerColor</v>
      </c>
      <c r="D102" s="452" t="s">
        <v>3653</v>
      </c>
      <c r="E102" s="266">
        <v>300.0</v>
      </c>
      <c r="F102" s="266">
        <v>132.0</v>
      </c>
      <c r="G102" s="266">
        <v>53.0</v>
      </c>
      <c r="H102" s="266">
        <v>2.0</v>
      </c>
      <c r="I102" s="266">
        <v>1750.0</v>
      </c>
      <c r="J102" s="266">
        <v>14.0</v>
      </c>
      <c r="K102" s="266">
        <v>180.0</v>
      </c>
      <c r="L102" s="266" t="s">
        <v>3361</v>
      </c>
      <c r="M102" s="266">
        <v>3.0</v>
      </c>
      <c r="N102" s="266">
        <v>3.0</v>
      </c>
      <c r="O102" s="266">
        <v>1.0</v>
      </c>
      <c r="P102" s="266" t="s">
        <v>166</v>
      </c>
      <c r="Q102" s="266" t="s">
        <v>166</v>
      </c>
      <c r="R102" s="497" t="s">
        <v>166</v>
      </c>
      <c r="S102" s="497" t="s">
        <v>166</v>
      </c>
      <c r="T102" s="496"/>
    </row>
    <row r="103">
      <c r="A103" s="494" t="s">
        <v>1664</v>
      </c>
      <c r="B103" s="495" t="s">
        <v>3368</v>
      </c>
      <c r="C103" s="452" t="str">
        <f t="shared" ref="C103:C105" si="23">HYPERLINK("https://www.sapphiretech.com/","Sapphire")</f>
        <v>Sapphire</v>
      </c>
      <c r="D103" s="452" t="str">
        <f>HYPERLINK("https://www.sapphiretech.com/en/consumer/21294-01-20g-radeon-rx-5700-8g-gddr6","RX 5700")</f>
        <v>RX 5700</v>
      </c>
      <c r="E103" s="266">
        <v>268.0</v>
      </c>
      <c r="F103" s="266">
        <v>111.0</v>
      </c>
      <c r="G103" s="266">
        <v>36.0</v>
      </c>
      <c r="H103" s="266">
        <v>2.0</v>
      </c>
      <c r="I103" s="266">
        <v>1725.0</v>
      </c>
      <c r="J103" s="266">
        <v>14.0</v>
      </c>
      <c r="K103" s="266">
        <v>180.0</v>
      </c>
      <c r="L103" s="266" t="s">
        <v>3361</v>
      </c>
      <c r="M103" s="266">
        <v>1.0</v>
      </c>
      <c r="N103" s="266">
        <v>3.0</v>
      </c>
      <c r="O103" s="266">
        <v>1.0</v>
      </c>
      <c r="P103" s="266" t="s">
        <v>166</v>
      </c>
      <c r="Q103" s="266" t="s">
        <v>166</v>
      </c>
      <c r="R103" s="266" t="s">
        <v>166</v>
      </c>
      <c r="S103" s="266" t="s">
        <v>174</v>
      </c>
      <c r="T103" s="494"/>
    </row>
    <row r="104">
      <c r="A104" s="494" t="s">
        <v>1664</v>
      </c>
      <c r="B104" s="495" t="s">
        <v>3368</v>
      </c>
      <c r="C104" s="452" t="str">
        <f t="shared" si="23"/>
        <v>Sapphire</v>
      </c>
      <c r="D104" s="452" t="s">
        <v>3376</v>
      </c>
      <c r="E104" s="266">
        <v>254.0</v>
      </c>
      <c r="F104" s="266">
        <v>135.0</v>
      </c>
      <c r="G104" s="266">
        <v>46.5</v>
      </c>
      <c r="H104" s="266">
        <v>2.0</v>
      </c>
      <c r="I104" s="266">
        <v>1750.0</v>
      </c>
      <c r="J104" s="266">
        <v>14.0</v>
      </c>
      <c r="K104" s="266">
        <v>187.0</v>
      </c>
      <c r="L104" s="266" t="s">
        <v>3361</v>
      </c>
      <c r="M104" s="266">
        <v>2.0</v>
      </c>
      <c r="N104" s="266">
        <v>3.0</v>
      </c>
      <c r="O104" s="266">
        <v>1.0</v>
      </c>
      <c r="P104" s="266" t="s">
        <v>166</v>
      </c>
      <c r="Q104" s="266" t="s">
        <v>166</v>
      </c>
      <c r="R104" s="497" t="s">
        <v>166</v>
      </c>
      <c r="S104" s="497" t="s">
        <v>166</v>
      </c>
      <c r="T104" s="496"/>
    </row>
    <row r="105">
      <c r="A105" s="494" t="s">
        <v>1664</v>
      </c>
      <c r="B105" s="495" t="s">
        <v>3368</v>
      </c>
      <c r="C105" s="452" t="str">
        <f t="shared" si="23"/>
        <v>Sapphire</v>
      </c>
      <c r="D105" s="452" t="s">
        <v>3668</v>
      </c>
      <c r="E105" s="266">
        <v>305.0</v>
      </c>
      <c r="F105" s="266">
        <v>125.0</v>
      </c>
      <c r="G105" s="266">
        <v>52.06</v>
      </c>
      <c r="H105" s="266">
        <v>2.0</v>
      </c>
      <c r="I105" s="266">
        <v>1750.0</v>
      </c>
      <c r="J105" s="266">
        <v>14.0</v>
      </c>
      <c r="K105" s="266">
        <v>241.0</v>
      </c>
      <c r="L105" s="266" t="s">
        <v>3361</v>
      </c>
      <c r="M105" s="266">
        <v>3.0</v>
      </c>
      <c r="N105" s="266">
        <v>3.0</v>
      </c>
      <c r="O105" s="266">
        <v>1.0</v>
      </c>
      <c r="P105" s="266" t="s">
        <v>166</v>
      </c>
      <c r="Q105" s="266" t="s">
        <v>166</v>
      </c>
      <c r="R105" s="497" t="s">
        <v>166</v>
      </c>
      <c r="S105" s="497" t="s">
        <v>166</v>
      </c>
      <c r="T105" s="494"/>
    </row>
    <row r="106">
      <c r="A106" s="494" t="s">
        <v>1664</v>
      </c>
      <c r="B106" s="495" t="s">
        <v>3368</v>
      </c>
      <c r="C106" s="452" t="str">
        <f t="shared" ref="C106:C109" si="24">HYPERLINK("https://www.xfxforce.com/","XFX")</f>
        <v>XFX</v>
      </c>
      <c r="D106" s="452" t="str">
        <f>HYPERLINK("https://www.xfxforce.com/gpus/radeon-tm-rx-5700-8gb-gddr6-3xdp-hdmi-2","RX 5700")</f>
        <v>RX 5700</v>
      </c>
      <c r="E106" s="266">
        <v>266.7</v>
      </c>
      <c r="F106" s="266">
        <v>111.2</v>
      </c>
      <c r="G106" s="266">
        <v>40.0</v>
      </c>
      <c r="H106" s="266">
        <v>2.0</v>
      </c>
      <c r="I106" s="266">
        <v>1725.0</v>
      </c>
      <c r="J106" s="266">
        <v>14.0</v>
      </c>
      <c r="K106" s="266">
        <v>180.0</v>
      </c>
      <c r="L106" s="266" t="s">
        <v>3361</v>
      </c>
      <c r="M106" s="266">
        <v>1.0</v>
      </c>
      <c r="N106" s="266">
        <v>3.0</v>
      </c>
      <c r="O106" s="266">
        <v>1.0</v>
      </c>
      <c r="P106" s="266" t="s">
        <v>166</v>
      </c>
      <c r="Q106" s="266" t="s">
        <v>166</v>
      </c>
      <c r="R106" s="266" t="s">
        <v>166</v>
      </c>
      <c r="S106" s="266" t="s">
        <v>174</v>
      </c>
      <c r="T106" s="494"/>
    </row>
    <row r="107">
      <c r="A107" s="494" t="s">
        <v>1664</v>
      </c>
      <c r="B107" s="495" t="s">
        <v>3368</v>
      </c>
      <c r="C107" s="452" t="str">
        <f t="shared" si="24"/>
        <v>XFX</v>
      </c>
      <c r="D107" s="452" t="s">
        <v>3669</v>
      </c>
      <c r="E107" s="266">
        <v>280.0</v>
      </c>
      <c r="F107" s="266">
        <v>148.0</v>
      </c>
      <c r="G107" s="266">
        <v>44.0</v>
      </c>
      <c r="H107" s="266">
        <v>2.0</v>
      </c>
      <c r="I107" s="266">
        <v>1750.0</v>
      </c>
      <c r="J107" s="266">
        <v>14.0</v>
      </c>
      <c r="K107" s="266">
        <v>180.0</v>
      </c>
      <c r="L107" s="266" t="s">
        <v>3361</v>
      </c>
      <c r="M107" s="266">
        <v>2.0</v>
      </c>
      <c r="N107" s="266">
        <v>3.0</v>
      </c>
      <c r="O107" s="266">
        <v>1.0</v>
      </c>
      <c r="P107" s="266" t="s">
        <v>166</v>
      </c>
      <c r="Q107" s="266" t="s">
        <v>166</v>
      </c>
      <c r="R107" s="497" t="s">
        <v>166</v>
      </c>
      <c r="S107" s="497" t="s">
        <v>166</v>
      </c>
      <c r="T107" s="496"/>
    </row>
    <row r="108">
      <c r="A108" s="494" t="s">
        <v>1664</v>
      </c>
      <c r="B108" s="495" t="s">
        <v>3368</v>
      </c>
      <c r="C108" s="452" t="str">
        <f t="shared" si="24"/>
        <v>XFX</v>
      </c>
      <c r="D108" s="452" t="s">
        <v>3670</v>
      </c>
      <c r="E108" s="266">
        <v>293.0</v>
      </c>
      <c r="F108" s="266">
        <v>130.0</v>
      </c>
      <c r="G108" s="266">
        <v>55.0</v>
      </c>
      <c r="H108" s="266">
        <v>2.0</v>
      </c>
      <c r="I108" s="266">
        <v>1750.0</v>
      </c>
      <c r="J108" s="266">
        <v>14.0</v>
      </c>
      <c r="K108" s="266">
        <v>180.0</v>
      </c>
      <c r="L108" s="266" t="s">
        <v>3361</v>
      </c>
      <c r="M108" s="266">
        <v>2.0</v>
      </c>
      <c r="N108" s="266">
        <v>3.0</v>
      </c>
      <c r="O108" s="266">
        <v>1.0</v>
      </c>
      <c r="P108" s="266" t="s">
        <v>166</v>
      </c>
      <c r="Q108" s="266" t="s">
        <v>166</v>
      </c>
      <c r="R108" s="497" t="s">
        <v>166</v>
      </c>
      <c r="S108" s="497" t="s">
        <v>166</v>
      </c>
      <c r="T108" s="496"/>
    </row>
    <row r="109">
      <c r="A109" s="494" t="s">
        <v>1664</v>
      </c>
      <c r="B109" s="495" t="s">
        <v>3368</v>
      </c>
      <c r="C109" s="452" t="str">
        <f t="shared" si="24"/>
        <v>XFX</v>
      </c>
      <c r="D109" s="452" t="s">
        <v>3671</v>
      </c>
      <c r="E109" s="266">
        <v>326.0</v>
      </c>
      <c r="F109" s="266">
        <v>148.0</v>
      </c>
      <c r="G109" s="266">
        <v>44.0</v>
      </c>
      <c r="H109" s="266">
        <v>2.0</v>
      </c>
      <c r="I109" s="266">
        <v>1750.0</v>
      </c>
      <c r="J109" s="266">
        <v>14.0</v>
      </c>
      <c r="K109" s="266">
        <v>180.0</v>
      </c>
      <c r="L109" s="266" t="s">
        <v>3361</v>
      </c>
      <c r="M109" s="266">
        <v>3.0</v>
      </c>
      <c r="N109" s="266">
        <v>3.0</v>
      </c>
      <c r="O109" s="266">
        <v>1.0</v>
      </c>
      <c r="P109" s="266" t="s">
        <v>166</v>
      </c>
      <c r="Q109" s="266" t="s">
        <v>166</v>
      </c>
      <c r="R109" s="497" t="s">
        <v>166</v>
      </c>
      <c r="S109" s="497" t="s">
        <v>166</v>
      </c>
      <c r="T109" s="496"/>
    </row>
    <row r="110">
      <c r="A110" s="494" t="s">
        <v>1664</v>
      </c>
      <c r="B110" s="495" t="s">
        <v>3368</v>
      </c>
      <c r="C110" s="452" t="s">
        <v>3378</v>
      </c>
      <c r="D110" s="452" t="s">
        <v>3658</v>
      </c>
      <c r="E110" s="266">
        <v>270.0</v>
      </c>
      <c r="F110" s="266">
        <v>110.0</v>
      </c>
      <c r="G110" s="266">
        <v>35.0</v>
      </c>
      <c r="H110" s="266">
        <v>2.0</v>
      </c>
      <c r="I110" s="266">
        <v>1725.0</v>
      </c>
      <c r="J110" s="266">
        <v>14.0</v>
      </c>
      <c r="K110" s="266">
        <v>180.0</v>
      </c>
      <c r="L110" s="266" t="s">
        <v>3361</v>
      </c>
      <c r="M110" s="266">
        <v>1.0</v>
      </c>
      <c r="N110" s="266">
        <v>3.0</v>
      </c>
      <c r="O110" s="266">
        <v>1.0</v>
      </c>
      <c r="P110" s="266" t="s">
        <v>166</v>
      </c>
      <c r="Q110" s="266" t="s">
        <v>166</v>
      </c>
      <c r="R110" s="266" t="s">
        <v>166</v>
      </c>
      <c r="S110" s="266" t="s">
        <v>174</v>
      </c>
      <c r="T110" s="494"/>
    </row>
    <row r="111">
      <c r="A111" s="498" t="s">
        <v>1664</v>
      </c>
      <c r="B111" s="499" t="s">
        <v>3368</v>
      </c>
      <c r="C111" s="500" t="s">
        <v>3378</v>
      </c>
      <c r="D111" s="500" t="s">
        <v>3635</v>
      </c>
      <c r="E111" s="501">
        <v>301.0</v>
      </c>
      <c r="F111" s="501">
        <v>132.0</v>
      </c>
      <c r="G111" s="501">
        <v>49.0</v>
      </c>
      <c r="H111" s="501">
        <v>2.0</v>
      </c>
      <c r="I111" s="501">
        <v>1750.0</v>
      </c>
      <c r="J111" s="501">
        <v>14.0</v>
      </c>
      <c r="K111" s="501">
        <v>180.0</v>
      </c>
      <c r="L111" s="501" t="s">
        <v>3361</v>
      </c>
      <c r="M111" s="501">
        <v>3.0</v>
      </c>
      <c r="N111" s="501">
        <v>3.0</v>
      </c>
      <c r="O111" s="501">
        <v>1.0</v>
      </c>
      <c r="P111" s="501" t="s">
        <v>166</v>
      </c>
      <c r="Q111" s="501" t="s">
        <v>166</v>
      </c>
      <c r="R111" s="502" t="s">
        <v>166</v>
      </c>
      <c r="S111" s="502" t="s">
        <v>166</v>
      </c>
      <c r="T111" s="503"/>
    </row>
    <row r="112">
      <c r="A112" s="504" t="s">
        <v>1664</v>
      </c>
      <c r="B112" s="505" t="s">
        <v>3672</v>
      </c>
      <c r="C112" s="282" t="str">
        <f>HYPERLINK("https://www.amd.com/en","AMD")</f>
        <v>AMD</v>
      </c>
      <c r="D112" s="506" t="str">
        <f>HYPERLINK("https://www.amd.com/en/products/graphics/amd-radeon-rx-5700-xt-50th-anniversary","50th Anniversary Edition")</f>
        <v>50th Anniversary Edition</v>
      </c>
      <c r="E112" s="507">
        <v>270.0</v>
      </c>
      <c r="F112" s="507">
        <v>110.0</v>
      </c>
      <c r="G112" s="507">
        <v>40.0</v>
      </c>
      <c r="H112" s="507">
        <v>2.0</v>
      </c>
      <c r="I112" s="507">
        <v>1980.0</v>
      </c>
      <c r="J112" s="507">
        <v>14.0</v>
      </c>
      <c r="K112" s="507">
        <v>235.0</v>
      </c>
      <c r="L112" s="507" t="s">
        <v>3361</v>
      </c>
      <c r="M112" s="507">
        <v>1.0</v>
      </c>
      <c r="N112" s="507">
        <v>3.0</v>
      </c>
      <c r="O112" s="507">
        <v>1.0</v>
      </c>
      <c r="P112" s="507" t="s">
        <v>166</v>
      </c>
      <c r="Q112" s="507" t="s">
        <v>166</v>
      </c>
      <c r="R112" s="507" t="s">
        <v>166</v>
      </c>
      <c r="S112" s="507" t="s">
        <v>174</v>
      </c>
      <c r="T112" s="494"/>
    </row>
    <row r="113">
      <c r="A113" s="494" t="s">
        <v>1664</v>
      </c>
      <c r="B113" s="495" t="s">
        <v>3672</v>
      </c>
      <c r="C113" s="452" t="str">
        <f t="shared" ref="C113:C117" si="25">HYPERLINK("https://www.asrock.com/","ASRock")</f>
        <v>ASRock</v>
      </c>
      <c r="D113" s="452" t="str">
        <f>HYPERLINK("https://www.asrock.com/Graphics-Card/AMD/Radeon%20RX%205700%20XT%208G/","RX 5700 XT")</f>
        <v>RX 5700 XT</v>
      </c>
      <c r="E113" s="266">
        <f>284.8-12</f>
        <v>272.8</v>
      </c>
      <c r="F113" s="266">
        <f>126.47-15</f>
        <v>111.47</v>
      </c>
      <c r="G113" s="266">
        <v>42.0</v>
      </c>
      <c r="H113" s="266">
        <v>2.0</v>
      </c>
      <c r="I113" s="266">
        <v>1905.0</v>
      </c>
      <c r="J113" s="266">
        <v>14.0</v>
      </c>
      <c r="K113" s="266">
        <v>225.0</v>
      </c>
      <c r="L113" s="266" t="s">
        <v>3361</v>
      </c>
      <c r="M113" s="266">
        <v>1.0</v>
      </c>
      <c r="N113" s="266">
        <v>3.0</v>
      </c>
      <c r="O113" s="266">
        <v>1.0</v>
      </c>
      <c r="P113" s="266" t="s">
        <v>166</v>
      </c>
      <c r="Q113" s="266" t="s">
        <v>166</v>
      </c>
      <c r="R113" s="266" t="s">
        <v>166</v>
      </c>
      <c r="S113" s="266" t="s">
        <v>174</v>
      </c>
      <c r="T113" s="494"/>
    </row>
    <row r="114">
      <c r="A114" s="494" t="s">
        <v>1664</v>
      </c>
      <c r="B114" s="495" t="s">
        <v>3672</v>
      </c>
      <c r="C114" s="452" t="str">
        <f t="shared" si="25"/>
        <v>ASRock</v>
      </c>
      <c r="D114" s="452" t="str">
        <f>HYPERLINK("https://www.asrock.com/Graphics-Card/AMD/Radeon%20RX%205700%20XT%20Challenger%20D%208G%20OC/","Challenger D OC")</f>
        <v>Challenger D OC</v>
      </c>
      <c r="E114" s="266">
        <f>281-12</f>
        <v>269</v>
      </c>
      <c r="F114" s="266">
        <f>137-15</f>
        <v>122</v>
      </c>
      <c r="G114" s="266">
        <v>42.0</v>
      </c>
      <c r="H114" s="266">
        <v>2.0</v>
      </c>
      <c r="I114" s="266">
        <v>1905.0</v>
      </c>
      <c r="J114" s="266">
        <v>14.0</v>
      </c>
      <c r="K114" s="266">
        <v>225.0</v>
      </c>
      <c r="L114" s="266" t="s">
        <v>3460</v>
      </c>
      <c r="M114" s="266">
        <v>2.0</v>
      </c>
      <c r="N114" s="266">
        <v>3.0</v>
      </c>
      <c r="O114" s="266">
        <v>1.0</v>
      </c>
      <c r="P114" s="266" t="s">
        <v>166</v>
      </c>
      <c r="Q114" s="266" t="s">
        <v>166</v>
      </c>
      <c r="R114" s="497" t="s">
        <v>166</v>
      </c>
      <c r="S114" s="497" t="s">
        <v>166</v>
      </c>
      <c r="T114" s="496"/>
    </row>
    <row r="115">
      <c r="A115" s="494" t="s">
        <v>1664</v>
      </c>
      <c r="B115" s="495" t="s">
        <v>3672</v>
      </c>
      <c r="C115" s="452" t="str">
        <f t="shared" si="25"/>
        <v>ASRock</v>
      </c>
      <c r="D115" s="452" t="s">
        <v>3637</v>
      </c>
      <c r="E115" s="266">
        <v>279.0</v>
      </c>
      <c r="F115" s="266">
        <v>118.0</v>
      </c>
      <c r="G115" s="266">
        <v>52.0</v>
      </c>
      <c r="H115" s="266">
        <v>2.0</v>
      </c>
      <c r="I115" s="266">
        <v>1905.0</v>
      </c>
      <c r="J115" s="266">
        <v>14.0</v>
      </c>
      <c r="K115" s="266">
        <v>225.0</v>
      </c>
      <c r="L115" s="266" t="s">
        <v>3460</v>
      </c>
      <c r="M115" s="266">
        <v>3.0</v>
      </c>
      <c r="N115" s="266">
        <v>3.0</v>
      </c>
      <c r="O115" s="266">
        <v>1.0</v>
      </c>
      <c r="P115" s="266" t="s">
        <v>166</v>
      </c>
      <c r="Q115" s="266" t="s">
        <v>166</v>
      </c>
      <c r="R115" s="497" t="s">
        <v>166</v>
      </c>
      <c r="S115" s="497" t="s">
        <v>166</v>
      </c>
      <c r="T115" s="496"/>
    </row>
    <row r="116">
      <c r="A116" s="494" t="s">
        <v>1664</v>
      </c>
      <c r="B116" s="495" t="s">
        <v>3672</v>
      </c>
      <c r="C116" s="452" t="str">
        <f t="shared" si="25"/>
        <v>ASRock</v>
      </c>
      <c r="D116" s="452" t="s">
        <v>3657</v>
      </c>
      <c r="E116" s="266">
        <f>286.91-12</f>
        <v>274.91</v>
      </c>
      <c r="F116" s="266">
        <f>126.54-15</f>
        <v>111.54</v>
      </c>
      <c r="G116" s="266">
        <v>53.01</v>
      </c>
      <c r="H116" s="266">
        <v>2.0</v>
      </c>
      <c r="I116" s="266">
        <v>1945.0</v>
      </c>
      <c r="J116" s="266">
        <v>14.0</v>
      </c>
      <c r="K116" s="266">
        <v>225.0</v>
      </c>
      <c r="L116" s="266" t="s">
        <v>3460</v>
      </c>
      <c r="M116" s="266">
        <v>3.0</v>
      </c>
      <c r="N116" s="266">
        <v>3.0</v>
      </c>
      <c r="O116" s="266">
        <v>1.0</v>
      </c>
      <c r="P116" s="266" t="s">
        <v>166</v>
      </c>
      <c r="Q116" s="266" t="s">
        <v>166</v>
      </c>
      <c r="R116" s="497" t="s">
        <v>166</v>
      </c>
      <c r="S116" s="497" t="s">
        <v>166</v>
      </c>
      <c r="T116" s="496"/>
    </row>
    <row r="117">
      <c r="A117" s="494" t="s">
        <v>1664</v>
      </c>
      <c r="B117" s="495" t="s">
        <v>3672</v>
      </c>
      <c r="C117" s="452" t="str">
        <f t="shared" si="25"/>
        <v>ASRock</v>
      </c>
      <c r="D117" s="452" t="s">
        <v>3673</v>
      </c>
      <c r="E117" s="266">
        <f>324.35-12</f>
        <v>312.35</v>
      </c>
      <c r="F117" s="266">
        <f>145.39-15</f>
        <v>130.39</v>
      </c>
      <c r="G117" s="266">
        <v>53.18</v>
      </c>
      <c r="H117" s="266">
        <v>2.0</v>
      </c>
      <c r="I117" s="266">
        <v>2040.0</v>
      </c>
      <c r="J117" s="266">
        <v>14.0</v>
      </c>
      <c r="K117" s="266">
        <v>225.0</v>
      </c>
      <c r="L117" s="266" t="s">
        <v>3460</v>
      </c>
      <c r="M117" s="266">
        <v>3.0</v>
      </c>
      <c r="N117" s="266">
        <v>4.0</v>
      </c>
      <c r="O117" s="266">
        <v>2.0</v>
      </c>
      <c r="P117" s="266" t="s">
        <v>166</v>
      </c>
      <c r="Q117" s="266" t="s">
        <v>166</v>
      </c>
      <c r="R117" s="497" t="s">
        <v>166</v>
      </c>
      <c r="S117" s="497" t="s">
        <v>166</v>
      </c>
      <c r="T117" s="496"/>
    </row>
    <row r="118">
      <c r="A118" s="494" t="s">
        <v>1664</v>
      </c>
      <c r="B118" s="495" t="s">
        <v>3672</v>
      </c>
      <c r="C118" s="174" t="str">
        <f t="shared" ref="C118:C122" si="26">HYPERLINK("https://www.asus.com/","Asus")</f>
        <v>Asus</v>
      </c>
      <c r="D118" s="452" t="s">
        <v>3674</v>
      </c>
      <c r="E118" s="266">
        <v>270.0</v>
      </c>
      <c r="F118" s="266">
        <v>110.0</v>
      </c>
      <c r="G118" s="266">
        <v>40.0</v>
      </c>
      <c r="H118" s="266">
        <v>2.0</v>
      </c>
      <c r="I118" s="266">
        <v>1905.0</v>
      </c>
      <c r="J118" s="266">
        <v>14.0</v>
      </c>
      <c r="K118" s="266">
        <v>225.0</v>
      </c>
      <c r="L118" s="266" t="s">
        <v>3361</v>
      </c>
      <c r="M118" s="266">
        <v>1.0</v>
      </c>
      <c r="N118" s="266">
        <v>3.0</v>
      </c>
      <c r="O118" s="266">
        <v>1.0</v>
      </c>
      <c r="P118" s="266" t="s">
        <v>166</v>
      </c>
      <c r="Q118" s="266" t="s">
        <v>166</v>
      </c>
      <c r="R118" s="266" t="s">
        <v>166</v>
      </c>
      <c r="S118" s="266" t="s">
        <v>174</v>
      </c>
      <c r="T118" s="494"/>
    </row>
    <row r="119">
      <c r="A119" s="494" t="s">
        <v>1664</v>
      </c>
      <c r="B119" s="495" t="s">
        <v>3672</v>
      </c>
      <c r="C119" s="174" t="str">
        <f t="shared" si="26"/>
        <v>Asus</v>
      </c>
      <c r="D119" s="452" t="s">
        <v>3659</v>
      </c>
      <c r="E119" s="266">
        <v>283.0</v>
      </c>
      <c r="F119" s="266">
        <v>132.0</v>
      </c>
      <c r="G119" s="266">
        <v>52.0</v>
      </c>
      <c r="H119" s="266">
        <v>2.0</v>
      </c>
      <c r="I119" s="266">
        <v>1980.0</v>
      </c>
      <c r="J119" s="266">
        <v>14.0</v>
      </c>
      <c r="K119" s="266">
        <v>225.0</v>
      </c>
      <c r="L119" s="266" t="s">
        <v>3361</v>
      </c>
      <c r="M119" s="266">
        <v>2.0</v>
      </c>
      <c r="N119" s="266">
        <v>3.0</v>
      </c>
      <c r="O119" s="266">
        <v>1.0</v>
      </c>
      <c r="P119" s="266" t="s">
        <v>166</v>
      </c>
      <c r="Q119" s="266" t="s">
        <v>166</v>
      </c>
      <c r="R119" s="497" t="s">
        <v>166</v>
      </c>
      <c r="S119" s="497" t="s">
        <v>166</v>
      </c>
      <c r="T119" s="496"/>
    </row>
    <row r="120">
      <c r="A120" s="494" t="s">
        <v>1664</v>
      </c>
      <c r="B120" s="495" t="s">
        <v>3672</v>
      </c>
      <c r="C120" s="174" t="str">
        <f t="shared" si="26"/>
        <v>Asus</v>
      </c>
      <c r="D120" s="452" t="s">
        <v>3660</v>
      </c>
      <c r="E120" s="266">
        <v>269.0</v>
      </c>
      <c r="F120" s="266">
        <v>125.0</v>
      </c>
      <c r="G120" s="266">
        <v>54.0</v>
      </c>
      <c r="H120" s="266">
        <v>2.0</v>
      </c>
      <c r="I120" s="266">
        <v>1980.0</v>
      </c>
      <c r="J120" s="266">
        <v>14.0</v>
      </c>
      <c r="K120" s="266">
        <v>225.0</v>
      </c>
      <c r="L120" s="266" t="s">
        <v>3361</v>
      </c>
      <c r="M120" s="266">
        <v>3.0</v>
      </c>
      <c r="N120" s="266">
        <v>3.0</v>
      </c>
      <c r="O120" s="266">
        <v>1.0</v>
      </c>
      <c r="P120" s="266" t="s">
        <v>166</v>
      </c>
      <c r="Q120" s="266" t="s">
        <v>166</v>
      </c>
      <c r="R120" s="497" t="s">
        <v>166</v>
      </c>
      <c r="S120" s="497" t="s">
        <v>166</v>
      </c>
      <c r="T120" s="496"/>
    </row>
    <row r="121">
      <c r="A121" s="494" t="s">
        <v>1664</v>
      </c>
      <c r="B121" s="495" t="s">
        <v>3672</v>
      </c>
      <c r="C121" s="174" t="str">
        <f t="shared" si="26"/>
        <v>Asus</v>
      </c>
      <c r="D121" s="452" t="s">
        <v>3645</v>
      </c>
      <c r="E121" s="266">
        <v>282.6</v>
      </c>
      <c r="F121" s="266">
        <v>128.5</v>
      </c>
      <c r="G121" s="266">
        <v>53.8</v>
      </c>
      <c r="H121" s="266">
        <v>2.0</v>
      </c>
      <c r="I121" s="266">
        <v>1980.0</v>
      </c>
      <c r="J121" s="266">
        <v>14.0</v>
      </c>
      <c r="K121" s="266">
        <v>225.0</v>
      </c>
      <c r="L121" s="266" t="s">
        <v>3361</v>
      </c>
      <c r="M121" s="266">
        <v>3.0</v>
      </c>
      <c r="N121" s="266">
        <v>3.0</v>
      </c>
      <c r="O121" s="266">
        <v>1.0</v>
      </c>
      <c r="P121" s="266" t="s">
        <v>166</v>
      </c>
      <c r="Q121" s="266" t="s">
        <v>166</v>
      </c>
      <c r="R121" s="497" t="s">
        <v>166</v>
      </c>
      <c r="S121" s="497" t="s">
        <v>166</v>
      </c>
      <c r="T121" s="496"/>
    </row>
    <row r="122">
      <c r="A122" s="494" t="s">
        <v>1664</v>
      </c>
      <c r="B122" s="495" t="s">
        <v>3672</v>
      </c>
      <c r="C122" s="174" t="str">
        <f t="shared" si="26"/>
        <v>Asus</v>
      </c>
      <c r="D122" s="452" t="s">
        <v>3643</v>
      </c>
      <c r="E122" s="266">
        <v>305.0</v>
      </c>
      <c r="F122" s="266">
        <v>130.0</v>
      </c>
      <c r="G122" s="266">
        <v>54.0</v>
      </c>
      <c r="H122" s="266">
        <v>2.0</v>
      </c>
      <c r="I122" s="266">
        <v>2035.0</v>
      </c>
      <c r="J122" s="266">
        <v>14.0</v>
      </c>
      <c r="K122" s="266">
        <v>225.0</v>
      </c>
      <c r="L122" s="266" t="s">
        <v>3460</v>
      </c>
      <c r="M122" s="266">
        <v>3.0</v>
      </c>
      <c r="N122" s="266">
        <v>3.0</v>
      </c>
      <c r="O122" s="266">
        <v>1.0</v>
      </c>
      <c r="P122" s="266" t="s">
        <v>166</v>
      </c>
      <c r="Q122" s="266" t="s">
        <v>166</v>
      </c>
      <c r="R122" s="497" t="s">
        <v>166</v>
      </c>
      <c r="S122" s="497" t="s">
        <v>166</v>
      </c>
      <c r="T122" s="496"/>
    </row>
    <row r="123">
      <c r="A123" s="494" t="s">
        <v>1664</v>
      </c>
      <c r="B123" s="495" t="s">
        <v>3672</v>
      </c>
      <c r="C123" s="174" t="s">
        <v>3627</v>
      </c>
      <c r="D123" s="452" t="s">
        <v>3674</v>
      </c>
      <c r="E123" s="266">
        <v>270.0</v>
      </c>
      <c r="F123" s="266">
        <v>110.0</v>
      </c>
      <c r="G123" s="266">
        <v>40.0</v>
      </c>
      <c r="H123" s="266">
        <v>2.0</v>
      </c>
      <c r="I123" s="266">
        <v>1905.0</v>
      </c>
      <c r="J123" s="266">
        <v>14.0</v>
      </c>
      <c r="K123" s="266">
        <v>225.0</v>
      </c>
      <c r="L123" s="266" t="s">
        <v>3361</v>
      </c>
      <c r="M123" s="266">
        <v>1.0</v>
      </c>
      <c r="N123" s="266">
        <v>3.0</v>
      </c>
      <c r="O123" s="266">
        <v>1.0</v>
      </c>
      <c r="P123" s="266" t="s">
        <v>166</v>
      </c>
      <c r="Q123" s="266" t="s">
        <v>166</v>
      </c>
      <c r="R123" s="266" t="s">
        <v>166</v>
      </c>
      <c r="S123" s="266" t="s">
        <v>174</v>
      </c>
      <c r="T123" s="494"/>
    </row>
    <row r="124">
      <c r="A124" s="494" t="s">
        <v>1664</v>
      </c>
      <c r="B124" s="495" t="s">
        <v>3672</v>
      </c>
      <c r="C124" s="174" t="s">
        <v>3627</v>
      </c>
      <c r="D124" s="452" t="s">
        <v>3632</v>
      </c>
      <c r="E124" s="266">
        <v>260.0</v>
      </c>
      <c r="F124" s="266">
        <v>117.0</v>
      </c>
      <c r="G124" s="266">
        <v>50.0</v>
      </c>
      <c r="H124" s="266">
        <v>2.0</v>
      </c>
      <c r="I124" s="266">
        <v>1905.0</v>
      </c>
      <c r="J124" s="266">
        <v>14.0</v>
      </c>
      <c r="K124" s="266">
        <v>225.0</v>
      </c>
      <c r="L124" s="266" t="s">
        <v>3361</v>
      </c>
      <c r="M124" s="266">
        <v>2.0</v>
      </c>
      <c r="N124" s="266">
        <v>3.0</v>
      </c>
      <c r="O124" s="266">
        <v>1.0</v>
      </c>
      <c r="P124" s="266" t="s">
        <v>166</v>
      </c>
      <c r="Q124" s="266" t="s">
        <v>166</v>
      </c>
      <c r="R124" s="497" t="s">
        <v>166</v>
      </c>
      <c r="S124" s="497" t="s">
        <v>166</v>
      </c>
      <c r="T124" s="496"/>
    </row>
    <row r="125">
      <c r="A125" s="494" t="s">
        <v>1664</v>
      </c>
      <c r="B125" s="495" t="s">
        <v>3672</v>
      </c>
      <c r="C125" s="174" t="s">
        <v>3627</v>
      </c>
      <c r="D125" s="452" t="s">
        <v>3675</v>
      </c>
      <c r="E125" s="266">
        <v>319.0</v>
      </c>
      <c r="F125" s="266">
        <v>127.0</v>
      </c>
      <c r="G125" s="266">
        <v>53.0</v>
      </c>
      <c r="H125" s="266">
        <v>2.0</v>
      </c>
      <c r="I125" s="266">
        <v>1905.0</v>
      </c>
      <c r="J125" s="266">
        <v>14.0</v>
      </c>
      <c r="K125" s="266">
        <v>225.0</v>
      </c>
      <c r="L125" s="266" t="s">
        <v>3460</v>
      </c>
      <c r="M125" s="266">
        <v>3.0</v>
      </c>
      <c r="N125" s="266">
        <v>3.0</v>
      </c>
      <c r="O125" s="266">
        <v>1.0</v>
      </c>
      <c r="P125" s="266" t="s">
        <v>166</v>
      </c>
      <c r="Q125" s="266" t="s">
        <v>166</v>
      </c>
      <c r="R125" s="497" t="s">
        <v>166</v>
      </c>
      <c r="S125" s="497" t="s">
        <v>166</v>
      </c>
      <c r="T125" s="496"/>
    </row>
    <row r="126">
      <c r="A126" s="494" t="s">
        <v>1664</v>
      </c>
      <c r="B126" s="495" t="s">
        <v>3672</v>
      </c>
      <c r="C126" s="174" t="s">
        <v>3627</v>
      </c>
      <c r="D126" s="452" t="s">
        <v>3648</v>
      </c>
      <c r="E126" s="266">
        <v>319.0</v>
      </c>
      <c r="F126" s="266">
        <v>127.0</v>
      </c>
      <c r="G126" s="266">
        <v>53.0</v>
      </c>
      <c r="H126" s="266">
        <v>2.0</v>
      </c>
      <c r="I126" s="266">
        <v>1980.0</v>
      </c>
      <c r="J126" s="266">
        <v>14.0</v>
      </c>
      <c r="K126" s="266">
        <v>225.0</v>
      </c>
      <c r="L126" s="266" t="s">
        <v>3460</v>
      </c>
      <c r="M126" s="266">
        <v>3.0</v>
      </c>
      <c r="N126" s="266">
        <v>3.0</v>
      </c>
      <c r="O126" s="266">
        <v>1.0</v>
      </c>
      <c r="P126" s="266" t="s">
        <v>166</v>
      </c>
      <c r="Q126" s="266" t="s">
        <v>166</v>
      </c>
      <c r="R126" s="497" t="s">
        <v>166</v>
      </c>
      <c r="S126" s="497" t="s">
        <v>166</v>
      </c>
      <c r="T126" s="496"/>
    </row>
    <row r="127">
      <c r="A127" s="494" t="s">
        <v>1664</v>
      </c>
      <c r="B127" s="495" t="s">
        <v>3672</v>
      </c>
      <c r="C127" s="174" t="s">
        <v>3627</v>
      </c>
      <c r="D127" s="452" t="s">
        <v>3676</v>
      </c>
      <c r="E127" s="266">
        <v>319.0</v>
      </c>
      <c r="F127" s="266">
        <v>127.0</v>
      </c>
      <c r="G127" s="266">
        <v>53.0</v>
      </c>
      <c r="H127" s="266">
        <v>2.0</v>
      </c>
      <c r="I127" s="266">
        <v>1980.0</v>
      </c>
      <c r="J127" s="266">
        <v>14.0</v>
      </c>
      <c r="K127" s="266">
        <v>225.0</v>
      </c>
      <c r="L127" s="266" t="s">
        <v>3460</v>
      </c>
      <c r="M127" s="266">
        <v>3.0</v>
      </c>
      <c r="N127" s="266">
        <v>3.0</v>
      </c>
      <c r="O127" s="266">
        <v>1.0</v>
      </c>
      <c r="P127" s="266" t="s">
        <v>166</v>
      </c>
      <c r="Q127" s="266" t="s">
        <v>166</v>
      </c>
      <c r="R127" s="497" t="s">
        <v>166</v>
      </c>
      <c r="S127" s="497" t="s">
        <v>166</v>
      </c>
      <c r="T127" s="496"/>
    </row>
    <row r="128">
      <c r="A128" s="494" t="s">
        <v>1664</v>
      </c>
      <c r="B128" s="495" t="s">
        <v>3672</v>
      </c>
      <c r="C128" s="174" t="str">
        <f t="shared" ref="C128:C131" si="27">HYPERLINK("https://www.gigabyte.com/","Gigabyte")</f>
        <v>Gigabyte</v>
      </c>
      <c r="D128" s="452" t="str">
        <f>HYPERLINK("https://www.gigabyte.com/Graphics-Card/GV-R57XT-8GD-B#kf","RX 5700 XT")</f>
        <v>RX 5700 XT</v>
      </c>
      <c r="E128" s="266">
        <v>270.0</v>
      </c>
      <c r="F128" s="266">
        <v>110.0</v>
      </c>
      <c r="G128" s="266">
        <v>40.0</v>
      </c>
      <c r="H128" s="266">
        <v>2.0</v>
      </c>
      <c r="I128" s="266">
        <v>1905.0</v>
      </c>
      <c r="J128" s="266">
        <v>14.0</v>
      </c>
      <c r="K128" s="266">
        <v>225.0</v>
      </c>
      <c r="L128" s="266" t="s">
        <v>3361</v>
      </c>
      <c r="M128" s="266">
        <v>1.0</v>
      </c>
      <c r="N128" s="266">
        <v>3.0</v>
      </c>
      <c r="O128" s="266">
        <v>1.0</v>
      </c>
      <c r="P128" s="266" t="s">
        <v>166</v>
      </c>
      <c r="Q128" s="266" t="s">
        <v>166</v>
      </c>
      <c r="R128" s="266" t="s">
        <v>166</v>
      </c>
      <c r="S128" s="266" t="s">
        <v>174</v>
      </c>
      <c r="T128" s="494"/>
    </row>
    <row r="129">
      <c r="A129" s="494" t="s">
        <v>1664</v>
      </c>
      <c r="B129" s="495" t="s">
        <v>3672</v>
      </c>
      <c r="C129" s="174" t="str">
        <f t="shared" si="27"/>
        <v>Gigabyte</v>
      </c>
      <c r="D129" s="452" t="s">
        <v>3409</v>
      </c>
      <c r="E129" s="266">
        <v>279.85</v>
      </c>
      <c r="F129" s="266">
        <v>114.35</v>
      </c>
      <c r="G129" s="266">
        <v>49.55</v>
      </c>
      <c r="H129" s="266">
        <v>2.0</v>
      </c>
      <c r="I129" s="266">
        <v>1905.0</v>
      </c>
      <c r="J129" s="266">
        <v>14.0</v>
      </c>
      <c r="K129" s="266">
        <v>225.0</v>
      </c>
      <c r="L129" s="266" t="s">
        <v>3361</v>
      </c>
      <c r="M129" s="266">
        <v>3.0</v>
      </c>
      <c r="N129" s="266">
        <v>3.0</v>
      </c>
      <c r="O129" s="266">
        <v>1.0</v>
      </c>
      <c r="P129" s="266" t="s">
        <v>166</v>
      </c>
      <c r="Q129" s="266" t="s">
        <v>166</v>
      </c>
      <c r="R129" s="497" t="s">
        <v>166</v>
      </c>
      <c r="S129" s="497" t="s">
        <v>166</v>
      </c>
      <c r="T129" s="496"/>
    </row>
    <row r="130">
      <c r="A130" s="494" t="s">
        <v>1664</v>
      </c>
      <c r="B130" s="495" t="s">
        <v>3672</v>
      </c>
      <c r="C130" s="174" t="str">
        <f t="shared" si="27"/>
        <v>Gigabyte</v>
      </c>
      <c r="D130" s="452" t="s">
        <v>3630</v>
      </c>
      <c r="E130" s="266">
        <v>279.85</v>
      </c>
      <c r="F130" s="266">
        <v>114.35</v>
      </c>
      <c r="G130" s="266">
        <v>49.55</v>
      </c>
      <c r="H130" s="266">
        <v>2.0</v>
      </c>
      <c r="I130" s="266">
        <v>1905.0</v>
      </c>
      <c r="J130" s="266">
        <v>14.0</v>
      </c>
      <c r="K130" s="266">
        <v>225.0</v>
      </c>
      <c r="L130" s="266" t="s">
        <v>3361</v>
      </c>
      <c r="M130" s="266">
        <v>3.0</v>
      </c>
      <c r="N130" s="266">
        <v>3.0</v>
      </c>
      <c r="O130" s="266">
        <v>1.0</v>
      </c>
      <c r="P130" s="266" t="s">
        <v>166</v>
      </c>
      <c r="Q130" s="266" t="s">
        <v>166</v>
      </c>
      <c r="R130" s="497" t="s">
        <v>166</v>
      </c>
      <c r="S130" s="497" t="s">
        <v>166</v>
      </c>
      <c r="T130" s="496"/>
    </row>
    <row r="131">
      <c r="A131" s="494" t="s">
        <v>1664</v>
      </c>
      <c r="B131" s="495" t="s">
        <v>3672</v>
      </c>
      <c r="C131" s="174" t="str">
        <f t="shared" si="27"/>
        <v>Gigabyte</v>
      </c>
      <c r="D131" s="452" t="s">
        <v>3677</v>
      </c>
      <c r="E131" s="266">
        <v>290.0</v>
      </c>
      <c r="F131" s="266">
        <v>123.0</v>
      </c>
      <c r="G131" s="266">
        <v>58.0</v>
      </c>
      <c r="H131" s="266">
        <v>2.0</v>
      </c>
      <c r="I131" s="266">
        <v>2010.0</v>
      </c>
      <c r="J131" s="266">
        <v>14.0</v>
      </c>
      <c r="K131" s="266">
        <v>225.0</v>
      </c>
      <c r="L131" s="266" t="s">
        <v>3460</v>
      </c>
      <c r="M131" s="266">
        <v>3.0</v>
      </c>
      <c r="N131" s="266">
        <v>3.0</v>
      </c>
      <c r="O131" s="266">
        <v>3.0</v>
      </c>
      <c r="P131" s="266" t="s">
        <v>166</v>
      </c>
      <c r="Q131" s="266" t="s">
        <v>166</v>
      </c>
      <c r="R131" s="497" t="s">
        <v>166</v>
      </c>
      <c r="S131" s="497" t="s">
        <v>166</v>
      </c>
      <c r="T131" s="496"/>
    </row>
    <row r="132">
      <c r="A132" s="494" t="s">
        <v>1664</v>
      </c>
      <c r="B132" s="495" t="s">
        <v>3672</v>
      </c>
      <c r="C132" s="452" t="str">
        <f t="shared" ref="C132:C133" si="28">HYPERLINK("http://www.hisdigital.com/us/index.shtml","HIS")</f>
        <v>HIS</v>
      </c>
      <c r="D132" s="452" t="str">
        <f>HYPERLINK("http://www.hisdigital.com/us/product2-967.shtml","RX 5700 XT")</f>
        <v>RX 5700 XT</v>
      </c>
      <c r="E132" s="266">
        <v>272.0</v>
      </c>
      <c r="F132" s="266">
        <v>111.2</v>
      </c>
      <c r="G132" s="266">
        <v>40.0</v>
      </c>
      <c r="H132" s="266">
        <v>2.0</v>
      </c>
      <c r="I132" s="266">
        <v>1905.0</v>
      </c>
      <c r="J132" s="266">
        <v>14.0</v>
      </c>
      <c r="K132" s="266">
        <v>225.0</v>
      </c>
      <c r="L132" s="266" t="s">
        <v>3361</v>
      </c>
      <c r="M132" s="266">
        <v>1.0</v>
      </c>
      <c r="N132" s="266">
        <v>3.0</v>
      </c>
      <c r="O132" s="266">
        <v>1.0</v>
      </c>
      <c r="P132" s="266" t="s">
        <v>166</v>
      </c>
      <c r="Q132" s="266" t="s">
        <v>166</v>
      </c>
      <c r="R132" s="266" t="s">
        <v>166</v>
      </c>
      <c r="S132" s="266" t="s">
        <v>174</v>
      </c>
      <c r="T132" s="494"/>
    </row>
    <row r="133">
      <c r="A133" s="494" t="s">
        <v>1664</v>
      </c>
      <c r="B133" s="495" t="s">
        <v>3672</v>
      </c>
      <c r="C133" s="452" t="str">
        <f t="shared" si="28"/>
        <v>HIS</v>
      </c>
      <c r="D133" s="452" t="s">
        <v>3661</v>
      </c>
      <c r="E133" s="266">
        <v>307.0</v>
      </c>
      <c r="F133" s="266">
        <v>147.0</v>
      </c>
      <c r="G133" s="266">
        <v>51.0</v>
      </c>
      <c r="H133" s="266">
        <v>2.0</v>
      </c>
      <c r="I133" s="266">
        <v>1905.0</v>
      </c>
      <c r="J133" s="266">
        <v>14.0</v>
      </c>
      <c r="K133" s="266">
        <v>225.0</v>
      </c>
      <c r="L133" s="266" t="s">
        <v>3361</v>
      </c>
      <c r="M133" s="266">
        <v>2.0</v>
      </c>
      <c r="N133" s="266">
        <v>3.0</v>
      </c>
      <c r="O133" s="266">
        <v>1.0</v>
      </c>
      <c r="P133" s="266" t="s">
        <v>166</v>
      </c>
      <c r="Q133" s="266" t="s">
        <v>166</v>
      </c>
      <c r="R133" s="497" t="s">
        <v>166</v>
      </c>
      <c r="S133" s="497" t="s">
        <v>166</v>
      </c>
      <c r="T133" s="496"/>
    </row>
    <row r="134">
      <c r="A134" s="494" t="s">
        <v>1664</v>
      </c>
      <c r="B134" s="495" t="s">
        <v>3672</v>
      </c>
      <c r="C134" s="174" t="str">
        <f t="shared" ref="C134:C140" si="29">HYPERLINK("https://www.msi.com/index.php","MSI")</f>
        <v>MSI</v>
      </c>
      <c r="D134" s="452" t="str">
        <f>HYPERLINK("https://www.msi.com/Graphics-card/Radeon-RX-5700-XT-8G","RX 5700 XT")</f>
        <v>RX 5700 XT</v>
      </c>
      <c r="E134" s="266">
        <v>270.0</v>
      </c>
      <c r="F134" s="266">
        <v>110.0</v>
      </c>
      <c r="G134" s="266">
        <v>40.0</v>
      </c>
      <c r="H134" s="266">
        <v>2.0</v>
      </c>
      <c r="I134" s="266">
        <v>1905.0</v>
      </c>
      <c r="J134" s="266">
        <v>14.0</v>
      </c>
      <c r="K134" s="266">
        <v>225.0</v>
      </c>
      <c r="L134" s="266" t="s">
        <v>3361</v>
      </c>
      <c r="M134" s="266">
        <v>1.0</v>
      </c>
      <c r="N134" s="266">
        <v>3.0</v>
      </c>
      <c r="O134" s="266">
        <v>1.0</v>
      </c>
      <c r="P134" s="266" t="s">
        <v>166</v>
      </c>
      <c r="Q134" s="266" t="s">
        <v>166</v>
      </c>
      <c r="R134" s="266" t="s">
        <v>166</v>
      </c>
      <c r="S134" s="266" t="s">
        <v>174</v>
      </c>
      <c r="T134" s="494"/>
    </row>
    <row r="135">
      <c r="A135" s="494" t="s">
        <v>1664</v>
      </c>
      <c r="B135" s="495" t="s">
        <v>3672</v>
      </c>
      <c r="C135" s="174" t="str">
        <f t="shared" si="29"/>
        <v>MSI</v>
      </c>
      <c r="D135" s="452" t="s">
        <v>3650</v>
      </c>
      <c r="E135" s="266">
        <v>232.0</v>
      </c>
      <c r="F135" s="266">
        <v>126.0</v>
      </c>
      <c r="G135" s="266">
        <v>46.0</v>
      </c>
      <c r="H135" s="266">
        <v>2.0</v>
      </c>
      <c r="I135" s="266">
        <v>1905.0</v>
      </c>
      <c r="J135" s="266">
        <v>14.0</v>
      </c>
      <c r="K135" s="266">
        <v>225.0</v>
      </c>
      <c r="L135" s="266" t="s">
        <v>3361</v>
      </c>
      <c r="M135" s="266">
        <v>2.0</v>
      </c>
      <c r="N135" s="266">
        <v>3.0</v>
      </c>
      <c r="O135" s="266">
        <v>1.0</v>
      </c>
      <c r="P135" s="266" t="s">
        <v>166</v>
      </c>
      <c r="Q135" s="266" t="s">
        <v>166</v>
      </c>
      <c r="R135" s="497" t="s">
        <v>166</v>
      </c>
      <c r="S135" s="497" t="s">
        <v>166</v>
      </c>
      <c r="T135" s="496"/>
    </row>
    <row r="136">
      <c r="A136" s="494" t="s">
        <v>1664</v>
      </c>
      <c r="B136" s="495" t="s">
        <v>3672</v>
      </c>
      <c r="C136" s="174" t="str">
        <f t="shared" si="29"/>
        <v>MSI</v>
      </c>
      <c r="D136" s="452" t="s">
        <v>3363</v>
      </c>
      <c r="E136" s="266">
        <v>232.0</v>
      </c>
      <c r="F136" s="266">
        <v>126.0</v>
      </c>
      <c r="G136" s="266">
        <v>46.0</v>
      </c>
      <c r="H136" s="266">
        <v>2.0</v>
      </c>
      <c r="I136" s="266">
        <v>1925.0</v>
      </c>
      <c r="J136" s="266">
        <v>14.0</v>
      </c>
      <c r="K136" s="266">
        <v>225.0</v>
      </c>
      <c r="L136" s="266" t="s">
        <v>3361</v>
      </c>
      <c r="M136" s="266">
        <v>2.0</v>
      </c>
      <c r="N136" s="266">
        <v>3.0</v>
      </c>
      <c r="O136" s="266">
        <v>1.0</v>
      </c>
      <c r="P136" s="266" t="s">
        <v>166</v>
      </c>
      <c r="Q136" s="266" t="s">
        <v>166</v>
      </c>
      <c r="R136" s="497" t="s">
        <v>166</v>
      </c>
      <c r="S136" s="497" t="s">
        <v>166</v>
      </c>
      <c r="T136" s="496"/>
    </row>
    <row r="137">
      <c r="A137" s="494" t="s">
        <v>1664</v>
      </c>
      <c r="B137" s="495" t="s">
        <v>3672</v>
      </c>
      <c r="C137" s="174" t="str">
        <f t="shared" si="29"/>
        <v>MSI</v>
      </c>
      <c r="D137" s="452" t="s">
        <v>3664</v>
      </c>
      <c r="E137" s="266">
        <v>254.0</v>
      </c>
      <c r="F137" s="266">
        <v>129.0</v>
      </c>
      <c r="G137" s="266">
        <v>51.0</v>
      </c>
      <c r="H137" s="266">
        <v>2.0</v>
      </c>
      <c r="I137" s="266">
        <v>1905.0</v>
      </c>
      <c r="J137" s="266">
        <v>14.0</v>
      </c>
      <c r="K137" s="266">
        <v>225.0</v>
      </c>
      <c r="L137" s="266" t="s">
        <v>3361</v>
      </c>
      <c r="M137" s="266">
        <v>2.0</v>
      </c>
      <c r="N137" s="266">
        <v>3.0</v>
      </c>
      <c r="O137" s="266">
        <v>1.0</v>
      </c>
      <c r="P137" s="266" t="s">
        <v>166</v>
      </c>
      <c r="Q137" s="266" t="s">
        <v>166</v>
      </c>
      <c r="R137" s="497" t="s">
        <v>166</v>
      </c>
      <c r="S137" s="497" t="s">
        <v>166</v>
      </c>
      <c r="T137" s="496"/>
    </row>
    <row r="138">
      <c r="A138" s="494" t="s">
        <v>1664</v>
      </c>
      <c r="B138" s="495" t="s">
        <v>3672</v>
      </c>
      <c r="C138" s="174" t="str">
        <f t="shared" si="29"/>
        <v>MSI</v>
      </c>
      <c r="D138" s="452" t="s">
        <v>3665</v>
      </c>
      <c r="E138" s="266">
        <v>254.0</v>
      </c>
      <c r="F138" s="266">
        <v>129.0</v>
      </c>
      <c r="G138" s="266">
        <v>51.0</v>
      </c>
      <c r="H138" s="266">
        <v>2.0</v>
      </c>
      <c r="I138" s="266">
        <v>1945.0</v>
      </c>
      <c r="J138" s="266">
        <v>14.0</v>
      </c>
      <c r="K138" s="266">
        <v>225.0</v>
      </c>
      <c r="L138" s="266" t="s">
        <v>3361</v>
      </c>
      <c r="M138" s="266">
        <v>2.0</v>
      </c>
      <c r="N138" s="266">
        <v>3.0</v>
      </c>
      <c r="O138" s="266">
        <v>1.0</v>
      </c>
      <c r="P138" s="266" t="s">
        <v>166</v>
      </c>
      <c r="Q138" s="266" t="s">
        <v>166</v>
      </c>
      <c r="R138" s="497" t="s">
        <v>166</v>
      </c>
      <c r="S138" s="497" t="s">
        <v>166</v>
      </c>
      <c r="T138" s="496"/>
    </row>
    <row r="139">
      <c r="A139" s="494" t="s">
        <v>1664</v>
      </c>
      <c r="B139" s="495" t="s">
        <v>3672</v>
      </c>
      <c r="C139" s="174" t="str">
        <f t="shared" si="29"/>
        <v>MSI</v>
      </c>
      <c r="D139" s="452" t="s">
        <v>3409</v>
      </c>
      <c r="E139" s="266">
        <v>297.0</v>
      </c>
      <c r="F139" s="266">
        <v>140.0</v>
      </c>
      <c r="G139" s="266">
        <v>58.0</v>
      </c>
      <c r="H139" s="266">
        <v>2.0</v>
      </c>
      <c r="I139" s="266">
        <v>1905.0</v>
      </c>
      <c r="J139" s="266">
        <v>14.0</v>
      </c>
      <c r="K139" s="266">
        <v>225.0</v>
      </c>
      <c r="L139" s="266" t="s">
        <v>3460</v>
      </c>
      <c r="M139" s="266">
        <v>2.0</v>
      </c>
      <c r="N139" s="266">
        <v>3.0</v>
      </c>
      <c r="O139" s="266">
        <v>1.0</v>
      </c>
      <c r="P139" s="266" t="s">
        <v>166</v>
      </c>
      <c r="Q139" s="266" t="s">
        <v>166</v>
      </c>
      <c r="R139" s="497" t="s">
        <v>166</v>
      </c>
      <c r="S139" s="497" t="s">
        <v>166</v>
      </c>
      <c r="T139" s="496"/>
    </row>
    <row r="140">
      <c r="A140" s="494" t="s">
        <v>1664</v>
      </c>
      <c r="B140" s="495" t="s">
        <v>3672</v>
      </c>
      <c r="C140" s="174" t="str">
        <f t="shared" si="29"/>
        <v>MSI</v>
      </c>
      <c r="D140" s="452" t="s">
        <v>3557</v>
      </c>
      <c r="E140" s="266">
        <v>297.0</v>
      </c>
      <c r="F140" s="266">
        <v>140.0</v>
      </c>
      <c r="G140" s="266">
        <v>58.0</v>
      </c>
      <c r="H140" s="266">
        <v>2.0</v>
      </c>
      <c r="I140" s="266">
        <v>1980.0</v>
      </c>
      <c r="J140" s="266">
        <v>14.0</v>
      </c>
      <c r="K140" s="266">
        <v>225.0</v>
      </c>
      <c r="L140" s="266" t="s">
        <v>3460</v>
      </c>
      <c r="M140" s="266">
        <v>2.0</v>
      </c>
      <c r="N140" s="266">
        <v>3.0</v>
      </c>
      <c r="O140" s="266">
        <v>1.0</v>
      </c>
      <c r="P140" s="266" t="s">
        <v>166</v>
      </c>
      <c r="Q140" s="266" t="s">
        <v>166</v>
      </c>
      <c r="R140" s="497" t="s">
        <v>166</v>
      </c>
      <c r="S140" s="497" t="s">
        <v>166</v>
      </c>
      <c r="T140" s="496"/>
    </row>
    <row r="141">
      <c r="A141" s="494" t="s">
        <v>1664</v>
      </c>
      <c r="B141" s="495" t="s">
        <v>3672</v>
      </c>
      <c r="C141" s="452" t="str">
        <f t="shared" ref="C141:C146" si="30">HYPERLINK("https://www.powercolor.com/","PowerColor")</f>
        <v>PowerColor</v>
      </c>
      <c r="D141" s="452" t="str">
        <f>HYPERLINK("https://www.powercolor.com/product?id=1562139911","RX 5700 XT")</f>
        <v>RX 5700 XT</v>
      </c>
      <c r="E141" s="266">
        <v>270.0</v>
      </c>
      <c r="F141" s="266">
        <v>110.0</v>
      </c>
      <c r="G141" s="266">
        <v>40.0</v>
      </c>
      <c r="H141" s="266">
        <v>2.0</v>
      </c>
      <c r="I141" s="266">
        <v>1905.0</v>
      </c>
      <c r="J141" s="266">
        <v>14.0</v>
      </c>
      <c r="K141" s="266">
        <v>225.0</v>
      </c>
      <c r="L141" s="266" t="s">
        <v>3361</v>
      </c>
      <c r="M141" s="266">
        <v>1.0</v>
      </c>
      <c r="N141" s="266">
        <v>3.0</v>
      </c>
      <c r="O141" s="266">
        <v>1.0</v>
      </c>
      <c r="P141" s="266" t="s">
        <v>166</v>
      </c>
      <c r="Q141" s="266" t="s">
        <v>166</v>
      </c>
      <c r="R141" s="266" t="s">
        <v>166</v>
      </c>
      <c r="S141" s="266" t="s">
        <v>174</v>
      </c>
      <c r="T141" s="494"/>
    </row>
    <row r="142">
      <c r="A142" s="494" t="s">
        <v>1664</v>
      </c>
      <c r="B142" s="495" t="s">
        <v>3672</v>
      </c>
      <c r="C142" s="452" t="str">
        <f t="shared" si="30"/>
        <v>PowerColor</v>
      </c>
      <c r="D142" s="452" t="str">
        <f>HYPERLINK("https://www.powercolor.com/product?id=1565842787","RX 5700 XT (8GBD6-3DH)")</f>
        <v>RX 5700 XT (8GBD6-3DH)</v>
      </c>
      <c r="E142" s="266">
        <v>230.0</v>
      </c>
      <c r="F142" s="266">
        <v>111.0</v>
      </c>
      <c r="G142" s="266">
        <v>41.0</v>
      </c>
      <c r="H142" s="266">
        <v>2.0</v>
      </c>
      <c r="I142" s="266">
        <v>1905.0</v>
      </c>
      <c r="J142" s="266">
        <v>14.0</v>
      </c>
      <c r="K142" s="266">
        <v>225.0</v>
      </c>
      <c r="L142" s="266" t="s">
        <v>3361</v>
      </c>
      <c r="M142" s="266">
        <v>2.0</v>
      </c>
      <c r="N142" s="266">
        <v>3.0</v>
      </c>
      <c r="O142" s="266">
        <v>1.0</v>
      </c>
      <c r="P142" s="266" t="s">
        <v>166</v>
      </c>
      <c r="Q142" s="266" t="s">
        <v>166</v>
      </c>
      <c r="R142" s="497" t="s">
        <v>166</v>
      </c>
      <c r="S142" s="497" t="s">
        <v>166</v>
      </c>
      <c r="T142" s="496"/>
    </row>
    <row r="143">
      <c r="A143" s="494" t="s">
        <v>1664</v>
      </c>
      <c r="B143" s="495" t="s">
        <v>3672</v>
      </c>
      <c r="C143" s="452" t="str">
        <f t="shared" si="30"/>
        <v>PowerColor</v>
      </c>
      <c r="D143" s="452" t="str">
        <f>HYPERLINK("https://www.powercolor.com/product?id=1565953800","Red Dragon")</f>
        <v>Red Dragon</v>
      </c>
      <c r="E143" s="266">
        <v>240.0</v>
      </c>
      <c r="F143" s="266">
        <v>132.0</v>
      </c>
      <c r="G143" s="266">
        <v>41.0</v>
      </c>
      <c r="H143" s="266">
        <v>2.0</v>
      </c>
      <c r="I143" s="266">
        <v>1905.0</v>
      </c>
      <c r="J143" s="266">
        <v>14.0</v>
      </c>
      <c r="K143" s="266">
        <v>225.0</v>
      </c>
      <c r="L143" s="266" t="s">
        <v>3361</v>
      </c>
      <c r="M143" s="266">
        <v>2.0</v>
      </c>
      <c r="N143" s="266">
        <v>3.0</v>
      </c>
      <c r="O143" s="266">
        <v>1.0</v>
      </c>
      <c r="P143" s="266" t="s">
        <v>166</v>
      </c>
      <c r="Q143" s="266" t="s">
        <v>166</v>
      </c>
      <c r="R143" s="497" t="s">
        <v>166</v>
      </c>
      <c r="S143" s="497" t="s">
        <v>166</v>
      </c>
      <c r="T143" s="496"/>
    </row>
    <row r="144">
      <c r="A144" s="494" t="s">
        <v>1664</v>
      </c>
      <c r="B144" s="495" t="s">
        <v>3672</v>
      </c>
      <c r="C144" s="452" t="str">
        <f t="shared" si="30"/>
        <v>PowerColor</v>
      </c>
      <c r="D144" s="452" t="s">
        <v>3653</v>
      </c>
      <c r="E144" s="266">
        <v>300.0</v>
      </c>
      <c r="F144" s="266">
        <v>132.0</v>
      </c>
      <c r="G144" s="266">
        <v>53.0</v>
      </c>
      <c r="H144" s="266">
        <v>2.0</v>
      </c>
      <c r="I144" s="266">
        <v>2010.0</v>
      </c>
      <c r="J144" s="266">
        <v>14.0</v>
      </c>
      <c r="K144" s="266">
        <v>225.0</v>
      </c>
      <c r="L144" s="266" t="s">
        <v>3460</v>
      </c>
      <c r="M144" s="266">
        <v>3.0</v>
      </c>
      <c r="N144" s="266">
        <v>3.0</v>
      </c>
      <c r="O144" s="266">
        <v>1.0</v>
      </c>
      <c r="P144" s="266" t="s">
        <v>166</v>
      </c>
      <c r="Q144" s="266" t="s">
        <v>166</v>
      </c>
      <c r="R144" s="497" t="s">
        <v>166</v>
      </c>
      <c r="S144" s="497" t="s">
        <v>166</v>
      </c>
      <c r="T144" s="496"/>
    </row>
    <row r="145">
      <c r="A145" s="494" t="s">
        <v>1664</v>
      </c>
      <c r="B145" s="495" t="s">
        <v>3672</v>
      </c>
      <c r="C145" s="452" t="str">
        <f t="shared" si="30"/>
        <v>PowerColor</v>
      </c>
      <c r="D145" s="452" t="s">
        <v>3678</v>
      </c>
      <c r="E145" s="266">
        <v>300.0</v>
      </c>
      <c r="F145" s="266">
        <v>132.0</v>
      </c>
      <c r="G145" s="266">
        <v>53.0</v>
      </c>
      <c r="H145" s="266">
        <v>2.0</v>
      </c>
      <c r="I145" s="266">
        <v>2010.0</v>
      </c>
      <c r="J145" s="266">
        <v>14.0</v>
      </c>
      <c r="K145" s="266">
        <v>225.0</v>
      </c>
      <c r="L145" s="266" t="s">
        <v>3460</v>
      </c>
      <c r="M145" s="266">
        <v>3.0</v>
      </c>
      <c r="N145" s="266">
        <v>3.0</v>
      </c>
      <c r="O145" s="266">
        <v>1.0</v>
      </c>
      <c r="P145" s="266" t="s">
        <v>166</v>
      </c>
      <c r="Q145" s="266" t="s">
        <v>166</v>
      </c>
      <c r="R145" s="497" t="s">
        <v>166</v>
      </c>
      <c r="S145" s="497" t="s">
        <v>166</v>
      </c>
      <c r="T145" s="496"/>
    </row>
    <row r="146">
      <c r="A146" s="494" t="s">
        <v>1664</v>
      </c>
      <c r="B146" s="495" t="s">
        <v>3672</v>
      </c>
      <c r="C146" s="452" t="str">
        <f t="shared" si="30"/>
        <v>PowerColor</v>
      </c>
      <c r="D146" s="452" t="str">
        <f>HYPERLINK("https://www.powercolor.com/product?id=1573110646","Liquid Devil")</f>
        <v>Liquid Devil</v>
      </c>
      <c r="E146" s="266">
        <v>240.0</v>
      </c>
      <c r="F146" s="266">
        <v>162.0</v>
      </c>
      <c r="G146" s="266">
        <v>42.0</v>
      </c>
      <c r="H146" s="266">
        <v>2.0</v>
      </c>
      <c r="I146" s="266">
        <v>2070.0</v>
      </c>
      <c r="J146" s="266">
        <v>14.0</v>
      </c>
      <c r="K146" s="266">
        <v>225.0</v>
      </c>
      <c r="L146" s="266" t="s">
        <v>3460</v>
      </c>
      <c r="M146" s="266" t="s">
        <v>166</v>
      </c>
      <c r="N146" s="266">
        <v>3.0</v>
      </c>
      <c r="O146" s="266">
        <v>1.0</v>
      </c>
      <c r="P146" s="266" t="s">
        <v>166</v>
      </c>
      <c r="Q146" s="266" t="s">
        <v>166</v>
      </c>
      <c r="R146" s="266" t="s">
        <v>174</v>
      </c>
      <c r="S146" s="497" t="s">
        <v>166</v>
      </c>
      <c r="T146" s="494"/>
    </row>
    <row r="147">
      <c r="A147" s="494" t="s">
        <v>1664</v>
      </c>
      <c r="B147" s="495" t="s">
        <v>3672</v>
      </c>
      <c r="C147" s="452" t="str">
        <f t="shared" ref="C147:C152" si="31">HYPERLINK("https://www.sapphiretech.com/","Sapphire")</f>
        <v>Sapphire</v>
      </c>
      <c r="D147" s="452" t="str">
        <f>HYPERLINK("https://www.sapphiretech.com/en/consumer/21293-01-40g-radeon-rx-5700-xt-8g-gddr6","RX 5700 XT")</f>
        <v>RX 5700 XT</v>
      </c>
      <c r="E147" s="266">
        <v>272.0</v>
      </c>
      <c r="F147" s="266">
        <v>111.0</v>
      </c>
      <c r="G147" s="266">
        <v>36.0</v>
      </c>
      <c r="H147" s="266">
        <v>2.0</v>
      </c>
      <c r="I147" s="266">
        <v>1905.0</v>
      </c>
      <c r="J147" s="266">
        <v>14.0</v>
      </c>
      <c r="K147" s="266">
        <v>225.0</v>
      </c>
      <c r="L147" s="266" t="s">
        <v>3361</v>
      </c>
      <c r="M147" s="266">
        <v>1.0</v>
      </c>
      <c r="N147" s="266">
        <v>3.0</v>
      </c>
      <c r="O147" s="266">
        <v>1.0</v>
      </c>
      <c r="P147" s="266" t="s">
        <v>166</v>
      </c>
      <c r="Q147" s="266" t="s">
        <v>166</v>
      </c>
      <c r="R147" s="266" t="s">
        <v>166</v>
      </c>
      <c r="S147" s="266" t="s">
        <v>174</v>
      </c>
      <c r="T147" s="494"/>
    </row>
    <row r="148">
      <c r="A148" s="494" t="s">
        <v>1664</v>
      </c>
      <c r="B148" s="495" t="s">
        <v>3672</v>
      </c>
      <c r="C148" s="452" t="str">
        <f t="shared" si="31"/>
        <v>Sapphire</v>
      </c>
      <c r="D148" s="452" t="s">
        <v>3654</v>
      </c>
      <c r="E148" s="266">
        <v>254.0</v>
      </c>
      <c r="F148" s="266">
        <v>135.0</v>
      </c>
      <c r="G148" s="266">
        <v>46.5</v>
      </c>
      <c r="H148" s="266">
        <v>2.0</v>
      </c>
      <c r="I148" s="266">
        <v>1925.0</v>
      </c>
      <c r="J148" s="266">
        <v>14.0</v>
      </c>
      <c r="K148" s="266">
        <v>241.0</v>
      </c>
      <c r="L148" s="266" t="s">
        <v>3361</v>
      </c>
      <c r="M148" s="266">
        <v>2.0</v>
      </c>
      <c r="N148" s="266">
        <v>3.0</v>
      </c>
      <c r="O148" s="266">
        <v>1.0</v>
      </c>
      <c r="P148" s="266" t="s">
        <v>166</v>
      </c>
      <c r="Q148" s="266" t="s">
        <v>166</v>
      </c>
      <c r="R148" s="497" t="s">
        <v>166</v>
      </c>
      <c r="S148" s="497" t="s">
        <v>166</v>
      </c>
      <c r="T148" s="496"/>
    </row>
    <row r="149">
      <c r="A149" s="494" t="s">
        <v>1664</v>
      </c>
      <c r="B149" s="495" t="s">
        <v>3672</v>
      </c>
      <c r="C149" s="452" t="str">
        <f t="shared" si="31"/>
        <v>Sapphire</v>
      </c>
      <c r="D149" s="452" t="s">
        <v>3376</v>
      </c>
      <c r="E149" s="266">
        <v>254.0</v>
      </c>
      <c r="F149" s="266">
        <v>135.0</v>
      </c>
      <c r="G149" s="266">
        <v>46.5</v>
      </c>
      <c r="H149" s="266">
        <v>2.0</v>
      </c>
      <c r="I149" s="266">
        <v>1925.0</v>
      </c>
      <c r="J149" s="266">
        <v>14.0</v>
      </c>
      <c r="K149" s="266">
        <v>241.0</v>
      </c>
      <c r="L149" s="266" t="s">
        <v>3361</v>
      </c>
      <c r="M149" s="266">
        <v>2.0</v>
      </c>
      <c r="N149" s="266">
        <v>3.0</v>
      </c>
      <c r="O149" s="266">
        <v>1.0</v>
      </c>
      <c r="P149" s="266" t="s">
        <v>166</v>
      </c>
      <c r="Q149" s="266" t="s">
        <v>166</v>
      </c>
      <c r="R149" s="497" t="s">
        <v>166</v>
      </c>
      <c r="S149" s="497" t="s">
        <v>166</v>
      </c>
      <c r="T149" s="496"/>
    </row>
    <row r="150">
      <c r="A150" s="494" t="s">
        <v>1664</v>
      </c>
      <c r="B150" s="495" t="s">
        <v>3672</v>
      </c>
      <c r="C150" s="452" t="str">
        <f t="shared" si="31"/>
        <v>Sapphire</v>
      </c>
      <c r="D150" s="452" t="s">
        <v>3679</v>
      </c>
      <c r="E150" s="266">
        <v>306.0</v>
      </c>
      <c r="F150" s="266">
        <v>135.0</v>
      </c>
      <c r="G150" s="266">
        <v>49.0</v>
      </c>
      <c r="H150" s="266">
        <v>2.0</v>
      </c>
      <c r="I150" s="266">
        <v>1980.0</v>
      </c>
      <c r="J150" s="266">
        <v>14.0</v>
      </c>
      <c r="K150" s="266">
        <v>250.0</v>
      </c>
      <c r="L150" s="266" t="s">
        <v>3361</v>
      </c>
      <c r="M150" s="266">
        <v>3.0</v>
      </c>
      <c r="N150" s="266">
        <v>3.0</v>
      </c>
      <c r="O150" s="266">
        <v>1.0</v>
      </c>
      <c r="P150" s="266" t="s">
        <v>166</v>
      </c>
      <c r="Q150" s="266" t="s">
        <v>166</v>
      </c>
      <c r="R150" s="497" t="s">
        <v>166</v>
      </c>
      <c r="S150" s="497" t="s">
        <v>166</v>
      </c>
      <c r="T150" s="496"/>
    </row>
    <row r="151">
      <c r="A151" s="494" t="s">
        <v>1664</v>
      </c>
      <c r="B151" s="495" t="s">
        <v>3672</v>
      </c>
      <c r="C151" s="452" t="str">
        <f t="shared" si="31"/>
        <v>Sapphire</v>
      </c>
      <c r="D151" s="452" t="s">
        <v>3680</v>
      </c>
      <c r="E151" s="266">
        <v>306.0</v>
      </c>
      <c r="F151" s="266">
        <v>135.0</v>
      </c>
      <c r="G151" s="266">
        <v>49.0</v>
      </c>
      <c r="H151" s="266">
        <v>2.0</v>
      </c>
      <c r="I151" s="266">
        <v>2010.0</v>
      </c>
      <c r="J151" s="266">
        <v>14.0</v>
      </c>
      <c r="K151" s="266">
        <v>265.0</v>
      </c>
      <c r="L151" s="266" t="s">
        <v>3460</v>
      </c>
      <c r="M151" s="266">
        <v>3.0</v>
      </c>
      <c r="N151" s="266">
        <v>2.0</v>
      </c>
      <c r="O151" s="266">
        <v>2.0</v>
      </c>
      <c r="P151" s="266" t="s">
        <v>166</v>
      </c>
      <c r="Q151" s="266" t="s">
        <v>166</v>
      </c>
      <c r="R151" s="497" t="s">
        <v>166</v>
      </c>
      <c r="S151" s="497" t="s">
        <v>166</v>
      </c>
      <c r="T151" s="496"/>
    </row>
    <row r="152">
      <c r="A152" s="494" t="s">
        <v>1664</v>
      </c>
      <c r="B152" s="495" t="s">
        <v>3672</v>
      </c>
      <c r="C152" s="452" t="str">
        <f t="shared" si="31"/>
        <v>Sapphire</v>
      </c>
      <c r="D152" s="452" t="s">
        <v>3633</v>
      </c>
      <c r="E152" s="266">
        <v>306.0</v>
      </c>
      <c r="F152" s="266">
        <v>135.0</v>
      </c>
      <c r="G152" s="266">
        <v>49.0</v>
      </c>
      <c r="H152" s="266">
        <v>2.0</v>
      </c>
      <c r="I152" s="266">
        <v>2035.0</v>
      </c>
      <c r="J152" s="266">
        <v>14.4</v>
      </c>
      <c r="K152" s="266">
        <v>285.0</v>
      </c>
      <c r="L152" s="266" t="s">
        <v>3460</v>
      </c>
      <c r="M152" s="266">
        <v>3.0</v>
      </c>
      <c r="N152" s="266">
        <v>2.0</v>
      </c>
      <c r="O152" s="266">
        <v>2.0</v>
      </c>
      <c r="P152" s="266" t="s">
        <v>166</v>
      </c>
      <c r="Q152" s="266" t="s">
        <v>166</v>
      </c>
      <c r="R152" s="497" t="s">
        <v>166</v>
      </c>
      <c r="S152" s="497" t="s">
        <v>166</v>
      </c>
      <c r="T152" s="496"/>
    </row>
    <row r="153">
      <c r="A153" s="494" t="s">
        <v>1664</v>
      </c>
      <c r="B153" s="495" t="s">
        <v>3672</v>
      </c>
      <c r="C153" s="452" t="str">
        <f t="shared" ref="C153:C162" si="32">HYPERLINK("https://www.xfxforce.com/","XFX")</f>
        <v>XFX</v>
      </c>
      <c r="D153" s="452" t="str">
        <f>HYPERLINK("https://www.xfxforce.com/gpus/radeon-tm-rx-5700-xt-8gb-gddr6-3xdp-hdmi","RX 5700 XT")</f>
        <v>RX 5700 XT</v>
      </c>
      <c r="E153" s="266">
        <v>266.7</v>
      </c>
      <c r="F153" s="266">
        <v>111.2</v>
      </c>
      <c r="G153" s="266">
        <v>40.0</v>
      </c>
      <c r="H153" s="266">
        <v>2.0</v>
      </c>
      <c r="I153" s="266">
        <v>1905.0</v>
      </c>
      <c r="J153" s="266">
        <v>14.0</v>
      </c>
      <c r="K153" s="266">
        <v>225.0</v>
      </c>
      <c r="L153" s="266" t="s">
        <v>3361</v>
      </c>
      <c r="M153" s="266">
        <v>1.0</v>
      </c>
      <c r="N153" s="266">
        <v>3.0</v>
      </c>
      <c r="O153" s="266">
        <v>1.0</v>
      </c>
      <c r="P153" s="266" t="s">
        <v>166</v>
      </c>
      <c r="Q153" s="266" t="s">
        <v>166</v>
      </c>
      <c r="R153" s="266" t="s">
        <v>166</v>
      </c>
      <c r="S153" s="266" t="s">
        <v>174</v>
      </c>
      <c r="T153" s="494"/>
    </row>
    <row r="154">
      <c r="A154" s="494" t="s">
        <v>1664</v>
      </c>
      <c r="B154" s="495" t="s">
        <v>3672</v>
      </c>
      <c r="C154" s="452" t="str">
        <f t="shared" si="32"/>
        <v>XFX</v>
      </c>
      <c r="D154" s="452" t="s">
        <v>3669</v>
      </c>
      <c r="E154" s="266">
        <v>280.0</v>
      </c>
      <c r="F154" s="266">
        <v>148.0</v>
      </c>
      <c r="G154" s="266">
        <v>44.0</v>
      </c>
      <c r="H154" s="266">
        <v>2.0</v>
      </c>
      <c r="I154" s="266">
        <v>1905.0</v>
      </c>
      <c r="J154" s="266">
        <v>14.0</v>
      </c>
      <c r="K154" s="266">
        <v>225.0</v>
      </c>
      <c r="L154" s="266" t="s">
        <v>3361</v>
      </c>
      <c r="M154" s="266">
        <v>2.0</v>
      </c>
      <c r="N154" s="266">
        <v>3.0</v>
      </c>
      <c r="O154" s="266">
        <v>1.0</v>
      </c>
      <c r="P154" s="266" t="s">
        <v>166</v>
      </c>
      <c r="Q154" s="266" t="s">
        <v>166</v>
      </c>
      <c r="R154" s="497" t="s">
        <v>166</v>
      </c>
      <c r="S154" s="497" t="s">
        <v>166</v>
      </c>
      <c r="T154" s="496"/>
    </row>
    <row r="155">
      <c r="A155" s="494" t="s">
        <v>1664</v>
      </c>
      <c r="B155" s="495" t="s">
        <v>3672</v>
      </c>
      <c r="C155" s="452" t="str">
        <f t="shared" si="32"/>
        <v>XFX</v>
      </c>
      <c r="D155" s="452" t="s">
        <v>3655</v>
      </c>
      <c r="E155" s="266">
        <v>278.0</v>
      </c>
      <c r="F155" s="266">
        <v>140.0</v>
      </c>
      <c r="G155" s="266">
        <v>58.0</v>
      </c>
      <c r="H155" s="266">
        <v>2.0</v>
      </c>
      <c r="I155" s="266">
        <v>1905.0</v>
      </c>
      <c r="J155" s="266">
        <v>14.0</v>
      </c>
      <c r="K155" s="266">
        <v>225.0</v>
      </c>
      <c r="L155" s="266" t="s">
        <v>3361</v>
      </c>
      <c r="M155" s="266">
        <v>2.0</v>
      </c>
      <c r="N155" s="266">
        <v>3.0</v>
      </c>
      <c r="O155" s="266">
        <v>1.0</v>
      </c>
      <c r="P155" s="266" t="s">
        <v>166</v>
      </c>
      <c r="Q155" s="266" t="s">
        <v>166</v>
      </c>
      <c r="R155" s="497" t="s">
        <v>166</v>
      </c>
      <c r="S155" s="497" t="s">
        <v>166</v>
      </c>
      <c r="T155" s="496"/>
    </row>
    <row r="156">
      <c r="A156" s="494" t="s">
        <v>1664</v>
      </c>
      <c r="B156" s="495" t="s">
        <v>3672</v>
      </c>
      <c r="C156" s="452" t="str">
        <f t="shared" si="32"/>
        <v>XFX</v>
      </c>
      <c r="D156" s="452" t="s">
        <v>3681</v>
      </c>
      <c r="E156" s="266">
        <v>278.0</v>
      </c>
      <c r="F156" s="266">
        <v>140.0</v>
      </c>
      <c r="G156" s="266">
        <v>58.0</v>
      </c>
      <c r="H156" s="266">
        <v>2.0</v>
      </c>
      <c r="I156" s="266">
        <v>1980.0</v>
      </c>
      <c r="J156" s="266">
        <v>14.0</v>
      </c>
      <c r="K156" s="266">
        <v>225.0</v>
      </c>
      <c r="L156" s="266" t="s">
        <v>3361</v>
      </c>
      <c r="M156" s="266">
        <v>2.0</v>
      </c>
      <c r="N156" s="266">
        <v>3.0</v>
      </c>
      <c r="O156" s="266">
        <v>1.0</v>
      </c>
      <c r="P156" s="266" t="s">
        <v>166</v>
      </c>
      <c r="Q156" s="266" t="s">
        <v>166</v>
      </c>
      <c r="R156" s="497" t="s">
        <v>166</v>
      </c>
      <c r="S156" s="497" t="s">
        <v>166</v>
      </c>
      <c r="T156" s="496"/>
    </row>
    <row r="157">
      <c r="A157" s="494" t="s">
        <v>1664</v>
      </c>
      <c r="B157" s="495" t="s">
        <v>3672</v>
      </c>
      <c r="C157" s="452" t="str">
        <f t="shared" si="32"/>
        <v>XFX</v>
      </c>
      <c r="D157" s="452" t="s">
        <v>3671</v>
      </c>
      <c r="E157" s="266">
        <v>326.0</v>
      </c>
      <c r="F157" s="266">
        <v>148.0</v>
      </c>
      <c r="G157" s="266">
        <v>44.0</v>
      </c>
      <c r="H157" s="266">
        <v>2.0</v>
      </c>
      <c r="I157" s="266">
        <v>1905.0</v>
      </c>
      <c r="J157" s="266">
        <v>14.0</v>
      </c>
      <c r="K157" s="266">
        <v>225.0</v>
      </c>
      <c r="L157" s="266" t="s">
        <v>3361</v>
      </c>
      <c r="M157" s="266">
        <v>3.0</v>
      </c>
      <c r="N157" s="266">
        <v>3.0</v>
      </c>
      <c r="O157" s="266">
        <v>1.0</v>
      </c>
      <c r="P157" s="266" t="s">
        <v>166</v>
      </c>
      <c r="Q157" s="266" t="s">
        <v>166</v>
      </c>
      <c r="R157" s="497" t="s">
        <v>166</v>
      </c>
      <c r="S157" s="497" t="s">
        <v>166</v>
      </c>
      <c r="T157" s="496"/>
    </row>
    <row r="158">
      <c r="A158" s="494" t="s">
        <v>1664</v>
      </c>
      <c r="B158" s="495" t="s">
        <v>3672</v>
      </c>
      <c r="C158" s="452" t="str">
        <f t="shared" si="32"/>
        <v>XFX</v>
      </c>
      <c r="D158" s="452" t="s">
        <v>3682</v>
      </c>
      <c r="E158" s="266">
        <v>293.0</v>
      </c>
      <c r="F158" s="266">
        <v>130.0</v>
      </c>
      <c r="G158" s="266">
        <v>55.0</v>
      </c>
      <c r="H158" s="266">
        <v>2.0</v>
      </c>
      <c r="I158" s="266">
        <v>1905.0</v>
      </c>
      <c r="J158" s="266">
        <v>14.0</v>
      </c>
      <c r="K158" s="266">
        <v>225.0</v>
      </c>
      <c r="L158" s="266" t="s">
        <v>3361</v>
      </c>
      <c r="M158" s="266">
        <v>2.0</v>
      </c>
      <c r="N158" s="266">
        <v>3.0</v>
      </c>
      <c r="O158" s="266">
        <v>1.0</v>
      </c>
      <c r="P158" s="266" t="s">
        <v>166</v>
      </c>
      <c r="Q158" s="266" t="s">
        <v>166</v>
      </c>
      <c r="R158" s="497" t="s">
        <v>166</v>
      </c>
      <c r="S158" s="497" t="s">
        <v>166</v>
      </c>
      <c r="T158" s="496"/>
    </row>
    <row r="159">
      <c r="A159" s="494" t="s">
        <v>1664</v>
      </c>
      <c r="B159" s="495" t="s">
        <v>3672</v>
      </c>
      <c r="C159" s="452" t="str">
        <f t="shared" si="32"/>
        <v>XFX</v>
      </c>
      <c r="D159" s="452" t="s">
        <v>3683</v>
      </c>
      <c r="E159" s="266">
        <v>293.0</v>
      </c>
      <c r="F159" s="266">
        <v>130.0</v>
      </c>
      <c r="G159" s="266">
        <v>55.0</v>
      </c>
      <c r="H159" s="266">
        <v>2.0</v>
      </c>
      <c r="I159" s="266">
        <v>1905.0</v>
      </c>
      <c r="J159" s="266">
        <v>14.0</v>
      </c>
      <c r="K159" s="266">
        <v>225.0</v>
      </c>
      <c r="L159" s="266" t="s">
        <v>3361</v>
      </c>
      <c r="M159" s="266">
        <v>2.0</v>
      </c>
      <c r="N159" s="266">
        <v>3.0</v>
      </c>
      <c r="O159" s="266">
        <v>1.0</v>
      </c>
      <c r="P159" s="266" t="s">
        <v>166</v>
      </c>
      <c r="Q159" s="266" t="s">
        <v>166</v>
      </c>
      <c r="R159" s="497" t="s">
        <v>166</v>
      </c>
      <c r="S159" s="497" t="s">
        <v>166</v>
      </c>
      <c r="T159" s="496"/>
    </row>
    <row r="160">
      <c r="A160" s="494" t="s">
        <v>1664</v>
      </c>
      <c r="B160" s="495" t="s">
        <v>3672</v>
      </c>
      <c r="C160" s="452" t="str">
        <f t="shared" si="32"/>
        <v>XFX</v>
      </c>
      <c r="D160" s="452" t="s">
        <v>3684</v>
      </c>
      <c r="E160" s="266">
        <v>293.0</v>
      </c>
      <c r="F160" s="266">
        <v>130.0</v>
      </c>
      <c r="G160" s="266">
        <v>55.0</v>
      </c>
      <c r="H160" s="266">
        <v>2.0</v>
      </c>
      <c r="I160" s="266">
        <v>1980.0</v>
      </c>
      <c r="J160" s="266">
        <v>14.0</v>
      </c>
      <c r="K160" s="266">
        <v>225.0</v>
      </c>
      <c r="L160" s="266" t="s">
        <v>3361</v>
      </c>
      <c r="M160" s="266">
        <v>2.0</v>
      </c>
      <c r="N160" s="266">
        <v>3.0</v>
      </c>
      <c r="O160" s="266">
        <v>1.0</v>
      </c>
      <c r="P160" s="266" t="s">
        <v>166</v>
      </c>
      <c r="Q160" s="266" t="s">
        <v>166</v>
      </c>
      <c r="R160" s="497" t="s">
        <v>166</v>
      </c>
      <c r="S160" s="497" t="s">
        <v>166</v>
      </c>
      <c r="T160" s="496"/>
    </row>
    <row r="161">
      <c r="A161" s="494" t="s">
        <v>1664</v>
      </c>
      <c r="B161" s="495" t="s">
        <v>3672</v>
      </c>
      <c r="C161" s="452" t="str">
        <f t="shared" si="32"/>
        <v>XFX</v>
      </c>
      <c r="D161" s="452" t="s">
        <v>3685</v>
      </c>
      <c r="E161" s="266">
        <v>315.0</v>
      </c>
      <c r="F161" s="266">
        <v>131.0</v>
      </c>
      <c r="G161" s="266">
        <v>57.0</v>
      </c>
      <c r="H161" s="266">
        <v>2.0</v>
      </c>
      <c r="I161" s="266">
        <v>1925.0</v>
      </c>
      <c r="J161" s="266">
        <v>14.0</v>
      </c>
      <c r="K161" s="266">
        <v>225.0</v>
      </c>
      <c r="L161" s="266" t="s">
        <v>3460</v>
      </c>
      <c r="M161" s="266">
        <v>3.0</v>
      </c>
      <c r="N161" s="266">
        <v>3.0</v>
      </c>
      <c r="O161" s="266">
        <v>1.0</v>
      </c>
      <c r="P161" s="266" t="s">
        <v>166</v>
      </c>
      <c r="Q161" s="266" t="s">
        <v>166</v>
      </c>
      <c r="R161" s="497" t="s">
        <v>166</v>
      </c>
      <c r="S161" s="497" t="s">
        <v>166</v>
      </c>
      <c r="T161" s="496"/>
    </row>
    <row r="162">
      <c r="A162" s="494" t="s">
        <v>1664</v>
      </c>
      <c r="B162" s="495" t="s">
        <v>3672</v>
      </c>
      <c r="C162" s="452" t="str">
        <f t="shared" si="32"/>
        <v>XFX</v>
      </c>
      <c r="D162" s="452" t="s">
        <v>3686</v>
      </c>
      <c r="E162" s="266">
        <v>315.0</v>
      </c>
      <c r="F162" s="266">
        <v>131.0</v>
      </c>
      <c r="G162" s="266">
        <v>57.0</v>
      </c>
      <c r="H162" s="266">
        <v>2.0</v>
      </c>
      <c r="I162" s="266">
        <v>2025.0</v>
      </c>
      <c r="J162" s="266">
        <v>14.0</v>
      </c>
      <c r="K162" s="266">
        <v>225.0</v>
      </c>
      <c r="L162" s="266" t="s">
        <v>3460</v>
      </c>
      <c r="M162" s="266">
        <v>3.0</v>
      </c>
      <c r="N162" s="266">
        <v>3.0</v>
      </c>
      <c r="O162" s="266">
        <v>1.0</v>
      </c>
      <c r="P162" s="266" t="s">
        <v>166</v>
      </c>
      <c r="Q162" s="266" t="s">
        <v>166</v>
      </c>
      <c r="R162" s="497" t="s">
        <v>166</v>
      </c>
      <c r="S162" s="497" t="s">
        <v>166</v>
      </c>
      <c r="T162" s="496"/>
    </row>
    <row r="163">
      <c r="A163" s="494" t="s">
        <v>1664</v>
      </c>
      <c r="B163" s="495" t="s">
        <v>3672</v>
      </c>
      <c r="C163" s="452" t="s">
        <v>3378</v>
      </c>
      <c r="D163" s="452" t="s">
        <v>3674</v>
      </c>
      <c r="E163" s="266">
        <v>270.0</v>
      </c>
      <c r="F163" s="266">
        <v>110.0</v>
      </c>
      <c r="G163" s="266">
        <v>40.0</v>
      </c>
      <c r="H163" s="266">
        <v>2.0</v>
      </c>
      <c r="I163" s="266">
        <v>1905.0</v>
      </c>
      <c r="J163" s="266">
        <v>14.0</v>
      </c>
      <c r="K163" s="266">
        <v>225.0</v>
      </c>
      <c r="L163" s="266" t="s">
        <v>3361</v>
      </c>
      <c r="M163" s="266">
        <v>1.0</v>
      </c>
      <c r="N163" s="266">
        <v>3.0</v>
      </c>
      <c r="O163" s="266">
        <v>1.0</v>
      </c>
      <c r="P163" s="266" t="s">
        <v>166</v>
      </c>
      <c r="Q163" s="266" t="s">
        <v>166</v>
      </c>
      <c r="R163" s="266" t="s">
        <v>166</v>
      </c>
      <c r="S163" s="266" t="s">
        <v>174</v>
      </c>
      <c r="T163" s="494"/>
    </row>
    <row r="164">
      <c r="A164" s="494" t="s">
        <v>1664</v>
      </c>
      <c r="B164" s="495" t="s">
        <v>3672</v>
      </c>
      <c r="C164" s="452" t="s">
        <v>3378</v>
      </c>
      <c r="D164" s="452" t="s">
        <v>3687</v>
      </c>
      <c r="E164" s="266">
        <v>301.0</v>
      </c>
      <c r="F164" s="266">
        <v>132.0</v>
      </c>
      <c r="G164" s="266">
        <v>49.0</v>
      </c>
      <c r="H164" s="266">
        <v>2.0</v>
      </c>
      <c r="I164" s="266">
        <v>1905.0</v>
      </c>
      <c r="J164" s="266">
        <v>14.0</v>
      </c>
      <c r="K164" s="266">
        <v>225.0</v>
      </c>
      <c r="L164" s="266" t="s">
        <v>3361</v>
      </c>
      <c r="M164" s="266">
        <v>3.0</v>
      </c>
      <c r="N164" s="266">
        <v>3.0</v>
      </c>
      <c r="O164" s="266">
        <v>1.0</v>
      </c>
      <c r="P164" s="266" t="s">
        <v>166</v>
      </c>
      <c r="Q164" s="266" t="s">
        <v>166</v>
      </c>
      <c r="R164" s="497" t="s">
        <v>166</v>
      </c>
      <c r="S164" s="497" t="s">
        <v>166</v>
      </c>
      <c r="T164" s="496"/>
    </row>
    <row r="165">
      <c r="A165" s="498" t="s">
        <v>1664</v>
      </c>
      <c r="B165" s="499" t="s">
        <v>3672</v>
      </c>
      <c r="C165" s="500" t="s">
        <v>3378</v>
      </c>
      <c r="D165" s="500" t="s">
        <v>3688</v>
      </c>
      <c r="E165" s="501" t="s">
        <v>170</v>
      </c>
      <c r="F165" s="501" t="s">
        <v>170</v>
      </c>
      <c r="G165" s="501" t="s">
        <v>170</v>
      </c>
      <c r="H165" s="501">
        <v>2.0</v>
      </c>
      <c r="I165" s="501">
        <v>2010.0</v>
      </c>
      <c r="J165" s="501">
        <v>14.0</v>
      </c>
      <c r="K165" s="501">
        <v>225.0</v>
      </c>
      <c r="L165" s="501" t="s">
        <v>3460</v>
      </c>
      <c r="M165" s="501">
        <v>3.0</v>
      </c>
      <c r="N165" s="501">
        <v>3.0</v>
      </c>
      <c r="O165" s="501">
        <v>1.0</v>
      </c>
      <c r="P165" s="501" t="s">
        <v>166</v>
      </c>
      <c r="Q165" s="501" t="s">
        <v>166</v>
      </c>
      <c r="R165" s="502" t="s">
        <v>166</v>
      </c>
      <c r="S165" s="502" t="s">
        <v>166</v>
      </c>
      <c r="T165" s="503"/>
    </row>
    <row r="166">
      <c r="A166" s="494" t="s">
        <v>1664</v>
      </c>
      <c r="B166" s="526" t="s">
        <v>3380</v>
      </c>
      <c r="C166" s="452" t="str">
        <f>HYPERLINK("https://www.asrock.com/","ASRock")</f>
        <v>ASRock</v>
      </c>
      <c r="D166" s="488" t="s">
        <v>3657</v>
      </c>
      <c r="E166" s="527">
        <v>240.0</v>
      </c>
      <c r="F166" s="527">
        <f>129-15</f>
        <v>114</v>
      </c>
      <c r="G166" s="527">
        <v>42.0</v>
      </c>
      <c r="H166" s="527">
        <v>2.0</v>
      </c>
      <c r="I166" s="527">
        <v>2820.0</v>
      </c>
      <c r="J166" s="527">
        <v>18.0</v>
      </c>
      <c r="K166" s="527">
        <v>107.0</v>
      </c>
      <c r="L166" s="527">
        <v>8.0</v>
      </c>
      <c r="M166" s="527">
        <v>2.0</v>
      </c>
      <c r="N166" s="527">
        <v>1.0</v>
      </c>
      <c r="O166" s="527">
        <v>1.0</v>
      </c>
      <c r="P166" s="527" t="s">
        <v>166</v>
      </c>
      <c r="Q166" s="527" t="s">
        <v>166</v>
      </c>
      <c r="R166" s="528" t="s">
        <v>166</v>
      </c>
      <c r="S166" s="528" t="s">
        <v>166</v>
      </c>
      <c r="T166" s="529"/>
    </row>
    <row r="167">
      <c r="A167" s="494" t="s">
        <v>1664</v>
      </c>
      <c r="B167" s="526" t="s">
        <v>3380</v>
      </c>
      <c r="C167" s="174" t="str">
        <f>HYPERLINK("https://www.asus.com/","Asus")</f>
        <v>Asus</v>
      </c>
      <c r="D167" s="488" t="s">
        <v>3478</v>
      </c>
      <c r="E167" s="527">
        <v>250.0</v>
      </c>
      <c r="F167" s="527">
        <v>147.0</v>
      </c>
      <c r="G167" s="527">
        <v>54.0</v>
      </c>
      <c r="H167" s="527">
        <v>2.0</v>
      </c>
      <c r="I167" s="527">
        <v>2825.0</v>
      </c>
      <c r="J167" s="527">
        <v>18.0</v>
      </c>
      <c r="K167" s="527">
        <v>107.0</v>
      </c>
      <c r="L167" s="527">
        <v>6.0</v>
      </c>
      <c r="M167" s="527">
        <v>2.0</v>
      </c>
      <c r="N167" s="527">
        <v>1.0</v>
      </c>
      <c r="O167" s="527">
        <v>1.0</v>
      </c>
      <c r="P167" s="527" t="s">
        <v>166</v>
      </c>
      <c r="Q167" s="527" t="s">
        <v>166</v>
      </c>
      <c r="R167" s="528" t="s">
        <v>166</v>
      </c>
      <c r="S167" s="528" t="s">
        <v>166</v>
      </c>
      <c r="T167" s="529"/>
    </row>
    <row r="168">
      <c r="A168" s="494" t="s">
        <v>1664</v>
      </c>
      <c r="B168" s="526" t="s">
        <v>3380</v>
      </c>
      <c r="C168" s="174" t="s">
        <v>3627</v>
      </c>
      <c r="D168" s="452" t="s">
        <v>3689</v>
      </c>
      <c r="E168" s="527">
        <v>225.0</v>
      </c>
      <c r="F168" s="527">
        <v>105.0</v>
      </c>
      <c r="G168" s="527">
        <v>42.0</v>
      </c>
      <c r="H168" s="527">
        <v>2.0</v>
      </c>
      <c r="I168" s="527">
        <v>2825.0</v>
      </c>
      <c r="J168" s="527">
        <v>18.0</v>
      </c>
      <c r="K168" s="527">
        <v>107.0</v>
      </c>
      <c r="L168" s="527">
        <v>6.0</v>
      </c>
      <c r="M168" s="527">
        <v>2.0</v>
      </c>
      <c r="N168" s="527">
        <v>1.0</v>
      </c>
      <c r="O168" s="527">
        <v>1.0</v>
      </c>
      <c r="P168" s="527" t="s">
        <v>166</v>
      </c>
      <c r="Q168" s="527" t="s">
        <v>166</v>
      </c>
      <c r="R168" s="527" t="s">
        <v>166</v>
      </c>
      <c r="S168" s="527" t="s">
        <v>166</v>
      </c>
      <c r="T168" s="529"/>
    </row>
    <row r="169">
      <c r="A169" s="494" t="s">
        <v>1664</v>
      </c>
      <c r="B169" s="526" t="s">
        <v>3380</v>
      </c>
      <c r="C169" s="174" t="str">
        <f>HYPERLINK("https://www.gigabyte.com/","Gigabyte")</f>
        <v>Gigabyte</v>
      </c>
      <c r="D169" s="488" t="s">
        <v>3630</v>
      </c>
      <c r="E169" s="527">
        <v>282.0</v>
      </c>
      <c r="F169" s="527">
        <v>114.0</v>
      </c>
      <c r="G169" s="527">
        <v>40.0</v>
      </c>
      <c r="H169" s="527">
        <v>2.0</v>
      </c>
      <c r="I169" s="527">
        <v>2825.0</v>
      </c>
      <c r="J169" s="527">
        <v>18.0</v>
      </c>
      <c r="K169" s="527">
        <v>107.0</v>
      </c>
      <c r="L169" s="527">
        <v>6.0</v>
      </c>
      <c r="M169" s="527">
        <v>3.0</v>
      </c>
      <c r="N169" s="527">
        <v>1.0</v>
      </c>
      <c r="O169" s="527">
        <v>1.0</v>
      </c>
      <c r="P169" s="527" t="s">
        <v>166</v>
      </c>
      <c r="Q169" s="527" t="s">
        <v>166</v>
      </c>
      <c r="R169" s="528" t="s">
        <v>166</v>
      </c>
      <c r="S169" s="528" t="s">
        <v>166</v>
      </c>
      <c r="T169" s="529"/>
    </row>
    <row r="170">
      <c r="A170" s="494" t="s">
        <v>1664</v>
      </c>
      <c r="B170" s="526" t="s">
        <v>3380</v>
      </c>
      <c r="C170" s="174" t="str">
        <f>HYPERLINK("https://www.xfxforce.com/","XFX")</f>
        <v>XFX</v>
      </c>
      <c r="D170" s="488" t="s">
        <v>3690</v>
      </c>
      <c r="E170" s="527">
        <v>233.0</v>
      </c>
      <c r="F170" s="527">
        <v>130.0</v>
      </c>
      <c r="G170" s="527">
        <v>42.0</v>
      </c>
      <c r="H170" s="527">
        <v>2.0</v>
      </c>
      <c r="I170" s="527">
        <v>2825.0</v>
      </c>
      <c r="J170" s="527">
        <v>18.0</v>
      </c>
      <c r="K170" s="527">
        <v>107.0</v>
      </c>
      <c r="L170" s="527">
        <v>6.0</v>
      </c>
      <c r="M170" s="527">
        <v>2.0</v>
      </c>
      <c r="N170" s="527">
        <v>1.0</v>
      </c>
      <c r="O170" s="527">
        <v>1.0</v>
      </c>
      <c r="P170" s="527" t="s">
        <v>166</v>
      </c>
      <c r="Q170" s="527" t="s">
        <v>166</v>
      </c>
      <c r="R170" s="528" t="s">
        <v>166</v>
      </c>
      <c r="S170" s="528" t="s">
        <v>166</v>
      </c>
      <c r="T170" s="529"/>
    </row>
    <row r="171">
      <c r="A171" s="494" t="s">
        <v>1664</v>
      </c>
      <c r="B171" s="526" t="s">
        <v>3380</v>
      </c>
      <c r="C171" s="174" t="s">
        <v>3378</v>
      </c>
      <c r="D171" s="530" t="s">
        <v>3559</v>
      </c>
      <c r="E171" s="527">
        <v>240.0</v>
      </c>
      <c r="F171" s="527">
        <v>112.0</v>
      </c>
      <c r="G171" s="527">
        <v>40.0</v>
      </c>
      <c r="H171" s="527">
        <v>2.0</v>
      </c>
      <c r="I171" s="527">
        <v>2815.0</v>
      </c>
      <c r="J171" s="527">
        <v>18.0</v>
      </c>
      <c r="K171" s="527">
        <v>107.0</v>
      </c>
      <c r="L171" s="527">
        <v>6.0</v>
      </c>
      <c r="M171" s="527">
        <v>2.0</v>
      </c>
      <c r="N171" s="527">
        <v>1.0</v>
      </c>
      <c r="O171" s="527">
        <v>1.0</v>
      </c>
      <c r="P171" s="527" t="s">
        <v>166</v>
      </c>
      <c r="Q171" s="527" t="s">
        <v>166</v>
      </c>
      <c r="R171" s="528" t="s">
        <v>166</v>
      </c>
      <c r="S171" s="528" t="s">
        <v>166</v>
      </c>
      <c r="T171" s="529"/>
    </row>
    <row r="172">
      <c r="A172" s="498" t="s">
        <v>1664</v>
      </c>
      <c r="B172" s="499" t="s">
        <v>3380</v>
      </c>
      <c r="C172" s="291" t="s">
        <v>3378</v>
      </c>
      <c r="D172" s="531" t="s">
        <v>3691</v>
      </c>
      <c r="E172" s="501">
        <v>240.0</v>
      </c>
      <c r="F172" s="501">
        <v>112.0</v>
      </c>
      <c r="G172" s="501">
        <v>40.0</v>
      </c>
      <c r="H172" s="501">
        <v>2.0</v>
      </c>
      <c r="I172" s="501">
        <v>2815.0</v>
      </c>
      <c r="J172" s="501">
        <v>18.0</v>
      </c>
      <c r="K172" s="501">
        <v>107.0</v>
      </c>
      <c r="L172" s="501">
        <v>6.0</v>
      </c>
      <c r="M172" s="501">
        <v>2.0</v>
      </c>
      <c r="N172" s="501">
        <v>1.0</v>
      </c>
      <c r="O172" s="501">
        <v>1.0</v>
      </c>
      <c r="P172" s="501" t="s">
        <v>166</v>
      </c>
      <c r="Q172" s="501" t="s">
        <v>166</v>
      </c>
      <c r="R172" s="501" t="s">
        <v>166</v>
      </c>
      <c r="S172" s="501" t="s">
        <v>166</v>
      </c>
      <c r="T172" s="503"/>
    </row>
    <row r="173">
      <c r="A173" s="504" t="s">
        <v>1664</v>
      </c>
      <c r="B173" s="532" t="s">
        <v>3387</v>
      </c>
      <c r="C173" s="282" t="str">
        <f>HYPERLINK("https://www.asrock.com/","ASRock")</f>
        <v>ASRock</v>
      </c>
      <c r="D173" s="490" t="s">
        <v>3692</v>
      </c>
      <c r="E173" s="533">
        <v>269.0</v>
      </c>
      <c r="F173" s="533">
        <v>132.0</v>
      </c>
      <c r="G173" s="533">
        <v>41.0</v>
      </c>
      <c r="H173" s="533">
        <v>2.0</v>
      </c>
      <c r="I173" s="533">
        <v>2491.0</v>
      </c>
      <c r="J173" s="533">
        <v>14.0</v>
      </c>
      <c r="K173" s="533">
        <v>132.0</v>
      </c>
      <c r="L173" s="533">
        <v>8.0</v>
      </c>
      <c r="M173" s="533">
        <v>2.0</v>
      </c>
      <c r="N173" s="533">
        <v>3.0</v>
      </c>
      <c r="O173" s="533">
        <v>1.0</v>
      </c>
      <c r="P173" s="533" t="s">
        <v>166</v>
      </c>
      <c r="Q173" s="533" t="s">
        <v>166</v>
      </c>
      <c r="R173" s="534" t="s">
        <v>166</v>
      </c>
      <c r="S173" s="534" t="s">
        <v>166</v>
      </c>
      <c r="T173" s="535"/>
    </row>
    <row r="174">
      <c r="A174" s="494" t="s">
        <v>1664</v>
      </c>
      <c r="B174" s="526" t="s">
        <v>3387</v>
      </c>
      <c r="C174" s="174" t="str">
        <f>HYPERLINK("https://www.asus.com/","Asus")</f>
        <v>Asus</v>
      </c>
      <c r="D174" s="488" t="s">
        <v>3372</v>
      </c>
      <c r="E174" s="527">
        <v>243.0</v>
      </c>
      <c r="F174" s="527">
        <v>134.0</v>
      </c>
      <c r="G174" s="527">
        <v>49.0</v>
      </c>
      <c r="H174" s="527">
        <v>2.0</v>
      </c>
      <c r="I174" s="527">
        <v>2491.0</v>
      </c>
      <c r="J174" s="527">
        <v>14.0</v>
      </c>
      <c r="K174" s="527">
        <v>132.0</v>
      </c>
      <c r="L174" s="527">
        <v>8.0</v>
      </c>
      <c r="M174" s="527">
        <v>2.0</v>
      </c>
      <c r="N174" s="527">
        <v>3.0</v>
      </c>
      <c r="O174" s="527">
        <v>1.0</v>
      </c>
      <c r="P174" s="527" t="s">
        <v>166</v>
      </c>
      <c r="Q174" s="527" t="s">
        <v>166</v>
      </c>
      <c r="R174" s="528" t="s">
        <v>166</v>
      </c>
      <c r="S174" s="528" t="s">
        <v>166</v>
      </c>
      <c r="T174" s="529"/>
    </row>
    <row r="175">
      <c r="A175" s="494" t="s">
        <v>1664</v>
      </c>
      <c r="B175" s="526" t="s">
        <v>3387</v>
      </c>
      <c r="C175" s="174" t="s">
        <v>3627</v>
      </c>
      <c r="D175" s="452" t="s">
        <v>3689</v>
      </c>
      <c r="E175" s="527">
        <v>224.0</v>
      </c>
      <c r="F175" s="527">
        <v>116.0</v>
      </c>
      <c r="G175" s="527">
        <v>50.0</v>
      </c>
      <c r="H175" s="527">
        <v>2.0</v>
      </c>
      <c r="I175" s="527">
        <v>2491.0</v>
      </c>
      <c r="J175" s="527">
        <v>14.0</v>
      </c>
      <c r="K175" s="527">
        <v>132.0</v>
      </c>
      <c r="L175" s="527">
        <v>8.0</v>
      </c>
      <c r="M175" s="527">
        <v>2.0</v>
      </c>
      <c r="N175" s="527">
        <v>3.0</v>
      </c>
      <c r="O175" s="527">
        <v>1.0</v>
      </c>
      <c r="P175" s="527" t="s">
        <v>166</v>
      </c>
      <c r="Q175" s="527" t="s">
        <v>166</v>
      </c>
      <c r="R175" s="528" t="s">
        <v>166</v>
      </c>
      <c r="S175" s="528" t="s">
        <v>166</v>
      </c>
      <c r="T175" s="529"/>
    </row>
    <row r="176">
      <c r="A176" s="494" t="s">
        <v>1664</v>
      </c>
      <c r="B176" s="526" t="s">
        <v>3387</v>
      </c>
      <c r="C176" s="174" t="str">
        <f>HYPERLINK("https://www.gigabyte.com/","Gigabyte")</f>
        <v>Gigabyte</v>
      </c>
      <c r="D176" s="488" t="s">
        <v>3374</v>
      </c>
      <c r="E176" s="527">
        <v>282.0</v>
      </c>
      <c r="F176" s="527">
        <v>113.0</v>
      </c>
      <c r="G176" s="527">
        <v>41.0</v>
      </c>
      <c r="H176" s="527">
        <v>2.0</v>
      </c>
      <c r="I176" s="527">
        <v>2491.0</v>
      </c>
      <c r="J176" s="527">
        <v>14.0</v>
      </c>
      <c r="K176" s="527">
        <v>132.0</v>
      </c>
      <c r="L176" s="527">
        <v>8.0</v>
      </c>
      <c r="M176" s="527">
        <v>3.0</v>
      </c>
      <c r="N176" s="527">
        <v>2.0</v>
      </c>
      <c r="O176" s="527">
        <v>2.0</v>
      </c>
      <c r="P176" s="527" t="s">
        <v>166</v>
      </c>
      <c r="Q176" s="527" t="s">
        <v>166</v>
      </c>
      <c r="R176" s="528" t="s">
        <v>166</v>
      </c>
      <c r="S176" s="528" t="s">
        <v>166</v>
      </c>
      <c r="T176" s="529"/>
    </row>
    <row r="177">
      <c r="A177" s="494" t="s">
        <v>1664</v>
      </c>
      <c r="B177" s="526" t="s">
        <v>3387</v>
      </c>
      <c r="C177" s="174" t="str">
        <f t="shared" ref="C177:C179" si="33">HYPERLINK("https://www.msi.com/index.php","MSI")</f>
        <v>MSI</v>
      </c>
      <c r="D177" s="488" t="s">
        <v>3693</v>
      </c>
      <c r="E177" s="527">
        <v>238.0</v>
      </c>
      <c r="F177" s="527">
        <v>128.0</v>
      </c>
      <c r="G177" s="527">
        <v>39.0</v>
      </c>
      <c r="H177" s="527">
        <v>2.0</v>
      </c>
      <c r="I177" s="527">
        <v>2491.0</v>
      </c>
      <c r="J177" s="527">
        <v>14.0</v>
      </c>
      <c r="K177" s="527">
        <v>132.0</v>
      </c>
      <c r="L177" s="527">
        <v>8.0</v>
      </c>
      <c r="M177" s="527">
        <v>2.0</v>
      </c>
      <c r="N177" s="527">
        <v>3.0</v>
      </c>
      <c r="O177" s="527">
        <v>1.0</v>
      </c>
      <c r="P177" s="527" t="s">
        <v>166</v>
      </c>
      <c r="Q177" s="527" t="s">
        <v>166</v>
      </c>
      <c r="R177" s="528" t="s">
        <v>166</v>
      </c>
      <c r="S177" s="528" t="s">
        <v>166</v>
      </c>
      <c r="T177" s="529"/>
    </row>
    <row r="178">
      <c r="A178" s="494" t="s">
        <v>1664</v>
      </c>
      <c r="B178" s="526" t="s">
        <v>3387</v>
      </c>
      <c r="C178" s="174" t="str">
        <f t="shared" si="33"/>
        <v>MSI</v>
      </c>
      <c r="D178" s="488" t="s">
        <v>3694</v>
      </c>
      <c r="E178" s="527">
        <v>238.0</v>
      </c>
      <c r="F178" s="527">
        <v>128.0</v>
      </c>
      <c r="G178" s="527">
        <v>39.0</v>
      </c>
      <c r="H178" s="527">
        <v>2.0</v>
      </c>
      <c r="I178" s="527">
        <v>2491.0</v>
      </c>
      <c r="J178" s="527">
        <v>14.0</v>
      </c>
      <c r="K178" s="527">
        <v>132.0</v>
      </c>
      <c r="L178" s="527">
        <v>8.0</v>
      </c>
      <c r="M178" s="527">
        <v>2.0</v>
      </c>
      <c r="N178" s="527">
        <v>3.0</v>
      </c>
      <c r="O178" s="527">
        <v>1.0</v>
      </c>
      <c r="P178" s="527" t="s">
        <v>166</v>
      </c>
      <c r="Q178" s="527" t="s">
        <v>166</v>
      </c>
      <c r="R178" s="528" t="s">
        <v>166</v>
      </c>
      <c r="S178" s="528" t="s">
        <v>166</v>
      </c>
      <c r="T178" s="529"/>
    </row>
    <row r="179">
      <c r="A179" s="494" t="s">
        <v>1664</v>
      </c>
      <c r="B179" s="526" t="s">
        <v>3387</v>
      </c>
      <c r="C179" s="174" t="str">
        <f t="shared" si="33"/>
        <v>MSI</v>
      </c>
      <c r="D179" s="488" t="s">
        <v>3382</v>
      </c>
      <c r="E179" s="527">
        <v>235.0</v>
      </c>
      <c r="F179" s="527">
        <v>125.0</v>
      </c>
      <c r="G179" s="527">
        <v>46.0</v>
      </c>
      <c r="H179" s="527">
        <v>2.0</v>
      </c>
      <c r="I179" s="527">
        <v>2491.0</v>
      </c>
      <c r="J179" s="527">
        <v>14.0</v>
      </c>
      <c r="K179" s="527">
        <v>132.0</v>
      </c>
      <c r="L179" s="527">
        <v>8.0</v>
      </c>
      <c r="M179" s="527">
        <v>2.0</v>
      </c>
      <c r="N179" s="527">
        <v>3.0</v>
      </c>
      <c r="O179" s="527">
        <v>1.0</v>
      </c>
      <c r="P179" s="527" t="s">
        <v>166</v>
      </c>
      <c r="Q179" s="527" t="s">
        <v>166</v>
      </c>
      <c r="R179" s="528" t="s">
        <v>166</v>
      </c>
      <c r="S179" s="528" t="s">
        <v>166</v>
      </c>
      <c r="T179" s="529"/>
    </row>
    <row r="180">
      <c r="A180" s="494" t="s">
        <v>1664</v>
      </c>
      <c r="B180" s="526" t="s">
        <v>3387</v>
      </c>
      <c r="C180" s="452" t="str">
        <f>HYPERLINK("https://www.powercolor.com/","PowerColor")</f>
        <v>PowerColor</v>
      </c>
      <c r="D180" s="488" t="s">
        <v>3695</v>
      </c>
      <c r="E180" s="527">
        <v>220.0</v>
      </c>
      <c r="F180" s="527">
        <v>132.0</v>
      </c>
      <c r="G180" s="527">
        <v>45.0</v>
      </c>
      <c r="H180" s="527">
        <v>2.0</v>
      </c>
      <c r="I180" s="527">
        <v>2491.0</v>
      </c>
      <c r="J180" s="527">
        <v>14.0</v>
      </c>
      <c r="K180" s="527">
        <v>132.0</v>
      </c>
      <c r="L180" s="527">
        <v>8.0</v>
      </c>
      <c r="M180" s="527">
        <v>2.0</v>
      </c>
      <c r="N180" s="527">
        <v>3.0</v>
      </c>
      <c r="O180" s="527">
        <v>1.0</v>
      </c>
      <c r="P180" s="527" t="s">
        <v>166</v>
      </c>
      <c r="Q180" s="527" t="s">
        <v>166</v>
      </c>
      <c r="R180" s="528" t="s">
        <v>166</v>
      </c>
      <c r="S180" s="528" t="s">
        <v>166</v>
      </c>
      <c r="T180" s="529"/>
    </row>
    <row r="181">
      <c r="A181" s="494" t="s">
        <v>1664</v>
      </c>
      <c r="B181" s="526" t="s">
        <v>3387</v>
      </c>
      <c r="C181" s="452" t="str">
        <f>HYPERLINK("https://www.xfxforce.com/","XFX")</f>
        <v>XFX</v>
      </c>
      <c r="D181" s="488" t="s">
        <v>3696</v>
      </c>
      <c r="E181" s="527">
        <v>241.0</v>
      </c>
      <c r="F181" s="527">
        <v>131.0</v>
      </c>
      <c r="G181" s="527">
        <v>41.0</v>
      </c>
      <c r="H181" s="527">
        <v>2.0</v>
      </c>
      <c r="I181" s="527">
        <v>2491.0</v>
      </c>
      <c r="J181" s="527">
        <v>14.0</v>
      </c>
      <c r="K181" s="527">
        <v>132.0</v>
      </c>
      <c r="L181" s="527">
        <v>8.0</v>
      </c>
      <c r="M181" s="527">
        <v>2.0</v>
      </c>
      <c r="N181" s="527">
        <v>3.0</v>
      </c>
      <c r="O181" s="527">
        <v>1.0</v>
      </c>
      <c r="P181" s="527" t="s">
        <v>166</v>
      </c>
      <c r="Q181" s="527" t="s">
        <v>166</v>
      </c>
      <c r="R181" s="528" t="s">
        <v>166</v>
      </c>
      <c r="S181" s="528" t="s">
        <v>166</v>
      </c>
      <c r="T181" s="529"/>
    </row>
    <row r="182">
      <c r="A182" s="498" t="s">
        <v>1664</v>
      </c>
      <c r="B182" s="499" t="s">
        <v>3387</v>
      </c>
      <c r="C182" s="500" t="s">
        <v>3378</v>
      </c>
      <c r="D182" s="536" t="s">
        <v>3559</v>
      </c>
      <c r="E182" s="501">
        <v>230.0</v>
      </c>
      <c r="F182" s="501">
        <v>112.0</v>
      </c>
      <c r="G182" s="501">
        <v>40.0</v>
      </c>
      <c r="H182" s="501">
        <v>2.0</v>
      </c>
      <c r="I182" s="501">
        <v>2491.0</v>
      </c>
      <c r="J182" s="501">
        <v>14.0</v>
      </c>
      <c r="K182" s="501">
        <v>132.0</v>
      </c>
      <c r="L182" s="501">
        <v>8.0</v>
      </c>
      <c r="M182" s="501">
        <v>2.0</v>
      </c>
      <c r="N182" s="501">
        <v>3.0</v>
      </c>
      <c r="O182" s="501">
        <v>1.0</v>
      </c>
      <c r="P182" s="501" t="s">
        <v>166</v>
      </c>
      <c r="Q182" s="501" t="s">
        <v>166</v>
      </c>
      <c r="R182" s="501" t="s">
        <v>166</v>
      </c>
      <c r="S182" s="501" t="s">
        <v>166</v>
      </c>
      <c r="T182" s="503"/>
    </row>
    <row r="183">
      <c r="A183" s="504" t="s">
        <v>1664</v>
      </c>
      <c r="B183" s="532" t="s">
        <v>3388</v>
      </c>
      <c r="C183" s="506" t="str">
        <f t="shared" ref="C183:C185" si="34">HYPERLINK("https://www.asrock.com/","ASRock")</f>
        <v>ASRock</v>
      </c>
      <c r="D183" s="490" t="s">
        <v>3692</v>
      </c>
      <c r="E183" s="533">
        <v>269.0</v>
      </c>
      <c r="F183" s="533">
        <v>132.0</v>
      </c>
      <c r="G183" s="533">
        <v>41.0</v>
      </c>
      <c r="H183" s="533">
        <v>2.0</v>
      </c>
      <c r="I183" s="533">
        <v>2593.0</v>
      </c>
      <c r="J183" s="507">
        <v>16.0</v>
      </c>
      <c r="K183" s="533">
        <v>160.0</v>
      </c>
      <c r="L183" s="533">
        <v>8.0</v>
      </c>
      <c r="M183" s="533">
        <v>2.0</v>
      </c>
      <c r="N183" s="533">
        <v>3.0</v>
      </c>
      <c r="O183" s="533">
        <v>1.0</v>
      </c>
      <c r="P183" s="533" t="s">
        <v>166</v>
      </c>
      <c r="Q183" s="533" t="s">
        <v>166</v>
      </c>
      <c r="R183" s="534" t="s">
        <v>166</v>
      </c>
      <c r="S183" s="534" t="s">
        <v>166</v>
      </c>
      <c r="T183" s="535"/>
    </row>
    <row r="184">
      <c r="A184" s="494" t="s">
        <v>1664</v>
      </c>
      <c r="B184" s="526" t="s">
        <v>3388</v>
      </c>
      <c r="C184" s="452" t="str">
        <f t="shared" si="34"/>
        <v>ASRock</v>
      </c>
      <c r="D184" s="488" t="s">
        <v>3637</v>
      </c>
      <c r="E184" s="527">
        <v>303.0</v>
      </c>
      <c r="F184" s="527">
        <v>131.0</v>
      </c>
      <c r="G184" s="527">
        <v>45.0</v>
      </c>
      <c r="H184" s="527">
        <v>2.0</v>
      </c>
      <c r="I184" s="527">
        <v>2602.0</v>
      </c>
      <c r="J184" s="266">
        <v>16.0</v>
      </c>
      <c r="K184" s="527">
        <v>160.0</v>
      </c>
      <c r="L184" s="527">
        <v>8.0</v>
      </c>
      <c r="M184" s="527">
        <v>3.0</v>
      </c>
      <c r="N184" s="527">
        <v>3.0</v>
      </c>
      <c r="O184" s="527">
        <v>1.0</v>
      </c>
      <c r="P184" s="527" t="s">
        <v>166</v>
      </c>
      <c r="Q184" s="527" t="s">
        <v>166</v>
      </c>
      <c r="R184" s="528" t="s">
        <v>166</v>
      </c>
      <c r="S184" s="528" t="s">
        <v>166</v>
      </c>
      <c r="T184" s="529"/>
    </row>
    <row r="185">
      <c r="A185" s="494" t="s">
        <v>1664</v>
      </c>
      <c r="B185" s="526" t="s">
        <v>3388</v>
      </c>
      <c r="C185" s="452" t="str">
        <f t="shared" si="34"/>
        <v>ASRock</v>
      </c>
      <c r="D185" s="488" t="s">
        <v>3657</v>
      </c>
      <c r="E185" s="527">
        <v>305.0</v>
      </c>
      <c r="F185" s="527">
        <v>131.0</v>
      </c>
      <c r="G185" s="527">
        <v>48.0</v>
      </c>
      <c r="H185" s="527">
        <v>2.0</v>
      </c>
      <c r="I185" s="527">
        <v>2607.0</v>
      </c>
      <c r="J185" s="266">
        <v>16.0</v>
      </c>
      <c r="K185" s="527">
        <v>160.0</v>
      </c>
      <c r="L185" s="527">
        <v>8.0</v>
      </c>
      <c r="M185" s="527">
        <v>3.0</v>
      </c>
      <c r="N185" s="266">
        <v>3.0</v>
      </c>
      <c r="O185" s="266">
        <v>1.0</v>
      </c>
      <c r="P185" s="266" t="s">
        <v>166</v>
      </c>
      <c r="Q185" s="266" t="s">
        <v>166</v>
      </c>
      <c r="R185" s="528" t="s">
        <v>166</v>
      </c>
      <c r="S185" s="528" t="s">
        <v>166</v>
      </c>
      <c r="T185" s="529"/>
    </row>
    <row r="186">
      <c r="A186" s="494" t="s">
        <v>1664</v>
      </c>
      <c r="B186" s="526" t="s">
        <v>3388</v>
      </c>
      <c r="C186" s="174" t="str">
        <f t="shared" ref="C186:C187" si="35">HYPERLINK("https://www.asus.com/","Asus")</f>
        <v>Asus</v>
      </c>
      <c r="D186" s="488" t="s">
        <v>3381</v>
      </c>
      <c r="E186" s="527">
        <v>243.0</v>
      </c>
      <c r="F186" s="527">
        <v>134.0</v>
      </c>
      <c r="G186" s="527">
        <v>49.0</v>
      </c>
      <c r="H186" s="527">
        <v>2.0</v>
      </c>
      <c r="I186" s="527">
        <v>2607.0</v>
      </c>
      <c r="J186" s="266">
        <v>16.0</v>
      </c>
      <c r="K186" s="527">
        <v>160.0</v>
      </c>
      <c r="L186" s="527">
        <v>8.0</v>
      </c>
      <c r="M186" s="527">
        <v>2.0</v>
      </c>
      <c r="N186" s="266">
        <v>3.0</v>
      </c>
      <c r="O186" s="266">
        <v>1.0</v>
      </c>
      <c r="P186" s="266" t="s">
        <v>166</v>
      </c>
      <c r="Q186" s="266" t="s">
        <v>166</v>
      </c>
      <c r="R186" s="528" t="s">
        <v>166</v>
      </c>
      <c r="S186" s="528" t="s">
        <v>166</v>
      </c>
      <c r="T186" s="529"/>
    </row>
    <row r="187">
      <c r="A187" s="494" t="s">
        <v>1664</v>
      </c>
      <c r="B187" s="526" t="s">
        <v>3388</v>
      </c>
      <c r="C187" s="174" t="str">
        <f t="shared" si="35"/>
        <v>Asus</v>
      </c>
      <c r="D187" s="488" t="s">
        <v>3643</v>
      </c>
      <c r="E187" s="527">
        <v>243.0</v>
      </c>
      <c r="F187" s="527">
        <v>134.0</v>
      </c>
      <c r="G187" s="527">
        <v>52.0</v>
      </c>
      <c r="H187" s="527">
        <v>2.0</v>
      </c>
      <c r="I187" s="527">
        <v>2607.0</v>
      </c>
      <c r="J187" s="266">
        <v>16.0</v>
      </c>
      <c r="K187" s="527">
        <v>160.0</v>
      </c>
      <c r="L187" s="527">
        <v>8.0</v>
      </c>
      <c r="M187" s="527">
        <v>2.0</v>
      </c>
      <c r="N187" s="266">
        <v>3.0</v>
      </c>
      <c r="O187" s="266">
        <v>1.0</v>
      </c>
      <c r="P187" s="266" t="s">
        <v>166</v>
      </c>
      <c r="Q187" s="266" t="s">
        <v>166</v>
      </c>
      <c r="R187" s="528" t="s">
        <v>166</v>
      </c>
      <c r="S187" s="528" t="s">
        <v>166</v>
      </c>
      <c r="T187" s="529"/>
    </row>
    <row r="188">
      <c r="A188" s="494" t="s">
        <v>1664</v>
      </c>
      <c r="B188" s="526" t="s">
        <v>3388</v>
      </c>
      <c r="C188" s="174" t="s">
        <v>3627</v>
      </c>
      <c r="D188" s="452" t="s">
        <v>3689</v>
      </c>
      <c r="E188" s="527">
        <v>224.0</v>
      </c>
      <c r="F188" s="527">
        <v>116.0</v>
      </c>
      <c r="G188" s="527">
        <v>50.0</v>
      </c>
      <c r="H188" s="527">
        <v>2.0</v>
      </c>
      <c r="I188" s="527">
        <v>2607.0</v>
      </c>
      <c r="J188" s="266">
        <v>16.0</v>
      </c>
      <c r="K188" s="527">
        <v>160.0</v>
      </c>
      <c r="L188" s="527">
        <v>8.0</v>
      </c>
      <c r="M188" s="527">
        <v>2.0</v>
      </c>
      <c r="N188" s="266">
        <v>3.0</v>
      </c>
      <c r="O188" s="266">
        <v>1.0</v>
      </c>
      <c r="P188" s="266" t="s">
        <v>166</v>
      </c>
      <c r="Q188" s="266" t="s">
        <v>166</v>
      </c>
      <c r="R188" s="528" t="s">
        <v>166</v>
      </c>
      <c r="S188" s="528" t="s">
        <v>166</v>
      </c>
      <c r="T188" s="529"/>
    </row>
    <row r="189">
      <c r="A189" s="494" t="s">
        <v>1664</v>
      </c>
      <c r="B189" s="526" t="s">
        <v>3388</v>
      </c>
      <c r="C189" s="174" t="str">
        <f t="shared" ref="C189:C191" si="36">HYPERLINK("https://www.gigabyte.com/","Gigabyte")</f>
        <v>Gigabyte</v>
      </c>
      <c r="D189" s="486" t="s">
        <v>3374</v>
      </c>
      <c r="E189" s="527">
        <v>282.0</v>
      </c>
      <c r="F189" s="527">
        <v>113.0</v>
      </c>
      <c r="G189" s="527">
        <v>41.0</v>
      </c>
      <c r="H189" s="527">
        <v>2.0</v>
      </c>
      <c r="I189" s="527">
        <v>2589.0</v>
      </c>
      <c r="J189" s="266">
        <v>16.0</v>
      </c>
      <c r="K189" s="527">
        <v>160.0</v>
      </c>
      <c r="L189" s="527">
        <v>8.0</v>
      </c>
      <c r="M189" s="527">
        <v>3.0</v>
      </c>
      <c r="N189" s="527">
        <v>2.0</v>
      </c>
      <c r="O189" s="527">
        <v>2.0</v>
      </c>
      <c r="P189" s="527" t="s">
        <v>166</v>
      </c>
      <c r="Q189" s="527" t="s">
        <v>166</v>
      </c>
      <c r="R189" s="528" t="s">
        <v>166</v>
      </c>
      <c r="S189" s="528" t="s">
        <v>166</v>
      </c>
      <c r="T189" s="529"/>
    </row>
    <row r="190">
      <c r="A190" s="494" t="s">
        <v>1664</v>
      </c>
      <c r="B190" s="526" t="s">
        <v>3388</v>
      </c>
      <c r="C190" s="174" t="str">
        <f t="shared" si="36"/>
        <v>Gigabyte</v>
      </c>
      <c r="D190" s="486" t="s">
        <v>3630</v>
      </c>
      <c r="E190" s="527">
        <v>282.0</v>
      </c>
      <c r="F190" s="527">
        <v>115.0</v>
      </c>
      <c r="G190" s="527">
        <v>50.0</v>
      </c>
      <c r="H190" s="527">
        <v>2.0</v>
      </c>
      <c r="I190" s="527">
        <v>2593.0</v>
      </c>
      <c r="J190" s="266">
        <v>16.0</v>
      </c>
      <c r="K190" s="527">
        <v>160.0</v>
      </c>
      <c r="L190" s="527">
        <v>8.0</v>
      </c>
      <c r="M190" s="527">
        <v>3.0</v>
      </c>
      <c r="N190" s="527">
        <v>2.0</v>
      </c>
      <c r="O190" s="527">
        <v>2.0</v>
      </c>
      <c r="P190" s="527" t="s">
        <v>166</v>
      </c>
      <c r="Q190" s="527" t="s">
        <v>166</v>
      </c>
      <c r="R190" s="528" t="s">
        <v>166</v>
      </c>
      <c r="S190" s="528" t="s">
        <v>166</v>
      </c>
      <c r="T190" s="529"/>
    </row>
    <row r="191">
      <c r="A191" s="494" t="s">
        <v>1664</v>
      </c>
      <c r="B191" s="526" t="s">
        <v>3388</v>
      </c>
      <c r="C191" s="174" t="str">
        <f t="shared" si="36"/>
        <v>Gigabyte</v>
      </c>
      <c r="D191" s="486" t="s">
        <v>3697</v>
      </c>
      <c r="E191" s="527">
        <v>282.0</v>
      </c>
      <c r="F191" s="527">
        <v>115.0</v>
      </c>
      <c r="G191" s="527">
        <v>50.0</v>
      </c>
      <c r="H191" s="527">
        <v>2.0</v>
      </c>
      <c r="I191" s="527">
        <v>2607.0</v>
      </c>
      <c r="J191" s="266">
        <v>16.0</v>
      </c>
      <c r="K191" s="527">
        <v>160.0</v>
      </c>
      <c r="L191" s="527">
        <v>8.0</v>
      </c>
      <c r="M191" s="527">
        <v>3.0</v>
      </c>
      <c r="N191" s="527">
        <v>2.0</v>
      </c>
      <c r="O191" s="527">
        <v>2.0</v>
      </c>
      <c r="P191" s="527" t="s">
        <v>166</v>
      </c>
      <c r="Q191" s="527" t="s">
        <v>166</v>
      </c>
      <c r="R191" s="528" t="s">
        <v>166</v>
      </c>
      <c r="S191" s="528" t="s">
        <v>166</v>
      </c>
      <c r="T191" s="529"/>
    </row>
    <row r="192">
      <c r="A192" s="494" t="s">
        <v>1664</v>
      </c>
      <c r="B192" s="526" t="s">
        <v>3388</v>
      </c>
      <c r="C192" s="174" t="str">
        <f t="shared" ref="C192:C195" si="37">HYPERLINK("https://www.msi.com/index.php","MSI")</f>
        <v>MSI</v>
      </c>
      <c r="D192" s="486" t="s">
        <v>3382</v>
      </c>
      <c r="E192" s="527">
        <v>235.0</v>
      </c>
      <c r="F192" s="527">
        <v>125.0</v>
      </c>
      <c r="G192" s="527">
        <v>46.0</v>
      </c>
      <c r="H192" s="527">
        <v>2.0</v>
      </c>
      <c r="I192" s="527">
        <v>2589.0</v>
      </c>
      <c r="J192" s="266">
        <v>16.0</v>
      </c>
      <c r="K192" s="527">
        <v>160.0</v>
      </c>
      <c r="L192" s="527">
        <v>8.0</v>
      </c>
      <c r="M192" s="527">
        <v>2.0</v>
      </c>
      <c r="N192" s="266">
        <v>3.0</v>
      </c>
      <c r="O192" s="266">
        <v>1.0</v>
      </c>
      <c r="P192" s="266" t="s">
        <v>166</v>
      </c>
      <c r="Q192" s="266" t="s">
        <v>166</v>
      </c>
      <c r="R192" s="528" t="s">
        <v>166</v>
      </c>
      <c r="S192" s="528" t="s">
        <v>166</v>
      </c>
      <c r="T192" s="529"/>
    </row>
    <row r="193">
      <c r="A193" s="494" t="s">
        <v>1664</v>
      </c>
      <c r="B193" s="526" t="s">
        <v>3388</v>
      </c>
      <c r="C193" s="174" t="str">
        <f t="shared" si="37"/>
        <v>MSI</v>
      </c>
      <c r="D193" s="486" t="s">
        <v>3383</v>
      </c>
      <c r="E193" s="527">
        <v>235.0</v>
      </c>
      <c r="F193" s="527">
        <v>125.0</v>
      </c>
      <c r="G193" s="527">
        <v>46.0</v>
      </c>
      <c r="H193" s="527">
        <v>2.0</v>
      </c>
      <c r="I193" s="527">
        <v>2602.0</v>
      </c>
      <c r="J193" s="266">
        <v>16.0</v>
      </c>
      <c r="K193" s="527">
        <v>160.0</v>
      </c>
      <c r="L193" s="527">
        <v>8.0</v>
      </c>
      <c r="M193" s="527">
        <v>2.0</v>
      </c>
      <c r="N193" s="266">
        <v>3.0</v>
      </c>
      <c r="O193" s="266">
        <v>1.0</v>
      </c>
      <c r="P193" s="266" t="s">
        <v>166</v>
      </c>
      <c r="Q193" s="266" t="s">
        <v>166</v>
      </c>
      <c r="R193" s="528" t="s">
        <v>166</v>
      </c>
      <c r="S193" s="528" t="s">
        <v>166</v>
      </c>
      <c r="T193" s="529"/>
    </row>
    <row r="194">
      <c r="A194" s="494" t="s">
        <v>1664</v>
      </c>
      <c r="B194" s="526" t="s">
        <v>3388</v>
      </c>
      <c r="C194" s="174" t="str">
        <f t="shared" si="37"/>
        <v>MSI</v>
      </c>
      <c r="D194" s="486" t="s">
        <v>3409</v>
      </c>
      <c r="E194" s="527">
        <v>277.0</v>
      </c>
      <c r="F194" s="527">
        <v>130.0</v>
      </c>
      <c r="G194" s="527">
        <v>51.0</v>
      </c>
      <c r="H194" s="527">
        <v>2.0</v>
      </c>
      <c r="I194" s="527">
        <v>2589.0</v>
      </c>
      <c r="J194" s="266">
        <v>16.0</v>
      </c>
      <c r="K194" s="527">
        <v>160.0</v>
      </c>
      <c r="L194" s="527">
        <v>8.0</v>
      </c>
      <c r="M194" s="527">
        <v>2.0</v>
      </c>
      <c r="N194" s="266">
        <v>3.0</v>
      </c>
      <c r="O194" s="266">
        <v>1.0</v>
      </c>
      <c r="P194" s="266" t="s">
        <v>166</v>
      </c>
      <c r="Q194" s="266" t="s">
        <v>166</v>
      </c>
      <c r="R194" s="528" t="s">
        <v>166</v>
      </c>
      <c r="S194" s="528" t="s">
        <v>166</v>
      </c>
      <c r="T194" s="529"/>
    </row>
    <row r="195">
      <c r="A195" s="494" t="s">
        <v>1664</v>
      </c>
      <c r="B195" s="526" t="s">
        <v>3388</v>
      </c>
      <c r="C195" s="174" t="str">
        <f t="shared" si="37"/>
        <v>MSI</v>
      </c>
      <c r="D195" s="486" t="s">
        <v>3557</v>
      </c>
      <c r="E195" s="527">
        <v>277.0</v>
      </c>
      <c r="F195" s="527">
        <v>130.0</v>
      </c>
      <c r="G195" s="527">
        <v>51.0</v>
      </c>
      <c r="H195" s="527">
        <v>2.0</v>
      </c>
      <c r="I195" s="527">
        <v>2607.0</v>
      </c>
      <c r="J195" s="266">
        <v>16.0</v>
      </c>
      <c r="K195" s="527">
        <v>160.0</v>
      </c>
      <c r="L195" s="527">
        <v>8.0</v>
      </c>
      <c r="M195" s="527">
        <v>2.0</v>
      </c>
      <c r="N195" s="266">
        <v>3.0</v>
      </c>
      <c r="O195" s="266">
        <v>1.0</v>
      </c>
      <c r="P195" s="266" t="s">
        <v>166</v>
      </c>
      <c r="Q195" s="266" t="s">
        <v>166</v>
      </c>
      <c r="R195" s="528" t="s">
        <v>166</v>
      </c>
      <c r="S195" s="528" t="s">
        <v>166</v>
      </c>
      <c r="T195" s="529"/>
    </row>
    <row r="196">
      <c r="A196" s="494" t="s">
        <v>1664</v>
      </c>
      <c r="B196" s="526" t="s">
        <v>3388</v>
      </c>
      <c r="C196" s="452" t="str">
        <f t="shared" ref="C196:C197" si="38">HYPERLINK("https://www.powercolor.com/","PowerColor")</f>
        <v>PowerColor</v>
      </c>
      <c r="D196" s="488" t="s">
        <v>3695</v>
      </c>
      <c r="E196" s="527">
        <v>220.0</v>
      </c>
      <c r="F196" s="527">
        <v>132.0</v>
      </c>
      <c r="G196" s="527">
        <v>45.0</v>
      </c>
      <c r="H196" s="527">
        <v>2.0</v>
      </c>
      <c r="I196" s="527">
        <v>2593.0</v>
      </c>
      <c r="J196" s="266">
        <v>16.0</v>
      </c>
      <c r="K196" s="527">
        <v>160.0</v>
      </c>
      <c r="L196" s="527">
        <v>8.0</v>
      </c>
      <c r="M196" s="527">
        <v>2.0</v>
      </c>
      <c r="N196" s="266">
        <v>3.0</v>
      </c>
      <c r="O196" s="266">
        <v>1.0</v>
      </c>
      <c r="P196" s="266" t="s">
        <v>166</v>
      </c>
      <c r="Q196" s="266" t="s">
        <v>166</v>
      </c>
      <c r="R196" s="528" t="s">
        <v>166</v>
      </c>
      <c r="S196" s="528" t="s">
        <v>166</v>
      </c>
      <c r="T196" s="529"/>
    </row>
    <row r="197">
      <c r="A197" s="494" t="s">
        <v>1664</v>
      </c>
      <c r="B197" s="526" t="s">
        <v>3388</v>
      </c>
      <c r="C197" s="452" t="str">
        <f t="shared" si="38"/>
        <v>PowerColor</v>
      </c>
      <c r="D197" s="488" t="s">
        <v>3653</v>
      </c>
      <c r="E197" s="527">
        <v>251.2</v>
      </c>
      <c r="F197" s="527">
        <v>132.8</v>
      </c>
      <c r="G197" s="527">
        <v>53.6</v>
      </c>
      <c r="H197" s="527">
        <v>2.0</v>
      </c>
      <c r="I197" s="527">
        <v>2607.0</v>
      </c>
      <c r="J197" s="266">
        <v>16.0</v>
      </c>
      <c r="K197" s="527">
        <v>160.0</v>
      </c>
      <c r="L197" s="527" t="s">
        <v>3361</v>
      </c>
      <c r="M197" s="527">
        <v>2.0</v>
      </c>
      <c r="N197" s="266">
        <v>3.0</v>
      </c>
      <c r="O197" s="266">
        <v>1.0</v>
      </c>
      <c r="P197" s="266" t="s">
        <v>166</v>
      </c>
      <c r="Q197" s="266" t="s">
        <v>166</v>
      </c>
      <c r="R197" s="528" t="s">
        <v>166</v>
      </c>
      <c r="S197" s="528" t="s">
        <v>166</v>
      </c>
      <c r="T197" s="529"/>
    </row>
    <row r="198">
      <c r="A198" s="494" t="s">
        <v>1664</v>
      </c>
      <c r="B198" s="526" t="s">
        <v>3388</v>
      </c>
      <c r="C198" s="452" t="str">
        <f t="shared" ref="C198:C199" si="39">HYPERLINK("https://www.sapphiretech.com/","Sapphire")</f>
        <v>Sapphire</v>
      </c>
      <c r="D198" s="486" t="s">
        <v>3376</v>
      </c>
      <c r="E198" s="527">
        <v>240.0</v>
      </c>
      <c r="F198" s="527">
        <v>119.85</v>
      </c>
      <c r="G198" s="527">
        <v>44.75</v>
      </c>
      <c r="H198" s="527">
        <v>2.0</v>
      </c>
      <c r="I198" s="527">
        <v>2593.0</v>
      </c>
      <c r="J198" s="266">
        <v>16.0</v>
      </c>
      <c r="K198" s="527">
        <v>170.0</v>
      </c>
      <c r="L198" s="527">
        <v>8.0</v>
      </c>
      <c r="M198" s="527">
        <v>2.0</v>
      </c>
      <c r="N198" s="266">
        <v>3.0</v>
      </c>
      <c r="O198" s="266">
        <v>1.0</v>
      </c>
      <c r="P198" s="266" t="s">
        <v>166</v>
      </c>
      <c r="Q198" s="266" t="s">
        <v>166</v>
      </c>
      <c r="R198" s="528" t="s">
        <v>166</v>
      </c>
      <c r="S198" s="528" t="s">
        <v>166</v>
      </c>
      <c r="T198" s="529"/>
    </row>
    <row r="199">
      <c r="A199" s="494" t="s">
        <v>1664</v>
      </c>
      <c r="B199" s="526" t="s">
        <v>3388</v>
      </c>
      <c r="C199" s="452" t="str">
        <f t="shared" si="39"/>
        <v>Sapphire</v>
      </c>
      <c r="D199" s="486" t="s">
        <v>3680</v>
      </c>
      <c r="E199" s="527">
        <v>240.0</v>
      </c>
      <c r="F199" s="527">
        <v>119.25</v>
      </c>
      <c r="G199" s="527">
        <v>44.82</v>
      </c>
      <c r="H199" s="527">
        <v>2.0</v>
      </c>
      <c r="I199" s="527">
        <v>2607.0</v>
      </c>
      <c r="J199" s="266">
        <v>16.0</v>
      </c>
      <c r="K199" s="527">
        <v>180.0</v>
      </c>
      <c r="L199" s="527">
        <v>8.0</v>
      </c>
      <c r="M199" s="527">
        <v>2.0</v>
      </c>
      <c r="N199" s="266">
        <v>3.0</v>
      </c>
      <c r="O199" s="266">
        <v>1.0</v>
      </c>
      <c r="P199" s="266" t="s">
        <v>166</v>
      </c>
      <c r="Q199" s="266" t="s">
        <v>166</v>
      </c>
      <c r="R199" s="528" t="s">
        <v>166</v>
      </c>
      <c r="S199" s="528" t="s">
        <v>166</v>
      </c>
      <c r="T199" s="529"/>
    </row>
    <row r="200">
      <c r="A200" s="494" t="s">
        <v>1664</v>
      </c>
      <c r="B200" s="526" t="s">
        <v>3388</v>
      </c>
      <c r="C200" s="452" t="str">
        <f t="shared" ref="C200:C202" si="40">HYPERLINK("https://www.xfxforce.com/","XFX")</f>
        <v>XFX</v>
      </c>
      <c r="D200" s="486" t="s">
        <v>3696</v>
      </c>
      <c r="E200" s="527">
        <v>241.0</v>
      </c>
      <c r="F200" s="527">
        <v>131.0</v>
      </c>
      <c r="G200" s="527">
        <v>41.0</v>
      </c>
      <c r="H200" s="527">
        <v>2.0</v>
      </c>
      <c r="I200" s="527">
        <v>2589.0</v>
      </c>
      <c r="J200" s="266">
        <v>16.0</v>
      </c>
      <c r="K200" s="527">
        <v>160.0</v>
      </c>
      <c r="L200" s="527">
        <v>8.0</v>
      </c>
      <c r="M200" s="527">
        <v>2.0</v>
      </c>
      <c r="N200" s="266">
        <v>3.0</v>
      </c>
      <c r="O200" s="266">
        <v>1.0</v>
      </c>
      <c r="P200" s="266" t="s">
        <v>166</v>
      </c>
      <c r="Q200" s="266" t="s">
        <v>166</v>
      </c>
      <c r="R200" s="528" t="s">
        <v>166</v>
      </c>
      <c r="S200" s="528" t="s">
        <v>166</v>
      </c>
      <c r="T200" s="529"/>
    </row>
    <row r="201">
      <c r="A201" s="494" t="s">
        <v>1664</v>
      </c>
      <c r="B201" s="526" t="s">
        <v>3388</v>
      </c>
      <c r="C201" s="452" t="str">
        <f t="shared" si="40"/>
        <v>XFX</v>
      </c>
      <c r="D201" s="486" t="s">
        <v>3698</v>
      </c>
      <c r="E201" s="527">
        <v>274.0</v>
      </c>
      <c r="F201" s="527">
        <v>114.0</v>
      </c>
      <c r="G201" s="527">
        <v>50.0</v>
      </c>
      <c r="H201" s="527">
        <v>2.0</v>
      </c>
      <c r="I201" s="527">
        <v>2607.0</v>
      </c>
      <c r="J201" s="266">
        <v>16.0</v>
      </c>
      <c r="K201" s="527">
        <v>160.0</v>
      </c>
      <c r="L201" s="527">
        <v>8.0</v>
      </c>
      <c r="M201" s="527">
        <v>3.0</v>
      </c>
      <c r="N201" s="266">
        <v>3.0</v>
      </c>
      <c r="O201" s="266">
        <v>1.0</v>
      </c>
      <c r="P201" s="266" t="s">
        <v>166</v>
      </c>
      <c r="Q201" s="266" t="s">
        <v>166</v>
      </c>
      <c r="R201" s="528" t="s">
        <v>166</v>
      </c>
      <c r="S201" s="528" t="s">
        <v>166</v>
      </c>
      <c r="T201" s="529"/>
    </row>
    <row r="202">
      <c r="A202" s="494" t="s">
        <v>1664</v>
      </c>
      <c r="B202" s="526" t="s">
        <v>3388</v>
      </c>
      <c r="C202" s="452" t="str">
        <f t="shared" si="40"/>
        <v>XFX</v>
      </c>
      <c r="D202" s="486" t="s">
        <v>3699</v>
      </c>
      <c r="E202" s="527">
        <v>274.0</v>
      </c>
      <c r="F202" s="527">
        <v>114.0</v>
      </c>
      <c r="G202" s="527">
        <v>50.0</v>
      </c>
      <c r="H202" s="527">
        <v>2.0</v>
      </c>
      <c r="I202" s="527">
        <v>2607.0</v>
      </c>
      <c r="J202" s="266">
        <v>16.0</v>
      </c>
      <c r="K202" s="527">
        <v>160.0</v>
      </c>
      <c r="L202" s="527">
        <v>8.0</v>
      </c>
      <c r="M202" s="527">
        <v>3.0</v>
      </c>
      <c r="N202" s="266">
        <v>3.0</v>
      </c>
      <c r="O202" s="266">
        <v>1.0</v>
      </c>
      <c r="P202" s="266" t="s">
        <v>166</v>
      </c>
      <c r="Q202" s="266" t="s">
        <v>166</v>
      </c>
      <c r="R202" s="528" t="s">
        <v>166</v>
      </c>
      <c r="S202" s="528" t="s">
        <v>166</v>
      </c>
      <c r="T202" s="529"/>
    </row>
    <row r="203">
      <c r="A203" s="494" t="s">
        <v>1664</v>
      </c>
      <c r="B203" s="526" t="s">
        <v>3388</v>
      </c>
      <c r="C203" s="486" t="s">
        <v>3378</v>
      </c>
      <c r="D203" s="486" t="s">
        <v>3559</v>
      </c>
      <c r="E203" s="527">
        <v>230.0</v>
      </c>
      <c r="F203" s="527">
        <v>112.0</v>
      </c>
      <c r="G203" s="527">
        <v>40.0</v>
      </c>
      <c r="H203" s="527">
        <v>2.0</v>
      </c>
      <c r="I203" s="527">
        <v>2589.0</v>
      </c>
      <c r="J203" s="527">
        <v>16.0</v>
      </c>
      <c r="K203" s="527">
        <v>160.0</v>
      </c>
      <c r="L203" s="527">
        <v>8.0</v>
      </c>
      <c r="M203" s="527">
        <v>2.0</v>
      </c>
      <c r="N203" s="527">
        <v>3.0</v>
      </c>
      <c r="O203" s="527">
        <v>1.0</v>
      </c>
      <c r="P203" s="527" t="s">
        <v>166</v>
      </c>
      <c r="Q203" s="527" t="s">
        <v>166</v>
      </c>
      <c r="R203" s="528" t="s">
        <v>166</v>
      </c>
      <c r="S203" s="528" t="s">
        <v>166</v>
      </c>
      <c r="T203" s="529"/>
    </row>
    <row r="204">
      <c r="A204" s="498" t="s">
        <v>1664</v>
      </c>
      <c r="B204" s="499" t="s">
        <v>3388</v>
      </c>
      <c r="C204" s="500" t="s">
        <v>3378</v>
      </c>
      <c r="D204" s="536" t="s">
        <v>3700</v>
      </c>
      <c r="E204" s="501" t="s">
        <v>170</v>
      </c>
      <c r="F204" s="501" t="s">
        <v>170</v>
      </c>
      <c r="G204" s="501" t="s">
        <v>170</v>
      </c>
      <c r="H204" s="501">
        <v>2.0</v>
      </c>
      <c r="I204" s="501">
        <v>2607.0</v>
      </c>
      <c r="J204" s="501">
        <v>16.0</v>
      </c>
      <c r="K204" s="501">
        <v>160.0</v>
      </c>
      <c r="L204" s="501">
        <v>8.0</v>
      </c>
      <c r="M204" s="501">
        <v>3.0</v>
      </c>
      <c r="N204" s="501">
        <v>3.0</v>
      </c>
      <c r="O204" s="501">
        <v>1.0</v>
      </c>
      <c r="P204" s="501" t="s">
        <v>166</v>
      </c>
      <c r="Q204" s="501" t="s">
        <v>166</v>
      </c>
      <c r="R204" s="502" t="s">
        <v>166</v>
      </c>
      <c r="S204" s="502" t="s">
        <v>166</v>
      </c>
      <c r="T204" s="503"/>
    </row>
    <row r="205">
      <c r="A205" s="494" t="s">
        <v>1664</v>
      </c>
      <c r="B205" s="495" t="s">
        <v>3391</v>
      </c>
      <c r="C205" s="452" t="str">
        <f t="shared" ref="C205:C207" si="41">HYPERLINK("https://www.asrock.com/","ASRock")</f>
        <v>ASRock</v>
      </c>
      <c r="D205" s="452" t="s">
        <v>3636</v>
      </c>
      <c r="E205" s="266">
        <v>269.0</v>
      </c>
      <c r="F205" s="266">
        <v>132.0</v>
      </c>
      <c r="G205" s="266">
        <v>41.0</v>
      </c>
      <c r="H205" s="266">
        <v>2.0</v>
      </c>
      <c r="I205" s="266">
        <v>2669.0</v>
      </c>
      <c r="J205" s="266">
        <v>17.5</v>
      </c>
      <c r="K205" s="266">
        <v>180.0</v>
      </c>
      <c r="L205" s="266">
        <v>8.0</v>
      </c>
      <c r="M205" s="266">
        <v>2.0</v>
      </c>
      <c r="N205" s="266">
        <v>3.0</v>
      </c>
      <c r="O205" s="266">
        <v>1.0</v>
      </c>
      <c r="P205" s="266" t="s">
        <v>166</v>
      </c>
      <c r="Q205" s="266" t="s">
        <v>166</v>
      </c>
      <c r="R205" s="266" t="s">
        <v>166</v>
      </c>
      <c r="S205" s="266" t="s">
        <v>166</v>
      </c>
      <c r="T205" s="496"/>
    </row>
    <row r="206">
      <c r="A206" s="494" t="s">
        <v>1664</v>
      </c>
      <c r="B206" s="495" t="s">
        <v>3391</v>
      </c>
      <c r="C206" s="452" t="str">
        <f t="shared" si="41"/>
        <v>ASRock</v>
      </c>
      <c r="D206" s="452" t="s">
        <v>3701</v>
      </c>
      <c r="E206" s="266">
        <v>303.0</v>
      </c>
      <c r="F206" s="266">
        <v>131.0</v>
      </c>
      <c r="G206" s="266">
        <v>45.0</v>
      </c>
      <c r="H206" s="266">
        <v>2.0</v>
      </c>
      <c r="I206" s="266">
        <v>2669.0</v>
      </c>
      <c r="J206" s="266">
        <v>17.5</v>
      </c>
      <c r="K206" s="266">
        <v>180.0</v>
      </c>
      <c r="L206" s="266">
        <v>8.0</v>
      </c>
      <c r="M206" s="266">
        <v>3.0</v>
      </c>
      <c r="N206" s="266">
        <v>3.0</v>
      </c>
      <c r="O206" s="266">
        <v>1.0</v>
      </c>
      <c r="P206" s="266" t="s">
        <v>166</v>
      </c>
      <c r="Q206" s="266" t="s">
        <v>166</v>
      </c>
      <c r="R206" s="266" t="s">
        <v>166</v>
      </c>
      <c r="S206" s="266" t="s">
        <v>166</v>
      </c>
      <c r="T206" s="496"/>
    </row>
    <row r="207">
      <c r="A207" s="494" t="s">
        <v>1664</v>
      </c>
      <c r="B207" s="495" t="s">
        <v>3391</v>
      </c>
      <c r="C207" s="452" t="str">
        <f t="shared" si="41"/>
        <v>ASRock</v>
      </c>
      <c r="D207" s="452" t="s">
        <v>3657</v>
      </c>
      <c r="E207" s="266">
        <v>305.0</v>
      </c>
      <c r="F207" s="266">
        <v>131.0</v>
      </c>
      <c r="G207" s="266">
        <v>48.0</v>
      </c>
      <c r="H207" s="266">
        <v>2.0</v>
      </c>
      <c r="I207" s="266">
        <v>2694.0</v>
      </c>
      <c r="J207" s="266">
        <v>17.5</v>
      </c>
      <c r="K207" s="266">
        <v>180.0</v>
      </c>
      <c r="L207" s="266">
        <v>8.0</v>
      </c>
      <c r="M207" s="266">
        <v>3.0</v>
      </c>
      <c r="N207" s="266">
        <v>3.0</v>
      </c>
      <c r="O207" s="266">
        <v>1.0</v>
      </c>
      <c r="P207" s="266" t="s">
        <v>166</v>
      </c>
      <c r="Q207" s="266" t="s">
        <v>166</v>
      </c>
      <c r="R207" s="266" t="s">
        <v>166</v>
      </c>
      <c r="S207" s="266" t="s">
        <v>166</v>
      </c>
      <c r="T207" s="496"/>
    </row>
    <row r="208">
      <c r="A208" s="494" t="s">
        <v>1664</v>
      </c>
      <c r="B208" s="495" t="s">
        <v>3391</v>
      </c>
      <c r="C208" s="174" t="str">
        <f t="shared" ref="C208:C211" si="42">HYPERLINK("https://www.asus.com/","Asus")</f>
        <v>Asus</v>
      </c>
      <c r="D208" s="452" t="s">
        <v>3381</v>
      </c>
      <c r="E208" s="266">
        <v>243.0</v>
      </c>
      <c r="F208" s="266">
        <v>134.0</v>
      </c>
      <c r="G208" s="266">
        <v>49.0</v>
      </c>
      <c r="H208" s="266">
        <v>2.0</v>
      </c>
      <c r="I208" s="266">
        <v>2689.0</v>
      </c>
      <c r="J208" s="266">
        <v>17.5</v>
      </c>
      <c r="K208" s="266">
        <v>180.0</v>
      </c>
      <c r="L208" s="266">
        <v>8.0</v>
      </c>
      <c r="M208" s="266">
        <v>2.0</v>
      </c>
      <c r="N208" s="266">
        <v>3.0</v>
      </c>
      <c r="O208" s="266">
        <v>1.0</v>
      </c>
      <c r="P208" s="266" t="s">
        <v>166</v>
      </c>
      <c r="Q208" s="266" t="s">
        <v>166</v>
      </c>
      <c r="R208" s="266" t="s">
        <v>166</v>
      </c>
      <c r="S208" s="266" t="s">
        <v>166</v>
      </c>
      <c r="T208" s="496"/>
    </row>
    <row r="209">
      <c r="A209" s="494" t="s">
        <v>1664</v>
      </c>
      <c r="B209" s="495" t="s">
        <v>3391</v>
      </c>
      <c r="C209" s="174" t="str">
        <f t="shared" si="42"/>
        <v>Asus</v>
      </c>
      <c r="D209" s="452" t="s">
        <v>3394</v>
      </c>
      <c r="E209" s="266">
        <v>243.0</v>
      </c>
      <c r="F209" s="266">
        <v>134.0</v>
      </c>
      <c r="G209" s="266">
        <v>49.0</v>
      </c>
      <c r="H209" s="266">
        <v>2.0</v>
      </c>
      <c r="I209" s="266">
        <v>2689.0</v>
      </c>
      <c r="J209" s="266">
        <v>17.5</v>
      </c>
      <c r="K209" s="266">
        <v>180.0</v>
      </c>
      <c r="L209" s="266">
        <v>8.0</v>
      </c>
      <c r="M209" s="266">
        <v>2.0</v>
      </c>
      <c r="N209" s="266">
        <v>3.0</v>
      </c>
      <c r="O209" s="266">
        <v>1.0</v>
      </c>
      <c r="P209" s="266" t="s">
        <v>166</v>
      </c>
      <c r="Q209" s="266" t="s">
        <v>166</v>
      </c>
      <c r="R209" s="266" t="s">
        <v>166</v>
      </c>
      <c r="S209" s="266" t="s">
        <v>166</v>
      </c>
      <c r="T209" s="496"/>
    </row>
    <row r="210">
      <c r="A210" s="494" t="s">
        <v>1664</v>
      </c>
      <c r="B210" s="495" t="s">
        <v>3391</v>
      </c>
      <c r="C210" s="174" t="str">
        <f t="shared" si="42"/>
        <v>Asus</v>
      </c>
      <c r="D210" s="452" t="s">
        <v>3643</v>
      </c>
      <c r="E210" s="266">
        <v>281.0</v>
      </c>
      <c r="F210" s="266">
        <v>135.0</v>
      </c>
      <c r="G210" s="266">
        <v>59.0</v>
      </c>
      <c r="H210" s="266">
        <v>2.0</v>
      </c>
      <c r="I210" s="266">
        <v>2694.0</v>
      </c>
      <c r="J210" s="266">
        <v>17.5</v>
      </c>
      <c r="K210" s="266">
        <v>180.0</v>
      </c>
      <c r="L210" s="266">
        <v>8.0</v>
      </c>
      <c r="M210" s="266">
        <v>2.0</v>
      </c>
      <c r="N210" s="266">
        <v>3.0</v>
      </c>
      <c r="O210" s="266">
        <v>1.0</v>
      </c>
      <c r="P210" s="266" t="s">
        <v>166</v>
      </c>
      <c r="Q210" s="266" t="s">
        <v>166</v>
      </c>
      <c r="R210" s="266" t="s">
        <v>166</v>
      </c>
      <c r="S210" s="266" t="s">
        <v>166</v>
      </c>
      <c r="T210" s="496"/>
    </row>
    <row r="211">
      <c r="A211" s="494" t="s">
        <v>1664</v>
      </c>
      <c r="B211" s="495" t="s">
        <v>3391</v>
      </c>
      <c r="C211" s="174" t="str">
        <f t="shared" si="42"/>
        <v>Asus</v>
      </c>
      <c r="D211" s="452" t="s">
        <v>3702</v>
      </c>
      <c r="E211" s="266">
        <v>243.0</v>
      </c>
      <c r="F211" s="266">
        <v>134.0</v>
      </c>
      <c r="G211" s="266">
        <v>52.0</v>
      </c>
      <c r="H211" s="266">
        <v>2.0</v>
      </c>
      <c r="I211" s="266">
        <v>2694.0</v>
      </c>
      <c r="J211" s="266">
        <v>17.5</v>
      </c>
      <c r="K211" s="266">
        <v>180.0</v>
      </c>
      <c r="L211" s="266">
        <v>8.0</v>
      </c>
      <c r="M211" s="266">
        <v>2.0</v>
      </c>
      <c r="N211" s="266">
        <v>3.0</v>
      </c>
      <c r="O211" s="266">
        <v>1.0</v>
      </c>
      <c r="P211" s="266" t="s">
        <v>166</v>
      </c>
      <c r="Q211" s="266" t="s">
        <v>166</v>
      </c>
      <c r="R211" s="266" t="s">
        <v>166</v>
      </c>
      <c r="S211" s="266" t="s">
        <v>166</v>
      </c>
      <c r="T211" s="496"/>
    </row>
    <row r="212">
      <c r="A212" s="494" t="s">
        <v>1664</v>
      </c>
      <c r="B212" s="495" t="s">
        <v>3391</v>
      </c>
      <c r="C212" s="174" t="str">
        <f t="shared" ref="C212:C213" si="43">HYPERLINK("https://www.gigabyte.com/","Gigabyte")</f>
        <v>Gigabyte</v>
      </c>
      <c r="D212" s="452" t="s">
        <v>3374</v>
      </c>
      <c r="E212" s="266">
        <v>282.0</v>
      </c>
      <c r="F212" s="266">
        <v>113.0</v>
      </c>
      <c r="G212" s="266">
        <v>41.0</v>
      </c>
      <c r="H212" s="266">
        <v>2.0</v>
      </c>
      <c r="I212" s="266">
        <v>2635.0</v>
      </c>
      <c r="J212" s="266">
        <v>17.5</v>
      </c>
      <c r="K212" s="266">
        <v>180.0</v>
      </c>
      <c r="L212" s="266">
        <v>8.0</v>
      </c>
      <c r="M212" s="266">
        <v>3.0</v>
      </c>
      <c r="N212" s="266">
        <v>2.0</v>
      </c>
      <c r="O212" s="266">
        <v>2.0</v>
      </c>
      <c r="P212" s="266" t="s">
        <v>166</v>
      </c>
      <c r="Q212" s="266" t="s">
        <v>166</v>
      </c>
      <c r="R212" s="266" t="s">
        <v>166</v>
      </c>
      <c r="S212" s="266" t="s">
        <v>166</v>
      </c>
      <c r="T212" s="496"/>
    </row>
    <row r="213">
      <c r="A213" s="494" t="s">
        <v>1664</v>
      </c>
      <c r="B213" s="495" t="s">
        <v>3391</v>
      </c>
      <c r="C213" s="174" t="str">
        <f t="shared" si="43"/>
        <v>Gigabyte</v>
      </c>
      <c r="D213" s="452" t="s">
        <v>3630</v>
      </c>
      <c r="E213" s="266">
        <v>282.0</v>
      </c>
      <c r="F213" s="266">
        <v>115.0</v>
      </c>
      <c r="G213" s="266">
        <v>50.0</v>
      </c>
      <c r="H213" s="266">
        <v>2.0</v>
      </c>
      <c r="I213" s="266">
        <v>2694.0</v>
      </c>
      <c r="J213" s="266">
        <v>17.5</v>
      </c>
      <c r="K213" s="266">
        <v>180.0</v>
      </c>
      <c r="L213" s="266">
        <v>8.0</v>
      </c>
      <c r="M213" s="266">
        <v>3.0</v>
      </c>
      <c r="N213" s="266">
        <v>2.0</v>
      </c>
      <c r="O213" s="266">
        <v>2.0</v>
      </c>
      <c r="P213" s="266" t="s">
        <v>166</v>
      </c>
      <c r="Q213" s="266" t="s">
        <v>166</v>
      </c>
      <c r="R213" s="266" t="s">
        <v>166</v>
      </c>
      <c r="S213" s="266" t="s">
        <v>166</v>
      </c>
      <c r="T213" s="496"/>
    </row>
    <row r="214">
      <c r="A214" s="494" t="s">
        <v>1664</v>
      </c>
      <c r="B214" s="495" t="s">
        <v>3391</v>
      </c>
      <c r="C214" s="174" t="str">
        <f t="shared" ref="C214:C217" si="44">HYPERLINK("https://www.msi.com/index.php","MSI")</f>
        <v>MSI</v>
      </c>
      <c r="D214" s="452" t="s">
        <v>3382</v>
      </c>
      <c r="E214" s="266">
        <v>235.0</v>
      </c>
      <c r="F214" s="266">
        <v>125.0</v>
      </c>
      <c r="G214" s="266">
        <v>47.0</v>
      </c>
      <c r="H214" s="266">
        <v>2.0</v>
      </c>
      <c r="I214" s="266">
        <v>2635.0</v>
      </c>
      <c r="J214" s="266">
        <v>17.5</v>
      </c>
      <c r="K214" s="266">
        <v>180.0</v>
      </c>
      <c r="L214" s="266">
        <v>8.0</v>
      </c>
      <c r="M214" s="266">
        <v>2.0</v>
      </c>
      <c r="N214" s="266">
        <v>3.0</v>
      </c>
      <c r="O214" s="266">
        <v>1.0</v>
      </c>
      <c r="P214" s="266" t="s">
        <v>166</v>
      </c>
      <c r="Q214" s="266" t="s">
        <v>166</v>
      </c>
      <c r="R214" s="266" t="s">
        <v>166</v>
      </c>
      <c r="S214" s="266" t="s">
        <v>166</v>
      </c>
      <c r="T214" s="496"/>
    </row>
    <row r="215">
      <c r="A215" s="494" t="s">
        <v>1664</v>
      </c>
      <c r="B215" s="495" t="s">
        <v>3391</v>
      </c>
      <c r="C215" s="174" t="str">
        <f t="shared" si="44"/>
        <v>MSI</v>
      </c>
      <c r="D215" s="452" t="s">
        <v>3383</v>
      </c>
      <c r="E215" s="266">
        <v>235.0</v>
      </c>
      <c r="F215" s="266">
        <v>125.0</v>
      </c>
      <c r="G215" s="266">
        <v>47.0</v>
      </c>
      <c r="H215" s="266">
        <v>2.0</v>
      </c>
      <c r="I215" s="266">
        <v>2669.0</v>
      </c>
      <c r="J215" s="266">
        <v>17.5</v>
      </c>
      <c r="K215" s="266">
        <v>180.0</v>
      </c>
      <c r="L215" s="266">
        <v>8.0</v>
      </c>
      <c r="M215" s="266">
        <v>2.0</v>
      </c>
      <c r="N215" s="266">
        <v>3.0</v>
      </c>
      <c r="O215" s="266">
        <v>1.0</v>
      </c>
      <c r="P215" s="266" t="s">
        <v>166</v>
      </c>
      <c r="Q215" s="266" t="s">
        <v>166</v>
      </c>
      <c r="R215" s="266" t="s">
        <v>166</v>
      </c>
      <c r="S215" s="266" t="s">
        <v>166</v>
      </c>
      <c r="T215" s="496"/>
    </row>
    <row r="216">
      <c r="A216" s="494" t="s">
        <v>1664</v>
      </c>
      <c r="B216" s="495" t="s">
        <v>3391</v>
      </c>
      <c r="C216" s="174" t="str">
        <f t="shared" si="44"/>
        <v>MSI</v>
      </c>
      <c r="D216" s="452" t="s">
        <v>3409</v>
      </c>
      <c r="E216" s="266">
        <v>278.0</v>
      </c>
      <c r="F216" s="266">
        <v>130.0</v>
      </c>
      <c r="G216" s="266">
        <v>51.0</v>
      </c>
      <c r="H216" s="266">
        <v>2.0</v>
      </c>
      <c r="I216" s="266">
        <v>2635.0</v>
      </c>
      <c r="J216" s="266">
        <v>17.5</v>
      </c>
      <c r="K216" s="266">
        <v>180.0</v>
      </c>
      <c r="L216" s="266">
        <v>8.0</v>
      </c>
      <c r="M216" s="266">
        <v>2.0</v>
      </c>
      <c r="N216" s="266">
        <v>3.0</v>
      </c>
      <c r="O216" s="266">
        <v>1.0</v>
      </c>
      <c r="P216" s="266" t="s">
        <v>166</v>
      </c>
      <c r="Q216" s="266" t="s">
        <v>166</v>
      </c>
      <c r="R216" s="266" t="s">
        <v>166</v>
      </c>
      <c r="S216" s="266" t="s">
        <v>166</v>
      </c>
      <c r="T216" s="496"/>
    </row>
    <row r="217">
      <c r="A217" s="494" t="s">
        <v>1664</v>
      </c>
      <c r="B217" s="495" t="s">
        <v>3391</v>
      </c>
      <c r="C217" s="174" t="str">
        <f t="shared" si="44"/>
        <v>MSI</v>
      </c>
      <c r="D217" s="452" t="s">
        <v>3557</v>
      </c>
      <c r="E217" s="266">
        <v>278.0</v>
      </c>
      <c r="F217" s="266">
        <v>130.0</v>
      </c>
      <c r="G217" s="266">
        <v>51.0</v>
      </c>
      <c r="H217" s="266">
        <v>2.0</v>
      </c>
      <c r="I217" s="266">
        <v>2694.0</v>
      </c>
      <c r="J217" s="266">
        <v>17.5</v>
      </c>
      <c r="K217" s="266">
        <v>180.0</v>
      </c>
      <c r="L217" s="266">
        <v>8.0</v>
      </c>
      <c r="M217" s="266">
        <v>2.0</v>
      </c>
      <c r="N217" s="266">
        <v>3.0</v>
      </c>
      <c r="O217" s="266">
        <v>1.0</v>
      </c>
      <c r="P217" s="266" t="s">
        <v>166</v>
      </c>
      <c r="Q217" s="266" t="s">
        <v>166</v>
      </c>
      <c r="R217" s="266" t="s">
        <v>166</v>
      </c>
      <c r="S217" s="266" t="s">
        <v>166</v>
      </c>
      <c r="T217" s="496"/>
    </row>
    <row r="218">
      <c r="A218" s="494" t="s">
        <v>1664</v>
      </c>
      <c r="B218" s="495" t="s">
        <v>3391</v>
      </c>
      <c r="C218" s="452" t="str">
        <f t="shared" ref="C218:C221" si="45">HYPERLINK("https://www.powercolor.com/","PowerColor")</f>
        <v>PowerColor</v>
      </c>
      <c r="D218" s="452" t="s">
        <v>3695</v>
      </c>
      <c r="E218" s="266">
        <v>220.0</v>
      </c>
      <c r="F218" s="266">
        <v>132.0</v>
      </c>
      <c r="G218" s="266">
        <v>45.0</v>
      </c>
      <c r="H218" s="266">
        <v>2.0</v>
      </c>
      <c r="I218" s="266">
        <v>2689.0</v>
      </c>
      <c r="J218" s="266">
        <v>17.5</v>
      </c>
      <c r="K218" s="266">
        <v>180.0</v>
      </c>
      <c r="L218" s="266">
        <v>8.0</v>
      </c>
      <c r="M218" s="266">
        <v>2.0</v>
      </c>
      <c r="N218" s="266">
        <v>3.0</v>
      </c>
      <c r="O218" s="266">
        <v>1.0</v>
      </c>
      <c r="P218" s="266" t="s">
        <v>166</v>
      </c>
      <c r="Q218" s="266" t="s">
        <v>166</v>
      </c>
      <c r="R218" s="266" t="s">
        <v>166</v>
      </c>
      <c r="S218" s="266" t="s">
        <v>166</v>
      </c>
      <c r="T218" s="496"/>
    </row>
    <row r="219">
      <c r="A219" s="494" t="s">
        <v>1664</v>
      </c>
      <c r="B219" s="495" t="s">
        <v>3391</v>
      </c>
      <c r="C219" s="452" t="str">
        <f t="shared" si="45"/>
        <v>PowerColor</v>
      </c>
      <c r="D219" s="452" t="s">
        <v>3703</v>
      </c>
      <c r="E219" s="266">
        <v>220.0</v>
      </c>
      <c r="F219" s="266">
        <v>132.0</v>
      </c>
      <c r="G219" s="266">
        <v>45.0</v>
      </c>
      <c r="H219" s="266">
        <v>2.0</v>
      </c>
      <c r="I219" s="266">
        <v>2689.0</v>
      </c>
      <c r="J219" s="266">
        <v>17.5</v>
      </c>
      <c r="K219" s="266">
        <v>180.0</v>
      </c>
      <c r="L219" s="266">
        <v>8.0</v>
      </c>
      <c r="M219" s="266">
        <v>2.0</v>
      </c>
      <c r="N219" s="266">
        <v>3.0</v>
      </c>
      <c r="O219" s="266">
        <v>1.0</v>
      </c>
      <c r="P219" s="266" t="s">
        <v>166</v>
      </c>
      <c r="Q219" s="266" t="s">
        <v>166</v>
      </c>
      <c r="R219" s="266" t="s">
        <v>166</v>
      </c>
      <c r="S219" s="266" t="s">
        <v>166</v>
      </c>
      <c r="T219" s="496"/>
    </row>
    <row r="220">
      <c r="A220" s="494" t="s">
        <v>1664</v>
      </c>
      <c r="B220" s="495" t="s">
        <v>3391</v>
      </c>
      <c r="C220" s="452" t="str">
        <f t="shared" si="45"/>
        <v>PowerColor</v>
      </c>
      <c r="D220" s="452" t="s">
        <v>3704</v>
      </c>
      <c r="E220" s="266">
        <v>220.0</v>
      </c>
      <c r="F220" s="266">
        <v>132.0</v>
      </c>
      <c r="G220" s="266">
        <v>45.0</v>
      </c>
      <c r="H220" s="266">
        <v>2.0</v>
      </c>
      <c r="I220" s="266">
        <v>2689.0</v>
      </c>
      <c r="J220" s="266">
        <v>17.5</v>
      </c>
      <c r="K220" s="266">
        <v>180.0</v>
      </c>
      <c r="L220" s="266">
        <v>8.0</v>
      </c>
      <c r="M220" s="266">
        <v>2.0</v>
      </c>
      <c r="N220" s="266">
        <v>3.0</v>
      </c>
      <c r="O220" s="266">
        <v>1.0</v>
      </c>
      <c r="P220" s="266" t="s">
        <v>166</v>
      </c>
      <c r="Q220" s="266" t="s">
        <v>166</v>
      </c>
      <c r="R220" s="266" t="s">
        <v>166</v>
      </c>
      <c r="S220" s="266" t="s">
        <v>166</v>
      </c>
      <c r="T220" s="496"/>
    </row>
    <row r="221">
      <c r="A221" s="494" t="s">
        <v>1664</v>
      </c>
      <c r="B221" s="495" t="s">
        <v>3391</v>
      </c>
      <c r="C221" s="452" t="str">
        <f t="shared" si="45"/>
        <v>PowerColor</v>
      </c>
      <c r="D221" s="452" t="s">
        <v>3653</v>
      </c>
      <c r="E221" s="266">
        <v>251.2</v>
      </c>
      <c r="F221" s="266">
        <v>132.8</v>
      </c>
      <c r="G221" s="266">
        <v>53.6</v>
      </c>
      <c r="H221" s="266">
        <v>2.0</v>
      </c>
      <c r="I221" s="266">
        <v>2694.0</v>
      </c>
      <c r="J221" s="266">
        <v>17.5</v>
      </c>
      <c r="K221" s="266">
        <v>180.0</v>
      </c>
      <c r="L221" s="266" t="s">
        <v>3361</v>
      </c>
      <c r="M221" s="266">
        <v>2.0</v>
      </c>
      <c r="N221" s="266">
        <v>3.0</v>
      </c>
      <c r="O221" s="266">
        <v>1.0</v>
      </c>
      <c r="P221" s="266" t="s">
        <v>166</v>
      </c>
      <c r="Q221" s="266" t="s">
        <v>166</v>
      </c>
      <c r="R221" s="266" t="s">
        <v>166</v>
      </c>
      <c r="S221" s="266" t="s">
        <v>166</v>
      </c>
      <c r="T221" s="496"/>
    </row>
    <row r="222">
      <c r="A222" s="494" t="s">
        <v>1664</v>
      </c>
      <c r="B222" s="495" t="s">
        <v>3391</v>
      </c>
      <c r="C222" s="452" t="str">
        <f t="shared" ref="C222:C223" si="46">HYPERLINK("https://www.sapphiretech.com/","Sapphire")</f>
        <v>Sapphire</v>
      </c>
      <c r="D222" s="452" t="s">
        <v>3376</v>
      </c>
      <c r="E222" s="266">
        <v>240.0</v>
      </c>
      <c r="F222" s="266">
        <v>119.85</v>
      </c>
      <c r="G222" s="266">
        <v>44.75</v>
      </c>
      <c r="H222" s="266">
        <v>2.0</v>
      </c>
      <c r="I222" s="266">
        <v>2635.0</v>
      </c>
      <c r="J222" s="266">
        <v>17.5</v>
      </c>
      <c r="K222" s="266">
        <v>176.0</v>
      </c>
      <c r="L222" s="266">
        <v>8.0</v>
      </c>
      <c r="M222" s="266">
        <v>2.0</v>
      </c>
      <c r="N222" s="266">
        <v>3.0</v>
      </c>
      <c r="O222" s="266">
        <v>1.0</v>
      </c>
      <c r="P222" s="266" t="s">
        <v>166</v>
      </c>
      <c r="Q222" s="266" t="s">
        <v>166</v>
      </c>
      <c r="R222" s="266" t="s">
        <v>166</v>
      </c>
      <c r="S222" s="266" t="s">
        <v>166</v>
      </c>
      <c r="T222" s="496"/>
    </row>
    <row r="223">
      <c r="A223" s="494" t="s">
        <v>1664</v>
      </c>
      <c r="B223" s="495" t="s">
        <v>3391</v>
      </c>
      <c r="C223" s="452" t="str">
        <f t="shared" si="46"/>
        <v>Sapphire</v>
      </c>
      <c r="D223" s="452" t="s">
        <v>3680</v>
      </c>
      <c r="E223" s="266">
        <v>260.0</v>
      </c>
      <c r="F223" s="266">
        <v>130.0</v>
      </c>
      <c r="G223" s="266">
        <v>57.57</v>
      </c>
      <c r="H223" s="266">
        <v>2.0</v>
      </c>
      <c r="I223" s="266">
        <v>2694.0</v>
      </c>
      <c r="J223" s="266">
        <v>17.5</v>
      </c>
      <c r="K223" s="266">
        <v>203.0</v>
      </c>
      <c r="L223" s="266">
        <v>8.0</v>
      </c>
      <c r="M223" s="266">
        <v>2.0</v>
      </c>
      <c r="N223" s="266">
        <v>3.0</v>
      </c>
      <c r="O223" s="266">
        <v>1.0</v>
      </c>
      <c r="P223" s="266" t="s">
        <v>166</v>
      </c>
      <c r="Q223" s="266" t="s">
        <v>166</v>
      </c>
      <c r="R223" s="266" t="s">
        <v>166</v>
      </c>
      <c r="S223" s="266" t="s">
        <v>166</v>
      </c>
      <c r="T223" s="496"/>
    </row>
    <row r="224">
      <c r="A224" s="494" t="s">
        <v>1664</v>
      </c>
      <c r="B224" s="495" t="s">
        <v>3391</v>
      </c>
      <c r="C224" s="452" t="str">
        <f t="shared" ref="C224:C226" si="47">HYPERLINK("https://www.xfxforce.com/","XFX")</f>
        <v>XFX</v>
      </c>
      <c r="D224" s="537" t="s">
        <v>3696</v>
      </c>
      <c r="E224" s="266">
        <v>241.0</v>
      </c>
      <c r="F224" s="266">
        <v>131.0</v>
      </c>
      <c r="G224" s="266">
        <v>41.0</v>
      </c>
      <c r="H224" s="266">
        <v>2.0</v>
      </c>
      <c r="I224" s="266">
        <v>2635.0</v>
      </c>
      <c r="J224" s="266">
        <v>17.5</v>
      </c>
      <c r="K224" s="266">
        <v>180.0</v>
      </c>
      <c r="L224" s="266">
        <v>8.0</v>
      </c>
      <c r="M224" s="266">
        <v>2.0</v>
      </c>
      <c r="N224" s="266">
        <v>3.0</v>
      </c>
      <c r="O224" s="266">
        <v>1.0</v>
      </c>
      <c r="P224" s="266" t="s">
        <v>166</v>
      </c>
      <c r="Q224" s="266" t="s">
        <v>166</v>
      </c>
      <c r="R224" s="266" t="s">
        <v>166</v>
      </c>
      <c r="S224" s="266" t="s">
        <v>166</v>
      </c>
      <c r="T224" s="496"/>
    </row>
    <row r="225">
      <c r="A225" s="494" t="s">
        <v>1664</v>
      </c>
      <c r="B225" s="495" t="s">
        <v>3391</v>
      </c>
      <c r="C225" s="452" t="str">
        <f t="shared" si="47"/>
        <v>XFX</v>
      </c>
      <c r="D225" s="452" t="s">
        <v>3705</v>
      </c>
      <c r="E225" s="266">
        <v>274.0</v>
      </c>
      <c r="F225" s="266">
        <v>114.0</v>
      </c>
      <c r="G225" s="266">
        <v>50.0</v>
      </c>
      <c r="H225" s="266">
        <v>2.0</v>
      </c>
      <c r="I225" s="266">
        <v>2689.0</v>
      </c>
      <c r="J225" s="266">
        <v>17.5</v>
      </c>
      <c r="K225" s="266">
        <v>180.0</v>
      </c>
      <c r="L225" s="266">
        <v>8.0</v>
      </c>
      <c r="M225" s="266">
        <v>3.0</v>
      </c>
      <c r="N225" s="266">
        <v>3.0</v>
      </c>
      <c r="O225" s="266">
        <v>1.0</v>
      </c>
      <c r="P225" s="266" t="s">
        <v>166</v>
      </c>
      <c r="Q225" s="266" t="s">
        <v>166</v>
      </c>
      <c r="R225" s="266" t="s">
        <v>166</v>
      </c>
      <c r="S225" s="266" t="s">
        <v>166</v>
      </c>
      <c r="T225" s="496"/>
    </row>
    <row r="226">
      <c r="A226" s="494" t="s">
        <v>1664</v>
      </c>
      <c r="B226" s="495" t="s">
        <v>3391</v>
      </c>
      <c r="C226" s="452" t="str">
        <f t="shared" si="47"/>
        <v>XFX</v>
      </c>
      <c r="D226" s="452" t="s">
        <v>3699</v>
      </c>
      <c r="E226" s="266">
        <v>274.0</v>
      </c>
      <c r="F226" s="266">
        <v>114.0</v>
      </c>
      <c r="G226" s="266">
        <v>50.0</v>
      </c>
      <c r="H226" s="266">
        <v>2.0</v>
      </c>
      <c r="I226" s="266">
        <v>2694.0</v>
      </c>
      <c r="J226" s="266">
        <v>17.5</v>
      </c>
      <c r="K226" s="266">
        <v>180.0</v>
      </c>
      <c r="L226" s="266">
        <v>8.0</v>
      </c>
      <c r="M226" s="266">
        <v>3.0</v>
      </c>
      <c r="N226" s="266">
        <v>3.0</v>
      </c>
      <c r="O226" s="266">
        <v>1.0</v>
      </c>
      <c r="P226" s="266" t="s">
        <v>166</v>
      </c>
      <c r="Q226" s="266" t="s">
        <v>166</v>
      </c>
      <c r="R226" s="266" t="s">
        <v>166</v>
      </c>
      <c r="S226" s="266" t="s">
        <v>166</v>
      </c>
      <c r="T226" s="496"/>
    </row>
    <row r="227">
      <c r="A227" s="498" t="s">
        <v>1664</v>
      </c>
      <c r="B227" s="499" t="s">
        <v>3391</v>
      </c>
      <c r="C227" s="500" t="s">
        <v>3378</v>
      </c>
      <c r="D227" s="500" t="s">
        <v>3700</v>
      </c>
      <c r="E227" s="501">
        <v>306.0</v>
      </c>
      <c r="F227" s="501">
        <v>120.0</v>
      </c>
      <c r="G227" s="501">
        <v>53.0</v>
      </c>
      <c r="H227" s="501">
        <v>2.0</v>
      </c>
      <c r="I227" s="501">
        <v>2694.0</v>
      </c>
      <c r="J227" s="501">
        <v>17.5</v>
      </c>
      <c r="K227" s="501">
        <v>180.0</v>
      </c>
      <c r="L227" s="501">
        <v>8.0</v>
      </c>
      <c r="M227" s="501">
        <v>3.0</v>
      </c>
      <c r="N227" s="501">
        <v>3.0</v>
      </c>
      <c r="O227" s="501">
        <v>1.0</v>
      </c>
      <c r="P227" s="501" t="s">
        <v>166</v>
      </c>
      <c r="Q227" s="501" t="s">
        <v>166</v>
      </c>
      <c r="R227" s="501" t="s">
        <v>166</v>
      </c>
      <c r="S227" s="501" t="s">
        <v>166</v>
      </c>
      <c r="T227" s="503"/>
    </row>
    <row r="228">
      <c r="A228" s="504" t="s">
        <v>1664</v>
      </c>
      <c r="B228" s="505" t="s">
        <v>3706</v>
      </c>
      <c r="C228" s="452" t="str">
        <f>HYPERLINK("https://www.powercolor.com/","PowerColor")</f>
        <v>PowerColor</v>
      </c>
      <c r="D228" s="506" t="s">
        <v>3384</v>
      </c>
      <c r="E228" s="507">
        <v>228.0</v>
      </c>
      <c r="F228" s="507">
        <v>109.0</v>
      </c>
      <c r="G228" s="507">
        <v>32.0</v>
      </c>
      <c r="H228" s="507">
        <v>2.0</v>
      </c>
      <c r="I228" s="507">
        <v>2495.0</v>
      </c>
      <c r="J228" s="507">
        <v>16.0</v>
      </c>
      <c r="K228" s="507">
        <v>175.0</v>
      </c>
      <c r="L228" s="507" t="s">
        <v>3361</v>
      </c>
      <c r="M228" s="507">
        <v>2.0</v>
      </c>
      <c r="N228" s="507">
        <v>3.0</v>
      </c>
      <c r="O228" s="507">
        <v>1.0</v>
      </c>
      <c r="P228" s="507" t="s">
        <v>166</v>
      </c>
      <c r="Q228" s="507" t="s">
        <v>166</v>
      </c>
      <c r="R228" s="508" t="s">
        <v>166</v>
      </c>
      <c r="S228" s="508" t="s">
        <v>166</v>
      </c>
      <c r="T228" s="509"/>
    </row>
    <row r="229">
      <c r="A229" s="504" t="s">
        <v>1664</v>
      </c>
      <c r="B229" s="505" t="s">
        <v>3706</v>
      </c>
      <c r="C229" s="452" t="str">
        <f t="shared" ref="C229:C230" si="48">HYPERLINK("https://www.sapphiretech.com/","Sapphire")</f>
        <v>Sapphire</v>
      </c>
      <c r="D229" s="506" t="s">
        <v>3707</v>
      </c>
      <c r="E229" s="507">
        <v>242.0</v>
      </c>
      <c r="F229" s="507">
        <v>119.85</v>
      </c>
      <c r="G229" s="507">
        <v>41.0</v>
      </c>
      <c r="H229" s="507">
        <v>2.0</v>
      </c>
      <c r="I229" s="507">
        <v>2495.0</v>
      </c>
      <c r="J229" s="507">
        <v>16.0</v>
      </c>
      <c r="K229" s="507">
        <v>220.0</v>
      </c>
      <c r="L229" s="507">
        <v>8.0</v>
      </c>
      <c r="M229" s="507">
        <v>2.0</v>
      </c>
      <c r="N229" s="507">
        <v>3.0</v>
      </c>
      <c r="O229" s="507">
        <v>1.0</v>
      </c>
      <c r="P229" s="507" t="s">
        <v>166</v>
      </c>
      <c r="Q229" s="507" t="s">
        <v>166</v>
      </c>
      <c r="R229" s="508" t="s">
        <v>166</v>
      </c>
      <c r="S229" s="508" t="s">
        <v>166</v>
      </c>
      <c r="T229" s="509"/>
    </row>
    <row r="230">
      <c r="A230" s="538" t="s">
        <v>1664</v>
      </c>
      <c r="B230" s="539" t="s">
        <v>3706</v>
      </c>
      <c r="C230" s="500" t="str">
        <f t="shared" si="48"/>
        <v>Sapphire</v>
      </c>
      <c r="D230" s="391" t="s">
        <v>3376</v>
      </c>
      <c r="E230" s="519">
        <v>260.0</v>
      </c>
      <c r="F230" s="519">
        <v>119.85</v>
      </c>
      <c r="G230" s="519">
        <v>49.0</v>
      </c>
      <c r="H230" s="519">
        <v>2.0</v>
      </c>
      <c r="I230" s="519">
        <v>2495.0</v>
      </c>
      <c r="J230" s="519">
        <v>16.0</v>
      </c>
      <c r="K230" s="519">
        <v>220.0</v>
      </c>
      <c r="L230" s="519">
        <v>8.0</v>
      </c>
      <c r="M230" s="519">
        <v>2.0</v>
      </c>
      <c r="N230" s="519">
        <v>3.0</v>
      </c>
      <c r="O230" s="519">
        <v>1.0</v>
      </c>
      <c r="P230" s="519" t="s">
        <v>166</v>
      </c>
      <c r="Q230" s="519" t="s">
        <v>166</v>
      </c>
      <c r="R230" s="540" t="s">
        <v>166</v>
      </c>
      <c r="S230" s="540" t="s">
        <v>166</v>
      </c>
      <c r="T230" s="541"/>
    </row>
    <row r="231">
      <c r="A231" s="504" t="s">
        <v>1664</v>
      </c>
      <c r="B231" s="505" t="s">
        <v>3708</v>
      </c>
      <c r="C231" s="506" t="str">
        <f>HYPERLINK("https://www.amd.com/en","AMD")</f>
        <v>AMD</v>
      </c>
      <c r="D231" s="506" t="s">
        <v>3709</v>
      </c>
      <c r="E231" s="507">
        <v>267.0</v>
      </c>
      <c r="F231" s="507">
        <v>110.0</v>
      </c>
      <c r="G231" s="507">
        <v>40.0</v>
      </c>
      <c r="H231" s="507">
        <v>2.0</v>
      </c>
      <c r="I231" s="507">
        <v>2581.0</v>
      </c>
      <c r="J231" s="507">
        <v>16.0</v>
      </c>
      <c r="K231" s="507">
        <v>230.0</v>
      </c>
      <c r="L231" s="507" t="s">
        <v>3361</v>
      </c>
      <c r="M231" s="507">
        <v>2.0</v>
      </c>
      <c r="N231" s="507">
        <v>3.0</v>
      </c>
      <c r="O231" s="507">
        <v>1.0</v>
      </c>
      <c r="P231" s="507" t="s">
        <v>166</v>
      </c>
      <c r="Q231" s="507" t="s">
        <v>166</v>
      </c>
      <c r="R231" s="508" t="s">
        <v>166</v>
      </c>
      <c r="S231" s="508" t="s">
        <v>166</v>
      </c>
      <c r="T231" s="509"/>
    </row>
    <row r="232">
      <c r="A232" s="494" t="s">
        <v>1664</v>
      </c>
      <c r="B232" s="495" t="s">
        <v>3708</v>
      </c>
      <c r="C232" s="452" t="str">
        <f t="shared" ref="C232:C236" si="49">HYPERLINK("https://www.asrock.com/","ASRock")</f>
        <v>ASRock</v>
      </c>
      <c r="D232" s="452" t="s">
        <v>3709</v>
      </c>
      <c r="E232" s="266">
        <v>267.0</v>
      </c>
      <c r="F232" s="266">
        <v>110.0</v>
      </c>
      <c r="G232" s="266">
        <v>40.0</v>
      </c>
      <c r="H232" s="266">
        <v>2.0</v>
      </c>
      <c r="I232" s="266">
        <v>2581.0</v>
      </c>
      <c r="J232" s="266">
        <v>16.0</v>
      </c>
      <c r="K232" s="266">
        <v>230.0</v>
      </c>
      <c r="L232" s="266" t="s">
        <v>3361</v>
      </c>
      <c r="M232" s="266">
        <v>2.0</v>
      </c>
      <c r="N232" s="266">
        <v>3.0</v>
      </c>
      <c r="O232" s="266">
        <v>1.0</v>
      </c>
      <c r="P232" s="266" t="s">
        <v>166</v>
      </c>
      <c r="Q232" s="266" t="s">
        <v>166</v>
      </c>
      <c r="R232" s="497" t="s">
        <v>166</v>
      </c>
      <c r="S232" s="497" t="s">
        <v>166</v>
      </c>
      <c r="T232" s="496"/>
    </row>
    <row r="233">
      <c r="A233" s="494" t="s">
        <v>1664</v>
      </c>
      <c r="B233" s="495" t="s">
        <v>3708</v>
      </c>
      <c r="C233" s="452" t="str">
        <f t="shared" si="49"/>
        <v>ASRock</v>
      </c>
      <c r="D233" s="452" t="s">
        <v>3692</v>
      </c>
      <c r="E233" s="266">
        <v>269.0</v>
      </c>
      <c r="F233" s="266">
        <v>134.0</v>
      </c>
      <c r="G233" s="266">
        <v>41.0</v>
      </c>
      <c r="H233" s="266">
        <v>2.0</v>
      </c>
      <c r="I233" s="266">
        <v>2581.0</v>
      </c>
      <c r="J233" s="266">
        <v>16.0</v>
      </c>
      <c r="K233" s="266">
        <v>230.0</v>
      </c>
      <c r="L233" s="266" t="s">
        <v>3460</v>
      </c>
      <c r="M233" s="266">
        <v>2.0</v>
      </c>
      <c r="N233" s="266">
        <v>3.0</v>
      </c>
      <c r="O233" s="266">
        <v>1.0</v>
      </c>
      <c r="P233" s="266" t="s">
        <v>166</v>
      </c>
      <c r="Q233" s="266" t="s">
        <v>166</v>
      </c>
      <c r="R233" s="497" t="s">
        <v>166</v>
      </c>
      <c r="S233" s="497" t="s">
        <v>166</v>
      </c>
      <c r="T233" s="496"/>
    </row>
    <row r="234">
      <c r="A234" s="494" t="s">
        <v>1664</v>
      </c>
      <c r="B234" s="495" t="s">
        <v>3708</v>
      </c>
      <c r="C234" s="452" t="str">
        <f t="shared" si="49"/>
        <v>ASRock</v>
      </c>
      <c r="D234" s="452" t="s">
        <v>3636</v>
      </c>
      <c r="E234" s="266">
        <v>269.0</v>
      </c>
      <c r="F234" s="266">
        <v>134.0</v>
      </c>
      <c r="G234" s="266">
        <v>41.0</v>
      </c>
      <c r="H234" s="266">
        <v>2.0</v>
      </c>
      <c r="I234" s="266">
        <v>2615.0</v>
      </c>
      <c r="J234" s="266">
        <v>16.0</v>
      </c>
      <c r="K234" s="266">
        <v>230.0</v>
      </c>
      <c r="L234" s="266" t="s">
        <v>3460</v>
      </c>
      <c r="M234" s="266">
        <v>2.0</v>
      </c>
      <c r="N234" s="266">
        <v>3.0</v>
      </c>
      <c r="O234" s="266">
        <v>1.0</v>
      </c>
      <c r="P234" s="266" t="s">
        <v>166</v>
      </c>
      <c r="Q234" s="266" t="s">
        <v>166</v>
      </c>
      <c r="R234" s="497" t="s">
        <v>166</v>
      </c>
      <c r="S234" s="497" t="s">
        <v>166</v>
      </c>
      <c r="T234" s="496"/>
    </row>
    <row r="235">
      <c r="A235" s="494" t="s">
        <v>1664</v>
      </c>
      <c r="B235" s="495" t="s">
        <v>3708</v>
      </c>
      <c r="C235" s="452" t="str">
        <f t="shared" si="49"/>
        <v>ASRock</v>
      </c>
      <c r="D235" s="452" t="s">
        <v>3637</v>
      </c>
      <c r="E235" s="266">
        <v>303.0</v>
      </c>
      <c r="F235" s="266">
        <v>131.0</v>
      </c>
      <c r="G235" s="266">
        <v>45.0</v>
      </c>
      <c r="H235" s="266">
        <v>2.0</v>
      </c>
      <c r="I235" s="266">
        <v>2620.0</v>
      </c>
      <c r="J235" s="266">
        <v>16.0</v>
      </c>
      <c r="K235" s="266">
        <v>230.0</v>
      </c>
      <c r="L235" s="266" t="s">
        <v>3460</v>
      </c>
      <c r="M235" s="266">
        <v>3.0</v>
      </c>
      <c r="N235" s="266">
        <v>3.0</v>
      </c>
      <c r="O235" s="266">
        <v>1.0</v>
      </c>
      <c r="P235" s="266" t="s">
        <v>166</v>
      </c>
      <c r="Q235" s="266" t="s">
        <v>166</v>
      </c>
      <c r="R235" s="497" t="s">
        <v>166</v>
      </c>
      <c r="S235" s="497" t="s">
        <v>166</v>
      </c>
      <c r="T235" s="496"/>
    </row>
    <row r="236">
      <c r="A236" s="494" t="s">
        <v>1664</v>
      </c>
      <c r="B236" s="495" t="s">
        <v>3708</v>
      </c>
      <c r="C236" s="452" t="str">
        <f t="shared" si="49"/>
        <v>ASRock</v>
      </c>
      <c r="D236" s="452" t="s">
        <v>3657</v>
      </c>
      <c r="E236" s="266">
        <v>305.0</v>
      </c>
      <c r="F236" s="266">
        <v>131.0</v>
      </c>
      <c r="G236" s="266">
        <v>55.0</v>
      </c>
      <c r="H236" s="266">
        <v>2.0</v>
      </c>
      <c r="I236" s="266">
        <v>2622.0</v>
      </c>
      <c r="J236" s="266">
        <v>16.0</v>
      </c>
      <c r="K236" s="266">
        <v>230.0</v>
      </c>
      <c r="L236" s="266" t="s">
        <v>3460</v>
      </c>
      <c r="M236" s="266">
        <v>3.0</v>
      </c>
      <c r="N236" s="266">
        <v>3.0</v>
      </c>
      <c r="O236" s="266">
        <v>1.0</v>
      </c>
      <c r="P236" s="266" t="s">
        <v>166</v>
      </c>
      <c r="Q236" s="266" t="s">
        <v>166</v>
      </c>
      <c r="R236" s="497" t="s">
        <v>166</v>
      </c>
      <c r="S236" s="497" t="s">
        <v>166</v>
      </c>
      <c r="T236" s="496"/>
    </row>
    <row r="237">
      <c r="A237" s="494" t="s">
        <v>1664</v>
      </c>
      <c r="B237" s="495" t="s">
        <v>3708</v>
      </c>
      <c r="C237" s="174" t="str">
        <f t="shared" ref="C237:C241" si="50">HYPERLINK("https://www.asus.com/","Asus")</f>
        <v>Asus</v>
      </c>
      <c r="D237" s="452" t="s">
        <v>3709</v>
      </c>
      <c r="E237" s="266">
        <v>266.7</v>
      </c>
      <c r="F237" s="266">
        <v>110.15</v>
      </c>
      <c r="G237" s="266">
        <v>39.75</v>
      </c>
      <c r="H237" s="266">
        <v>2.0</v>
      </c>
      <c r="I237" s="266">
        <v>2581.0</v>
      </c>
      <c r="J237" s="266">
        <v>16.0</v>
      </c>
      <c r="K237" s="266">
        <v>230.0</v>
      </c>
      <c r="L237" s="266" t="s">
        <v>3361</v>
      </c>
      <c r="M237" s="266">
        <v>2.0</v>
      </c>
      <c r="N237" s="266">
        <v>3.0</v>
      </c>
      <c r="O237" s="266">
        <v>1.0</v>
      </c>
      <c r="P237" s="266" t="s">
        <v>166</v>
      </c>
      <c r="Q237" s="266" t="s">
        <v>166</v>
      </c>
      <c r="R237" s="497" t="s">
        <v>166</v>
      </c>
      <c r="S237" s="497" t="s">
        <v>166</v>
      </c>
      <c r="T237" s="496"/>
    </row>
    <row r="238">
      <c r="A238" s="494" t="s">
        <v>1664</v>
      </c>
      <c r="B238" s="495" t="s">
        <v>3708</v>
      </c>
      <c r="C238" s="174" t="str">
        <f t="shared" si="50"/>
        <v>Asus</v>
      </c>
      <c r="D238" s="452" t="s">
        <v>3372</v>
      </c>
      <c r="E238" s="266">
        <v>295.0</v>
      </c>
      <c r="F238" s="266">
        <v>139.0</v>
      </c>
      <c r="G238" s="266">
        <v>55.0</v>
      </c>
      <c r="H238" s="266">
        <v>2.0</v>
      </c>
      <c r="I238" s="266">
        <v>2581.0</v>
      </c>
      <c r="J238" s="266">
        <v>16.0</v>
      </c>
      <c r="K238" s="266">
        <v>230.0</v>
      </c>
      <c r="L238" s="266" t="s">
        <v>3361</v>
      </c>
      <c r="M238" s="266">
        <v>2.0</v>
      </c>
      <c r="N238" s="266">
        <v>3.0</v>
      </c>
      <c r="O238" s="266">
        <v>1.0</v>
      </c>
      <c r="P238" s="266" t="s">
        <v>166</v>
      </c>
      <c r="Q238" s="266" t="s">
        <v>166</v>
      </c>
      <c r="R238" s="497" t="s">
        <v>166</v>
      </c>
      <c r="S238" s="497" t="s">
        <v>166</v>
      </c>
      <c r="T238" s="496"/>
    </row>
    <row r="239">
      <c r="A239" s="494" t="s">
        <v>1664</v>
      </c>
      <c r="B239" s="495" t="s">
        <v>3708</v>
      </c>
      <c r="C239" s="174" t="str">
        <f t="shared" si="50"/>
        <v>Asus</v>
      </c>
      <c r="D239" s="452" t="s">
        <v>3381</v>
      </c>
      <c r="E239" s="266">
        <v>295.0</v>
      </c>
      <c r="F239" s="266">
        <v>139.0</v>
      </c>
      <c r="G239" s="266">
        <v>55.0</v>
      </c>
      <c r="H239" s="266">
        <v>2.0</v>
      </c>
      <c r="I239" s="266">
        <v>2622.0</v>
      </c>
      <c r="J239" s="266">
        <v>16.0</v>
      </c>
      <c r="K239" s="266">
        <v>230.0</v>
      </c>
      <c r="L239" s="266" t="s">
        <v>3361</v>
      </c>
      <c r="M239" s="266">
        <v>2.0</v>
      </c>
      <c r="N239" s="266">
        <v>3.0</v>
      </c>
      <c r="O239" s="266">
        <v>1.0</v>
      </c>
      <c r="P239" s="266" t="s">
        <v>166</v>
      </c>
      <c r="Q239" s="266" t="s">
        <v>166</v>
      </c>
      <c r="R239" s="497" t="s">
        <v>166</v>
      </c>
      <c r="S239" s="497" t="s">
        <v>166</v>
      </c>
      <c r="T239" s="496"/>
    </row>
    <row r="240">
      <c r="A240" s="494" t="s">
        <v>1664</v>
      </c>
      <c r="B240" s="495" t="s">
        <v>3708</v>
      </c>
      <c r="C240" s="174" t="str">
        <f t="shared" si="50"/>
        <v>Asus</v>
      </c>
      <c r="D240" s="452" t="s">
        <v>3478</v>
      </c>
      <c r="E240" s="266">
        <v>322.0</v>
      </c>
      <c r="F240" s="266">
        <v>152.0</v>
      </c>
      <c r="G240" s="266">
        <v>58.0</v>
      </c>
      <c r="H240" s="266">
        <v>2.0</v>
      </c>
      <c r="I240" s="266">
        <v>2622.0</v>
      </c>
      <c r="J240" s="266">
        <v>16.0</v>
      </c>
      <c r="K240" s="266">
        <v>230.0</v>
      </c>
      <c r="L240" s="266" t="s">
        <v>3460</v>
      </c>
      <c r="M240" s="266">
        <v>3.0</v>
      </c>
      <c r="N240" s="266">
        <v>3.0</v>
      </c>
      <c r="O240" s="266">
        <v>1.0</v>
      </c>
      <c r="P240" s="266" t="s">
        <v>166</v>
      </c>
      <c r="Q240" s="266" t="s">
        <v>166</v>
      </c>
      <c r="R240" s="497" t="s">
        <v>166</v>
      </c>
      <c r="S240" s="497" t="s">
        <v>166</v>
      </c>
      <c r="T240" s="496"/>
    </row>
    <row r="241">
      <c r="A241" s="494" t="s">
        <v>1664</v>
      </c>
      <c r="B241" s="495" t="s">
        <v>3708</v>
      </c>
      <c r="C241" s="174" t="str">
        <f t="shared" si="50"/>
        <v>Asus</v>
      </c>
      <c r="D241" s="452" t="s">
        <v>3643</v>
      </c>
      <c r="E241" s="266">
        <v>322.0</v>
      </c>
      <c r="F241" s="266">
        <v>141.0</v>
      </c>
      <c r="G241" s="266">
        <v>56.5</v>
      </c>
      <c r="H241" s="266">
        <v>2.0</v>
      </c>
      <c r="I241" s="266">
        <v>2622.0</v>
      </c>
      <c r="J241" s="266">
        <v>16.0</v>
      </c>
      <c r="K241" s="266">
        <v>230.0</v>
      </c>
      <c r="L241" s="266" t="s">
        <v>3460</v>
      </c>
      <c r="M241" s="266">
        <v>3.0</v>
      </c>
      <c r="N241" s="266">
        <v>3.0</v>
      </c>
      <c r="O241" s="266">
        <v>1.0</v>
      </c>
      <c r="P241" s="266" t="s">
        <v>166</v>
      </c>
      <c r="Q241" s="266" t="s">
        <v>166</v>
      </c>
      <c r="R241" s="497" t="s">
        <v>166</v>
      </c>
      <c r="S241" s="497" t="s">
        <v>166</v>
      </c>
      <c r="T241" s="496"/>
    </row>
    <row r="242">
      <c r="A242" s="494" t="s">
        <v>1664</v>
      </c>
      <c r="B242" s="495" t="s">
        <v>3708</v>
      </c>
      <c r="C242" s="174" t="s">
        <v>3627</v>
      </c>
      <c r="D242" s="452" t="s">
        <v>3709</v>
      </c>
      <c r="E242" s="266">
        <v>267.0</v>
      </c>
      <c r="F242" s="266">
        <v>110.0</v>
      </c>
      <c r="G242" s="266">
        <v>40.0</v>
      </c>
      <c r="H242" s="266">
        <v>2.0</v>
      </c>
      <c r="I242" s="266">
        <v>2615.0</v>
      </c>
      <c r="J242" s="266">
        <v>16.0</v>
      </c>
      <c r="K242" s="266">
        <v>230.0</v>
      </c>
      <c r="L242" s="266" t="s">
        <v>3361</v>
      </c>
      <c r="M242" s="266">
        <v>2.0</v>
      </c>
      <c r="N242" s="266">
        <v>3.0</v>
      </c>
      <c r="O242" s="266">
        <v>1.0</v>
      </c>
      <c r="P242" s="266" t="s">
        <v>166</v>
      </c>
      <c r="Q242" s="266" t="s">
        <v>166</v>
      </c>
      <c r="R242" s="497" t="s">
        <v>166</v>
      </c>
      <c r="S242" s="497" t="s">
        <v>166</v>
      </c>
      <c r="T242" s="496"/>
    </row>
    <row r="243">
      <c r="A243" s="494" t="s">
        <v>1664</v>
      </c>
      <c r="B243" s="495" t="s">
        <v>3708</v>
      </c>
      <c r="C243" s="174" t="s">
        <v>3627</v>
      </c>
      <c r="D243" s="452" t="s">
        <v>3689</v>
      </c>
      <c r="E243" s="266">
        <v>268.0</v>
      </c>
      <c r="F243" s="266">
        <v>123.0</v>
      </c>
      <c r="G243" s="266">
        <v>51.0</v>
      </c>
      <c r="H243" s="266">
        <v>2.0</v>
      </c>
      <c r="I243" s="266">
        <v>2581.0</v>
      </c>
      <c r="J243" s="266">
        <v>16.0</v>
      </c>
      <c r="K243" s="266">
        <v>230.0</v>
      </c>
      <c r="L243" s="266" t="s">
        <v>3361</v>
      </c>
      <c r="M243" s="266">
        <v>2.0</v>
      </c>
      <c r="N243" s="266">
        <v>3.0</v>
      </c>
      <c r="O243" s="266">
        <v>1.0</v>
      </c>
      <c r="P243" s="266" t="s">
        <v>166</v>
      </c>
      <c r="Q243" s="266" t="s">
        <v>166</v>
      </c>
      <c r="R243" s="497" t="s">
        <v>166</v>
      </c>
      <c r="S243" s="497" t="s">
        <v>166</v>
      </c>
      <c r="T243" s="496"/>
    </row>
    <row r="244">
      <c r="A244" s="494" t="s">
        <v>1664</v>
      </c>
      <c r="B244" s="495" t="s">
        <v>3708</v>
      </c>
      <c r="C244" s="174" t="s">
        <v>3627</v>
      </c>
      <c r="D244" s="452" t="s">
        <v>3710</v>
      </c>
      <c r="E244" s="266">
        <v>310.0</v>
      </c>
      <c r="F244" s="266">
        <v>127.0</v>
      </c>
      <c r="G244" s="266">
        <v>48.0</v>
      </c>
      <c r="H244" s="266">
        <v>2.0</v>
      </c>
      <c r="I244" s="266">
        <v>2622.0</v>
      </c>
      <c r="J244" s="266">
        <v>16.0</v>
      </c>
      <c r="K244" s="266">
        <v>230.0</v>
      </c>
      <c r="L244" s="266" t="s">
        <v>3361</v>
      </c>
      <c r="M244" s="266">
        <v>3.0</v>
      </c>
      <c r="N244" s="266">
        <v>3.0</v>
      </c>
      <c r="O244" s="266">
        <v>1.0</v>
      </c>
      <c r="P244" s="266" t="s">
        <v>166</v>
      </c>
      <c r="Q244" s="266" t="s">
        <v>166</v>
      </c>
      <c r="R244" s="497" t="s">
        <v>166</v>
      </c>
      <c r="S244" s="497" t="s">
        <v>166</v>
      </c>
      <c r="T244" s="496"/>
    </row>
    <row r="245">
      <c r="A245" s="494" t="s">
        <v>1664</v>
      </c>
      <c r="B245" s="495" t="s">
        <v>3708</v>
      </c>
      <c r="C245" s="174" t="str">
        <f t="shared" ref="C245:C249" si="51">HYPERLINK("https://www.gigabyte.com/","Gigabyte")</f>
        <v>Gigabyte</v>
      </c>
      <c r="D245" s="452" t="s">
        <v>3709</v>
      </c>
      <c r="E245" s="266">
        <v>267.0</v>
      </c>
      <c r="F245" s="266">
        <v>110.0</v>
      </c>
      <c r="G245" s="266">
        <v>40.0</v>
      </c>
      <c r="H245" s="266">
        <v>2.0</v>
      </c>
      <c r="I245" s="266">
        <v>2581.0</v>
      </c>
      <c r="J245" s="266">
        <v>16.0</v>
      </c>
      <c r="K245" s="266">
        <v>230.0</v>
      </c>
      <c r="L245" s="266" t="s">
        <v>3361</v>
      </c>
      <c r="M245" s="266">
        <v>2.0</v>
      </c>
      <c r="N245" s="266">
        <v>3.0</v>
      </c>
      <c r="O245" s="266">
        <v>1.0</v>
      </c>
      <c r="P245" s="266" t="s">
        <v>166</v>
      </c>
      <c r="Q245" s="266" t="s">
        <v>166</v>
      </c>
      <c r="R245" s="497" t="s">
        <v>166</v>
      </c>
      <c r="S245" s="497" t="s">
        <v>166</v>
      </c>
      <c r="T245" s="496"/>
    </row>
    <row r="246">
      <c r="A246" s="494" t="s">
        <v>1664</v>
      </c>
      <c r="B246" s="495" t="s">
        <v>3708</v>
      </c>
      <c r="C246" s="174" t="str">
        <f t="shared" si="51"/>
        <v>Gigabyte</v>
      </c>
      <c r="D246" s="452" t="s">
        <v>3374</v>
      </c>
      <c r="E246" s="266">
        <v>282.0</v>
      </c>
      <c r="F246" s="266">
        <v>113.0</v>
      </c>
      <c r="G246" s="266">
        <v>40.0</v>
      </c>
      <c r="H246" s="266">
        <v>2.0</v>
      </c>
      <c r="I246" s="266">
        <v>2581.0</v>
      </c>
      <c r="J246" s="266">
        <v>16.0</v>
      </c>
      <c r="K246" s="266">
        <v>230.0</v>
      </c>
      <c r="L246" s="266" t="s">
        <v>3361</v>
      </c>
      <c r="M246" s="266">
        <v>3.0</v>
      </c>
      <c r="N246" s="266">
        <v>2.0</v>
      </c>
      <c r="O246" s="266">
        <v>2.0</v>
      </c>
      <c r="P246" s="266" t="s">
        <v>166</v>
      </c>
      <c r="Q246" s="266" t="s">
        <v>166</v>
      </c>
      <c r="R246" s="497" t="s">
        <v>166</v>
      </c>
      <c r="S246" s="497" t="s">
        <v>166</v>
      </c>
      <c r="T246" s="496"/>
    </row>
    <row r="247">
      <c r="A247" s="494" t="s">
        <v>1664</v>
      </c>
      <c r="B247" s="495" t="s">
        <v>3708</v>
      </c>
      <c r="C247" s="174" t="str">
        <f t="shared" si="51"/>
        <v>Gigabyte</v>
      </c>
      <c r="D247" s="452" t="s">
        <v>3551</v>
      </c>
      <c r="E247" s="266">
        <v>282.0</v>
      </c>
      <c r="F247" s="266">
        <v>113.0</v>
      </c>
      <c r="G247" s="266">
        <v>40.0</v>
      </c>
      <c r="H247" s="266">
        <v>2.0</v>
      </c>
      <c r="I247" s="266">
        <v>2620.0</v>
      </c>
      <c r="J247" s="266">
        <v>16.0</v>
      </c>
      <c r="K247" s="266">
        <v>230.0</v>
      </c>
      <c r="L247" s="266" t="s">
        <v>3361</v>
      </c>
      <c r="M247" s="266">
        <v>3.0</v>
      </c>
      <c r="N247" s="266">
        <v>2.0</v>
      </c>
      <c r="O247" s="266">
        <v>2.0</v>
      </c>
      <c r="P247" s="266" t="s">
        <v>166</v>
      </c>
      <c r="Q247" s="266" t="s">
        <v>166</v>
      </c>
      <c r="R247" s="497" t="s">
        <v>166</v>
      </c>
      <c r="S247" s="497" t="s">
        <v>166</v>
      </c>
      <c r="T247" s="496"/>
    </row>
    <row r="248">
      <c r="A248" s="494" t="s">
        <v>1664</v>
      </c>
      <c r="B248" s="495" t="s">
        <v>3708</v>
      </c>
      <c r="C248" s="174" t="str">
        <f t="shared" si="51"/>
        <v>Gigabyte</v>
      </c>
      <c r="D248" s="452" t="s">
        <v>3630</v>
      </c>
      <c r="E248" s="266">
        <v>281.0</v>
      </c>
      <c r="F248" s="266">
        <v>115.0</v>
      </c>
      <c r="G248" s="266">
        <v>49.0</v>
      </c>
      <c r="H248" s="266">
        <v>2.0</v>
      </c>
      <c r="I248" s="266">
        <v>2622.0</v>
      </c>
      <c r="J248" s="266">
        <v>16.0</v>
      </c>
      <c r="K248" s="266">
        <v>230.0</v>
      </c>
      <c r="L248" s="266" t="s">
        <v>3361</v>
      </c>
      <c r="M248" s="266">
        <v>3.0</v>
      </c>
      <c r="N248" s="266">
        <v>2.0</v>
      </c>
      <c r="O248" s="266">
        <v>2.0</v>
      </c>
      <c r="P248" s="266" t="s">
        <v>166</v>
      </c>
      <c r="Q248" s="266" t="s">
        <v>166</v>
      </c>
      <c r="R248" s="497" t="s">
        <v>166</v>
      </c>
      <c r="S248" s="497" t="s">
        <v>166</v>
      </c>
      <c r="T248" s="496"/>
    </row>
    <row r="249">
      <c r="A249" s="494" t="s">
        <v>1664</v>
      </c>
      <c r="B249" s="495" t="s">
        <v>3708</v>
      </c>
      <c r="C249" s="174" t="str">
        <f t="shared" si="51"/>
        <v>Gigabyte</v>
      </c>
      <c r="D249" s="452" t="s">
        <v>3711</v>
      </c>
      <c r="E249" s="266">
        <v>296.0</v>
      </c>
      <c r="F249" s="266">
        <v>114.0</v>
      </c>
      <c r="G249" s="266">
        <v>56.0</v>
      </c>
      <c r="H249" s="266">
        <v>2.0</v>
      </c>
      <c r="I249" s="266">
        <v>2622.0</v>
      </c>
      <c r="J249" s="266">
        <v>16.0</v>
      </c>
      <c r="K249" s="266">
        <v>230.0</v>
      </c>
      <c r="L249" s="266" t="s">
        <v>3361</v>
      </c>
      <c r="M249" s="266">
        <v>3.0</v>
      </c>
      <c r="N249" s="266">
        <v>2.0</v>
      </c>
      <c r="O249" s="266">
        <v>2.0</v>
      </c>
      <c r="P249" s="266" t="s">
        <v>166</v>
      </c>
      <c r="Q249" s="266" t="s">
        <v>166</v>
      </c>
      <c r="R249" s="497" t="s">
        <v>166</v>
      </c>
      <c r="S249" s="497" t="s">
        <v>166</v>
      </c>
      <c r="T249" s="496"/>
    </row>
    <row r="250">
      <c r="A250" s="494" t="s">
        <v>1664</v>
      </c>
      <c r="B250" s="495" t="s">
        <v>3708</v>
      </c>
      <c r="C250" s="174" t="str">
        <f t="shared" ref="C250:C254" si="52">HYPERLINK("https://www.msi.com/index.php","MSI")</f>
        <v>MSI</v>
      </c>
      <c r="D250" s="452" t="s">
        <v>3709</v>
      </c>
      <c r="E250" s="266">
        <v>266.7</v>
      </c>
      <c r="F250" s="266">
        <v>110.15</v>
      </c>
      <c r="G250" s="266">
        <v>39.75</v>
      </c>
      <c r="H250" s="266">
        <v>2.0</v>
      </c>
      <c r="I250" s="266">
        <v>2581.0</v>
      </c>
      <c r="J250" s="266">
        <v>16.0</v>
      </c>
      <c r="K250" s="266">
        <v>230.0</v>
      </c>
      <c r="L250" s="266" t="s">
        <v>3361</v>
      </c>
      <c r="M250" s="266">
        <v>2.0</v>
      </c>
      <c r="N250" s="266">
        <v>3.0</v>
      </c>
      <c r="O250" s="266">
        <v>1.0</v>
      </c>
      <c r="P250" s="266" t="s">
        <v>166</v>
      </c>
      <c r="Q250" s="266" t="s">
        <v>166</v>
      </c>
      <c r="R250" s="497" t="s">
        <v>166</v>
      </c>
      <c r="S250" s="497" t="s">
        <v>166</v>
      </c>
      <c r="T250" s="496"/>
    </row>
    <row r="251">
      <c r="A251" s="494" t="s">
        <v>1664</v>
      </c>
      <c r="B251" s="495" t="s">
        <v>3708</v>
      </c>
      <c r="C251" s="174" t="str">
        <f t="shared" si="52"/>
        <v>MSI</v>
      </c>
      <c r="D251" s="452" t="s">
        <v>3382</v>
      </c>
      <c r="E251" s="266">
        <v>247.0</v>
      </c>
      <c r="F251" s="266">
        <v>131.0</v>
      </c>
      <c r="G251" s="266">
        <v>51.0</v>
      </c>
      <c r="H251" s="266">
        <v>2.0</v>
      </c>
      <c r="I251" s="266">
        <v>2581.0</v>
      </c>
      <c r="J251" s="266">
        <v>16.0</v>
      </c>
      <c r="K251" s="266">
        <v>230.0</v>
      </c>
      <c r="L251" s="266" t="s">
        <v>3460</v>
      </c>
      <c r="M251" s="266">
        <v>2.0</v>
      </c>
      <c r="N251" s="266">
        <v>3.0</v>
      </c>
      <c r="O251" s="266">
        <v>1.0</v>
      </c>
      <c r="P251" s="266" t="s">
        <v>166</v>
      </c>
      <c r="Q251" s="266" t="s">
        <v>166</v>
      </c>
      <c r="R251" s="497" t="s">
        <v>166</v>
      </c>
      <c r="S251" s="497" t="s">
        <v>166</v>
      </c>
      <c r="T251" s="496"/>
    </row>
    <row r="252">
      <c r="A252" s="494" t="s">
        <v>1664</v>
      </c>
      <c r="B252" s="495" t="s">
        <v>3708</v>
      </c>
      <c r="C252" s="174" t="str">
        <f t="shared" si="52"/>
        <v>MSI</v>
      </c>
      <c r="D252" s="452" t="s">
        <v>3383</v>
      </c>
      <c r="E252" s="266">
        <v>247.0</v>
      </c>
      <c r="F252" s="266">
        <v>131.0</v>
      </c>
      <c r="G252" s="266">
        <v>51.0</v>
      </c>
      <c r="H252" s="266">
        <v>2.0</v>
      </c>
      <c r="I252" s="266">
        <v>2620.0</v>
      </c>
      <c r="J252" s="266">
        <v>16.0</v>
      </c>
      <c r="K252" s="266">
        <v>230.0</v>
      </c>
      <c r="L252" s="266" t="s">
        <v>3460</v>
      </c>
      <c r="M252" s="266">
        <v>2.0</v>
      </c>
      <c r="N252" s="266">
        <v>3.0</v>
      </c>
      <c r="O252" s="266">
        <v>1.0</v>
      </c>
      <c r="P252" s="266" t="s">
        <v>166</v>
      </c>
      <c r="Q252" s="266" t="s">
        <v>166</v>
      </c>
      <c r="R252" s="497" t="s">
        <v>166</v>
      </c>
      <c r="S252" s="497" t="s">
        <v>166</v>
      </c>
      <c r="T252" s="496"/>
    </row>
    <row r="253">
      <c r="A253" s="494" t="s">
        <v>1664</v>
      </c>
      <c r="B253" s="495" t="s">
        <v>3708</v>
      </c>
      <c r="C253" s="174" t="str">
        <f t="shared" si="52"/>
        <v>MSI</v>
      </c>
      <c r="D253" s="452" t="s">
        <v>3409</v>
      </c>
      <c r="E253" s="266">
        <v>279.0</v>
      </c>
      <c r="F253" s="266">
        <v>131.0</v>
      </c>
      <c r="G253" s="266">
        <v>58.0</v>
      </c>
      <c r="H253" s="266">
        <v>2.0</v>
      </c>
      <c r="I253" s="266">
        <v>2615.0</v>
      </c>
      <c r="J253" s="266">
        <v>16.0</v>
      </c>
      <c r="K253" s="266">
        <v>230.0</v>
      </c>
      <c r="L253" s="266" t="s">
        <v>3460</v>
      </c>
      <c r="M253" s="266">
        <v>2.0</v>
      </c>
      <c r="N253" s="266">
        <v>3.0</v>
      </c>
      <c r="O253" s="266">
        <v>1.0</v>
      </c>
      <c r="P253" s="266" t="s">
        <v>166</v>
      </c>
      <c r="Q253" s="266" t="s">
        <v>166</v>
      </c>
      <c r="R253" s="497" t="s">
        <v>166</v>
      </c>
      <c r="S253" s="497" t="s">
        <v>166</v>
      </c>
      <c r="T253" s="496"/>
    </row>
    <row r="254">
      <c r="A254" s="504" t="s">
        <v>1664</v>
      </c>
      <c r="B254" s="505" t="s">
        <v>3708</v>
      </c>
      <c r="C254" s="506" t="str">
        <f t="shared" si="52"/>
        <v>MSI</v>
      </c>
      <c r="D254" s="506" t="s">
        <v>3557</v>
      </c>
      <c r="E254" s="507">
        <v>279.0</v>
      </c>
      <c r="F254" s="507">
        <v>131.0</v>
      </c>
      <c r="G254" s="507">
        <v>58.0</v>
      </c>
      <c r="H254" s="507">
        <v>2.0</v>
      </c>
      <c r="I254" s="507">
        <v>2622.0</v>
      </c>
      <c r="J254" s="507">
        <v>16.0</v>
      </c>
      <c r="K254" s="507">
        <v>230.0</v>
      </c>
      <c r="L254" s="507" t="s">
        <v>3460</v>
      </c>
      <c r="M254" s="507">
        <v>2.0</v>
      </c>
      <c r="N254" s="507">
        <v>3.0</v>
      </c>
      <c r="O254" s="507">
        <v>1.0</v>
      </c>
      <c r="P254" s="507" t="s">
        <v>166</v>
      </c>
      <c r="Q254" s="507" t="s">
        <v>166</v>
      </c>
      <c r="R254" s="508" t="s">
        <v>166</v>
      </c>
      <c r="S254" s="508" t="s">
        <v>166</v>
      </c>
      <c r="T254" s="509"/>
    </row>
    <row r="255">
      <c r="A255" s="504" t="s">
        <v>1664</v>
      </c>
      <c r="B255" s="505" t="s">
        <v>3708</v>
      </c>
      <c r="C255" s="506" t="str">
        <f t="shared" ref="C255:C259" si="53">HYPERLINK("https://www.powercolor.com/","PowerColor")</f>
        <v>PowerColor</v>
      </c>
      <c r="D255" s="506" t="s">
        <v>3709</v>
      </c>
      <c r="E255" s="507">
        <v>266.7</v>
      </c>
      <c r="F255" s="507">
        <v>110.15</v>
      </c>
      <c r="G255" s="507">
        <v>39.75</v>
      </c>
      <c r="H255" s="507">
        <v>2.0</v>
      </c>
      <c r="I255" s="507">
        <v>2581.0</v>
      </c>
      <c r="J255" s="507">
        <v>16.0</v>
      </c>
      <c r="K255" s="507">
        <v>230.0</v>
      </c>
      <c r="L255" s="507" t="s">
        <v>3361</v>
      </c>
      <c r="M255" s="507">
        <v>2.0</v>
      </c>
      <c r="N255" s="507">
        <v>3.0</v>
      </c>
      <c r="O255" s="507">
        <v>1.0</v>
      </c>
      <c r="P255" s="507" t="s">
        <v>166</v>
      </c>
      <c r="Q255" s="507" t="s">
        <v>166</v>
      </c>
      <c r="R255" s="508" t="s">
        <v>166</v>
      </c>
      <c r="S255" s="508" t="s">
        <v>166</v>
      </c>
      <c r="T255" s="509"/>
    </row>
    <row r="256">
      <c r="A256" s="504" t="s">
        <v>1664</v>
      </c>
      <c r="B256" s="505" t="s">
        <v>3708</v>
      </c>
      <c r="C256" s="506" t="str">
        <f t="shared" si="53"/>
        <v>PowerColor</v>
      </c>
      <c r="D256" s="506" t="s">
        <v>3384</v>
      </c>
      <c r="E256" s="507">
        <v>228.0</v>
      </c>
      <c r="F256" s="507">
        <v>109.0</v>
      </c>
      <c r="G256" s="507">
        <v>39.0</v>
      </c>
      <c r="H256" s="507">
        <v>2.0</v>
      </c>
      <c r="I256" s="507">
        <v>2581.0</v>
      </c>
      <c r="J256" s="507">
        <v>16.0</v>
      </c>
      <c r="K256" s="507">
        <v>230.0</v>
      </c>
      <c r="L256" s="507" t="s">
        <v>3460</v>
      </c>
      <c r="M256" s="507">
        <v>2.0</v>
      </c>
      <c r="N256" s="507">
        <v>3.0</v>
      </c>
      <c r="O256" s="507">
        <v>1.0</v>
      </c>
      <c r="P256" s="507" t="s">
        <v>166</v>
      </c>
      <c r="Q256" s="507" t="s">
        <v>166</v>
      </c>
      <c r="R256" s="508" t="s">
        <v>166</v>
      </c>
      <c r="S256" s="508" t="s">
        <v>166</v>
      </c>
      <c r="T256" s="509"/>
    </row>
    <row r="257">
      <c r="A257" s="504" t="s">
        <v>1664</v>
      </c>
      <c r="B257" s="505" t="s">
        <v>3708</v>
      </c>
      <c r="C257" s="506" t="str">
        <f t="shared" si="53"/>
        <v>PowerColor</v>
      </c>
      <c r="D257" s="506" t="s">
        <v>3695</v>
      </c>
      <c r="E257" s="507">
        <v>305.0</v>
      </c>
      <c r="F257" s="507">
        <v>132.0</v>
      </c>
      <c r="G257" s="507">
        <v>50.0</v>
      </c>
      <c r="H257" s="507">
        <v>2.0</v>
      </c>
      <c r="I257" s="507">
        <v>2581.0</v>
      </c>
      <c r="J257" s="507">
        <v>16.0</v>
      </c>
      <c r="K257" s="507">
        <v>230.0</v>
      </c>
      <c r="L257" s="507" t="s">
        <v>3460</v>
      </c>
      <c r="M257" s="507">
        <v>3.0</v>
      </c>
      <c r="N257" s="507">
        <v>3.0</v>
      </c>
      <c r="O257" s="507">
        <v>1.0</v>
      </c>
      <c r="P257" s="507" t="s">
        <v>166</v>
      </c>
      <c r="Q257" s="507" t="s">
        <v>166</v>
      </c>
      <c r="R257" s="508" t="s">
        <v>166</v>
      </c>
      <c r="S257" s="508" t="s">
        <v>166</v>
      </c>
      <c r="T257" s="509"/>
    </row>
    <row r="258">
      <c r="A258" s="504" t="s">
        <v>1664</v>
      </c>
      <c r="B258" s="505" t="s">
        <v>3708</v>
      </c>
      <c r="C258" s="506" t="str">
        <f t="shared" si="53"/>
        <v>PowerColor</v>
      </c>
      <c r="D258" s="506" t="s">
        <v>3704</v>
      </c>
      <c r="E258" s="507">
        <v>305.0</v>
      </c>
      <c r="F258" s="507">
        <v>132.0</v>
      </c>
      <c r="G258" s="507">
        <v>50.0</v>
      </c>
      <c r="H258" s="507">
        <v>2.0</v>
      </c>
      <c r="I258" s="507">
        <v>2581.0</v>
      </c>
      <c r="J258" s="507">
        <v>16.0</v>
      </c>
      <c r="K258" s="507">
        <v>230.0</v>
      </c>
      <c r="L258" s="507" t="s">
        <v>3460</v>
      </c>
      <c r="M258" s="507">
        <v>3.0</v>
      </c>
      <c r="N258" s="507">
        <v>3.0</v>
      </c>
      <c r="O258" s="507">
        <v>1.0</v>
      </c>
      <c r="P258" s="507" t="s">
        <v>166</v>
      </c>
      <c r="Q258" s="507" t="s">
        <v>166</v>
      </c>
      <c r="R258" s="508" t="s">
        <v>166</v>
      </c>
      <c r="S258" s="508" t="s">
        <v>166</v>
      </c>
      <c r="T258" s="509"/>
    </row>
    <row r="259">
      <c r="A259" s="504" t="s">
        <v>1664</v>
      </c>
      <c r="B259" s="505" t="s">
        <v>3708</v>
      </c>
      <c r="C259" s="506" t="str">
        <f t="shared" si="53"/>
        <v>PowerColor</v>
      </c>
      <c r="D259" s="506" t="s">
        <v>3653</v>
      </c>
      <c r="E259" s="507">
        <v>320.0</v>
      </c>
      <c r="F259" s="507">
        <v>130.0</v>
      </c>
      <c r="G259" s="507">
        <v>50.0</v>
      </c>
      <c r="H259" s="507">
        <v>2.0</v>
      </c>
      <c r="I259" s="507">
        <v>2622.0</v>
      </c>
      <c r="J259" s="507">
        <v>16.0</v>
      </c>
      <c r="K259" s="507">
        <v>230.0</v>
      </c>
      <c r="L259" s="507" t="s">
        <v>3460</v>
      </c>
      <c r="M259" s="507">
        <v>3.0</v>
      </c>
      <c r="N259" s="507">
        <v>3.0</v>
      </c>
      <c r="O259" s="507">
        <v>1.0</v>
      </c>
      <c r="P259" s="507" t="s">
        <v>166</v>
      </c>
      <c r="Q259" s="507" t="s">
        <v>166</v>
      </c>
      <c r="R259" s="508" t="s">
        <v>166</v>
      </c>
      <c r="S259" s="508" t="s">
        <v>166</v>
      </c>
      <c r="T259" s="509"/>
    </row>
    <row r="260">
      <c r="A260" s="504" t="s">
        <v>1664</v>
      </c>
      <c r="B260" s="505" t="s">
        <v>3708</v>
      </c>
      <c r="C260" s="452" t="str">
        <f t="shared" ref="C260:C262" si="54">HYPERLINK("https://www.sapphiretech.com/","Sapphire")</f>
        <v>Sapphire</v>
      </c>
      <c r="D260" s="506" t="s">
        <v>3709</v>
      </c>
      <c r="E260" s="507">
        <v>267.0</v>
      </c>
      <c r="F260" s="507">
        <v>110.0</v>
      </c>
      <c r="G260" s="507">
        <v>40.0</v>
      </c>
      <c r="H260" s="507">
        <v>2.0</v>
      </c>
      <c r="I260" s="507">
        <v>2581.0</v>
      </c>
      <c r="J260" s="507">
        <v>16.0</v>
      </c>
      <c r="K260" s="507">
        <v>230.0</v>
      </c>
      <c r="L260" s="507" t="s">
        <v>3361</v>
      </c>
      <c r="M260" s="507">
        <v>2.0</v>
      </c>
      <c r="N260" s="507">
        <v>3.0</v>
      </c>
      <c r="O260" s="507">
        <v>1.0</v>
      </c>
      <c r="P260" s="507" t="s">
        <v>166</v>
      </c>
      <c r="Q260" s="507" t="s">
        <v>166</v>
      </c>
      <c r="R260" s="508" t="s">
        <v>166</v>
      </c>
      <c r="S260" s="508" t="s">
        <v>166</v>
      </c>
      <c r="T260" s="509"/>
    </row>
    <row r="261">
      <c r="A261" s="504" t="s">
        <v>1664</v>
      </c>
      <c r="B261" s="505" t="s">
        <v>3708</v>
      </c>
      <c r="C261" s="452" t="str">
        <f t="shared" si="54"/>
        <v>Sapphire</v>
      </c>
      <c r="D261" s="506" t="s">
        <v>3376</v>
      </c>
      <c r="E261" s="507">
        <v>260.0</v>
      </c>
      <c r="F261" s="507">
        <v>119.85</v>
      </c>
      <c r="G261" s="507">
        <v>49.0</v>
      </c>
      <c r="H261" s="507">
        <v>2.0</v>
      </c>
      <c r="I261" s="507">
        <v>2581.0</v>
      </c>
      <c r="J261" s="507">
        <v>16.0</v>
      </c>
      <c r="K261" s="507">
        <v>230.0</v>
      </c>
      <c r="L261" s="507" t="s">
        <v>3361</v>
      </c>
      <c r="M261" s="507">
        <v>2.0</v>
      </c>
      <c r="N261" s="507">
        <v>3.0</v>
      </c>
      <c r="O261" s="507">
        <v>1.0</v>
      </c>
      <c r="P261" s="507" t="s">
        <v>166</v>
      </c>
      <c r="Q261" s="507" t="s">
        <v>166</v>
      </c>
      <c r="R261" s="508" t="s">
        <v>166</v>
      </c>
      <c r="S261" s="508" t="s">
        <v>166</v>
      </c>
      <c r="T261" s="509"/>
    </row>
    <row r="262">
      <c r="A262" s="504" t="s">
        <v>1664</v>
      </c>
      <c r="B262" s="505" t="s">
        <v>3708</v>
      </c>
      <c r="C262" s="452" t="str">
        <f t="shared" si="54"/>
        <v>Sapphire</v>
      </c>
      <c r="D262" s="506" t="s">
        <v>3680</v>
      </c>
      <c r="E262" s="507">
        <v>310.05</v>
      </c>
      <c r="F262" s="507">
        <v>130.75</v>
      </c>
      <c r="G262" s="507">
        <v>51.4</v>
      </c>
      <c r="H262" s="507">
        <v>2.0</v>
      </c>
      <c r="I262" s="507">
        <v>2622.0</v>
      </c>
      <c r="J262" s="507">
        <v>16.0</v>
      </c>
      <c r="K262" s="507">
        <v>260.0</v>
      </c>
      <c r="L262" s="507" t="s">
        <v>3361</v>
      </c>
      <c r="M262" s="507">
        <v>3.0</v>
      </c>
      <c r="N262" s="507">
        <v>3.0</v>
      </c>
      <c r="O262" s="507">
        <v>1.0</v>
      </c>
      <c r="P262" s="507" t="s">
        <v>166</v>
      </c>
      <c r="Q262" s="507" t="s">
        <v>166</v>
      </c>
      <c r="R262" s="508" t="s">
        <v>166</v>
      </c>
      <c r="S262" s="508" t="s">
        <v>166</v>
      </c>
      <c r="T262" s="509"/>
    </row>
    <row r="263">
      <c r="A263" s="504" t="s">
        <v>1664</v>
      </c>
      <c r="B263" s="505" t="s">
        <v>3708</v>
      </c>
      <c r="C263" s="452" t="str">
        <f t="shared" ref="C263:C268" si="55">HYPERLINK("https://www.xfxforce.com/","XFX")</f>
        <v>XFX</v>
      </c>
      <c r="D263" s="506" t="s">
        <v>3709</v>
      </c>
      <c r="E263" s="507">
        <v>266.7</v>
      </c>
      <c r="F263" s="507">
        <v>110.1</v>
      </c>
      <c r="G263" s="507">
        <v>39.8</v>
      </c>
      <c r="H263" s="507">
        <v>2.0</v>
      </c>
      <c r="I263" s="507">
        <v>2615.0</v>
      </c>
      <c r="J263" s="507">
        <v>16.0</v>
      </c>
      <c r="K263" s="507">
        <v>230.0</v>
      </c>
      <c r="L263" s="507" t="s">
        <v>3361</v>
      </c>
      <c r="M263" s="507">
        <v>2.0</v>
      </c>
      <c r="N263" s="507">
        <v>3.0</v>
      </c>
      <c r="O263" s="507">
        <v>1.0</v>
      </c>
      <c r="P263" s="507" t="s">
        <v>166</v>
      </c>
      <c r="Q263" s="507" t="s">
        <v>166</v>
      </c>
      <c r="R263" s="508" t="s">
        <v>166</v>
      </c>
      <c r="S263" s="508" t="s">
        <v>166</v>
      </c>
      <c r="T263" s="509"/>
    </row>
    <row r="264">
      <c r="A264" s="504" t="s">
        <v>1664</v>
      </c>
      <c r="B264" s="505" t="s">
        <v>3708</v>
      </c>
      <c r="C264" s="452" t="str">
        <f t="shared" si="55"/>
        <v>XFX</v>
      </c>
      <c r="D264" s="506" t="s">
        <v>3712</v>
      </c>
      <c r="E264" s="507">
        <v>304.0</v>
      </c>
      <c r="F264" s="507">
        <v>123.0</v>
      </c>
      <c r="G264" s="507">
        <v>42.0</v>
      </c>
      <c r="H264" s="507">
        <v>2.0</v>
      </c>
      <c r="I264" s="507">
        <v>2581.0</v>
      </c>
      <c r="J264" s="507">
        <v>16.0</v>
      </c>
      <c r="K264" s="507">
        <v>230.0</v>
      </c>
      <c r="L264" s="507" t="s">
        <v>3460</v>
      </c>
      <c r="M264" s="507">
        <v>3.0</v>
      </c>
      <c r="N264" s="507">
        <v>3.0</v>
      </c>
      <c r="O264" s="507">
        <v>1.0</v>
      </c>
      <c r="P264" s="507" t="s">
        <v>166</v>
      </c>
      <c r="Q264" s="507" t="s">
        <v>166</v>
      </c>
      <c r="R264" s="508" t="s">
        <v>166</v>
      </c>
      <c r="S264" s="508" t="s">
        <v>166</v>
      </c>
      <c r="T264" s="509"/>
    </row>
    <row r="265">
      <c r="A265" s="504" t="s">
        <v>1664</v>
      </c>
      <c r="B265" s="505" t="s">
        <v>3708</v>
      </c>
      <c r="C265" s="452" t="str">
        <f t="shared" si="55"/>
        <v>XFX</v>
      </c>
      <c r="D265" s="506" t="s">
        <v>3713</v>
      </c>
      <c r="E265" s="507">
        <v>323.0</v>
      </c>
      <c r="F265" s="507">
        <v>132.0</v>
      </c>
      <c r="G265" s="507">
        <v>51.0</v>
      </c>
      <c r="H265" s="507">
        <v>2.0</v>
      </c>
      <c r="I265" s="507">
        <v>2581.0</v>
      </c>
      <c r="J265" s="507">
        <v>16.0</v>
      </c>
      <c r="K265" s="507">
        <v>230.0</v>
      </c>
      <c r="L265" s="507" t="s">
        <v>3460</v>
      </c>
      <c r="M265" s="507">
        <v>3.0</v>
      </c>
      <c r="N265" s="507">
        <v>3.0</v>
      </c>
      <c r="O265" s="507">
        <v>1.0</v>
      </c>
      <c r="P265" s="507" t="s">
        <v>166</v>
      </c>
      <c r="Q265" s="507" t="s">
        <v>166</v>
      </c>
      <c r="R265" s="508" t="s">
        <v>166</v>
      </c>
      <c r="S265" s="508" t="s">
        <v>166</v>
      </c>
      <c r="T265" s="509"/>
    </row>
    <row r="266">
      <c r="A266" s="504" t="s">
        <v>1664</v>
      </c>
      <c r="B266" s="505" t="s">
        <v>3708</v>
      </c>
      <c r="C266" s="452" t="str">
        <f t="shared" si="55"/>
        <v>XFX</v>
      </c>
      <c r="D266" s="506" t="s">
        <v>3714</v>
      </c>
      <c r="E266" s="507">
        <v>323.0</v>
      </c>
      <c r="F266" s="507">
        <v>132.0</v>
      </c>
      <c r="G266" s="507">
        <v>51.0</v>
      </c>
      <c r="H266" s="507">
        <v>2.0</v>
      </c>
      <c r="I266" s="507">
        <v>2622.0</v>
      </c>
      <c r="J266" s="507">
        <v>16.0</v>
      </c>
      <c r="K266" s="507">
        <v>230.0</v>
      </c>
      <c r="L266" s="507" t="s">
        <v>3460</v>
      </c>
      <c r="M266" s="507">
        <v>3.0</v>
      </c>
      <c r="N266" s="507">
        <v>3.0</v>
      </c>
      <c r="O266" s="507">
        <v>1.0</v>
      </c>
      <c r="P266" s="507" t="s">
        <v>166</v>
      </c>
      <c r="Q266" s="507" t="s">
        <v>166</v>
      </c>
      <c r="R266" s="508" t="s">
        <v>166</v>
      </c>
      <c r="S266" s="508" t="s">
        <v>166</v>
      </c>
      <c r="T266" s="509"/>
    </row>
    <row r="267">
      <c r="A267" s="504" t="s">
        <v>1664</v>
      </c>
      <c r="B267" s="505" t="s">
        <v>3708</v>
      </c>
      <c r="C267" s="452" t="str">
        <f t="shared" si="55"/>
        <v>XFX</v>
      </c>
      <c r="D267" s="506" t="s">
        <v>3715</v>
      </c>
      <c r="E267" s="507">
        <v>323.0</v>
      </c>
      <c r="F267" s="507">
        <v>132.0</v>
      </c>
      <c r="G267" s="507">
        <v>51.0</v>
      </c>
      <c r="H267" s="507">
        <v>2.0</v>
      </c>
      <c r="I267" s="507">
        <v>2622.0</v>
      </c>
      <c r="J267" s="507">
        <v>16.0</v>
      </c>
      <c r="K267" s="507">
        <v>230.0</v>
      </c>
      <c r="L267" s="507" t="s">
        <v>3460</v>
      </c>
      <c r="M267" s="507">
        <v>3.0</v>
      </c>
      <c r="N267" s="507">
        <v>3.0</v>
      </c>
      <c r="O267" s="507">
        <v>1.0</v>
      </c>
      <c r="P267" s="507" t="s">
        <v>166</v>
      </c>
      <c r="Q267" s="507" t="s">
        <v>166</v>
      </c>
      <c r="R267" s="508" t="s">
        <v>166</v>
      </c>
      <c r="S267" s="508" t="s">
        <v>166</v>
      </c>
      <c r="T267" s="509"/>
    </row>
    <row r="268">
      <c r="A268" s="504" t="s">
        <v>1664</v>
      </c>
      <c r="B268" s="505" t="s">
        <v>3708</v>
      </c>
      <c r="C268" s="452" t="str">
        <f t="shared" si="55"/>
        <v>XFX</v>
      </c>
      <c r="D268" s="506" t="s">
        <v>3716</v>
      </c>
      <c r="E268" s="507">
        <v>323.0</v>
      </c>
      <c r="F268" s="507">
        <v>132.0</v>
      </c>
      <c r="G268" s="507">
        <v>51.0</v>
      </c>
      <c r="H268" s="507">
        <v>2.0</v>
      </c>
      <c r="I268" s="507">
        <v>2622.0</v>
      </c>
      <c r="J268" s="507">
        <v>16.0</v>
      </c>
      <c r="K268" s="507">
        <v>230.0</v>
      </c>
      <c r="L268" s="507" t="s">
        <v>3460</v>
      </c>
      <c r="M268" s="507">
        <v>3.0</v>
      </c>
      <c r="N268" s="507">
        <v>3.0</v>
      </c>
      <c r="O268" s="507">
        <v>1.0</v>
      </c>
      <c r="P268" s="507" t="s">
        <v>166</v>
      </c>
      <c r="Q268" s="507" t="s">
        <v>166</v>
      </c>
      <c r="R268" s="508" t="s">
        <v>166</v>
      </c>
      <c r="S268" s="508" t="s">
        <v>166</v>
      </c>
      <c r="T268" s="509"/>
    </row>
    <row r="269">
      <c r="A269" s="504" t="s">
        <v>1664</v>
      </c>
      <c r="B269" s="505" t="s">
        <v>3708</v>
      </c>
      <c r="C269" s="452" t="s">
        <v>3378</v>
      </c>
      <c r="D269" s="506" t="s">
        <v>3717</v>
      </c>
      <c r="E269" s="507">
        <v>303.0</v>
      </c>
      <c r="F269" s="507">
        <v>132.0</v>
      </c>
      <c r="G269" s="507">
        <v>49.0</v>
      </c>
      <c r="H269" s="507">
        <v>2.0</v>
      </c>
      <c r="I269" s="507">
        <v>2581.0</v>
      </c>
      <c r="J269" s="507">
        <v>16.0</v>
      </c>
      <c r="K269" s="507">
        <v>230.0</v>
      </c>
      <c r="L269" s="507" t="s">
        <v>3361</v>
      </c>
      <c r="M269" s="507">
        <v>3.0</v>
      </c>
      <c r="N269" s="507">
        <v>3.0</v>
      </c>
      <c r="O269" s="507">
        <v>1.0</v>
      </c>
      <c r="P269" s="507" t="s">
        <v>166</v>
      </c>
      <c r="Q269" s="507" t="s">
        <v>166</v>
      </c>
      <c r="R269" s="508" t="s">
        <v>166</v>
      </c>
      <c r="S269" s="508" t="s">
        <v>166</v>
      </c>
      <c r="T269" s="509"/>
    </row>
    <row r="270">
      <c r="A270" s="538" t="s">
        <v>1664</v>
      </c>
      <c r="B270" s="539" t="s">
        <v>3708</v>
      </c>
      <c r="C270" s="500" t="s">
        <v>3378</v>
      </c>
      <c r="D270" s="542" t="s">
        <v>3688</v>
      </c>
      <c r="E270" s="519">
        <v>301.0</v>
      </c>
      <c r="F270" s="519">
        <v>132.0</v>
      </c>
      <c r="G270" s="519">
        <v>49.0</v>
      </c>
      <c r="H270" s="519">
        <v>2.0</v>
      </c>
      <c r="I270" s="519">
        <v>2622.0</v>
      </c>
      <c r="J270" s="519">
        <v>16.0</v>
      </c>
      <c r="K270" s="519">
        <v>230.0</v>
      </c>
      <c r="L270" s="519" t="s">
        <v>3361</v>
      </c>
      <c r="M270" s="519">
        <v>3.0</v>
      </c>
      <c r="N270" s="519">
        <v>3.0</v>
      </c>
      <c r="O270" s="519">
        <v>1.0</v>
      </c>
      <c r="P270" s="519" t="s">
        <v>166</v>
      </c>
      <c r="Q270" s="519" t="s">
        <v>166</v>
      </c>
      <c r="R270" s="540" t="s">
        <v>166</v>
      </c>
      <c r="S270" s="540" t="s">
        <v>166</v>
      </c>
      <c r="T270" s="541"/>
    </row>
    <row r="271">
      <c r="A271" s="494" t="s">
        <v>1664</v>
      </c>
      <c r="B271" s="495" t="s">
        <v>3718</v>
      </c>
      <c r="C271" s="506" t="str">
        <f>HYPERLINK("https://www.amd.com/en","AMD")</f>
        <v>AMD</v>
      </c>
      <c r="D271" s="543" t="s">
        <v>3719</v>
      </c>
      <c r="E271" s="533">
        <v>267.0</v>
      </c>
      <c r="F271" s="533">
        <v>120.0</v>
      </c>
      <c r="G271" s="533">
        <v>40.0</v>
      </c>
      <c r="H271" s="533">
        <v>2.0</v>
      </c>
      <c r="I271" s="533">
        <v>2600.0</v>
      </c>
      <c r="J271" s="266">
        <v>18.0</v>
      </c>
      <c r="K271" s="266">
        <v>250.0</v>
      </c>
      <c r="L271" s="507" t="s">
        <v>3361</v>
      </c>
      <c r="M271" s="533">
        <v>3.0</v>
      </c>
      <c r="N271" s="533">
        <v>3.0</v>
      </c>
      <c r="O271" s="533">
        <v>1.0</v>
      </c>
      <c r="P271" s="533" t="s">
        <v>166</v>
      </c>
      <c r="Q271" s="533" t="s">
        <v>166</v>
      </c>
      <c r="R271" s="533" t="s">
        <v>166</v>
      </c>
      <c r="S271" s="533" t="s">
        <v>166</v>
      </c>
      <c r="T271" s="535"/>
    </row>
    <row r="272">
      <c r="A272" s="494" t="s">
        <v>1664</v>
      </c>
      <c r="B272" s="495" t="s">
        <v>3718</v>
      </c>
      <c r="C272" s="452" t="str">
        <f t="shared" ref="C272:C273" si="56">HYPERLINK("https://www.asrock.com/","ASRock")</f>
        <v>ASRock</v>
      </c>
      <c r="D272" s="452" t="s">
        <v>3637</v>
      </c>
      <c r="E272" s="266">
        <v>303.0</v>
      </c>
      <c r="F272" s="266">
        <v>131.0</v>
      </c>
      <c r="G272" s="266">
        <v>45.0</v>
      </c>
      <c r="H272" s="266">
        <v>2.0</v>
      </c>
      <c r="I272" s="266">
        <v>2618.0</v>
      </c>
      <c r="J272" s="266">
        <v>18.0</v>
      </c>
      <c r="K272" s="266">
        <v>250.0</v>
      </c>
      <c r="L272" s="266" t="s">
        <v>3460</v>
      </c>
      <c r="M272" s="266">
        <v>3.0</v>
      </c>
      <c r="N272" s="266">
        <v>3.0</v>
      </c>
      <c r="O272" s="266">
        <v>1.0</v>
      </c>
      <c r="P272" s="266" t="s">
        <v>166</v>
      </c>
      <c r="Q272" s="266" t="s">
        <v>166</v>
      </c>
      <c r="R272" s="266" t="s">
        <v>166</v>
      </c>
      <c r="S272" s="266" t="s">
        <v>166</v>
      </c>
      <c r="T272" s="496"/>
    </row>
    <row r="273">
      <c r="A273" s="494" t="s">
        <v>1664</v>
      </c>
      <c r="B273" s="495" t="s">
        <v>3718</v>
      </c>
      <c r="C273" s="452" t="str">
        <f t="shared" si="56"/>
        <v>ASRock</v>
      </c>
      <c r="D273" s="452" t="s">
        <v>3657</v>
      </c>
      <c r="E273" s="266">
        <v>305.0</v>
      </c>
      <c r="F273" s="266">
        <v>131.0</v>
      </c>
      <c r="G273" s="266">
        <v>55.0</v>
      </c>
      <c r="H273" s="266">
        <v>2.0</v>
      </c>
      <c r="I273" s="266">
        <v>2623.0</v>
      </c>
      <c r="J273" s="266">
        <v>18.0</v>
      </c>
      <c r="K273" s="266">
        <v>250.0</v>
      </c>
      <c r="L273" s="266" t="s">
        <v>3460</v>
      </c>
      <c r="M273" s="266">
        <v>3.0</v>
      </c>
      <c r="N273" s="266">
        <v>3.0</v>
      </c>
      <c r="O273" s="266">
        <v>1.0</v>
      </c>
      <c r="P273" s="266" t="s">
        <v>166</v>
      </c>
      <c r="Q273" s="266" t="s">
        <v>166</v>
      </c>
      <c r="R273" s="266" t="s">
        <v>166</v>
      </c>
      <c r="S273" s="266" t="s">
        <v>166</v>
      </c>
      <c r="T273" s="496"/>
    </row>
    <row r="274">
      <c r="A274" s="494" t="s">
        <v>1664</v>
      </c>
      <c r="B274" s="495" t="s">
        <v>3718</v>
      </c>
      <c r="C274" s="174" t="str">
        <f t="shared" ref="C274:C275" si="57">HYPERLINK("https://www.asus.com/","Asus")</f>
        <v>Asus</v>
      </c>
      <c r="D274" s="452" t="s">
        <v>3381</v>
      </c>
      <c r="E274" s="266">
        <v>295.0</v>
      </c>
      <c r="F274" s="266">
        <v>139.0</v>
      </c>
      <c r="G274" s="266">
        <v>55.0</v>
      </c>
      <c r="H274" s="266">
        <v>2.0</v>
      </c>
      <c r="I274" s="266">
        <v>2618.0</v>
      </c>
      <c r="J274" s="266">
        <v>18.0</v>
      </c>
      <c r="K274" s="266">
        <v>250.0</v>
      </c>
      <c r="L274" s="266" t="s">
        <v>3460</v>
      </c>
      <c r="M274" s="266">
        <v>2.0</v>
      </c>
      <c r="N274" s="266">
        <v>3.0</v>
      </c>
      <c r="O274" s="266">
        <v>1.0</v>
      </c>
      <c r="P274" s="266" t="s">
        <v>166</v>
      </c>
      <c r="Q274" s="266" t="s">
        <v>166</v>
      </c>
      <c r="R274" s="266" t="s">
        <v>166</v>
      </c>
      <c r="S274" s="266" t="s">
        <v>166</v>
      </c>
      <c r="T274" s="496"/>
    </row>
    <row r="275">
      <c r="A275" s="494" t="s">
        <v>1664</v>
      </c>
      <c r="B275" s="495" t="s">
        <v>3718</v>
      </c>
      <c r="C275" s="174" t="str">
        <f t="shared" si="57"/>
        <v>Asus</v>
      </c>
      <c r="D275" s="452" t="s">
        <v>3643</v>
      </c>
      <c r="E275" s="266">
        <v>322.0</v>
      </c>
      <c r="F275" s="266">
        <v>141.0</v>
      </c>
      <c r="G275" s="266">
        <v>56.5</v>
      </c>
      <c r="H275" s="266">
        <v>2.0</v>
      </c>
      <c r="I275" s="266">
        <v>2623.0</v>
      </c>
      <c r="J275" s="266">
        <v>18.0</v>
      </c>
      <c r="K275" s="266">
        <v>250.0</v>
      </c>
      <c r="L275" s="266" t="s">
        <v>3460</v>
      </c>
      <c r="M275" s="266">
        <v>3.0</v>
      </c>
      <c r="N275" s="266">
        <v>3.0</v>
      </c>
      <c r="O275" s="266">
        <v>1.0</v>
      </c>
      <c r="P275" s="266" t="s">
        <v>166</v>
      </c>
      <c r="Q275" s="266" t="s">
        <v>166</v>
      </c>
      <c r="R275" s="266" t="s">
        <v>166</v>
      </c>
      <c r="S275" s="266" t="s">
        <v>166</v>
      </c>
      <c r="T275" s="496"/>
    </row>
    <row r="276">
      <c r="A276" s="494" t="s">
        <v>1664</v>
      </c>
      <c r="B276" s="495" t="s">
        <v>3718</v>
      </c>
      <c r="C276" s="174" t="str">
        <f t="shared" ref="C276:C277" si="58">HYPERLINK("https://www.gigabyte.com/","Gigabyte")</f>
        <v>Gigabyte</v>
      </c>
      <c r="D276" s="452" t="s">
        <v>3630</v>
      </c>
      <c r="E276" s="266">
        <v>281.0</v>
      </c>
      <c r="F276" s="266">
        <v>115.0</v>
      </c>
      <c r="G276" s="266">
        <v>49.0</v>
      </c>
      <c r="H276" s="266">
        <v>2.0</v>
      </c>
      <c r="I276" s="266">
        <v>2623.0</v>
      </c>
      <c r="J276" s="266">
        <v>18.0</v>
      </c>
      <c r="K276" s="266">
        <v>250.0</v>
      </c>
      <c r="L276" s="266" t="s">
        <v>3361</v>
      </c>
      <c r="M276" s="266">
        <v>3.0</v>
      </c>
      <c r="N276" s="266">
        <v>2.0</v>
      </c>
      <c r="O276" s="266">
        <v>2.0</v>
      </c>
      <c r="P276" s="266" t="s">
        <v>166</v>
      </c>
      <c r="Q276" s="266" t="s">
        <v>166</v>
      </c>
      <c r="R276" s="266" t="s">
        <v>166</v>
      </c>
      <c r="S276" s="266" t="s">
        <v>166</v>
      </c>
      <c r="T276" s="496"/>
    </row>
    <row r="277">
      <c r="A277" s="494" t="s">
        <v>1664</v>
      </c>
      <c r="B277" s="495" t="s">
        <v>3718</v>
      </c>
      <c r="C277" s="174" t="str">
        <f t="shared" si="58"/>
        <v>Gigabyte</v>
      </c>
      <c r="D277" s="452" t="s">
        <v>3711</v>
      </c>
      <c r="E277" s="266">
        <v>296.0</v>
      </c>
      <c r="F277" s="266">
        <v>117.0</v>
      </c>
      <c r="G277" s="266">
        <v>56.0</v>
      </c>
      <c r="H277" s="266">
        <v>2.0</v>
      </c>
      <c r="I277" s="266">
        <v>2623.0</v>
      </c>
      <c r="J277" s="266">
        <v>18.0</v>
      </c>
      <c r="K277" s="266">
        <v>250.0</v>
      </c>
      <c r="L277" s="266" t="s">
        <v>3361</v>
      </c>
      <c r="M277" s="266">
        <v>3.0</v>
      </c>
      <c r="N277" s="266">
        <v>2.0</v>
      </c>
      <c r="O277" s="266">
        <v>2.0</v>
      </c>
      <c r="P277" s="266" t="s">
        <v>166</v>
      </c>
      <c r="Q277" s="266" t="s">
        <v>166</v>
      </c>
      <c r="R277" s="266" t="s">
        <v>166</v>
      </c>
      <c r="S277" s="266" t="s">
        <v>166</v>
      </c>
      <c r="T277" s="496"/>
    </row>
    <row r="278">
      <c r="A278" s="494" t="s">
        <v>1664</v>
      </c>
      <c r="B278" s="495" t="s">
        <v>3718</v>
      </c>
      <c r="C278" s="174" t="str">
        <f t="shared" ref="C278:C282" si="59">HYPERLINK("https://www.msi.com/index.php","MSI")</f>
        <v>MSI</v>
      </c>
      <c r="D278" s="452" t="s">
        <v>3382</v>
      </c>
      <c r="E278" s="266">
        <v>249.0</v>
      </c>
      <c r="F278" s="266">
        <v>132.0</v>
      </c>
      <c r="G278" s="266">
        <v>52.0</v>
      </c>
      <c r="H278" s="266">
        <v>2.0</v>
      </c>
      <c r="I278" s="266">
        <v>2600.0</v>
      </c>
      <c r="J278" s="266">
        <v>18.0</v>
      </c>
      <c r="K278" s="266">
        <v>250.0</v>
      </c>
      <c r="L278" s="266" t="s">
        <v>3460</v>
      </c>
      <c r="M278" s="266">
        <v>2.0</v>
      </c>
      <c r="N278" s="266">
        <v>3.0</v>
      </c>
      <c r="O278" s="266">
        <v>1.0</v>
      </c>
      <c r="P278" s="266" t="s">
        <v>166</v>
      </c>
      <c r="Q278" s="266" t="s">
        <v>166</v>
      </c>
      <c r="R278" s="266" t="s">
        <v>166</v>
      </c>
      <c r="S278" s="266" t="s">
        <v>166</v>
      </c>
      <c r="T278" s="496"/>
    </row>
    <row r="279">
      <c r="A279" s="494" t="s">
        <v>1664</v>
      </c>
      <c r="B279" s="495" t="s">
        <v>3718</v>
      </c>
      <c r="C279" s="174" t="str">
        <f t="shared" si="59"/>
        <v>MSI</v>
      </c>
      <c r="D279" s="452" t="s">
        <v>3383</v>
      </c>
      <c r="E279" s="266">
        <v>249.0</v>
      </c>
      <c r="F279" s="266">
        <v>132.0</v>
      </c>
      <c r="G279" s="266">
        <v>52.0</v>
      </c>
      <c r="H279" s="266">
        <v>2.0</v>
      </c>
      <c r="I279" s="266">
        <v>2618.0</v>
      </c>
      <c r="J279" s="266">
        <v>18.0</v>
      </c>
      <c r="K279" s="266">
        <v>250.0</v>
      </c>
      <c r="L279" s="266" t="s">
        <v>3460</v>
      </c>
      <c r="M279" s="266">
        <v>2.0</v>
      </c>
      <c r="N279" s="266">
        <v>3.0</v>
      </c>
      <c r="O279" s="266">
        <v>1.0</v>
      </c>
      <c r="P279" s="266" t="s">
        <v>166</v>
      </c>
      <c r="Q279" s="266" t="s">
        <v>166</v>
      </c>
      <c r="R279" s="266" t="s">
        <v>166</v>
      </c>
      <c r="S279" s="266" t="s">
        <v>166</v>
      </c>
      <c r="T279" s="496"/>
    </row>
    <row r="280">
      <c r="A280" s="494" t="s">
        <v>1664</v>
      </c>
      <c r="B280" s="495" t="s">
        <v>3718</v>
      </c>
      <c r="C280" s="174" t="str">
        <f t="shared" si="59"/>
        <v>MSI</v>
      </c>
      <c r="D280" s="452" t="s">
        <v>3389</v>
      </c>
      <c r="E280" s="266">
        <v>249.0</v>
      </c>
      <c r="F280" s="266">
        <v>132.0</v>
      </c>
      <c r="G280" s="266">
        <v>52.0</v>
      </c>
      <c r="H280" s="266">
        <v>2.0</v>
      </c>
      <c r="I280" s="266">
        <v>2600.0</v>
      </c>
      <c r="J280" s="266">
        <v>18.0</v>
      </c>
      <c r="K280" s="266">
        <v>250.0</v>
      </c>
      <c r="L280" s="266" t="s">
        <v>3460</v>
      </c>
      <c r="M280" s="266">
        <v>2.0</v>
      </c>
      <c r="N280" s="266">
        <v>3.0</v>
      </c>
      <c r="O280" s="266">
        <v>1.0</v>
      </c>
      <c r="P280" s="266" t="s">
        <v>166</v>
      </c>
      <c r="Q280" s="266" t="s">
        <v>166</v>
      </c>
      <c r="R280" s="266" t="s">
        <v>166</v>
      </c>
      <c r="S280" s="266" t="s">
        <v>166</v>
      </c>
      <c r="T280" s="496"/>
    </row>
    <row r="281">
      <c r="A281" s="494" t="s">
        <v>1664</v>
      </c>
      <c r="B281" s="495" t="s">
        <v>3718</v>
      </c>
      <c r="C281" s="174" t="str">
        <f t="shared" si="59"/>
        <v>MSI</v>
      </c>
      <c r="D281" s="452" t="s">
        <v>3720</v>
      </c>
      <c r="E281" s="266">
        <v>327.0</v>
      </c>
      <c r="F281" s="266">
        <v>137.0</v>
      </c>
      <c r="G281" s="266">
        <v>56.0</v>
      </c>
      <c r="H281" s="266">
        <v>2.0</v>
      </c>
      <c r="I281" s="266">
        <v>2600.0</v>
      </c>
      <c r="J281" s="266">
        <v>18.0</v>
      </c>
      <c r="K281" s="266">
        <v>250.0</v>
      </c>
      <c r="L281" s="266" t="s">
        <v>3460</v>
      </c>
      <c r="M281" s="266">
        <v>3.0</v>
      </c>
      <c r="N281" s="266">
        <v>3.0</v>
      </c>
      <c r="O281" s="266">
        <v>1.0</v>
      </c>
      <c r="P281" s="266" t="s">
        <v>166</v>
      </c>
      <c r="Q281" s="266" t="s">
        <v>166</v>
      </c>
      <c r="R281" s="266" t="s">
        <v>166</v>
      </c>
      <c r="S281" s="266" t="s">
        <v>166</v>
      </c>
      <c r="T281" s="496"/>
    </row>
    <row r="282">
      <c r="A282" s="494" t="s">
        <v>1664</v>
      </c>
      <c r="B282" s="495" t="s">
        <v>3718</v>
      </c>
      <c r="C282" s="174" t="str">
        <f t="shared" si="59"/>
        <v>MSI</v>
      </c>
      <c r="D282" s="452" t="s">
        <v>3721</v>
      </c>
      <c r="E282" s="266">
        <v>327.0</v>
      </c>
      <c r="F282" s="266">
        <v>137.0</v>
      </c>
      <c r="G282" s="266">
        <v>56.0</v>
      </c>
      <c r="H282" s="266">
        <v>2.0</v>
      </c>
      <c r="I282" s="266">
        <v>2623.0</v>
      </c>
      <c r="J282" s="266">
        <v>18.0</v>
      </c>
      <c r="K282" s="266">
        <v>250.0</v>
      </c>
      <c r="L282" s="266" t="s">
        <v>3460</v>
      </c>
      <c r="M282" s="266">
        <v>3.0</v>
      </c>
      <c r="N282" s="266">
        <v>3.0</v>
      </c>
      <c r="O282" s="266">
        <v>1.0</v>
      </c>
      <c r="P282" s="266" t="s">
        <v>166</v>
      </c>
      <c r="Q282" s="266" t="s">
        <v>166</v>
      </c>
      <c r="R282" s="266" t="s">
        <v>166</v>
      </c>
      <c r="S282" s="266" t="s">
        <v>166</v>
      </c>
      <c r="T282" s="496"/>
    </row>
    <row r="283">
      <c r="A283" s="494" t="s">
        <v>1664</v>
      </c>
      <c r="B283" s="495" t="s">
        <v>3718</v>
      </c>
      <c r="C283" s="506" t="str">
        <f>HYPERLINK("https://www.powercolor.com/","PowerColor")</f>
        <v>PowerColor</v>
      </c>
      <c r="D283" s="452" t="s">
        <v>3653</v>
      </c>
      <c r="E283" s="266">
        <v>320.0</v>
      </c>
      <c r="F283" s="266">
        <v>130.0</v>
      </c>
      <c r="G283" s="266">
        <v>50.0</v>
      </c>
      <c r="H283" s="266">
        <v>2.0</v>
      </c>
      <c r="I283" s="266">
        <v>2713.0</v>
      </c>
      <c r="J283" s="266">
        <v>18.0</v>
      </c>
      <c r="K283" s="266">
        <v>250.0</v>
      </c>
      <c r="L283" s="266" t="s">
        <v>3460</v>
      </c>
      <c r="M283" s="266">
        <v>3.0</v>
      </c>
      <c r="N283" s="266">
        <v>3.0</v>
      </c>
      <c r="O283" s="266">
        <v>1.0</v>
      </c>
      <c r="P283" s="266" t="s">
        <v>166</v>
      </c>
      <c r="Q283" s="266" t="s">
        <v>166</v>
      </c>
      <c r="R283" s="266" t="s">
        <v>166</v>
      </c>
      <c r="S283" s="266" t="s">
        <v>166</v>
      </c>
      <c r="T283" s="496"/>
    </row>
    <row r="284">
      <c r="A284" s="494" t="s">
        <v>1664</v>
      </c>
      <c r="B284" s="495" t="s">
        <v>3718</v>
      </c>
      <c r="C284" s="452" t="str">
        <f t="shared" ref="C284:C285" si="60">HYPERLINK("https://www.sapphiretech.com/","Sapphire")</f>
        <v>Sapphire</v>
      </c>
      <c r="D284" s="452" t="s">
        <v>3376</v>
      </c>
      <c r="E284" s="266">
        <v>280.0</v>
      </c>
      <c r="F284" s="266">
        <v>122.75</v>
      </c>
      <c r="G284" s="266">
        <v>50.47</v>
      </c>
      <c r="H284" s="266">
        <v>2.0</v>
      </c>
      <c r="I284" s="266">
        <v>2618.0</v>
      </c>
      <c r="J284" s="266">
        <v>18.0</v>
      </c>
      <c r="K284" s="266">
        <v>250.0</v>
      </c>
      <c r="L284" s="266" t="s">
        <v>3361</v>
      </c>
      <c r="M284" s="266">
        <v>2.0</v>
      </c>
      <c r="N284" s="266">
        <v>3.0</v>
      </c>
      <c r="O284" s="266">
        <v>1.0</v>
      </c>
      <c r="P284" s="266" t="s">
        <v>166</v>
      </c>
      <c r="Q284" s="266" t="s">
        <v>166</v>
      </c>
      <c r="R284" s="266" t="s">
        <v>166</v>
      </c>
      <c r="S284" s="266" t="s">
        <v>166</v>
      </c>
      <c r="T284" s="496"/>
    </row>
    <row r="285">
      <c r="A285" s="494" t="s">
        <v>1664</v>
      </c>
      <c r="B285" s="495" t="s">
        <v>3718</v>
      </c>
      <c r="C285" s="452" t="str">
        <f t="shared" si="60"/>
        <v>Sapphire</v>
      </c>
      <c r="D285" s="452" t="s">
        <v>3680</v>
      </c>
      <c r="E285" s="266">
        <v>310.0</v>
      </c>
      <c r="F285" s="266">
        <v>130.75</v>
      </c>
      <c r="G285" s="266">
        <v>62.19</v>
      </c>
      <c r="H285" s="266">
        <v>2.0</v>
      </c>
      <c r="I285" s="266">
        <v>2623.0</v>
      </c>
      <c r="J285" s="266">
        <v>18.0</v>
      </c>
      <c r="K285" s="266">
        <v>273.0</v>
      </c>
      <c r="L285" s="266" t="s">
        <v>3361</v>
      </c>
      <c r="M285" s="266">
        <v>3.0</v>
      </c>
      <c r="N285" s="266">
        <v>3.0</v>
      </c>
      <c r="O285" s="266">
        <v>1.0</v>
      </c>
      <c r="P285" s="266" t="s">
        <v>166</v>
      </c>
      <c r="Q285" s="266" t="s">
        <v>166</v>
      </c>
      <c r="R285" s="266" t="s">
        <v>166</v>
      </c>
      <c r="S285" s="266" t="s">
        <v>166</v>
      </c>
      <c r="T285" s="496"/>
    </row>
    <row r="286">
      <c r="A286" s="494" t="s">
        <v>1664</v>
      </c>
      <c r="B286" s="495" t="s">
        <v>3718</v>
      </c>
      <c r="C286" s="452" t="str">
        <f t="shared" ref="C286:C287" si="61">HYPERLINK("https://www.xfxforce.com/","XFX")</f>
        <v>XFX</v>
      </c>
      <c r="D286" s="452" t="s">
        <v>3714</v>
      </c>
      <c r="E286" s="266">
        <v>323.0</v>
      </c>
      <c r="F286" s="266">
        <v>132.0</v>
      </c>
      <c r="G286" s="266">
        <v>51.0</v>
      </c>
      <c r="H286" s="266">
        <v>2.0</v>
      </c>
      <c r="I286" s="266">
        <v>2623.0</v>
      </c>
      <c r="J286" s="266">
        <v>18.0</v>
      </c>
      <c r="K286" s="266">
        <v>250.0</v>
      </c>
      <c r="L286" s="266" t="s">
        <v>3460</v>
      </c>
      <c r="M286" s="266">
        <v>3.0</v>
      </c>
      <c r="N286" s="266">
        <v>3.0</v>
      </c>
      <c r="O286" s="266">
        <v>1.0</v>
      </c>
      <c r="P286" s="266" t="s">
        <v>166</v>
      </c>
      <c r="Q286" s="266" t="s">
        <v>166</v>
      </c>
      <c r="R286" s="266" t="s">
        <v>166</v>
      </c>
      <c r="S286" s="266" t="s">
        <v>166</v>
      </c>
      <c r="T286" s="496"/>
    </row>
    <row r="287">
      <c r="A287" s="494" t="s">
        <v>1664</v>
      </c>
      <c r="B287" s="495" t="s">
        <v>3718</v>
      </c>
      <c r="C287" s="452" t="str">
        <f t="shared" si="61"/>
        <v>XFX</v>
      </c>
      <c r="D287" s="452" t="s">
        <v>3716</v>
      </c>
      <c r="E287" s="266">
        <v>323.0</v>
      </c>
      <c r="F287" s="266">
        <v>132.0</v>
      </c>
      <c r="G287" s="266">
        <v>51.0</v>
      </c>
      <c r="H287" s="266">
        <v>2.0</v>
      </c>
      <c r="I287" s="266">
        <v>2623.0</v>
      </c>
      <c r="J287" s="266">
        <v>18.0</v>
      </c>
      <c r="K287" s="266">
        <v>250.0</v>
      </c>
      <c r="L287" s="266" t="s">
        <v>3460</v>
      </c>
      <c r="M287" s="266">
        <v>3.0</v>
      </c>
      <c r="N287" s="266">
        <v>3.0</v>
      </c>
      <c r="O287" s="266">
        <v>1.0</v>
      </c>
      <c r="P287" s="266" t="s">
        <v>166</v>
      </c>
      <c r="Q287" s="266" t="s">
        <v>166</v>
      </c>
      <c r="R287" s="266" t="s">
        <v>166</v>
      </c>
      <c r="S287" s="266" t="s">
        <v>166</v>
      </c>
      <c r="T287" s="496"/>
    </row>
    <row r="288">
      <c r="A288" s="498" t="s">
        <v>1664</v>
      </c>
      <c r="B288" s="499" t="s">
        <v>3718</v>
      </c>
      <c r="C288" s="500" t="s">
        <v>3378</v>
      </c>
      <c r="D288" s="500" t="s">
        <v>3722</v>
      </c>
      <c r="E288" s="501">
        <v>310.0</v>
      </c>
      <c r="F288" s="501">
        <v>125.0</v>
      </c>
      <c r="G288" s="501">
        <v>55.0</v>
      </c>
      <c r="H288" s="501">
        <v>2.0</v>
      </c>
      <c r="I288" s="501">
        <v>2600.0</v>
      </c>
      <c r="J288" s="501">
        <v>18.0</v>
      </c>
      <c r="K288" s="501">
        <v>250.0</v>
      </c>
      <c r="L288" s="501" t="s">
        <v>3361</v>
      </c>
      <c r="M288" s="501">
        <v>3.0</v>
      </c>
      <c r="N288" s="501">
        <v>3.0</v>
      </c>
      <c r="O288" s="501">
        <v>1.0</v>
      </c>
      <c r="P288" s="501" t="s">
        <v>166</v>
      </c>
      <c r="Q288" s="501" t="s">
        <v>166</v>
      </c>
      <c r="R288" s="501" t="s">
        <v>166</v>
      </c>
      <c r="S288" s="501" t="s">
        <v>166</v>
      </c>
      <c r="T288" s="503"/>
    </row>
    <row r="289">
      <c r="A289" s="504" t="s">
        <v>1664</v>
      </c>
      <c r="B289" s="505" t="s">
        <v>3723</v>
      </c>
      <c r="C289" s="506" t="str">
        <f>HYPERLINK("https://www.amd.com/en","AMD")</f>
        <v>AMD</v>
      </c>
      <c r="D289" s="506" t="s">
        <v>3724</v>
      </c>
      <c r="E289" s="507">
        <v>267.0</v>
      </c>
      <c r="F289" s="507">
        <v>120.0</v>
      </c>
      <c r="G289" s="507">
        <v>40.0</v>
      </c>
      <c r="H289" s="507">
        <v>2.0</v>
      </c>
      <c r="I289" s="507">
        <v>2105.0</v>
      </c>
      <c r="J289" s="507">
        <v>16.0</v>
      </c>
      <c r="K289" s="507">
        <v>250.0</v>
      </c>
      <c r="L289" s="507" t="s">
        <v>3460</v>
      </c>
      <c r="M289" s="507">
        <v>3.0</v>
      </c>
      <c r="N289" s="507">
        <v>2.0</v>
      </c>
      <c r="O289" s="507">
        <v>1.0</v>
      </c>
      <c r="P289" s="507">
        <v>1.0</v>
      </c>
      <c r="Q289" s="507" t="s">
        <v>166</v>
      </c>
      <c r="R289" s="508" t="s">
        <v>166</v>
      </c>
      <c r="S289" s="508" t="s">
        <v>166</v>
      </c>
      <c r="T289" s="509"/>
    </row>
    <row r="290">
      <c r="A290" s="494" t="s">
        <v>1664</v>
      </c>
      <c r="B290" s="495" t="s">
        <v>3723</v>
      </c>
      <c r="C290" s="452" t="str">
        <f t="shared" ref="C290:C292" si="62">HYPERLINK("https://www.asrock.com/","ASRock")</f>
        <v>ASRock</v>
      </c>
      <c r="D290" s="452" t="s">
        <v>3724</v>
      </c>
      <c r="E290" s="266">
        <v>267.0</v>
      </c>
      <c r="F290" s="266">
        <v>120.0</v>
      </c>
      <c r="G290" s="266">
        <v>40.0</v>
      </c>
      <c r="H290" s="266">
        <v>2.0</v>
      </c>
      <c r="I290" s="266">
        <v>2105.0</v>
      </c>
      <c r="J290" s="266">
        <v>16.0</v>
      </c>
      <c r="K290" s="266">
        <v>250.0</v>
      </c>
      <c r="L290" s="266" t="s">
        <v>3460</v>
      </c>
      <c r="M290" s="266">
        <v>3.0</v>
      </c>
      <c r="N290" s="266">
        <v>2.0</v>
      </c>
      <c r="O290" s="266">
        <v>1.0</v>
      </c>
      <c r="P290" s="266">
        <v>1.0</v>
      </c>
      <c r="Q290" s="266" t="s">
        <v>166</v>
      </c>
      <c r="R290" s="497" t="s">
        <v>166</v>
      </c>
      <c r="S290" s="497" t="s">
        <v>166</v>
      </c>
      <c r="T290" s="496"/>
    </row>
    <row r="291">
      <c r="A291" s="494" t="s">
        <v>1664</v>
      </c>
      <c r="B291" s="495" t="s">
        <v>3723</v>
      </c>
      <c r="C291" s="452" t="str">
        <f t="shared" si="62"/>
        <v>ASRock</v>
      </c>
      <c r="D291" s="452" t="s">
        <v>3637</v>
      </c>
      <c r="E291" s="266">
        <v>305.0</v>
      </c>
      <c r="F291" s="266">
        <v>131.0</v>
      </c>
      <c r="G291" s="266">
        <v>55.0</v>
      </c>
      <c r="H291" s="266">
        <v>2.0</v>
      </c>
      <c r="I291" s="266">
        <v>2140.0</v>
      </c>
      <c r="J291" s="266">
        <v>16.0</v>
      </c>
      <c r="K291" s="266">
        <v>250.0</v>
      </c>
      <c r="L291" s="266" t="s">
        <v>3460</v>
      </c>
      <c r="M291" s="266">
        <v>3.0</v>
      </c>
      <c r="N291" s="266">
        <v>3.0</v>
      </c>
      <c r="O291" s="266">
        <v>1.0</v>
      </c>
      <c r="P291" s="266" t="s">
        <v>166</v>
      </c>
      <c r="Q291" s="266" t="s">
        <v>166</v>
      </c>
      <c r="R291" s="497" t="s">
        <v>166</v>
      </c>
      <c r="S291" s="497" t="s">
        <v>166</v>
      </c>
      <c r="T291" s="496"/>
    </row>
    <row r="292">
      <c r="A292" s="494" t="s">
        <v>1664</v>
      </c>
      <c r="B292" s="495" t="s">
        <v>3723</v>
      </c>
      <c r="C292" s="452" t="str">
        <f t="shared" si="62"/>
        <v>ASRock</v>
      </c>
      <c r="D292" s="452" t="s">
        <v>3657</v>
      </c>
      <c r="E292" s="266">
        <v>305.0</v>
      </c>
      <c r="F292" s="266">
        <v>131.0</v>
      </c>
      <c r="G292" s="266">
        <v>55.0</v>
      </c>
      <c r="H292" s="266">
        <v>2.0</v>
      </c>
      <c r="I292" s="266">
        <v>2190.0</v>
      </c>
      <c r="J292" s="266">
        <v>16.0</v>
      </c>
      <c r="K292" s="266">
        <v>250.0</v>
      </c>
      <c r="L292" s="266" t="s">
        <v>3460</v>
      </c>
      <c r="M292" s="266">
        <v>3.0</v>
      </c>
      <c r="N292" s="266">
        <v>3.0</v>
      </c>
      <c r="O292" s="266">
        <v>1.0</v>
      </c>
      <c r="P292" s="266" t="s">
        <v>166</v>
      </c>
      <c r="Q292" s="266" t="s">
        <v>166</v>
      </c>
      <c r="R292" s="497" t="s">
        <v>166</v>
      </c>
      <c r="S292" s="497" t="s">
        <v>166</v>
      </c>
      <c r="T292" s="496"/>
    </row>
    <row r="293">
      <c r="A293" s="494" t="s">
        <v>1664</v>
      </c>
      <c r="B293" s="495" t="s">
        <v>3723</v>
      </c>
      <c r="C293" s="174" t="str">
        <f t="shared" ref="C293:C295" si="63">HYPERLINK("https://www.asus.com/","Asus")</f>
        <v>Asus</v>
      </c>
      <c r="D293" s="537" t="s">
        <v>3724</v>
      </c>
      <c r="E293" s="266">
        <v>267.0</v>
      </c>
      <c r="F293" s="266">
        <v>120.0</v>
      </c>
      <c r="G293" s="266">
        <v>40.0</v>
      </c>
      <c r="H293" s="266">
        <v>2.0</v>
      </c>
      <c r="I293" s="266">
        <v>2105.0</v>
      </c>
      <c r="J293" s="266">
        <v>16.0</v>
      </c>
      <c r="K293" s="266">
        <v>250.0</v>
      </c>
      <c r="L293" s="266" t="s">
        <v>3460</v>
      </c>
      <c r="M293" s="266">
        <v>3.0</v>
      </c>
      <c r="N293" s="266">
        <v>2.0</v>
      </c>
      <c r="O293" s="266">
        <v>1.0</v>
      </c>
      <c r="P293" s="266">
        <v>1.0</v>
      </c>
      <c r="Q293" s="266" t="s">
        <v>166</v>
      </c>
      <c r="R293" s="497" t="s">
        <v>166</v>
      </c>
      <c r="S293" s="497" t="s">
        <v>166</v>
      </c>
      <c r="T293" s="496"/>
    </row>
    <row r="294">
      <c r="A294" s="494" t="s">
        <v>1664</v>
      </c>
      <c r="B294" s="495" t="s">
        <v>3723</v>
      </c>
      <c r="C294" s="174" t="str">
        <f t="shared" si="63"/>
        <v>Asus</v>
      </c>
      <c r="D294" s="537" t="s">
        <v>3478</v>
      </c>
      <c r="E294" s="266">
        <v>310.0</v>
      </c>
      <c r="F294" s="266">
        <v>140.2</v>
      </c>
      <c r="G294" s="266">
        <v>57.8</v>
      </c>
      <c r="H294" s="266">
        <v>2.0</v>
      </c>
      <c r="I294" s="266">
        <v>2190.0</v>
      </c>
      <c r="J294" s="266">
        <v>16.0</v>
      </c>
      <c r="K294" s="266">
        <v>250.0</v>
      </c>
      <c r="L294" s="266" t="s">
        <v>3460</v>
      </c>
      <c r="M294" s="266">
        <v>3.0</v>
      </c>
      <c r="N294" s="266">
        <v>3.0</v>
      </c>
      <c r="O294" s="266">
        <v>1.0</v>
      </c>
      <c r="P294" s="266" t="s">
        <v>166</v>
      </c>
      <c r="Q294" s="266" t="s">
        <v>166</v>
      </c>
      <c r="R294" s="497" t="s">
        <v>166</v>
      </c>
      <c r="S294" s="497" t="s">
        <v>166</v>
      </c>
      <c r="T294" s="496"/>
    </row>
    <row r="295">
      <c r="A295" s="494" t="s">
        <v>1664</v>
      </c>
      <c r="B295" s="495" t="s">
        <v>3723</v>
      </c>
      <c r="C295" s="174" t="str">
        <f t="shared" si="63"/>
        <v>Asus</v>
      </c>
      <c r="D295" s="537" t="s">
        <v>3643</v>
      </c>
      <c r="E295" s="266">
        <v>320.0</v>
      </c>
      <c r="F295" s="266">
        <v>128.7</v>
      </c>
      <c r="G295" s="266">
        <v>57.3</v>
      </c>
      <c r="H295" s="266">
        <v>2.0</v>
      </c>
      <c r="I295" s="266">
        <v>2190.0</v>
      </c>
      <c r="J295" s="266">
        <v>16.0</v>
      </c>
      <c r="K295" s="266">
        <v>250.0</v>
      </c>
      <c r="L295" s="266" t="s">
        <v>3460</v>
      </c>
      <c r="M295" s="266">
        <v>3.0</v>
      </c>
      <c r="N295" s="266">
        <v>3.0</v>
      </c>
      <c r="O295" s="266">
        <v>1.0</v>
      </c>
      <c r="P295" s="266" t="s">
        <v>166</v>
      </c>
      <c r="Q295" s="266" t="s">
        <v>166</v>
      </c>
      <c r="R295" s="497" t="s">
        <v>166</v>
      </c>
      <c r="S295" s="497" t="s">
        <v>166</v>
      </c>
      <c r="T295" s="496"/>
    </row>
    <row r="296">
      <c r="A296" s="494" t="s">
        <v>1664</v>
      </c>
      <c r="B296" s="495" t="s">
        <v>3723</v>
      </c>
      <c r="C296" s="174" t="s">
        <v>3627</v>
      </c>
      <c r="D296" s="452" t="s">
        <v>3724</v>
      </c>
      <c r="E296" s="266">
        <v>267.0</v>
      </c>
      <c r="F296" s="266">
        <v>120.0</v>
      </c>
      <c r="G296" s="266">
        <v>40.0</v>
      </c>
      <c r="H296" s="266">
        <v>2.0</v>
      </c>
      <c r="I296" s="266">
        <v>2105.0</v>
      </c>
      <c r="J296" s="266">
        <v>16.0</v>
      </c>
      <c r="K296" s="266">
        <v>250.0</v>
      </c>
      <c r="L296" s="266" t="s">
        <v>3460</v>
      </c>
      <c r="M296" s="266">
        <v>3.0</v>
      </c>
      <c r="N296" s="266">
        <v>2.0</v>
      </c>
      <c r="O296" s="266">
        <v>1.0</v>
      </c>
      <c r="P296" s="266">
        <v>1.0</v>
      </c>
      <c r="Q296" s="266" t="s">
        <v>166</v>
      </c>
      <c r="R296" s="497" t="s">
        <v>166</v>
      </c>
      <c r="S296" s="497" t="s">
        <v>166</v>
      </c>
      <c r="T296" s="496"/>
    </row>
    <row r="297">
      <c r="A297" s="494" t="s">
        <v>1664</v>
      </c>
      <c r="B297" s="495" t="s">
        <v>3723</v>
      </c>
      <c r="C297" s="174" t="s">
        <v>3627</v>
      </c>
      <c r="D297" s="452" t="s">
        <v>3710</v>
      </c>
      <c r="E297" s="266">
        <v>311.0</v>
      </c>
      <c r="F297" s="266">
        <v>128.0</v>
      </c>
      <c r="G297" s="266">
        <v>51.0</v>
      </c>
      <c r="H297" s="266">
        <v>2.0</v>
      </c>
      <c r="I297" s="266">
        <v>2190.0</v>
      </c>
      <c r="J297" s="266">
        <v>16.0</v>
      </c>
      <c r="K297" s="266">
        <v>250.0</v>
      </c>
      <c r="L297" s="266" t="s">
        <v>3460</v>
      </c>
      <c r="M297" s="266">
        <v>3.0</v>
      </c>
      <c r="N297" s="266">
        <v>3.0</v>
      </c>
      <c r="O297" s="266">
        <v>1.0</v>
      </c>
      <c r="P297" s="266" t="s">
        <v>166</v>
      </c>
      <c r="Q297" s="266" t="s">
        <v>166</v>
      </c>
      <c r="R297" s="497" t="s">
        <v>166</v>
      </c>
      <c r="S297" s="497" t="s">
        <v>166</v>
      </c>
      <c r="T297" s="496"/>
    </row>
    <row r="298">
      <c r="A298" s="494" t="s">
        <v>1664</v>
      </c>
      <c r="B298" s="495" t="s">
        <v>3723</v>
      </c>
      <c r="C298" s="174" t="str">
        <f t="shared" ref="C298:C301" si="64">HYPERLINK("https://www.gigabyte.com/","Gigabyte")</f>
        <v>Gigabyte</v>
      </c>
      <c r="D298" s="452" t="s">
        <v>3724</v>
      </c>
      <c r="E298" s="266">
        <v>267.0</v>
      </c>
      <c r="F298" s="266">
        <v>120.0</v>
      </c>
      <c r="G298" s="266">
        <v>40.0</v>
      </c>
      <c r="H298" s="266">
        <v>2.0</v>
      </c>
      <c r="I298" s="266">
        <v>2105.0</v>
      </c>
      <c r="J298" s="266">
        <v>16.0</v>
      </c>
      <c r="K298" s="266">
        <v>250.0</v>
      </c>
      <c r="L298" s="266" t="s">
        <v>3460</v>
      </c>
      <c r="M298" s="266">
        <v>3.0</v>
      </c>
      <c r="N298" s="266">
        <v>2.0</v>
      </c>
      <c r="O298" s="266">
        <v>1.0</v>
      </c>
      <c r="P298" s="266">
        <v>1.0</v>
      </c>
      <c r="Q298" s="266" t="s">
        <v>166</v>
      </c>
      <c r="R298" s="497" t="s">
        <v>166</v>
      </c>
      <c r="S298" s="497" t="s">
        <v>166</v>
      </c>
      <c r="T298" s="496"/>
    </row>
    <row r="299">
      <c r="A299" s="494" t="s">
        <v>1664</v>
      </c>
      <c r="B299" s="495" t="s">
        <v>3723</v>
      </c>
      <c r="C299" s="174" t="str">
        <f t="shared" si="64"/>
        <v>Gigabyte</v>
      </c>
      <c r="D299" s="537" t="s">
        <v>3409</v>
      </c>
      <c r="E299" s="266">
        <v>286.0</v>
      </c>
      <c r="F299" s="266">
        <v>112.0</v>
      </c>
      <c r="G299" s="266">
        <v>58.0</v>
      </c>
      <c r="H299" s="266">
        <v>2.0</v>
      </c>
      <c r="I299" s="266">
        <v>2105.0</v>
      </c>
      <c r="J299" s="266">
        <v>16.0</v>
      </c>
      <c r="K299" s="266">
        <v>250.0</v>
      </c>
      <c r="L299" s="266" t="s">
        <v>3460</v>
      </c>
      <c r="M299" s="266">
        <v>3.0</v>
      </c>
      <c r="N299" s="266">
        <v>2.0</v>
      </c>
      <c r="O299" s="266">
        <v>2.0</v>
      </c>
      <c r="P299" s="266" t="s">
        <v>166</v>
      </c>
      <c r="Q299" s="266" t="s">
        <v>166</v>
      </c>
      <c r="R299" s="497" t="s">
        <v>166</v>
      </c>
      <c r="S299" s="497" t="s">
        <v>166</v>
      </c>
      <c r="T299" s="496"/>
    </row>
    <row r="300">
      <c r="A300" s="494" t="s">
        <v>1664</v>
      </c>
      <c r="B300" s="495" t="s">
        <v>3723</v>
      </c>
      <c r="C300" s="174" t="str">
        <f t="shared" si="64"/>
        <v>Gigabyte</v>
      </c>
      <c r="D300" s="537" t="s">
        <v>3630</v>
      </c>
      <c r="E300" s="266">
        <v>286.0</v>
      </c>
      <c r="F300" s="266">
        <v>112.0</v>
      </c>
      <c r="G300" s="266">
        <v>58.0</v>
      </c>
      <c r="H300" s="266">
        <v>2.0</v>
      </c>
      <c r="I300" s="266">
        <v>2155.0</v>
      </c>
      <c r="J300" s="266">
        <v>16.0</v>
      </c>
      <c r="K300" s="266">
        <v>250.0</v>
      </c>
      <c r="L300" s="266" t="s">
        <v>3460</v>
      </c>
      <c r="M300" s="266">
        <v>3.0</v>
      </c>
      <c r="N300" s="266">
        <v>2.0</v>
      </c>
      <c r="O300" s="266">
        <v>2.0</v>
      </c>
      <c r="P300" s="266" t="s">
        <v>166</v>
      </c>
      <c r="Q300" s="266" t="s">
        <v>166</v>
      </c>
      <c r="R300" s="497" t="s">
        <v>166</v>
      </c>
      <c r="S300" s="497" t="s">
        <v>166</v>
      </c>
      <c r="T300" s="496"/>
    </row>
    <row r="301">
      <c r="A301" s="494" t="s">
        <v>1664</v>
      </c>
      <c r="B301" s="495" t="s">
        <v>3723</v>
      </c>
      <c r="C301" s="174" t="str">
        <f t="shared" si="64"/>
        <v>Gigabyte</v>
      </c>
      <c r="D301" s="537" t="s">
        <v>3725</v>
      </c>
      <c r="E301" s="266" t="s">
        <v>170</v>
      </c>
      <c r="F301" s="266" t="s">
        <v>170</v>
      </c>
      <c r="G301" s="266" t="s">
        <v>170</v>
      </c>
      <c r="H301" s="266">
        <v>2.0</v>
      </c>
      <c r="I301" s="266">
        <v>2190.0</v>
      </c>
      <c r="J301" s="266">
        <v>16.0</v>
      </c>
      <c r="K301" s="266">
        <v>250.0</v>
      </c>
      <c r="L301" s="266" t="s">
        <v>3460</v>
      </c>
      <c r="M301" s="266">
        <v>3.0</v>
      </c>
      <c r="N301" s="266">
        <v>2.0</v>
      </c>
      <c r="O301" s="266">
        <v>2.0</v>
      </c>
      <c r="P301" s="266" t="s">
        <v>166</v>
      </c>
      <c r="Q301" s="266" t="s">
        <v>166</v>
      </c>
      <c r="R301" s="497" t="s">
        <v>166</v>
      </c>
      <c r="S301" s="497" t="s">
        <v>166</v>
      </c>
      <c r="T301" s="496"/>
    </row>
    <row r="302">
      <c r="A302" s="494" t="s">
        <v>1664</v>
      </c>
      <c r="B302" s="495" t="s">
        <v>3723</v>
      </c>
      <c r="C302" s="174" t="str">
        <f t="shared" ref="C302:C306" si="65">HYPERLINK("https://www.msi.com/index.php","MSI")</f>
        <v>MSI</v>
      </c>
      <c r="D302" s="537" t="s">
        <v>3724</v>
      </c>
      <c r="E302" s="266">
        <v>267.0</v>
      </c>
      <c r="F302" s="266">
        <v>120.0</v>
      </c>
      <c r="G302" s="266">
        <v>40.0</v>
      </c>
      <c r="H302" s="266">
        <v>2.0</v>
      </c>
      <c r="I302" s="266">
        <v>2105.0</v>
      </c>
      <c r="J302" s="266">
        <v>16.0</v>
      </c>
      <c r="K302" s="266">
        <v>250.0</v>
      </c>
      <c r="L302" s="266" t="s">
        <v>3460</v>
      </c>
      <c r="M302" s="266">
        <v>3.0</v>
      </c>
      <c r="N302" s="266">
        <v>2.0</v>
      </c>
      <c r="O302" s="266">
        <v>1.0</v>
      </c>
      <c r="P302" s="266">
        <v>1.0</v>
      </c>
      <c r="Q302" s="266" t="s">
        <v>166</v>
      </c>
      <c r="R302" s="497" t="s">
        <v>166</v>
      </c>
      <c r="S302" s="497" t="s">
        <v>166</v>
      </c>
      <c r="T302" s="496"/>
    </row>
    <row r="303">
      <c r="A303" s="494" t="s">
        <v>1664</v>
      </c>
      <c r="B303" s="495" t="s">
        <v>3723</v>
      </c>
      <c r="C303" s="174" t="str">
        <f t="shared" si="65"/>
        <v>MSI</v>
      </c>
      <c r="D303" s="537" t="s">
        <v>3720</v>
      </c>
      <c r="E303" s="266">
        <v>324.0</v>
      </c>
      <c r="F303" s="266">
        <v>141.0</v>
      </c>
      <c r="G303" s="266">
        <v>55.0</v>
      </c>
      <c r="H303" s="266">
        <v>2.0</v>
      </c>
      <c r="I303" s="266">
        <v>2105.0</v>
      </c>
      <c r="J303" s="266">
        <v>16.0</v>
      </c>
      <c r="K303" s="266">
        <v>250.0</v>
      </c>
      <c r="L303" s="266" t="s">
        <v>3460</v>
      </c>
      <c r="M303" s="266">
        <v>3.0</v>
      </c>
      <c r="N303" s="266">
        <v>3.0</v>
      </c>
      <c r="O303" s="266">
        <v>1.0</v>
      </c>
      <c r="P303" s="266" t="s">
        <v>166</v>
      </c>
      <c r="Q303" s="266" t="s">
        <v>166</v>
      </c>
      <c r="R303" s="497" t="s">
        <v>166</v>
      </c>
      <c r="S303" s="497" t="s">
        <v>166</v>
      </c>
      <c r="T303" s="496"/>
    </row>
    <row r="304">
      <c r="A304" s="494" t="s">
        <v>1664</v>
      </c>
      <c r="B304" s="495" t="s">
        <v>3723</v>
      </c>
      <c r="C304" s="174" t="str">
        <f t="shared" si="65"/>
        <v>MSI</v>
      </c>
      <c r="D304" s="537" t="s">
        <v>3726</v>
      </c>
      <c r="E304" s="266">
        <v>324.0</v>
      </c>
      <c r="F304" s="266">
        <v>140.0</v>
      </c>
      <c r="G304" s="266">
        <v>55.0</v>
      </c>
      <c r="H304" s="266">
        <v>2.0</v>
      </c>
      <c r="I304" s="266">
        <v>2105.0</v>
      </c>
      <c r="J304" s="266">
        <v>16.0</v>
      </c>
      <c r="K304" s="266">
        <v>250.0</v>
      </c>
      <c r="L304" s="266" t="s">
        <v>3460</v>
      </c>
      <c r="M304" s="266">
        <v>3.0</v>
      </c>
      <c r="N304" s="266">
        <v>3.0</v>
      </c>
      <c r="O304" s="266">
        <v>1.0</v>
      </c>
      <c r="P304" s="266" t="s">
        <v>166</v>
      </c>
      <c r="Q304" s="266" t="s">
        <v>166</v>
      </c>
      <c r="R304" s="497" t="s">
        <v>166</v>
      </c>
      <c r="S304" s="497" t="s">
        <v>166</v>
      </c>
      <c r="T304" s="496"/>
    </row>
    <row r="305">
      <c r="A305" s="494" t="s">
        <v>1664</v>
      </c>
      <c r="B305" s="495" t="s">
        <v>3723</v>
      </c>
      <c r="C305" s="174" t="str">
        <f t="shared" si="65"/>
        <v>MSI</v>
      </c>
      <c r="D305" s="537" t="s">
        <v>3721</v>
      </c>
      <c r="E305" s="266">
        <v>324.0</v>
      </c>
      <c r="F305" s="266">
        <v>141.0</v>
      </c>
      <c r="G305" s="266">
        <v>55.0</v>
      </c>
      <c r="H305" s="266">
        <v>2.0</v>
      </c>
      <c r="I305" s="266">
        <v>2155.0</v>
      </c>
      <c r="J305" s="266">
        <v>16.0</v>
      </c>
      <c r="K305" s="266">
        <v>250.0</v>
      </c>
      <c r="L305" s="266" t="s">
        <v>3460</v>
      </c>
      <c r="M305" s="266">
        <v>3.0</v>
      </c>
      <c r="N305" s="266">
        <v>3.0</v>
      </c>
      <c r="O305" s="266">
        <v>1.0</v>
      </c>
      <c r="P305" s="266" t="s">
        <v>166</v>
      </c>
      <c r="Q305" s="266" t="s">
        <v>166</v>
      </c>
      <c r="R305" s="497" t="s">
        <v>166</v>
      </c>
      <c r="S305" s="497" t="s">
        <v>166</v>
      </c>
      <c r="T305" s="496"/>
    </row>
    <row r="306">
      <c r="A306" s="494" t="s">
        <v>1664</v>
      </c>
      <c r="B306" s="495" t="s">
        <v>3723</v>
      </c>
      <c r="C306" s="174" t="str">
        <f t="shared" si="65"/>
        <v>MSI</v>
      </c>
      <c r="D306" s="537" t="s">
        <v>3727</v>
      </c>
      <c r="E306" s="266">
        <v>324.0</v>
      </c>
      <c r="F306" s="266">
        <v>140.0</v>
      </c>
      <c r="G306" s="266">
        <v>55.0</v>
      </c>
      <c r="H306" s="266">
        <v>2.0</v>
      </c>
      <c r="I306" s="266">
        <v>2155.0</v>
      </c>
      <c r="J306" s="266">
        <v>16.0</v>
      </c>
      <c r="K306" s="266">
        <v>250.0</v>
      </c>
      <c r="L306" s="266" t="s">
        <v>3460</v>
      </c>
      <c r="M306" s="266">
        <v>3.0</v>
      </c>
      <c r="N306" s="266">
        <v>3.0</v>
      </c>
      <c r="O306" s="266">
        <v>1.0</v>
      </c>
      <c r="P306" s="266" t="s">
        <v>166</v>
      </c>
      <c r="Q306" s="266" t="s">
        <v>166</v>
      </c>
      <c r="R306" s="497" t="s">
        <v>166</v>
      </c>
      <c r="S306" s="497" t="s">
        <v>166</v>
      </c>
      <c r="T306" s="496"/>
    </row>
    <row r="307">
      <c r="A307" s="494" t="s">
        <v>1664</v>
      </c>
      <c r="B307" s="495" t="s">
        <v>3723</v>
      </c>
      <c r="C307" s="452" t="str">
        <f t="shared" ref="C307:C311" si="66">HYPERLINK("https://www.powercolor.com/","PowerColor")</f>
        <v>PowerColor</v>
      </c>
      <c r="D307" s="537" t="s">
        <v>3724</v>
      </c>
      <c r="E307" s="266">
        <v>266.7</v>
      </c>
      <c r="F307" s="266">
        <v>119.75</v>
      </c>
      <c r="G307" s="266">
        <v>39.75</v>
      </c>
      <c r="H307" s="266">
        <v>2.0</v>
      </c>
      <c r="I307" s="266">
        <v>2105.0</v>
      </c>
      <c r="J307" s="266">
        <v>16.0</v>
      </c>
      <c r="K307" s="266">
        <v>250.0</v>
      </c>
      <c r="L307" s="266" t="s">
        <v>3460</v>
      </c>
      <c r="M307" s="266">
        <v>3.0</v>
      </c>
      <c r="N307" s="266">
        <v>2.0</v>
      </c>
      <c r="O307" s="266">
        <v>1.0</v>
      </c>
      <c r="P307" s="266">
        <v>1.0</v>
      </c>
      <c r="Q307" s="266" t="s">
        <v>166</v>
      </c>
      <c r="R307" s="497" t="s">
        <v>166</v>
      </c>
      <c r="S307" s="497" t="s">
        <v>166</v>
      </c>
      <c r="T307" s="496"/>
    </row>
    <row r="308">
      <c r="A308" s="494" t="s">
        <v>1664</v>
      </c>
      <c r="B308" s="495" t="s">
        <v>3723</v>
      </c>
      <c r="C308" s="452" t="str">
        <f t="shared" si="66"/>
        <v>PowerColor</v>
      </c>
      <c r="D308" s="537" t="s">
        <v>3384</v>
      </c>
      <c r="E308" s="266">
        <v>300.0</v>
      </c>
      <c r="F308" s="266">
        <v>120.0</v>
      </c>
      <c r="G308" s="266">
        <v>50.0</v>
      </c>
      <c r="H308" s="266">
        <v>2.0</v>
      </c>
      <c r="I308" s="266">
        <v>2155.0</v>
      </c>
      <c r="J308" s="266">
        <v>16.0</v>
      </c>
      <c r="K308" s="266">
        <v>250.0</v>
      </c>
      <c r="L308" s="266" t="s">
        <v>3460</v>
      </c>
      <c r="M308" s="266">
        <v>3.0</v>
      </c>
      <c r="N308" s="266">
        <v>3.0</v>
      </c>
      <c r="O308" s="266">
        <v>1.0</v>
      </c>
      <c r="P308" s="266" t="s">
        <v>166</v>
      </c>
      <c r="Q308" s="266" t="s">
        <v>166</v>
      </c>
      <c r="R308" s="497" t="s">
        <v>166</v>
      </c>
      <c r="S308" s="497" t="s">
        <v>166</v>
      </c>
      <c r="T308" s="496"/>
    </row>
    <row r="309">
      <c r="A309" s="494" t="s">
        <v>1664</v>
      </c>
      <c r="B309" s="495" t="s">
        <v>3723</v>
      </c>
      <c r="C309" s="452" t="str">
        <f t="shared" si="66"/>
        <v>PowerColor</v>
      </c>
      <c r="D309" s="537" t="s">
        <v>3728</v>
      </c>
      <c r="E309" s="266">
        <v>310.0</v>
      </c>
      <c r="F309" s="266">
        <v>135.0</v>
      </c>
      <c r="G309" s="266">
        <v>54.0</v>
      </c>
      <c r="H309" s="266">
        <v>2.0</v>
      </c>
      <c r="I309" s="266">
        <v>2170.0</v>
      </c>
      <c r="J309" s="266">
        <v>16.0</v>
      </c>
      <c r="K309" s="266">
        <v>250.0</v>
      </c>
      <c r="L309" s="266" t="s">
        <v>3460</v>
      </c>
      <c r="M309" s="266">
        <v>3.0</v>
      </c>
      <c r="N309" s="266">
        <v>3.0</v>
      </c>
      <c r="O309" s="266">
        <v>1.0</v>
      </c>
      <c r="P309" s="266" t="s">
        <v>166</v>
      </c>
      <c r="Q309" s="266" t="s">
        <v>166</v>
      </c>
      <c r="R309" s="497" t="s">
        <v>166</v>
      </c>
      <c r="S309" s="497" t="s">
        <v>166</v>
      </c>
      <c r="T309" s="496"/>
    </row>
    <row r="310">
      <c r="A310" s="494" t="s">
        <v>1664</v>
      </c>
      <c r="B310" s="495" t="s">
        <v>3723</v>
      </c>
      <c r="C310" s="452" t="str">
        <f t="shared" si="66"/>
        <v>PowerColor</v>
      </c>
      <c r="D310" s="537" t="s">
        <v>3653</v>
      </c>
      <c r="E310" s="266">
        <v>320.0</v>
      </c>
      <c r="F310" s="266">
        <v>135.0</v>
      </c>
      <c r="G310" s="266">
        <v>62.0</v>
      </c>
      <c r="H310" s="266">
        <v>2.0</v>
      </c>
      <c r="I310" s="266">
        <v>2190.0</v>
      </c>
      <c r="J310" s="266">
        <v>16.0</v>
      </c>
      <c r="K310" s="266">
        <v>250.0</v>
      </c>
      <c r="L310" s="266" t="s">
        <v>3460</v>
      </c>
      <c r="M310" s="266">
        <v>3.0</v>
      </c>
      <c r="N310" s="266">
        <v>3.0</v>
      </c>
      <c r="O310" s="266">
        <v>1.0</v>
      </c>
      <c r="P310" s="266" t="s">
        <v>166</v>
      </c>
      <c r="Q310" s="266" t="s">
        <v>166</v>
      </c>
      <c r="R310" s="497" t="s">
        <v>166</v>
      </c>
      <c r="S310" s="497" t="s">
        <v>166</v>
      </c>
      <c r="T310" s="496"/>
    </row>
    <row r="311">
      <c r="A311" s="494" t="s">
        <v>1664</v>
      </c>
      <c r="B311" s="495" t="s">
        <v>3723</v>
      </c>
      <c r="C311" s="452" t="str">
        <f t="shared" si="66"/>
        <v>PowerColor</v>
      </c>
      <c r="D311" s="537" t="s">
        <v>3678</v>
      </c>
      <c r="E311" s="266">
        <v>320.0</v>
      </c>
      <c r="F311" s="266">
        <v>135.0</v>
      </c>
      <c r="G311" s="266">
        <v>62.0</v>
      </c>
      <c r="H311" s="266">
        <v>2.0</v>
      </c>
      <c r="I311" s="266">
        <v>2190.0</v>
      </c>
      <c r="J311" s="266">
        <v>16.0</v>
      </c>
      <c r="K311" s="266">
        <v>250.0</v>
      </c>
      <c r="L311" s="266" t="s">
        <v>3460</v>
      </c>
      <c r="M311" s="266">
        <v>3.0</v>
      </c>
      <c r="N311" s="266">
        <v>2.0</v>
      </c>
      <c r="O311" s="266">
        <v>1.0</v>
      </c>
      <c r="P311" s="266">
        <v>1.0</v>
      </c>
      <c r="Q311" s="266" t="s">
        <v>166</v>
      </c>
      <c r="R311" s="497" t="s">
        <v>166</v>
      </c>
      <c r="S311" s="497" t="s">
        <v>166</v>
      </c>
      <c r="T311" s="496"/>
    </row>
    <row r="312">
      <c r="A312" s="494" t="s">
        <v>1664</v>
      </c>
      <c r="B312" s="495" t="s">
        <v>3723</v>
      </c>
      <c r="C312" s="452" t="str">
        <f t="shared" ref="C312:C314" si="67">HYPERLINK("https://www.sapphiretech.com/","Sapphire")</f>
        <v>Sapphire</v>
      </c>
      <c r="D312" s="452" t="s">
        <v>3724</v>
      </c>
      <c r="E312" s="266">
        <v>266.7</v>
      </c>
      <c r="F312" s="266">
        <v>119.75</v>
      </c>
      <c r="G312" s="266">
        <v>39.75</v>
      </c>
      <c r="H312" s="266">
        <v>2.0</v>
      </c>
      <c r="I312" s="266">
        <v>2105.0</v>
      </c>
      <c r="J312" s="266">
        <v>16.0</v>
      </c>
      <c r="K312" s="266">
        <v>250.0</v>
      </c>
      <c r="L312" s="266" t="s">
        <v>3460</v>
      </c>
      <c r="M312" s="266">
        <v>3.0</v>
      </c>
      <c r="N312" s="266">
        <v>2.0</v>
      </c>
      <c r="O312" s="266">
        <v>1.0</v>
      </c>
      <c r="P312" s="266">
        <v>1.0</v>
      </c>
      <c r="Q312" s="266" t="s">
        <v>166</v>
      </c>
      <c r="R312" s="497" t="s">
        <v>166</v>
      </c>
      <c r="S312" s="497" t="s">
        <v>166</v>
      </c>
      <c r="T312" s="496"/>
    </row>
    <row r="313">
      <c r="A313" s="494" t="s">
        <v>1664</v>
      </c>
      <c r="B313" s="495" t="s">
        <v>3723</v>
      </c>
      <c r="C313" s="452" t="str">
        <f t="shared" si="67"/>
        <v>Sapphire</v>
      </c>
      <c r="D313" s="452" t="s">
        <v>3376</v>
      </c>
      <c r="E313" s="266">
        <v>303.0</v>
      </c>
      <c r="F313" s="266">
        <v>127.3</v>
      </c>
      <c r="G313" s="266">
        <v>53.8</v>
      </c>
      <c r="H313" s="266">
        <v>2.0</v>
      </c>
      <c r="I313" s="266">
        <v>2170.0</v>
      </c>
      <c r="J313" s="266">
        <v>16.0</v>
      </c>
      <c r="K313" s="266">
        <v>280.0</v>
      </c>
      <c r="L313" s="266" t="s">
        <v>3460</v>
      </c>
      <c r="M313" s="266">
        <v>3.0</v>
      </c>
      <c r="N313" s="266">
        <v>3.0</v>
      </c>
      <c r="O313" s="266">
        <v>1.0</v>
      </c>
      <c r="P313" s="266" t="s">
        <v>166</v>
      </c>
      <c r="Q313" s="266" t="s">
        <v>166</v>
      </c>
      <c r="R313" s="497" t="s">
        <v>166</v>
      </c>
      <c r="S313" s="497" t="s">
        <v>166</v>
      </c>
      <c r="T313" s="496"/>
    </row>
    <row r="314">
      <c r="A314" s="494" t="s">
        <v>1664</v>
      </c>
      <c r="B314" s="495" t="s">
        <v>3723</v>
      </c>
      <c r="C314" s="452" t="str">
        <f t="shared" si="67"/>
        <v>Sapphire</v>
      </c>
      <c r="D314" s="452" t="s">
        <v>3680</v>
      </c>
      <c r="E314" s="266">
        <v>310.5</v>
      </c>
      <c r="F314" s="266">
        <v>134.2</v>
      </c>
      <c r="G314" s="266">
        <v>55.2</v>
      </c>
      <c r="H314" s="266">
        <v>2.0</v>
      </c>
      <c r="I314" s="266">
        <v>2190.0</v>
      </c>
      <c r="J314" s="266">
        <v>16.0</v>
      </c>
      <c r="K314" s="266">
        <v>290.0</v>
      </c>
      <c r="L314" s="266" t="s">
        <v>3460</v>
      </c>
      <c r="M314" s="266">
        <v>3.0</v>
      </c>
      <c r="N314" s="266">
        <v>3.0</v>
      </c>
      <c r="O314" s="266">
        <v>1.0</v>
      </c>
      <c r="P314" s="266" t="s">
        <v>166</v>
      </c>
      <c r="Q314" s="266" t="s">
        <v>166</v>
      </c>
      <c r="R314" s="497" t="s">
        <v>166</v>
      </c>
      <c r="S314" s="497" t="s">
        <v>166</v>
      </c>
      <c r="T314" s="496"/>
    </row>
    <row r="315">
      <c r="A315" s="494" t="s">
        <v>1664</v>
      </c>
      <c r="B315" s="495" t="s">
        <v>3723</v>
      </c>
      <c r="C315" s="452" t="str">
        <f t="shared" ref="C315:C318" si="68">HYPERLINK("https://www.xfxforce.com/","XFX")</f>
        <v>XFX</v>
      </c>
      <c r="D315" s="537" t="s">
        <v>3724</v>
      </c>
      <c r="E315" s="266">
        <v>266.67</v>
      </c>
      <c r="F315" s="266">
        <v>119.8</v>
      </c>
      <c r="G315" s="266">
        <v>39.8</v>
      </c>
      <c r="H315" s="266">
        <v>2.0</v>
      </c>
      <c r="I315" s="266">
        <v>2105.0</v>
      </c>
      <c r="J315" s="266">
        <v>16.0</v>
      </c>
      <c r="K315" s="266">
        <v>250.0</v>
      </c>
      <c r="L315" s="266" t="s">
        <v>3460</v>
      </c>
      <c r="M315" s="266">
        <v>3.0</v>
      </c>
      <c r="N315" s="266">
        <v>2.0</v>
      </c>
      <c r="O315" s="266">
        <v>1.0</v>
      </c>
      <c r="P315" s="266">
        <v>1.0</v>
      </c>
      <c r="Q315" s="266" t="s">
        <v>166</v>
      </c>
      <c r="R315" s="497" t="s">
        <v>166</v>
      </c>
      <c r="S315" s="497" t="s">
        <v>166</v>
      </c>
      <c r="T315" s="496"/>
    </row>
    <row r="316">
      <c r="A316" s="494" t="s">
        <v>1664</v>
      </c>
      <c r="B316" s="495" t="s">
        <v>3723</v>
      </c>
      <c r="C316" s="452" t="str">
        <f t="shared" si="68"/>
        <v>XFX</v>
      </c>
      <c r="D316" s="452" t="s">
        <v>3729</v>
      </c>
      <c r="E316" s="266">
        <v>340.0</v>
      </c>
      <c r="F316" s="266">
        <v>130.0</v>
      </c>
      <c r="G316" s="266">
        <v>52.0</v>
      </c>
      <c r="H316" s="266">
        <v>2.0</v>
      </c>
      <c r="I316" s="266">
        <v>2105.0</v>
      </c>
      <c r="J316" s="266">
        <v>16.0</v>
      </c>
      <c r="K316" s="266">
        <v>250.0</v>
      </c>
      <c r="L316" s="266" t="s">
        <v>3460</v>
      </c>
      <c r="M316" s="266">
        <v>3.0</v>
      </c>
      <c r="N316" s="266">
        <v>3.0</v>
      </c>
      <c r="O316" s="266">
        <v>1.0</v>
      </c>
      <c r="P316" s="266" t="s">
        <v>166</v>
      </c>
      <c r="Q316" s="266" t="s">
        <v>166</v>
      </c>
      <c r="R316" s="497" t="s">
        <v>166</v>
      </c>
      <c r="S316" s="497" t="s">
        <v>166</v>
      </c>
      <c r="T316" s="496"/>
    </row>
    <row r="317">
      <c r="A317" s="494" t="s">
        <v>1664</v>
      </c>
      <c r="B317" s="495" t="s">
        <v>3723</v>
      </c>
      <c r="C317" s="452" t="str">
        <f t="shared" si="68"/>
        <v>XFX</v>
      </c>
      <c r="D317" s="452" t="s">
        <v>3716</v>
      </c>
      <c r="E317" s="266">
        <v>340.0</v>
      </c>
      <c r="F317" s="266">
        <v>138.0</v>
      </c>
      <c r="G317" s="266">
        <v>54.0</v>
      </c>
      <c r="H317" s="266">
        <v>2.0</v>
      </c>
      <c r="I317" s="266">
        <v>2190.0</v>
      </c>
      <c r="J317" s="266">
        <v>16.0</v>
      </c>
      <c r="K317" s="266">
        <v>250.0</v>
      </c>
      <c r="L317" s="266" t="s">
        <v>3460</v>
      </c>
      <c r="M317" s="266">
        <v>3.0</v>
      </c>
      <c r="N317" s="266">
        <v>3.0</v>
      </c>
      <c r="O317" s="266">
        <v>1.0</v>
      </c>
      <c r="P317" s="266" t="s">
        <v>166</v>
      </c>
      <c r="Q317" s="266" t="s">
        <v>166</v>
      </c>
      <c r="R317" s="497" t="s">
        <v>166</v>
      </c>
      <c r="S317" s="497" t="s">
        <v>166</v>
      </c>
      <c r="T317" s="496"/>
    </row>
    <row r="318">
      <c r="A318" s="504" t="s">
        <v>1664</v>
      </c>
      <c r="B318" s="505" t="s">
        <v>3723</v>
      </c>
      <c r="C318" s="506" t="str">
        <f t="shared" si="68"/>
        <v>XFX</v>
      </c>
      <c r="D318" s="506" t="s">
        <v>3715</v>
      </c>
      <c r="E318" s="266">
        <v>340.0</v>
      </c>
      <c r="F318" s="266">
        <v>138.0</v>
      </c>
      <c r="G318" s="266">
        <v>54.0</v>
      </c>
      <c r="H318" s="266">
        <v>2.0</v>
      </c>
      <c r="I318" s="266">
        <v>2190.0</v>
      </c>
      <c r="J318" s="266">
        <v>16.0</v>
      </c>
      <c r="K318" s="266">
        <v>250.0</v>
      </c>
      <c r="L318" s="266" t="s">
        <v>3460</v>
      </c>
      <c r="M318" s="266">
        <v>3.0</v>
      </c>
      <c r="N318" s="266">
        <v>3.0</v>
      </c>
      <c r="O318" s="266">
        <v>1.0</v>
      </c>
      <c r="P318" s="266" t="s">
        <v>166</v>
      </c>
      <c r="Q318" s="266" t="s">
        <v>166</v>
      </c>
      <c r="R318" s="508" t="s">
        <v>166</v>
      </c>
      <c r="S318" s="508" t="s">
        <v>166</v>
      </c>
      <c r="T318" s="509"/>
    </row>
    <row r="319">
      <c r="A319" s="504" t="s">
        <v>1664</v>
      </c>
      <c r="B319" s="505" t="s">
        <v>3723</v>
      </c>
      <c r="C319" s="506" t="s">
        <v>3378</v>
      </c>
      <c r="D319" s="506" t="s">
        <v>3730</v>
      </c>
      <c r="E319" s="266" t="s">
        <v>170</v>
      </c>
      <c r="F319" s="266" t="s">
        <v>170</v>
      </c>
      <c r="G319" s="266" t="s">
        <v>170</v>
      </c>
      <c r="H319" s="266">
        <v>2.0</v>
      </c>
      <c r="I319" s="266">
        <v>2190.0</v>
      </c>
      <c r="J319" s="266">
        <v>16.0</v>
      </c>
      <c r="K319" s="266">
        <v>250.0</v>
      </c>
      <c r="L319" s="266" t="s">
        <v>3460</v>
      </c>
      <c r="M319" s="266">
        <v>3.0</v>
      </c>
      <c r="N319" s="266">
        <v>3.0</v>
      </c>
      <c r="O319" s="266">
        <v>1.0</v>
      </c>
      <c r="P319" s="266" t="s">
        <v>166</v>
      </c>
      <c r="Q319" s="266" t="s">
        <v>166</v>
      </c>
      <c r="R319" s="507" t="s">
        <v>166</v>
      </c>
      <c r="S319" s="507" t="s">
        <v>166</v>
      </c>
      <c r="T319" s="509"/>
    </row>
    <row r="320">
      <c r="A320" s="538" t="s">
        <v>1664</v>
      </c>
      <c r="B320" s="539" t="s">
        <v>3723</v>
      </c>
      <c r="C320" s="500" t="s">
        <v>3378</v>
      </c>
      <c r="D320" s="391" t="s">
        <v>3688</v>
      </c>
      <c r="E320" s="501">
        <v>301.0</v>
      </c>
      <c r="F320" s="501">
        <v>132.0</v>
      </c>
      <c r="G320" s="501">
        <v>49.0</v>
      </c>
      <c r="H320" s="501">
        <v>2.0</v>
      </c>
      <c r="I320" s="501">
        <v>2190.0</v>
      </c>
      <c r="J320" s="501">
        <v>16.0</v>
      </c>
      <c r="K320" s="501">
        <v>250.0</v>
      </c>
      <c r="L320" s="501" t="s">
        <v>3460</v>
      </c>
      <c r="M320" s="501">
        <v>3.0</v>
      </c>
      <c r="N320" s="501">
        <v>2.0</v>
      </c>
      <c r="O320" s="501">
        <v>1.0</v>
      </c>
      <c r="P320" s="501">
        <v>1.0</v>
      </c>
      <c r="Q320" s="501" t="s">
        <v>166</v>
      </c>
      <c r="R320" s="540" t="s">
        <v>166</v>
      </c>
      <c r="S320" s="540" t="s">
        <v>166</v>
      </c>
      <c r="T320" s="541"/>
    </row>
    <row r="321">
      <c r="A321" s="504" t="s">
        <v>1664</v>
      </c>
      <c r="B321" s="505" t="s">
        <v>3731</v>
      </c>
      <c r="C321" s="506" t="str">
        <f t="shared" ref="C321:C322" si="69">HYPERLINK("https://www.amd.com/en","AMD")</f>
        <v>AMD</v>
      </c>
      <c r="D321" s="544" t="s">
        <v>3732</v>
      </c>
      <c r="E321" s="507">
        <v>267.0</v>
      </c>
      <c r="F321" s="507">
        <v>120.0</v>
      </c>
      <c r="G321" s="507">
        <v>50.0</v>
      </c>
      <c r="H321" s="507">
        <v>2.0</v>
      </c>
      <c r="I321" s="507">
        <v>2250.0</v>
      </c>
      <c r="J321" s="507">
        <v>16.0</v>
      </c>
      <c r="K321" s="507">
        <v>300.0</v>
      </c>
      <c r="L321" s="507" t="s">
        <v>3460</v>
      </c>
      <c r="M321" s="507">
        <v>3.0</v>
      </c>
      <c r="N321" s="507">
        <v>2.0</v>
      </c>
      <c r="O321" s="507">
        <v>1.0</v>
      </c>
      <c r="P321" s="507">
        <v>1.0</v>
      </c>
      <c r="Q321" s="507" t="s">
        <v>166</v>
      </c>
      <c r="R321" s="508" t="s">
        <v>166</v>
      </c>
      <c r="S321" s="508" t="s">
        <v>166</v>
      </c>
      <c r="T321" s="509"/>
    </row>
    <row r="322">
      <c r="A322" s="504" t="s">
        <v>1664</v>
      </c>
      <c r="B322" s="505" t="s">
        <v>3731</v>
      </c>
      <c r="C322" s="506" t="str">
        <f t="shared" si="69"/>
        <v>AMD</v>
      </c>
      <c r="D322" s="506" t="s">
        <v>3733</v>
      </c>
      <c r="E322" s="266">
        <v>267.0</v>
      </c>
      <c r="F322" s="266">
        <v>120.0</v>
      </c>
      <c r="G322" s="266">
        <v>50.0</v>
      </c>
      <c r="H322" s="266">
        <v>2.0</v>
      </c>
      <c r="I322" s="266">
        <v>2250.0</v>
      </c>
      <c r="J322" s="266">
        <v>16.0</v>
      </c>
      <c r="K322" s="266">
        <v>300.0</v>
      </c>
      <c r="L322" s="266" t="s">
        <v>3460</v>
      </c>
      <c r="M322" s="266">
        <v>3.0</v>
      </c>
      <c r="N322" s="266">
        <v>2.0</v>
      </c>
      <c r="O322" s="266">
        <v>1.0</v>
      </c>
      <c r="P322" s="266">
        <v>1.0</v>
      </c>
      <c r="Q322" s="266" t="s">
        <v>166</v>
      </c>
      <c r="R322" s="508" t="s">
        <v>166</v>
      </c>
      <c r="S322" s="508" t="s">
        <v>166</v>
      </c>
      <c r="T322" s="509"/>
    </row>
    <row r="323">
      <c r="A323" s="494" t="s">
        <v>1664</v>
      </c>
      <c r="B323" s="495" t="s">
        <v>3731</v>
      </c>
      <c r="C323" s="452" t="str">
        <f t="shared" ref="C323:C325" si="70">HYPERLINK("https://www.asrock.com/","ASRock")</f>
        <v>ASRock</v>
      </c>
      <c r="D323" s="452" t="s">
        <v>3732</v>
      </c>
      <c r="E323" s="266">
        <v>267.0</v>
      </c>
      <c r="F323" s="266">
        <v>120.0</v>
      </c>
      <c r="G323" s="266">
        <v>50.0</v>
      </c>
      <c r="H323" s="266">
        <v>2.0</v>
      </c>
      <c r="I323" s="266">
        <v>2250.0</v>
      </c>
      <c r="J323" s="266">
        <v>16.0</v>
      </c>
      <c r="K323" s="266">
        <v>300.0</v>
      </c>
      <c r="L323" s="266" t="s">
        <v>3460</v>
      </c>
      <c r="M323" s="266">
        <v>3.0</v>
      </c>
      <c r="N323" s="266">
        <v>2.0</v>
      </c>
      <c r="O323" s="266">
        <v>1.0</v>
      </c>
      <c r="P323" s="266">
        <v>1.0</v>
      </c>
      <c r="Q323" s="266" t="s">
        <v>166</v>
      </c>
      <c r="R323" s="497" t="s">
        <v>166</v>
      </c>
      <c r="S323" s="497" t="s">
        <v>166</v>
      </c>
      <c r="T323" s="496"/>
    </row>
    <row r="324">
      <c r="A324" s="494" t="s">
        <v>1664</v>
      </c>
      <c r="B324" s="495" t="s">
        <v>3731</v>
      </c>
      <c r="C324" s="452" t="str">
        <f t="shared" si="70"/>
        <v>ASRock</v>
      </c>
      <c r="D324" s="452" t="s">
        <v>3657</v>
      </c>
      <c r="E324" s="266">
        <v>330.0</v>
      </c>
      <c r="F324" s="266">
        <v>140.0</v>
      </c>
      <c r="G324" s="266">
        <v>56.0</v>
      </c>
      <c r="H324" s="266">
        <v>2.0</v>
      </c>
      <c r="I324" s="266">
        <v>2310.0</v>
      </c>
      <c r="J324" s="266">
        <v>16.0</v>
      </c>
      <c r="K324" s="266">
        <v>300.0</v>
      </c>
      <c r="L324" s="266" t="s">
        <v>3734</v>
      </c>
      <c r="M324" s="266">
        <v>3.0</v>
      </c>
      <c r="N324" s="266">
        <v>3.0</v>
      </c>
      <c r="O324" s="266">
        <v>1.0</v>
      </c>
      <c r="P324" s="266" t="s">
        <v>166</v>
      </c>
      <c r="Q324" s="266" t="s">
        <v>166</v>
      </c>
      <c r="R324" s="497" t="s">
        <v>166</v>
      </c>
      <c r="S324" s="497" t="s">
        <v>166</v>
      </c>
      <c r="T324" s="496"/>
    </row>
    <row r="325">
      <c r="A325" s="494" t="s">
        <v>1664</v>
      </c>
      <c r="B325" s="495" t="s">
        <v>3731</v>
      </c>
      <c r="C325" s="452" t="str">
        <f t="shared" si="70"/>
        <v>ASRock</v>
      </c>
      <c r="D325" s="537" t="s">
        <v>3735</v>
      </c>
      <c r="E325" s="266">
        <v>330.0</v>
      </c>
      <c r="F325" s="266">
        <v>140.0</v>
      </c>
      <c r="G325" s="266">
        <v>56.0</v>
      </c>
      <c r="H325" s="266">
        <v>2.0</v>
      </c>
      <c r="I325" s="266">
        <v>2360.0</v>
      </c>
      <c r="J325" s="266">
        <v>16.0</v>
      </c>
      <c r="K325" s="266">
        <v>300.0</v>
      </c>
      <c r="L325" s="266" t="s">
        <v>3734</v>
      </c>
      <c r="M325" s="266">
        <v>3.0</v>
      </c>
      <c r="N325" s="266">
        <v>2.0</v>
      </c>
      <c r="O325" s="266">
        <v>1.0</v>
      </c>
      <c r="P325" s="266">
        <v>1.0</v>
      </c>
      <c r="Q325" s="266" t="s">
        <v>166</v>
      </c>
      <c r="R325" s="266" t="s">
        <v>166</v>
      </c>
      <c r="S325" s="266" t="s">
        <v>166</v>
      </c>
      <c r="T325" s="494"/>
    </row>
    <row r="326">
      <c r="A326" s="494" t="s">
        <v>1664</v>
      </c>
      <c r="B326" s="495" t="s">
        <v>3731</v>
      </c>
      <c r="C326" s="174" t="str">
        <f t="shared" ref="C326:C328" si="71">HYPERLINK("https://www.asus.com/","Asus")</f>
        <v>Asus</v>
      </c>
      <c r="D326" s="537" t="s">
        <v>3732</v>
      </c>
      <c r="E326" s="266">
        <v>267.0</v>
      </c>
      <c r="F326" s="266">
        <v>120.0</v>
      </c>
      <c r="G326" s="266">
        <v>50.0</v>
      </c>
      <c r="H326" s="266">
        <v>2.0</v>
      </c>
      <c r="I326" s="266">
        <v>2250.0</v>
      </c>
      <c r="J326" s="266">
        <v>16.0</v>
      </c>
      <c r="K326" s="266">
        <v>300.0</v>
      </c>
      <c r="L326" s="266" t="s">
        <v>3460</v>
      </c>
      <c r="M326" s="266">
        <v>3.0</v>
      </c>
      <c r="N326" s="266">
        <v>2.0</v>
      </c>
      <c r="O326" s="266">
        <v>1.0</v>
      </c>
      <c r="P326" s="266">
        <v>1.0</v>
      </c>
      <c r="Q326" s="266" t="s">
        <v>166</v>
      </c>
      <c r="R326" s="497" t="s">
        <v>166</v>
      </c>
      <c r="S326" s="497" t="s">
        <v>166</v>
      </c>
      <c r="T326" s="496"/>
    </row>
    <row r="327">
      <c r="A327" s="494" t="s">
        <v>1664</v>
      </c>
      <c r="B327" s="495" t="s">
        <v>3731</v>
      </c>
      <c r="C327" s="174" t="str">
        <f t="shared" si="71"/>
        <v>Asus</v>
      </c>
      <c r="D327" s="537" t="s">
        <v>3478</v>
      </c>
      <c r="E327" s="266">
        <v>320.0</v>
      </c>
      <c r="F327" s="266">
        <v>140.2</v>
      </c>
      <c r="G327" s="266">
        <v>57.8</v>
      </c>
      <c r="H327" s="266">
        <v>2.0</v>
      </c>
      <c r="I327" s="266">
        <v>2340.0</v>
      </c>
      <c r="J327" s="266">
        <v>16.0</v>
      </c>
      <c r="K327" s="266">
        <v>300.0</v>
      </c>
      <c r="L327" s="266" t="s">
        <v>3460</v>
      </c>
      <c r="M327" s="266">
        <v>3.0</v>
      </c>
      <c r="N327" s="266">
        <v>3.0</v>
      </c>
      <c r="O327" s="266">
        <v>1.0</v>
      </c>
      <c r="P327" s="266" t="s">
        <v>166</v>
      </c>
      <c r="Q327" s="266" t="s">
        <v>166</v>
      </c>
      <c r="R327" s="497" t="s">
        <v>166</v>
      </c>
      <c r="S327" s="497" t="s">
        <v>166</v>
      </c>
      <c r="T327" s="496"/>
    </row>
    <row r="328">
      <c r="A328" s="494" t="s">
        <v>1664</v>
      </c>
      <c r="B328" s="495" t="s">
        <v>3731</v>
      </c>
      <c r="C328" s="174" t="str">
        <f t="shared" si="71"/>
        <v>Asus</v>
      </c>
      <c r="D328" s="537" t="s">
        <v>3736</v>
      </c>
      <c r="E328" s="266">
        <v>277.0</v>
      </c>
      <c r="F328" s="266">
        <v>130.8</v>
      </c>
      <c r="G328" s="266">
        <v>43.6</v>
      </c>
      <c r="H328" s="266">
        <v>2.0</v>
      </c>
      <c r="I328" s="266">
        <v>2360.0</v>
      </c>
      <c r="J328" s="266">
        <v>16.0</v>
      </c>
      <c r="K328" s="266">
        <v>300.0</v>
      </c>
      <c r="L328" s="266" t="s">
        <v>3460</v>
      </c>
      <c r="M328" s="266">
        <v>1.0</v>
      </c>
      <c r="N328" s="266">
        <v>2.0</v>
      </c>
      <c r="O328" s="266">
        <v>1.0</v>
      </c>
      <c r="P328" s="266">
        <v>1.0</v>
      </c>
      <c r="Q328" s="266" t="s">
        <v>166</v>
      </c>
      <c r="R328" s="266" t="s">
        <v>174</v>
      </c>
      <c r="S328" s="266" t="s">
        <v>174</v>
      </c>
      <c r="T328" s="494"/>
    </row>
    <row r="329">
      <c r="A329" s="494" t="s">
        <v>1664</v>
      </c>
      <c r="B329" s="495" t="s">
        <v>3731</v>
      </c>
      <c r="C329" s="174" t="s">
        <v>3627</v>
      </c>
      <c r="D329" s="452" t="s">
        <v>3732</v>
      </c>
      <c r="E329" s="266">
        <v>267.0</v>
      </c>
      <c r="F329" s="266">
        <v>120.0</v>
      </c>
      <c r="G329" s="266">
        <v>50.0</v>
      </c>
      <c r="H329" s="266">
        <v>2.0</v>
      </c>
      <c r="I329" s="266">
        <v>2250.0</v>
      </c>
      <c r="J329" s="266">
        <v>16.0</v>
      </c>
      <c r="K329" s="266">
        <v>300.0</v>
      </c>
      <c r="L329" s="266" t="s">
        <v>3460</v>
      </c>
      <c r="M329" s="266">
        <v>3.0</v>
      </c>
      <c r="N329" s="266">
        <v>2.0</v>
      </c>
      <c r="O329" s="266">
        <v>1.0</v>
      </c>
      <c r="P329" s="266">
        <v>1.0</v>
      </c>
      <c r="Q329" s="266" t="s">
        <v>166</v>
      </c>
      <c r="R329" s="497" t="s">
        <v>166</v>
      </c>
      <c r="S329" s="497" t="s">
        <v>166</v>
      </c>
      <c r="T329" s="496"/>
    </row>
    <row r="330">
      <c r="A330" s="494" t="s">
        <v>1664</v>
      </c>
      <c r="B330" s="495" t="s">
        <v>3731</v>
      </c>
      <c r="C330" s="174" t="s">
        <v>3627</v>
      </c>
      <c r="D330" s="452" t="s">
        <v>3710</v>
      </c>
      <c r="E330" s="266">
        <v>311.0</v>
      </c>
      <c r="F330" s="266">
        <v>128.0</v>
      </c>
      <c r="G330" s="266">
        <v>51.0</v>
      </c>
      <c r="H330" s="266">
        <v>2.0</v>
      </c>
      <c r="I330" s="266">
        <v>2360.0</v>
      </c>
      <c r="J330" s="266">
        <v>16.0</v>
      </c>
      <c r="K330" s="266">
        <v>300.0</v>
      </c>
      <c r="L330" s="266" t="s">
        <v>3460</v>
      </c>
      <c r="M330" s="266">
        <v>3.0</v>
      </c>
      <c r="N330" s="266">
        <v>3.0</v>
      </c>
      <c r="O330" s="266">
        <v>1.0</v>
      </c>
      <c r="P330" s="266" t="s">
        <v>166</v>
      </c>
      <c r="Q330" s="266" t="s">
        <v>166</v>
      </c>
      <c r="R330" s="497" t="s">
        <v>166</v>
      </c>
      <c r="S330" s="497" t="s">
        <v>166</v>
      </c>
      <c r="T330" s="496"/>
    </row>
    <row r="331">
      <c r="A331" s="494" t="s">
        <v>1664</v>
      </c>
      <c r="B331" s="495" t="s">
        <v>3731</v>
      </c>
      <c r="C331" s="174" t="str">
        <f t="shared" ref="C331:C335" si="72">HYPERLINK("https://www.gigabyte.com/","Gigabyte")</f>
        <v>Gigabyte</v>
      </c>
      <c r="D331" s="452" t="s">
        <v>3732</v>
      </c>
      <c r="E331" s="266">
        <v>267.0</v>
      </c>
      <c r="F331" s="266">
        <v>120.0</v>
      </c>
      <c r="G331" s="266">
        <v>49.0</v>
      </c>
      <c r="H331" s="266">
        <v>2.0</v>
      </c>
      <c r="I331" s="266">
        <v>2250.0</v>
      </c>
      <c r="J331" s="266">
        <v>16.0</v>
      </c>
      <c r="K331" s="266">
        <v>300.0</v>
      </c>
      <c r="L331" s="266" t="s">
        <v>3460</v>
      </c>
      <c r="M331" s="266">
        <v>3.0</v>
      </c>
      <c r="N331" s="266">
        <v>2.0</v>
      </c>
      <c r="O331" s="266">
        <v>1.0</v>
      </c>
      <c r="P331" s="266">
        <v>1.0</v>
      </c>
      <c r="Q331" s="266" t="s">
        <v>166</v>
      </c>
      <c r="R331" s="497" t="s">
        <v>166</v>
      </c>
      <c r="S331" s="497" t="s">
        <v>166</v>
      </c>
      <c r="T331" s="496"/>
    </row>
    <row r="332">
      <c r="A332" s="494" t="s">
        <v>1664</v>
      </c>
      <c r="B332" s="495" t="s">
        <v>3731</v>
      </c>
      <c r="C332" s="174" t="str">
        <f t="shared" si="72"/>
        <v>Gigabyte</v>
      </c>
      <c r="D332" s="537" t="s">
        <v>3409</v>
      </c>
      <c r="E332" s="266">
        <v>286.0</v>
      </c>
      <c r="F332" s="266">
        <v>118.0</v>
      </c>
      <c r="G332" s="266">
        <v>58.0</v>
      </c>
      <c r="H332" s="266">
        <v>2.0</v>
      </c>
      <c r="I332" s="266">
        <v>2250.0</v>
      </c>
      <c r="J332" s="266">
        <v>16.0</v>
      </c>
      <c r="K332" s="266">
        <v>300.0</v>
      </c>
      <c r="L332" s="266" t="s">
        <v>3460</v>
      </c>
      <c r="M332" s="266">
        <v>3.0</v>
      </c>
      <c r="N332" s="266">
        <v>2.0</v>
      </c>
      <c r="O332" s="266">
        <v>2.0</v>
      </c>
      <c r="P332" s="266" t="s">
        <v>166</v>
      </c>
      <c r="Q332" s="266" t="s">
        <v>166</v>
      </c>
      <c r="R332" s="497" t="s">
        <v>166</v>
      </c>
      <c r="S332" s="497" t="s">
        <v>166</v>
      </c>
      <c r="T332" s="496"/>
    </row>
    <row r="333">
      <c r="A333" s="494" t="s">
        <v>1664</v>
      </c>
      <c r="B333" s="495" t="s">
        <v>3731</v>
      </c>
      <c r="C333" s="174" t="str">
        <f t="shared" si="72"/>
        <v>Gigabyte</v>
      </c>
      <c r="D333" s="537" t="s">
        <v>3630</v>
      </c>
      <c r="E333" s="266">
        <v>286.0</v>
      </c>
      <c r="F333" s="266">
        <v>118.0</v>
      </c>
      <c r="G333" s="266">
        <v>58.0</v>
      </c>
      <c r="H333" s="266">
        <v>2.0</v>
      </c>
      <c r="I333" s="266">
        <v>2285.0</v>
      </c>
      <c r="J333" s="266">
        <v>16.0</v>
      </c>
      <c r="K333" s="266">
        <v>300.0</v>
      </c>
      <c r="L333" s="266" t="s">
        <v>3460</v>
      </c>
      <c r="M333" s="266">
        <v>3.0</v>
      </c>
      <c r="N333" s="266">
        <v>2.0</v>
      </c>
      <c r="O333" s="266">
        <v>2.0</v>
      </c>
      <c r="P333" s="266" t="s">
        <v>166</v>
      </c>
      <c r="Q333" s="266" t="s">
        <v>166</v>
      </c>
      <c r="R333" s="497" t="s">
        <v>166</v>
      </c>
      <c r="S333" s="497" t="s">
        <v>166</v>
      </c>
      <c r="T333" s="496"/>
    </row>
    <row r="334">
      <c r="A334" s="494" t="s">
        <v>1664</v>
      </c>
      <c r="B334" s="495" t="s">
        <v>3731</v>
      </c>
      <c r="C334" s="174" t="str">
        <f t="shared" si="72"/>
        <v>Gigabyte</v>
      </c>
      <c r="D334" s="537" t="s">
        <v>3725</v>
      </c>
      <c r="E334" s="266">
        <v>324.0</v>
      </c>
      <c r="F334" s="266">
        <v>140.0</v>
      </c>
      <c r="G334" s="266">
        <v>60.0</v>
      </c>
      <c r="H334" s="266">
        <v>2.0</v>
      </c>
      <c r="I334" s="266">
        <v>2310.0</v>
      </c>
      <c r="J334" s="266">
        <v>16.0</v>
      </c>
      <c r="K334" s="266">
        <v>300.0</v>
      </c>
      <c r="L334" s="266" t="s">
        <v>3460</v>
      </c>
      <c r="M334" s="266">
        <v>3.0</v>
      </c>
      <c r="N334" s="266">
        <v>2.0</v>
      </c>
      <c r="O334" s="266">
        <v>2.0</v>
      </c>
      <c r="P334" s="266" t="s">
        <v>166</v>
      </c>
      <c r="Q334" s="266" t="s">
        <v>166</v>
      </c>
      <c r="R334" s="497" t="s">
        <v>166</v>
      </c>
      <c r="S334" s="497" t="s">
        <v>166</v>
      </c>
      <c r="T334" s="496"/>
    </row>
    <row r="335">
      <c r="A335" s="494" t="s">
        <v>1664</v>
      </c>
      <c r="B335" s="495" t="s">
        <v>3731</v>
      </c>
      <c r="C335" s="174" t="str">
        <f t="shared" si="72"/>
        <v>Gigabyte</v>
      </c>
      <c r="D335" s="537" t="s">
        <v>3737</v>
      </c>
      <c r="E335" s="266">
        <v>324.0</v>
      </c>
      <c r="F335" s="266">
        <v>140.0</v>
      </c>
      <c r="G335" s="266">
        <v>60.0</v>
      </c>
      <c r="H335" s="266">
        <v>2.0</v>
      </c>
      <c r="I335" s="266">
        <v>2310.0</v>
      </c>
      <c r="J335" s="266">
        <v>16.0</v>
      </c>
      <c r="K335" s="266">
        <v>300.0</v>
      </c>
      <c r="L335" s="266" t="s">
        <v>3460</v>
      </c>
      <c r="M335" s="266">
        <v>3.0</v>
      </c>
      <c r="N335" s="266">
        <v>2.0</v>
      </c>
      <c r="O335" s="266">
        <v>1.0</v>
      </c>
      <c r="P335" s="266">
        <v>1.0</v>
      </c>
      <c r="Q335" s="266" t="s">
        <v>166</v>
      </c>
      <c r="R335" s="497" t="s">
        <v>166</v>
      </c>
      <c r="S335" s="497" t="s">
        <v>166</v>
      </c>
      <c r="T335" s="496"/>
    </row>
    <row r="336">
      <c r="A336" s="494" t="s">
        <v>1664</v>
      </c>
      <c r="B336" s="495" t="s">
        <v>3731</v>
      </c>
      <c r="C336" s="174" t="str">
        <f t="shared" ref="C336:C338" si="73">HYPERLINK("https://www.msi.com/index.php","MSI")</f>
        <v>MSI</v>
      </c>
      <c r="D336" s="537" t="s">
        <v>3732</v>
      </c>
      <c r="E336" s="266">
        <v>267.0</v>
      </c>
      <c r="F336" s="266">
        <v>120.0</v>
      </c>
      <c r="G336" s="266">
        <v>50.0</v>
      </c>
      <c r="H336" s="266">
        <v>2.0</v>
      </c>
      <c r="I336" s="266">
        <v>2250.0</v>
      </c>
      <c r="J336" s="266">
        <v>16.0</v>
      </c>
      <c r="K336" s="266">
        <v>300.0</v>
      </c>
      <c r="L336" s="266" t="s">
        <v>3460</v>
      </c>
      <c r="M336" s="266">
        <v>3.0</v>
      </c>
      <c r="N336" s="266">
        <v>2.0</v>
      </c>
      <c r="O336" s="266">
        <v>1.0</v>
      </c>
      <c r="P336" s="266">
        <v>1.0</v>
      </c>
      <c r="Q336" s="266" t="s">
        <v>166</v>
      </c>
      <c r="R336" s="497" t="s">
        <v>166</v>
      </c>
      <c r="S336" s="497" t="s">
        <v>166</v>
      </c>
      <c r="T336" s="496"/>
    </row>
    <row r="337">
      <c r="A337" s="494" t="s">
        <v>1664</v>
      </c>
      <c r="B337" s="495" t="s">
        <v>3731</v>
      </c>
      <c r="C337" s="174" t="str">
        <f t="shared" si="73"/>
        <v>MSI</v>
      </c>
      <c r="D337" s="537" t="s">
        <v>3720</v>
      </c>
      <c r="E337" s="266">
        <v>324.0</v>
      </c>
      <c r="F337" s="266">
        <v>141.0</v>
      </c>
      <c r="G337" s="266">
        <v>55.0</v>
      </c>
      <c r="H337" s="266">
        <v>2.0</v>
      </c>
      <c r="I337" s="266">
        <v>2250.0</v>
      </c>
      <c r="J337" s="266">
        <v>16.0</v>
      </c>
      <c r="K337" s="266">
        <v>300.0</v>
      </c>
      <c r="L337" s="266" t="s">
        <v>3460</v>
      </c>
      <c r="M337" s="266">
        <v>3.0</v>
      </c>
      <c r="N337" s="266">
        <v>3.0</v>
      </c>
      <c r="O337" s="266">
        <v>1.0</v>
      </c>
      <c r="P337" s="266" t="s">
        <v>166</v>
      </c>
      <c r="Q337" s="266" t="s">
        <v>166</v>
      </c>
      <c r="R337" s="497" t="s">
        <v>166</v>
      </c>
      <c r="S337" s="497" t="s">
        <v>166</v>
      </c>
      <c r="T337" s="496"/>
    </row>
    <row r="338">
      <c r="A338" s="494" t="s">
        <v>1664</v>
      </c>
      <c r="B338" s="495" t="s">
        <v>3731</v>
      </c>
      <c r="C338" s="174" t="str">
        <f t="shared" si="73"/>
        <v>MSI</v>
      </c>
      <c r="D338" s="537" t="s">
        <v>3721</v>
      </c>
      <c r="E338" s="266">
        <v>324.0</v>
      </c>
      <c r="F338" s="266">
        <v>141.0</v>
      </c>
      <c r="G338" s="266">
        <v>55.0</v>
      </c>
      <c r="H338" s="266">
        <v>2.0</v>
      </c>
      <c r="I338" s="266">
        <v>2285.0</v>
      </c>
      <c r="J338" s="266">
        <v>16.0</v>
      </c>
      <c r="K338" s="266">
        <v>300.0</v>
      </c>
      <c r="L338" s="266" t="s">
        <v>3460</v>
      </c>
      <c r="M338" s="266">
        <v>3.0</v>
      </c>
      <c r="N338" s="266">
        <v>3.0</v>
      </c>
      <c r="O338" s="266">
        <v>1.0</v>
      </c>
      <c r="P338" s="266" t="s">
        <v>166</v>
      </c>
      <c r="Q338" s="266" t="s">
        <v>166</v>
      </c>
      <c r="R338" s="497" t="s">
        <v>166</v>
      </c>
      <c r="S338" s="497" t="s">
        <v>166</v>
      </c>
      <c r="T338" s="496"/>
    </row>
    <row r="339">
      <c r="A339" s="494" t="s">
        <v>1664</v>
      </c>
      <c r="B339" s="495" t="s">
        <v>3731</v>
      </c>
      <c r="C339" s="452" t="str">
        <f t="shared" ref="C339:C343" si="74">HYPERLINK("https://www.powercolor.com/","PowerColor")</f>
        <v>PowerColor</v>
      </c>
      <c r="D339" s="537" t="s">
        <v>3732</v>
      </c>
      <c r="E339" s="266">
        <v>266.7</v>
      </c>
      <c r="F339" s="266">
        <v>119.75</v>
      </c>
      <c r="G339" s="266">
        <v>49.75</v>
      </c>
      <c r="H339" s="266">
        <v>2.0</v>
      </c>
      <c r="I339" s="266">
        <v>2250.0</v>
      </c>
      <c r="J339" s="266">
        <v>16.0</v>
      </c>
      <c r="K339" s="266">
        <v>300.0</v>
      </c>
      <c r="L339" s="266" t="s">
        <v>3460</v>
      </c>
      <c r="M339" s="266">
        <v>3.0</v>
      </c>
      <c r="N339" s="266">
        <v>2.0</v>
      </c>
      <c r="O339" s="266">
        <v>1.0</v>
      </c>
      <c r="P339" s="266">
        <v>1.0</v>
      </c>
      <c r="Q339" s="266" t="s">
        <v>166</v>
      </c>
      <c r="R339" s="497" t="s">
        <v>166</v>
      </c>
      <c r="S339" s="497" t="s">
        <v>166</v>
      </c>
      <c r="T339" s="496"/>
    </row>
    <row r="340">
      <c r="A340" s="494" t="s">
        <v>1664</v>
      </c>
      <c r="B340" s="495" t="s">
        <v>3731</v>
      </c>
      <c r="C340" s="452" t="str">
        <f t="shared" si="74"/>
        <v>PowerColor</v>
      </c>
      <c r="D340" s="537" t="s">
        <v>3728</v>
      </c>
      <c r="E340" s="266">
        <v>310.0</v>
      </c>
      <c r="F340" s="266">
        <v>135.0</v>
      </c>
      <c r="G340" s="266">
        <v>54.0</v>
      </c>
      <c r="H340" s="266">
        <v>2.0</v>
      </c>
      <c r="I340" s="266">
        <v>2310.0</v>
      </c>
      <c r="J340" s="266">
        <v>16.0</v>
      </c>
      <c r="K340" s="266">
        <v>300.0</v>
      </c>
      <c r="L340" s="266" t="s">
        <v>3460</v>
      </c>
      <c r="M340" s="266">
        <v>3.0</v>
      </c>
      <c r="N340" s="266">
        <v>3.0</v>
      </c>
      <c r="O340" s="266">
        <v>1.0</v>
      </c>
      <c r="P340" s="266" t="s">
        <v>166</v>
      </c>
      <c r="Q340" s="266" t="s">
        <v>166</v>
      </c>
      <c r="R340" s="497" t="s">
        <v>166</v>
      </c>
      <c r="S340" s="497" t="s">
        <v>166</v>
      </c>
      <c r="T340" s="496"/>
    </row>
    <row r="341">
      <c r="A341" s="494" t="s">
        <v>1664</v>
      </c>
      <c r="B341" s="495" t="s">
        <v>3731</v>
      </c>
      <c r="C341" s="452" t="str">
        <f t="shared" si="74"/>
        <v>PowerColor</v>
      </c>
      <c r="D341" s="537" t="s">
        <v>3653</v>
      </c>
      <c r="E341" s="266">
        <v>320.0</v>
      </c>
      <c r="F341" s="266">
        <v>135.0</v>
      </c>
      <c r="G341" s="266">
        <v>62.0</v>
      </c>
      <c r="H341" s="266">
        <v>2.0</v>
      </c>
      <c r="I341" s="266">
        <v>2340.0</v>
      </c>
      <c r="J341" s="266">
        <v>16.0</v>
      </c>
      <c r="K341" s="266">
        <v>300.0</v>
      </c>
      <c r="L341" s="266" t="s">
        <v>3460</v>
      </c>
      <c r="M341" s="266">
        <v>3.0</v>
      </c>
      <c r="N341" s="266">
        <v>3.0</v>
      </c>
      <c r="O341" s="266">
        <v>1.0</v>
      </c>
      <c r="P341" s="266" t="s">
        <v>166</v>
      </c>
      <c r="Q341" s="266" t="s">
        <v>166</v>
      </c>
      <c r="R341" s="497" t="s">
        <v>166</v>
      </c>
      <c r="S341" s="497" t="s">
        <v>166</v>
      </c>
      <c r="T341" s="496"/>
    </row>
    <row r="342">
      <c r="A342" s="494" t="s">
        <v>1664</v>
      </c>
      <c r="B342" s="495" t="s">
        <v>3731</v>
      </c>
      <c r="C342" s="452" t="str">
        <f t="shared" si="74"/>
        <v>PowerColor</v>
      </c>
      <c r="D342" s="537" t="s">
        <v>3678</v>
      </c>
      <c r="E342" s="266">
        <v>320.0</v>
      </c>
      <c r="F342" s="266">
        <v>135.0</v>
      </c>
      <c r="G342" s="266">
        <v>62.0</v>
      </c>
      <c r="H342" s="266">
        <v>2.0</v>
      </c>
      <c r="I342" s="266">
        <v>2340.0</v>
      </c>
      <c r="J342" s="266">
        <v>16.0</v>
      </c>
      <c r="K342" s="266">
        <v>300.0</v>
      </c>
      <c r="L342" s="266" t="s">
        <v>3460</v>
      </c>
      <c r="M342" s="266">
        <v>3.0</v>
      </c>
      <c r="N342" s="266">
        <v>2.0</v>
      </c>
      <c r="O342" s="266">
        <v>1.0</v>
      </c>
      <c r="P342" s="266">
        <v>1.0</v>
      </c>
      <c r="Q342" s="266" t="s">
        <v>166</v>
      </c>
      <c r="R342" s="497" t="s">
        <v>166</v>
      </c>
      <c r="S342" s="497" t="s">
        <v>166</v>
      </c>
      <c r="T342" s="496"/>
    </row>
    <row r="343">
      <c r="A343" s="494" t="s">
        <v>1664</v>
      </c>
      <c r="B343" s="495" t="s">
        <v>3731</v>
      </c>
      <c r="C343" s="452" t="str">
        <f t="shared" si="74"/>
        <v>PowerColor</v>
      </c>
      <c r="D343" s="537" t="s">
        <v>3738</v>
      </c>
      <c r="E343" s="266">
        <v>266.0</v>
      </c>
      <c r="F343" s="266">
        <v>162.0</v>
      </c>
      <c r="G343" s="266">
        <v>20.0</v>
      </c>
      <c r="H343" s="266">
        <v>2.0</v>
      </c>
      <c r="I343" s="266">
        <v>2360.0</v>
      </c>
      <c r="J343" s="266">
        <v>16.0</v>
      </c>
      <c r="K343" s="266">
        <v>300.0</v>
      </c>
      <c r="L343" s="266" t="s">
        <v>3734</v>
      </c>
      <c r="M343" s="266" t="s">
        <v>166</v>
      </c>
      <c r="N343" s="266">
        <v>2.0</v>
      </c>
      <c r="O343" s="266">
        <v>1.0</v>
      </c>
      <c r="P343" s="266">
        <v>1.0</v>
      </c>
      <c r="Q343" s="266" t="s">
        <v>166</v>
      </c>
      <c r="R343" s="266" t="s">
        <v>174</v>
      </c>
      <c r="S343" s="266" t="s">
        <v>166</v>
      </c>
      <c r="T343" s="494"/>
    </row>
    <row r="344">
      <c r="A344" s="494" t="s">
        <v>1664</v>
      </c>
      <c r="B344" s="495" t="s">
        <v>3731</v>
      </c>
      <c r="C344" s="452" t="str">
        <f t="shared" ref="C344:C347" si="75">HYPERLINK("https://www.sapphiretech.com/","Sapphire")</f>
        <v>Sapphire</v>
      </c>
      <c r="D344" s="452" t="s">
        <v>3732</v>
      </c>
      <c r="E344" s="266">
        <v>266.7</v>
      </c>
      <c r="F344" s="266">
        <v>119.75</v>
      </c>
      <c r="G344" s="266">
        <v>49.75</v>
      </c>
      <c r="H344" s="266">
        <v>2.0</v>
      </c>
      <c r="I344" s="266">
        <v>2250.0</v>
      </c>
      <c r="J344" s="266">
        <v>16.0</v>
      </c>
      <c r="K344" s="266">
        <v>300.0</v>
      </c>
      <c r="L344" s="266" t="s">
        <v>3460</v>
      </c>
      <c r="M344" s="266">
        <v>3.0</v>
      </c>
      <c r="N344" s="266">
        <v>2.0</v>
      </c>
      <c r="O344" s="266">
        <v>1.0</v>
      </c>
      <c r="P344" s="266">
        <v>1.0</v>
      </c>
      <c r="Q344" s="266" t="s">
        <v>166</v>
      </c>
      <c r="R344" s="266" t="s">
        <v>166</v>
      </c>
      <c r="S344" s="497" t="s">
        <v>166</v>
      </c>
      <c r="T344" s="496"/>
    </row>
    <row r="345">
      <c r="A345" s="494" t="s">
        <v>1664</v>
      </c>
      <c r="B345" s="495" t="s">
        <v>3731</v>
      </c>
      <c r="C345" s="452" t="str">
        <f t="shared" si="75"/>
        <v>Sapphire</v>
      </c>
      <c r="D345" s="537" t="s">
        <v>3376</v>
      </c>
      <c r="E345" s="266">
        <v>313.0</v>
      </c>
      <c r="F345" s="266">
        <v>134.8</v>
      </c>
      <c r="G345" s="266">
        <v>53.4</v>
      </c>
      <c r="H345" s="266">
        <v>2.0</v>
      </c>
      <c r="I345" s="266">
        <v>2310.0</v>
      </c>
      <c r="J345" s="266">
        <v>16.0</v>
      </c>
      <c r="K345" s="266">
        <v>300.0</v>
      </c>
      <c r="L345" s="266" t="s">
        <v>3460</v>
      </c>
      <c r="M345" s="266">
        <v>3.0</v>
      </c>
      <c r="N345" s="266">
        <v>3.0</v>
      </c>
      <c r="O345" s="266">
        <v>1.0</v>
      </c>
      <c r="P345" s="266" t="s">
        <v>166</v>
      </c>
      <c r="Q345" s="266" t="s">
        <v>166</v>
      </c>
      <c r="R345" s="497" t="s">
        <v>166</v>
      </c>
      <c r="S345" s="497" t="s">
        <v>166</v>
      </c>
      <c r="T345" s="496"/>
    </row>
    <row r="346">
      <c r="A346" s="494" t="s">
        <v>1664</v>
      </c>
      <c r="B346" s="495" t="s">
        <v>3731</v>
      </c>
      <c r="C346" s="452" t="str">
        <f t="shared" si="75"/>
        <v>Sapphire</v>
      </c>
      <c r="D346" s="537" t="s">
        <v>3680</v>
      </c>
      <c r="E346" s="266">
        <v>310.0</v>
      </c>
      <c r="F346" s="266">
        <v>134.8</v>
      </c>
      <c r="G346" s="266">
        <v>55.3</v>
      </c>
      <c r="H346" s="266">
        <v>2.0</v>
      </c>
      <c r="I346" s="266">
        <v>2360.0</v>
      </c>
      <c r="J346" s="266">
        <v>16.0</v>
      </c>
      <c r="K346" s="266">
        <v>350.0</v>
      </c>
      <c r="L346" s="266" t="s">
        <v>3460</v>
      </c>
      <c r="M346" s="266">
        <v>3.0</v>
      </c>
      <c r="N346" s="266">
        <v>3.0</v>
      </c>
      <c r="O346" s="266">
        <v>1.0</v>
      </c>
      <c r="P346" s="266" t="s">
        <v>166</v>
      </c>
      <c r="Q346" s="266" t="s">
        <v>166</v>
      </c>
      <c r="R346" s="497" t="s">
        <v>166</v>
      </c>
      <c r="S346" s="497" t="s">
        <v>166</v>
      </c>
      <c r="T346" s="496"/>
    </row>
    <row r="347">
      <c r="A347" s="494" t="s">
        <v>1664</v>
      </c>
      <c r="B347" s="495" t="s">
        <v>3731</v>
      </c>
      <c r="C347" s="452" t="str">
        <f t="shared" si="75"/>
        <v>Sapphire</v>
      </c>
      <c r="D347" s="537" t="s">
        <v>3633</v>
      </c>
      <c r="E347" s="266">
        <v>310.0</v>
      </c>
      <c r="F347" s="266">
        <v>134.8</v>
      </c>
      <c r="G347" s="266">
        <v>55.3</v>
      </c>
      <c r="H347" s="266">
        <v>2.0</v>
      </c>
      <c r="I347" s="266">
        <v>2360.0</v>
      </c>
      <c r="J347" s="266">
        <v>16.0</v>
      </c>
      <c r="K347" s="266">
        <v>350.0</v>
      </c>
      <c r="L347" s="266" t="s">
        <v>3460</v>
      </c>
      <c r="M347" s="266">
        <v>3.0</v>
      </c>
      <c r="N347" s="266">
        <v>2.0</v>
      </c>
      <c r="O347" s="266">
        <v>1.0</v>
      </c>
      <c r="P347" s="266">
        <v>1.0</v>
      </c>
      <c r="Q347" s="266" t="s">
        <v>166</v>
      </c>
      <c r="R347" s="497" t="s">
        <v>166</v>
      </c>
      <c r="S347" s="497" t="s">
        <v>166</v>
      </c>
      <c r="T347" s="496"/>
    </row>
    <row r="348">
      <c r="A348" s="494" t="s">
        <v>1664</v>
      </c>
      <c r="B348" s="495" t="s">
        <v>3731</v>
      </c>
      <c r="C348" s="452" t="str">
        <f t="shared" ref="C348:C351" si="76">HYPERLINK("https://www.xfxforce.com/","XFX")</f>
        <v>XFX</v>
      </c>
      <c r="D348" s="537" t="s">
        <v>3732</v>
      </c>
      <c r="E348" s="266">
        <v>266.67</v>
      </c>
      <c r="F348" s="266">
        <v>119.8</v>
      </c>
      <c r="G348" s="266">
        <v>49.8</v>
      </c>
      <c r="H348" s="266">
        <v>2.0</v>
      </c>
      <c r="I348" s="266">
        <v>2250.0</v>
      </c>
      <c r="J348" s="266">
        <v>16.0</v>
      </c>
      <c r="K348" s="266">
        <v>300.0</v>
      </c>
      <c r="L348" s="266" t="s">
        <v>3460</v>
      </c>
      <c r="M348" s="266">
        <v>3.0</v>
      </c>
      <c r="N348" s="266">
        <v>2.0</v>
      </c>
      <c r="O348" s="266">
        <v>1.0</v>
      </c>
      <c r="P348" s="266">
        <v>1.0</v>
      </c>
      <c r="Q348" s="266" t="s">
        <v>166</v>
      </c>
      <c r="R348" s="497" t="s">
        <v>166</v>
      </c>
      <c r="S348" s="497" t="s">
        <v>166</v>
      </c>
      <c r="T348" s="496"/>
    </row>
    <row r="349">
      <c r="A349" s="494" t="s">
        <v>1664</v>
      </c>
      <c r="B349" s="495" t="s">
        <v>3731</v>
      </c>
      <c r="C349" s="452" t="str">
        <f t="shared" si="76"/>
        <v>XFX</v>
      </c>
      <c r="D349" s="488" t="s">
        <v>3729</v>
      </c>
      <c r="E349" s="527">
        <v>340.0</v>
      </c>
      <c r="F349" s="527">
        <v>130.0</v>
      </c>
      <c r="G349" s="527">
        <v>52.0</v>
      </c>
      <c r="H349" s="527">
        <v>2.0</v>
      </c>
      <c r="I349" s="527">
        <v>2250.0</v>
      </c>
      <c r="J349" s="527">
        <v>16.0</v>
      </c>
      <c r="K349" s="527">
        <v>300.0</v>
      </c>
      <c r="L349" s="266" t="s">
        <v>3460</v>
      </c>
      <c r="M349" s="527">
        <v>3.0</v>
      </c>
      <c r="N349" s="527">
        <v>3.0</v>
      </c>
      <c r="O349" s="527">
        <v>1.0</v>
      </c>
      <c r="P349" s="527" t="s">
        <v>166</v>
      </c>
      <c r="Q349" s="527" t="s">
        <v>166</v>
      </c>
      <c r="R349" s="528" t="s">
        <v>166</v>
      </c>
      <c r="S349" s="528" t="s">
        <v>166</v>
      </c>
      <c r="T349" s="529"/>
    </row>
    <row r="350">
      <c r="A350" s="494" t="s">
        <v>1664</v>
      </c>
      <c r="B350" s="495" t="s">
        <v>3731</v>
      </c>
      <c r="C350" s="452" t="str">
        <f t="shared" si="76"/>
        <v>XFX</v>
      </c>
      <c r="D350" s="488" t="s">
        <v>3739</v>
      </c>
      <c r="E350" s="527">
        <v>340.0</v>
      </c>
      <c r="F350" s="527">
        <v>138.0</v>
      </c>
      <c r="G350" s="527">
        <v>54.0</v>
      </c>
      <c r="H350" s="527">
        <v>2.0</v>
      </c>
      <c r="I350" s="527">
        <v>2250.0</v>
      </c>
      <c r="J350" s="527">
        <v>16.0</v>
      </c>
      <c r="K350" s="527">
        <v>300.0</v>
      </c>
      <c r="L350" s="527" t="s">
        <v>3460</v>
      </c>
      <c r="M350" s="527">
        <v>3.0</v>
      </c>
      <c r="N350" s="527">
        <v>3.0</v>
      </c>
      <c r="O350" s="527">
        <v>1.0</v>
      </c>
      <c r="P350" s="527" t="s">
        <v>166</v>
      </c>
      <c r="Q350" s="527" t="s">
        <v>166</v>
      </c>
      <c r="R350" s="528" t="s">
        <v>166</v>
      </c>
      <c r="S350" s="528" t="s">
        <v>166</v>
      </c>
      <c r="T350" s="529"/>
    </row>
    <row r="351">
      <c r="A351" s="494" t="s">
        <v>1664</v>
      </c>
      <c r="B351" s="495" t="s">
        <v>3731</v>
      </c>
      <c r="C351" s="452" t="str">
        <f t="shared" si="76"/>
        <v>XFX</v>
      </c>
      <c r="D351" s="488" t="s">
        <v>3716</v>
      </c>
      <c r="E351" s="527">
        <v>340.0</v>
      </c>
      <c r="F351" s="527">
        <v>139.0</v>
      </c>
      <c r="G351" s="527">
        <v>57.0</v>
      </c>
      <c r="H351" s="527">
        <v>2.0</v>
      </c>
      <c r="I351" s="527">
        <v>2360.0</v>
      </c>
      <c r="J351" s="527">
        <v>16.0</v>
      </c>
      <c r="K351" s="527">
        <v>300.0</v>
      </c>
      <c r="L351" s="527" t="s">
        <v>3460</v>
      </c>
      <c r="M351" s="527">
        <v>3.0</v>
      </c>
      <c r="N351" s="527">
        <v>2.0</v>
      </c>
      <c r="O351" s="527">
        <v>1.0</v>
      </c>
      <c r="P351" s="527">
        <v>1.0</v>
      </c>
      <c r="Q351" s="527" t="s">
        <v>166</v>
      </c>
      <c r="R351" s="528" t="s">
        <v>166</v>
      </c>
      <c r="S351" s="528" t="s">
        <v>166</v>
      </c>
      <c r="T351" s="529"/>
    </row>
    <row r="352">
      <c r="A352" s="498" t="s">
        <v>1664</v>
      </c>
      <c r="B352" s="499" t="s">
        <v>3731</v>
      </c>
      <c r="C352" s="500" t="s">
        <v>3378</v>
      </c>
      <c r="D352" s="545" t="s">
        <v>3688</v>
      </c>
      <c r="E352" s="501">
        <v>301.0</v>
      </c>
      <c r="F352" s="501">
        <v>132.0</v>
      </c>
      <c r="G352" s="501">
        <v>49.0</v>
      </c>
      <c r="H352" s="501">
        <v>2.0</v>
      </c>
      <c r="I352" s="501">
        <v>2310.0</v>
      </c>
      <c r="J352" s="501">
        <v>16.0</v>
      </c>
      <c r="K352" s="501">
        <v>300.0</v>
      </c>
      <c r="L352" s="501" t="s">
        <v>3460</v>
      </c>
      <c r="M352" s="501">
        <v>3.0</v>
      </c>
      <c r="N352" s="501">
        <v>2.0</v>
      </c>
      <c r="O352" s="501">
        <v>1.0</v>
      </c>
      <c r="P352" s="501">
        <v>1.0</v>
      </c>
      <c r="Q352" s="501" t="s">
        <v>166</v>
      </c>
      <c r="R352" s="502" t="s">
        <v>166</v>
      </c>
      <c r="S352" s="502" t="s">
        <v>166</v>
      </c>
      <c r="T352" s="503"/>
    </row>
    <row r="353">
      <c r="A353" s="504" t="s">
        <v>1664</v>
      </c>
      <c r="B353" s="505" t="s">
        <v>3740</v>
      </c>
      <c r="C353" s="506" t="str">
        <f t="shared" ref="C353:C354" si="77">HYPERLINK("https://www.amd.com/en","AMD")</f>
        <v>AMD</v>
      </c>
      <c r="D353" s="490" t="s">
        <v>3741</v>
      </c>
      <c r="E353" s="533">
        <v>267.0</v>
      </c>
      <c r="F353" s="533">
        <v>120.0</v>
      </c>
      <c r="G353" s="533">
        <v>50.0</v>
      </c>
      <c r="H353" s="533">
        <v>2.0</v>
      </c>
      <c r="I353" s="533">
        <v>2250.0</v>
      </c>
      <c r="J353" s="533">
        <v>16.0</v>
      </c>
      <c r="K353" s="533">
        <v>300.0</v>
      </c>
      <c r="L353" s="533" t="s">
        <v>3460</v>
      </c>
      <c r="M353" s="533">
        <v>3.0</v>
      </c>
      <c r="N353" s="533">
        <v>2.0</v>
      </c>
      <c r="O353" s="533">
        <v>1.0</v>
      </c>
      <c r="P353" s="533">
        <v>1.0</v>
      </c>
      <c r="Q353" s="533" t="s">
        <v>166</v>
      </c>
      <c r="R353" s="533" t="s">
        <v>166</v>
      </c>
      <c r="S353" s="534" t="s">
        <v>166</v>
      </c>
      <c r="T353" s="535"/>
    </row>
    <row r="354">
      <c r="A354" s="504" t="s">
        <v>1664</v>
      </c>
      <c r="B354" s="505" t="s">
        <v>3740</v>
      </c>
      <c r="C354" s="506" t="str">
        <f t="shared" si="77"/>
        <v>AMD</v>
      </c>
      <c r="D354" s="546" t="s">
        <v>3742</v>
      </c>
      <c r="E354" s="527" t="s">
        <v>170</v>
      </c>
      <c r="F354" s="527" t="s">
        <v>170</v>
      </c>
      <c r="G354" s="527" t="s">
        <v>170</v>
      </c>
      <c r="H354" s="527">
        <v>2.0</v>
      </c>
      <c r="I354" s="527">
        <v>2435.0</v>
      </c>
      <c r="J354" s="527">
        <v>18.0</v>
      </c>
      <c r="K354" s="527">
        <v>330.0</v>
      </c>
      <c r="L354" s="266" t="s">
        <v>3460</v>
      </c>
      <c r="M354" s="527" t="s">
        <v>166</v>
      </c>
      <c r="N354" s="527">
        <v>2.0</v>
      </c>
      <c r="O354" s="527">
        <v>1.0</v>
      </c>
      <c r="P354" s="527">
        <v>1.0</v>
      </c>
      <c r="Q354" s="527" t="s">
        <v>166</v>
      </c>
      <c r="R354" s="527" t="s">
        <v>174</v>
      </c>
      <c r="S354" s="527" t="s">
        <v>166</v>
      </c>
      <c r="T354" s="547"/>
    </row>
    <row r="355">
      <c r="A355" s="494" t="s">
        <v>1664</v>
      </c>
      <c r="B355" s="495" t="s">
        <v>3740</v>
      </c>
      <c r="C355" s="452" t="str">
        <f t="shared" ref="C355:C357" si="78">HYPERLINK("https://www.asrock.com/","ASRock")</f>
        <v>ASRock</v>
      </c>
      <c r="D355" s="452" t="s">
        <v>3741</v>
      </c>
      <c r="E355" s="266">
        <v>267.0</v>
      </c>
      <c r="F355" s="266">
        <v>120.0</v>
      </c>
      <c r="G355" s="266">
        <v>50.0</v>
      </c>
      <c r="H355" s="266">
        <v>2.0</v>
      </c>
      <c r="I355" s="266">
        <v>2250.0</v>
      </c>
      <c r="J355" s="266">
        <v>16.0</v>
      </c>
      <c r="K355" s="266">
        <v>300.0</v>
      </c>
      <c r="L355" s="266" t="s">
        <v>3460</v>
      </c>
      <c r="M355" s="266">
        <v>3.0</v>
      </c>
      <c r="N355" s="266">
        <v>2.0</v>
      </c>
      <c r="O355" s="266">
        <v>1.0</v>
      </c>
      <c r="P355" s="266">
        <v>1.0</v>
      </c>
      <c r="Q355" s="266" t="s">
        <v>166</v>
      </c>
      <c r="R355" s="266" t="s">
        <v>166</v>
      </c>
      <c r="S355" s="497" t="s">
        <v>166</v>
      </c>
      <c r="T355" s="496"/>
    </row>
    <row r="356">
      <c r="A356" s="494" t="s">
        <v>1664</v>
      </c>
      <c r="B356" s="495" t="s">
        <v>3740</v>
      </c>
      <c r="C356" s="452" t="str">
        <f t="shared" si="78"/>
        <v>ASRock</v>
      </c>
      <c r="D356" s="537" t="s">
        <v>3657</v>
      </c>
      <c r="E356" s="266">
        <v>330.0</v>
      </c>
      <c r="F356" s="266">
        <v>140.0</v>
      </c>
      <c r="G356" s="266">
        <v>56.0</v>
      </c>
      <c r="H356" s="266">
        <v>2.0</v>
      </c>
      <c r="I356" s="266">
        <v>2340.0</v>
      </c>
      <c r="J356" s="266">
        <v>16.0</v>
      </c>
      <c r="K356" s="266">
        <v>300.0</v>
      </c>
      <c r="L356" s="266" t="s">
        <v>3734</v>
      </c>
      <c r="M356" s="266">
        <v>3.0</v>
      </c>
      <c r="N356" s="266">
        <v>3.0</v>
      </c>
      <c r="O356" s="266">
        <v>1.0</v>
      </c>
      <c r="P356" s="266" t="s">
        <v>166</v>
      </c>
      <c r="Q356" s="266" t="s">
        <v>166</v>
      </c>
      <c r="R356" s="266" t="s">
        <v>166</v>
      </c>
      <c r="S356" s="497" t="s">
        <v>166</v>
      </c>
      <c r="T356" s="496"/>
    </row>
    <row r="357">
      <c r="A357" s="494" t="s">
        <v>1664</v>
      </c>
      <c r="B357" s="495" t="s">
        <v>3740</v>
      </c>
      <c r="C357" s="452" t="str">
        <f t="shared" si="78"/>
        <v>ASRock</v>
      </c>
      <c r="D357" s="452" t="s">
        <v>3743</v>
      </c>
      <c r="E357" s="266">
        <v>332.0</v>
      </c>
      <c r="F357" s="266">
        <v>137.0</v>
      </c>
      <c r="G357" s="266">
        <v>61.0</v>
      </c>
      <c r="H357" s="266">
        <v>2.0</v>
      </c>
      <c r="I357" s="266">
        <v>2475.0</v>
      </c>
      <c r="J357" s="266">
        <v>16.0</v>
      </c>
      <c r="K357" s="266">
        <v>300.0</v>
      </c>
      <c r="L357" s="266" t="s">
        <v>3734</v>
      </c>
      <c r="M357" s="266">
        <v>3.0</v>
      </c>
      <c r="N357" s="266">
        <v>3.0</v>
      </c>
      <c r="O357" s="266">
        <v>1.0</v>
      </c>
      <c r="P357" s="266" t="s">
        <v>166</v>
      </c>
      <c r="Q357" s="266" t="s">
        <v>166</v>
      </c>
      <c r="R357" s="266" t="s">
        <v>166</v>
      </c>
      <c r="S357" s="497" t="s">
        <v>166</v>
      </c>
      <c r="T357" s="496"/>
    </row>
    <row r="358">
      <c r="A358" s="494" t="s">
        <v>1664</v>
      </c>
      <c r="B358" s="495" t="s">
        <v>3740</v>
      </c>
      <c r="C358" s="174" t="str">
        <f t="shared" ref="C358:C362" si="79">HYPERLINK("https://www.asus.com/","Asus")</f>
        <v>Asus</v>
      </c>
      <c r="D358" s="452" t="s">
        <v>3741</v>
      </c>
      <c r="E358" s="266">
        <v>266.7</v>
      </c>
      <c r="F358" s="266">
        <v>119.8</v>
      </c>
      <c r="G358" s="266">
        <v>49.8</v>
      </c>
      <c r="H358" s="266">
        <v>2.0</v>
      </c>
      <c r="I358" s="266">
        <v>2250.0</v>
      </c>
      <c r="J358" s="266">
        <v>16.0</v>
      </c>
      <c r="K358" s="266">
        <v>300.0</v>
      </c>
      <c r="L358" s="266" t="s">
        <v>3460</v>
      </c>
      <c r="M358" s="266">
        <v>3.0</v>
      </c>
      <c r="N358" s="266">
        <v>2.0</v>
      </c>
      <c r="O358" s="266">
        <v>1.0</v>
      </c>
      <c r="P358" s="266">
        <v>1.0</v>
      </c>
      <c r="Q358" s="266" t="s">
        <v>166</v>
      </c>
      <c r="R358" s="266" t="s">
        <v>166</v>
      </c>
      <c r="S358" s="497" t="s">
        <v>166</v>
      </c>
      <c r="T358" s="496"/>
    </row>
    <row r="359">
      <c r="A359" s="494" t="s">
        <v>1664</v>
      </c>
      <c r="B359" s="495" t="s">
        <v>3740</v>
      </c>
      <c r="C359" s="174" t="str">
        <f t="shared" si="79"/>
        <v>Asus</v>
      </c>
      <c r="D359" s="452" t="s">
        <v>3478</v>
      </c>
      <c r="E359" s="266">
        <v>320.0</v>
      </c>
      <c r="F359" s="266">
        <v>140.2</v>
      </c>
      <c r="G359" s="266">
        <v>57.8</v>
      </c>
      <c r="H359" s="266">
        <v>2.0</v>
      </c>
      <c r="I359" s="266">
        <v>2340.0</v>
      </c>
      <c r="J359" s="266">
        <v>16.0</v>
      </c>
      <c r="K359" s="266">
        <v>300.0</v>
      </c>
      <c r="L359" s="266" t="s">
        <v>3460</v>
      </c>
      <c r="M359" s="266">
        <v>3.0</v>
      </c>
      <c r="N359" s="266">
        <v>3.0</v>
      </c>
      <c r="O359" s="266">
        <v>1.0</v>
      </c>
      <c r="P359" s="266" t="s">
        <v>166</v>
      </c>
      <c r="Q359" s="266" t="s">
        <v>166</v>
      </c>
      <c r="R359" s="266" t="s">
        <v>166</v>
      </c>
      <c r="S359" s="497" t="s">
        <v>166</v>
      </c>
      <c r="T359" s="496"/>
    </row>
    <row r="360">
      <c r="A360" s="494" t="s">
        <v>1664</v>
      </c>
      <c r="B360" s="495" t="s">
        <v>3740</v>
      </c>
      <c r="C360" s="174" t="str">
        <f t="shared" si="79"/>
        <v>Asus</v>
      </c>
      <c r="D360" s="452" t="s">
        <v>3744</v>
      </c>
      <c r="E360" s="266">
        <v>320.0</v>
      </c>
      <c r="F360" s="266">
        <v>140.2</v>
      </c>
      <c r="G360" s="266">
        <v>57.8</v>
      </c>
      <c r="H360" s="266">
        <v>2.0</v>
      </c>
      <c r="I360" s="266">
        <v>2390.0</v>
      </c>
      <c r="J360" s="266">
        <v>16.0</v>
      </c>
      <c r="K360" s="266">
        <v>300.0</v>
      </c>
      <c r="L360" s="266" t="s">
        <v>3460</v>
      </c>
      <c r="M360" s="266">
        <v>3.0</v>
      </c>
      <c r="N360" s="266">
        <v>3.0</v>
      </c>
      <c r="O360" s="266">
        <v>1.0</v>
      </c>
      <c r="P360" s="266" t="s">
        <v>166</v>
      </c>
      <c r="Q360" s="266" t="s">
        <v>166</v>
      </c>
      <c r="R360" s="266" t="s">
        <v>166</v>
      </c>
      <c r="S360" s="266" t="s">
        <v>166</v>
      </c>
      <c r="T360" s="494"/>
    </row>
    <row r="361">
      <c r="A361" s="494" t="s">
        <v>1664</v>
      </c>
      <c r="B361" s="495" t="s">
        <v>3740</v>
      </c>
      <c r="C361" s="174" t="str">
        <f t="shared" si="79"/>
        <v>Asus</v>
      </c>
      <c r="D361" s="452" t="s">
        <v>3736</v>
      </c>
      <c r="E361" s="266">
        <v>277.0</v>
      </c>
      <c r="F361" s="266">
        <v>131.0</v>
      </c>
      <c r="G361" s="266">
        <v>43.6</v>
      </c>
      <c r="H361" s="266">
        <v>2.0</v>
      </c>
      <c r="I361" s="266">
        <v>2365.0</v>
      </c>
      <c r="J361" s="266">
        <v>16.0</v>
      </c>
      <c r="K361" s="266">
        <v>300.0</v>
      </c>
      <c r="L361" s="266" t="s">
        <v>3734</v>
      </c>
      <c r="M361" s="266">
        <v>1.0</v>
      </c>
      <c r="N361" s="266">
        <v>2.0</v>
      </c>
      <c r="O361" s="266">
        <v>1.0</v>
      </c>
      <c r="P361" s="266">
        <v>1.0</v>
      </c>
      <c r="Q361" s="266" t="s">
        <v>166</v>
      </c>
      <c r="R361" s="266" t="s">
        <v>174</v>
      </c>
      <c r="S361" s="266" t="s">
        <v>174</v>
      </c>
      <c r="T361" s="494"/>
    </row>
    <row r="362">
      <c r="A362" s="494" t="s">
        <v>1664</v>
      </c>
      <c r="B362" s="495" t="s">
        <v>3740</v>
      </c>
      <c r="C362" s="174" t="str">
        <f t="shared" si="79"/>
        <v>Asus</v>
      </c>
      <c r="D362" s="452" t="s">
        <v>3745</v>
      </c>
      <c r="E362" s="266">
        <v>277.0</v>
      </c>
      <c r="F362" s="266">
        <v>131.0</v>
      </c>
      <c r="G362" s="266">
        <v>43.6</v>
      </c>
      <c r="H362" s="266">
        <v>2.0</v>
      </c>
      <c r="I362" s="266">
        <v>2525.0</v>
      </c>
      <c r="J362" s="266">
        <v>16.0</v>
      </c>
      <c r="K362" s="266">
        <v>300.0</v>
      </c>
      <c r="L362" s="266" t="s">
        <v>3734</v>
      </c>
      <c r="M362" s="266">
        <v>1.0</v>
      </c>
      <c r="N362" s="266">
        <v>2.0</v>
      </c>
      <c r="O362" s="266">
        <v>1.0</v>
      </c>
      <c r="P362" s="266">
        <v>1.0</v>
      </c>
      <c r="Q362" s="266" t="s">
        <v>166</v>
      </c>
      <c r="R362" s="266" t="s">
        <v>174</v>
      </c>
      <c r="S362" s="266" t="s">
        <v>174</v>
      </c>
      <c r="T362" s="494"/>
    </row>
    <row r="363">
      <c r="A363" s="494" t="s">
        <v>1664</v>
      </c>
      <c r="B363" s="495" t="s">
        <v>3740</v>
      </c>
      <c r="C363" s="174" t="s">
        <v>3627</v>
      </c>
      <c r="D363" s="452" t="s">
        <v>3710</v>
      </c>
      <c r="E363" s="266">
        <v>311.0</v>
      </c>
      <c r="F363" s="266">
        <v>128.0</v>
      </c>
      <c r="G363" s="266">
        <v>51.0</v>
      </c>
      <c r="H363" s="266">
        <v>2.0</v>
      </c>
      <c r="I363" s="266">
        <v>2285.0</v>
      </c>
      <c r="J363" s="266">
        <v>16.0</v>
      </c>
      <c r="K363" s="266">
        <v>300.0</v>
      </c>
      <c r="L363" s="266" t="s">
        <v>3460</v>
      </c>
      <c r="M363" s="266">
        <v>3.0</v>
      </c>
      <c r="N363" s="266">
        <v>3.0</v>
      </c>
      <c r="O363" s="266">
        <v>1.0</v>
      </c>
      <c r="P363" s="266" t="s">
        <v>166</v>
      </c>
      <c r="Q363" s="266" t="s">
        <v>166</v>
      </c>
      <c r="R363" s="266" t="s">
        <v>166</v>
      </c>
      <c r="S363" s="497" t="s">
        <v>166</v>
      </c>
      <c r="T363" s="496"/>
    </row>
    <row r="364">
      <c r="A364" s="494" t="s">
        <v>1664</v>
      </c>
      <c r="B364" s="495" t="s">
        <v>3740</v>
      </c>
      <c r="C364" s="174" t="str">
        <f t="shared" ref="C364:C368" si="80">HYPERLINK("https://www.gigabyte.com/","Gigabyte")</f>
        <v>Gigabyte</v>
      </c>
      <c r="D364" s="452" t="s">
        <v>3741</v>
      </c>
      <c r="E364" s="266">
        <v>267.0</v>
      </c>
      <c r="F364" s="266">
        <v>120.0</v>
      </c>
      <c r="G364" s="266">
        <v>49.0</v>
      </c>
      <c r="H364" s="266">
        <v>2.0</v>
      </c>
      <c r="I364" s="266">
        <v>2250.0</v>
      </c>
      <c r="J364" s="266">
        <v>16.0</v>
      </c>
      <c r="K364" s="266">
        <v>300.0</v>
      </c>
      <c r="L364" s="266" t="s">
        <v>3460</v>
      </c>
      <c r="M364" s="266">
        <v>3.0</v>
      </c>
      <c r="N364" s="266">
        <v>2.0</v>
      </c>
      <c r="O364" s="266">
        <v>1.0</v>
      </c>
      <c r="P364" s="266">
        <v>1.0</v>
      </c>
      <c r="Q364" s="266" t="s">
        <v>166</v>
      </c>
      <c r="R364" s="266" t="s">
        <v>166</v>
      </c>
      <c r="S364" s="497" t="s">
        <v>166</v>
      </c>
      <c r="T364" s="496"/>
    </row>
    <row r="365">
      <c r="A365" s="494" t="s">
        <v>1664</v>
      </c>
      <c r="B365" s="495" t="s">
        <v>3740</v>
      </c>
      <c r="C365" s="174" t="str">
        <f t="shared" si="80"/>
        <v>Gigabyte</v>
      </c>
      <c r="D365" s="452" t="s">
        <v>3630</v>
      </c>
      <c r="E365" s="266">
        <v>286.0</v>
      </c>
      <c r="F365" s="266">
        <v>118.0</v>
      </c>
      <c r="G365" s="266">
        <v>58.0</v>
      </c>
      <c r="H365" s="266">
        <v>2.0</v>
      </c>
      <c r="I365" s="266">
        <v>2285.0</v>
      </c>
      <c r="J365" s="266">
        <v>16.0</v>
      </c>
      <c r="K365" s="266">
        <v>300.0</v>
      </c>
      <c r="L365" s="266" t="s">
        <v>3734</v>
      </c>
      <c r="M365" s="266">
        <v>3.0</v>
      </c>
      <c r="N365" s="266">
        <v>2.0</v>
      </c>
      <c r="O365" s="266">
        <v>2.0</v>
      </c>
      <c r="P365" s="266" t="s">
        <v>166</v>
      </c>
      <c r="Q365" s="266" t="s">
        <v>166</v>
      </c>
      <c r="R365" s="266" t="s">
        <v>166</v>
      </c>
      <c r="S365" s="497" t="s">
        <v>166</v>
      </c>
      <c r="T365" s="496"/>
    </row>
    <row r="366">
      <c r="A366" s="494" t="s">
        <v>1664</v>
      </c>
      <c r="B366" s="495" t="s">
        <v>3740</v>
      </c>
      <c r="C366" s="174" t="str">
        <f t="shared" si="80"/>
        <v>Gigabyte</v>
      </c>
      <c r="D366" s="452" t="s">
        <v>3746</v>
      </c>
      <c r="E366" s="266">
        <v>322.0</v>
      </c>
      <c r="F366" s="266">
        <v>140.0</v>
      </c>
      <c r="G366" s="266">
        <v>60.0</v>
      </c>
      <c r="H366" s="266">
        <v>2.0</v>
      </c>
      <c r="I366" s="266">
        <v>2365.0</v>
      </c>
      <c r="J366" s="266">
        <v>16.0</v>
      </c>
      <c r="K366" s="266">
        <v>300.0</v>
      </c>
      <c r="L366" s="266" t="s">
        <v>3734</v>
      </c>
      <c r="M366" s="266">
        <v>3.0</v>
      </c>
      <c r="N366" s="266">
        <v>2.0</v>
      </c>
      <c r="O366" s="266">
        <v>2.0</v>
      </c>
      <c r="P366" s="266" t="s">
        <v>166</v>
      </c>
      <c r="Q366" s="266" t="s">
        <v>166</v>
      </c>
      <c r="R366" s="266" t="s">
        <v>166</v>
      </c>
      <c r="S366" s="497" t="s">
        <v>166</v>
      </c>
      <c r="T366" s="496"/>
    </row>
    <row r="367">
      <c r="A367" s="494" t="s">
        <v>1664</v>
      </c>
      <c r="B367" s="495" t="s">
        <v>3740</v>
      </c>
      <c r="C367" s="174" t="str">
        <f t="shared" si="80"/>
        <v>Gigabyte</v>
      </c>
      <c r="D367" s="452" t="s">
        <v>3747</v>
      </c>
      <c r="E367" s="266">
        <v>322.0</v>
      </c>
      <c r="F367" s="266">
        <v>140.0</v>
      </c>
      <c r="G367" s="266">
        <v>60.0</v>
      </c>
      <c r="H367" s="266">
        <v>2.0</v>
      </c>
      <c r="I367" s="266">
        <v>2335.0</v>
      </c>
      <c r="J367" s="266">
        <v>16.0</v>
      </c>
      <c r="K367" s="266">
        <v>300.0</v>
      </c>
      <c r="L367" s="266" t="s">
        <v>3734</v>
      </c>
      <c r="M367" s="266">
        <v>3.0</v>
      </c>
      <c r="N367" s="266">
        <v>2.0</v>
      </c>
      <c r="O367" s="266">
        <v>2.0</v>
      </c>
      <c r="P367" s="266" t="s">
        <v>166</v>
      </c>
      <c r="Q367" s="266" t="s">
        <v>166</v>
      </c>
      <c r="R367" s="266" t="s">
        <v>166</v>
      </c>
      <c r="S367" s="497" t="s">
        <v>166</v>
      </c>
      <c r="T367" s="494"/>
    </row>
    <row r="368">
      <c r="A368" s="494" t="s">
        <v>1664</v>
      </c>
      <c r="B368" s="495" t="s">
        <v>3740</v>
      </c>
      <c r="C368" s="174" t="str">
        <f t="shared" si="80"/>
        <v>Gigabyte</v>
      </c>
      <c r="D368" s="452" t="s">
        <v>3748</v>
      </c>
      <c r="E368" s="266">
        <v>282.0</v>
      </c>
      <c r="F368" s="266">
        <v>146.0</v>
      </c>
      <c r="G368" s="266">
        <v>28.0</v>
      </c>
      <c r="H368" s="266">
        <v>2.0</v>
      </c>
      <c r="I368" s="266">
        <v>2525.0</v>
      </c>
      <c r="J368" s="266">
        <v>16.0</v>
      </c>
      <c r="K368" s="266">
        <v>300.0</v>
      </c>
      <c r="L368" s="266" t="s">
        <v>3734</v>
      </c>
      <c r="M368" s="266" t="s">
        <v>166</v>
      </c>
      <c r="N368" s="266">
        <v>2.0</v>
      </c>
      <c r="O368" s="266">
        <v>2.0</v>
      </c>
      <c r="P368" s="266" t="s">
        <v>166</v>
      </c>
      <c r="Q368" s="266" t="s">
        <v>166</v>
      </c>
      <c r="R368" s="266" t="s">
        <v>174</v>
      </c>
      <c r="S368" s="266" t="s">
        <v>166</v>
      </c>
      <c r="T368" s="494"/>
    </row>
    <row r="369">
      <c r="A369" s="494" t="s">
        <v>1664</v>
      </c>
      <c r="B369" s="495" t="s">
        <v>3740</v>
      </c>
      <c r="C369" s="174" t="str">
        <f t="shared" ref="C369:C373" si="81">HYPERLINK("https://www.msi.com/index.php","MSI")</f>
        <v>MSI</v>
      </c>
      <c r="D369" s="452" t="s">
        <v>3741</v>
      </c>
      <c r="E369" s="266">
        <v>267.0</v>
      </c>
      <c r="F369" s="266">
        <v>120.0</v>
      </c>
      <c r="G369" s="266">
        <v>50.0</v>
      </c>
      <c r="H369" s="266">
        <v>2.0</v>
      </c>
      <c r="I369" s="266">
        <v>2250.0</v>
      </c>
      <c r="J369" s="266">
        <v>16.0</v>
      </c>
      <c r="K369" s="266">
        <v>300.0</v>
      </c>
      <c r="L369" s="266" t="s">
        <v>3460</v>
      </c>
      <c r="M369" s="266">
        <v>3.0</v>
      </c>
      <c r="N369" s="266">
        <v>2.0</v>
      </c>
      <c r="O369" s="266">
        <v>1.0</v>
      </c>
      <c r="P369" s="266">
        <v>1.0</v>
      </c>
      <c r="Q369" s="266" t="s">
        <v>166</v>
      </c>
      <c r="R369" s="266" t="s">
        <v>166</v>
      </c>
      <c r="S369" s="497" t="s">
        <v>166</v>
      </c>
      <c r="T369" s="496"/>
    </row>
    <row r="370">
      <c r="A370" s="494" t="s">
        <v>1664</v>
      </c>
      <c r="B370" s="495" t="s">
        <v>3740</v>
      </c>
      <c r="C370" s="174" t="str">
        <f t="shared" si="81"/>
        <v>MSI</v>
      </c>
      <c r="D370" s="452" t="s">
        <v>3720</v>
      </c>
      <c r="E370" s="266">
        <v>324.0</v>
      </c>
      <c r="F370" s="266">
        <v>141.0</v>
      </c>
      <c r="G370" s="266">
        <v>55.0</v>
      </c>
      <c r="H370" s="266">
        <v>2.0</v>
      </c>
      <c r="I370" s="266">
        <v>2250.0</v>
      </c>
      <c r="J370" s="266">
        <v>16.0</v>
      </c>
      <c r="K370" s="266">
        <v>300.0</v>
      </c>
      <c r="L370" s="266" t="s">
        <v>3734</v>
      </c>
      <c r="M370" s="266">
        <v>3.0</v>
      </c>
      <c r="N370" s="266">
        <v>3.0</v>
      </c>
      <c r="O370" s="266">
        <v>1.0</v>
      </c>
      <c r="P370" s="266" t="s">
        <v>166</v>
      </c>
      <c r="Q370" s="266" t="s">
        <v>166</v>
      </c>
      <c r="R370" s="266" t="s">
        <v>166</v>
      </c>
      <c r="S370" s="497" t="s">
        <v>166</v>
      </c>
      <c r="T370" s="496"/>
    </row>
    <row r="371">
      <c r="A371" s="494" t="s">
        <v>1664</v>
      </c>
      <c r="B371" s="495" t="s">
        <v>3740</v>
      </c>
      <c r="C371" s="174" t="str">
        <f t="shared" si="81"/>
        <v>MSI</v>
      </c>
      <c r="D371" s="452" t="s">
        <v>3726</v>
      </c>
      <c r="E371" s="266">
        <v>324.0</v>
      </c>
      <c r="F371" s="266">
        <v>141.0</v>
      </c>
      <c r="G371" s="266">
        <v>55.0</v>
      </c>
      <c r="H371" s="266">
        <v>2.0</v>
      </c>
      <c r="I371" s="266">
        <v>2365.0</v>
      </c>
      <c r="J371" s="266">
        <v>16.0</v>
      </c>
      <c r="K371" s="266">
        <v>300.0</v>
      </c>
      <c r="L371" s="266" t="s">
        <v>3734</v>
      </c>
      <c r="M371" s="266">
        <v>3.0</v>
      </c>
      <c r="N371" s="266">
        <v>3.0</v>
      </c>
      <c r="O371" s="266">
        <v>1.0</v>
      </c>
      <c r="P371" s="266" t="s">
        <v>166</v>
      </c>
      <c r="Q371" s="266" t="s">
        <v>166</v>
      </c>
      <c r="R371" s="266" t="s">
        <v>166</v>
      </c>
      <c r="S371" s="497" t="s">
        <v>166</v>
      </c>
      <c r="T371" s="496"/>
    </row>
    <row r="372">
      <c r="A372" s="494" t="s">
        <v>1664</v>
      </c>
      <c r="B372" s="495" t="s">
        <v>3740</v>
      </c>
      <c r="C372" s="174" t="str">
        <f t="shared" si="81"/>
        <v>MSI</v>
      </c>
      <c r="D372" s="452" t="s">
        <v>3721</v>
      </c>
      <c r="E372" s="266">
        <v>324.0</v>
      </c>
      <c r="F372" s="266">
        <v>141.0</v>
      </c>
      <c r="G372" s="266">
        <v>55.0</v>
      </c>
      <c r="H372" s="266">
        <v>2.0</v>
      </c>
      <c r="I372" s="266">
        <v>2340.0</v>
      </c>
      <c r="J372" s="266">
        <v>16.0</v>
      </c>
      <c r="K372" s="266">
        <v>300.0</v>
      </c>
      <c r="L372" s="266" t="s">
        <v>3734</v>
      </c>
      <c r="M372" s="266">
        <v>3.0</v>
      </c>
      <c r="N372" s="266">
        <v>3.0</v>
      </c>
      <c r="O372" s="266">
        <v>1.0</v>
      </c>
      <c r="P372" s="266" t="s">
        <v>166</v>
      </c>
      <c r="Q372" s="266" t="s">
        <v>166</v>
      </c>
      <c r="R372" s="266" t="s">
        <v>166</v>
      </c>
      <c r="S372" s="497" t="s">
        <v>166</v>
      </c>
      <c r="T372" s="496"/>
    </row>
    <row r="373">
      <c r="A373" s="494" t="s">
        <v>1664</v>
      </c>
      <c r="B373" s="495" t="s">
        <v>3740</v>
      </c>
      <c r="C373" s="174" t="str">
        <f t="shared" si="81"/>
        <v>MSI</v>
      </c>
      <c r="D373" s="452" t="s">
        <v>3727</v>
      </c>
      <c r="E373" s="266">
        <v>324.0</v>
      </c>
      <c r="F373" s="266">
        <v>141.0</v>
      </c>
      <c r="G373" s="266">
        <v>55.0</v>
      </c>
      <c r="H373" s="266">
        <v>2.0</v>
      </c>
      <c r="I373" s="266">
        <v>2425.0</v>
      </c>
      <c r="J373" s="266">
        <v>16.0</v>
      </c>
      <c r="K373" s="266">
        <v>300.0</v>
      </c>
      <c r="L373" s="266" t="s">
        <v>3734</v>
      </c>
      <c r="M373" s="266">
        <v>3.0</v>
      </c>
      <c r="N373" s="266">
        <v>3.0</v>
      </c>
      <c r="O373" s="266">
        <v>1.0</v>
      </c>
      <c r="P373" s="266" t="s">
        <v>166</v>
      </c>
      <c r="Q373" s="266" t="s">
        <v>166</v>
      </c>
      <c r="R373" s="266" t="s">
        <v>166</v>
      </c>
      <c r="S373" s="497" t="s">
        <v>166</v>
      </c>
      <c r="T373" s="496"/>
    </row>
    <row r="374">
      <c r="A374" s="494" t="s">
        <v>1664</v>
      </c>
      <c r="B374" s="495" t="s">
        <v>3740</v>
      </c>
      <c r="C374" s="452" t="str">
        <f t="shared" ref="C374:C379" si="82">HYPERLINK("https://www.powercolor.com/","PowerColor")</f>
        <v>PowerColor</v>
      </c>
      <c r="D374" s="452" t="s">
        <v>3741</v>
      </c>
      <c r="E374" s="266">
        <v>266.75</v>
      </c>
      <c r="F374" s="266">
        <v>119.75</v>
      </c>
      <c r="G374" s="266">
        <v>49.75</v>
      </c>
      <c r="H374" s="266">
        <v>2.0</v>
      </c>
      <c r="I374" s="266">
        <v>2250.0</v>
      </c>
      <c r="J374" s="266">
        <v>16.0</v>
      </c>
      <c r="K374" s="266">
        <v>300.0</v>
      </c>
      <c r="L374" s="266" t="s">
        <v>3460</v>
      </c>
      <c r="M374" s="266">
        <v>3.0</v>
      </c>
      <c r="N374" s="266">
        <v>2.0</v>
      </c>
      <c r="O374" s="266">
        <v>1.0</v>
      </c>
      <c r="P374" s="266">
        <v>1.0</v>
      </c>
      <c r="Q374" s="266" t="s">
        <v>166</v>
      </c>
      <c r="R374" s="266" t="s">
        <v>166</v>
      </c>
      <c r="S374" s="497" t="s">
        <v>166</v>
      </c>
      <c r="T374" s="496"/>
    </row>
    <row r="375">
      <c r="A375" s="494" t="s">
        <v>1664</v>
      </c>
      <c r="B375" s="495" t="s">
        <v>3740</v>
      </c>
      <c r="C375" s="452" t="str">
        <f t="shared" si="82"/>
        <v>PowerColor</v>
      </c>
      <c r="D375" s="537" t="s">
        <v>3653</v>
      </c>
      <c r="E375" s="266">
        <v>320.0</v>
      </c>
      <c r="F375" s="266">
        <v>135.0</v>
      </c>
      <c r="G375" s="266">
        <v>62.0</v>
      </c>
      <c r="H375" s="266">
        <v>2.0</v>
      </c>
      <c r="I375" s="266">
        <v>2340.0</v>
      </c>
      <c r="J375" s="266">
        <v>16.0</v>
      </c>
      <c r="K375" s="266">
        <v>300.0</v>
      </c>
      <c r="L375" s="266" t="s">
        <v>3734</v>
      </c>
      <c r="M375" s="266">
        <v>3.0</v>
      </c>
      <c r="N375" s="266">
        <v>3.0</v>
      </c>
      <c r="O375" s="266">
        <v>1.0</v>
      </c>
      <c r="P375" s="266" t="s">
        <v>166</v>
      </c>
      <c r="Q375" s="266" t="s">
        <v>166</v>
      </c>
      <c r="R375" s="266" t="s">
        <v>166</v>
      </c>
      <c r="S375" s="497" t="s">
        <v>166</v>
      </c>
      <c r="T375" s="496"/>
    </row>
    <row r="376">
      <c r="A376" s="494" t="s">
        <v>1664</v>
      </c>
      <c r="B376" s="495" t="s">
        <v>3740</v>
      </c>
      <c r="C376" s="452" t="str">
        <f t="shared" si="82"/>
        <v>PowerColor</v>
      </c>
      <c r="D376" s="537" t="s">
        <v>3678</v>
      </c>
      <c r="E376" s="266">
        <v>320.0</v>
      </c>
      <c r="F376" s="266">
        <v>135.0</v>
      </c>
      <c r="G376" s="266">
        <v>62.0</v>
      </c>
      <c r="H376" s="266">
        <v>2.0</v>
      </c>
      <c r="I376" s="266">
        <v>2340.0</v>
      </c>
      <c r="J376" s="266">
        <v>16.0</v>
      </c>
      <c r="K376" s="266">
        <v>300.0</v>
      </c>
      <c r="L376" s="266" t="s">
        <v>3734</v>
      </c>
      <c r="M376" s="266">
        <v>3.0</v>
      </c>
      <c r="N376" s="266">
        <v>2.0</v>
      </c>
      <c r="O376" s="266">
        <v>1.0</v>
      </c>
      <c r="P376" s="266">
        <v>1.0</v>
      </c>
      <c r="Q376" s="266" t="s">
        <v>166</v>
      </c>
      <c r="R376" s="266" t="s">
        <v>166</v>
      </c>
      <c r="S376" s="497" t="s">
        <v>166</v>
      </c>
      <c r="T376" s="496"/>
    </row>
    <row r="377">
      <c r="A377" s="494" t="s">
        <v>1664</v>
      </c>
      <c r="B377" s="495" t="s">
        <v>3740</v>
      </c>
      <c r="C377" s="452" t="str">
        <f t="shared" si="82"/>
        <v>PowerColor</v>
      </c>
      <c r="D377" s="537" t="s">
        <v>3749</v>
      </c>
      <c r="E377" s="266">
        <v>320.0</v>
      </c>
      <c r="F377" s="266">
        <v>135.0</v>
      </c>
      <c r="G377" s="266">
        <v>62.0</v>
      </c>
      <c r="H377" s="266">
        <v>2.0</v>
      </c>
      <c r="I377" s="266">
        <v>2425.0</v>
      </c>
      <c r="J377" s="266">
        <v>16.0</v>
      </c>
      <c r="K377" s="266">
        <v>300.0</v>
      </c>
      <c r="L377" s="266" t="s">
        <v>3734</v>
      </c>
      <c r="M377" s="266">
        <v>3.0</v>
      </c>
      <c r="N377" s="266">
        <v>3.0</v>
      </c>
      <c r="O377" s="266">
        <v>1.0</v>
      </c>
      <c r="P377" s="266" t="s">
        <v>166</v>
      </c>
      <c r="Q377" s="266" t="s">
        <v>166</v>
      </c>
      <c r="R377" s="266" t="s">
        <v>166</v>
      </c>
      <c r="S377" s="266" t="s">
        <v>166</v>
      </c>
      <c r="T377" s="494"/>
    </row>
    <row r="378">
      <c r="A378" s="494" t="s">
        <v>1664</v>
      </c>
      <c r="B378" s="495" t="s">
        <v>3740</v>
      </c>
      <c r="C378" s="452" t="str">
        <f t="shared" si="82"/>
        <v>PowerColor</v>
      </c>
      <c r="D378" s="537" t="s">
        <v>3738</v>
      </c>
      <c r="E378" s="266">
        <v>266.0</v>
      </c>
      <c r="F378" s="266">
        <v>162.0</v>
      </c>
      <c r="G378" s="266">
        <v>20.0</v>
      </c>
      <c r="H378" s="266">
        <v>2.0</v>
      </c>
      <c r="I378" s="266">
        <v>2365.0</v>
      </c>
      <c r="J378" s="266">
        <v>16.0</v>
      </c>
      <c r="K378" s="266">
        <v>300.0</v>
      </c>
      <c r="L378" s="266" t="s">
        <v>3734</v>
      </c>
      <c r="M378" s="266" t="s">
        <v>166</v>
      </c>
      <c r="N378" s="266">
        <v>2.0</v>
      </c>
      <c r="O378" s="266">
        <v>1.0</v>
      </c>
      <c r="P378" s="266">
        <v>1.0</v>
      </c>
      <c r="Q378" s="266" t="s">
        <v>166</v>
      </c>
      <c r="R378" s="266" t="s">
        <v>174</v>
      </c>
      <c r="S378" s="266" t="s">
        <v>166</v>
      </c>
      <c r="T378" s="494"/>
    </row>
    <row r="379">
      <c r="A379" s="494" t="s">
        <v>1664</v>
      </c>
      <c r="B379" s="495" t="s">
        <v>3740</v>
      </c>
      <c r="C379" s="452" t="str">
        <f t="shared" si="82"/>
        <v>PowerColor</v>
      </c>
      <c r="D379" s="452" t="s">
        <v>3750</v>
      </c>
      <c r="E379" s="266">
        <v>266.0</v>
      </c>
      <c r="F379" s="266">
        <v>162.0</v>
      </c>
      <c r="G379" s="266">
        <v>20.0</v>
      </c>
      <c r="H379" s="266">
        <v>2.0</v>
      </c>
      <c r="I379" s="266">
        <v>2525.0</v>
      </c>
      <c r="J379" s="266">
        <v>16.0</v>
      </c>
      <c r="K379" s="266">
        <v>300.0</v>
      </c>
      <c r="L379" s="266" t="s">
        <v>3734</v>
      </c>
      <c r="M379" s="266" t="s">
        <v>166</v>
      </c>
      <c r="N379" s="266">
        <v>2.0</v>
      </c>
      <c r="O379" s="266">
        <v>1.0</v>
      </c>
      <c r="P379" s="266">
        <v>1.0</v>
      </c>
      <c r="Q379" s="266" t="s">
        <v>166</v>
      </c>
      <c r="R379" s="266" t="s">
        <v>174</v>
      </c>
      <c r="S379" s="266" t="s">
        <v>166</v>
      </c>
      <c r="T379" s="494"/>
    </row>
    <row r="380">
      <c r="A380" s="494" t="s">
        <v>1664</v>
      </c>
      <c r="B380" s="495" t="s">
        <v>3740</v>
      </c>
      <c r="C380" s="452" t="str">
        <f t="shared" ref="C380:C385" si="83">HYPERLINK("https://www.sapphiretech.com/","Sapphire")</f>
        <v>Sapphire</v>
      </c>
      <c r="D380" s="452" t="s">
        <v>3741</v>
      </c>
      <c r="E380" s="266">
        <v>266.7</v>
      </c>
      <c r="F380" s="266">
        <v>119.75</v>
      </c>
      <c r="G380" s="266">
        <v>49.75</v>
      </c>
      <c r="H380" s="266">
        <v>2.0</v>
      </c>
      <c r="I380" s="266">
        <v>2250.0</v>
      </c>
      <c r="J380" s="266">
        <v>16.0</v>
      </c>
      <c r="K380" s="266">
        <v>300.0</v>
      </c>
      <c r="L380" s="266" t="s">
        <v>3460</v>
      </c>
      <c r="M380" s="266">
        <v>3.0</v>
      </c>
      <c r="N380" s="266">
        <v>2.0</v>
      </c>
      <c r="O380" s="266">
        <v>1.0</v>
      </c>
      <c r="P380" s="266">
        <v>1.0</v>
      </c>
      <c r="Q380" s="266" t="s">
        <v>166</v>
      </c>
      <c r="R380" s="266" t="s">
        <v>166</v>
      </c>
      <c r="S380" s="497" t="s">
        <v>166</v>
      </c>
      <c r="T380" s="496"/>
    </row>
    <row r="381">
      <c r="A381" s="494" t="s">
        <v>1664</v>
      </c>
      <c r="B381" s="495" t="s">
        <v>3740</v>
      </c>
      <c r="C381" s="452" t="str">
        <f t="shared" si="83"/>
        <v>Sapphire</v>
      </c>
      <c r="D381" s="452" t="s">
        <v>3680</v>
      </c>
      <c r="E381" s="266">
        <v>310.0</v>
      </c>
      <c r="F381" s="266">
        <v>134.3</v>
      </c>
      <c r="G381" s="266">
        <v>55.3</v>
      </c>
      <c r="H381" s="266">
        <v>2.0</v>
      </c>
      <c r="I381" s="266">
        <v>2285.0</v>
      </c>
      <c r="J381" s="266">
        <v>16.0</v>
      </c>
      <c r="K381" s="266">
        <v>340.0</v>
      </c>
      <c r="L381" s="266" t="s">
        <v>3460</v>
      </c>
      <c r="M381" s="266">
        <v>3.0</v>
      </c>
      <c r="N381" s="266">
        <v>3.0</v>
      </c>
      <c r="O381" s="266">
        <v>1.0</v>
      </c>
      <c r="P381" s="266" t="s">
        <v>166</v>
      </c>
      <c r="Q381" s="266" t="s">
        <v>166</v>
      </c>
      <c r="R381" s="266" t="s">
        <v>166</v>
      </c>
      <c r="S381" s="497" t="s">
        <v>166</v>
      </c>
      <c r="T381" s="496"/>
    </row>
    <row r="382">
      <c r="A382" s="494" t="s">
        <v>1664</v>
      </c>
      <c r="B382" s="495" t="s">
        <v>3740</v>
      </c>
      <c r="C382" s="452" t="str">
        <f t="shared" si="83"/>
        <v>Sapphire</v>
      </c>
      <c r="D382" s="452" t="s">
        <v>3633</v>
      </c>
      <c r="E382" s="266">
        <v>320.0</v>
      </c>
      <c r="F382" s="266">
        <v>134.85</v>
      </c>
      <c r="G382" s="266">
        <v>58.4</v>
      </c>
      <c r="H382" s="266">
        <v>2.0</v>
      </c>
      <c r="I382" s="266">
        <v>2365.0</v>
      </c>
      <c r="J382" s="266">
        <v>16.0</v>
      </c>
      <c r="K382" s="266">
        <v>363.0</v>
      </c>
      <c r="L382" s="266" t="s">
        <v>3751</v>
      </c>
      <c r="M382" s="266">
        <v>3.0</v>
      </c>
      <c r="N382" s="266">
        <v>3.0</v>
      </c>
      <c r="O382" s="266">
        <v>1.0</v>
      </c>
      <c r="P382" s="266" t="s">
        <v>166</v>
      </c>
      <c r="Q382" s="266" t="s">
        <v>166</v>
      </c>
      <c r="R382" s="266" t="s">
        <v>166</v>
      </c>
      <c r="S382" s="266" t="s">
        <v>166</v>
      </c>
      <c r="T382" s="494"/>
    </row>
    <row r="383">
      <c r="A383" s="494" t="s">
        <v>1664</v>
      </c>
      <c r="B383" s="495" t="s">
        <v>3740</v>
      </c>
      <c r="C383" s="452" t="str">
        <f t="shared" si="83"/>
        <v>Sapphire</v>
      </c>
      <c r="D383" s="452" t="s">
        <v>3752</v>
      </c>
      <c r="E383" s="266">
        <v>320.0</v>
      </c>
      <c r="F383" s="266">
        <v>134.85</v>
      </c>
      <c r="G383" s="266">
        <v>58.4</v>
      </c>
      <c r="H383" s="266">
        <v>2.0</v>
      </c>
      <c r="I383" s="266">
        <v>2425.0</v>
      </c>
      <c r="J383" s="266">
        <v>16.0</v>
      </c>
      <c r="K383" s="266">
        <v>400.0</v>
      </c>
      <c r="L383" s="266" t="s">
        <v>3751</v>
      </c>
      <c r="M383" s="266">
        <v>3.0</v>
      </c>
      <c r="N383" s="266">
        <v>3.0</v>
      </c>
      <c r="O383" s="266">
        <v>1.0</v>
      </c>
      <c r="P383" s="266" t="s">
        <v>166</v>
      </c>
      <c r="Q383" s="266" t="s">
        <v>166</v>
      </c>
      <c r="R383" s="266" t="s">
        <v>166</v>
      </c>
      <c r="S383" s="266" t="s">
        <v>166</v>
      </c>
      <c r="T383" s="494"/>
    </row>
    <row r="384">
      <c r="A384" s="494" t="s">
        <v>1664</v>
      </c>
      <c r="B384" s="495" t="s">
        <v>3740</v>
      </c>
      <c r="C384" s="452" t="str">
        <f t="shared" si="83"/>
        <v>Sapphire</v>
      </c>
      <c r="D384" s="452" t="s">
        <v>3753</v>
      </c>
      <c r="E384" s="266">
        <v>270.0</v>
      </c>
      <c r="F384" s="266">
        <v>130.0</v>
      </c>
      <c r="G384" s="266">
        <v>45.0</v>
      </c>
      <c r="H384" s="266">
        <v>2.0</v>
      </c>
      <c r="I384" s="266">
        <v>2365.0</v>
      </c>
      <c r="J384" s="266">
        <v>16.0</v>
      </c>
      <c r="K384" s="266">
        <v>400.0</v>
      </c>
      <c r="L384" s="266" t="s">
        <v>3751</v>
      </c>
      <c r="M384" s="266">
        <v>1.0</v>
      </c>
      <c r="N384" s="266">
        <v>3.0</v>
      </c>
      <c r="O384" s="266">
        <v>1.0</v>
      </c>
      <c r="P384" s="266" t="s">
        <v>166</v>
      </c>
      <c r="Q384" s="266" t="s">
        <v>166</v>
      </c>
      <c r="R384" s="266" t="s">
        <v>174</v>
      </c>
      <c r="S384" s="266" t="s">
        <v>166</v>
      </c>
      <c r="T384" s="494"/>
    </row>
    <row r="385">
      <c r="A385" s="494" t="s">
        <v>1664</v>
      </c>
      <c r="B385" s="495" t="s">
        <v>3740</v>
      </c>
      <c r="C385" s="452" t="str">
        <f t="shared" si="83"/>
        <v>Sapphire</v>
      </c>
      <c r="D385" s="452" t="s">
        <v>3754</v>
      </c>
      <c r="E385" s="266">
        <v>270.0</v>
      </c>
      <c r="F385" s="266">
        <v>130.0</v>
      </c>
      <c r="G385" s="266">
        <v>45.0</v>
      </c>
      <c r="H385" s="266">
        <v>2.0</v>
      </c>
      <c r="I385" s="266">
        <v>2730.0</v>
      </c>
      <c r="J385" s="266">
        <v>16.0</v>
      </c>
      <c r="K385" s="266">
        <v>430.0</v>
      </c>
      <c r="L385" s="266" t="s">
        <v>3751</v>
      </c>
      <c r="M385" s="266">
        <v>1.0</v>
      </c>
      <c r="N385" s="266">
        <v>3.0</v>
      </c>
      <c r="O385" s="266">
        <v>1.0</v>
      </c>
      <c r="P385" s="266" t="s">
        <v>166</v>
      </c>
      <c r="Q385" s="266" t="s">
        <v>166</v>
      </c>
      <c r="R385" s="266" t="s">
        <v>174</v>
      </c>
      <c r="S385" s="266" t="s">
        <v>166</v>
      </c>
      <c r="T385" s="494"/>
    </row>
    <row r="386">
      <c r="A386" s="494" t="s">
        <v>1664</v>
      </c>
      <c r="B386" s="495" t="s">
        <v>3740</v>
      </c>
      <c r="C386" s="452" t="str">
        <f t="shared" ref="C386:C391" si="84">HYPERLINK("https://www.xfxforce.com/","XFX")</f>
        <v>XFX</v>
      </c>
      <c r="D386" s="452" t="s">
        <v>3741</v>
      </c>
      <c r="E386" s="266">
        <v>266.7</v>
      </c>
      <c r="F386" s="266">
        <v>119.8</v>
      </c>
      <c r="G386" s="266">
        <v>49.8</v>
      </c>
      <c r="H386" s="266">
        <v>2.0</v>
      </c>
      <c r="I386" s="266">
        <v>2250.0</v>
      </c>
      <c r="J386" s="266">
        <v>16.0</v>
      </c>
      <c r="K386" s="266">
        <v>300.0</v>
      </c>
      <c r="L386" s="266" t="s">
        <v>3460</v>
      </c>
      <c r="M386" s="266">
        <v>3.0</v>
      </c>
      <c r="N386" s="266">
        <v>2.0</v>
      </c>
      <c r="O386" s="266">
        <v>1.0</v>
      </c>
      <c r="P386" s="266">
        <v>1.0</v>
      </c>
      <c r="Q386" s="266" t="s">
        <v>166</v>
      </c>
      <c r="R386" s="266" t="s">
        <v>166</v>
      </c>
      <c r="S386" s="497" t="s">
        <v>166</v>
      </c>
      <c r="T386" s="496"/>
    </row>
    <row r="387">
      <c r="A387" s="494" t="s">
        <v>1664</v>
      </c>
      <c r="B387" s="495" t="s">
        <v>3740</v>
      </c>
      <c r="C387" s="452" t="str">
        <f t="shared" si="84"/>
        <v>XFX</v>
      </c>
      <c r="D387" s="452" t="s">
        <v>3729</v>
      </c>
      <c r="E387" s="266">
        <v>340.0</v>
      </c>
      <c r="F387" s="266">
        <v>130.0</v>
      </c>
      <c r="G387" s="266">
        <v>52.0</v>
      </c>
      <c r="H387" s="266">
        <v>2.0</v>
      </c>
      <c r="I387" s="266">
        <v>2250.0</v>
      </c>
      <c r="J387" s="266">
        <v>16.0</v>
      </c>
      <c r="K387" s="266">
        <v>300.0</v>
      </c>
      <c r="L387" s="266" t="s">
        <v>3460</v>
      </c>
      <c r="M387" s="266">
        <v>3.0</v>
      </c>
      <c r="N387" s="266">
        <v>3.0</v>
      </c>
      <c r="O387" s="266">
        <v>1.0</v>
      </c>
      <c r="P387" s="266" t="s">
        <v>166</v>
      </c>
      <c r="Q387" s="266" t="s">
        <v>166</v>
      </c>
      <c r="R387" s="266" t="s">
        <v>166</v>
      </c>
      <c r="S387" s="497" t="s">
        <v>166</v>
      </c>
      <c r="T387" s="496"/>
    </row>
    <row r="388">
      <c r="A388" s="494" t="s">
        <v>1664</v>
      </c>
      <c r="B388" s="495" t="s">
        <v>3740</v>
      </c>
      <c r="C388" s="452" t="str">
        <f t="shared" si="84"/>
        <v>XFX</v>
      </c>
      <c r="D388" s="452" t="s">
        <v>3755</v>
      </c>
      <c r="E388" s="266">
        <v>340.0</v>
      </c>
      <c r="F388" s="266">
        <v>139.0</v>
      </c>
      <c r="G388" s="266">
        <v>57.0</v>
      </c>
      <c r="H388" s="266">
        <v>2.0</v>
      </c>
      <c r="I388" s="266">
        <v>2340.0</v>
      </c>
      <c r="J388" s="266">
        <v>16.0</v>
      </c>
      <c r="K388" s="266">
        <v>300.0</v>
      </c>
      <c r="L388" s="266" t="s">
        <v>3460</v>
      </c>
      <c r="M388" s="266">
        <v>3.0</v>
      </c>
      <c r="N388" s="266">
        <v>2.0</v>
      </c>
      <c r="O388" s="266">
        <v>1.0</v>
      </c>
      <c r="P388" s="266">
        <v>1.0</v>
      </c>
      <c r="Q388" s="266" t="s">
        <v>166</v>
      </c>
      <c r="R388" s="266" t="s">
        <v>166</v>
      </c>
      <c r="S388" s="497" t="s">
        <v>166</v>
      </c>
      <c r="T388" s="496"/>
    </row>
    <row r="389">
      <c r="A389" s="494" t="s">
        <v>1664</v>
      </c>
      <c r="B389" s="495" t="s">
        <v>3740</v>
      </c>
      <c r="C389" s="452" t="str">
        <f t="shared" si="84"/>
        <v>XFX</v>
      </c>
      <c r="D389" s="452" t="s">
        <v>3716</v>
      </c>
      <c r="E389" s="266">
        <v>340.0</v>
      </c>
      <c r="F389" s="266">
        <v>139.0</v>
      </c>
      <c r="G389" s="266">
        <v>57.0</v>
      </c>
      <c r="H389" s="266">
        <v>2.0</v>
      </c>
      <c r="I389" s="266">
        <v>2365.0</v>
      </c>
      <c r="J389" s="266">
        <v>16.0</v>
      </c>
      <c r="K389" s="266">
        <v>300.0</v>
      </c>
      <c r="L389" s="266" t="s">
        <v>3460</v>
      </c>
      <c r="M389" s="266">
        <v>3.0</v>
      </c>
      <c r="N389" s="266">
        <v>2.0</v>
      </c>
      <c r="O389" s="266">
        <v>1.0</v>
      </c>
      <c r="P389" s="266">
        <v>1.0</v>
      </c>
      <c r="Q389" s="266" t="s">
        <v>166</v>
      </c>
      <c r="R389" s="266" t="s">
        <v>166</v>
      </c>
      <c r="S389" s="497" t="s">
        <v>166</v>
      </c>
      <c r="T389" s="496"/>
    </row>
    <row r="390">
      <c r="A390" s="494" t="s">
        <v>1664</v>
      </c>
      <c r="B390" s="495" t="s">
        <v>3740</v>
      </c>
      <c r="C390" s="452" t="str">
        <f t="shared" si="84"/>
        <v>XFX</v>
      </c>
      <c r="D390" s="452" t="s">
        <v>3756</v>
      </c>
      <c r="E390" s="266">
        <v>340.0</v>
      </c>
      <c r="F390" s="266">
        <v>139.0</v>
      </c>
      <c r="G390" s="266">
        <v>57.0</v>
      </c>
      <c r="H390" s="266">
        <v>2.0</v>
      </c>
      <c r="I390" s="266">
        <v>2495.0</v>
      </c>
      <c r="J390" s="266">
        <v>16.0</v>
      </c>
      <c r="K390" s="266">
        <v>300.0</v>
      </c>
      <c r="L390" s="266" t="s">
        <v>3460</v>
      </c>
      <c r="M390" s="266">
        <v>3.0</v>
      </c>
      <c r="N390" s="266">
        <v>2.0</v>
      </c>
      <c r="O390" s="266">
        <v>1.0</v>
      </c>
      <c r="P390" s="266">
        <v>1.0</v>
      </c>
      <c r="Q390" s="266" t="s">
        <v>166</v>
      </c>
      <c r="R390" s="266" t="s">
        <v>166</v>
      </c>
      <c r="S390" s="497" t="s">
        <v>166</v>
      </c>
      <c r="T390" s="496"/>
    </row>
    <row r="391">
      <c r="A391" s="498" t="s">
        <v>1664</v>
      </c>
      <c r="B391" s="499" t="s">
        <v>3740</v>
      </c>
      <c r="C391" s="500" t="str">
        <f t="shared" si="84"/>
        <v>XFX</v>
      </c>
      <c r="D391" s="500" t="s">
        <v>3757</v>
      </c>
      <c r="E391" s="501">
        <v>300.0</v>
      </c>
      <c r="F391" s="501">
        <v>160.0</v>
      </c>
      <c r="G391" s="501">
        <v>25.0</v>
      </c>
      <c r="H391" s="501">
        <v>2.0</v>
      </c>
      <c r="I391" s="501">
        <v>2525.0</v>
      </c>
      <c r="J391" s="501">
        <v>16.0</v>
      </c>
      <c r="K391" s="501">
        <v>300.0</v>
      </c>
      <c r="L391" s="501" t="s">
        <v>3734</v>
      </c>
      <c r="M391" s="501" t="s">
        <v>166</v>
      </c>
      <c r="N391" s="501">
        <v>2.0</v>
      </c>
      <c r="O391" s="501">
        <v>1.0</v>
      </c>
      <c r="P391" s="501">
        <v>1.0</v>
      </c>
      <c r="Q391" s="501" t="s">
        <v>166</v>
      </c>
      <c r="R391" s="501" t="s">
        <v>174</v>
      </c>
      <c r="S391" s="501" t="s">
        <v>166</v>
      </c>
      <c r="T391" s="498"/>
    </row>
    <row r="392">
      <c r="A392" s="494" t="s">
        <v>1664</v>
      </c>
      <c r="B392" s="495" t="s">
        <v>3758</v>
      </c>
      <c r="C392" s="506" t="str">
        <f>HYPERLINK("https://www.amd.com/en","AMD")</f>
        <v>AMD</v>
      </c>
      <c r="D392" s="486" t="s">
        <v>3759</v>
      </c>
      <c r="E392" s="527">
        <v>267.0</v>
      </c>
      <c r="F392" s="527">
        <v>120.0</v>
      </c>
      <c r="G392" s="527">
        <v>50.0</v>
      </c>
      <c r="H392" s="527">
        <v>2.0</v>
      </c>
      <c r="I392" s="527">
        <v>2310.0</v>
      </c>
      <c r="J392" s="527">
        <v>18.0</v>
      </c>
      <c r="K392" s="527">
        <v>335.0</v>
      </c>
      <c r="L392" s="527" t="s">
        <v>3460</v>
      </c>
      <c r="M392" s="527">
        <v>3.0</v>
      </c>
      <c r="N392" s="527">
        <v>3.0</v>
      </c>
      <c r="O392" s="527">
        <v>1.0</v>
      </c>
      <c r="P392" s="527" t="s">
        <v>166</v>
      </c>
      <c r="Q392" s="527" t="s">
        <v>166</v>
      </c>
      <c r="R392" s="527" t="s">
        <v>166</v>
      </c>
      <c r="S392" s="527" t="s">
        <v>166</v>
      </c>
      <c r="T392" s="529"/>
    </row>
    <row r="393">
      <c r="A393" s="494" t="s">
        <v>1664</v>
      </c>
      <c r="B393" s="495" t="s">
        <v>3758</v>
      </c>
      <c r="C393" s="452" t="str">
        <f>HYPERLINK("https://www.asrock.com/","ASRock")</f>
        <v>ASRock</v>
      </c>
      <c r="D393" s="452" t="s">
        <v>3743</v>
      </c>
      <c r="E393" s="266">
        <v>332.0</v>
      </c>
      <c r="F393" s="266">
        <v>137.0</v>
      </c>
      <c r="G393" s="266">
        <v>61.0</v>
      </c>
      <c r="H393" s="266">
        <v>2.0</v>
      </c>
      <c r="I393" s="266">
        <v>2495.0</v>
      </c>
      <c r="J393" s="266">
        <v>18.0</v>
      </c>
      <c r="K393" s="266">
        <v>335.0</v>
      </c>
      <c r="L393" s="266" t="s">
        <v>3734</v>
      </c>
      <c r="M393" s="266">
        <v>3.0</v>
      </c>
      <c r="N393" s="266">
        <v>3.0</v>
      </c>
      <c r="O393" s="266">
        <v>1.0</v>
      </c>
      <c r="P393" s="266" t="s">
        <v>166</v>
      </c>
      <c r="Q393" s="266" t="s">
        <v>166</v>
      </c>
      <c r="R393" s="266" t="s">
        <v>166</v>
      </c>
      <c r="S393" s="266" t="s">
        <v>166</v>
      </c>
      <c r="T393" s="496"/>
    </row>
    <row r="394">
      <c r="A394" s="494" t="s">
        <v>1664</v>
      </c>
      <c r="B394" s="495" t="s">
        <v>3758</v>
      </c>
      <c r="C394" s="282" t="str">
        <f t="shared" ref="C394:C395" si="85">HYPERLINK("https://www.asus.com/","Asus")</f>
        <v>Asus</v>
      </c>
      <c r="D394" s="506" t="s">
        <v>3478</v>
      </c>
      <c r="E394" s="507">
        <v>320.0</v>
      </c>
      <c r="F394" s="507">
        <v>140.2</v>
      </c>
      <c r="G394" s="507">
        <v>57.8</v>
      </c>
      <c r="H394" s="507">
        <v>2.0</v>
      </c>
      <c r="I394" s="507">
        <v>2324.0</v>
      </c>
      <c r="J394" s="507">
        <v>18.0</v>
      </c>
      <c r="K394" s="507">
        <v>335.0</v>
      </c>
      <c r="L394" s="507" t="s">
        <v>3460</v>
      </c>
      <c r="M394" s="507">
        <v>3.0</v>
      </c>
      <c r="N394" s="507">
        <v>3.0</v>
      </c>
      <c r="O394" s="507">
        <v>1.0</v>
      </c>
      <c r="P394" s="507" t="s">
        <v>166</v>
      </c>
      <c r="Q394" s="507" t="s">
        <v>166</v>
      </c>
      <c r="R394" s="507" t="s">
        <v>166</v>
      </c>
      <c r="S394" s="507" t="s">
        <v>166</v>
      </c>
      <c r="T394" s="509"/>
    </row>
    <row r="395">
      <c r="A395" s="494" t="s">
        <v>1664</v>
      </c>
      <c r="B395" s="495" t="s">
        <v>3758</v>
      </c>
      <c r="C395" s="282" t="str">
        <f t="shared" si="85"/>
        <v>Asus</v>
      </c>
      <c r="D395" s="506" t="s">
        <v>3760</v>
      </c>
      <c r="E395" s="507">
        <v>277.0</v>
      </c>
      <c r="F395" s="507">
        <v>130.8</v>
      </c>
      <c r="G395" s="507">
        <v>43.6</v>
      </c>
      <c r="H395" s="507">
        <v>2.0</v>
      </c>
      <c r="I395" s="507">
        <v>2565.0</v>
      </c>
      <c r="J395" s="507">
        <v>18.0</v>
      </c>
      <c r="K395" s="507">
        <v>335.0</v>
      </c>
      <c r="L395" s="266" t="s">
        <v>3734</v>
      </c>
      <c r="M395" s="507">
        <v>1.0</v>
      </c>
      <c r="N395" s="507">
        <v>2.0</v>
      </c>
      <c r="O395" s="507">
        <v>1.0</v>
      </c>
      <c r="P395" s="507">
        <v>1.0</v>
      </c>
      <c r="Q395" s="507" t="s">
        <v>166</v>
      </c>
      <c r="R395" s="507" t="s">
        <v>174</v>
      </c>
      <c r="S395" s="507" t="s">
        <v>174</v>
      </c>
      <c r="T395" s="509"/>
    </row>
    <row r="396">
      <c r="A396" s="494" t="s">
        <v>1664</v>
      </c>
      <c r="B396" s="495" t="s">
        <v>3758</v>
      </c>
      <c r="C396" s="174" t="str">
        <f t="shared" ref="C396:C397" si="86">HYPERLINK("https://www.gigabyte.com/","Gigabyte")</f>
        <v>Gigabyte</v>
      </c>
      <c r="D396" s="506" t="s">
        <v>3630</v>
      </c>
      <c r="E396" s="507">
        <v>332.0</v>
      </c>
      <c r="F396" s="507">
        <v>143.0</v>
      </c>
      <c r="G396" s="507">
        <v>57.0</v>
      </c>
      <c r="H396" s="507">
        <v>2.0</v>
      </c>
      <c r="I396" s="507">
        <v>2324.0</v>
      </c>
      <c r="J396" s="507">
        <v>18.0</v>
      </c>
      <c r="K396" s="507">
        <v>335.0</v>
      </c>
      <c r="L396" s="507" t="s">
        <v>3734</v>
      </c>
      <c r="M396" s="507">
        <v>3.0</v>
      </c>
      <c r="N396" s="507">
        <v>2.0</v>
      </c>
      <c r="O396" s="507">
        <v>2.0</v>
      </c>
      <c r="P396" s="507" t="s">
        <v>166</v>
      </c>
      <c r="Q396" s="507" t="s">
        <v>166</v>
      </c>
      <c r="R396" s="507" t="s">
        <v>166</v>
      </c>
      <c r="S396" s="507" t="s">
        <v>166</v>
      </c>
      <c r="T396" s="509"/>
    </row>
    <row r="397">
      <c r="A397" s="494" t="s">
        <v>1664</v>
      </c>
      <c r="B397" s="495" t="s">
        <v>3758</v>
      </c>
      <c r="C397" s="174" t="str">
        <f t="shared" si="86"/>
        <v>Gigabyte</v>
      </c>
      <c r="D397" s="506" t="s">
        <v>3748</v>
      </c>
      <c r="E397" s="507">
        <v>282.0</v>
      </c>
      <c r="F397" s="507">
        <v>146.0</v>
      </c>
      <c r="G397" s="507">
        <v>28.0</v>
      </c>
      <c r="H397" s="507">
        <v>2.0</v>
      </c>
      <c r="I397" s="507">
        <v>2565.0</v>
      </c>
      <c r="J397" s="507">
        <v>18.0</v>
      </c>
      <c r="K397" s="507">
        <v>335.0</v>
      </c>
      <c r="L397" s="507" t="s">
        <v>3734</v>
      </c>
      <c r="M397" s="507" t="s">
        <v>166</v>
      </c>
      <c r="N397" s="507">
        <v>2.0</v>
      </c>
      <c r="O397" s="507">
        <v>2.0</v>
      </c>
      <c r="P397" s="507" t="s">
        <v>166</v>
      </c>
      <c r="Q397" s="507" t="s">
        <v>166</v>
      </c>
      <c r="R397" s="507" t="s">
        <v>174</v>
      </c>
      <c r="S397" s="507" t="s">
        <v>166</v>
      </c>
      <c r="T397" s="509"/>
    </row>
    <row r="398">
      <c r="A398" s="494" t="s">
        <v>1664</v>
      </c>
      <c r="B398" s="495" t="s">
        <v>3758</v>
      </c>
      <c r="C398" s="174" t="str">
        <f t="shared" ref="C398:C399" si="87">HYPERLINK("https://www.msi.com/index.php","MSI")</f>
        <v>MSI</v>
      </c>
      <c r="D398" s="506" t="s">
        <v>3720</v>
      </c>
      <c r="E398" s="507">
        <v>325.0</v>
      </c>
      <c r="F398" s="507">
        <v>140.0</v>
      </c>
      <c r="G398" s="507">
        <v>55.0</v>
      </c>
      <c r="H398" s="507">
        <v>2.0</v>
      </c>
      <c r="I398" s="507">
        <v>2324.0</v>
      </c>
      <c r="J398" s="507">
        <v>18.0</v>
      </c>
      <c r="K398" s="507">
        <v>335.0</v>
      </c>
      <c r="L398" s="507" t="s">
        <v>3734</v>
      </c>
      <c r="M398" s="507">
        <v>3.0</v>
      </c>
      <c r="N398" s="507">
        <v>3.0</v>
      </c>
      <c r="O398" s="507">
        <v>1.0</v>
      </c>
      <c r="P398" s="507" t="s">
        <v>166</v>
      </c>
      <c r="Q398" s="507" t="s">
        <v>166</v>
      </c>
      <c r="R398" s="507" t="s">
        <v>166</v>
      </c>
      <c r="S398" s="507" t="s">
        <v>166</v>
      </c>
      <c r="T398" s="509"/>
    </row>
    <row r="399">
      <c r="A399" s="494" t="s">
        <v>1664</v>
      </c>
      <c r="B399" s="495" t="s">
        <v>3758</v>
      </c>
      <c r="C399" s="174" t="str">
        <f t="shared" si="87"/>
        <v>MSI</v>
      </c>
      <c r="D399" s="506" t="s">
        <v>3721</v>
      </c>
      <c r="E399" s="507">
        <v>325.0</v>
      </c>
      <c r="F399" s="507">
        <v>140.0</v>
      </c>
      <c r="G399" s="507">
        <v>55.0</v>
      </c>
      <c r="H399" s="507">
        <v>2.0</v>
      </c>
      <c r="I399" s="507">
        <v>2454.0</v>
      </c>
      <c r="J399" s="507">
        <v>18.0</v>
      </c>
      <c r="K399" s="507">
        <v>340.0</v>
      </c>
      <c r="L399" s="507" t="s">
        <v>3734</v>
      </c>
      <c r="M399" s="507">
        <v>3.0</v>
      </c>
      <c r="N399" s="507">
        <v>3.0</v>
      </c>
      <c r="O399" s="507">
        <v>1.0</v>
      </c>
      <c r="P399" s="507" t="s">
        <v>166</v>
      </c>
      <c r="Q399" s="507" t="s">
        <v>166</v>
      </c>
      <c r="R399" s="507" t="s">
        <v>166</v>
      </c>
      <c r="S399" s="507" t="s">
        <v>166</v>
      </c>
      <c r="T399" s="509"/>
    </row>
    <row r="400">
      <c r="A400" s="494" t="s">
        <v>1664</v>
      </c>
      <c r="B400" s="495" t="s">
        <v>3758</v>
      </c>
      <c r="C400" s="452" t="str">
        <f t="shared" ref="C400:C401" si="88">HYPERLINK("https://www.powercolor.com/","PowerColor")</f>
        <v>PowerColor</v>
      </c>
      <c r="D400" s="506" t="s">
        <v>3653</v>
      </c>
      <c r="E400" s="507">
        <v>320.0</v>
      </c>
      <c r="F400" s="507">
        <v>135.0</v>
      </c>
      <c r="G400" s="507">
        <v>62.0</v>
      </c>
      <c r="H400" s="507">
        <v>2.0</v>
      </c>
      <c r="I400" s="507">
        <v>2435.0</v>
      </c>
      <c r="J400" s="507">
        <v>18.0</v>
      </c>
      <c r="K400" s="507">
        <v>335.0</v>
      </c>
      <c r="L400" s="507" t="s">
        <v>3734</v>
      </c>
      <c r="M400" s="507">
        <v>3.0</v>
      </c>
      <c r="N400" s="507">
        <v>3.0</v>
      </c>
      <c r="O400" s="507">
        <v>1.0</v>
      </c>
      <c r="P400" s="507" t="s">
        <v>166</v>
      </c>
      <c r="Q400" s="507" t="s">
        <v>166</v>
      </c>
      <c r="R400" s="507" t="s">
        <v>166</v>
      </c>
      <c r="S400" s="507" t="s">
        <v>166</v>
      </c>
      <c r="T400" s="509"/>
    </row>
    <row r="401">
      <c r="A401" s="494" t="s">
        <v>1664</v>
      </c>
      <c r="B401" s="495" t="s">
        <v>3758</v>
      </c>
      <c r="C401" s="452" t="str">
        <f t="shared" si="88"/>
        <v>PowerColor</v>
      </c>
      <c r="D401" s="506" t="s">
        <v>3738</v>
      </c>
      <c r="E401" s="507">
        <v>266.0</v>
      </c>
      <c r="F401" s="507">
        <v>162.0</v>
      </c>
      <c r="G401" s="507">
        <v>20.0</v>
      </c>
      <c r="H401" s="507">
        <v>2.0</v>
      </c>
      <c r="I401" s="507">
        <v>2513.0</v>
      </c>
      <c r="J401" s="507">
        <v>18.0</v>
      </c>
      <c r="K401" s="507">
        <v>335.0</v>
      </c>
      <c r="L401" s="507" t="s">
        <v>3734</v>
      </c>
      <c r="M401" s="507" t="s">
        <v>166</v>
      </c>
      <c r="N401" s="507">
        <v>3.0</v>
      </c>
      <c r="O401" s="507">
        <v>1.0</v>
      </c>
      <c r="P401" s="507" t="s">
        <v>166</v>
      </c>
      <c r="Q401" s="507" t="s">
        <v>166</v>
      </c>
      <c r="R401" s="507" t="s">
        <v>174</v>
      </c>
      <c r="S401" s="507" t="s">
        <v>166</v>
      </c>
      <c r="T401" s="509"/>
    </row>
    <row r="402">
      <c r="A402" s="494" t="s">
        <v>1664</v>
      </c>
      <c r="B402" s="495" t="s">
        <v>3758</v>
      </c>
      <c r="C402" s="452" t="str">
        <f t="shared" ref="C402:C404" si="89">HYPERLINK("https://www.sapphiretech.com/","Sapphire")</f>
        <v>Sapphire</v>
      </c>
      <c r="D402" s="506" t="s">
        <v>3680</v>
      </c>
      <c r="E402" s="507">
        <v>320.0</v>
      </c>
      <c r="F402" s="507">
        <v>134.85</v>
      </c>
      <c r="G402" s="507">
        <v>58.4</v>
      </c>
      <c r="H402" s="507">
        <v>2.0</v>
      </c>
      <c r="I402" s="507">
        <v>2324.0</v>
      </c>
      <c r="J402" s="507">
        <v>18.0</v>
      </c>
      <c r="K402" s="507">
        <v>391.0</v>
      </c>
      <c r="L402" s="266" t="s">
        <v>3751</v>
      </c>
      <c r="M402" s="507">
        <v>3.0</v>
      </c>
      <c r="N402" s="507">
        <v>3.0</v>
      </c>
      <c r="O402" s="507">
        <v>1.0</v>
      </c>
      <c r="P402" s="507" t="s">
        <v>166</v>
      </c>
      <c r="Q402" s="507" t="s">
        <v>166</v>
      </c>
      <c r="R402" s="507" t="s">
        <v>166</v>
      </c>
      <c r="S402" s="507" t="s">
        <v>166</v>
      </c>
      <c r="T402" s="509"/>
    </row>
    <row r="403">
      <c r="A403" s="494" t="s">
        <v>1664</v>
      </c>
      <c r="B403" s="495" t="s">
        <v>3758</v>
      </c>
      <c r="C403" s="452" t="str">
        <f t="shared" si="89"/>
        <v>Sapphire</v>
      </c>
      <c r="D403" s="506" t="s">
        <v>3761</v>
      </c>
      <c r="E403" s="507">
        <v>320.0</v>
      </c>
      <c r="F403" s="507">
        <v>134.75</v>
      </c>
      <c r="G403" s="507">
        <v>71.57</v>
      </c>
      <c r="H403" s="507">
        <v>3.0</v>
      </c>
      <c r="I403" s="507">
        <v>2435.0</v>
      </c>
      <c r="J403" s="507">
        <v>18.0</v>
      </c>
      <c r="K403" s="507">
        <v>405.0</v>
      </c>
      <c r="L403" s="266" t="s">
        <v>3751</v>
      </c>
      <c r="M403" s="507">
        <v>3.0</v>
      </c>
      <c r="N403" s="507">
        <v>3.0</v>
      </c>
      <c r="O403" s="507">
        <v>1.0</v>
      </c>
      <c r="P403" s="507" t="s">
        <v>166</v>
      </c>
      <c r="Q403" s="507" t="s">
        <v>166</v>
      </c>
      <c r="R403" s="507" t="s">
        <v>166</v>
      </c>
      <c r="S403" s="507" t="s">
        <v>166</v>
      </c>
      <c r="T403" s="509"/>
    </row>
    <row r="404">
      <c r="A404" s="494" t="s">
        <v>1664</v>
      </c>
      <c r="B404" s="495" t="s">
        <v>3758</v>
      </c>
      <c r="C404" s="452" t="str">
        <f t="shared" si="89"/>
        <v>Sapphire</v>
      </c>
      <c r="D404" s="506" t="s">
        <v>3753</v>
      </c>
      <c r="E404" s="507">
        <v>270.0</v>
      </c>
      <c r="F404" s="507">
        <v>130.0</v>
      </c>
      <c r="G404" s="507">
        <v>45.0</v>
      </c>
      <c r="H404" s="507">
        <v>2.0</v>
      </c>
      <c r="I404" s="507">
        <v>2565.0</v>
      </c>
      <c r="J404" s="507">
        <v>18.0</v>
      </c>
      <c r="K404" s="507">
        <v>420.0</v>
      </c>
      <c r="L404" s="266" t="s">
        <v>3751</v>
      </c>
      <c r="M404" s="507">
        <v>1.0</v>
      </c>
      <c r="N404" s="507">
        <v>3.0</v>
      </c>
      <c r="O404" s="507">
        <v>1.0</v>
      </c>
      <c r="P404" s="507" t="s">
        <v>166</v>
      </c>
      <c r="Q404" s="507" t="s">
        <v>166</v>
      </c>
      <c r="R404" s="507" t="s">
        <v>174</v>
      </c>
      <c r="S404" s="507" t="s">
        <v>166</v>
      </c>
      <c r="T404" s="509"/>
    </row>
    <row r="405">
      <c r="A405" s="498" t="s">
        <v>1664</v>
      </c>
      <c r="B405" s="499" t="s">
        <v>3758</v>
      </c>
      <c r="C405" s="500" t="str">
        <f>HYPERLINK("https://www.xfxforce.com/","XFX")</f>
        <v>XFX</v>
      </c>
      <c r="D405" s="391" t="s">
        <v>3716</v>
      </c>
      <c r="E405" s="519">
        <v>340.0</v>
      </c>
      <c r="F405" s="519">
        <v>139.0</v>
      </c>
      <c r="G405" s="519">
        <v>57.0</v>
      </c>
      <c r="H405" s="519">
        <v>2.0</v>
      </c>
      <c r="I405" s="519">
        <v>2368.0</v>
      </c>
      <c r="J405" s="519">
        <v>18.0</v>
      </c>
      <c r="K405" s="519">
        <v>335.0</v>
      </c>
      <c r="L405" s="519" t="s">
        <v>3460</v>
      </c>
      <c r="M405" s="519">
        <v>3.0</v>
      </c>
      <c r="N405" s="519">
        <v>3.0</v>
      </c>
      <c r="O405" s="519">
        <v>1.0</v>
      </c>
      <c r="P405" s="519" t="s">
        <v>166</v>
      </c>
      <c r="Q405" s="519" t="s">
        <v>166</v>
      </c>
      <c r="R405" s="519" t="s">
        <v>166</v>
      </c>
      <c r="S405" s="519" t="s">
        <v>166</v>
      </c>
      <c r="T405" s="541"/>
    </row>
    <row r="406">
      <c r="A406" s="494" t="s">
        <v>1664</v>
      </c>
      <c r="B406" s="505" t="s">
        <v>3392</v>
      </c>
      <c r="C406" s="452" t="str">
        <f t="shared" ref="C406:C408" si="90">HYPERLINK("https://www.asrock.com/","ASRock")</f>
        <v>ASRock</v>
      </c>
      <c r="D406" s="506" t="s">
        <v>3762</v>
      </c>
      <c r="E406" s="507">
        <v>269.2</v>
      </c>
      <c r="F406" s="507">
        <v>131.8</v>
      </c>
      <c r="G406" s="507">
        <v>40.3</v>
      </c>
      <c r="H406" s="507">
        <v>2.0</v>
      </c>
      <c r="I406" s="507">
        <v>2695.0</v>
      </c>
      <c r="J406" s="507">
        <v>18.0</v>
      </c>
      <c r="K406" s="507">
        <v>165.0</v>
      </c>
      <c r="L406" s="507">
        <v>8.0</v>
      </c>
      <c r="M406" s="507">
        <v>2.0</v>
      </c>
      <c r="N406" s="507">
        <v>3.0</v>
      </c>
      <c r="O406" s="507">
        <v>1.0</v>
      </c>
      <c r="P406" s="507" t="s">
        <v>166</v>
      </c>
      <c r="Q406" s="507" t="s">
        <v>166</v>
      </c>
      <c r="R406" s="507" t="s">
        <v>166</v>
      </c>
      <c r="S406" s="507" t="s">
        <v>166</v>
      </c>
      <c r="T406" s="509"/>
    </row>
    <row r="407">
      <c r="A407" s="494" t="s">
        <v>1664</v>
      </c>
      <c r="B407" s="505" t="s">
        <v>3392</v>
      </c>
      <c r="C407" s="452" t="str">
        <f t="shared" si="90"/>
        <v>ASRock</v>
      </c>
      <c r="D407" s="506" t="s">
        <v>3701</v>
      </c>
      <c r="E407" s="507">
        <v>303.0</v>
      </c>
      <c r="F407" s="507">
        <v>131.0</v>
      </c>
      <c r="G407" s="507">
        <v>45.0</v>
      </c>
      <c r="H407" s="507">
        <v>2.0</v>
      </c>
      <c r="I407" s="507">
        <v>2725.0</v>
      </c>
      <c r="J407" s="507">
        <v>18.0</v>
      </c>
      <c r="K407" s="507">
        <v>165.0</v>
      </c>
      <c r="L407" s="507">
        <v>8.0</v>
      </c>
      <c r="M407" s="507">
        <v>3.0</v>
      </c>
      <c r="N407" s="507">
        <v>3.0</v>
      </c>
      <c r="O407" s="507">
        <v>1.0</v>
      </c>
      <c r="P407" s="507" t="s">
        <v>166</v>
      </c>
      <c r="Q407" s="507" t="s">
        <v>166</v>
      </c>
      <c r="R407" s="507" t="s">
        <v>166</v>
      </c>
      <c r="S407" s="507" t="s">
        <v>166</v>
      </c>
      <c r="T407" s="509"/>
    </row>
    <row r="408">
      <c r="A408" s="494" t="s">
        <v>1664</v>
      </c>
      <c r="B408" s="505" t="s">
        <v>3392</v>
      </c>
      <c r="C408" s="452" t="str">
        <f t="shared" si="90"/>
        <v>ASRock</v>
      </c>
      <c r="D408" s="506" t="s">
        <v>3763</v>
      </c>
      <c r="E408" s="507">
        <v>305.0</v>
      </c>
      <c r="F408" s="507">
        <v>131.0</v>
      </c>
      <c r="G408" s="507">
        <v>48.0</v>
      </c>
      <c r="H408" s="507">
        <v>2.0</v>
      </c>
      <c r="I408" s="507">
        <v>2755.0</v>
      </c>
      <c r="J408" s="507">
        <v>18.0</v>
      </c>
      <c r="K408" s="507">
        <v>165.0</v>
      </c>
      <c r="L408" s="507">
        <v>8.0</v>
      </c>
      <c r="M408" s="507">
        <v>3.0</v>
      </c>
      <c r="N408" s="507">
        <v>3.0</v>
      </c>
      <c r="O408" s="507">
        <v>1.0</v>
      </c>
      <c r="P408" s="507" t="s">
        <v>166</v>
      </c>
      <c r="Q408" s="507" t="s">
        <v>166</v>
      </c>
      <c r="R408" s="507" t="s">
        <v>166</v>
      </c>
      <c r="S408" s="507" t="s">
        <v>166</v>
      </c>
      <c r="T408" s="509"/>
    </row>
    <row r="409">
      <c r="A409" s="494" t="s">
        <v>1664</v>
      </c>
      <c r="B409" s="505" t="s">
        <v>3392</v>
      </c>
      <c r="C409" s="282" t="str">
        <f t="shared" ref="C409:C410" si="91">HYPERLINK("https://www.asus.com/","Asus")</f>
        <v>Asus</v>
      </c>
      <c r="D409" s="506" t="s">
        <v>3381</v>
      </c>
      <c r="E409" s="507">
        <v>245.0</v>
      </c>
      <c r="F409" s="507">
        <v>134.0</v>
      </c>
      <c r="G409" s="507">
        <v>49.0</v>
      </c>
      <c r="H409" s="507">
        <v>2.0</v>
      </c>
      <c r="I409" s="507">
        <v>2745.0</v>
      </c>
      <c r="J409" s="507">
        <v>18.0</v>
      </c>
      <c r="K409" s="507">
        <v>165.0</v>
      </c>
      <c r="L409" s="507">
        <v>8.0</v>
      </c>
      <c r="M409" s="507">
        <v>2.0</v>
      </c>
      <c r="N409" s="507">
        <v>3.0</v>
      </c>
      <c r="O409" s="507">
        <v>1.0</v>
      </c>
      <c r="P409" s="507" t="s">
        <v>166</v>
      </c>
      <c r="Q409" s="507" t="s">
        <v>166</v>
      </c>
      <c r="R409" s="507" t="s">
        <v>166</v>
      </c>
      <c r="S409" s="507" t="s">
        <v>166</v>
      </c>
      <c r="T409" s="509"/>
    </row>
    <row r="410">
      <c r="A410" s="494" t="s">
        <v>1664</v>
      </c>
      <c r="B410" s="505" t="s">
        <v>3392</v>
      </c>
      <c r="C410" s="282" t="str">
        <f t="shared" si="91"/>
        <v>Asus</v>
      </c>
      <c r="D410" s="506" t="s">
        <v>3643</v>
      </c>
      <c r="E410" s="507">
        <v>281.0</v>
      </c>
      <c r="F410" s="507">
        <v>135.0</v>
      </c>
      <c r="G410" s="507">
        <v>59.0</v>
      </c>
      <c r="H410" s="507">
        <v>2.0</v>
      </c>
      <c r="I410" s="507">
        <v>2755.0</v>
      </c>
      <c r="J410" s="507">
        <v>18.0</v>
      </c>
      <c r="K410" s="507">
        <v>165.0</v>
      </c>
      <c r="L410" s="507">
        <v>8.0</v>
      </c>
      <c r="M410" s="507">
        <v>2.0</v>
      </c>
      <c r="N410" s="507">
        <v>3.0</v>
      </c>
      <c r="O410" s="507">
        <v>1.0</v>
      </c>
      <c r="P410" s="507" t="s">
        <v>166</v>
      </c>
      <c r="Q410" s="507" t="s">
        <v>166</v>
      </c>
      <c r="R410" s="507" t="s">
        <v>166</v>
      </c>
      <c r="S410" s="507" t="s">
        <v>166</v>
      </c>
      <c r="T410" s="509"/>
    </row>
    <row r="411">
      <c r="A411" s="494" t="s">
        <v>1664</v>
      </c>
      <c r="B411" s="505" t="s">
        <v>3392</v>
      </c>
      <c r="C411" s="174" t="str">
        <f>HYPERLINK("https://www.gigabyte.com/","Gigabyte")</f>
        <v>Gigabyte</v>
      </c>
      <c r="D411" s="506" t="s">
        <v>3630</v>
      </c>
      <c r="E411" s="507">
        <v>282.0</v>
      </c>
      <c r="F411" s="507">
        <v>115.0</v>
      </c>
      <c r="G411" s="507">
        <v>50.0</v>
      </c>
      <c r="H411" s="507">
        <v>2.0</v>
      </c>
      <c r="I411" s="507">
        <v>2755.0</v>
      </c>
      <c r="J411" s="507">
        <v>18.0</v>
      </c>
      <c r="K411" s="507">
        <v>165.0</v>
      </c>
      <c r="L411" s="507">
        <v>8.0</v>
      </c>
      <c r="M411" s="507">
        <v>3.0</v>
      </c>
      <c r="N411" s="507">
        <v>2.0</v>
      </c>
      <c r="O411" s="507">
        <v>2.0</v>
      </c>
      <c r="P411" s="507" t="s">
        <v>166</v>
      </c>
      <c r="Q411" s="507" t="s">
        <v>166</v>
      </c>
      <c r="R411" s="507" t="s">
        <v>166</v>
      </c>
      <c r="S411" s="507" t="s">
        <v>166</v>
      </c>
      <c r="T411" s="509"/>
    </row>
    <row r="412">
      <c r="A412" s="494" t="s">
        <v>1664</v>
      </c>
      <c r="B412" s="505" t="s">
        <v>3392</v>
      </c>
      <c r="C412" s="174" t="str">
        <f t="shared" ref="C412:C413" si="92">HYPERLINK("https://www.msi.com/index.php","MSI")</f>
        <v>MSI</v>
      </c>
      <c r="D412" s="506" t="s">
        <v>3764</v>
      </c>
      <c r="E412" s="507">
        <v>235.0</v>
      </c>
      <c r="F412" s="507">
        <v>125.0</v>
      </c>
      <c r="G412" s="507">
        <v>47.0</v>
      </c>
      <c r="H412" s="507">
        <v>2.0</v>
      </c>
      <c r="I412" s="507">
        <v>2655.0</v>
      </c>
      <c r="J412" s="507">
        <v>18.0</v>
      </c>
      <c r="K412" s="507">
        <v>165.0</v>
      </c>
      <c r="L412" s="507">
        <v>8.0</v>
      </c>
      <c r="M412" s="507">
        <v>2.0</v>
      </c>
      <c r="N412" s="507">
        <v>3.0</v>
      </c>
      <c r="O412" s="507">
        <v>1.0</v>
      </c>
      <c r="P412" s="507" t="s">
        <v>166</v>
      </c>
      <c r="Q412" s="507" t="s">
        <v>166</v>
      </c>
      <c r="R412" s="507" t="s">
        <v>166</v>
      </c>
      <c r="S412" s="507" t="s">
        <v>166</v>
      </c>
      <c r="T412" s="509"/>
    </row>
    <row r="413">
      <c r="A413" s="494" t="s">
        <v>1664</v>
      </c>
      <c r="B413" s="505" t="s">
        <v>3392</v>
      </c>
      <c r="C413" s="174" t="str">
        <f t="shared" si="92"/>
        <v>MSI</v>
      </c>
      <c r="D413" s="506" t="s">
        <v>3765</v>
      </c>
      <c r="E413" s="507">
        <v>235.0</v>
      </c>
      <c r="F413" s="507">
        <v>125.0</v>
      </c>
      <c r="G413" s="507">
        <v>47.0</v>
      </c>
      <c r="H413" s="507">
        <v>2.0</v>
      </c>
      <c r="I413" s="507">
        <v>2695.0</v>
      </c>
      <c r="J413" s="507">
        <v>18.0</v>
      </c>
      <c r="K413" s="507">
        <v>165.0</v>
      </c>
      <c r="L413" s="507">
        <v>8.0</v>
      </c>
      <c r="M413" s="507">
        <v>2.0</v>
      </c>
      <c r="N413" s="507">
        <v>3.0</v>
      </c>
      <c r="O413" s="507">
        <v>1.0</v>
      </c>
      <c r="P413" s="507" t="s">
        <v>166</v>
      </c>
      <c r="Q413" s="507" t="s">
        <v>166</v>
      </c>
      <c r="R413" s="507" t="s">
        <v>166</v>
      </c>
      <c r="S413" s="507" t="s">
        <v>166</v>
      </c>
      <c r="T413" s="509"/>
    </row>
    <row r="414">
      <c r="A414" s="494" t="s">
        <v>1664</v>
      </c>
      <c r="B414" s="505" t="s">
        <v>3392</v>
      </c>
      <c r="C414" s="452" t="str">
        <f>HYPERLINK("https://www.powercolor.com/","PowerColor")</f>
        <v>PowerColor</v>
      </c>
      <c r="D414" s="506" t="s">
        <v>3695</v>
      </c>
      <c r="E414" s="507">
        <v>223.0</v>
      </c>
      <c r="F414" s="507">
        <v>132.0</v>
      </c>
      <c r="G414" s="507">
        <v>45.0</v>
      </c>
      <c r="H414" s="507">
        <v>2.0</v>
      </c>
      <c r="I414" s="507">
        <v>2695.0</v>
      </c>
      <c r="J414" s="507">
        <v>18.0</v>
      </c>
      <c r="K414" s="507">
        <v>165.0</v>
      </c>
      <c r="L414" s="507">
        <v>8.0</v>
      </c>
      <c r="M414" s="507">
        <v>2.0</v>
      </c>
      <c r="N414" s="507">
        <v>3.0</v>
      </c>
      <c r="O414" s="507">
        <v>1.0</v>
      </c>
      <c r="P414" s="507" t="s">
        <v>166</v>
      </c>
      <c r="Q414" s="507" t="s">
        <v>166</v>
      </c>
      <c r="R414" s="507" t="s">
        <v>166</v>
      </c>
      <c r="S414" s="507" t="s">
        <v>166</v>
      </c>
      <c r="T414" s="509"/>
    </row>
    <row r="415">
      <c r="A415" s="494" t="s">
        <v>1664</v>
      </c>
      <c r="B415" s="495" t="s">
        <v>3392</v>
      </c>
      <c r="C415" s="452" t="str">
        <f>HYPERLINK("https://www.sapphiretech.com/","Sapphire")</f>
        <v>Sapphire</v>
      </c>
      <c r="D415" s="506" t="s">
        <v>3376</v>
      </c>
      <c r="E415" s="507">
        <v>240.0</v>
      </c>
      <c r="F415" s="507">
        <v>119.85</v>
      </c>
      <c r="G415" s="507">
        <v>44.07</v>
      </c>
      <c r="H415" s="507">
        <v>2.0</v>
      </c>
      <c r="I415" s="507">
        <v>2755.0</v>
      </c>
      <c r="J415" s="507">
        <v>18.0</v>
      </c>
      <c r="K415" s="507">
        <v>185.0</v>
      </c>
      <c r="L415" s="266">
        <v>8.0</v>
      </c>
      <c r="M415" s="507">
        <v>2.0</v>
      </c>
      <c r="N415" s="507">
        <v>3.0</v>
      </c>
      <c r="O415" s="507">
        <v>1.0</v>
      </c>
      <c r="P415" s="507" t="s">
        <v>166</v>
      </c>
      <c r="Q415" s="507" t="s">
        <v>166</v>
      </c>
      <c r="R415" s="507" t="s">
        <v>166</v>
      </c>
      <c r="S415" s="507" t="s">
        <v>166</v>
      </c>
      <c r="T415" s="509"/>
    </row>
    <row r="416">
      <c r="A416" s="494" t="s">
        <v>1664</v>
      </c>
      <c r="B416" s="495" t="s">
        <v>3392</v>
      </c>
      <c r="C416" s="282" t="str">
        <f t="shared" ref="C416:C417" si="93">HYPERLINK("https://www.xfxforce.com/","XFX")</f>
        <v>XFX</v>
      </c>
      <c r="D416" s="506" t="s">
        <v>3766</v>
      </c>
      <c r="E416" s="507">
        <v>241.0</v>
      </c>
      <c r="F416" s="507">
        <v>131.0</v>
      </c>
      <c r="G416" s="507">
        <v>41.0</v>
      </c>
      <c r="H416" s="507">
        <v>2.0</v>
      </c>
      <c r="I416" s="507">
        <v>2655.0</v>
      </c>
      <c r="J416" s="507">
        <v>18.0</v>
      </c>
      <c r="K416" s="507">
        <v>165.0</v>
      </c>
      <c r="L416" s="266">
        <v>8.0</v>
      </c>
      <c r="M416" s="507">
        <v>2.0</v>
      </c>
      <c r="N416" s="507">
        <v>3.0</v>
      </c>
      <c r="O416" s="507">
        <v>1.0</v>
      </c>
      <c r="P416" s="507" t="s">
        <v>166</v>
      </c>
      <c r="Q416" s="507" t="s">
        <v>166</v>
      </c>
      <c r="R416" s="507" t="s">
        <v>166</v>
      </c>
      <c r="S416" s="507" t="s">
        <v>166</v>
      </c>
      <c r="T416" s="509"/>
    </row>
    <row r="417">
      <c r="A417" s="494" t="s">
        <v>1664</v>
      </c>
      <c r="B417" s="495" t="s">
        <v>3392</v>
      </c>
      <c r="C417" s="452" t="str">
        <f t="shared" si="93"/>
        <v>XFX</v>
      </c>
      <c r="D417" s="506" t="s">
        <v>3767</v>
      </c>
      <c r="E417" s="507">
        <v>274.0</v>
      </c>
      <c r="F417" s="507">
        <v>114.0</v>
      </c>
      <c r="G417" s="507">
        <v>45.0</v>
      </c>
      <c r="H417" s="507">
        <v>2.0</v>
      </c>
      <c r="I417" s="507">
        <v>2755.0</v>
      </c>
      <c r="J417" s="507">
        <v>18.0</v>
      </c>
      <c r="K417" s="507">
        <v>165.0</v>
      </c>
      <c r="L417" s="266">
        <v>8.0</v>
      </c>
      <c r="M417" s="507">
        <v>3.0</v>
      </c>
      <c r="N417" s="507">
        <v>3.0</v>
      </c>
      <c r="O417" s="507">
        <v>1.0</v>
      </c>
      <c r="P417" s="507" t="s">
        <v>166</v>
      </c>
      <c r="Q417" s="507" t="s">
        <v>166</v>
      </c>
      <c r="R417" s="507" t="s">
        <v>166</v>
      </c>
      <c r="S417" s="507" t="s">
        <v>166</v>
      </c>
      <c r="T417" s="509"/>
    </row>
    <row r="418">
      <c r="A418" s="498" t="s">
        <v>1664</v>
      </c>
      <c r="B418" s="499" t="s">
        <v>3392</v>
      </c>
      <c r="C418" s="500" t="s">
        <v>3378</v>
      </c>
      <c r="D418" s="391" t="s">
        <v>3768</v>
      </c>
      <c r="E418" s="519">
        <v>300.0</v>
      </c>
      <c r="F418" s="519">
        <v>131.0</v>
      </c>
      <c r="G418" s="519">
        <v>53.0</v>
      </c>
      <c r="H418" s="519">
        <v>2.0</v>
      </c>
      <c r="I418" s="519">
        <v>2655.0</v>
      </c>
      <c r="J418" s="519">
        <v>18.0</v>
      </c>
      <c r="K418" s="519">
        <v>165.0</v>
      </c>
      <c r="L418" s="501">
        <v>8.0</v>
      </c>
      <c r="M418" s="519">
        <v>3.0</v>
      </c>
      <c r="N418" s="519">
        <v>3.0</v>
      </c>
      <c r="O418" s="519">
        <v>1.0</v>
      </c>
      <c r="P418" s="519" t="s">
        <v>166</v>
      </c>
      <c r="Q418" s="519" t="s">
        <v>166</v>
      </c>
      <c r="R418" s="519" t="s">
        <v>166</v>
      </c>
      <c r="S418" s="519" t="s">
        <v>166</v>
      </c>
      <c r="T418" s="541"/>
    </row>
    <row r="419">
      <c r="A419" s="504" t="s">
        <v>1664</v>
      </c>
      <c r="B419" s="505" t="s">
        <v>3769</v>
      </c>
      <c r="C419" s="282" t="s">
        <v>3770</v>
      </c>
      <c r="D419" s="548" t="s">
        <v>3771</v>
      </c>
      <c r="E419" s="507">
        <v>268.0</v>
      </c>
      <c r="F419" s="507">
        <v>111.2</v>
      </c>
      <c r="G419" s="507">
        <v>40.1</v>
      </c>
      <c r="H419" s="507">
        <v>2.0</v>
      </c>
      <c r="I419" s="507">
        <v>2810.0</v>
      </c>
      <c r="J419" s="507">
        <v>18.0</v>
      </c>
      <c r="K419" s="507">
        <v>190.0</v>
      </c>
      <c r="L419" s="507" t="s">
        <v>3460</v>
      </c>
      <c r="M419" s="507">
        <v>2.0</v>
      </c>
      <c r="N419" s="507">
        <v>3.0</v>
      </c>
      <c r="O419" s="507">
        <v>1.0</v>
      </c>
      <c r="P419" s="507" t="s">
        <v>166</v>
      </c>
      <c r="Q419" s="507" t="s">
        <v>166</v>
      </c>
      <c r="R419" s="507" t="s">
        <v>166</v>
      </c>
      <c r="S419" s="507" t="s">
        <v>166</v>
      </c>
      <c r="T419" s="509"/>
    </row>
    <row r="420">
      <c r="A420" s="504" t="s">
        <v>1664</v>
      </c>
      <c r="B420" s="505" t="s">
        <v>3769</v>
      </c>
      <c r="C420" s="452" t="str">
        <f t="shared" ref="C420:C421" si="94">HYPERLINK("https://www.asrock.com/","ASRock")</f>
        <v>ASRock</v>
      </c>
      <c r="D420" s="506" t="s">
        <v>3762</v>
      </c>
      <c r="E420" s="507">
        <v>267.0</v>
      </c>
      <c r="F420" s="507">
        <v>130.0</v>
      </c>
      <c r="G420" s="507">
        <v>51.0</v>
      </c>
      <c r="H420" s="507">
        <v>2.0</v>
      </c>
      <c r="I420" s="507">
        <v>2799.0</v>
      </c>
      <c r="J420" s="507">
        <v>18.0</v>
      </c>
      <c r="K420" s="507">
        <v>190.0</v>
      </c>
      <c r="L420" s="507" t="s">
        <v>3460</v>
      </c>
      <c r="M420" s="507">
        <v>2.0</v>
      </c>
      <c r="N420" s="507">
        <v>3.0</v>
      </c>
      <c r="O420" s="507">
        <v>1.0</v>
      </c>
      <c r="P420" s="507" t="s">
        <v>166</v>
      </c>
      <c r="Q420" s="507" t="s">
        <v>166</v>
      </c>
      <c r="R420" s="507" t="s">
        <v>166</v>
      </c>
      <c r="S420" s="507" t="s">
        <v>166</v>
      </c>
      <c r="T420" s="509"/>
    </row>
    <row r="421">
      <c r="A421" s="504" t="s">
        <v>1664</v>
      </c>
      <c r="B421" s="505" t="s">
        <v>3769</v>
      </c>
      <c r="C421" s="452" t="str">
        <f t="shared" si="94"/>
        <v>ASRock</v>
      </c>
      <c r="D421" s="506" t="s">
        <v>3701</v>
      </c>
      <c r="E421" s="507">
        <v>304.0</v>
      </c>
      <c r="F421" s="507">
        <v>131.0</v>
      </c>
      <c r="G421" s="507">
        <v>51.0</v>
      </c>
      <c r="H421" s="507">
        <v>2.0</v>
      </c>
      <c r="I421" s="507">
        <v>2810.0</v>
      </c>
      <c r="J421" s="507">
        <v>18.0</v>
      </c>
      <c r="K421" s="507">
        <v>190.0</v>
      </c>
      <c r="L421" s="507" t="s">
        <v>3460</v>
      </c>
      <c r="M421" s="507">
        <v>3.0</v>
      </c>
      <c r="N421" s="507">
        <v>3.0</v>
      </c>
      <c r="O421" s="507">
        <v>1.0</v>
      </c>
      <c r="P421" s="507" t="s">
        <v>166</v>
      </c>
      <c r="Q421" s="507" t="s">
        <v>166</v>
      </c>
      <c r="R421" s="507" t="s">
        <v>166</v>
      </c>
      <c r="S421" s="507" t="s">
        <v>166</v>
      </c>
      <c r="T421" s="509"/>
    </row>
    <row r="422">
      <c r="A422" s="504" t="s">
        <v>1664</v>
      </c>
      <c r="B422" s="505" t="s">
        <v>3769</v>
      </c>
      <c r="C422" s="174" t="str">
        <f t="shared" ref="C422:C423" si="95">HYPERLINK("https://www.asus.com/","Asus")</f>
        <v>Asus</v>
      </c>
      <c r="D422" s="506" t="s">
        <v>3381</v>
      </c>
      <c r="E422" s="507">
        <v>227.2</v>
      </c>
      <c r="F422" s="507">
        <v>123.24</v>
      </c>
      <c r="G422" s="507">
        <v>49.6</v>
      </c>
      <c r="H422" s="507">
        <v>2.0</v>
      </c>
      <c r="I422" s="507">
        <v>2801.0</v>
      </c>
      <c r="J422" s="507">
        <v>18.0</v>
      </c>
      <c r="K422" s="507">
        <v>190.0</v>
      </c>
      <c r="L422" s="266">
        <v>8.0</v>
      </c>
      <c r="M422" s="507">
        <v>2.0</v>
      </c>
      <c r="N422" s="507">
        <v>3.0</v>
      </c>
      <c r="O422" s="507">
        <v>1.0</v>
      </c>
      <c r="P422" s="507" t="s">
        <v>166</v>
      </c>
      <c r="Q422" s="507" t="s">
        <v>166</v>
      </c>
      <c r="R422" s="507" t="s">
        <v>166</v>
      </c>
      <c r="S422" s="507" t="s">
        <v>166</v>
      </c>
      <c r="T422" s="509"/>
    </row>
    <row r="423">
      <c r="A423" s="504" t="s">
        <v>1664</v>
      </c>
      <c r="B423" s="505" t="s">
        <v>3769</v>
      </c>
      <c r="C423" s="174" t="str">
        <f t="shared" si="95"/>
        <v>Asus</v>
      </c>
      <c r="D423" s="506" t="s">
        <v>3478</v>
      </c>
      <c r="E423" s="507">
        <v>300.2</v>
      </c>
      <c r="F423" s="507">
        <v>142.75</v>
      </c>
      <c r="G423" s="507">
        <v>59.2</v>
      </c>
      <c r="H423" s="507">
        <v>2.0</v>
      </c>
      <c r="I423" s="507">
        <v>2830.0</v>
      </c>
      <c r="J423" s="507">
        <v>18.0</v>
      </c>
      <c r="K423" s="507">
        <v>190.0</v>
      </c>
      <c r="L423" s="266" t="s">
        <v>3460</v>
      </c>
      <c r="M423" s="507">
        <v>3.0</v>
      </c>
      <c r="N423" s="507">
        <v>3.0</v>
      </c>
      <c r="O423" s="507">
        <v>1.0</v>
      </c>
      <c r="P423" s="507" t="s">
        <v>166</v>
      </c>
      <c r="Q423" s="507" t="s">
        <v>166</v>
      </c>
      <c r="R423" s="507" t="s">
        <v>166</v>
      </c>
      <c r="S423" s="507" t="s">
        <v>166</v>
      </c>
      <c r="T423" s="509"/>
    </row>
    <row r="424">
      <c r="A424" s="504" t="s">
        <v>1664</v>
      </c>
      <c r="B424" s="505" t="s">
        <v>3769</v>
      </c>
      <c r="C424" s="174" t="str">
        <f>HYPERLINK("https://www.gigabyte.com/","Gigabyte")</f>
        <v>Gigabyte</v>
      </c>
      <c r="D424" s="506" t="s">
        <v>3630</v>
      </c>
      <c r="E424" s="507">
        <v>281.4</v>
      </c>
      <c r="F424" s="507">
        <v>116.6</v>
      </c>
      <c r="G424" s="507">
        <v>52.6</v>
      </c>
      <c r="H424" s="507">
        <v>2.0</v>
      </c>
      <c r="I424" s="507">
        <v>2810.0</v>
      </c>
      <c r="J424" s="507">
        <v>18.0</v>
      </c>
      <c r="K424" s="507">
        <v>190.0</v>
      </c>
      <c r="L424" s="266" t="s">
        <v>3460</v>
      </c>
      <c r="M424" s="507">
        <v>3.0</v>
      </c>
      <c r="N424" s="507">
        <v>2.0</v>
      </c>
      <c r="O424" s="507">
        <v>2.0</v>
      </c>
      <c r="P424" s="507" t="s">
        <v>166</v>
      </c>
      <c r="Q424" s="507" t="s">
        <v>166</v>
      </c>
      <c r="R424" s="507" t="s">
        <v>166</v>
      </c>
      <c r="S424" s="507" t="s">
        <v>166</v>
      </c>
      <c r="T424" s="509"/>
    </row>
    <row r="425">
      <c r="A425" s="504" t="s">
        <v>1664</v>
      </c>
      <c r="B425" s="505" t="s">
        <v>3769</v>
      </c>
      <c r="C425" s="452" t="str">
        <f t="shared" ref="C425:C426" si="96">HYPERLINK("https://www.powercolor.com/","PowerColor")</f>
        <v>PowerColor</v>
      </c>
      <c r="D425" s="506" t="s">
        <v>3384</v>
      </c>
      <c r="E425" s="507">
        <v>217.0</v>
      </c>
      <c r="F425" s="507">
        <v>118.0</v>
      </c>
      <c r="G425" s="507">
        <v>39.0</v>
      </c>
      <c r="H425" s="507">
        <v>2.0</v>
      </c>
      <c r="I425" s="507">
        <v>2755.0</v>
      </c>
      <c r="J425" s="507">
        <v>18.0</v>
      </c>
      <c r="K425" s="507">
        <v>190.0</v>
      </c>
      <c r="L425" s="266">
        <v>8.0</v>
      </c>
      <c r="M425" s="507">
        <v>2.0</v>
      </c>
      <c r="N425" s="507">
        <v>3.0</v>
      </c>
      <c r="O425" s="507">
        <v>1.0</v>
      </c>
      <c r="P425" s="507" t="s">
        <v>166</v>
      </c>
      <c r="Q425" s="507" t="s">
        <v>166</v>
      </c>
      <c r="R425" s="507" t="s">
        <v>166</v>
      </c>
      <c r="S425" s="507" t="s">
        <v>166</v>
      </c>
      <c r="T425" s="509"/>
    </row>
    <row r="426">
      <c r="A426" s="504" t="s">
        <v>1664</v>
      </c>
      <c r="B426" s="505" t="s">
        <v>3769</v>
      </c>
      <c r="C426" s="452" t="str">
        <f t="shared" si="96"/>
        <v>PowerColor</v>
      </c>
      <c r="D426" s="506" t="s">
        <v>3695</v>
      </c>
      <c r="E426" s="507">
        <v>220.0</v>
      </c>
      <c r="F426" s="507">
        <v>133.0</v>
      </c>
      <c r="G426" s="507">
        <v>45.0</v>
      </c>
      <c r="H426" s="507">
        <v>2.0</v>
      </c>
      <c r="I426" s="507">
        <v>2810.0</v>
      </c>
      <c r="J426" s="507">
        <v>18.0</v>
      </c>
      <c r="K426" s="507">
        <v>190.0</v>
      </c>
      <c r="L426" s="266" t="s">
        <v>3361</v>
      </c>
      <c r="M426" s="507">
        <v>2.0</v>
      </c>
      <c r="N426" s="507">
        <v>3.0</v>
      </c>
      <c r="O426" s="507">
        <v>1.0</v>
      </c>
      <c r="P426" s="507" t="s">
        <v>166</v>
      </c>
      <c r="Q426" s="507" t="s">
        <v>166</v>
      </c>
      <c r="R426" s="507" t="s">
        <v>166</v>
      </c>
      <c r="S426" s="507" t="s">
        <v>166</v>
      </c>
      <c r="T426" s="509"/>
    </row>
    <row r="427">
      <c r="A427" s="504" t="s">
        <v>1664</v>
      </c>
      <c r="B427" s="505" t="s">
        <v>3769</v>
      </c>
      <c r="C427" s="452" t="str">
        <f>HYPERLINK("https://www.sapphiretech.com/","Sapphire")</f>
        <v>Sapphire</v>
      </c>
      <c r="D427" s="506" t="s">
        <v>3376</v>
      </c>
      <c r="E427" s="507">
        <v>250.0</v>
      </c>
      <c r="F427" s="507">
        <v>129.5</v>
      </c>
      <c r="G427" s="507">
        <v>44.56</v>
      </c>
      <c r="H427" s="507">
        <v>2.0</v>
      </c>
      <c r="I427" s="507">
        <v>2810.0</v>
      </c>
      <c r="J427" s="507">
        <v>18.0</v>
      </c>
      <c r="K427" s="507">
        <v>192.0</v>
      </c>
      <c r="L427" s="266" t="s">
        <v>3460</v>
      </c>
      <c r="M427" s="507">
        <v>2.0</v>
      </c>
      <c r="N427" s="507">
        <v>2.0</v>
      </c>
      <c r="O427" s="507">
        <v>2.0</v>
      </c>
      <c r="P427" s="507" t="s">
        <v>166</v>
      </c>
      <c r="Q427" s="507" t="s">
        <v>166</v>
      </c>
      <c r="R427" s="507" t="s">
        <v>166</v>
      </c>
      <c r="S427" s="507" t="s">
        <v>166</v>
      </c>
      <c r="T427" s="509"/>
    </row>
    <row r="428">
      <c r="A428" s="504" t="s">
        <v>1664</v>
      </c>
      <c r="B428" s="505" t="s">
        <v>3769</v>
      </c>
      <c r="C428" s="452" t="str">
        <f t="shared" ref="C428:C429" si="97">HYPERLINK("https://www.xfxforce.com/","XFX")</f>
        <v>XFX</v>
      </c>
      <c r="D428" s="506" t="s">
        <v>3772</v>
      </c>
      <c r="E428" s="507">
        <v>302.0</v>
      </c>
      <c r="F428" s="507">
        <v>114.0</v>
      </c>
      <c r="G428" s="507">
        <v>50.0</v>
      </c>
      <c r="H428" s="507">
        <v>2.0</v>
      </c>
      <c r="I428" s="507">
        <v>2810.0</v>
      </c>
      <c r="J428" s="507">
        <v>18.0</v>
      </c>
      <c r="K428" s="507">
        <v>190.0</v>
      </c>
      <c r="L428" s="266">
        <v>8.0</v>
      </c>
      <c r="M428" s="507">
        <v>2.0</v>
      </c>
      <c r="N428" s="507">
        <v>3.0</v>
      </c>
      <c r="O428" s="507">
        <v>1.0</v>
      </c>
      <c r="P428" s="507" t="s">
        <v>166</v>
      </c>
      <c r="Q428" s="507" t="s">
        <v>166</v>
      </c>
      <c r="R428" s="507" t="s">
        <v>166</v>
      </c>
      <c r="S428" s="507" t="s">
        <v>166</v>
      </c>
      <c r="T428" s="509"/>
    </row>
    <row r="429">
      <c r="A429" s="538" t="s">
        <v>1664</v>
      </c>
      <c r="B429" s="539" t="s">
        <v>3769</v>
      </c>
      <c r="C429" s="500" t="str">
        <f t="shared" si="97"/>
        <v>XFX</v>
      </c>
      <c r="D429" s="391" t="s">
        <v>3773</v>
      </c>
      <c r="E429" s="519">
        <v>302.0</v>
      </c>
      <c r="F429" s="519">
        <v>114.0</v>
      </c>
      <c r="G429" s="519">
        <v>50.0</v>
      </c>
      <c r="H429" s="519">
        <v>2.0</v>
      </c>
      <c r="I429" s="519">
        <v>2810.0</v>
      </c>
      <c r="J429" s="519">
        <v>18.0</v>
      </c>
      <c r="K429" s="519">
        <v>190.0</v>
      </c>
      <c r="L429" s="501" t="s">
        <v>3460</v>
      </c>
      <c r="M429" s="519">
        <v>3.0</v>
      </c>
      <c r="N429" s="519">
        <v>3.0</v>
      </c>
      <c r="O429" s="519">
        <v>1.0</v>
      </c>
      <c r="P429" s="519" t="s">
        <v>166</v>
      </c>
      <c r="Q429" s="519" t="s">
        <v>166</v>
      </c>
      <c r="R429" s="519" t="s">
        <v>166</v>
      </c>
      <c r="S429" s="519" t="s">
        <v>166</v>
      </c>
      <c r="T429" s="541"/>
    </row>
    <row r="430">
      <c r="A430" s="504" t="s">
        <v>1664</v>
      </c>
      <c r="B430" s="505" t="s">
        <v>3774</v>
      </c>
      <c r="C430" s="282" t="s">
        <v>3770</v>
      </c>
      <c r="D430" s="548" t="s">
        <v>3771</v>
      </c>
      <c r="E430" s="507">
        <v>279.0</v>
      </c>
      <c r="F430" s="507">
        <v>129.62</v>
      </c>
      <c r="G430" s="507">
        <v>50.42</v>
      </c>
      <c r="H430" s="507">
        <v>2.0</v>
      </c>
      <c r="I430" s="507">
        <v>2599.0</v>
      </c>
      <c r="J430" s="507">
        <v>18.0</v>
      </c>
      <c r="K430" s="507">
        <v>245.0</v>
      </c>
      <c r="L430" s="507" t="s">
        <v>3460</v>
      </c>
      <c r="M430" s="507">
        <v>2.0</v>
      </c>
      <c r="N430" s="507">
        <v>3.0</v>
      </c>
      <c r="O430" s="507">
        <v>1.0</v>
      </c>
      <c r="P430" s="507" t="s">
        <v>166</v>
      </c>
      <c r="Q430" s="507" t="s">
        <v>166</v>
      </c>
      <c r="R430" s="507" t="s">
        <v>166</v>
      </c>
      <c r="S430" s="507" t="s">
        <v>166</v>
      </c>
      <c r="T430" s="509"/>
    </row>
    <row r="431">
      <c r="A431" s="504" t="s">
        <v>1664</v>
      </c>
      <c r="B431" s="505" t="s">
        <v>3774</v>
      </c>
      <c r="C431" s="506" t="str">
        <f t="shared" ref="C431:C433" si="98">HYPERLINK("https://www.asrock.com/","ASRock")</f>
        <v>ASRock</v>
      </c>
      <c r="D431" s="506" t="s">
        <v>3762</v>
      </c>
      <c r="E431" s="507">
        <v>266.0</v>
      </c>
      <c r="F431" s="507">
        <v>130.0</v>
      </c>
      <c r="G431" s="507">
        <v>51.0</v>
      </c>
      <c r="H431" s="507">
        <v>2.0</v>
      </c>
      <c r="I431" s="507">
        <v>2584.0</v>
      </c>
      <c r="J431" s="507">
        <v>18.0</v>
      </c>
      <c r="K431" s="507">
        <v>245.0</v>
      </c>
      <c r="L431" s="507" t="s">
        <v>3460</v>
      </c>
      <c r="M431" s="507">
        <v>2.0</v>
      </c>
      <c r="N431" s="507">
        <v>3.0</v>
      </c>
      <c r="O431" s="507">
        <v>1.0</v>
      </c>
      <c r="P431" s="507" t="s">
        <v>166</v>
      </c>
      <c r="Q431" s="507" t="s">
        <v>166</v>
      </c>
      <c r="R431" s="507" t="s">
        <v>166</v>
      </c>
      <c r="S431" s="507" t="s">
        <v>166</v>
      </c>
      <c r="T431" s="509"/>
    </row>
    <row r="432">
      <c r="A432" s="494" t="s">
        <v>1664</v>
      </c>
      <c r="B432" s="495" t="s">
        <v>3774</v>
      </c>
      <c r="C432" s="452" t="str">
        <f t="shared" si="98"/>
        <v>ASRock</v>
      </c>
      <c r="D432" s="506" t="s">
        <v>3701</v>
      </c>
      <c r="E432" s="507">
        <v>304.0</v>
      </c>
      <c r="F432" s="507">
        <v>131.0</v>
      </c>
      <c r="G432" s="507">
        <v>56.0</v>
      </c>
      <c r="H432" s="507">
        <v>2.0</v>
      </c>
      <c r="I432" s="507">
        <v>2599.0</v>
      </c>
      <c r="J432" s="507">
        <v>18.0</v>
      </c>
      <c r="K432" s="507">
        <v>245.0</v>
      </c>
      <c r="L432" s="266" t="s">
        <v>3460</v>
      </c>
      <c r="M432" s="507">
        <v>3.0</v>
      </c>
      <c r="N432" s="507">
        <v>3.0</v>
      </c>
      <c r="O432" s="507">
        <v>1.0</v>
      </c>
      <c r="P432" s="507" t="s">
        <v>166</v>
      </c>
      <c r="Q432" s="507" t="s">
        <v>166</v>
      </c>
      <c r="R432" s="507" t="s">
        <v>166</v>
      </c>
      <c r="S432" s="507" t="s">
        <v>166</v>
      </c>
      <c r="T432" s="509"/>
    </row>
    <row r="433">
      <c r="A433" s="494" t="s">
        <v>1664</v>
      </c>
      <c r="B433" s="495" t="s">
        <v>3774</v>
      </c>
      <c r="C433" s="452" t="str">
        <f t="shared" si="98"/>
        <v>ASRock</v>
      </c>
      <c r="D433" s="506" t="s">
        <v>3763</v>
      </c>
      <c r="E433" s="507">
        <v>328.0</v>
      </c>
      <c r="F433" s="507">
        <v>140.0</v>
      </c>
      <c r="G433" s="507">
        <v>53.0</v>
      </c>
      <c r="H433" s="507">
        <v>2.0</v>
      </c>
      <c r="I433" s="507">
        <v>2599.0</v>
      </c>
      <c r="J433" s="507">
        <v>18.0</v>
      </c>
      <c r="K433" s="507">
        <v>245.0</v>
      </c>
      <c r="L433" s="266" t="s">
        <v>3460</v>
      </c>
      <c r="M433" s="507">
        <v>3.0</v>
      </c>
      <c r="N433" s="507">
        <v>3.0</v>
      </c>
      <c r="O433" s="507">
        <v>1.0</v>
      </c>
      <c r="P433" s="507" t="s">
        <v>166</v>
      </c>
      <c r="Q433" s="507" t="s">
        <v>166</v>
      </c>
      <c r="R433" s="507" t="s">
        <v>166</v>
      </c>
      <c r="S433" s="507" t="s">
        <v>166</v>
      </c>
      <c r="T433" s="509"/>
    </row>
    <row r="434">
      <c r="A434" s="494" t="s">
        <v>1664</v>
      </c>
      <c r="B434" s="495" t="s">
        <v>3774</v>
      </c>
      <c r="C434" s="174" t="str">
        <f t="shared" ref="C434:C435" si="99">HYPERLINK("https://www.asus.com/","Asus")</f>
        <v>Asus</v>
      </c>
      <c r="D434" s="506" t="s">
        <v>3381</v>
      </c>
      <c r="E434" s="507">
        <v>279.9</v>
      </c>
      <c r="F434" s="507">
        <v>133.9</v>
      </c>
      <c r="G434" s="507">
        <v>49.3</v>
      </c>
      <c r="H434" s="507">
        <v>2.0</v>
      </c>
      <c r="I434" s="507">
        <v>2599.0</v>
      </c>
      <c r="J434" s="507">
        <v>18.0</v>
      </c>
      <c r="K434" s="507">
        <v>245.0</v>
      </c>
      <c r="L434" s="266" t="s">
        <v>3460</v>
      </c>
      <c r="M434" s="507">
        <v>2.0</v>
      </c>
      <c r="N434" s="507">
        <v>3.0</v>
      </c>
      <c r="O434" s="507">
        <v>1.0</v>
      </c>
      <c r="P434" s="507" t="s">
        <v>166</v>
      </c>
      <c r="Q434" s="507" t="s">
        <v>166</v>
      </c>
      <c r="R434" s="507" t="s">
        <v>166</v>
      </c>
      <c r="S434" s="507" t="s">
        <v>166</v>
      </c>
      <c r="T434" s="509"/>
    </row>
    <row r="435">
      <c r="A435" s="494" t="s">
        <v>1664</v>
      </c>
      <c r="B435" s="495" t="s">
        <v>3774</v>
      </c>
      <c r="C435" s="174" t="str">
        <f t="shared" si="99"/>
        <v>Asus</v>
      </c>
      <c r="D435" s="506" t="s">
        <v>3478</v>
      </c>
      <c r="E435" s="507">
        <v>319.8</v>
      </c>
      <c r="F435" s="507">
        <v>150.9</v>
      </c>
      <c r="G435" s="507">
        <v>59.2</v>
      </c>
      <c r="H435" s="507">
        <v>2.0</v>
      </c>
      <c r="I435" s="507">
        <v>2599.0</v>
      </c>
      <c r="J435" s="507">
        <v>18.0</v>
      </c>
      <c r="K435" s="507">
        <v>245.0</v>
      </c>
      <c r="L435" s="266" t="s">
        <v>3460</v>
      </c>
      <c r="M435" s="507">
        <v>3.0</v>
      </c>
      <c r="N435" s="507">
        <v>3.0</v>
      </c>
      <c r="O435" s="507">
        <v>1.0</v>
      </c>
      <c r="P435" s="507" t="s">
        <v>166</v>
      </c>
      <c r="Q435" s="507" t="s">
        <v>166</v>
      </c>
      <c r="R435" s="507" t="s">
        <v>166</v>
      </c>
      <c r="S435" s="507" t="s">
        <v>166</v>
      </c>
      <c r="T435" s="509"/>
    </row>
    <row r="436">
      <c r="A436" s="494" t="s">
        <v>1664</v>
      </c>
      <c r="B436" s="495" t="s">
        <v>3774</v>
      </c>
      <c r="C436" s="174" t="str">
        <f>HYPERLINK("https://www.gigabyte.com/","Gigabyte")</f>
        <v>Gigabyte</v>
      </c>
      <c r="D436" s="506" t="s">
        <v>3630</v>
      </c>
      <c r="E436" s="507">
        <v>302.0</v>
      </c>
      <c r="F436" s="507">
        <v>130.0</v>
      </c>
      <c r="G436" s="507">
        <v>56.0</v>
      </c>
      <c r="H436" s="507">
        <v>2.0</v>
      </c>
      <c r="I436" s="507">
        <v>2599.0</v>
      </c>
      <c r="J436" s="507">
        <v>18.0</v>
      </c>
      <c r="K436" s="507">
        <v>245.0</v>
      </c>
      <c r="L436" s="266" t="s">
        <v>3460</v>
      </c>
      <c r="M436" s="507">
        <v>3.0</v>
      </c>
      <c r="N436" s="507">
        <v>2.0</v>
      </c>
      <c r="O436" s="507">
        <v>2.0</v>
      </c>
      <c r="P436" s="507" t="s">
        <v>166</v>
      </c>
      <c r="Q436" s="507" t="s">
        <v>166</v>
      </c>
      <c r="R436" s="507" t="s">
        <v>166</v>
      </c>
      <c r="S436" s="507" t="s">
        <v>166</v>
      </c>
      <c r="T436" s="509"/>
    </row>
    <row r="437">
      <c r="A437" s="494" t="s">
        <v>1664</v>
      </c>
      <c r="B437" s="495" t="s">
        <v>3774</v>
      </c>
      <c r="C437" s="282" t="str">
        <f t="shared" ref="C437:C439" si="100">HYPERLINK("https://www.powercolor.com/","PowerColor")</f>
        <v>PowerColor</v>
      </c>
      <c r="D437" s="506" t="s">
        <v>3384</v>
      </c>
      <c r="E437" s="507">
        <v>290.0</v>
      </c>
      <c r="F437" s="507">
        <v>111.0</v>
      </c>
      <c r="G437" s="507">
        <v>50.0</v>
      </c>
      <c r="H437" s="507">
        <v>2.0</v>
      </c>
      <c r="I437" s="507">
        <v>2584.0</v>
      </c>
      <c r="J437" s="507">
        <v>18.0</v>
      </c>
      <c r="K437" s="507">
        <v>245.0</v>
      </c>
      <c r="L437" s="266" t="s">
        <v>3460</v>
      </c>
      <c r="M437" s="507">
        <v>3.0</v>
      </c>
      <c r="N437" s="507">
        <v>3.0</v>
      </c>
      <c r="O437" s="507">
        <v>1.0</v>
      </c>
      <c r="P437" s="507" t="s">
        <v>166</v>
      </c>
      <c r="Q437" s="507" t="s">
        <v>166</v>
      </c>
      <c r="R437" s="507" t="s">
        <v>166</v>
      </c>
      <c r="S437" s="507" t="s">
        <v>166</v>
      </c>
      <c r="T437" s="509"/>
    </row>
    <row r="438">
      <c r="A438" s="494" t="s">
        <v>1664</v>
      </c>
      <c r="B438" s="495" t="s">
        <v>3774</v>
      </c>
      <c r="C438" s="282" t="str">
        <f t="shared" si="100"/>
        <v>PowerColor</v>
      </c>
      <c r="D438" s="506" t="s">
        <v>3695</v>
      </c>
      <c r="E438" s="507">
        <v>322.0</v>
      </c>
      <c r="F438" s="507">
        <v>134.0</v>
      </c>
      <c r="G438" s="507">
        <v>50.0</v>
      </c>
      <c r="H438" s="507">
        <v>2.0</v>
      </c>
      <c r="I438" s="507">
        <v>2599.0</v>
      </c>
      <c r="J438" s="507">
        <v>18.0</v>
      </c>
      <c r="K438" s="507">
        <v>245.0</v>
      </c>
      <c r="L438" s="266" t="s">
        <v>3460</v>
      </c>
      <c r="M438" s="507">
        <v>3.0</v>
      </c>
      <c r="N438" s="507">
        <v>3.0</v>
      </c>
      <c r="O438" s="507">
        <v>1.0</v>
      </c>
      <c r="P438" s="507" t="s">
        <v>166</v>
      </c>
      <c r="Q438" s="507" t="s">
        <v>166</v>
      </c>
      <c r="R438" s="507" t="s">
        <v>166</v>
      </c>
      <c r="S438" s="507" t="s">
        <v>166</v>
      </c>
      <c r="T438" s="509"/>
    </row>
    <row r="439">
      <c r="A439" s="494" t="s">
        <v>1664</v>
      </c>
      <c r="B439" s="495" t="s">
        <v>3774</v>
      </c>
      <c r="C439" s="282" t="str">
        <f t="shared" si="100"/>
        <v>PowerColor</v>
      </c>
      <c r="D439" s="506" t="s">
        <v>3653</v>
      </c>
      <c r="E439" s="507">
        <v>332.0</v>
      </c>
      <c r="F439" s="507">
        <v>135.0</v>
      </c>
      <c r="G439" s="507">
        <v>52.0</v>
      </c>
      <c r="H439" s="507">
        <v>2.0</v>
      </c>
      <c r="I439" s="507">
        <v>2599.0</v>
      </c>
      <c r="J439" s="507">
        <v>18.0</v>
      </c>
      <c r="K439" s="507">
        <v>245.0</v>
      </c>
      <c r="L439" s="266" t="s">
        <v>3460</v>
      </c>
      <c r="M439" s="507">
        <v>3.0</v>
      </c>
      <c r="N439" s="507">
        <v>3.0</v>
      </c>
      <c r="O439" s="507">
        <v>1.0</v>
      </c>
      <c r="P439" s="507" t="s">
        <v>166</v>
      </c>
      <c r="Q439" s="507" t="s">
        <v>166</v>
      </c>
      <c r="R439" s="507" t="s">
        <v>166</v>
      </c>
      <c r="S439" s="507" t="s">
        <v>166</v>
      </c>
      <c r="T439" s="509"/>
    </row>
    <row r="440">
      <c r="A440" s="494" t="s">
        <v>1664</v>
      </c>
      <c r="B440" s="495" t="s">
        <v>3774</v>
      </c>
      <c r="C440" s="452" t="str">
        <f t="shared" ref="C440:C442" si="101">HYPERLINK("https://www.sapphiretech.com/","Sapphire")</f>
        <v>Sapphire</v>
      </c>
      <c r="D440" s="506" t="s">
        <v>3376</v>
      </c>
      <c r="E440" s="507">
        <v>280.0</v>
      </c>
      <c r="F440" s="507">
        <v>128.75</v>
      </c>
      <c r="G440" s="507">
        <v>52.57</v>
      </c>
      <c r="H440" s="507">
        <v>2.0</v>
      </c>
      <c r="I440" s="507">
        <v>2544.0</v>
      </c>
      <c r="J440" s="507">
        <v>18.0</v>
      </c>
      <c r="K440" s="507">
        <v>230.0</v>
      </c>
      <c r="L440" s="266" t="s">
        <v>3460</v>
      </c>
      <c r="M440" s="507">
        <v>2.0</v>
      </c>
      <c r="N440" s="507">
        <v>2.0</v>
      </c>
      <c r="O440" s="507">
        <v>2.0</v>
      </c>
      <c r="P440" s="507" t="s">
        <v>166</v>
      </c>
      <c r="Q440" s="507" t="s">
        <v>166</v>
      </c>
      <c r="R440" s="507" t="s">
        <v>166</v>
      </c>
      <c r="S440" s="507" t="s">
        <v>166</v>
      </c>
      <c r="T440" s="509"/>
    </row>
    <row r="441">
      <c r="A441" s="494" t="s">
        <v>1664</v>
      </c>
      <c r="B441" s="495" t="s">
        <v>3774</v>
      </c>
      <c r="C441" s="452" t="str">
        <f t="shared" si="101"/>
        <v>Sapphire</v>
      </c>
      <c r="D441" s="506" t="s">
        <v>3775</v>
      </c>
      <c r="E441" s="507">
        <v>320.0</v>
      </c>
      <c r="F441" s="507">
        <v>128.75</v>
      </c>
      <c r="G441" s="507">
        <v>52.57</v>
      </c>
      <c r="H441" s="507">
        <v>2.0</v>
      </c>
      <c r="I441" s="507">
        <v>2584.0</v>
      </c>
      <c r="J441" s="507">
        <v>18.0</v>
      </c>
      <c r="K441" s="507">
        <v>240.0</v>
      </c>
      <c r="L441" s="266" t="s">
        <v>3460</v>
      </c>
      <c r="M441" s="507">
        <v>3.0</v>
      </c>
      <c r="N441" s="507">
        <v>2.0</v>
      </c>
      <c r="O441" s="507">
        <v>2.0</v>
      </c>
      <c r="P441" s="507" t="s">
        <v>166</v>
      </c>
      <c r="Q441" s="507" t="s">
        <v>166</v>
      </c>
      <c r="R441" s="507" t="s">
        <v>166</v>
      </c>
      <c r="S441" s="507" t="s">
        <v>166</v>
      </c>
      <c r="T441" s="509"/>
    </row>
    <row r="442">
      <c r="A442" s="494" t="s">
        <v>1664</v>
      </c>
      <c r="B442" s="495" t="s">
        <v>3774</v>
      </c>
      <c r="C442" s="452" t="str">
        <f t="shared" si="101"/>
        <v>Sapphire</v>
      </c>
      <c r="D442" s="506" t="s">
        <v>3680</v>
      </c>
      <c r="E442" s="507">
        <v>320.0</v>
      </c>
      <c r="F442" s="507">
        <v>134.85</v>
      </c>
      <c r="G442" s="507">
        <v>61.57</v>
      </c>
      <c r="H442" s="507">
        <v>3.0</v>
      </c>
      <c r="I442" s="507">
        <v>2599.0</v>
      </c>
      <c r="J442" s="507">
        <v>18.0</v>
      </c>
      <c r="K442" s="507">
        <v>252.0</v>
      </c>
      <c r="L442" s="266" t="s">
        <v>3460</v>
      </c>
      <c r="M442" s="507">
        <v>3.0</v>
      </c>
      <c r="N442" s="507">
        <v>2.0</v>
      </c>
      <c r="O442" s="507">
        <v>2.0</v>
      </c>
      <c r="P442" s="507" t="s">
        <v>166</v>
      </c>
      <c r="Q442" s="507" t="s">
        <v>166</v>
      </c>
      <c r="R442" s="507" t="s">
        <v>166</v>
      </c>
      <c r="S442" s="507" t="s">
        <v>166</v>
      </c>
      <c r="T442" s="509"/>
    </row>
    <row r="443">
      <c r="A443" s="494" t="s">
        <v>1664</v>
      </c>
      <c r="B443" s="495" t="s">
        <v>3774</v>
      </c>
      <c r="C443" s="452" t="str">
        <f>HYPERLINK("https://www.xfxforce.com/","XFX")</f>
        <v>XFX</v>
      </c>
      <c r="D443" s="506" t="s">
        <v>3776</v>
      </c>
      <c r="E443" s="507">
        <v>335.0</v>
      </c>
      <c r="F443" s="507">
        <v>130.0</v>
      </c>
      <c r="G443" s="507">
        <v>52.0</v>
      </c>
      <c r="H443" s="507">
        <v>2.0</v>
      </c>
      <c r="I443" s="507">
        <v>2599.0</v>
      </c>
      <c r="J443" s="507">
        <v>18.0</v>
      </c>
      <c r="K443" s="507">
        <v>245.0</v>
      </c>
      <c r="L443" s="266" t="s">
        <v>3460</v>
      </c>
      <c r="M443" s="507">
        <v>3.0</v>
      </c>
      <c r="N443" s="507">
        <v>3.0</v>
      </c>
      <c r="O443" s="507">
        <v>1.0</v>
      </c>
      <c r="P443" s="507" t="s">
        <v>166</v>
      </c>
      <c r="Q443" s="507" t="s">
        <v>166</v>
      </c>
      <c r="R443" s="507" t="s">
        <v>166</v>
      </c>
      <c r="S443" s="507" t="s">
        <v>166</v>
      </c>
      <c r="T443" s="509"/>
    </row>
    <row r="444">
      <c r="A444" s="498" t="s">
        <v>1664</v>
      </c>
      <c r="B444" s="499" t="s">
        <v>3774</v>
      </c>
      <c r="C444" s="391" t="s">
        <v>3378</v>
      </c>
      <c r="D444" s="391" t="s">
        <v>3777</v>
      </c>
      <c r="E444" s="519">
        <v>329.0</v>
      </c>
      <c r="F444" s="519">
        <v>136.0</v>
      </c>
      <c r="G444" s="519">
        <v>64.0</v>
      </c>
      <c r="H444" s="519">
        <v>2.0</v>
      </c>
      <c r="I444" s="519">
        <v>2599.0</v>
      </c>
      <c r="J444" s="519">
        <v>18.0</v>
      </c>
      <c r="K444" s="519">
        <v>245.0</v>
      </c>
      <c r="L444" s="501" t="s">
        <v>3460</v>
      </c>
      <c r="M444" s="519">
        <v>3.0</v>
      </c>
      <c r="N444" s="519">
        <v>3.0</v>
      </c>
      <c r="O444" s="519">
        <v>1.0</v>
      </c>
      <c r="P444" s="519" t="s">
        <v>166</v>
      </c>
      <c r="Q444" s="519" t="s">
        <v>166</v>
      </c>
      <c r="R444" s="519" t="s">
        <v>166</v>
      </c>
      <c r="S444" s="519" t="s">
        <v>166</v>
      </c>
      <c r="T444" s="541"/>
    </row>
    <row r="445">
      <c r="A445" s="494" t="s">
        <v>1664</v>
      </c>
      <c r="B445" s="495" t="s">
        <v>3778</v>
      </c>
      <c r="C445" s="282" t="s">
        <v>3770</v>
      </c>
      <c r="D445" s="548" t="s">
        <v>3771</v>
      </c>
      <c r="E445" s="507">
        <v>279.0</v>
      </c>
      <c r="F445" s="507">
        <v>129.62</v>
      </c>
      <c r="G445" s="507">
        <v>50.42</v>
      </c>
      <c r="H445" s="507">
        <v>2.0</v>
      </c>
      <c r="I445" s="507">
        <v>2565.0</v>
      </c>
      <c r="J445" s="507">
        <v>19.5</v>
      </c>
      <c r="K445" s="507">
        <v>263.0</v>
      </c>
      <c r="L445" s="507" t="s">
        <v>3460</v>
      </c>
      <c r="M445" s="507">
        <v>2.0</v>
      </c>
      <c r="N445" s="507">
        <v>3.0</v>
      </c>
      <c r="O445" s="507">
        <v>1.0</v>
      </c>
      <c r="P445" s="507" t="s">
        <v>166</v>
      </c>
      <c r="Q445" s="507" t="s">
        <v>166</v>
      </c>
      <c r="R445" s="507" t="s">
        <v>166</v>
      </c>
      <c r="S445" s="507" t="s">
        <v>166</v>
      </c>
      <c r="T445" s="509"/>
    </row>
    <row r="446">
      <c r="A446" s="494" t="s">
        <v>1664</v>
      </c>
      <c r="B446" s="495" t="s">
        <v>3778</v>
      </c>
      <c r="C446" s="282" t="s">
        <v>3770</v>
      </c>
      <c r="D446" s="548" t="s">
        <v>3779</v>
      </c>
      <c r="E446" s="507">
        <v>281.9</v>
      </c>
      <c r="F446" s="507">
        <v>117.9</v>
      </c>
      <c r="G446" s="507">
        <v>61.4</v>
      </c>
      <c r="H446" s="507">
        <v>2.0</v>
      </c>
      <c r="I446" s="507">
        <v>2565.0</v>
      </c>
      <c r="J446" s="507">
        <v>19.5</v>
      </c>
      <c r="K446" s="507">
        <v>263.0</v>
      </c>
      <c r="L446" s="507" t="s">
        <v>3460</v>
      </c>
      <c r="M446" s="507">
        <v>3.0</v>
      </c>
      <c r="N446" s="507">
        <v>3.0</v>
      </c>
      <c r="O446" s="507">
        <v>1.0</v>
      </c>
      <c r="P446" s="507" t="s">
        <v>166</v>
      </c>
      <c r="Q446" s="507" t="s">
        <v>166</v>
      </c>
      <c r="R446" s="507" t="s">
        <v>166</v>
      </c>
      <c r="S446" s="507" t="s">
        <v>166</v>
      </c>
      <c r="T446" s="509"/>
    </row>
    <row r="447">
      <c r="A447" s="504" t="s">
        <v>1664</v>
      </c>
      <c r="B447" s="505" t="s">
        <v>3778</v>
      </c>
      <c r="C447" s="282" t="str">
        <f>HYPERLINK("https://www.amd.com/en","AMD")</f>
        <v>AMD</v>
      </c>
      <c r="D447" s="506" t="s">
        <v>3780</v>
      </c>
      <c r="E447" s="507">
        <v>267.0</v>
      </c>
      <c r="F447" s="507">
        <v>110.0</v>
      </c>
      <c r="G447" s="507">
        <v>50.0</v>
      </c>
      <c r="H447" s="507">
        <v>2.0</v>
      </c>
      <c r="I447" s="507">
        <v>2430.0</v>
      </c>
      <c r="J447" s="507">
        <v>19.5</v>
      </c>
      <c r="K447" s="507">
        <v>263.0</v>
      </c>
      <c r="L447" s="507" t="s">
        <v>3460</v>
      </c>
      <c r="M447" s="507">
        <v>2.0</v>
      </c>
      <c r="N447" s="507">
        <v>3.0</v>
      </c>
      <c r="O447" s="507">
        <v>1.0</v>
      </c>
      <c r="P447" s="507" t="s">
        <v>166</v>
      </c>
      <c r="Q447" s="507" t="s">
        <v>166</v>
      </c>
      <c r="R447" s="507" t="s">
        <v>166</v>
      </c>
      <c r="S447" s="507" t="s">
        <v>166</v>
      </c>
      <c r="T447" s="509"/>
    </row>
    <row r="448">
      <c r="A448" s="494" t="s">
        <v>1664</v>
      </c>
      <c r="B448" s="495" t="s">
        <v>3778</v>
      </c>
      <c r="C448" s="452" t="str">
        <f t="shared" ref="C448:C450" si="102">HYPERLINK("https://www.asrock.com/","ASRock")</f>
        <v>ASRock</v>
      </c>
      <c r="D448" s="506" t="s">
        <v>3762</v>
      </c>
      <c r="E448" s="507">
        <v>267.0</v>
      </c>
      <c r="F448" s="507">
        <v>130.0</v>
      </c>
      <c r="G448" s="507">
        <v>51.0</v>
      </c>
      <c r="H448" s="507">
        <v>2.0</v>
      </c>
      <c r="I448" s="507">
        <v>2475.0</v>
      </c>
      <c r="J448" s="507">
        <v>19.5</v>
      </c>
      <c r="K448" s="507">
        <v>263.0</v>
      </c>
      <c r="L448" s="507" t="s">
        <v>3460</v>
      </c>
      <c r="M448" s="507">
        <v>2.0</v>
      </c>
      <c r="N448" s="507">
        <v>3.0</v>
      </c>
      <c r="O448" s="507">
        <v>1.0</v>
      </c>
      <c r="P448" s="507" t="s">
        <v>166</v>
      </c>
      <c r="Q448" s="507" t="s">
        <v>166</v>
      </c>
      <c r="R448" s="507" t="s">
        <v>166</v>
      </c>
      <c r="S448" s="507" t="s">
        <v>166</v>
      </c>
      <c r="T448" s="509"/>
    </row>
    <row r="449">
      <c r="A449" s="494" t="s">
        <v>1664</v>
      </c>
      <c r="B449" s="495" t="s">
        <v>3778</v>
      </c>
      <c r="C449" s="452" t="str">
        <f t="shared" si="102"/>
        <v>ASRock</v>
      </c>
      <c r="D449" s="506" t="s">
        <v>3701</v>
      </c>
      <c r="E449" s="507">
        <v>304.0</v>
      </c>
      <c r="F449" s="507">
        <v>131.0</v>
      </c>
      <c r="G449" s="507">
        <v>56.0</v>
      </c>
      <c r="H449" s="507">
        <v>2.0</v>
      </c>
      <c r="I449" s="507">
        <v>2520.0</v>
      </c>
      <c r="J449" s="507">
        <v>19.5</v>
      </c>
      <c r="K449" s="507">
        <v>263.0</v>
      </c>
      <c r="L449" s="507" t="s">
        <v>3460</v>
      </c>
      <c r="M449" s="507">
        <v>3.0</v>
      </c>
      <c r="N449" s="507">
        <v>3.0</v>
      </c>
      <c r="O449" s="507">
        <v>1.0</v>
      </c>
      <c r="P449" s="507" t="s">
        <v>166</v>
      </c>
      <c r="Q449" s="507" t="s">
        <v>166</v>
      </c>
      <c r="R449" s="507" t="s">
        <v>166</v>
      </c>
      <c r="S449" s="507" t="s">
        <v>166</v>
      </c>
      <c r="T449" s="509"/>
    </row>
    <row r="450">
      <c r="A450" s="494" t="s">
        <v>1664</v>
      </c>
      <c r="B450" s="495" t="s">
        <v>3778</v>
      </c>
      <c r="C450" s="452" t="str">
        <f t="shared" si="102"/>
        <v>ASRock</v>
      </c>
      <c r="D450" s="506" t="s">
        <v>3763</v>
      </c>
      <c r="E450" s="507">
        <v>328.0</v>
      </c>
      <c r="F450" s="507">
        <v>140.0</v>
      </c>
      <c r="G450" s="507">
        <v>53.0</v>
      </c>
      <c r="H450" s="507">
        <v>2.0</v>
      </c>
      <c r="I450" s="507">
        <v>2565.0</v>
      </c>
      <c r="J450" s="507">
        <v>19.5</v>
      </c>
      <c r="K450" s="507">
        <v>263.0</v>
      </c>
      <c r="L450" s="507" t="s">
        <v>3460</v>
      </c>
      <c r="M450" s="507">
        <v>3.0</v>
      </c>
      <c r="N450" s="507">
        <v>3.0</v>
      </c>
      <c r="O450" s="507">
        <v>1.0</v>
      </c>
      <c r="P450" s="507" t="s">
        <v>166</v>
      </c>
      <c r="Q450" s="507" t="s">
        <v>166</v>
      </c>
      <c r="R450" s="507" t="s">
        <v>166</v>
      </c>
      <c r="S450" s="507" t="s">
        <v>166</v>
      </c>
      <c r="T450" s="509"/>
    </row>
    <row r="451">
      <c r="A451" s="494" t="s">
        <v>1664</v>
      </c>
      <c r="B451" s="495" t="s">
        <v>3778</v>
      </c>
      <c r="C451" s="282" t="str">
        <f t="shared" ref="C451:C453" si="103">HYPERLINK("https://www.asus.com/","Asus")</f>
        <v>Asus</v>
      </c>
      <c r="D451" s="506" t="s">
        <v>3381</v>
      </c>
      <c r="E451" s="507">
        <v>279.9</v>
      </c>
      <c r="F451" s="507">
        <v>133.9</v>
      </c>
      <c r="G451" s="507">
        <v>49.3</v>
      </c>
      <c r="H451" s="507">
        <v>2.0</v>
      </c>
      <c r="I451" s="507">
        <v>2565.0</v>
      </c>
      <c r="J451" s="507">
        <v>19.5</v>
      </c>
      <c r="K451" s="507">
        <v>263.0</v>
      </c>
      <c r="L451" s="266" t="s">
        <v>3460</v>
      </c>
      <c r="M451" s="507">
        <v>2.0</v>
      </c>
      <c r="N451" s="507">
        <v>3.0</v>
      </c>
      <c r="O451" s="507">
        <v>1.0</v>
      </c>
      <c r="P451" s="507" t="s">
        <v>166</v>
      </c>
      <c r="Q451" s="507" t="s">
        <v>166</v>
      </c>
      <c r="R451" s="507" t="s">
        <v>166</v>
      </c>
      <c r="S451" s="507" t="s">
        <v>166</v>
      </c>
      <c r="T451" s="509"/>
    </row>
    <row r="452">
      <c r="A452" s="494" t="s">
        <v>1664</v>
      </c>
      <c r="B452" s="495" t="s">
        <v>3778</v>
      </c>
      <c r="C452" s="282" t="str">
        <f t="shared" si="103"/>
        <v>Asus</v>
      </c>
      <c r="D452" s="506" t="s">
        <v>3478</v>
      </c>
      <c r="E452" s="507">
        <v>319.8</v>
      </c>
      <c r="F452" s="507">
        <v>150.9</v>
      </c>
      <c r="G452" s="507">
        <v>59.2</v>
      </c>
      <c r="H452" s="507">
        <v>2.0</v>
      </c>
      <c r="I452" s="507">
        <v>2565.0</v>
      </c>
      <c r="J452" s="507">
        <v>19.5</v>
      </c>
      <c r="K452" s="507">
        <v>263.0</v>
      </c>
      <c r="L452" s="266" t="s">
        <v>3460</v>
      </c>
      <c r="M452" s="507">
        <v>3.0</v>
      </c>
      <c r="N452" s="507">
        <v>3.0</v>
      </c>
      <c r="O452" s="507">
        <v>1.0</v>
      </c>
      <c r="P452" s="507" t="s">
        <v>166</v>
      </c>
      <c r="Q452" s="507" t="s">
        <v>166</v>
      </c>
      <c r="R452" s="507" t="s">
        <v>166</v>
      </c>
      <c r="S452" s="507" t="s">
        <v>166</v>
      </c>
      <c r="T452" s="509"/>
    </row>
    <row r="453">
      <c r="A453" s="494" t="s">
        <v>1664</v>
      </c>
      <c r="B453" s="495" t="s">
        <v>3778</v>
      </c>
      <c r="C453" s="282" t="str">
        <f t="shared" si="103"/>
        <v>Asus</v>
      </c>
      <c r="D453" s="506" t="s">
        <v>3781</v>
      </c>
      <c r="E453" s="507">
        <v>319.8</v>
      </c>
      <c r="F453" s="507">
        <v>150.9</v>
      </c>
      <c r="G453" s="507">
        <v>59.2</v>
      </c>
      <c r="H453" s="507">
        <v>2.0</v>
      </c>
      <c r="I453" s="507">
        <v>2565.0</v>
      </c>
      <c r="J453" s="507">
        <v>19.5</v>
      </c>
      <c r="K453" s="507">
        <v>263.0</v>
      </c>
      <c r="L453" s="266" t="s">
        <v>3460</v>
      </c>
      <c r="M453" s="507">
        <v>3.0</v>
      </c>
      <c r="N453" s="507">
        <v>3.0</v>
      </c>
      <c r="O453" s="507">
        <v>1.0</v>
      </c>
      <c r="P453" s="507" t="s">
        <v>166</v>
      </c>
      <c r="Q453" s="507" t="s">
        <v>166</v>
      </c>
      <c r="R453" s="507" t="s">
        <v>166</v>
      </c>
      <c r="S453" s="507" t="s">
        <v>166</v>
      </c>
      <c r="T453" s="509"/>
    </row>
    <row r="454">
      <c r="A454" s="494" t="s">
        <v>1664</v>
      </c>
      <c r="B454" s="495" t="s">
        <v>3778</v>
      </c>
      <c r="C454" s="282" t="str">
        <f>HYPERLINK("https://www.gigabyte.com/","Gigabyte")</f>
        <v>Gigabyte</v>
      </c>
      <c r="D454" s="506" t="s">
        <v>3630</v>
      </c>
      <c r="E454" s="507">
        <v>302.0</v>
      </c>
      <c r="F454" s="507">
        <v>130.0</v>
      </c>
      <c r="G454" s="507">
        <v>56.0</v>
      </c>
      <c r="H454" s="507">
        <v>2.0</v>
      </c>
      <c r="I454" s="507">
        <v>2565.0</v>
      </c>
      <c r="J454" s="507">
        <v>19.5</v>
      </c>
      <c r="K454" s="507">
        <v>263.0</v>
      </c>
      <c r="L454" s="266" t="s">
        <v>3460</v>
      </c>
      <c r="M454" s="507">
        <v>3.0</v>
      </c>
      <c r="N454" s="507">
        <v>2.0</v>
      </c>
      <c r="O454" s="507">
        <v>2.0</v>
      </c>
      <c r="P454" s="507" t="s">
        <v>166</v>
      </c>
      <c r="Q454" s="507" t="s">
        <v>166</v>
      </c>
      <c r="R454" s="507" t="s">
        <v>166</v>
      </c>
      <c r="S454" s="507" t="s">
        <v>166</v>
      </c>
      <c r="T454" s="509"/>
    </row>
    <row r="455">
      <c r="A455" s="494" t="s">
        <v>1664</v>
      </c>
      <c r="B455" s="495" t="s">
        <v>3778</v>
      </c>
      <c r="C455" s="282" t="str">
        <f t="shared" ref="C455:C460" si="104">HYPERLINK("https://www.powercolor.com/","PowerColor")</f>
        <v>PowerColor</v>
      </c>
      <c r="D455" s="506" t="s">
        <v>3695</v>
      </c>
      <c r="E455" s="507">
        <v>322.0</v>
      </c>
      <c r="F455" s="507">
        <v>134.0</v>
      </c>
      <c r="G455" s="507">
        <v>50.0</v>
      </c>
      <c r="H455" s="507">
        <v>2.0</v>
      </c>
      <c r="I455" s="507">
        <v>2520.0</v>
      </c>
      <c r="J455" s="507">
        <v>19.5</v>
      </c>
      <c r="K455" s="507">
        <v>263.0</v>
      </c>
      <c r="L455" s="266" t="s">
        <v>3460</v>
      </c>
      <c r="M455" s="507">
        <v>3.0</v>
      </c>
      <c r="N455" s="507">
        <v>3.0</v>
      </c>
      <c r="O455" s="507">
        <v>1.0</v>
      </c>
      <c r="P455" s="507" t="s">
        <v>166</v>
      </c>
      <c r="Q455" s="507" t="s">
        <v>166</v>
      </c>
      <c r="R455" s="507" t="s">
        <v>166</v>
      </c>
      <c r="S455" s="507" t="s">
        <v>166</v>
      </c>
      <c r="T455" s="509"/>
    </row>
    <row r="456">
      <c r="A456" s="494" t="s">
        <v>1664</v>
      </c>
      <c r="B456" s="495" t="s">
        <v>3778</v>
      </c>
      <c r="C456" s="282" t="str">
        <f t="shared" si="104"/>
        <v>PowerColor</v>
      </c>
      <c r="D456" s="506" t="s">
        <v>3703</v>
      </c>
      <c r="E456" s="507">
        <v>322.0</v>
      </c>
      <c r="F456" s="507">
        <v>134.0</v>
      </c>
      <c r="G456" s="507">
        <v>50.0</v>
      </c>
      <c r="H456" s="507">
        <v>2.0</v>
      </c>
      <c r="I456" s="507">
        <v>2520.0</v>
      </c>
      <c r="J456" s="507">
        <v>19.5</v>
      </c>
      <c r="K456" s="507">
        <v>263.0</v>
      </c>
      <c r="L456" s="266" t="s">
        <v>3460</v>
      </c>
      <c r="M456" s="507">
        <v>3.0</v>
      </c>
      <c r="N456" s="507">
        <v>3.0</v>
      </c>
      <c r="O456" s="507">
        <v>1.0</v>
      </c>
      <c r="P456" s="507" t="s">
        <v>166</v>
      </c>
      <c r="Q456" s="507" t="s">
        <v>166</v>
      </c>
      <c r="R456" s="507" t="s">
        <v>166</v>
      </c>
      <c r="S456" s="507" t="s">
        <v>166</v>
      </c>
      <c r="T456" s="509"/>
    </row>
    <row r="457">
      <c r="A457" s="494" t="s">
        <v>1664</v>
      </c>
      <c r="B457" s="495" t="s">
        <v>3778</v>
      </c>
      <c r="C457" s="282" t="str">
        <f t="shared" si="104"/>
        <v>PowerColor</v>
      </c>
      <c r="D457" s="506" t="s">
        <v>3782</v>
      </c>
      <c r="E457" s="507">
        <v>322.0</v>
      </c>
      <c r="F457" s="507">
        <v>134.0</v>
      </c>
      <c r="G457" s="507">
        <v>50.0</v>
      </c>
      <c r="H457" s="507">
        <v>2.0</v>
      </c>
      <c r="I457" s="507">
        <v>2520.0</v>
      </c>
      <c r="J457" s="507">
        <v>19.5</v>
      </c>
      <c r="K457" s="507">
        <v>263.0</v>
      </c>
      <c r="L457" s="266" t="s">
        <v>3460</v>
      </c>
      <c r="M457" s="507">
        <v>3.0</v>
      </c>
      <c r="N457" s="507">
        <v>3.0</v>
      </c>
      <c r="O457" s="507">
        <v>1.0</v>
      </c>
      <c r="P457" s="507" t="s">
        <v>166</v>
      </c>
      <c r="Q457" s="507" t="s">
        <v>166</v>
      </c>
      <c r="R457" s="507" t="s">
        <v>166</v>
      </c>
      <c r="S457" s="507" t="s">
        <v>166</v>
      </c>
      <c r="T457" s="509"/>
    </row>
    <row r="458">
      <c r="A458" s="494" t="s">
        <v>1664</v>
      </c>
      <c r="B458" s="495" t="s">
        <v>3778</v>
      </c>
      <c r="C458" s="282" t="str">
        <f t="shared" si="104"/>
        <v>PowerColor</v>
      </c>
      <c r="D458" s="506" t="s">
        <v>3704</v>
      </c>
      <c r="E458" s="507">
        <v>322.0</v>
      </c>
      <c r="F458" s="507">
        <v>134.0</v>
      </c>
      <c r="G458" s="507">
        <v>50.0</v>
      </c>
      <c r="H458" s="507">
        <v>2.0</v>
      </c>
      <c r="I458" s="507">
        <v>2520.0</v>
      </c>
      <c r="J458" s="507">
        <v>19.5</v>
      </c>
      <c r="K458" s="507">
        <v>263.0</v>
      </c>
      <c r="L458" s="266" t="s">
        <v>3460</v>
      </c>
      <c r="M458" s="507">
        <v>3.0</v>
      </c>
      <c r="N458" s="507">
        <v>3.0</v>
      </c>
      <c r="O458" s="507">
        <v>1.0</v>
      </c>
      <c r="P458" s="507" t="s">
        <v>166</v>
      </c>
      <c r="Q458" s="507" t="s">
        <v>166</v>
      </c>
      <c r="R458" s="507" t="s">
        <v>166</v>
      </c>
      <c r="S458" s="507" t="s">
        <v>166</v>
      </c>
      <c r="T458" s="509"/>
    </row>
    <row r="459">
      <c r="A459" s="494" t="s">
        <v>1664</v>
      </c>
      <c r="B459" s="495" t="s">
        <v>3778</v>
      </c>
      <c r="C459" s="282" t="str">
        <f t="shared" si="104"/>
        <v>PowerColor</v>
      </c>
      <c r="D459" s="506" t="s">
        <v>3653</v>
      </c>
      <c r="E459" s="507">
        <v>332.0</v>
      </c>
      <c r="F459" s="507">
        <v>135.0</v>
      </c>
      <c r="G459" s="507">
        <v>52.0</v>
      </c>
      <c r="H459" s="507">
        <v>2.0</v>
      </c>
      <c r="I459" s="507">
        <v>2565.0</v>
      </c>
      <c r="J459" s="507">
        <v>19.5</v>
      </c>
      <c r="K459" s="507">
        <v>263.0</v>
      </c>
      <c r="L459" s="266" t="s">
        <v>3460</v>
      </c>
      <c r="M459" s="507">
        <v>3.0</v>
      </c>
      <c r="N459" s="507">
        <v>3.0</v>
      </c>
      <c r="O459" s="507">
        <v>1.0</v>
      </c>
      <c r="P459" s="507" t="s">
        <v>166</v>
      </c>
      <c r="Q459" s="507" t="s">
        <v>166</v>
      </c>
      <c r="R459" s="507" t="s">
        <v>166</v>
      </c>
      <c r="S459" s="507" t="s">
        <v>166</v>
      </c>
      <c r="T459" s="509"/>
    </row>
    <row r="460">
      <c r="A460" s="494" t="s">
        <v>1664</v>
      </c>
      <c r="B460" s="495" t="s">
        <v>3778</v>
      </c>
      <c r="C460" s="282" t="str">
        <f t="shared" si="104"/>
        <v>PowerColor</v>
      </c>
      <c r="D460" s="506" t="s">
        <v>3678</v>
      </c>
      <c r="E460" s="507">
        <v>332.0</v>
      </c>
      <c r="F460" s="507">
        <v>135.0</v>
      </c>
      <c r="G460" s="507">
        <v>52.0</v>
      </c>
      <c r="H460" s="507">
        <v>2.0</v>
      </c>
      <c r="I460" s="507">
        <v>2565.0</v>
      </c>
      <c r="J460" s="507">
        <v>19.5</v>
      </c>
      <c r="K460" s="507">
        <v>263.0</v>
      </c>
      <c r="L460" s="266" t="s">
        <v>3460</v>
      </c>
      <c r="M460" s="507">
        <v>3.0</v>
      </c>
      <c r="N460" s="507">
        <v>3.0</v>
      </c>
      <c r="O460" s="507">
        <v>1.0</v>
      </c>
      <c r="P460" s="507" t="s">
        <v>166</v>
      </c>
      <c r="Q460" s="507" t="s">
        <v>166</v>
      </c>
      <c r="R460" s="507" t="s">
        <v>166</v>
      </c>
      <c r="S460" s="507" t="s">
        <v>166</v>
      </c>
      <c r="T460" s="509"/>
    </row>
    <row r="461">
      <c r="A461" s="494" t="s">
        <v>1664</v>
      </c>
      <c r="B461" s="495" t="s">
        <v>3778</v>
      </c>
      <c r="C461" s="452" t="str">
        <f t="shared" ref="C461:C464" si="105">HYPERLINK("https://www.sapphiretech.com/","Sapphire")</f>
        <v>Sapphire</v>
      </c>
      <c r="D461" s="506" t="s">
        <v>3780</v>
      </c>
      <c r="E461" s="507">
        <v>267.0</v>
      </c>
      <c r="F461" s="507">
        <v>110.0</v>
      </c>
      <c r="G461" s="507">
        <v>50.0</v>
      </c>
      <c r="H461" s="507">
        <v>2.0</v>
      </c>
      <c r="I461" s="507">
        <v>2430.0</v>
      </c>
      <c r="J461" s="507">
        <v>19.5</v>
      </c>
      <c r="K461" s="507">
        <v>263.0</v>
      </c>
      <c r="L461" s="266" t="s">
        <v>3460</v>
      </c>
      <c r="M461" s="507">
        <v>2.0</v>
      </c>
      <c r="N461" s="507">
        <v>3.0</v>
      </c>
      <c r="O461" s="507">
        <v>1.0</v>
      </c>
      <c r="P461" s="507" t="s">
        <v>166</v>
      </c>
      <c r="Q461" s="507" t="s">
        <v>166</v>
      </c>
      <c r="R461" s="507" t="s">
        <v>166</v>
      </c>
      <c r="S461" s="507" t="s">
        <v>166</v>
      </c>
      <c r="T461" s="509"/>
    </row>
    <row r="462">
      <c r="A462" s="494" t="s">
        <v>1664</v>
      </c>
      <c r="B462" s="495" t="s">
        <v>3778</v>
      </c>
      <c r="C462" s="452" t="str">
        <f t="shared" si="105"/>
        <v>Sapphire</v>
      </c>
      <c r="D462" s="506" t="s">
        <v>3376</v>
      </c>
      <c r="E462" s="507">
        <v>280.0</v>
      </c>
      <c r="F462" s="507">
        <v>128.75</v>
      </c>
      <c r="G462" s="507">
        <v>52.57</v>
      </c>
      <c r="H462" s="507">
        <v>2.0</v>
      </c>
      <c r="I462" s="507">
        <v>2430.0</v>
      </c>
      <c r="J462" s="507">
        <v>19.5</v>
      </c>
      <c r="K462" s="507">
        <v>266.0</v>
      </c>
      <c r="L462" s="266" t="s">
        <v>3460</v>
      </c>
      <c r="M462" s="507">
        <v>2.0</v>
      </c>
      <c r="N462" s="507">
        <v>2.0</v>
      </c>
      <c r="O462" s="507">
        <v>2.0</v>
      </c>
      <c r="P462" s="507" t="s">
        <v>166</v>
      </c>
      <c r="Q462" s="507" t="s">
        <v>166</v>
      </c>
      <c r="R462" s="507" t="s">
        <v>166</v>
      </c>
      <c r="S462" s="507" t="s">
        <v>166</v>
      </c>
      <c r="T462" s="509"/>
    </row>
    <row r="463">
      <c r="A463" s="494" t="s">
        <v>1664</v>
      </c>
      <c r="B463" s="495" t="s">
        <v>3778</v>
      </c>
      <c r="C463" s="452" t="str">
        <f t="shared" si="105"/>
        <v>Sapphire</v>
      </c>
      <c r="D463" s="506" t="s">
        <v>3775</v>
      </c>
      <c r="E463" s="507">
        <v>320.0</v>
      </c>
      <c r="F463" s="507">
        <v>128.75</v>
      </c>
      <c r="G463" s="507">
        <v>52.57</v>
      </c>
      <c r="H463" s="507">
        <v>2.0</v>
      </c>
      <c r="I463" s="507">
        <v>2475.0</v>
      </c>
      <c r="J463" s="507">
        <v>19.5</v>
      </c>
      <c r="K463" s="507">
        <v>270.0</v>
      </c>
      <c r="L463" s="266" t="s">
        <v>3460</v>
      </c>
      <c r="M463" s="507">
        <v>3.0</v>
      </c>
      <c r="N463" s="507">
        <v>2.0</v>
      </c>
      <c r="O463" s="507">
        <v>2.0</v>
      </c>
      <c r="P463" s="507" t="s">
        <v>166</v>
      </c>
      <c r="Q463" s="507" t="s">
        <v>166</v>
      </c>
      <c r="R463" s="507" t="s">
        <v>166</v>
      </c>
      <c r="S463" s="507" t="s">
        <v>166</v>
      </c>
      <c r="T463" s="509"/>
    </row>
    <row r="464">
      <c r="A464" s="494" t="s">
        <v>1664</v>
      </c>
      <c r="B464" s="495" t="s">
        <v>3778</v>
      </c>
      <c r="C464" s="452" t="str">
        <f t="shared" si="105"/>
        <v>Sapphire</v>
      </c>
      <c r="D464" s="506" t="s">
        <v>3680</v>
      </c>
      <c r="E464" s="507">
        <v>320.0</v>
      </c>
      <c r="F464" s="507">
        <v>134.85</v>
      </c>
      <c r="G464" s="507">
        <v>61.57</v>
      </c>
      <c r="H464" s="507">
        <v>3.0</v>
      </c>
      <c r="I464" s="507">
        <v>2565.0</v>
      </c>
      <c r="J464" s="507">
        <v>19.5</v>
      </c>
      <c r="K464" s="507">
        <v>288.0</v>
      </c>
      <c r="L464" s="266" t="s">
        <v>3460</v>
      </c>
      <c r="M464" s="507">
        <v>3.0</v>
      </c>
      <c r="N464" s="507">
        <v>2.0</v>
      </c>
      <c r="O464" s="507">
        <v>2.0</v>
      </c>
      <c r="P464" s="507" t="s">
        <v>166</v>
      </c>
      <c r="Q464" s="507" t="s">
        <v>166</v>
      </c>
      <c r="R464" s="507" t="s">
        <v>166</v>
      </c>
      <c r="S464" s="507" t="s">
        <v>166</v>
      </c>
      <c r="T464" s="509"/>
    </row>
    <row r="465">
      <c r="A465" s="494" t="s">
        <v>1664</v>
      </c>
      <c r="B465" s="495" t="s">
        <v>3778</v>
      </c>
      <c r="C465" s="282" t="str">
        <f t="shared" ref="C465:C466" si="106">HYPERLINK("https://www.xfxforce.com/","XFX")</f>
        <v>XFX</v>
      </c>
      <c r="D465" s="506" t="s">
        <v>3783</v>
      </c>
      <c r="E465" s="507">
        <v>335.0</v>
      </c>
      <c r="F465" s="507">
        <v>130.0</v>
      </c>
      <c r="G465" s="507">
        <v>52.0</v>
      </c>
      <c r="H465" s="507">
        <v>2.0</v>
      </c>
      <c r="I465" s="507">
        <v>2430.0</v>
      </c>
      <c r="J465" s="507">
        <v>19.5</v>
      </c>
      <c r="K465" s="507">
        <v>263.0</v>
      </c>
      <c r="L465" s="266" t="s">
        <v>3460</v>
      </c>
      <c r="M465" s="507">
        <v>3.0</v>
      </c>
      <c r="N465" s="507">
        <v>3.0</v>
      </c>
      <c r="O465" s="507">
        <v>1.0</v>
      </c>
      <c r="P465" s="507" t="s">
        <v>166</v>
      </c>
      <c r="Q465" s="507" t="s">
        <v>166</v>
      </c>
      <c r="R465" s="507" t="s">
        <v>166</v>
      </c>
      <c r="S465" s="507" t="s">
        <v>166</v>
      </c>
      <c r="T465" s="509"/>
    </row>
    <row r="466">
      <c r="A466" s="494" t="s">
        <v>1664</v>
      </c>
      <c r="B466" s="495" t="s">
        <v>3778</v>
      </c>
      <c r="C466" s="282" t="str">
        <f t="shared" si="106"/>
        <v>XFX</v>
      </c>
      <c r="D466" s="506" t="s">
        <v>3784</v>
      </c>
      <c r="E466" s="507">
        <v>326.0</v>
      </c>
      <c r="F466" s="507">
        <v>126.0</v>
      </c>
      <c r="G466" s="507">
        <v>58.0</v>
      </c>
      <c r="H466" s="507">
        <v>2.0</v>
      </c>
      <c r="I466" s="507">
        <v>2565.0</v>
      </c>
      <c r="J466" s="507">
        <v>19.5</v>
      </c>
      <c r="K466" s="507">
        <v>263.0</v>
      </c>
      <c r="L466" s="266" t="s">
        <v>3460</v>
      </c>
      <c r="M466" s="507">
        <v>3.0</v>
      </c>
      <c r="N466" s="507">
        <v>3.0</v>
      </c>
      <c r="O466" s="507">
        <v>1.0</v>
      </c>
      <c r="P466" s="507" t="s">
        <v>166</v>
      </c>
      <c r="Q466" s="507" t="s">
        <v>166</v>
      </c>
      <c r="R466" s="507" t="s">
        <v>166</v>
      </c>
      <c r="S466" s="507" t="s">
        <v>166</v>
      </c>
      <c r="T466" s="509"/>
    </row>
    <row r="467">
      <c r="A467" s="498" t="s">
        <v>1664</v>
      </c>
      <c r="B467" s="499" t="s">
        <v>3778</v>
      </c>
      <c r="C467" s="391" t="s">
        <v>3378</v>
      </c>
      <c r="D467" s="391" t="s">
        <v>3777</v>
      </c>
      <c r="E467" s="519">
        <v>329.0</v>
      </c>
      <c r="F467" s="519">
        <v>136.0</v>
      </c>
      <c r="G467" s="519">
        <v>64.0</v>
      </c>
      <c r="H467" s="519">
        <v>2.0</v>
      </c>
      <c r="I467" s="519">
        <v>2520.0</v>
      </c>
      <c r="J467" s="519">
        <v>19.5</v>
      </c>
      <c r="K467" s="519">
        <v>263.0</v>
      </c>
      <c r="L467" s="501" t="s">
        <v>3460</v>
      </c>
      <c r="M467" s="519">
        <v>3.0</v>
      </c>
      <c r="N467" s="519">
        <v>3.0</v>
      </c>
      <c r="O467" s="519">
        <v>1.0</v>
      </c>
      <c r="P467" s="519" t="s">
        <v>166</v>
      </c>
      <c r="Q467" s="519" t="s">
        <v>166</v>
      </c>
      <c r="R467" s="519" t="s">
        <v>166</v>
      </c>
      <c r="S467" s="519" t="s">
        <v>166</v>
      </c>
      <c r="T467" s="541"/>
    </row>
    <row r="468">
      <c r="A468" s="504" t="s">
        <v>1664</v>
      </c>
      <c r="B468" s="505" t="s">
        <v>3785</v>
      </c>
      <c r="C468" s="452" t="str">
        <f t="shared" ref="C468:C469" si="107">HYPERLINK("https://www.asrock.com/","ASRock")</f>
        <v>ASRock</v>
      </c>
      <c r="D468" s="506" t="s">
        <v>3762</v>
      </c>
      <c r="E468" s="507">
        <v>269.0</v>
      </c>
      <c r="F468" s="507">
        <v>130.0</v>
      </c>
      <c r="G468" s="507">
        <v>51.0</v>
      </c>
      <c r="H468" s="507">
        <v>2.0</v>
      </c>
      <c r="I468" s="507">
        <v>2293.0</v>
      </c>
      <c r="J468" s="507">
        <v>18.0</v>
      </c>
      <c r="K468" s="507">
        <v>260.0</v>
      </c>
      <c r="L468" s="507" t="s">
        <v>3460</v>
      </c>
      <c r="M468" s="507">
        <v>2.0</v>
      </c>
      <c r="N468" s="507">
        <v>3.0</v>
      </c>
      <c r="O468" s="507">
        <v>1.0</v>
      </c>
      <c r="P468" s="507" t="s">
        <v>166</v>
      </c>
      <c r="Q468" s="507" t="s">
        <v>166</v>
      </c>
      <c r="R468" s="507" t="s">
        <v>166</v>
      </c>
      <c r="S468" s="507" t="s">
        <v>166</v>
      </c>
      <c r="T468" s="509"/>
    </row>
    <row r="469">
      <c r="A469" s="504" t="s">
        <v>1664</v>
      </c>
      <c r="B469" s="505" t="s">
        <v>3785</v>
      </c>
      <c r="C469" s="452" t="str">
        <f t="shared" si="107"/>
        <v>ASRock</v>
      </c>
      <c r="D469" s="506" t="s">
        <v>3701</v>
      </c>
      <c r="E469" s="507">
        <v>304.0</v>
      </c>
      <c r="F469" s="507">
        <v>131.0</v>
      </c>
      <c r="G469" s="507">
        <v>56.0</v>
      </c>
      <c r="H469" s="507">
        <v>2.0</v>
      </c>
      <c r="I469" s="507">
        <v>2333.0</v>
      </c>
      <c r="J469" s="507">
        <v>18.0</v>
      </c>
      <c r="K469" s="507">
        <v>260.0</v>
      </c>
      <c r="L469" s="507" t="s">
        <v>3460</v>
      </c>
      <c r="M469" s="507">
        <v>3.0</v>
      </c>
      <c r="N469" s="507">
        <v>3.0</v>
      </c>
      <c r="O469" s="507">
        <v>1.0</v>
      </c>
      <c r="P469" s="507" t="s">
        <v>166</v>
      </c>
      <c r="Q469" s="507" t="s">
        <v>166</v>
      </c>
      <c r="R469" s="507" t="s">
        <v>166</v>
      </c>
      <c r="S469" s="507" t="s">
        <v>166</v>
      </c>
      <c r="T469" s="509"/>
    </row>
    <row r="470">
      <c r="A470" s="504" t="s">
        <v>1664</v>
      </c>
      <c r="B470" s="505" t="s">
        <v>3785</v>
      </c>
      <c r="C470" s="282" t="str">
        <f t="shared" ref="C470:C471" si="108">HYPERLINK("https://www.asus.com/","Asus")</f>
        <v>Asus</v>
      </c>
      <c r="D470" s="506" t="s">
        <v>3381</v>
      </c>
      <c r="E470" s="507">
        <v>279.9</v>
      </c>
      <c r="F470" s="507">
        <v>133.9</v>
      </c>
      <c r="G470" s="507">
        <v>49.3</v>
      </c>
      <c r="H470" s="507">
        <v>2.0</v>
      </c>
      <c r="I470" s="507">
        <v>2366.0</v>
      </c>
      <c r="J470" s="507">
        <v>18.0</v>
      </c>
      <c r="K470" s="507">
        <v>260.0</v>
      </c>
      <c r="L470" s="507" t="s">
        <v>3460</v>
      </c>
      <c r="M470" s="507">
        <v>2.0</v>
      </c>
      <c r="N470" s="507">
        <v>3.0</v>
      </c>
      <c r="O470" s="507">
        <v>1.0</v>
      </c>
      <c r="P470" s="507" t="s">
        <v>166</v>
      </c>
      <c r="Q470" s="507" t="s">
        <v>166</v>
      </c>
      <c r="R470" s="507" t="s">
        <v>166</v>
      </c>
      <c r="S470" s="507" t="s">
        <v>166</v>
      </c>
      <c r="T470" s="509"/>
    </row>
    <row r="471">
      <c r="A471" s="504" t="s">
        <v>1664</v>
      </c>
      <c r="B471" s="505" t="s">
        <v>3785</v>
      </c>
      <c r="C471" s="282" t="str">
        <f t="shared" si="108"/>
        <v>Asus</v>
      </c>
      <c r="D471" s="506" t="s">
        <v>3478</v>
      </c>
      <c r="E471" s="507">
        <v>319.8</v>
      </c>
      <c r="F471" s="507">
        <v>150.9</v>
      </c>
      <c r="G471" s="507">
        <v>59.2</v>
      </c>
      <c r="H471" s="507">
        <v>2.0</v>
      </c>
      <c r="I471" s="507">
        <v>2391.0</v>
      </c>
      <c r="J471" s="507">
        <v>18.0</v>
      </c>
      <c r="K471" s="507">
        <v>260.0</v>
      </c>
      <c r="L471" s="507" t="s">
        <v>3460</v>
      </c>
      <c r="M471" s="507">
        <v>3.0</v>
      </c>
      <c r="N471" s="507">
        <v>3.0</v>
      </c>
      <c r="O471" s="507">
        <v>1.0</v>
      </c>
      <c r="P471" s="507" t="s">
        <v>166</v>
      </c>
      <c r="Q471" s="507" t="s">
        <v>166</v>
      </c>
      <c r="R471" s="507" t="s">
        <v>166</v>
      </c>
      <c r="S471" s="507" t="s">
        <v>166</v>
      </c>
      <c r="T471" s="509"/>
    </row>
    <row r="472">
      <c r="A472" s="504" t="s">
        <v>1664</v>
      </c>
      <c r="B472" s="505" t="s">
        <v>3785</v>
      </c>
      <c r="C472" s="174" t="str">
        <f>HYPERLINK("https://www.gigabyte.com/","Gigabyte")</f>
        <v>Gigabyte</v>
      </c>
      <c r="D472" s="506" t="s">
        <v>3630</v>
      </c>
      <c r="E472" s="507">
        <v>302.0</v>
      </c>
      <c r="F472" s="507">
        <v>130.0</v>
      </c>
      <c r="G472" s="507">
        <v>56.0</v>
      </c>
      <c r="H472" s="507">
        <v>2.0</v>
      </c>
      <c r="I472" s="507">
        <v>2391.0</v>
      </c>
      <c r="J472" s="507">
        <v>18.0</v>
      </c>
      <c r="K472" s="507">
        <v>260.0</v>
      </c>
      <c r="L472" s="507" t="s">
        <v>3460</v>
      </c>
      <c r="M472" s="507">
        <v>3.0</v>
      </c>
      <c r="N472" s="507">
        <v>2.0</v>
      </c>
      <c r="O472" s="507">
        <v>2.0</v>
      </c>
      <c r="P472" s="507" t="s">
        <v>166</v>
      </c>
      <c r="Q472" s="507" t="s">
        <v>166</v>
      </c>
      <c r="R472" s="507" t="s">
        <v>166</v>
      </c>
      <c r="S472" s="507" t="s">
        <v>166</v>
      </c>
      <c r="T472" s="509"/>
    </row>
    <row r="473">
      <c r="A473" s="504" t="s">
        <v>1664</v>
      </c>
      <c r="B473" s="505" t="s">
        <v>3785</v>
      </c>
      <c r="C473" s="452" t="str">
        <f t="shared" ref="C473:C475" si="109">HYPERLINK("https://www.powercolor.com/","PowerColor")</f>
        <v>PowerColor</v>
      </c>
      <c r="D473" s="506" t="s">
        <v>3384</v>
      </c>
      <c r="E473" s="507">
        <v>290.0</v>
      </c>
      <c r="F473" s="507">
        <v>111.0</v>
      </c>
      <c r="G473" s="507">
        <v>50.0</v>
      </c>
      <c r="H473" s="507">
        <v>2.0</v>
      </c>
      <c r="I473" s="507">
        <v>2293.0</v>
      </c>
      <c r="J473" s="507">
        <v>18.0</v>
      </c>
      <c r="K473" s="507">
        <v>260.0</v>
      </c>
      <c r="L473" s="507" t="s">
        <v>3460</v>
      </c>
      <c r="M473" s="507">
        <v>3.0</v>
      </c>
      <c r="N473" s="507">
        <v>3.0</v>
      </c>
      <c r="O473" s="507">
        <v>1.0</v>
      </c>
      <c r="P473" s="507" t="s">
        <v>166</v>
      </c>
      <c r="Q473" s="507" t="s">
        <v>166</v>
      </c>
      <c r="R473" s="507" t="s">
        <v>166</v>
      </c>
      <c r="S473" s="507" t="s">
        <v>166</v>
      </c>
      <c r="T473" s="509"/>
    </row>
    <row r="474">
      <c r="A474" s="504" t="s">
        <v>1664</v>
      </c>
      <c r="B474" s="505" t="s">
        <v>3785</v>
      </c>
      <c r="C474" s="452" t="str">
        <f t="shared" si="109"/>
        <v>PowerColor</v>
      </c>
      <c r="D474" s="506" t="s">
        <v>3695</v>
      </c>
      <c r="E474" s="507">
        <v>322.0</v>
      </c>
      <c r="F474" s="507">
        <v>134.0</v>
      </c>
      <c r="G474" s="507">
        <v>50.0</v>
      </c>
      <c r="H474" s="507">
        <v>2.0</v>
      </c>
      <c r="I474" s="507">
        <v>2366.0</v>
      </c>
      <c r="J474" s="507">
        <v>18.0</v>
      </c>
      <c r="K474" s="507">
        <v>260.0</v>
      </c>
      <c r="L474" s="507" t="s">
        <v>3460</v>
      </c>
      <c r="M474" s="507">
        <v>3.0</v>
      </c>
      <c r="N474" s="507">
        <v>3.0</v>
      </c>
      <c r="O474" s="507">
        <v>1.0</v>
      </c>
      <c r="P474" s="507" t="s">
        <v>166</v>
      </c>
      <c r="Q474" s="507" t="s">
        <v>166</v>
      </c>
      <c r="R474" s="507" t="s">
        <v>166</v>
      </c>
      <c r="S474" s="507" t="s">
        <v>166</v>
      </c>
      <c r="T474" s="509"/>
    </row>
    <row r="475">
      <c r="A475" s="504" t="s">
        <v>1664</v>
      </c>
      <c r="B475" s="505" t="s">
        <v>3785</v>
      </c>
      <c r="C475" s="452" t="str">
        <f t="shared" si="109"/>
        <v>PowerColor</v>
      </c>
      <c r="D475" s="506" t="s">
        <v>3653</v>
      </c>
      <c r="E475" s="507">
        <v>332.0</v>
      </c>
      <c r="F475" s="507">
        <v>135.0</v>
      </c>
      <c r="G475" s="507">
        <v>52.0</v>
      </c>
      <c r="H475" s="507">
        <v>2.0</v>
      </c>
      <c r="I475" s="507">
        <v>2391.0</v>
      </c>
      <c r="J475" s="507">
        <v>18.0</v>
      </c>
      <c r="K475" s="507">
        <v>260.0</v>
      </c>
      <c r="L475" s="507" t="s">
        <v>3460</v>
      </c>
      <c r="M475" s="507">
        <v>3.0</v>
      </c>
      <c r="N475" s="507">
        <v>3.0</v>
      </c>
      <c r="O475" s="507">
        <v>1.0</v>
      </c>
      <c r="P475" s="507" t="s">
        <v>166</v>
      </c>
      <c r="Q475" s="507" t="s">
        <v>166</v>
      </c>
      <c r="R475" s="507" t="s">
        <v>166</v>
      </c>
      <c r="S475" s="507" t="s">
        <v>166</v>
      </c>
      <c r="T475" s="509"/>
    </row>
    <row r="476">
      <c r="A476" s="504" t="s">
        <v>1664</v>
      </c>
      <c r="B476" s="505" t="s">
        <v>3785</v>
      </c>
      <c r="C476" s="282" t="str">
        <f t="shared" ref="C476:C478" si="110">HYPERLINK("https://www.sapphiretech.com/","Sapphire")</f>
        <v>Sapphire</v>
      </c>
      <c r="D476" s="506" t="s">
        <v>3376</v>
      </c>
      <c r="E476" s="507">
        <v>320.0</v>
      </c>
      <c r="F476" s="507">
        <v>128.75</v>
      </c>
      <c r="G476" s="507">
        <v>52.57</v>
      </c>
      <c r="H476" s="507">
        <v>2.0</v>
      </c>
      <c r="I476" s="507">
        <v>2293.0</v>
      </c>
      <c r="J476" s="507">
        <v>18.0</v>
      </c>
      <c r="K476" s="507">
        <v>268.0</v>
      </c>
      <c r="L476" s="507" t="s">
        <v>3460</v>
      </c>
      <c r="M476" s="507">
        <v>3.0</v>
      </c>
      <c r="N476" s="507">
        <v>2.0</v>
      </c>
      <c r="O476" s="507">
        <v>2.0</v>
      </c>
      <c r="P476" s="507" t="s">
        <v>166</v>
      </c>
      <c r="Q476" s="507" t="s">
        <v>166</v>
      </c>
      <c r="R476" s="507" t="s">
        <v>166</v>
      </c>
      <c r="S476" s="507" t="s">
        <v>166</v>
      </c>
      <c r="T476" s="509"/>
    </row>
    <row r="477">
      <c r="A477" s="504" t="s">
        <v>1664</v>
      </c>
      <c r="B477" s="505" t="s">
        <v>3785</v>
      </c>
      <c r="C477" s="282" t="str">
        <f t="shared" si="110"/>
        <v>Sapphire</v>
      </c>
      <c r="D477" s="506" t="s">
        <v>3775</v>
      </c>
      <c r="E477" s="507">
        <v>320.0</v>
      </c>
      <c r="F477" s="507">
        <v>128.75</v>
      </c>
      <c r="G477" s="507">
        <v>52.57</v>
      </c>
      <c r="H477" s="507">
        <v>2.0</v>
      </c>
      <c r="I477" s="507">
        <v>2333.0</v>
      </c>
      <c r="J477" s="507">
        <v>18.0</v>
      </c>
      <c r="K477" s="507">
        <v>275.0</v>
      </c>
      <c r="L477" s="507" t="s">
        <v>3460</v>
      </c>
      <c r="M477" s="507">
        <v>3.0</v>
      </c>
      <c r="N477" s="507">
        <v>2.0</v>
      </c>
      <c r="O477" s="507">
        <v>2.0</v>
      </c>
      <c r="P477" s="507" t="s">
        <v>166</v>
      </c>
      <c r="Q477" s="507" t="s">
        <v>166</v>
      </c>
      <c r="R477" s="507" t="s">
        <v>166</v>
      </c>
      <c r="S477" s="507" t="s">
        <v>166</v>
      </c>
      <c r="T477" s="509"/>
    </row>
    <row r="478">
      <c r="A478" s="504" t="s">
        <v>1664</v>
      </c>
      <c r="B478" s="505" t="s">
        <v>3785</v>
      </c>
      <c r="C478" s="282" t="str">
        <f t="shared" si="110"/>
        <v>Sapphire</v>
      </c>
      <c r="D478" s="506" t="s">
        <v>3680</v>
      </c>
      <c r="E478" s="507">
        <v>320.0</v>
      </c>
      <c r="F478" s="507">
        <v>134.85</v>
      </c>
      <c r="G478" s="507">
        <v>61.57</v>
      </c>
      <c r="H478" s="507">
        <v>3.0</v>
      </c>
      <c r="I478" s="507">
        <v>2391.0</v>
      </c>
      <c r="J478" s="507">
        <v>18.0</v>
      </c>
      <c r="K478" s="507">
        <v>295.0</v>
      </c>
      <c r="L478" s="507" t="s">
        <v>3460</v>
      </c>
      <c r="M478" s="507">
        <v>3.0</v>
      </c>
      <c r="N478" s="507">
        <v>2.0</v>
      </c>
      <c r="O478" s="507">
        <v>2.0</v>
      </c>
      <c r="P478" s="507" t="s">
        <v>166</v>
      </c>
      <c r="Q478" s="507" t="s">
        <v>166</v>
      </c>
      <c r="R478" s="507" t="s">
        <v>166</v>
      </c>
      <c r="S478" s="507" t="s">
        <v>166</v>
      </c>
      <c r="T478" s="509"/>
    </row>
    <row r="479">
      <c r="A479" s="538" t="s">
        <v>1664</v>
      </c>
      <c r="B479" s="539" t="s">
        <v>3785</v>
      </c>
      <c r="C479" s="290" t="str">
        <f>HYPERLINK("https://www.xfxforce.com/","XFX")</f>
        <v>XFX</v>
      </c>
      <c r="D479" s="391" t="s">
        <v>3786</v>
      </c>
      <c r="E479" s="519">
        <v>335.0</v>
      </c>
      <c r="F479" s="519">
        <v>130.0</v>
      </c>
      <c r="G479" s="519">
        <v>52.0</v>
      </c>
      <c r="H479" s="519">
        <v>2.0</v>
      </c>
      <c r="I479" s="519">
        <v>2395.0</v>
      </c>
      <c r="J479" s="519">
        <v>18.0</v>
      </c>
      <c r="K479" s="519">
        <v>260.0</v>
      </c>
      <c r="L479" s="519" t="s">
        <v>3460</v>
      </c>
      <c r="M479" s="519">
        <v>3.0</v>
      </c>
      <c r="N479" s="519">
        <v>3.0</v>
      </c>
      <c r="O479" s="519">
        <v>1.0</v>
      </c>
      <c r="P479" s="519" t="s">
        <v>166</v>
      </c>
      <c r="Q479" s="519" t="s">
        <v>166</v>
      </c>
      <c r="R479" s="519" t="s">
        <v>166</v>
      </c>
      <c r="S479" s="519" t="s">
        <v>166</v>
      </c>
      <c r="T479" s="541"/>
    </row>
    <row r="480">
      <c r="A480" s="504" t="s">
        <v>1664</v>
      </c>
      <c r="B480" s="505" t="s">
        <v>3787</v>
      </c>
      <c r="C480" s="282" t="str">
        <f>HYPERLINK("https://www.amd.com/en","AMD")</f>
        <v>AMD</v>
      </c>
      <c r="D480" s="506" t="s">
        <v>3788</v>
      </c>
      <c r="E480" s="507">
        <v>276.0</v>
      </c>
      <c r="F480" s="507">
        <v>113.0</v>
      </c>
      <c r="G480" s="507">
        <v>51.0</v>
      </c>
      <c r="H480" s="507">
        <v>2.0</v>
      </c>
      <c r="I480" s="507">
        <v>2400.0</v>
      </c>
      <c r="J480" s="507">
        <v>20.0</v>
      </c>
      <c r="K480" s="507">
        <v>300.0</v>
      </c>
      <c r="L480" s="507" t="s">
        <v>3460</v>
      </c>
      <c r="M480" s="507">
        <v>3.0</v>
      </c>
      <c r="N480" s="507">
        <v>2.0</v>
      </c>
      <c r="O480" s="507">
        <v>1.0</v>
      </c>
      <c r="P480" s="507">
        <v>1.0</v>
      </c>
      <c r="Q480" s="507" t="s">
        <v>166</v>
      </c>
      <c r="R480" s="507" t="s">
        <v>166</v>
      </c>
      <c r="S480" s="507" t="s">
        <v>166</v>
      </c>
      <c r="T480" s="509"/>
    </row>
    <row r="481">
      <c r="A481" s="494" t="s">
        <v>1664</v>
      </c>
      <c r="B481" s="505" t="s">
        <v>3787</v>
      </c>
      <c r="C481" s="452" t="str">
        <f t="shared" ref="C481:C483" si="111">HYPERLINK("https://www.asrock.com/","ASRock")</f>
        <v>ASRock</v>
      </c>
      <c r="D481" s="506" t="s">
        <v>3788</v>
      </c>
      <c r="E481" s="507">
        <v>276.0</v>
      </c>
      <c r="F481" s="507">
        <v>113.0</v>
      </c>
      <c r="G481" s="507">
        <v>51.0</v>
      </c>
      <c r="H481" s="507">
        <v>2.0</v>
      </c>
      <c r="I481" s="507">
        <v>2400.0</v>
      </c>
      <c r="J481" s="507">
        <v>20.0</v>
      </c>
      <c r="K481" s="507">
        <v>300.0</v>
      </c>
      <c r="L481" s="507" t="s">
        <v>3460</v>
      </c>
      <c r="M481" s="507">
        <v>3.0</v>
      </c>
      <c r="N481" s="507">
        <v>2.0</v>
      </c>
      <c r="O481" s="507">
        <v>1.0</v>
      </c>
      <c r="P481" s="507">
        <v>1.0</v>
      </c>
      <c r="Q481" s="507" t="s">
        <v>166</v>
      </c>
      <c r="R481" s="507" t="s">
        <v>166</v>
      </c>
      <c r="S481" s="507" t="s">
        <v>166</v>
      </c>
      <c r="T481" s="509"/>
    </row>
    <row r="482">
      <c r="A482" s="494" t="s">
        <v>1664</v>
      </c>
      <c r="B482" s="505" t="s">
        <v>3787</v>
      </c>
      <c r="C482" s="452" t="str">
        <f t="shared" si="111"/>
        <v>ASRock</v>
      </c>
      <c r="D482" s="506" t="s">
        <v>3763</v>
      </c>
      <c r="E482" s="507">
        <v>330.0</v>
      </c>
      <c r="F482" s="507">
        <v>140.0</v>
      </c>
      <c r="G482" s="507">
        <v>57.6</v>
      </c>
      <c r="H482" s="507">
        <v>2.0</v>
      </c>
      <c r="I482" s="507">
        <v>2450.0</v>
      </c>
      <c r="J482" s="507">
        <v>20.0</v>
      </c>
      <c r="K482" s="507">
        <v>300.0</v>
      </c>
      <c r="L482" s="507" t="s">
        <v>3460</v>
      </c>
      <c r="M482" s="507">
        <v>3.0</v>
      </c>
      <c r="N482" s="507">
        <v>3.0</v>
      </c>
      <c r="O482" s="507">
        <v>1.0</v>
      </c>
      <c r="P482" s="507" t="s">
        <v>166</v>
      </c>
      <c r="Q482" s="507" t="s">
        <v>166</v>
      </c>
      <c r="R482" s="507" t="s">
        <v>166</v>
      </c>
      <c r="S482" s="507" t="s">
        <v>166</v>
      </c>
      <c r="T482" s="509"/>
    </row>
    <row r="483">
      <c r="A483" s="494" t="s">
        <v>1664</v>
      </c>
      <c r="B483" s="505" t="s">
        <v>3787</v>
      </c>
      <c r="C483" s="452" t="str">
        <f t="shared" si="111"/>
        <v>ASRock</v>
      </c>
      <c r="D483" s="506" t="s">
        <v>3789</v>
      </c>
      <c r="E483" s="507">
        <v>345.0</v>
      </c>
      <c r="F483" s="507">
        <v>140.0</v>
      </c>
      <c r="G483" s="507">
        <v>61.0</v>
      </c>
      <c r="H483" s="507">
        <v>3.0</v>
      </c>
      <c r="I483" s="507">
        <v>2560.0</v>
      </c>
      <c r="J483" s="507">
        <v>20.0</v>
      </c>
      <c r="K483" s="507">
        <v>300.0</v>
      </c>
      <c r="L483" s="507" t="s">
        <v>3734</v>
      </c>
      <c r="M483" s="507">
        <v>3.0</v>
      </c>
      <c r="N483" s="507">
        <v>3.0</v>
      </c>
      <c r="O483" s="507">
        <v>1.0</v>
      </c>
      <c r="P483" s="507" t="s">
        <v>166</v>
      </c>
      <c r="Q483" s="507" t="s">
        <v>166</v>
      </c>
      <c r="R483" s="507" t="s">
        <v>166</v>
      </c>
      <c r="S483" s="507" t="s">
        <v>166</v>
      </c>
      <c r="T483" s="509"/>
    </row>
    <row r="484">
      <c r="A484" s="494" t="s">
        <v>1664</v>
      </c>
      <c r="B484" s="505" t="s">
        <v>3787</v>
      </c>
      <c r="C484" s="282" t="str">
        <f t="shared" ref="C484:C487" si="112">HYPERLINK("https://www.asus.com/","Asus")</f>
        <v>Asus</v>
      </c>
      <c r="D484" s="506" t="s">
        <v>3788</v>
      </c>
      <c r="E484" s="507">
        <v>276.4</v>
      </c>
      <c r="F484" s="507">
        <v>112.65</v>
      </c>
      <c r="G484" s="507">
        <v>51.25</v>
      </c>
      <c r="H484" s="507">
        <v>2.0</v>
      </c>
      <c r="I484" s="507">
        <v>2400.0</v>
      </c>
      <c r="J484" s="507">
        <v>20.0</v>
      </c>
      <c r="K484" s="507">
        <v>300.0</v>
      </c>
      <c r="L484" s="507" t="s">
        <v>3460</v>
      </c>
      <c r="M484" s="507">
        <v>3.0</v>
      </c>
      <c r="N484" s="507">
        <v>2.0</v>
      </c>
      <c r="O484" s="507">
        <v>1.0</v>
      </c>
      <c r="P484" s="507">
        <v>1.0</v>
      </c>
      <c r="Q484" s="507" t="s">
        <v>166</v>
      </c>
      <c r="R484" s="507" t="s">
        <v>166</v>
      </c>
      <c r="S484" s="507" t="s">
        <v>166</v>
      </c>
      <c r="T484" s="509"/>
    </row>
    <row r="485">
      <c r="A485" s="494" t="s">
        <v>1664</v>
      </c>
      <c r="B485" s="505" t="s">
        <v>3787</v>
      </c>
      <c r="C485" s="282" t="str">
        <f t="shared" si="112"/>
        <v>Asus</v>
      </c>
      <c r="D485" s="506" t="s">
        <v>3381</v>
      </c>
      <c r="E485" s="507">
        <v>323.0</v>
      </c>
      <c r="F485" s="507">
        <v>147.0</v>
      </c>
      <c r="G485" s="507">
        <v>58.0</v>
      </c>
      <c r="H485" s="507">
        <v>2.0</v>
      </c>
      <c r="I485" s="507">
        <v>2535.0</v>
      </c>
      <c r="J485" s="507">
        <v>20.0</v>
      </c>
      <c r="K485" s="507">
        <v>300.0</v>
      </c>
      <c r="L485" s="266" t="s">
        <v>3734</v>
      </c>
      <c r="M485" s="507">
        <v>2.0</v>
      </c>
      <c r="N485" s="507">
        <v>3.0</v>
      </c>
      <c r="O485" s="507">
        <v>1.0</v>
      </c>
      <c r="P485" s="507" t="s">
        <v>166</v>
      </c>
      <c r="Q485" s="507" t="s">
        <v>166</v>
      </c>
      <c r="R485" s="507" t="s">
        <v>166</v>
      </c>
      <c r="S485" s="507" t="s">
        <v>166</v>
      </c>
      <c r="T485" s="509"/>
    </row>
    <row r="486">
      <c r="A486" s="494" t="s">
        <v>1664</v>
      </c>
      <c r="B486" s="505" t="s">
        <v>3787</v>
      </c>
      <c r="C486" s="282" t="str">
        <f t="shared" si="112"/>
        <v>Asus</v>
      </c>
      <c r="D486" s="506" t="s">
        <v>3477</v>
      </c>
      <c r="E486" s="507">
        <v>352.9</v>
      </c>
      <c r="F486" s="507">
        <v>158.2</v>
      </c>
      <c r="G486" s="507">
        <v>72.6</v>
      </c>
      <c r="H486" s="507">
        <v>2.0</v>
      </c>
      <c r="I486" s="507">
        <v>2450.0</v>
      </c>
      <c r="J486" s="507">
        <v>20.0</v>
      </c>
      <c r="K486" s="507">
        <v>300.0</v>
      </c>
      <c r="L486" s="266" t="s">
        <v>3734</v>
      </c>
      <c r="M486" s="507">
        <v>3.0</v>
      </c>
      <c r="N486" s="507">
        <v>3.0</v>
      </c>
      <c r="O486" s="507">
        <v>1.0</v>
      </c>
      <c r="P486" s="507" t="s">
        <v>166</v>
      </c>
      <c r="Q486" s="507" t="s">
        <v>166</v>
      </c>
      <c r="R486" s="507" t="s">
        <v>166</v>
      </c>
      <c r="S486" s="507" t="s">
        <v>166</v>
      </c>
      <c r="T486" s="509"/>
    </row>
    <row r="487">
      <c r="A487" s="494" t="s">
        <v>1664</v>
      </c>
      <c r="B487" s="505" t="s">
        <v>3787</v>
      </c>
      <c r="C487" s="282" t="str">
        <f t="shared" si="112"/>
        <v>Asus</v>
      </c>
      <c r="D487" s="506" t="s">
        <v>3478</v>
      </c>
      <c r="E487" s="507">
        <v>352.9</v>
      </c>
      <c r="F487" s="507">
        <v>158.2</v>
      </c>
      <c r="G487" s="507">
        <v>72.6</v>
      </c>
      <c r="H487" s="507">
        <v>2.0</v>
      </c>
      <c r="I487" s="507">
        <v>2535.0</v>
      </c>
      <c r="J487" s="507">
        <v>20.0</v>
      </c>
      <c r="K487" s="507">
        <v>300.0</v>
      </c>
      <c r="L487" s="266" t="s">
        <v>3734</v>
      </c>
      <c r="M487" s="507">
        <v>3.0</v>
      </c>
      <c r="N487" s="507">
        <v>3.0</v>
      </c>
      <c r="O487" s="507">
        <v>1.0</v>
      </c>
      <c r="P487" s="507" t="s">
        <v>166</v>
      </c>
      <c r="Q487" s="507" t="s">
        <v>166</v>
      </c>
      <c r="R487" s="507" t="s">
        <v>166</v>
      </c>
      <c r="S487" s="507" t="s">
        <v>166</v>
      </c>
      <c r="T487" s="509"/>
    </row>
    <row r="488">
      <c r="A488" s="494" t="s">
        <v>1664</v>
      </c>
      <c r="B488" s="505" t="s">
        <v>3787</v>
      </c>
      <c r="C488" s="174" t="str">
        <f t="shared" ref="C488:C490" si="113">HYPERLINK("https://www.gigabyte.com/","Gigabyte")</f>
        <v>Gigabyte</v>
      </c>
      <c r="D488" s="506" t="s">
        <v>3788</v>
      </c>
      <c r="E488" s="507">
        <v>276.0</v>
      </c>
      <c r="F488" s="507">
        <v>113.0</v>
      </c>
      <c r="G488" s="507">
        <v>51.0</v>
      </c>
      <c r="H488" s="507">
        <v>2.0</v>
      </c>
      <c r="I488" s="507">
        <v>2400.0</v>
      </c>
      <c r="J488" s="507">
        <v>20.0</v>
      </c>
      <c r="K488" s="507">
        <v>300.0</v>
      </c>
      <c r="L488" s="266" t="s">
        <v>3460</v>
      </c>
      <c r="M488" s="507">
        <v>3.0</v>
      </c>
      <c r="N488" s="507">
        <v>2.0</v>
      </c>
      <c r="O488" s="507">
        <v>1.0</v>
      </c>
      <c r="P488" s="507">
        <v>1.0</v>
      </c>
      <c r="Q488" s="507" t="s">
        <v>166</v>
      </c>
      <c r="R488" s="507" t="s">
        <v>166</v>
      </c>
      <c r="S488" s="507" t="s">
        <v>166</v>
      </c>
      <c r="T488" s="509"/>
    </row>
    <row r="489">
      <c r="A489" s="494" t="s">
        <v>1664</v>
      </c>
      <c r="B489" s="505" t="s">
        <v>3787</v>
      </c>
      <c r="C489" s="174" t="str">
        <f t="shared" si="113"/>
        <v>Gigabyte</v>
      </c>
      <c r="D489" s="506" t="s">
        <v>3409</v>
      </c>
      <c r="E489" s="507">
        <v>331.0</v>
      </c>
      <c r="F489" s="507">
        <v>138.0</v>
      </c>
      <c r="G489" s="507">
        <v>50.0</v>
      </c>
      <c r="H489" s="507">
        <v>2.0</v>
      </c>
      <c r="I489" s="507">
        <v>2395.0</v>
      </c>
      <c r="J489" s="507">
        <v>20.0</v>
      </c>
      <c r="K489" s="507">
        <v>300.0</v>
      </c>
      <c r="L489" s="266" t="s">
        <v>3460</v>
      </c>
      <c r="M489" s="507">
        <v>3.0</v>
      </c>
      <c r="N489" s="507">
        <v>2.0</v>
      </c>
      <c r="O489" s="507">
        <v>2.0</v>
      </c>
      <c r="P489" s="507" t="s">
        <v>166</v>
      </c>
      <c r="Q489" s="507" t="s">
        <v>166</v>
      </c>
      <c r="R489" s="507" t="s">
        <v>166</v>
      </c>
      <c r="S489" s="507" t="s">
        <v>166</v>
      </c>
      <c r="T489" s="509"/>
    </row>
    <row r="490">
      <c r="A490" s="494" t="s">
        <v>1664</v>
      </c>
      <c r="B490" s="505" t="s">
        <v>3787</v>
      </c>
      <c r="C490" s="174" t="str">
        <f t="shared" si="113"/>
        <v>Gigabyte</v>
      </c>
      <c r="D490" s="506" t="s">
        <v>3630</v>
      </c>
      <c r="E490" s="507">
        <v>331.0</v>
      </c>
      <c r="F490" s="507">
        <v>138.0</v>
      </c>
      <c r="G490" s="507">
        <v>50.0</v>
      </c>
      <c r="H490" s="507">
        <v>2.0</v>
      </c>
      <c r="I490" s="507">
        <v>2535.0</v>
      </c>
      <c r="J490" s="507">
        <v>20.0</v>
      </c>
      <c r="K490" s="507">
        <v>300.0</v>
      </c>
      <c r="L490" s="266" t="s">
        <v>3460</v>
      </c>
      <c r="M490" s="507">
        <v>3.0</v>
      </c>
      <c r="N490" s="507">
        <v>2.0</v>
      </c>
      <c r="O490" s="507">
        <v>2.0</v>
      </c>
      <c r="P490" s="507" t="s">
        <v>166</v>
      </c>
      <c r="Q490" s="507" t="s">
        <v>166</v>
      </c>
      <c r="R490" s="507" t="s">
        <v>166</v>
      </c>
      <c r="S490" s="507" t="s">
        <v>166</v>
      </c>
      <c r="T490" s="509"/>
    </row>
    <row r="491">
      <c r="A491" s="494" t="s">
        <v>1664</v>
      </c>
      <c r="B491" s="505" t="s">
        <v>3787</v>
      </c>
      <c r="C491" s="174" t="str">
        <f>HYPERLINK("https://www.msi.com/index.php","MSI")</f>
        <v>MSI</v>
      </c>
      <c r="D491" s="506" t="s">
        <v>3790</v>
      </c>
      <c r="E491" s="507">
        <v>325.0</v>
      </c>
      <c r="F491" s="507">
        <v>141.0</v>
      </c>
      <c r="G491" s="507">
        <v>56.0</v>
      </c>
      <c r="H491" s="507">
        <v>2.0</v>
      </c>
      <c r="I491" s="507">
        <v>2400.0</v>
      </c>
      <c r="J491" s="507">
        <v>20.0</v>
      </c>
      <c r="K491" s="507">
        <v>315.0</v>
      </c>
      <c r="L491" s="266" t="s">
        <v>3734</v>
      </c>
      <c r="M491" s="507">
        <v>3.0</v>
      </c>
      <c r="N491" s="507">
        <v>3.0</v>
      </c>
      <c r="O491" s="507">
        <v>1.0</v>
      </c>
      <c r="P491" s="507" t="s">
        <v>166</v>
      </c>
      <c r="Q491" s="507" t="s">
        <v>166</v>
      </c>
      <c r="R491" s="507" t="s">
        <v>166</v>
      </c>
      <c r="S491" s="507" t="s">
        <v>166</v>
      </c>
      <c r="T491" s="509"/>
    </row>
    <row r="492">
      <c r="A492" s="494" t="s">
        <v>1664</v>
      </c>
      <c r="B492" s="505" t="s">
        <v>3787</v>
      </c>
      <c r="C492" s="452" t="str">
        <f t="shared" ref="C492:C494" si="114">HYPERLINK("https://www.powercolor.com/","PowerColor")</f>
        <v>PowerColor</v>
      </c>
      <c r="D492" s="506" t="s">
        <v>3788</v>
      </c>
      <c r="E492" s="507">
        <v>276.4</v>
      </c>
      <c r="F492" s="507">
        <v>112.65</v>
      </c>
      <c r="G492" s="507">
        <v>51.25</v>
      </c>
      <c r="H492" s="507">
        <v>2.0</v>
      </c>
      <c r="I492" s="507">
        <v>2400.0</v>
      </c>
      <c r="J492" s="507">
        <v>20.0</v>
      </c>
      <c r="K492" s="507">
        <v>300.0</v>
      </c>
      <c r="L492" s="507" t="s">
        <v>3460</v>
      </c>
      <c r="M492" s="507">
        <v>3.0</v>
      </c>
      <c r="N492" s="507">
        <v>2.0</v>
      </c>
      <c r="O492" s="507">
        <v>1.0</v>
      </c>
      <c r="P492" s="507">
        <v>1.0</v>
      </c>
      <c r="Q492" s="507" t="s">
        <v>166</v>
      </c>
      <c r="R492" s="507" t="s">
        <v>166</v>
      </c>
      <c r="S492" s="507" t="s">
        <v>166</v>
      </c>
      <c r="T492" s="509"/>
    </row>
    <row r="493">
      <c r="A493" s="494" t="s">
        <v>1664</v>
      </c>
      <c r="B493" s="505" t="s">
        <v>3787</v>
      </c>
      <c r="C493" s="452" t="str">
        <f t="shared" si="114"/>
        <v>PowerColor</v>
      </c>
      <c r="D493" s="506" t="s">
        <v>3695</v>
      </c>
      <c r="E493" s="507">
        <v>326.0</v>
      </c>
      <c r="F493" s="507">
        <v>132.0</v>
      </c>
      <c r="G493" s="507">
        <v>62.0</v>
      </c>
      <c r="H493" s="507">
        <v>3.0</v>
      </c>
      <c r="I493" s="507">
        <v>2500.0</v>
      </c>
      <c r="J493" s="507">
        <v>20.0</v>
      </c>
      <c r="K493" s="507">
        <v>300.0</v>
      </c>
      <c r="L493" s="266" t="s">
        <v>3460</v>
      </c>
      <c r="M493" s="507">
        <v>3.0</v>
      </c>
      <c r="N493" s="507">
        <v>3.0</v>
      </c>
      <c r="O493" s="507">
        <v>1.0</v>
      </c>
      <c r="P493" s="507" t="s">
        <v>166</v>
      </c>
      <c r="Q493" s="507" t="s">
        <v>166</v>
      </c>
      <c r="R493" s="507" t="s">
        <v>166</v>
      </c>
      <c r="S493" s="507" t="s">
        <v>166</v>
      </c>
      <c r="T493" s="509"/>
    </row>
    <row r="494">
      <c r="A494" s="504" t="s">
        <v>1664</v>
      </c>
      <c r="B494" s="505" t="s">
        <v>3787</v>
      </c>
      <c r="C494" s="282" t="str">
        <f t="shared" si="114"/>
        <v>PowerColor</v>
      </c>
      <c r="D494" s="506" t="s">
        <v>3653</v>
      </c>
      <c r="E494" s="507">
        <v>338.0</v>
      </c>
      <c r="F494" s="507">
        <v>135.0</v>
      </c>
      <c r="G494" s="507">
        <v>73.0</v>
      </c>
      <c r="H494" s="507">
        <v>3.0</v>
      </c>
      <c r="I494" s="507">
        <v>2535.0</v>
      </c>
      <c r="J494" s="507">
        <v>20.0</v>
      </c>
      <c r="K494" s="507">
        <v>300.0</v>
      </c>
      <c r="L494" s="266" t="s">
        <v>3460</v>
      </c>
      <c r="M494" s="507">
        <v>3.0</v>
      </c>
      <c r="N494" s="507">
        <v>3.0</v>
      </c>
      <c r="O494" s="507">
        <v>1.0</v>
      </c>
      <c r="P494" s="507" t="s">
        <v>166</v>
      </c>
      <c r="Q494" s="507" t="s">
        <v>166</v>
      </c>
      <c r="R494" s="507" t="s">
        <v>166</v>
      </c>
      <c r="S494" s="507" t="s">
        <v>166</v>
      </c>
      <c r="T494" s="509"/>
    </row>
    <row r="495">
      <c r="A495" s="504" t="s">
        <v>1664</v>
      </c>
      <c r="B495" s="505" t="s">
        <v>3787</v>
      </c>
      <c r="C495" s="282" t="str">
        <f t="shared" ref="C495:C497" si="115">HYPERLINK("https://www.sapphiretech.com/","Sapphire")</f>
        <v>Sapphire</v>
      </c>
      <c r="D495" s="506" t="s">
        <v>3788</v>
      </c>
      <c r="E495" s="507">
        <v>276.4</v>
      </c>
      <c r="F495" s="507">
        <v>112.7</v>
      </c>
      <c r="G495" s="507">
        <v>51.25</v>
      </c>
      <c r="H495" s="507">
        <v>2.0</v>
      </c>
      <c r="I495" s="507">
        <v>2400.0</v>
      </c>
      <c r="J495" s="507">
        <v>20.0</v>
      </c>
      <c r="K495" s="507">
        <v>308.0</v>
      </c>
      <c r="L495" s="507" t="s">
        <v>3460</v>
      </c>
      <c r="M495" s="507">
        <v>3.0</v>
      </c>
      <c r="N495" s="507">
        <v>2.0</v>
      </c>
      <c r="O495" s="507">
        <v>1.0</v>
      </c>
      <c r="P495" s="507">
        <v>1.0</v>
      </c>
      <c r="Q495" s="507" t="s">
        <v>166</v>
      </c>
      <c r="R495" s="507" t="s">
        <v>166</v>
      </c>
      <c r="S495" s="507" t="s">
        <v>166</v>
      </c>
      <c r="T495" s="509"/>
    </row>
    <row r="496">
      <c r="A496" s="504" t="s">
        <v>1664</v>
      </c>
      <c r="B496" s="505" t="s">
        <v>3787</v>
      </c>
      <c r="C496" s="282" t="str">
        <f t="shared" si="115"/>
        <v>Sapphire</v>
      </c>
      <c r="D496" s="506" t="s">
        <v>3376</v>
      </c>
      <c r="E496" s="507">
        <v>313.0</v>
      </c>
      <c r="F496" s="507">
        <v>133.75</v>
      </c>
      <c r="G496" s="507">
        <v>52.67</v>
      </c>
      <c r="H496" s="507">
        <v>2.0</v>
      </c>
      <c r="I496" s="507">
        <v>2450.0</v>
      </c>
      <c r="J496" s="507">
        <v>20.0</v>
      </c>
      <c r="K496" s="507">
        <v>331.0</v>
      </c>
      <c r="L496" s="266" t="s">
        <v>3460</v>
      </c>
      <c r="M496" s="507">
        <v>3.0</v>
      </c>
      <c r="N496" s="507">
        <v>2.0</v>
      </c>
      <c r="O496" s="507">
        <v>2.0</v>
      </c>
      <c r="P496" s="507" t="s">
        <v>166</v>
      </c>
      <c r="Q496" s="507" t="s">
        <v>166</v>
      </c>
      <c r="R496" s="507" t="s">
        <v>166</v>
      </c>
      <c r="S496" s="507" t="s">
        <v>166</v>
      </c>
      <c r="T496" s="509"/>
    </row>
    <row r="497">
      <c r="A497" s="504" t="s">
        <v>1664</v>
      </c>
      <c r="B497" s="505" t="s">
        <v>3787</v>
      </c>
      <c r="C497" s="282" t="str">
        <f t="shared" si="115"/>
        <v>Sapphire</v>
      </c>
      <c r="D497" s="506" t="s">
        <v>3791</v>
      </c>
      <c r="E497" s="507">
        <v>320.0</v>
      </c>
      <c r="F497" s="507">
        <v>135.75</v>
      </c>
      <c r="G497" s="507">
        <v>71.6</v>
      </c>
      <c r="H497" s="507">
        <v>3.0</v>
      </c>
      <c r="I497" s="507">
        <v>2560.0</v>
      </c>
      <c r="J497" s="507">
        <v>20.0</v>
      </c>
      <c r="K497" s="507">
        <v>368.0</v>
      </c>
      <c r="L497" s="266" t="s">
        <v>3734</v>
      </c>
      <c r="M497" s="507">
        <v>3.0</v>
      </c>
      <c r="N497" s="507">
        <v>2.0</v>
      </c>
      <c r="O497" s="507">
        <v>2.0</v>
      </c>
      <c r="P497" s="507" t="s">
        <v>166</v>
      </c>
      <c r="Q497" s="507" t="s">
        <v>166</v>
      </c>
      <c r="R497" s="507" t="s">
        <v>166</v>
      </c>
      <c r="S497" s="507" t="s">
        <v>166</v>
      </c>
      <c r="T497" s="509"/>
    </row>
    <row r="498">
      <c r="A498" s="504" t="s">
        <v>1664</v>
      </c>
      <c r="B498" s="505" t="s">
        <v>3787</v>
      </c>
      <c r="C498" s="282" t="str">
        <f t="shared" ref="C498:C500" si="116">HYPERLINK("https://www.xfxforce.com/","XFX")</f>
        <v>XFX</v>
      </c>
      <c r="D498" s="506" t="s">
        <v>3788</v>
      </c>
      <c r="E498" s="507">
        <v>276.4</v>
      </c>
      <c r="F498" s="507">
        <v>112.65</v>
      </c>
      <c r="G498" s="507">
        <v>51.2</v>
      </c>
      <c r="H498" s="507">
        <v>2.0</v>
      </c>
      <c r="I498" s="507">
        <v>2400.0</v>
      </c>
      <c r="J498" s="507">
        <v>20.0</v>
      </c>
      <c r="K498" s="507">
        <v>300.0</v>
      </c>
      <c r="L498" s="507" t="s">
        <v>3460</v>
      </c>
      <c r="M498" s="507">
        <v>3.0</v>
      </c>
      <c r="N498" s="507">
        <v>2.0</v>
      </c>
      <c r="O498" s="507">
        <v>1.0</v>
      </c>
      <c r="P498" s="507">
        <v>1.0</v>
      </c>
      <c r="Q498" s="507" t="s">
        <v>166</v>
      </c>
      <c r="R498" s="507" t="s">
        <v>166</v>
      </c>
      <c r="S498" s="507" t="s">
        <v>166</v>
      </c>
      <c r="T498" s="509"/>
    </row>
    <row r="499">
      <c r="A499" s="504" t="s">
        <v>1664</v>
      </c>
      <c r="B499" s="505" t="s">
        <v>3787</v>
      </c>
      <c r="C499" s="282" t="str">
        <f t="shared" si="116"/>
        <v>XFX</v>
      </c>
      <c r="D499" s="506" t="s">
        <v>3792</v>
      </c>
      <c r="E499" s="507">
        <v>344.0</v>
      </c>
      <c r="F499" s="507">
        <v>128.0</v>
      </c>
      <c r="G499" s="507">
        <v>55.0</v>
      </c>
      <c r="H499" s="507">
        <v>2.0</v>
      </c>
      <c r="I499" s="507">
        <v>2535.0</v>
      </c>
      <c r="J499" s="507">
        <v>20.0</v>
      </c>
      <c r="K499" s="507">
        <v>300.0</v>
      </c>
      <c r="L499" s="266" t="s">
        <v>3460</v>
      </c>
      <c r="M499" s="507">
        <v>3.0</v>
      </c>
      <c r="N499" s="507">
        <v>3.0</v>
      </c>
      <c r="O499" s="507">
        <v>1.0</v>
      </c>
      <c r="P499" s="507" t="s">
        <v>166</v>
      </c>
      <c r="Q499" s="507" t="s">
        <v>166</v>
      </c>
      <c r="R499" s="507" t="s">
        <v>166</v>
      </c>
      <c r="S499" s="507" t="s">
        <v>166</v>
      </c>
      <c r="T499" s="509"/>
    </row>
    <row r="500">
      <c r="A500" s="504" t="s">
        <v>1664</v>
      </c>
      <c r="B500" s="505" t="s">
        <v>3787</v>
      </c>
      <c r="C500" s="282" t="str">
        <f t="shared" si="116"/>
        <v>XFX</v>
      </c>
      <c r="D500" s="506" t="s">
        <v>3793</v>
      </c>
      <c r="E500" s="507">
        <v>344.0</v>
      </c>
      <c r="F500" s="507">
        <v>128.0</v>
      </c>
      <c r="G500" s="507">
        <v>55.0</v>
      </c>
      <c r="H500" s="507">
        <v>2.0</v>
      </c>
      <c r="I500" s="507">
        <v>2560.0</v>
      </c>
      <c r="J500" s="507">
        <v>20.0</v>
      </c>
      <c r="K500" s="507">
        <v>300.0</v>
      </c>
      <c r="L500" s="266" t="s">
        <v>3460</v>
      </c>
      <c r="M500" s="507">
        <v>3.0</v>
      </c>
      <c r="N500" s="507">
        <v>3.0</v>
      </c>
      <c r="O500" s="507">
        <v>1.0</v>
      </c>
      <c r="P500" s="507" t="s">
        <v>166</v>
      </c>
      <c r="Q500" s="507" t="s">
        <v>166</v>
      </c>
      <c r="R500" s="507" t="s">
        <v>166</v>
      </c>
      <c r="S500" s="507" t="s">
        <v>166</v>
      </c>
      <c r="T500" s="509"/>
    </row>
    <row r="501">
      <c r="A501" s="538" t="s">
        <v>1664</v>
      </c>
      <c r="B501" s="539" t="s">
        <v>3787</v>
      </c>
      <c r="C501" s="391" t="s">
        <v>3378</v>
      </c>
      <c r="D501" s="391" t="s">
        <v>3794</v>
      </c>
      <c r="E501" s="519">
        <v>330.0</v>
      </c>
      <c r="F501" s="519">
        <v>137.0</v>
      </c>
      <c r="G501" s="519">
        <v>60.0</v>
      </c>
      <c r="H501" s="519">
        <v>2.0</v>
      </c>
      <c r="I501" s="519">
        <v>2395.0</v>
      </c>
      <c r="J501" s="519">
        <v>20.0</v>
      </c>
      <c r="K501" s="519">
        <v>300.0</v>
      </c>
      <c r="L501" s="501" t="s">
        <v>3460</v>
      </c>
      <c r="M501" s="519">
        <v>3.0</v>
      </c>
      <c r="N501" s="519">
        <v>3.0</v>
      </c>
      <c r="O501" s="519">
        <v>1.0</v>
      </c>
      <c r="P501" s="519" t="s">
        <v>166</v>
      </c>
      <c r="Q501" s="519" t="s">
        <v>166</v>
      </c>
      <c r="R501" s="519" t="s">
        <v>166</v>
      </c>
      <c r="S501" s="519" t="s">
        <v>166</v>
      </c>
      <c r="T501" s="541"/>
    </row>
    <row r="502">
      <c r="A502" s="504" t="s">
        <v>1664</v>
      </c>
      <c r="B502" s="505" t="s">
        <v>3795</v>
      </c>
      <c r="C502" s="282" t="str">
        <f>HYPERLINK("https://www.amd.com/en","AMD")</f>
        <v>AMD</v>
      </c>
      <c r="D502" s="506" t="s">
        <v>3796</v>
      </c>
      <c r="E502" s="507">
        <v>287.0</v>
      </c>
      <c r="F502" s="507">
        <v>123.0</v>
      </c>
      <c r="G502" s="507">
        <v>51.0</v>
      </c>
      <c r="H502" s="507">
        <v>2.0</v>
      </c>
      <c r="I502" s="507">
        <v>2500.0</v>
      </c>
      <c r="J502" s="507">
        <v>20.0</v>
      </c>
      <c r="K502" s="507">
        <v>355.0</v>
      </c>
      <c r="L502" s="507" t="s">
        <v>3460</v>
      </c>
      <c r="M502" s="507">
        <v>3.0</v>
      </c>
      <c r="N502" s="507">
        <v>2.0</v>
      </c>
      <c r="O502" s="507">
        <v>1.0</v>
      </c>
      <c r="P502" s="507">
        <v>1.0</v>
      </c>
      <c r="Q502" s="507" t="s">
        <v>166</v>
      </c>
      <c r="R502" s="507" t="s">
        <v>166</v>
      </c>
      <c r="S502" s="507" t="s">
        <v>166</v>
      </c>
      <c r="T502" s="509"/>
    </row>
    <row r="503">
      <c r="A503" s="504" t="s">
        <v>1664</v>
      </c>
      <c r="B503" s="505" t="s">
        <v>3795</v>
      </c>
      <c r="C503" s="452" t="str">
        <f t="shared" ref="C503:C507" si="117">HYPERLINK("https://www.asrock.com/","ASRock")</f>
        <v>ASRock</v>
      </c>
      <c r="D503" s="506" t="s">
        <v>3796</v>
      </c>
      <c r="E503" s="507">
        <v>287.0</v>
      </c>
      <c r="F503" s="507">
        <v>123.0</v>
      </c>
      <c r="G503" s="507">
        <v>51.0</v>
      </c>
      <c r="H503" s="507">
        <v>2.0</v>
      </c>
      <c r="I503" s="507">
        <v>2500.0</v>
      </c>
      <c r="J503" s="507">
        <v>20.0</v>
      </c>
      <c r="K503" s="507">
        <v>355.0</v>
      </c>
      <c r="L503" s="507" t="s">
        <v>3460</v>
      </c>
      <c r="M503" s="507">
        <v>3.0</v>
      </c>
      <c r="N503" s="507">
        <v>2.0</v>
      </c>
      <c r="O503" s="507">
        <v>1.0</v>
      </c>
      <c r="P503" s="507">
        <v>1.0</v>
      </c>
      <c r="Q503" s="507" t="s">
        <v>166</v>
      </c>
      <c r="R503" s="507" t="s">
        <v>166</v>
      </c>
      <c r="S503" s="507" t="s">
        <v>166</v>
      </c>
      <c r="T503" s="509"/>
    </row>
    <row r="504">
      <c r="A504" s="504" t="s">
        <v>1664</v>
      </c>
      <c r="B504" s="505" t="s">
        <v>3795</v>
      </c>
      <c r="C504" s="452" t="str">
        <f t="shared" si="117"/>
        <v>ASRock</v>
      </c>
      <c r="D504" s="506" t="s">
        <v>3763</v>
      </c>
      <c r="E504" s="507">
        <v>330.0</v>
      </c>
      <c r="F504" s="507">
        <v>140.0</v>
      </c>
      <c r="G504" s="507">
        <v>57.6</v>
      </c>
      <c r="H504" s="507">
        <v>2.0</v>
      </c>
      <c r="I504" s="507">
        <v>2615.0</v>
      </c>
      <c r="J504" s="507">
        <v>20.0</v>
      </c>
      <c r="K504" s="507">
        <v>355.0</v>
      </c>
      <c r="L504" s="507" t="s">
        <v>3734</v>
      </c>
      <c r="M504" s="507">
        <v>3.0</v>
      </c>
      <c r="N504" s="507">
        <v>3.0</v>
      </c>
      <c r="O504" s="507">
        <v>1.0</v>
      </c>
      <c r="P504" s="507" t="s">
        <v>166</v>
      </c>
      <c r="Q504" s="507" t="s">
        <v>166</v>
      </c>
      <c r="R504" s="507" t="s">
        <v>166</v>
      </c>
      <c r="S504" s="507" t="s">
        <v>166</v>
      </c>
      <c r="T504" s="509"/>
    </row>
    <row r="505">
      <c r="A505" s="504" t="s">
        <v>1664</v>
      </c>
      <c r="B505" s="505" t="s">
        <v>3795</v>
      </c>
      <c r="C505" s="452" t="str">
        <f t="shared" si="117"/>
        <v>ASRock</v>
      </c>
      <c r="D505" s="506" t="s">
        <v>3789</v>
      </c>
      <c r="E505" s="507">
        <v>345.0</v>
      </c>
      <c r="F505" s="507">
        <v>140.0</v>
      </c>
      <c r="G505" s="507">
        <v>61.0</v>
      </c>
      <c r="H505" s="507">
        <v>3.0</v>
      </c>
      <c r="I505" s="507">
        <v>2680.0</v>
      </c>
      <c r="J505" s="507">
        <v>20.0</v>
      </c>
      <c r="K505" s="507">
        <v>355.0</v>
      </c>
      <c r="L505" s="507" t="s">
        <v>3734</v>
      </c>
      <c r="M505" s="507">
        <v>3.0</v>
      </c>
      <c r="N505" s="507">
        <v>3.0</v>
      </c>
      <c r="O505" s="507">
        <v>1.0</v>
      </c>
      <c r="P505" s="507" t="s">
        <v>166</v>
      </c>
      <c r="Q505" s="507" t="s">
        <v>166</v>
      </c>
      <c r="R505" s="507" t="s">
        <v>166</v>
      </c>
      <c r="S505" s="507" t="s">
        <v>166</v>
      </c>
      <c r="T505" s="509"/>
    </row>
    <row r="506">
      <c r="A506" s="504" t="s">
        <v>1664</v>
      </c>
      <c r="B506" s="505" t="s">
        <v>3795</v>
      </c>
      <c r="C506" s="452" t="str">
        <f t="shared" si="117"/>
        <v>ASRock</v>
      </c>
      <c r="D506" s="506" t="s">
        <v>3797</v>
      </c>
      <c r="E506" s="507">
        <v>345.0</v>
      </c>
      <c r="F506" s="507">
        <v>140.0</v>
      </c>
      <c r="G506" s="507">
        <v>61.0</v>
      </c>
      <c r="H506" s="507">
        <v>3.0</v>
      </c>
      <c r="I506" s="507">
        <v>2680.0</v>
      </c>
      <c r="J506" s="507">
        <v>20.0</v>
      </c>
      <c r="K506" s="507">
        <v>355.0</v>
      </c>
      <c r="L506" s="507" t="s">
        <v>3734</v>
      </c>
      <c r="M506" s="507">
        <v>3.0</v>
      </c>
      <c r="N506" s="507">
        <v>3.0</v>
      </c>
      <c r="O506" s="507">
        <v>1.0</v>
      </c>
      <c r="P506" s="507" t="s">
        <v>166</v>
      </c>
      <c r="Q506" s="507" t="s">
        <v>166</v>
      </c>
      <c r="R506" s="507" t="s">
        <v>166</v>
      </c>
      <c r="S506" s="507" t="s">
        <v>166</v>
      </c>
      <c r="T506" s="509"/>
    </row>
    <row r="507">
      <c r="A507" s="504" t="s">
        <v>1664</v>
      </c>
      <c r="B507" s="505" t="s">
        <v>3795</v>
      </c>
      <c r="C507" s="452" t="str">
        <f t="shared" si="117"/>
        <v>ASRock</v>
      </c>
      <c r="D507" s="506" t="s">
        <v>3798</v>
      </c>
      <c r="E507" s="507">
        <v>275.0</v>
      </c>
      <c r="F507" s="507">
        <v>157.0</v>
      </c>
      <c r="G507" s="507">
        <v>22.0</v>
      </c>
      <c r="H507" s="507">
        <v>2.0</v>
      </c>
      <c r="I507" s="507">
        <v>2680.0</v>
      </c>
      <c r="J507" s="507">
        <v>20.0</v>
      </c>
      <c r="K507" s="507">
        <v>355.0</v>
      </c>
      <c r="L507" s="266" t="s">
        <v>3734</v>
      </c>
      <c r="M507" s="507" t="s">
        <v>166</v>
      </c>
      <c r="N507" s="507">
        <v>3.0</v>
      </c>
      <c r="O507" s="507">
        <v>1.0</v>
      </c>
      <c r="P507" s="507" t="s">
        <v>166</v>
      </c>
      <c r="Q507" s="507" t="s">
        <v>166</v>
      </c>
      <c r="R507" s="507" t="s">
        <v>174</v>
      </c>
      <c r="S507" s="507" t="s">
        <v>166</v>
      </c>
      <c r="T507" s="509"/>
    </row>
    <row r="508">
      <c r="A508" s="504" t="s">
        <v>1664</v>
      </c>
      <c r="B508" s="505" t="s">
        <v>3795</v>
      </c>
      <c r="C508" s="282" t="str">
        <f t="shared" ref="C508:C511" si="118">HYPERLINK("https://www.asus.com/","Asus")</f>
        <v>Asus</v>
      </c>
      <c r="D508" s="506" t="s">
        <v>3796</v>
      </c>
      <c r="E508" s="507">
        <v>287.0</v>
      </c>
      <c r="F508" s="507">
        <v>123.2</v>
      </c>
      <c r="G508" s="507">
        <v>51.25</v>
      </c>
      <c r="H508" s="507">
        <v>2.0</v>
      </c>
      <c r="I508" s="507">
        <v>2500.0</v>
      </c>
      <c r="J508" s="507">
        <v>20.0</v>
      </c>
      <c r="K508" s="507">
        <v>355.0</v>
      </c>
      <c r="L508" s="507" t="s">
        <v>3460</v>
      </c>
      <c r="M508" s="507">
        <v>3.0</v>
      </c>
      <c r="N508" s="507">
        <v>2.0</v>
      </c>
      <c r="O508" s="507">
        <v>1.0</v>
      </c>
      <c r="P508" s="507">
        <v>1.0</v>
      </c>
      <c r="Q508" s="507" t="s">
        <v>166</v>
      </c>
      <c r="R508" s="507" t="s">
        <v>166</v>
      </c>
      <c r="S508" s="507" t="s">
        <v>166</v>
      </c>
      <c r="T508" s="509"/>
    </row>
    <row r="509">
      <c r="A509" s="504" t="s">
        <v>1664</v>
      </c>
      <c r="B509" s="505" t="s">
        <v>3795</v>
      </c>
      <c r="C509" s="282" t="str">
        <f t="shared" si="118"/>
        <v>Asus</v>
      </c>
      <c r="D509" s="506" t="s">
        <v>3381</v>
      </c>
      <c r="E509" s="507">
        <v>323.0</v>
      </c>
      <c r="F509" s="507">
        <v>147.0</v>
      </c>
      <c r="G509" s="507">
        <v>58.0</v>
      </c>
      <c r="H509" s="507">
        <v>2.0</v>
      </c>
      <c r="I509" s="507">
        <v>2615.0</v>
      </c>
      <c r="J509" s="507">
        <v>20.0</v>
      </c>
      <c r="K509" s="507">
        <v>355.0</v>
      </c>
      <c r="L509" s="266" t="s">
        <v>3734</v>
      </c>
      <c r="M509" s="507">
        <v>2.0</v>
      </c>
      <c r="N509" s="507">
        <v>3.0</v>
      </c>
      <c r="O509" s="507">
        <v>1.0</v>
      </c>
      <c r="P509" s="507" t="s">
        <v>166</v>
      </c>
      <c r="Q509" s="507" t="s">
        <v>166</v>
      </c>
      <c r="R509" s="507" t="s">
        <v>166</v>
      </c>
      <c r="S509" s="507" t="s">
        <v>166</v>
      </c>
      <c r="T509" s="509"/>
    </row>
    <row r="510">
      <c r="A510" s="504" t="s">
        <v>1664</v>
      </c>
      <c r="B510" s="505" t="s">
        <v>3795</v>
      </c>
      <c r="C510" s="282" t="str">
        <f t="shared" si="118"/>
        <v>Asus</v>
      </c>
      <c r="D510" s="506" t="s">
        <v>3477</v>
      </c>
      <c r="E510" s="507">
        <v>352.9</v>
      </c>
      <c r="F510" s="507">
        <v>158.2</v>
      </c>
      <c r="G510" s="507">
        <v>72.6</v>
      </c>
      <c r="H510" s="507">
        <v>2.0</v>
      </c>
      <c r="I510" s="507">
        <v>2525.0</v>
      </c>
      <c r="J510" s="507">
        <v>20.0</v>
      </c>
      <c r="K510" s="507">
        <v>355.0</v>
      </c>
      <c r="L510" s="266" t="s">
        <v>3734</v>
      </c>
      <c r="M510" s="507">
        <v>3.0</v>
      </c>
      <c r="N510" s="507">
        <v>3.0</v>
      </c>
      <c r="O510" s="507">
        <v>1.0</v>
      </c>
      <c r="P510" s="507" t="s">
        <v>166</v>
      </c>
      <c r="Q510" s="507" t="s">
        <v>166</v>
      </c>
      <c r="R510" s="507" t="s">
        <v>166</v>
      </c>
      <c r="S510" s="507" t="s">
        <v>166</v>
      </c>
      <c r="T510" s="509"/>
    </row>
    <row r="511">
      <c r="A511" s="504" t="s">
        <v>1664</v>
      </c>
      <c r="B511" s="505" t="s">
        <v>3795</v>
      </c>
      <c r="C511" s="282" t="str">
        <f t="shared" si="118"/>
        <v>Asus</v>
      </c>
      <c r="D511" s="506" t="s">
        <v>3478</v>
      </c>
      <c r="E511" s="507">
        <v>352.9</v>
      </c>
      <c r="F511" s="507">
        <v>158.2</v>
      </c>
      <c r="G511" s="507">
        <v>72.6</v>
      </c>
      <c r="H511" s="507">
        <v>2.0</v>
      </c>
      <c r="I511" s="507">
        <v>2615.0</v>
      </c>
      <c r="J511" s="507">
        <v>20.0</v>
      </c>
      <c r="K511" s="507">
        <v>355.0</v>
      </c>
      <c r="L511" s="266" t="s">
        <v>3734</v>
      </c>
      <c r="M511" s="507">
        <v>3.0</v>
      </c>
      <c r="N511" s="507">
        <v>3.0</v>
      </c>
      <c r="O511" s="507">
        <v>1.0</v>
      </c>
      <c r="P511" s="507" t="s">
        <v>166</v>
      </c>
      <c r="Q511" s="507" t="s">
        <v>166</v>
      </c>
      <c r="R511" s="507" t="s">
        <v>166</v>
      </c>
      <c r="S511" s="507" t="s">
        <v>166</v>
      </c>
      <c r="T511" s="509"/>
    </row>
    <row r="512">
      <c r="A512" s="504" t="s">
        <v>1664</v>
      </c>
      <c r="B512" s="505" t="s">
        <v>3795</v>
      </c>
      <c r="C512" s="174" t="str">
        <f t="shared" ref="C512:C514" si="119">HYPERLINK("https://www.gigabyte.com/","Gigabyte")</f>
        <v>Gigabyte</v>
      </c>
      <c r="D512" s="506" t="s">
        <v>3796</v>
      </c>
      <c r="E512" s="507">
        <v>287.0</v>
      </c>
      <c r="F512" s="507">
        <v>123.0</v>
      </c>
      <c r="G512" s="507">
        <v>51.0</v>
      </c>
      <c r="H512" s="507">
        <v>2.0</v>
      </c>
      <c r="I512" s="507">
        <v>2500.0</v>
      </c>
      <c r="J512" s="507">
        <v>20.0</v>
      </c>
      <c r="K512" s="507">
        <v>355.0</v>
      </c>
      <c r="L512" s="266" t="s">
        <v>3460</v>
      </c>
      <c r="M512" s="507">
        <v>3.0</v>
      </c>
      <c r="N512" s="507">
        <v>2.0</v>
      </c>
      <c r="O512" s="507">
        <v>1.0</v>
      </c>
      <c r="P512" s="507">
        <v>1.0</v>
      </c>
      <c r="Q512" s="507" t="s">
        <v>166</v>
      </c>
      <c r="R512" s="507" t="s">
        <v>166</v>
      </c>
      <c r="S512" s="507" t="s">
        <v>166</v>
      </c>
      <c r="T512" s="509"/>
    </row>
    <row r="513">
      <c r="A513" s="504" t="s">
        <v>1664</v>
      </c>
      <c r="B513" s="505" t="s">
        <v>3795</v>
      </c>
      <c r="C513" s="174" t="str">
        <f t="shared" si="119"/>
        <v>Gigabyte</v>
      </c>
      <c r="D513" s="506" t="s">
        <v>3630</v>
      </c>
      <c r="E513" s="507">
        <v>331.0</v>
      </c>
      <c r="F513" s="507">
        <v>138.0</v>
      </c>
      <c r="G513" s="507">
        <v>50.0</v>
      </c>
      <c r="H513" s="507">
        <v>2.0</v>
      </c>
      <c r="I513" s="507">
        <v>2525.0</v>
      </c>
      <c r="J513" s="507">
        <v>20.0</v>
      </c>
      <c r="K513" s="507">
        <v>355.0</v>
      </c>
      <c r="L513" s="266" t="s">
        <v>3460</v>
      </c>
      <c r="M513" s="507">
        <v>3.0</v>
      </c>
      <c r="N513" s="507">
        <v>2.0</v>
      </c>
      <c r="O513" s="507">
        <v>2.0</v>
      </c>
      <c r="P513" s="507" t="s">
        <v>166</v>
      </c>
      <c r="Q513" s="507" t="s">
        <v>166</v>
      </c>
      <c r="R513" s="507" t="s">
        <v>166</v>
      </c>
      <c r="S513" s="507" t="s">
        <v>166</v>
      </c>
      <c r="T513" s="509"/>
    </row>
    <row r="514">
      <c r="A514" s="504" t="s">
        <v>1664</v>
      </c>
      <c r="B514" s="505" t="s">
        <v>3795</v>
      </c>
      <c r="C514" s="174" t="str">
        <f t="shared" si="119"/>
        <v>Gigabyte</v>
      </c>
      <c r="D514" s="506" t="s">
        <v>3711</v>
      </c>
      <c r="E514" s="507">
        <v>335.0</v>
      </c>
      <c r="F514" s="507">
        <v>137.0</v>
      </c>
      <c r="G514" s="507">
        <v>69.0</v>
      </c>
      <c r="H514" s="507">
        <v>2.0</v>
      </c>
      <c r="I514" s="507">
        <v>2680.0</v>
      </c>
      <c r="J514" s="507">
        <v>20.0</v>
      </c>
      <c r="K514" s="507">
        <v>355.0</v>
      </c>
      <c r="L514" s="266" t="s">
        <v>3734</v>
      </c>
      <c r="M514" s="507">
        <v>3.0</v>
      </c>
      <c r="N514" s="507">
        <v>2.0</v>
      </c>
      <c r="O514" s="507">
        <v>2.0</v>
      </c>
      <c r="P514" s="507" t="s">
        <v>166</v>
      </c>
      <c r="Q514" s="507" t="s">
        <v>166</v>
      </c>
      <c r="R514" s="507" t="s">
        <v>166</v>
      </c>
      <c r="S514" s="507" t="s">
        <v>166</v>
      </c>
      <c r="T514" s="509"/>
    </row>
    <row r="515">
      <c r="A515" s="504" t="s">
        <v>1664</v>
      </c>
      <c r="B515" s="505" t="s">
        <v>3795</v>
      </c>
      <c r="C515" s="174" t="str">
        <f>HYPERLINK("https://www.msi.com/index.php","MSI")</f>
        <v>MSI</v>
      </c>
      <c r="D515" s="506" t="s">
        <v>3790</v>
      </c>
      <c r="E515" s="507">
        <v>325.0</v>
      </c>
      <c r="F515" s="507">
        <v>141.0</v>
      </c>
      <c r="G515" s="507">
        <v>56.0</v>
      </c>
      <c r="H515" s="507">
        <v>2.0</v>
      </c>
      <c r="I515" s="507">
        <v>2500.0</v>
      </c>
      <c r="J515" s="507">
        <v>20.0</v>
      </c>
      <c r="K515" s="507">
        <v>355.0</v>
      </c>
      <c r="L515" s="266" t="s">
        <v>3734</v>
      </c>
      <c r="M515" s="507">
        <v>3.0</v>
      </c>
      <c r="N515" s="507">
        <v>3.0</v>
      </c>
      <c r="O515" s="507">
        <v>1.0</v>
      </c>
      <c r="P515" s="507" t="s">
        <v>166</v>
      </c>
      <c r="Q515" s="507" t="s">
        <v>166</v>
      </c>
      <c r="R515" s="507" t="s">
        <v>166</v>
      </c>
      <c r="S515" s="507" t="s">
        <v>166</v>
      </c>
      <c r="T515" s="509"/>
    </row>
    <row r="516">
      <c r="A516" s="504" t="s">
        <v>1664</v>
      </c>
      <c r="B516" s="505" t="s">
        <v>3795</v>
      </c>
      <c r="C516" s="282" t="str">
        <f t="shared" ref="C516:C521" si="120">HYPERLINK("https://www.powercolor.com/","PowerColor")</f>
        <v>PowerColor</v>
      </c>
      <c r="D516" s="506" t="s">
        <v>3796</v>
      </c>
      <c r="E516" s="507">
        <v>287.0</v>
      </c>
      <c r="F516" s="507">
        <v>123.2</v>
      </c>
      <c r="G516" s="507">
        <v>51.25</v>
      </c>
      <c r="H516" s="507">
        <v>2.0</v>
      </c>
      <c r="I516" s="507">
        <v>2500.0</v>
      </c>
      <c r="J516" s="507">
        <v>20.0</v>
      </c>
      <c r="K516" s="507">
        <v>355.0</v>
      </c>
      <c r="L516" s="266" t="s">
        <v>3460</v>
      </c>
      <c r="M516" s="507">
        <v>3.0</v>
      </c>
      <c r="N516" s="507">
        <v>2.0</v>
      </c>
      <c r="O516" s="507">
        <v>1.0</v>
      </c>
      <c r="P516" s="507">
        <v>1.0</v>
      </c>
      <c r="Q516" s="507" t="s">
        <v>166</v>
      </c>
      <c r="R516" s="507" t="s">
        <v>166</v>
      </c>
      <c r="S516" s="507" t="s">
        <v>166</v>
      </c>
      <c r="T516" s="509"/>
    </row>
    <row r="517">
      <c r="A517" s="504" t="s">
        <v>1664</v>
      </c>
      <c r="B517" s="505" t="s">
        <v>3795</v>
      </c>
      <c r="C517" s="282" t="str">
        <f t="shared" si="120"/>
        <v>PowerColor</v>
      </c>
      <c r="D517" s="506" t="s">
        <v>3695</v>
      </c>
      <c r="E517" s="507">
        <v>326.0</v>
      </c>
      <c r="F517" s="507">
        <v>132.0</v>
      </c>
      <c r="G517" s="507">
        <v>62.0</v>
      </c>
      <c r="H517" s="507">
        <v>3.0</v>
      </c>
      <c r="I517" s="507">
        <v>2525.0</v>
      </c>
      <c r="J517" s="507">
        <v>20.0</v>
      </c>
      <c r="K517" s="507">
        <v>355.0</v>
      </c>
      <c r="L517" s="266" t="s">
        <v>3460</v>
      </c>
      <c r="M517" s="507">
        <v>3.0</v>
      </c>
      <c r="N517" s="507">
        <v>3.0</v>
      </c>
      <c r="O517" s="507">
        <v>1.0</v>
      </c>
      <c r="P517" s="507" t="s">
        <v>166</v>
      </c>
      <c r="Q517" s="507" t="s">
        <v>166</v>
      </c>
      <c r="R517" s="507" t="s">
        <v>166</v>
      </c>
      <c r="S517" s="507" t="s">
        <v>166</v>
      </c>
      <c r="T517" s="509"/>
    </row>
    <row r="518">
      <c r="A518" s="504" t="s">
        <v>1664</v>
      </c>
      <c r="B518" s="505" t="s">
        <v>3795</v>
      </c>
      <c r="C518" s="282" t="str">
        <f t="shared" si="120"/>
        <v>PowerColor</v>
      </c>
      <c r="D518" s="506" t="s">
        <v>3704</v>
      </c>
      <c r="E518" s="507">
        <v>326.0</v>
      </c>
      <c r="F518" s="507">
        <v>132.0</v>
      </c>
      <c r="G518" s="507">
        <v>62.0</v>
      </c>
      <c r="H518" s="507">
        <v>3.0</v>
      </c>
      <c r="I518" s="507">
        <v>2525.0</v>
      </c>
      <c r="J518" s="507">
        <v>20.0</v>
      </c>
      <c r="K518" s="507">
        <v>355.0</v>
      </c>
      <c r="L518" s="266" t="s">
        <v>3460</v>
      </c>
      <c r="M518" s="507">
        <v>3.0</v>
      </c>
      <c r="N518" s="507">
        <v>3.0</v>
      </c>
      <c r="O518" s="507">
        <v>1.0</v>
      </c>
      <c r="P518" s="507" t="s">
        <v>166</v>
      </c>
      <c r="Q518" s="507" t="s">
        <v>166</v>
      </c>
      <c r="R518" s="507" t="s">
        <v>166</v>
      </c>
      <c r="S518" s="507" t="s">
        <v>166</v>
      </c>
      <c r="T518" s="509"/>
    </row>
    <row r="519">
      <c r="A519" s="504" t="s">
        <v>1664</v>
      </c>
      <c r="B519" s="505" t="s">
        <v>3795</v>
      </c>
      <c r="C519" s="282" t="str">
        <f t="shared" si="120"/>
        <v>PowerColor</v>
      </c>
      <c r="D519" s="506" t="s">
        <v>3653</v>
      </c>
      <c r="E519" s="507">
        <v>338.0</v>
      </c>
      <c r="F519" s="507">
        <v>135.0</v>
      </c>
      <c r="G519" s="507">
        <v>73.0</v>
      </c>
      <c r="H519" s="507">
        <v>3.0</v>
      </c>
      <c r="I519" s="507">
        <v>2565.0</v>
      </c>
      <c r="J519" s="507">
        <v>20.0</v>
      </c>
      <c r="K519" s="507">
        <v>355.0</v>
      </c>
      <c r="L519" s="266" t="s">
        <v>3734</v>
      </c>
      <c r="M519" s="507">
        <v>3.0</v>
      </c>
      <c r="N519" s="507">
        <v>3.0</v>
      </c>
      <c r="O519" s="507">
        <v>1.0</v>
      </c>
      <c r="P519" s="507" t="s">
        <v>166</v>
      </c>
      <c r="Q519" s="507" t="s">
        <v>166</v>
      </c>
      <c r="R519" s="507" t="s">
        <v>166</v>
      </c>
      <c r="S519" s="507" t="s">
        <v>166</v>
      </c>
      <c r="T519" s="509"/>
    </row>
    <row r="520">
      <c r="A520" s="504" t="s">
        <v>1664</v>
      </c>
      <c r="B520" s="505" t="s">
        <v>3795</v>
      </c>
      <c r="C520" s="282" t="str">
        <f t="shared" si="120"/>
        <v>PowerColor</v>
      </c>
      <c r="D520" s="506" t="s">
        <v>3678</v>
      </c>
      <c r="E520" s="507">
        <v>338.0</v>
      </c>
      <c r="F520" s="507">
        <v>135.0</v>
      </c>
      <c r="G520" s="507">
        <v>73.0</v>
      </c>
      <c r="H520" s="507">
        <v>3.0</v>
      </c>
      <c r="I520" s="507">
        <v>2565.0</v>
      </c>
      <c r="J520" s="507">
        <v>20.0</v>
      </c>
      <c r="K520" s="507">
        <v>355.0</v>
      </c>
      <c r="L520" s="266" t="s">
        <v>3734</v>
      </c>
      <c r="M520" s="507">
        <v>3.0</v>
      </c>
      <c r="N520" s="507">
        <v>3.0</v>
      </c>
      <c r="O520" s="507">
        <v>1.0</v>
      </c>
      <c r="P520" s="507" t="s">
        <v>166</v>
      </c>
      <c r="Q520" s="507" t="s">
        <v>166</v>
      </c>
      <c r="R520" s="507" t="s">
        <v>166</v>
      </c>
      <c r="S520" s="507" t="s">
        <v>166</v>
      </c>
      <c r="T520" s="509"/>
    </row>
    <row r="521">
      <c r="A521" s="504" t="s">
        <v>1664</v>
      </c>
      <c r="B521" s="505" t="s">
        <v>3795</v>
      </c>
      <c r="C521" s="282" t="str">
        <f t="shared" si="120"/>
        <v>PowerColor</v>
      </c>
      <c r="D521" s="506" t="s">
        <v>3738</v>
      </c>
      <c r="E521" s="507">
        <v>288.0</v>
      </c>
      <c r="F521" s="507">
        <v>163.0</v>
      </c>
      <c r="G521" s="507">
        <v>28.0</v>
      </c>
      <c r="H521" s="507">
        <v>1.0</v>
      </c>
      <c r="I521" s="507">
        <v>2680.0</v>
      </c>
      <c r="J521" s="507">
        <v>20.0</v>
      </c>
      <c r="K521" s="507">
        <v>355.0</v>
      </c>
      <c r="L521" s="266" t="s">
        <v>3734</v>
      </c>
      <c r="M521" s="507" t="s">
        <v>166</v>
      </c>
      <c r="N521" s="507">
        <v>3.0</v>
      </c>
      <c r="O521" s="507">
        <v>1.0</v>
      </c>
      <c r="P521" s="507" t="s">
        <v>166</v>
      </c>
      <c r="Q521" s="507" t="s">
        <v>166</v>
      </c>
      <c r="R521" s="507" t="s">
        <v>174</v>
      </c>
      <c r="S521" s="507" t="s">
        <v>166</v>
      </c>
      <c r="T521" s="509"/>
    </row>
    <row r="522">
      <c r="A522" s="504" t="s">
        <v>1664</v>
      </c>
      <c r="B522" s="505" t="s">
        <v>3795</v>
      </c>
      <c r="C522" s="282" t="str">
        <f t="shared" ref="C522:C524" si="121">HYPERLINK("https://www.sapphiretech.com/","Sapphire")</f>
        <v>Sapphire</v>
      </c>
      <c r="D522" s="506" t="s">
        <v>3796</v>
      </c>
      <c r="E522" s="507">
        <v>287.0</v>
      </c>
      <c r="F522" s="507">
        <v>123.2</v>
      </c>
      <c r="G522" s="507">
        <v>51.25</v>
      </c>
      <c r="H522" s="507">
        <v>2.0</v>
      </c>
      <c r="I522" s="507">
        <v>2500.0</v>
      </c>
      <c r="J522" s="507">
        <v>20.0</v>
      </c>
      <c r="K522" s="507">
        <v>346.0</v>
      </c>
      <c r="L522" s="266" t="s">
        <v>3460</v>
      </c>
      <c r="M522" s="507">
        <v>3.0</v>
      </c>
      <c r="N522" s="507">
        <v>2.0</v>
      </c>
      <c r="O522" s="507">
        <v>1.0</v>
      </c>
      <c r="P522" s="507">
        <v>1.0</v>
      </c>
      <c r="Q522" s="507" t="s">
        <v>166</v>
      </c>
      <c r="R522" s="507" t="s">
        <v>166</v>
      </c>
      <c r="S522" s="507" t="s">
        <v>166</v>
      </c>
      <c r="T522" s="509"/>
    </row>
    <row r="523">
      <c r="A523" s="504" t="s">
        <v>1664</v>
      </c>
      <c r="B523" s="505" t="s">
        <v>3795</v>
      </c>
      <c r="C523" s="282" t="str">
        <f t="shared" si="121"/>
        <v>Sapphire</v>
      </c>
      <c r="D523" s="506" t="s">
        <v>3376</v>
      </c>
      <c r="E523" s="507">
        <v>313.0</v>
      </c>
      <c r="F523" s="507">
        <v>133.75</v>
      </c>
      <c r="G523" s="507">
        <v>52.67</v>
      </c>
      <c r="H523" s="507">
        <v>2.0</v>
      </c>
      <c r="I523" s="507">
        <v>2525.0</v>
      </c>
      <c r="J523" s="507">
        <v>20.0</v>
      </c>
      <c r="K523" s="507">
        <v>370.0</v>
      </c>
      <c r="L523" s="266" t="s">
        <v>3734</v>
      </c>
      <c r="M523" s="507">
        <v>3.0</v>
      </c>
      <c r="N523" s="507">
        <v>2.0</v>
      </c>
      <c r="O523" s="507">
        <v>2.0</v>
      </c>
      <c r="P523" s="507" t="s">
        <v>166</v>
      </c>
      <c r="Q523" s="507" t="s">
        <v>166</v>
      </c>
      <c r="R523" s="507" t="s">
        <v>166</v>
      </c>
      <c r="S523" s="507" t="s">
        <v>166</v>
      </c>
      <c r="T523" s="509"/>
    </row>
    <row r="524">
      <c r="A524" s="504" t="s">
        <v>1664</v>
      </c>
      <c r="B524" s="505" t="s">
        <v>3795</v>
      </c>
      <c r="C524" s="282" t="str">
        <f t="shared" si="121"/>
        <v>Sapphire</v>
      </c>
      <c r="D524" s="506" t="s">
        <v>3791</v>
      </c>
      <c r="E524" s="507">
        <v>320.0</v>
      </c>
      <c r="F524" s="507">
        <v>135.75</v>
      </c>
      <c r="G524" s="507">
        <v>71.6</v>
      </c>
      <c r="H524" s="507">
        <v>3.0</v>
      </c>
      <c r="I524" s="507">
        <v>2680.0</v>
      </c>
      <c r="J524" s="507">
        <v>20.0</v>
      </c>
      <c r="K524" s="507">
        <v>420.0</v>
      </c>
      <c r="L524" s="266" t="s">
        <v>3734</v>
      </c>
      <c r="M524" s="507">
        <v>3.0</v>
      </c>
      <c r="N524" s="507">
        <v>2.0</v>
      </c>
      <c r="O524" s="507">
        <v>2.0</v>
      </c>
      <c r="P524" s="507" t="s">
        <v>166</v>
      </c>
      <c r="Q524" s="507" t="s">
        <v>166</v>
      </c>
      <c r="R524" s="507" t="s">
        <v>166</v>
      </c>
      <c r="S524" s="507" t="s">
        <v>166</v>
      </c>
      <c r="T524" s="509"/>
    </row>
    <row r="525">
      <c r="A525" s="504" t="s">
        <v>1664</v>
      </c>
      <c r="B525" s="505" t="s">
        <v>3795</v>
      </c>
      <c r="C525" s="282" t="str">
        <f t="shared" ref="C525:C526" si="122">HYPERLINK("https://www.xfxforce.com/","XFX")</f>
        <v>XFX</v>
      </c>
      <c r="D525" s="506" t="s">
        <v>3796</v>
      </c>
      <c r="E525" s="507">
        <v>287.0</v>
      </c>
      <c r="F525" s="507">
        <v>123.0</v>
      </c>
      <c r="G525" s="507">
        <v>51.2</v>
      </c>
      <c r="H525" s="507">
        <v>2.0</v>
      </c>
      <c r="I525" s="507">
        <v>2500.0</v>
      </c>
      <c r="J525" s="507">
        <v>20.0</v>
      </c>
      <c r="K525" s="507">
        <v>355.0</v>
      </c>
      <c r="L525" s="266" t="s">
        <v>3460</v>
      </c>
      <c r="M525" s="507">
        <v>3.0</v>
      </c>
      <c r="N525" s="507">
        <v>2.0</v>
      </c>
      <c r="O525" s="507">
        <v>1.0</v>
      </c>
      <c r="P525" s="507">
        <v>1.0</v>
      </c>
      <c r="Q525" s="507" t="s">
        <v>166</v>
      </c>
      <c r="R525" s="507" t="s">
        <v>166</v>
      </c>
      <c r="S525" s="507" t="s">
        <v>166</v>
      </c>
      <c r="T525" s="509"/>
    </row>
    <row r="526">
      <c r="A526" s="504" t="s">
        <v>1664</v>
      </c>
      <c r="B526" s="505" t="s">
        <v>3795</v>
      </c>
      <c r="C526" s="282" t="str">
        <f t="shared" si="122"/>
        <v>XFX</v>
      </c>
      <c r="D526" s="506" t="s">
        <v>3793</v>
      </c>
      <c r="E526" s="507">
        <v>344.0</v>
      </c>
      <c r="F526" s="507">
        <v>128.0</v>
      </c>
      <c r="G526" s="507">
        <v>57.0</v>
      </c>
      <c r="H526" s="507">
        <v>2.0</v>
      </c>
      <c r="I526" s="507">
        <v>2615.0</v>
      </c>
      <c r="J526" s="507">
        <v>20.0</v>
      </c>
      <c r="K526" s="507">
        <v>339.0</v>
      </c>
      <c r="L526" s="266" t="s">
        <v>3734</v>
      </c>
      <c r="M526" s="507">
        <v>3.0</v>
      </c>
      <c r="N526" s="507">
        <v>3.0</v>
      </c>
      <c r="O526" s="507">
        <v>1.0</v>
      </c>
      <c r="P526" s="507" t="s">
        <v>166</v>
      </c>
      <c r="Q526" s="507" t="s">
        <v>166</v>
      </c>
      <c r="R526" s="507" t="s">
        <v>166</v>
      </c>
      <c r="S526" s="507" t="s">
        <v>166</v>
      </c>
      <c r="T526" s="509"/>
    </row>
    <row r="527">
      <c r="A527" s="538" t="s">
        <v>1664</v>
      </c>
      <c r="B527" s="539" t="s">
        <v>3795</v>
      </c>
      <c r="C527" s="391" t="s">
        <v>3378</v>
      </c>
      <c r="D527" s="391" t="s">
        <v>3794</v>
      </c>
      <c r="E527" s="519">
        <v>330.0</v>
      </c>
      <c r="F527" s="519">
        <v>137.0</v>
      </c>
      <c r="G527" s="519">
        <v>60.0</v>
      </c>
      <c r="H527" s="519">
        <v>2.0</v>
      </c>
      <c r="I527" s="519">
        <v>2500.0</v>
      </c>
      <c r="J527" s="519">
        <v>20.0</v>
      </c>
      <c r="K527" s="519">
        <v>355.0</v>
      </c>
      <c r="L527" s="501" t="s">
        <v>3460</v>
      </c>
      <c r="M527" s="519">
        <v>3.0</v>
      </c>
      <c r="N527" s="519">
        <v>3.0</v>
      </c>
      <c r="O527" s="519">
        <v>1.0</v>
      </c>
      <c r="P527" s="519" t="s">
        <v>166</v>
      </c>
      <c r="Q527" s="519" t="s">
        <v>166</v>
      </c>
      <c r="R527" s="519" t="s">
        <v>166</v>
      </c>
      <c r="S527" s="519" t="s">
        <v>166</v>
      </c>
      <c r="T527" s="541"/>
    </row>
    <row r="528">
      <c r="A528" s="504" t="s">
        <v>1688</v>
      </c>
      <c r="B528" s="505" t="s">
        <v>3395</v>
      </c>
      <c r="C528" s="282" t="s">
        <v>3799</v>
      </c>
      <c r="D528" s="544" t="s">
        <v>3800</v>
      </c>
      <c r="E528" s="507">
        <v>221.0</v>
      </c>
      <c r="F528" s="507">
        <v>120.0</v>
      </c>
      <c r="G528" s="507">
        <v>42.0</v>
      </c>
      <c r="H528" s="507">
        <v>2.0</v>
      </c>
      <c r="I528" s="507">
        <v>2000.0</v>
      </c>
      <c r="J528" s="507">
        <v>15.5</v>
      </c>
      <c r="K528" s="507">
        <v>75.0</v>
      </c>
      <c r="L528" s="507" t="s">
        <v>166</v>
      </c>
      <c r="M528" s="507">
        <v>2.0</v>
      </c>
      <c r="N528" s="507">
        <v>3.0</v>
      </c>
      <c r="O528" s="507">
        <v>1.0</v>
      </c>
      <c r="P528" s="507" t="s">
        <v>166</v>
      </c>
      <c r="Q528" s="507" t="s">
        <v>166</v>
      </c>
      <c r="R528" s="507" t="s">
        <v>166</v>
      </c>
      <c r="S528" s="507" t="s">
        <v>166</v>
      </c>
      <c r="T528" s="509"/>
    </row>
    <row r="529">
      <c r="A529" s="538" t="s">
        <v>1688</v>
      </c>
      <c r="B529" s="539" t="s">
        <v>3395</v>
      </c>
      <c r="C529" s="290" t="s">
        <v>3799</v>
      </c>
      <c r="D529" s="549" t="s">
        <v>3801</v>
      </c>
      <c r="E529" s="519">
        <v>222.0</v>
      </c>
      <c r="F529" s="519">
        <v>114.0</v>
      </c>
      <c r="G529" s="519">
        <v>42.0</v>
      </c>
      <c r="H529" s="519">
        <v>2.0</v>
      </c>
      <c r="I529" s="519">
        <v>2450.0</v>
      </c>
      <c r="J529" s="519">
        <v>15.5</v>
      </c>
      <c r="K529" s="519">
        <v>92.0</v>
      </c>
      <c r="L529" s="519">
        <v>8.0</v>
      </c>
      <c r="M529" s="519">
        <v>2.0</v>
      </c>
      <c r="N529" s="519">
        <v>3.0</v>
      </c>
      <c r="O529" s="519">
        <v>1.0</v>
      </c>
      <c r="P529" s="519" t="s">
        <v>166</v>
      </c>
      <c r="Q529" s="519" t="s">
        <v>166</v>
      </c>
      <c r="R529" s="519" t="s">
        <v>166</v>
      </c>
      <c r="S529" s="519" t="s">
        <v>166</v>
      </c>
      <c r="T529" s="541"/>
    </row>
    <row r="530">
      <c r="A530" s="504" t="s">
        <v>1688</v>
      </c>
      <c r="B530" s="505" t="s">
        <v>3802</v>
      </c>
      <c r="C530" s="282" t="s">
        <v>3770</v>
      </c>
      <c r="D530" s="544" t="s">
        <v>3779</v>
      </c>
      <c r="E530" s="507">
        <v>267.0</v>
      </c>
      <c r="F530" s="507">
        <v>117.5</v>
      </c>
      <c r="G530" s="507">
        <v>40.0</v>
      </c>
      <c r="H530" s="507">
        <v>2.0</v>
      </c>
      <c r="I530" s="507">
        <v>2200.0</v>
      </c>
      <c r="J530" s="507">
        <v>16.0</v>
      </c>
      <c r="K530" s="507">
        <v>225.0</v>
      </c>
      <c r="L530" s="507" t="s">
        <v>3460</v>
      </c>
      <c r="M530" s="507">
        <v>2.0</v>
      </c>
      <c r="N530" s="507">
        <v>3.0</v>
      </c>
      <c r="O530" s="507">
        <v>1.0</v>
      </c>
      <c r="P530" s="507" t="s">
        <v>166</v>
      </c>
      <c r="Q530" s="507" t="s">
        <v>166</v>
      </c>
      <c r="R530" s="507" t="s">
        <v>166</v>
      </c>
      <c r="S530" s="507" t="s">
        <v>166</v>
      </c>
      <c r="T530" s="509"/>
    </row>
    <row r="531">
      <c r="A531" s="504" t="s">
        <v>1688</v>
      </c>
      <c r="B531" s="505" t="s">
        <v>3802</v>
      </c>
      <c r="C531" s="282" t="str">
        <f>HYPERLINK("https://www.asrock.com/","ASRock")</f>
        <v>ASRock</v>
      </c>
      <c r="D531" s="544" t="s">
        <v>3636</v>
      </c>
      <c r="E531" s="507">
        <v>271.0</v>
      </c>
      <c r="F531" s="507">
        <v>132.0</v>
      </c>
      <c r="G531" s="507">
        <v>48.0</v>
      </c>
      <c r="H531" s="507">
        <v>2.0</v>
      </c>
      <c r="I531" s="507">
        <v>2200.0</v>
      </c>
      <c r="J531" s="507">
        <v>16.0</v>
      </c>
      <c r="K531" s="507">
        <v>225.0</v>
      </c>
      <c r="L531" s="507" t="s">
        <v>3460</v>
      </c>
      <c r="M531" s="507">
        <v>2.0</v>
      </c>
      <c r="N531" s="507">
        <v>2.0</v>
      </c>
      <c r="O531" s="507">
        <v>2.0</v>
      </c>
      <c r="P531" s="507" t="s">
        <v>166</v>
      </c>
      <c r="Q531" s="507" t="s">
        <v>166</v>
      </c>
      <c r="R531" s="507" t="s">
        <v>166</v>
      </c>
      <c r="S531" s="507" t="s">
        <v>166</v>
      </c>
      <c r="T531" s="509"/>
    </row>
    <row r="532">
      <c r="A532" s="504" t="s">
        <v>1688</v>
      </c>
      <c r="B532" s="505" t="s">
        <v>3802</v>
      </c>
      <c r="C532" s="282" t="s">
        <v>3799</v>
      </c>
      <c r="D532" s="544" t="s">
        <v>3801</v>
      </c>
      <c r="E532" s="507">
        <v>300.0</v>
      </c>
      <c r="F532" s="507">
        <v>118.5</v>
      </c>
      <c r="G532" s="507">
        <v>50.0</v>
      </c>
      <c r="H532" s="507">
        <v>2.0</v>
      </c>
      <c r="I532" s="507">
        <v>2400.0</v>
      </c>
      <c r="J532" s="507">
        <v>16.0</v>
      </c>
      <c r="K532" s="507">
        <v>195.0</v>
      </c>
      <c r="L532" s="507" t="s">
        <v>3460</v>
      </c>
      <c r="M532" s="507">
        <v>3.0</v>
      </c>
      <c r="N532" s="507">
        <v>3.0</v>
      </c>
      <c r="O532" s="507">
        <v>1.0</v>
      </c>
      <c r="P532" s="507" t="s">
        <v>166</v>
      </c>
      <c r="Q532" s="507" t="s">
        <v>166</v>
      </c>
      <c r="R532" s="507" t="s">
        <v>166</v>
      </c>
      <c r="S532" s="507" t="s">
        <v>166</v>
      </c>
      <c r="T532" s="509"/>
    </row>
    <row r="533">
      <c r="A533" s="504" t="s">
        <v>1688</v>
      </c>
      <c r="B533" s="505" t="s">
        <v>3802</v>
      </c>
      <c r="C533" s="282" t="s">
        <v>1688</v>
      </c>
      <c r="D533" s="544" t="s">
        <v>3803</v>
      </c>
      <c r="E533" s="507">
        <v>267.0</v>
      </c>
      <c r="F533" s="507">
        <v>111.0</v>
      </c>
      <c r="G533" s="507">
        <v>40.0</v>
      </c>
      <c r="H533" s="507">
        <v>2.0</v>
      </c>
      <c r="I533" s="507">
        <v>2050.0</v>
      </c>
      <c r="J533" s="507">
        <v>16.0</v>
      </c>
      <c r="K533" s="507">
        <v>225.0</v>
      </c>
      <c r="L533" s="507" t="s">
        <v>3361</v>
      </c>
      <c r="M533" s="507">
        <v>2.0</v>
      </c>
      <c r="N533" s="507">
        <v>3.0</v>
      </c>
      <c r="O533" s="507">
        <v>1.0</v>
      </c>
      <c r="P533" s="507" t="s">
        <v>166</v>
      </c>
      <c r="Q533" s="507" t="s">
        <v>166</v>
      </c>
      <c r="R533" s="507" t="s">
        <v>166</v>
      </c>
      <c r="S533" s="507" t="s">
        <v>166</v>
      </c>
      <c r="T533" s="509"/>
    </row>
    <row r="534">
      <c r="A534" s="504" t="s">
        <v>1688</v>
      </c>
      <c r="B534" s="505" t="s">
        <v>3802</v>
      </c>
      <c r="C534" s="282" t="s">
        <v>3399</v>
      </c>
      <c r="D534" s="544" t="s">
        <v>3804</v>
      </c>
      <c r="E534" s="507">
        <v>222.0</v>
      </c>
      <c r="F534" s="507">
        <v>116.0</v>
      </c>
      <c r="G534" s="507">
        <v>44.0</v>
      </c>
      <c r="H534" s="507">
        <v>2.0</v>
      </c>
      <c r="I534" s="507">
        <v>2200.0</v>
      </c>
      <c r="J534" s="507">
        <v>16.0</v>
      </c>
      <c r="K534" s="507">
        <v>225.0</v>
      </c>
      <c r="L534" s="507" t="s">
        <v>3460</v>
      </c>
      <c r="M534" s="507">
        <v>2.0</v>
      </c>
      <c r="N534" s="507">
        <v>3.0</v>
      </c>
      <c r="O534" s="507">
        <v>1.0</v>
      </c>
      <c r="P534" s="507" t="s">
        <v>166</v>
      </c>
      <c r="Q534" s="507" t="s">
        <v>166</v>
      </c>
      <c r="R534" s="507" t="s">
        <v>166</v>
      </c>
      <c r="S534" s="507" t="s">
        <v>166</v>
      </c>
      <c r="T534" s="509"/>
    </row>
    <row r="535">
      <c r="A535" s="538" t="s">
        <v>1688</v>
      </c>
      <c r="B535" s="539" t="s">
        <v>3802</v>
      </c>
      <c r="C535" s="290" t="s">
        <v>3399</v>
      </c>
      <c r="D535" s="549" t="s">
        <v>3805</v>
      </c>
      <c r="E535" s="519">
        <v>305.5</v>
      </c>
      <c r="F535" s="519">
        <v>118.4</v>
      </c>
      <c r="G535" s="519">
        <v>50.0</v>
      </c>
      <c r="H535" s="519">
        <v>2.0</v>
      </c>
      <c r="I535" s="519">
        <v>2300.0</v>
      </c>
      <c r="J535" s="519">
        <v>16.0</v>
      </c>
      <c r="K535" s="519">
        <v>225.0</v>
      </c>
      <c r="L535" s="519" t="s">
        <v>3460</v>
      </c>
      <c r="M535" s="519">
        <v>3.0</v>
      </c>
      <c r="N535" s="519">
        <v>3.0</v>
      </c>
      <c r="O535" s="519">
        <v>1.0</v>
      </c>
      <c r="P535" s="519" t="s">
        <v>166</v>
      </c>
      <c r="Q535" s="519" t="s">
        <v>166</v>
      </c>
      <c r="R535" s="519" t="s">
        <v>166</v>
      </c>
      <c r="S535" s="519" t="s">
        <v>166</v>
      </c>
      <c r="T535" s="541"/>
    </row>
    <row r="536">
      <c r="A536" s="504" t="s">
        <v>1688</v>
      </c>
      <c r="B536" s="505" t="s">
        <v>3806</v>
      </c>
      <c r="C536" s="282" t="str">
        <f>HYPERLINK("https://www.asrock.com/","ASRock")</f>
        <v>ASRock</v>
      </c>
      <c r="D536" s="544" t="s">
        <v>3657</v>
      </c>
      <c r="E536" s="507">
        <v>305.0</v>
      </c>
      <c r="F536" s="507">
        <v>131.0</v>
      </c>
      <c r="G536" s="507">
        <v>56.0</v>
      </c>
      <c r="H536" s="507">
        <v>2.0</v>
      </c>
      <c r="I536" s="507">
        <v>2200.0</v>
      </c>
      <c r="J536" s="507">
        <v>16.0</v>
      </c>
      <c r="K536" s="507">
        <v>225.0</v>
      </c>
      <c r="L536" s="507" t="s">
        <v>3460</v>
      </c>
      <c r="M536" s="507">
        <v>3.0</v>
      </c>
      <c r="N536" s="507">
        <v>3.0</v>
      </c>
      <c r="O536" s="507">
        <v>1.0</v>
      </c>
      <c r="P536" s="507" t="s">
        <v>166</v>
      </c>
      <c r="Q536" s="507" t="s">
        <v>166</v>
      </c>
      <c r="R536" s="507" t="s">
        <v>166</v>
      </c>
      <c r="S536" s="507" t="s">
        <v>166</v>
      </c>
      <c r="T536" s="509"/>
    </row>
    <row r="537">
      <c r="A537" s="504" t="s">
        <v>1688</v>
      </c>
      <c r="B537" s="505" t="s">
        <v>3806</v>
      </c>
      <c r="C537" s="282" t="s">
        <v>3799</v>
      </c>
      <c r="D537" s="544" t="s">
        <v>3807</v>
      </c>
      <c r="E537" s="507">
        <v>300.0</v>
      </c>
      <c r="F537" s="507">
        <v>125.0</v>
      </c>
      <c r="G537" s="507">
        <v>51.0</v>
      </c>
      <c r="H537" s="507">
        <v>2.0</v>
      </c>
      <c r="I537" s="507">
        <v>2400.0</v>
      </c>
      <c r="J537" s="507">
        <v>16.0</v>
      </c>
      <c r="K537" s="507">
        <v>225.0</v>
      </c>
      <c r="L537" s="507" t="s">
        <v>3460</v>
      </c>
      <c r="M537" s="507">
        <v>3.0</v>
      </c>
      <c r="N537" s="507">
        <v>3.0</v>
      </c>
      <c r="O537" s="507">
        <v>1.0</v>
      </c>
      <c r="P537" s="507" t="s">
        <v>166</v>
      </c>
      <c r="Q537" s="507" t="s">
        <v>166</v>
      </c>
      <c r="R537" s="507" t="s">
        <v>166</v>
      </c>
      <c r="S537" s="507" t="s">
        <v>166</v>
      </c>
      <c r="T537" s="509"/>
    </row>
    <row r="538">
      <c r="A538" s="538" t="s">
        <v>1688</v>
      </c>
      <c r="B538" s="539" t="s">
        <v>3806</v>
      </c>
      <c r="C538" s="290" t="s">
        <v>3799</v>
      </c>
      <c r="D538" s="549" t="s">
        <v>3808</v>
      </c>
      <c r="E538" s="519">
        <v>300.0</v>
      </c>
      <c r="F538" s="519">
        <v>125.0</v>
      </c>
      <c r="G538" s="519">
        <v>51.0</v>
      </c>
      <c r="H538" s="519">
        <v>2.0</v>
      </c>
      <c r="I538" s="519">
        <v>2400.0</v>
      </c>
      <c r="J538" s="519">
        <v>16.0</v>
      </c>
      <c r="K538" s="519">
        <v>225.0</v>
      </c>
      <c r="L538" s="519" t="s">
        <v>3460</v>
      </c>
      <c r="M538" s="519">
        <v>3.0</v>
      </c>
      <c r="N538" s="519">
        <v>3.0</v>
      </c>
      <c r="O538" s="519">
        <v>1.0</v>
      </c>
      <c r="P538" s="519" t="s">
        <v>166</v>
      </c>
      <c r="Q538" s="519" t="s">
        <v>166</v>
      </c>
      <c r="R538" s="519" t="s">
        <v>166</v>
      </c>
      <c r="S538" s="519" t="s">
        <v>166</v>
      </c>
      <c r="T538" s="541"/>
    </row>
    <row r="539">
      <c r="A539" s="504" t="s">
        <v>1688</v>
      </c>
      <c r="B539" s="505" t="s">
        <v>3809</v>
      </c>
      <c r="C539" s="282" t="s">
        <v>3770</v>
      </c>
      <c r="D539" s="544" t="s">
        <v>3779</v>
      </c>
      <c r="E539" s="507">
        <v>267.0</v>
      </c>
      <c r="F539" s="507">
        <v>117.5</v>
      </c>
      <c r="G539" s="507">
        <v>40.0</v>
      </c>
      <c r="H539" s="507">
        <v>2.0</v>
      </c>
      <c r="I539" s="507">
        <v>2400.0</v>
      </c>
      <c r="J539" s="507">
        <v>17.5</v>
      </c>
      <c r="K539" s="507">
        <v>225.0</v>
      </c>
      <c r="L539" s="507" t="s">
        <v>3460</v>
      </c>
      <c r="M539" s="507">
        <v>2.0</v>
      </c>
      <c r="N539" s="507">
        <v>3.0</v>
      </c>
      <c r="O539" s="507">
        <v>1.0</v>
      </c>
      <c r="P539" s="507" t="s">
        <v>166</v>
      </c>
      <c r="Q539" s="507" t="s">
        <v>166</v>
      </c>
      <c r="R539" s="507" t="s">
        <v>166</v>
      </c>
      <c r="S539" s="507" t="s">
        <v>166</v>
      </c>
      <c r="T539" s="509"/>
    </row>
    <row r="540">
      <c r="A540" s="504" t="s">
        <v>1688</v>
      </c>
      <c r="B540" s="505" t="s">
        <v>3809</v>
      </c>
      <c r="C540" s="282" t="str">
        <f>HYPERLINK("https://www.asrock.com/","ASRock")</f>
        <v>ASRock</v>
      </c>
      <c r="D540" s="544" t="s">
        <v>3763</v>
      </c>
      <c r="E540" s="507">
        <v>305.0</v>
      </c>
      <c r="F540" s="507">
        <v>131.0</v>
      </c>
      <c r="G540" s="507">
        <v>56.0</v>
      </c>
      <c r="H540" s="507">
        <v>2.0</v>
      </c>
      <c r="I540" s="507">
        <v>2200.0</v>
      </c>
      <c r="J540" s="507">
        <v>17.5</v>
      </c>
      <c r="K540" s="507">
        <v>225.0</v>
      </c>
      <c r="L540" s="507" t="s">
        <v>3460</v>
      </c>
      <c r="M540" s="507">
        <v>3.0</v>
      </c>
      <c r="N540" s="507">
        <v>3.0</v>
      </c>
      <c r="O540" s="507">
        <v>1.0</v>
      </c>
      <c r="P540" s="507" t="s">
        <v>166</v>
      </c>
      <c r="Q540" s="507" t="s">
        <v>166</v>
      </c>
      <c r="R540" s="507" t="s">
        <v>166</v>
      </c>
      <c r="S540" s="507" t="s">
        <v>166</v>
      </c>
      <c r="T540" s="509"/>
    </row>
    <row r="541">
      <c r="A541" s="504" t="s">
        <v>1688</v>
      </c>
      <c r="B541" s="505" t="s">
        <v>3809</v>
      </c>
      <c r="C541" s="282" t="s">
        <v>1688</v>
      </c>
      <c r="D541" s="544" t="s">
        <v>3803</v>
      </c>
      <c r="E541" s="507">
        <v>267.0</v>
      </c>
      <c r="F541" s="507">
        <v>111.0</v>
      </c>
      <c r="G541" s="507">
        <v>40.0</v>
      </c>
      <c r="H541" s="507">
        <v>2.0</v>
      </c>
      <c r="I541" s="507">
        <v>2100.0</v>
      </c>
      <c r="J541" s="507">
        <v>17.5</v>
      </c>
      <c r="K541" s="507">
        <v>225.0</v>
      </c>
      <c r="L541" s="507" t="s">
        <v>3361</v>
      </c>
      <c r="M541" s="507">
        <v>2.0</v>
      </c>
      <c r="N541" s="507">
        <v>3.0</v>
      </c>
      <c r="O541" s="507">
        <v>1.0</v>
      </c>
      <c r="P541" s="507" t="s">
        <v>166</v>
      </c>
      <c r="Q541" s="507" t="s">
        <v>166</v>
      </c>
      <c r="R541" s="507" t="s">
        <v>166</v>
      </c>
      <c r="S541" s="507" t="s">
        <v>166</v>
      </c>
      <c r="T541" s="509"/>
    </row>
    <row r="542">
      <c r="A542" s="538" t="s">
        <v>1688</v>
      </c>
      <c r="B542" s="539" t="s">
        <v>3809</v>
      </c>
      <c r="C542" s="290" t="s">
        <v>3399</v>
      </c>
      <c r="D542" s="549" t="s">
        <v>3805</v>
      </c>
      <c r="E542" s="519">
        <v>305.5</v>
      </c>
      <c r="F542" s="519">
        <v>118.4</v>
      </c>
      <c r="G542" s="519">
        <v>50.0</v>
      </c>
      <c r="H542" s="519">
        <v>2.0</v>
      </c>
      <c r="I542" s="519">
        <v>2300.0</v>
      </c>
      <c r="J542" s="519">
        <v>17.5</v>
      </c>
      <c r="K542" s="519">
        <v>225.0</v>
      </c>
      <c r="L542" s="519" t="s">
        <v>3460</v>
      </c>
      <c r="M542" s="519">
        <v>3.0</v>
      </c>
      <c r="N542" s="519">
        <v>3.0</v>
      </c>
      <c r="O542" s="519">
        <v>1.0</v>
      </c>
      <c r="P542" s="519" t="s">
        <v>166</v>
      </c>
      <c r="Q542" s="519" t="s">
        <v>166</v>
      </c>
      <c r="R542" s="519" t="s">
        <v>166</v>
      </c>
      <c r="S542" s="519" t="s">
        <v>166</v>
      </c>
      <c r="T542" s="541"/>
    </row>
    <row r="543">
      <c r="A543" s="504" t="s">
        <v>3401</v>
      </c>
      <c r="B543" s="505" t="s">
        <v>3459</v>
      </c>
      <c r="C543" s="282" t="str">
        <f t="shared" ref="C543:C546" si="123">HYPERLINK("https://www.asus.com/","Asus")</f>
        <v>Asus</v>
      </c>
      <c r="D543" s="506" t="s">
        <v>3810</v>
      </c>
      <c r="E543" s="507">
        <v>266.7</v>
      </c>
      <c r="F543" s="507">
        <v>111.2</v>
      </c>
      <c r="G543" s="507">
        <v>38.1</v>
      </c>
      <c r="H543" s="507">
        <v>2.0</v>
      </c>
      <c r="I543" s="507">
        <v>1582.0</v>
      </c>
      <c r="J543" s="507">
        <v>11.0</v>
      </c>
      <c r="K543" s="507">
        <v>250.0</v>
      </c>
      <c r="L543" s="507" t="s">
        <v>3361</v>
      </c>
      <c r="M543" s="507">
        <v>1.0</v>
      </c>
      <c r="N543" s="507">
        <v>2.0</v>
      </c>
      <c r="O543" s="507">
        <v>2.0</v>
      </c>
      <c r="P543" s="507" t="s">
        <v>166</v>
      </c>
      <c r="Q543" s="507" t="s">
        <v>166</v>
      </c>
      <c r="R543" s="507" t="s">
        <v>166</v>
      </c>
      <c r="S543" s="507" t="s">
        <v>174</v>
      </c>
      <c r="T543" s="509"/>
    </row>
    <row r="544">
      <c r="A544" s="504" t="s">
        <v>3401</v>
      </c>
      <c r="B544" s="505" t="s">
        <v>3459</v>
      </c>
      <c r="C544" s="282" t="str">
        <f t="shared" si="123"/>
        <v>Asus</v>
      </c>
      <c r="D544" s="506" t="s">
        <v>3631</v>
      </c>
      <c r="E544" s="507">
        <v>298.0</v>
      </c>
      <c r="F544" s="507">
        <v>134.0</v>
      </c>
      <c r="G544" s="507">
        <v>52.5</v>
      </c>
      <c r="H544" s="507">
        <v>2.0</v>
      </c>
      <c r="I544" s="507">
        <v>1632.0</v>
      </c>
      <c r="J544" s="507">
        <v>11.1</v>
      </c>
      <c r="K544" s="507">
        <v>300.0</v>
      </c>
      <c r="L544" s="507" t="s">
        <v>3460</v>
      </c>
      <c r="M544" s="507">
        <v>3.0</v>
      </c>
      <c r="N544" s="507">
        <v>2.0</v>
      </c>
      <c r="O544" s="507">
        <v>2.0</v>
      </c>
      <c r="P544" s="507" t="s">
        <v>166</v>
      </c>
      <c r="Q544" s="507">
        <v>1.0</v>
      </c>
      <c r="R544" s="507" t="s">
        <v>166</v>
      </c>
      <c r="S544" s="507" t="s">
        <v>166</v>
      </c>
      <c r="T544" s="509"/>
    </row>
    <row r="545">
      <c r="A545" s="504" t="s">
        <v>3401</v>
      </c>
      <c r="B545" s="505" t="s">
        <v>3459</v>
      </c>
      <c r="C545" s="282" t="str">
        <f t="shared" si="123"/>
        <v>Asus</v>
      </c>
      <c r="D545" s="452" t="s">
        <v>3643</v>
      </c>
      <c r="E545" s="507">
        <v>298.0</v>
      </c>
      <c r="F545" s="507">
        <v>134.0</v>
      </c>
      <c r="G545" s="507">
        <v>52.5</v>
      </c>
      <c r="H545" s="507">
        <v>2.0</v>
      </c>
      <c r="I545" s="266">
        <v>1708.0</v>
      </c>
      <c r="J545" s="507">
        <v>11.1</v>
      </c>
      <c r="K545" s="507">
        <v>300.0</v>
      </c>
      <c r="L545" s="507" t="s">
        <v>3460</v>
      </c>
      <c r="M545" s="266">
        <v>3.0</v>
      </c>
      <c r="N545" s="266">
        <v>2.0</v>
      </c>
      <c r="O545" s="266">
        <v>2.0</v>
      </c>
      <c r="P545" s="266" t="s">
        <v>166</v>
      </c>
      <c r="Q545" s="266">
        <v>1.0</v>
      </c>
      <c r="R545" s="266" t="s">
        <v>166</v>
      </c>
      <c r="S545" s="266" t="s">
        <v>166</v>
      </c>
      <c r="T545" s="496"/>
    </row>
    <row r="546">
      <c r="A546" s="504" t="s">
        <v>3401</v>
      </c>
      <c r="B546" s="505" t="s">
        <v>3459</v>
      </c>
      <c r="C546" s="282" t="str">
        <f t="shared" si="123"/>
        <v>Asus</v>
      </c>
      <c r="D546" s="506" t="s">
        <v>3811</v>
      </c>
      <c r="E546" s="507">
        <v>298.0</v>
      </c>
      <c r="F546" s="507">
        <v>158.0</v>
      </c>
      <c r="G546" s="507">
        <v>50.0</v>
      </c>
      <c r="H546" s="507">
        <v>2.0</v>
      </c>
      <c r="I546" s="507">
        <v>1733.0</v>
      </c>
      <c r="J546" s="507">
        <v>11.1</v>
      </c>
      <c r="K546" s="507">
        <v>300.0</v>
      </c>
      <c r="L546" s="507" t="s">
        <v>3460</v>
      </c>
      <c r="M546" s="507">
        <v>2.0</v>
      </c>
      <c r="N546" s="507">
        <v>2.0</v>
      </c>
      <c r="O546" s="507">
        <v>2.0</v>
      </c>
      <c r="P546" s="507" t="s">
        <v>166</v>
      </c>
      <c r="Q546" s="507">
        <v>1.0</v>
      </c>
      <c r="R546" s="507" t="s">
        <v>174</v>
      </c>
      <c r="S546" s="507" t="s">
        <v>166</v>
      </c>
      <c r="T546" s="509"/>
    </row>
    <row r="547">
      <c r="A547" s="504" t="s">
        <v>3401</v>
      </c>
      <c r="B547" s="505" t="s">
        <v>3459</v>
      </c>
      <c r="C547" s="452" t="s">
        <v>3575</v>
      </c>
      <c r="D547" s="506" t="s">
        <v>3812</v>
      </c>
      <c r="E547" s="507">
        <v>267.0</v>
      </c>
      <c r="F547" s="507">
        <v>111.0</v>
      </c>
      <c r="G547" s="507">
        <v>40.0</v>
      </c>
      <c r="H547" s="507">
        <v>2.0</v>
      </c>
      <c r="I547" s="507">
        <v>1582.0</v>
      </c>
      <c r="J547" s="507">
        <v>11.0</v>
      </c>
      <c r="K547" s="507">
        <v>250.0</v>
      </c>
      <c r="L547" s="507" t="s">
        <v>3361</v>
      </c>
      <c r="M547" s="507">
        <v>1.0</v>
      </c>
      <c r="N547" s="507">
        <v>3.0</v>
      </c>
      <c r="O547" s="507">
        <v>1.0</v>
      </c>
      <c r="P547" s="507" t="s">
        <v>166</v>
      </c>
      <c r="Q547" s="507" t="s">
        <v>166</v>
      </c>
      <c r="R547" s="507" t="s">
        <v>166</v>
      </c>
      <c r="S547" s="507" t="s">
        <v>174</v>
      </c>
      <c r="T547" s="509"/>
    </row>
    <row r="548">
      <c r="A548" s="504" t="s">
        <v>3401</v>
      </c>
      <c r="B548" s="505" t="s">
        <v>3459</v>
      </c>
      <c r="C548" s="452" t="s">
        <v>3575</v>
      </c>
      <c r="D548" s="506" t="s">
        <v>3813</v>
      </c>
      <c r="E548" s="507">
        <v>312.0</v>
      </c>
      <c r="F548" s="507">
        <v>130.0</v>
      </c>
      <c r="G548" s="507">
        <v>51.0</v>
      </c>
      <c r="H548" s="507">
        <v>2.0</v>
      </c>
      <c r="I548" s="507">
        <v>1708.0</v>
      </c>
      <c r="J548" s="507">
        <v>11.0</v>
      </c>
      <c r="K548" s="507">
        <v>250.0</v>
      </c>
      <c r="L548" s="507" t="s">
        <v>3460</v>
      </c>
      <c r="M548" s="507">
        <v>3.0</v>
      </c>
      <c r="N548" s="507">
        <v>3.0</v>
      </c>
      <c r="O548" s="507">
        <v>1.0</v>
      </c>
      <c r="P548" s="507" t="s">
        <v>166</v>
      </c>
      <c r="Q548" s="507" t="s">
        <v>166</v>
      </c>
      <c r="R548" s="507" t="s">
        <v>166</v>
      </c>
      <c r="S548" s="507" t="s">
        <v>166</v>
      </c>
      <c r="T548" s="509"/>
    </row>
    <row r="549">
      <c r="A549" s="504" t="s">
        <v>3401</v>
      </c>
      <c r="B549" s="505" t="s">
        <v>3459</v>
      </c>
      <c r="C549" s="452" t="s">
        <v>3575</v>
      </c>
      <c r="D549" s="506" t="s">
        <v>3814</v>
      </c>
      <c r="E549" s="507">
        <v>322.0</v>
      </c>
      <c r="F549" s="507">
        <v>146.0</v>
      </c>
      <c r="G549" s="507">
        <v>52.8</v>
      </c>
      <c r="H549" s="507">
        <v>2.0</v>
      </c>
      <c r="I549" s="507">
        <v>1733.0</v>
      </c>
      <c r="J549" s="507">
        <v>11.0</v>
      </c>
      <c r="K549" s="507">
        <v>250.0</v>
      </c>
      <c r="L549" s="507" t="s">
        <v>3460</v>
      </c>
      <c r="M549" s="507">
        <v>3.0</v>
      </c>
      <c r="N549" s="507">
        <v>2.0</v>
      </c>
      <c r="O549" s="507">
        <v>2.0</v>
      </c>
      <c r="P549" s="507" t="s">
        <v>166</v>
      </c>
      <c r="Q549" s="507">
        <v>1.0</v>
      </c>
      <c r="R549" s="507" t="s">
        <v>166</v>
      </c>
      <c r="S549" s="507" t="s">
        <v>166</v>
      </c>
      <c r="T549" s="509"/>
    </row>
    <row r="550">
      <c r="A550" s="504" t="s">
        <v>3401</v>
      </c>
      <c r="B550" s="505" t="s">
        <v>3459</v>
      </c>
      <c r="C550" s="452" t="s">
        <v>3575</v>
      </c>
      <c r="D550" s="506" t="s">
        <v>3815</v>
      </c>
      <c r="E550" s="507" t="s">
        <v>170</v>
      </c>
      <c r="F550" s="507" t="s">
        <v>170</v>
      </c>
      <c r="G550" s="507">
        <v>40.0</v>
      </c>
      <c r="H550" s="507">
        <v>2.0</v>
      </c>
      <c r="I550" s="507">
        <v>1708.0</v>
      </c>
      <c r="J550" s="507">
        <v>11.0</v>
      </c>
      <c r="K550" s="507">
        <v>250.0</v>
      </c>
      <c r="L550" s="507" t="s">
        <v>3460</v>
      </c>
      <c r="M550" s="507" t="s">
        <v>166</v>
      </c>
      <c r="N550" s="507">
        <v>2.0</v>
      </c>
      <c r="O550" s="507">
        <v>2.0</v>
      </c>
      <c r="P550" s="507" t="s">
        <v>166</v>
      </c>
      <c r="Q550" s="507">
        <v>1.0</v>
      </c>
      <c r="R550" s="507" t="s">
        <v>174</v>
      </c>
      <c r="S550" s="507" t="s">
        <v>166</v>
      </c>
      <c r="T550" s="509"/>
    </row>
    <row r="551">
      <c r="A551" s="504" t="s">
        <v>3401</v>
      </c>
      <c r="B551" s="505" t="s">
        <v>3459</v>
      </c>
      <c r="C551" s="452" t="s">
        <v>3575</v>
      </c>
      <c r="D551" s="506" t="s">
        <v>3816</v>
      </c>
      <c r="E551" s="507">
        <v>312.0</v>
      </c>
      <c r="F551" s="507">
        <v>181.0</v>
      </c>
      <c r="G551" s="507">
        <v>61.4</v>
      </c>
      <c r="H551" s="507">
        <v>3.0</v>
      </c>
      <c r="I551" s="507">
        <v>1784.0</v>
      </c>
      <c r="J551" s="507">
        <v>11.0</v>
      </c>
      <c r="K551" s="507">
        <v>250.0</v>
      </c>
      <c r="L551" s="507" t="s">
        <v>3460</v>
      </c>
      <c r="M551" s="507">
        <v>3.0</v>
      </c>
      <c r="N551" s="507">
        <v>2.0</v>
      </c>
      <c r="O551" s="507">
        <v>2.0</v>
      </c>
      <c r="P551" s="507" t="s">
        <v>166</v>
      </c>
      <c r="Q551" s="507">
        <v>1.0</v>
      </c>
      <c r="R551" s="507" t="s">
        <v>174</v>
      </c>
      <c r="S551" s="507" t="s">
        <v>166</v>
      </c>
      <c r="T551" s="509"/>
    </row>
    <row r="552">
      <c r="A552" s="504" t="s">
        <v>3401</v>
      </c>
      <c r="B552" s="505" t="s">
        <v>3459</v>
      </c>
      <c r="C552" s="174" t="str">
        <f t="shared" ref="C552:C568" si="124">HYPERLINK("https://www.evga.com/","EVGA")</f>
        <v>EVGA</v>
      </c>
      <c r="D552" s="506" t="s">
        <v>3812</v>
      </c>
      <c r="E552" s="507">
        <v>269.2</v>
      </c>
      <c r="F552" s="507">
        <v>111.15</v>
      </c>
      <c r="G552" s="507">
        <v>40.0</v>
      </c>
      <c r="H552" s="507">
        <v>2.0</v>
      </c>
      <c r="I552" s="507">
        <v>1582.0</v>
      </c>
      <c r="J552" s="507">
        <v>11.0</v>
      </c>
      <c r="K552" s="507">
        <v>250.0</v>
      </c>
      <c r="L552" s="507" t="s">
        <v>3361</v>
      </c>
      <c r="M552" s="507">
        <v>1.0</v>
      </c>
      <c r="N552" s="507">
        <v>3.0</v>
      </c>
      <c r="O552" s="507">
        <v>1.0</v>
      </c>
      <c r="P552" s="507" t="s">
        <v>166</v>
      </c>
      <c r="Q552" s="507" t="s">
        <v>166</v>
      </c>
      <c r="R552" s="507" t="s">
        <v>166</v>
      </c>
      <c r="S552" s="507" t="s">
        <v>174</v>
      </c>
      <c r="T552" s="509"/>
    </row>
    <row r="553">
      <c r="A553" s="504" t="s">
        <v>3401</v>
      </c>
      <c r="B553" s="505" t="s">
        <v>3459</v>
      </c>
      <c r="C553" s="174" t="str">
        <f t="shared" si="124"/>
        <v>EVGA</v>
      </c>
      <c r="D553" s="506" t="s">
        <v>3409</v>
      </c>
      <c r="E553" s="507">
        <v>269.2</v>
      </c>
      <c r="F553" s="507">
        <v>111.15</v>
      </c>
      <c r="G553" s="507">
        <v>40.0</v>
      </c>
      <c r="H553" s="507">
        <v>2.0</v>
      </c>
      <c r="I553" s="507">
        <v>1582.0</v>
      </c>
      <c r="J553" s="507">
        <v>11.0</v>
      </c>
      <c r="K553" s="507">
        <v>250.0</v>
      </c>
      <c r="L553" s="507" t="s">
        <v>3361</v>
      </c>
      <c r="M553" s="507">
        <v>1.0</v>
      </c>
      <c r="N553" s="507">
        <v>3.0</v>
      </c>
      <c r="O553" s="507">
        <v>1.0</v>
      </c>
      <c r="P553" s="507" t="s">
        <v>166</v>
      </c>
      <c r="Q553" s="507" t="s">
        <v>166</v>
      </c>
      <c r="R553" s="507" t="s">
        <v>166</v>
      </c>
      <c r="S553" s="507" t="s">
        <v>174</v>
      </c>
      <c r="T553" s="509"/>
    </row>
    <row r="554">
      <c r="A554" s="504" t="s">
        <v>3401</v>
      </c>
      <c r="B554" s="505" t="s">
        <v>3459</v>
      </c>
      <c r="C554" s="174" t="str">
        <f t="shared" si="124"/>
        <v>EVGA</v>
      </c>
      <c r="D554" s="506" t="s">
        <v>3817</v>
      </c>
      <c r="E554" s="507">
        <v>269.2</v>
      </c>
      <c r="F554" s="507">
        <v>118.48</v>
      </c>
      <c r="G554" s="507">
        <v>40.0</v>
      </c>
      <c r="H554" s="507">
        <v>2.0</v>
      </c>
      <c r="I554" s="507">
        <v>1582.0</v>
      </c>
      <c r="J554" s="507">
        <v>11.0</v>
      </c>
      <c r="K554" s="507">
        <v>250.0</v>
      </c>
      <c r="L554" s="507" t="s">
        <v>3361</v>
      </c>
      <c r="M554" s="507">
        <v>2.0</v>
      </c>
      <c r="N554" s="507">
        <v>3.0</v>
      </c>
      <c r="O554" s="507">
        <v>1.0</v>
      </c>
      <c r="P554" s="507" t="s">
        <v>166</v>
      </c>
      <c r="Q554" s="507">
        <v>1.0</v>
      </c>
      <c r="R554" s="507" t="s">
        <v>166</v>
      </c>
      <c r="S554" s="507" t="s">
        <v>166</v>
      </c>
      <c r="T554" s="509"/>
    </row>
    <row r="555">
      <c r="A555" s="504" t="s">
        <v>3401</v>
      </c>
      <c r="B555" s="505" t="s">
        <v>3459</v>
      </c>
      <c r="C555" s="174" t="str">
        <f t="shared" si="124"/>
        <v>EVGA</v>
      </c>
      <c r="D555" s="506" t="s">
        <v>3818</v>
      </c>
      <c r="E555" s="507">
        <v>269.2</v>
      </c>
      <c r="F555" s="507">
        <v>118.48</v>
      </c>
      <c r="G555" s="507">
        <v>40.0</v>
      </c>
      <c r="H555" s="507">
        <v>2.0</v>
      </c>
      <c r="I555" s="507">
        <v>1670.0</v>
      </c>
      <c r="J555" s="507">
        <v>11.0</v>
      </c>
      <c r="K555" s="507">
        <v>250.0</v>
      </c>
      <c r="L555" s="507" t="s">
        <v>3361</v>
      </c>
      <c r="M555" s="507">
        <v>2.0</v>
      </c>
      <c r="N555" s="507">
        <v>3.0</v>
      </c>
      <c r="O555" s="507">
        <v>1.0</v>
      </c>
      <c r="P555" s="507" t="s">
        <v>166</v>
      </c>
      <c r="Q555" s="507">
        <v>1.0</v>
      </c>
      <c r="R555" s="507" t="s">
        <v>166</v>
      </c>
      <c r="S555" s="507" t="s">
        <v>166</v>
      </c>
      <c r="T555" s="509"/>
    </row>
    <row r="556">
      <c r="A556" s="504" t="s">
        <v>3401</v>
      </c>
      <c r="B556" s="505" t="s">
        <v>3459</v>
      </c>
      <c r="C556" s="174" t="str">
        <f t="shared" si="124"/>
        <v>EVGA</v>
      </c>
      <c r="D556" s="506" t="s">
        <v>3819</v>
      </c>
      <c r="E556" s="507">
        <v>269.2</v>
      </c>
      <c r="F556" s="507">
        <v>118.48</v>
      </c>
      <c r="G556" s="507">
        <v>40.0</v>
      </c>
      <c r="H556" s="507">
        <v>2.0</v>
      </c>
      <c r="I556" s="507">
        <v>1582.0</v>
      </c>
      <c r="J556" s="507">
        <v>11.0</v>
      </c>
      <c r="K556" s="507">
        <v>250.0</v>
      </c>
      <c r="L556" s="507" t="s">
        <v>3361</v>
      </c>
      <c r="M556" s="507">
        <v>2.0</v>
      </c>
      <c r="N556" s="507">
        <v>3.0</v>
      </c>
      <c r="O556" s="507">
        <v>1.0</v>
      </c>
      <c r="P556" s="507" t="s">
        <v>166</v>
      </c>
      <c r="Q556" s="507">
        <v>1.0</v>
      </c>
      <c r="R556" s="507" t="s">
        <v>166</v>
      </c>
      <c r="S556" s="507" t="s">
        <v>166</v>
      </c>
      <c r="T556" s="509"/>
    </row>
    <row r="557">
      <c r="A557" s="504" t="s">
        <v>3401</v>
      </c>
      <c r="B557" s="505" t="s">
        <v>3459</v>
      </c>
      <c r="C557" s="174" t="str">
        <f t="shared" si="124"/>
        <v>EVGA</v>
      </c>
      <c r="D557" s="506" t="s">
        <v>3820</v>
      </c>
      <c r="E557" s="507">
        <v>269.2</v>
      </c>
      <c r="F557" s="507">
        <v>118.48</v>
      </c>
      <c r="G557" s="507">
        <v>40.0</v>
      </c>
      <c r="H557" s="507">
        <v>2.0</v>
      </c>
      <c r="I557" s="507">
        <v>1670.0</v>
      </c>
      <c r="J557" s="507">
        <v>11.0</v>
      </c>
      <c r="K557" s="507">
        <v>250.0</v>
      </c>
      <c r="L557" s="507" t="s">
        <v>3361</v>
      </c>
      <c r="M557" s="507">
        <v>2.0</v>
      </c>
      <c r="N557" s="507">
        <v>3.0</v>
      </c>
      <c r="O557" s="507">
        <v>1.0</v>
      </c>
      <c r="P557" s="507" t="s">
        <v>166</v>
      </c>
      <c r="Q557" s="507">
        <v>1.0</v>
      </c>
      <c r="R557" s="507" t="s">
        <v>166</v>
      </c>
      <c r="S557" s="507" t="s">
        <v>166</v>
      </c>
      <c r="T557" s="509"/>
    </row>
    <row r="558">
      <c r="A558" s="504" t="s">
        <v>3401</v>
      </c>
      <c r="B558" s="505" t="s">
        <v>3459</v>
      </c>
      <c r="C558" s="174" t="str">
        <f t="shared" si="124"/>
        <v>EVGA</v>
      </c>
      <c r="D558" s="506" t="s">
        <v>3821</v>
      </c>
      <c r="E558" s="507">
        <v>269.2</v>
      </c>
      <c r="F558" s="507">
        <v>118.48</v>
      </c>
      <c r="G558" s="507">
        <v>40.0</v>
      </c>
      <c r="H558" s="507">
        <v>2.0</v>
      </c>
      <c r="I558" s="507">
        <v>1670.0</v>
      </c>
      <c r="J558" s="507">
        <v>11.0</v>
      </c>
      <c r="K558" s="507">
        <v>250.0</v>
      </c>
      <c r="L558" s="507" t="s">
        <v>3361</v>
      </c>
      <c r="M558" s="507">
        <v>2.0</v>
      </c>
      <c r="N558" s="507">
        <v>3.0</v>
      </c>
      <c r="O558" s="507">
        <v>1.0</v>
      </c>
      <c r="P558" s="507" t="s">
        <v>166</v>
      </c>
      <c r="Q558" s="507">
        <v>1.0</v>
      </c>
      <c r="R558" s="507" t="s">
        <v>166</v>
      </c>
      <c r="S558" s="507" t="s">
        <v>166</v>
      </c>
      <c r="T558" s="509"/>
    </row>
    <row r="559">
      <c r="A559" s="504" t="s">
        <v>3401</v>
      </c>
      <c r="B559" s="505" t="s">
        <v>3459</v>
      </c>
      <c r="C559" s="174" t="str">
        <f t="shared" si="124"/>
        <v>EVGA</v>
      </c>
      <c r="D559" s="506" t="s">
        <v>3822</v>
      </c>
      <c r="E559" s="507">
        <v>299.72</v>
      </c>
      <c r="F559" s="507">
        <v>142.69</v>
      </c>
      <c r="G559" s="507">
        <v>40.0</v>
      </c>
      <c r="H559" s="507">
        <v>2.0</v>
      </c>
      <c r="I559" s="507">
        <v>1582.0</v>
      </c>
      <c r="J559" s="507">
        <v>11.0</v>
      </c>
      <c r="K559" s="507">
        <v>250.0</v>
      </c>
      <c r="L559" s="507" t="s">
        <v>3460</v>
      </c>
      <c r="M559" s="507">
        <v>3.0</v>
      </c>
      <c r="N559" s="507">
        <v>3.0</v>
      </c>
      <c r="O559" s="507">
        <v>1.0</v>
      </c>
      <c r="P559" s="507" t="s">
        <v>166</v>
      </c>
      <c r="Q559" s="507">
        <v>1.0</v>
      </c>
      <c r="R559" s="507" t="s">
        <v>166</v>
      </c>
      <c r="S559" s="507" t="s">
        <v>166</v>
      </c>
      <c r="T559" s="509"/>
    </row>
    <row r="560">
      <c r="A560" s="504" t="s">
        <v>3401</v>
      </c>
      <c r="B560" s="505" t="s">
        <v>3459</v>
      </c>
      <c r="C560" s="174" t="str">
        <f t="shared" si="124"/>
        <v>EVGA</v>
      </c>
      <c r="D560" s="506" t="s">
        <v>3823</v>
      </c>
      <c r="E560" s="507">
        <v>299.72</v>
      </c>
      <c r="F560" s="507">
        <v>142.69</v>
      </c>
      <c r="G560" s="507">
        <v>40.0</v>
      </c>
      <c r="H560" s="507">
        <v>2.0</v>
      </c>
      <c r="I560" s="507">
        <v>1683.0</v>
      </c>
      <c r="J560" s="507">
        <v>11.0</v>
      </c>
      <c r="K560" s="507">
        <v>250.0</v>
      </c>
      <c r="L560" s="507" t="s">
        <v>3460</v>
      </c>
      <c r="M560" s="507">
        <v>3.0</v>
      </c>
      <c r="N560" s="507">
        <v>3.0</v>
      </c>
      <c r="O560" s="507">
        <v>1.0</v>
      </c>
      <c r="P560" s="507" t="s">
        <v>166</v>
      </c>
      <c r="Q560" s="507">
        <v>1.0</v>
      </c>
      <c r="R560" s="507" t="s">
        <v>166</v>
      </c>
      <c r="S560" s="507" t="s">
        <v>166</v>
      </c>
      <c r="T560" s="509"/>
    </row>
    <row r="561">
      <c r="A561" s="504" t="s">
        <v>3401</v>
      </c>
      <c r="B561" s="505" t="s">
        <v>3459</v>
      </c>
      <c r="C561" s="174" t="str">
        <f t="shared" si="124"/>
        <v>EVGA</v>
      </c>
      <c r="D561" s="506" t="s">
        <v>3824</v>
      </c>
      <c r="E561" s="507">
        <v>299.72</v>
      </c>
      <c r="F561" s="507">
        <v>142.69</v>
      </c>
      <c r="G561" s="507">
        <v>40.0</v>
      </c>
      <c r="H561" s="507">
        <v>2.0</v>
      </c>
      <c r="I561" s="507">
        <v>1683.0</v>
      </c>
      <c r="J561" s="507">
        <v>11.0</v>
      </c>
      <c r="K561" s="507">
        <v>250.0</v>
      </c>
      <c r="L561" s="507" t="s">
        <v>3460</v>
      </c>
      <c r="M561" s="507">
        <v>3.0</v>
      </c>
      <c r="N561" s="507">
        <v>3.0</v>
      </c>
      <c r="O561" s="507">
        <v>1.0</v>
      </c>
      <c r="P561" s="507" t="s">
        <v>166</v>
      </c>
      <c r="Q561" s="507">
        <v>1.0</v>
      </c>
      <c r="R561" s="507" t="s">
        <v>166</v>
      </c>
      <c r="S561" s="507" t="s">
        <v>166</v>
      </c>
      <c r="T561" s="509"/>
    </row>
    <row r="562">
      <c r="A562" s="504" t="s">
        <v>3401</v>
      </c>
      <c r="B562" s="505" t="s">
        <v>3459</v>
      </c>
      <c r="C562" s="174" t="str">
        <f t="shared" si="124"/>
        <v>EVGA</v>
      </c>
      <c r="D562" s="506" t="s">
        <v>3825</v>
      </c>
      <c r="E562" s="507">
        <v>266.7</v>
      </c>
      <c r="F562" s="507">
        <v>128.63</v>
      </c>
      <c r="G562" s="507">
        <v>40.0</v>
      </c>
      <c r="H562" s="507">
        <v>2.0</v>
      </c>
      <c r="I562" s="507">
        <v>1670.0</v>
      </c>
      <c r="J562" s="507">
        <v>11.0</v>
      </c>
      <c r="K562" s="507">
        <v>250.0</v>
      </c>
      <c r="L562" s="507" t="s">
        <v>3361</v>
      </c>
      <c r="M562" s="507" t="s">
        <v>166</v>
      </c>
      <c r="N562" s="507">
        <v>3.0</v>
      </c>
      <c r="O562" s="507">
        <v>1.0</v>
      </c>
      <c r="P562" s="507" t="s">
        <v>166</v>
      </c>
      <c r="Q562" s="507">
        <v>1.0</v>
      </c>
      <c r="R562" s="507" t="s">
        <v>174</v>
      </c>
      <c r="S562" s="507" t="s">
        <v>166</v>
      </c>
      <c r="T562" s="509"/>
    </row>
    <row r="563">
      <c r="A563" s="504" t="s">
        <v>3401</v>
      </c>
      <c r="B563" s="505" t="s">
        <v>3459</v>
      </c>
      <c r="C563" s="174" t="str">
        <f t="shared" si="124"/>
        <v>EVGA</v>
      </c>
      <c r="D563" s="506" t="s">
        <v>3826</v>
      </c>
      <c r="E563" s="507">
        <v>266.7</v>
      </c>
      <c r="F563" s="507">
        <v>111.15</v>
      </c>
      <c r="G563" s="507">
        <v>40.0</v>
      </c>
      <c r="H563" s="507">
        <v>2.0</v>
      </c>
      <c r="I563" s="507">
        <v>1670.0</v>
      </c>
      <c r="J563" s="507">
        <v>11.0</v>
      </c>
      <c r="K563" s="507">
        <v>250.0</v>
      </c>
      <c r="L563" s="507" t="s">
        <v>3361</v>
      </c>
      <c r="M563" s="507">
        <v>1.0</v>
      </c>
      <c r="N563" s="507">
        <v>3.0</v>
      </c>
      <c r="O563" s="507">
        <v>1.0</v>
      </c>
      <c r="P563" s="507" t="s">
        <v>166</v>
      </c>
      <c r="Q563" s="507">
        <v>1.0</v>
      </c>
      <c r="R563" s="507" t="s">
        <v>174</v>
      </c>
      <c r="S563" s="507" t="s">
        <v>166</v>
      </c>
      <c r="T563" s="509"/>
    </row>
    <row r="564">
      <c r="A564" s="504" t="s">
        <v>3401</v>
      </c>
      <c r="B564" s="505" t="s">
        <v>3459</v>
      </c>
      <c r="C564" s="174" t="str">
        <f t="shared" si="124"/>
        <v>EVGA</v>
      </c>
      <c r="D564" s="506" t="s">
        <v>3827</v>
      </c>
      <c r="E564" s="507">
        <v>266.7</v>
      </c>
      <c r="F564" s="507">
        <v>128.63</v>
      </c>
      <c r="G564" s="507">
        <v>40.0</v>
      </c>
      <c r="H564" s="507">
        <v>2.0</v>
      </c>
      <c r="I564" s="507">
        <v>1670.0</v>
      </c>
      <c r="J564" s="507">
        <v>11.0</v>
      </c>
      <c r="K564" s="507">
        <v>250.0</v>
      </c>
      <c r="L564" s="507" t="s">
        <v>3361</v>
      </c>
      <c r="M564" s="507" t="s">
        <v>166</v>
      </c>
      <c r="N564" s="507">
        <v>3.0</v>
      </c>
      <c r="O564" s="507">
        <v>1.0</v>
      </c>
      <c r="P564" s="507" t="s">
        <v>166</v>
      </c>
      <c r="Q564" s="507">
        <v>1.0</v>
      </c>
      <c r="R564" s="507" t="s">
        <v>174</v>
      </c>
      <c r="S564" s="507" t="s">
        <v>166</v>
      </c>
      <c r="T564" s="509"/>
    </row>
    <row r="565">
      <c r="A565" s="504" t="s">
        <v>3401</v>
      </c>
      <c r="B565" s="505" t="s">
        <v>3459</v>
      </c>
      <c r="C565" s="174" t="str">
        <f t="shared" si="124"/>
        <v>EVGA</v>
      </c>
      <c r="D565" s="506" t="s">
        <v>3828</v>
      </c>
      <c r="E565" s="507">
        <v>288.8</v>
      </c>
      <c r="F565" s="507">
        <v>128.63</v>
      </c>
      <c r="G565" s="507">
        <v>40.0</v>
      </c>
      <c r="H565" s="507">
        <v>2.0</v>
      </c>
      <c r="I565" s="507">
        <v>1683.0</v>
      </c>
      <c r="J565" s="507">
        <v>11.0</v>
      </c>
      <c r="K565" s="507">
        <v>250.0</v>
      </c>
      <c r="L565" s="507" t="s">
        <v>3460</v>
      </c>
      <c r="M565" s="507">
        <v>1.0</v>
      </c>
      <c r="N565" s="507">
        <v>3.0</v>
      </c>
      <c r="O565" s="507">
        <v>1.0</v>
      </c>
      <c r="P565" s="507" t="s">
        <v>166</v>
      </c>
      <c r="Q565" s="507">
        <v>1.0</v>
      </c>
      <c r="R565" s="507" t="s">
        <v>174</v>
      </c>
      <c r="S565" s="507" t="s">
        <v>166</v>
      </c>
      <c r="T565" s="509"/>
    </row>
    <row r="566">
      <c r="A566" s="504" t="s">
        <v>3401</v>
      </c>
      <c r="B566" s="505" t="s">
        <v>3459</v>
      </c>
      <c r="C566" s="174" t="str">
        <f t="shared" si="124"/>
        <v>EVGA</v>
      </c>
      <c r="D566" s="506" t="s">
        <v>3829</v>
      </c>
      <c r="E566" s="507">
        <v>288.8</v>
      </c>
      <c r="F566" s="507">
        <v>163.5</v>
      </c>
      <c r="G566" s="507">
        <v>40.0</v>
      </c>
      <c r="H566" s="507">
        <v>2.0</v>
      </c>
      <c r="I566" s="507">
        <v>1683.0</v>
      </c>
      <c r="J566" s="507">
        <v>11.0</v>
      </c>
      <c r="K566" s="507">
        <v>250.0</v>
      </c>
      <c r="L566" s="507" t="s">
        <v>3460</v>
      </c>
      <c r="M566" s="507" t="s">
        <v>166</v>
      </c>
      <c r="N566" s="507">
        <v>3.0</v>
      </c>
      <c r="O566" s="507">
        <v>1.0</v>
      </c>
      <c r="P566" s="507" t="s">
        <v>166</v>
      </c>
      <c r="Q566" s="507">
        <v>1.0</v>
      </c>
      <c r="R566" s="507" t="s">
        <v>174</v>
      </c>
      <c r="S566" s="507" t="s">
        <v>166</v>
      </c>
      <c r="T566" s="509"/>
    </row>
    <row r="567">
      <c r="A567" s="504" t="s">
        <v>3401</v>
      </c>
      <c r="B567" s="505" t="s">
        <v>3459</v>
      </c>
      <c r="C567" s="174" t="str">
        <f t="shared" si="124"/>
        <v>EVGA</v>
      </c>
      <c r="D567" s="506" t="s">
        <v>3830</v>
      </c>
      <c r="E567" s="507">
        <v>299.72</v>
      </c>
      <c r="F567" s="507">
        <v>142.69</v>
      </c>
      <c r="G567" s="507">
        <v>40.0</v>
      </c>
      <c r="H567" s="507">
        <v>2.0</v>
      </c>
      <c r="I567" s="507">
        <v>1695.0</v>
      </c>
      <c r="J567" s="507">
        <v>11.0</v>
      </c>
      <c r="K567" s="507">
        <v>250.0</v>
      </c>
      <c r="L567" s="507" t="s">
        <v>3460</v>
      </c>
      <c r="M567" s="507">
        <v>3.0</v>
      </c>
      <c r="N567" s="507">
        <v>3.0</v>
      </c>
      <c r="O567" s="507">
        <v>1.0</v>
      </c>
      <c r="P567" s="507" t="s">
        <v>166</v>
      </c>
      <c r="Q567" s="507">
        <v>1.0</v>
      </c>
      <c r="R567" s="507" t="s">
        <v>166</v>
      </c>
      <c r="S567" s="507" t="s">
        <v>166</v>
      </c>
      <c r="T567" s="509"/>
    </row>
    <row r="568">
      <c r="A568" s="504" t="s">
        <v>3401</v>
      </c>
      <c r="B568" s="505" t="s">
        <v>3459</v>
      </c>
      <c r="C568" s="174" t="str">
        <f t="shared" si="124"/>
        <v>EVGA</v>
      </c>
      <c r="D568" s="506" t="s">
        <v>3831</v>
      </c>
      <c r="E568" s="507">
        <v>299.72</v>
      </c>
      <c r="F568" s="507">
        <v>142.69</v>
      </c>
      <c r="G568" s="507">
        <v>20.0</v>
      </c>
      <c r="H568" s="507">
        <v>1.0</v>
      </c>
      <c r="I568" s="507">
        <v>1695.0</v>
      </c>
      <c r="J568" s="507">
        <v>11.0</v>
      </c>
      <c r="K568" s="507">
        <v>250.0</v>
      </c>
      <c r="L568" s="507" t="s">
        <v>3460</v>
      </c>
      <c r="M568" s="507" t="s">
        <v>166</v>
      </c>
      <c r="N568" s="507">
        <v>3.0</v>
      </c>
      <c r="O568" s="507">
        <v>1.0</v>
      </c>
      <c r="P568" s="507" t="s">
        <v>166</v>
      </c>
      <c r="Q568" s="507">
        <v>1.0</v>
      </c>
      <c r="R568" s="507" t="s">
        <v>174</v>
      </c>
      <c r="S568" s="507" t="s">
        <v>166</v>
      </c>
      <c r="T568" s="509"/>
    </row>
    <row r="569">
      <c r="A569" s="504" t="s">
        <v>3401</v>
      </c>
      <c r="B569" s="505" t="s">
        <v>3459</v>
      </c>
      <c r="C569" s="452" t="str">
        <f t="shared" ref="C569:C572" si="125">HYPERLINK("http://www.gainward.com/main/index.php?lang=en","Gainward")</f>
        <v>Gainward</v>
      </c>
      <c r="D569" s="506" t="s">
        <v>3812</v>
      </c>
      <c r="E569" s="507">
        <v>267.0</v>
      </c>
      <c r="F569" s="507">
        <v>112.0</v>
      </c>
      <c r="G569" s="507">
        <v>40.0</v>
      </c>
      <c r="H569" s="507">
        <v>2.0</v>
      </c>
      <c r="I569" s="507">
        <v>1582.0</v>
      </c>
      <c r="J569" s="507">
        <v>11.0</v>
      </c>
      <c r="K569" s="507">
        <v>250.0</v>
      </c>
      <c r="L569" s="507" t="s">
        <v>3361</v>
      </c>
      <c r="M569" s="507">
        <v>1.0</v>
      </c>
      <c r="N569" s="507">
        <v>3.0</v>
      </c>
      <c r="O569" s="507">
        <v>1.0</v>
      </c>
      <c r="P569" s="507" t="s">
        <v>166</v>
      </c>
      <c r="Q569" s="507" t="s">
        <v>166</v>
      </c>
      <c r="R569" s="507" t="s">
        <v>166</v>
      </c>
      <c r="S569" s="507" t="s">
        <v>174</v>
      </c>
      <c r="T569" s="509"/>
    </row>
    <row r="570">
      <c r="A570" s="504" t="s">
        <v>3401</v>
      </c>
      <c r="B570" s="505" t="s">
        <v>3459</v>
      </c>
      <c r="C570" s="452" t="str">
        <f t="shared" si="125"/>
        <v>Gainward</v>
      </c>
      <c r="D570" s="506" t="s">
        <v>3832</v>
      </c>
      <c r="E570" s="507">
        <v>267.0</v>
      </c>
      <c r="F570" s="507">
        <v>112.0</v>
      </c>
      <c r="G570" s="507">
        <v>40.0</v>
      </c>
      <c r="H570" s="507">
        <v>2.0</v>
      </c>
      <c r="I570" s="507">
        <v>1620.0</v>
      </c>
      <c r="J570" s="507">
        <v>11.0</v>
      </c>
      <c r="K570" s="507">
        <v>250.0</v>
      </c>
      <c r="L570" s="507" t="s">
        <v>3361</v>
      </c>
      <c r="M570" s="507">
        <v>1.0</v>
      </c>
      <c r="N570" s="507">
        <v>3.0</v>
      </c>
      <c r="O570" s="507">
        <v>1.0</v>
      </c>
      <c r="P570" s="507" t="s">
        <v>166</v>
      </c>
      <c r="Q570" s="507" t="s">
        <v>166</v>
      </c>
      <c r="R570" s="507" t="s">
        <v>166</v>
      </c>
      <c r="S570" s="507" t="s">
        <v>174</v>
      </c>
      <c r="T570" s="509"/>
    </row>
    <row r="571">
      <c r="A571" s="504" t="s">
        <v>3401</v>
      </c>
      <c r="B571" s="505" t="s">
        <v>3459</v>
      </c>
      <c r="C571" s="452" t="str">
        <f t="shared" si="125"/>
        <v>Gainward</v>
      </c>
      <c r="D571" s="506" t="s">
        <v>3371</v>
      </c>
      <c r="E571" s="507">
        <v>285.0</v>
      </c>
      <c r="F571" s="507">
        <v>133.0</v>
      </c>
      <c r="G571" s="507">
        <v>50.0</v>
      </c>
      <c r="H571" s="507">
        <v>2.0</v>
      </c>
      <c r="I571" s="507">
        <v>1582.0</v>
      </c>
      <c r="J571" s="507">
        <v>11.0</v>
      </c>
      <c r="K571" s="507">
        <v>250.0</v>
      </c>
      <c r="L571" s="507" t="s">
        <v>3460</v>
      </c>
      <c r="M571" s="507">
        <v>2.0</v>
      </c>
      <c r="N571" s="507">
        <v>3.0</v>
      </c>
      <c r="O571" s="507">
        <v>1.0</v>
      </c>
      <c r="P571" s="507" t="s">
        <v>166</v>
      </c>
      <c r="Q571" s="507">
        <v>1.0</v>
      </c>
      <c r="R571" s="507" t="s">
        <v>166</v>
      </c>
      <c r="S571" s="507" t="s">
        <v>166</v>
      </c>
      <c r="T571" s="509"/>
    </row>
    <row r="572">
      <c r="A572" s="504" t="s">
        <v>3401</v>
      </c>
      <c r="B572" s="505" t="s">
        <v>3459</v>
      </c>
      <c r="C572" s="452" t="str">
        <f t="shared" si="125"/>
        <v>Gainward</v>
      </c>
      <c r="D572" s="506" t="s">
        <v>3833</v>
      </c>
      <c r="E572" s="507">
        <v>285.0</v>
      </c>
      <c r="F572" s="507">
        <v>133.0</v>
      </c>
      <c r="G572" s="507">
        <v>50.0</v>
      </c>
      <c r="H572" s="507">
        <v>2.0</v>
      </c>
      <c r="I572" s="507">
        <v>1670.0</v>
      </c>
      <c r="J572" s="507">
        <v>11.0</v>
      </c>
      <c r="K572" s="507">
        <v>250.0</v>
      </c>
      <c r="L572" s="507" t="s">
        <v>3460</v>
      </c>
      <c r="M572" s="507">
        <v>2.0</v>
      </c>
      <c r="N572" s="507">
        <v>3.0</v>
      </c>
      <c r="O572" s="507">
        <v>1.0</v>
      </c>
      <c r="P572" s="507" t="s">
        <v>166</v>
      </c>
      <c r="Q572" s="507">
        <v>1.0</v>
      </c>
      <c r="R572" s="507" t="s">
        <v>166</v>
      </c>
      <c r="S572" s="507" t="s">
        <v>166</v>
      </c>
      <c r="T572" s="509"/>
    </row>
    <row r="573">
      <c r="A573" s="504" t="s">
        <v>3401</v>
      </c>
      <c r="B573" s="505" t="s">
        <v>3459</v>
      </c>
      <c r="C573" s="174" t="s">
        <v>3456</v>
      </c>
      <c r="D573" s="506" t="s">
        <v>3812</v>
      </c>
      <c r="E573" s="507">
        <v>267.0</v>
      </c>
      <c r="F573" s="507">
        <v>111.2</v>
      </c>
      <c r="G573" s="507">
        <v>38.6</v>
      </c>
      <c r="H573" s="507">
        <v>2.0</v>
      </c>
      <c r="I573" s="507">
        <v>1582.0</v>
      </c>
      <c r="J573" s="507">
        <v>11.0</v>
      </c>
      <c r="K573" s="507">
        <v>250.0</v>
      </c>
      <c r="L573" s="507" t="s">
        <v>3361</v>
      </c>
      <c r="M573" s="507">
        <v>1.0</v>
      </c>
      <c r="N573" s="507">
        <v>3.0</v>
      </c>
      <c r="O573" s="507">
        <v>1.0</v>
      </c>
      <c r="P573" s="507" t="s">
        <v>166</v>
      </c>
      <c r="Q573" s="507" t="s">
        <v>166</v>
      </c>
      <c r="R573" s="507" t="s">
        <v>166</v>
      </c>
      <c r="S573" s="507" t="s">
        <v>174</v>
      </c>
      <c r="T573" s="509"/>
    </row>
    <row r="574">
      <c r="A574" s="504" t="s">
        <v>3401</v>
      </c>
      <c r="B574" s="505" t="s">
        <v>3459</v>
      </c>
      <c r="C574" s="174" t="s">
        <v>3456</v>
      </c>
      <c r="D574" s="506" t="s">
        <v>3834</v>
      </c>
      <c r="E574" s="507">
        <v>267.0</v>
      </c>
      <c r="F574" s="507">
        <v>111.2</v>
      </c>
      <c r="G574" s="507">
        <v>38.6</v>
      </c>
      <c r="H574" s="507">
        <v>2.0</v>
      </c>
      <c r="I574" s="507">
        <v>1582.0</v>
      </c>
      <c r="J574" s="507">
        <v>11.0</v>
      </c>
      <c r="K574" s="507">
        <v>250.0</v>
      </c>
      <c r="L574" s="507" t="s">
        <v>3361</v>
      </c>
      <c r="M574" s="507">
        <v>1.0</v>
      </c>
      <c r="N574" s="507">
        <v>3.0</v>
      </c>
      <c r="O574" s="507">
        <v>1.0</v>
      </c>
      <c r="P574" s="507" t="s">
        <v>166</v>
      </c>
      <c r="Q574" s="507" t="s">
        <v>166</v>
      </c>
      <c r="R574" s="507" t="s">
        <v>166</v>
      </c>
      <c r="S574" s="507" t="s">
        <v>174</v>
      </c>
      <c r="T574" s="509"/>
    </row>
    <row r="575">
      <c r="A575" s="504" t="s">
        <v>3401</v>
      </c>
      <c r="B575" s="505" t="s">
        <v>3459</v>
      </c>
      <c r="C575" s="174" t="s">
        <v>3456</v>
      </c>
      <c r="D575" s="506" t="s">
        <v>3835</v>
      </c>
      <c r="E575" s="507">
        <v>267.0</v>
      </c>
      <c r="F575" s="507">
        <v>111.2</v>
      </c>
      <c r="G575" s="507">
        <v>38.6</v>
      </c>
      <c r="H575" s="507">
        <v>2.0</v>
      </c>
      <c r="I575" s="507">
        <v>1645.0</v>
      </c>
      <c r="J575" s="507">
        <v>11.0</v>
      </c>
      <c r="K575" s="507">
        <v>250.0</v>
      </c>
      <c r="L575" s="507" t="s">
        <v>3361</v>
      </c>
      <c r="M575" s="507">
        <v>2.0</v>
      </c>
      <c r="N575" s="507">
        <v>3.0</v>
      </c>
      <c r="O575" s="507">
        <v>1.0</v>
      </c>
      <c r="P575" s="507" t="s">
        <v>166</v>
      </c>
      <c r="Q575" s="507" t="s">
        <v>166</v>
      </c>
      <c r="R575" s="507" t="s">
        <v>166</v>
      </c>
      <c r="S575" s="507" t="s">
        <v>166</v>
      </c>
      <c r="T575" s="509"/>
    </row>
    <row r="576">
      <c r="A576" s="504" t="s">
        <v>3401</v>
      </c>
      <c r="B576" s="505" t="s">
        <v>3459</v>
      </c>
      <c r="C576" s="174" t="s">
        <v>3456</v>
      </c>
      <c r="D576" s="506" t="s">
        <v>3836</v>
      </c>
      <c r="E576" s="507">
        <v>267.0</v>
      </c>
      <c r="F576" s="507">
        <v>111.2</v>
      </c>
      <c r="G576" s="507">
        <v>38.6</v>
      </c>
      <c r="H576" s="507">
        <v>2.0</v>
      </c>
      <c r="I576" s="507">
        <v>1645.0</v>
      </c>
      <c r="J576" s="507">
        <v>11.0</v>
      </c>
      <c r="K576" s="507">
        <v>250.0</v>
      </c>
      <c r="L576" s="507" t="s">
        <v>3361</v>
      </c>
      <c r="M576" s="507">
        <v>2.0</v>
      </c>
      <c r="N576" s="507">
        <v>3.0</v>
      </c>
      <c r="O576" s="507">
        <v>1.0</v>
      </c>
      <c r="P576" s="507" t="s">
        <v>166</v>
      </c>
      <c r="Q576" s="507" t="s">
        <v>166</v>
      </c>
      <c r="R576" s="507" t="s">
        <v>166</v>
      </c>
      <c r="S576" s="507" t="s">
        <v>166</v>
      </c>
      <c r="T576" s="509"/>
    </row>
    <row r="577">
      <c r="A577" s="504" t="s">
        <v>3401</v>
      </c>
      <c r="B577" s="505" t="s">
        <v>3459</v>
      </c>
      <c r="C577" s="174" t="s">
        <v>3456</v>
      </c>
      <c r="D577" s="506" t="s">
        <v>3837</v>
      </c>
      <c r="E577" s="507">
        <v>327.0</v>
      </c>
      <c r="F577" s="507">
        <v>153.7</v>
      </c>
      <c r="G577" s="507">
        <v>57.0</v>
      </c>
      <c r="H577" s="507">
        <v>2.0</v>
      </c>
      <c r="I577" s="507">
        <v>1683.0</v>
      </c>
      <c r="J577" s="507">
        <v>11.0</v>
      </c>
      <c r="K577" s="507">
        <v>250.0</v>
      </c>
      <c r="L577" s="507" t="s">
        <v>3734</v>
      </c>
      <c r="M577" s="507">
        <v>3.0</v>
      </c>
      <c r="N577" s="507">
        <v>3.0</v>
      </c>
      <c r="O577" s="507">
        <v>1.0</v>
      </c>
      <c r="P577" s="507" t="s">
        <v>166</v>
      </c>
      <c r="Q577" s="507">
        <v>1.0</v>
      </c>
      <c r="R577" s="507" t="s">
        <v>166</v>
      </c>
      <c r="S577" s="507" t="s">
        <v>166</v>
      </c>
      <c r="T577" s="509"/>
    </row>
    <row r="578">
      <c r="A578" s="504" t="s">
        <v>3401</v>
      </c>
      <c r="B578" s="505" t="s">
        <v>3459</v>
      </c>
      <c r="C578" s="174" t="s">
        <v>3456</v>
      </c>
      <c r="D578" s="506" t="s">
        <v>3838</v>
      </c>
      <c r="E578" s="507">
        <v>327.0</v>
      </c>
      <c r="F578" s="507">
        <v>153.7</v>
      </c>
      <c r="G578" s="507">
        <v>57.0</v>
      </c>
      <c r="H578" s="507">
        <v>2.0</v>
      </c>
      <c r="I578" s="507">
        <v>1759.0</v>
      </c>
      <c r="J578" s="507">
        <v>11.0</v>
      </c>
      <c r="K578" s="507">
        <v>250.0</v>
      </c>
      <c r="L578" s="507" t="s">
        <v>3734</v>
      </c>
      <c r="M578" s="507">
        <v>3.0</v>
      </c>
      <c r="N578" s="507">
        <v>3.0</v>
      </c>
      <c r="O578" s="507">
        <v>1.0</v>
      </c>
      <c r="P578" s="507" t="s">
        <v>166</v>
      </c>
      <c r="Q578" s="507">
        <v>1.0</v>
      </c>
      <c r="R578" s="507" t="s">
        <v>166</v>
      </c>
      <c r="S578" s="507" t="s">
        <v>166</v>
      </c>
      <c r="T578" s="509"/>
    </row>
    <row r="579">
      <c r="A579" s="504" t="s">
        <v>3401</v>
      </c>
      <c r="B579" s="505" t="s">
        <v>3459</v>
      </c>
      <c r="C579" s="174" t="str">
        <f t="shared" ref="C579:C587" si="126">HYPERLINK("https://www.gigabyte.com/","Gigabyte")</f>
        <v>Gigabyte</v>
      </c>
      <c r="D579" s="506" t="s">
        <v>3812</v>
      </c>
      <c r="E579" s="507">
        <v>266.7</v>
      </c>
      <c r="F579" s="507">
        <v>111.15</v>
      </c>
      <c r="G579" s="507">
        <v>40.0</v>
      </c>
      <c r="H579" s="507">
        <v>2.0</v>
      </c>
      <c r="I579" s="507">
        <v>1582.0</v>
      </c>
      <c r="J579" s="507">
        <v>11.0</v>
      </c>
      <c r="K579" s="507">
        <v>250.0</v>
      </c>
      <c r="L579" s="507" t="s">
        <v>3361</v>
      </c>
      <c r="M579" s="507">
        <v>1.0</v>
      </c>
      <c r="N579" s="507">
        <v>3.0</v>
      </c>
      <c r="O579" s="507">
        <v>1.0</v>
      </c>
      <c r="P579" s="507" t="s">
        <v>166</v>
      </c>
      <c r="Q579" s="507" t="s">
        <v>166</v>
      </c>
      <c r="R579" s="507" t="s">
        <v>166</v>
      </c>
      <c r="S579" s="507" t="s">
        <v>174</v>
      </c>
      <c r="T579" s="509"/>
    </row>
    <row r="580">
      <c r="A580" s="504" t="s">
        <v>3401</v>
      </c>
      <c r="B580" s="505" t="s">
        <v>3459</v>
      </c>
      <c r="C580" s="174" t="str">
        <f t="shared" si="126"/>
        <v>Gigabyte</v>
      </c>
      <c r="D580" s="506" t="s">
        <v>3810</v>
      </c>
      <c r="E580" s="507">
        <v>270.0</v>
      </c>
      <c r="F580" s="507">
        <v>116.6</v>
      </c>
      <c r="G580" s="507">
        <v>36.6</v>
      </c>
      <c r="H580" s="507">
        <v>2.0</v>
      </c>
      <c r="I580" s="507">
        <v>1620.0</v>
      </c>
      <c r="J580" s="507">
        <v>11.0</v>
      </c>
      <c r="K580" s="507">
        <v>250.0</v>
      </c>
      <c r="L580" s="507" t="s">
        <v>3361</v>
      </c>
      <c r="M580" s="507">
        <v>1.0</v>
      </c>
      <c r="N580" s="507">
        <v>3.0</v>
      </c>
      <c r="O580" s="507">
        <v>1.0</v>
      </c>
      <c r="P580" s="507" t="s">
        <v>166</v>
      </c>
      <c r="Q580" s="507" t="s">
        <v>166</v>
      </c>
      <c r="R580" s="507" t="s">
        <v>166</v>
      </c>
      <c r="S580" s="507" t="s">
        <v>174</v>
      </c>
      <c r="T580" s="509"/>
    </row>
    <row r="581">
      <c r="A581" s="504" t="s">
        <v>3401</v>
      </c>
      <c r="B581" s="505" t="s">
        <v>3459</v>
      </c>
      <c r="C581" s="174" t="str">
        <f t="shared" si="126"/>
        <v>Gigabyte</v>
      </c>
      <c r="D581" s="506" t="s">
        <v>3839</v>
      </c>
      <c r="E581" s="507">
        <v>280.0</v>
      </c>
      <c r="F581" s="507">
        <v>114.0</v>
      </c>
      <c r="G581" s="507">
        <v>37.0</v>
      </c>
      <c r="H581" s="507">
        <v>2.0</v>
      </c>
      <c r="I581" s="507">
        <v>1620.0</v>
      </c>
      <c r="J581" s="507">
        <v>11.0</v>
      </c>
      <c r="K581" s="507">
        <v>250.0</v>
      </c>
      <c r="L581" s="507" t="s">
        <v>3361</v>
      </c>
      <c r="M581" s="507">
        <v>3.0</v>
      </c>
      <c r="N581" s="507">
        <v>3.0</v>
      </c>
      <c r="O581" s="507">
        <v>1.0</v>
      </c>
      <c r="P581" s="507" t="s">
        <v>166</v>
      </c>
      <c r="Q581" s="507">
        <v>1.0</v>
      </c>
      <c r="R581" s="507" t="s">
        <v>166</v>
      </c>
      <c r="S581" s="507" t="s">
        <v>166</v>
      </c>
      <c r="T581" s="509"/>
    </row>
    <row r="582">
      <c r="A582" s="504" t="s">
        <v>3401</v>
      </c>
      <c r="B582" s="505" t="s">
        <v>3459</v>
      </c>
      <c r="C582" s="174" t="str">
        <f t="shared" si="126"/>
        <v>Gigabyte</v>
      </c>
      <c r="D582" s="506" t="s">
        <v>3840</v>
      </c>
      <c r="E582" s="507">
        <v>280.0</v>
      </c>
      <c r="F582" s="507">
        <v>114.0</v>
      </c>
      <c r="G582" s="507">
        <v>37.0</v>
      </c>
      <c r="H582" s="507">
        <v>2.0</v>
      </c>
      <c r="I582" s="507">
        <v>1657.0</v>
      </c>
      <c r="J582" s="507">
        <v>11.0</v>
      </c>
      <c r="K582" s="507">
        <v>250.0</v>
      </c>
      <c r="L582" s="507" t="s">
        <v>3361</v>
      </c>
      <c r="M582" s="507">
        <v>3.0</v>
      </c>
      <c r="N582" s="507">
        <v>3.0</v>
      </c>
      <c r="O582" s="507">
        <v>1.0</v>
      </c>
      <c r="P582" s="507" t="s">
        <v>166</v>
      </c>
      <c r="Q582" s="507">
        <v>1.0</v>
      </c>
      <c r="R582" s="507" t="s">
        <v>166</v>
      </c>
      <c r="S582" s="507" t="s">
        <v>166</v>
      </c>
      <c r="T582" s="509"/>
    </row>
    <row r="583">
      <c r="A583" s="504" t="s">
        <v>3401</v>
      </c>
      <c r="B583" s="505" t="s">
        <v>3459</v>
      </c>
      <c r="C583" s="174" t="str">
        <f t="shared" si="126"/>
        <v>Gigabyte</v>
      </c>
      <c r="D583" s="506" t="s">
        <v>3841</v>
      </c>
      <c r="E583" s="507">
        <v>280.0</v>
      </c>
      <c r="F583" s="507">
        <v>114.0</v>
      </c>
      <c r="G583" s="507">
        <v>37.0</v>
      </c>
      <c r="H583" s="507">
        <v>2.0</v>
      </c>
      <c r="I583" s="507">
        <v>1657.0</v>
      </c>
      <c r="J583" s="507">
        <v>11.0</v>
      </c>
      <c r="K583" s="507">
        <v>250.0</v>
      </c>
      <c r="L583" s="507" t="s">
        <v>3361</v>
      </c>
      <c r="M583" s="507">
        <v>3.0</v>
      </c>
      <c r="N583" s="507">
        <v>3.0</v>
      </c>
      <c r="O583" s="507">
        <v>1.0</v>
      </c>
      <c r="P583" s="507" t="s">
        <v>166</v>
      </c>
      <c r="Q583" s="507">
        <v>1.0</v>
      </c>
      <c r="R583" s="507" t="s">
        <v>166</v>
      </c>
      <c r="S583" s="507" t="s">
        <v>166</v>
      </c>
      <c r="T583" s="509"/>
    </row>
    <row r="584">
      <c r="A584" s="504" t="s">
        <v>3401</v>
      </c>
      <c r="B584" s="505" t="s">
        <v>3459</v>
      </c>
      <c r="C584" s="174" t="str">
        <f t="shared" si="126"/>
        <v>Gigabyte</v>
      </c>
      <c r="D584" s="506" t="s">
        <v>3677</v>
      </c>
      <c r="E584" s="507">
        <v>293.0</v>
      </c>
      <c r="F584" s="507">
        <v>142.0</v>
      </c>
      <c r="G584" s="507">
        <v>55.0</v>
      </c>
      <c r="H584" s="507">
        <v>2.0</v>
      </c>
      <c r="I584" s="507">
        <v>1708.0</v>
      </c>
      <c r="J584" s="507">
        <v>11.0</v>
      </c>
      <c r="K584" s="507">
        <v>250.0</v>
      </c>
      <c r="L584" s="507" t="s">
        <v>3460</v>
      </c>
      <c r="M584" s="507">
        <v>3.0</v>
      </c>
      <c r="N584" s="507">
        <v>3.0</v>
      </c>
      <c r="O584" s="507">
        <v>2.0</v>
      </c>
      <c r="P584" s="507" t="s">
        <v>166</v>
      </c>
      <c r="Q584" s="507">
        <v>1.0</v>
      </c>
      <c r="R584" s="507" t="s">
        <v>166</v>
      </c>
      <c r="S584" s="507" t="s">
        <v>166</v>
      </c>
      <c r="T584" s="509"/>
    </row>
    <row r="585">
      <c r="A585" s="504" t="s">
        <v>3401</v>
      </c>
      <c r="B585" s="505" t="s">
        <v>3459</v>
      </c>
      <c r="C585" s="174" t="str">
        <f t="shared" si="126"/>
        <v>Gigabyte</v>
      </c>
      <c r="D585" s="506" t="s">
        <v>3842</v>
      </c>
      <c r="E585" s="507">
        <v>293.0</v>
      </c>
      <c r="F585" s="507">
        <v>142.0</v>
      </c>
      <c r="G585" s="507">
        <v>55.0</v>
      </c>
      <c r="H585" s="507">
        <v>2.0</v>
      </c>
      <c r="I585" s="507">
        <v>1746.0</v>
      </c>
      <c r="J585" s="507">
        <v>11.4</v>
      </c>
      <c r="K585" s="507">
        <v>250.0</v>
      </c>
      <c r="L585" s="507" t="s">
        <v>3460</v>
      </c>
      <c r="M585" s="507">
        <v>3.0</v>
      </c>
      <c r="N585" s="507">
        <v>3.0</v>
      </c>
      <c r="O585" s="507">
        <v>2.0</v>
      </c>
      <c r="P585" s="507" t="s">
        <v>166</v>
      </c>
      <c r="Q585" s="507">
        <v>1.0</v>
      </c>
      <c r="R585" s="507" t="s">
        <v>166</v>
      </c>
      <c r="S585" s="507" t="s">
        <v>166</v>
      </c>
      <c r="T585" s="509"/>
    </row>
    <row r="586">
      <c r="A586" s="504" t="s">
        <v>3401</v>
      </c>
      <c r="B586" s="505" t="s">
        <v>3459</v>
      </c>
      <c r="C586" s="174" t="str">
        <f t="shared" si="126"/>
        <v>Gigabyte</v>
      </c>
      <c r="D586" s="506" t="s">
        <v>3843</v>
      </c>
      <c r="E586" s="507">
        <v>266.67</v>
      </c>
      <c r="F586" s="507">
        <v>122.6</v>
      </c>
      <c r="G586" s="507">
        <v>36.41</v>
      </c>
      <c r="H586" s="507">
        <v>2.0</v>
      </c>
      <c r="I586" s="507">
        <v>1746.0</v>
      </c>
      <c r="J586" s="507">
        <v>11.4</v>
      </c>
      <c r="K586" s="507">
        <v>250.0</v>
      </c>
      <c r="L586" s="507" t="s">
        <v>3460</v>
      </c>
      <c r="M586" s="507" t="s">
        <v>166</v>
      </c>
      <c r="N586" s="507">
        <v>3.0</v>
      </c>
      <c r="O586" s="507">
        <v>2.0</v>
      </c>
      <c r="P586" s="507" t="s">
        <v>166</v>
      </c>
      <c r="Q586" s="507">
        <v>1.0</v>
      </c>
      <c r="R586" s="507" t="s">
        <v>174</v>
      </c>
      <c r="S586" s="507" t="s">
        <v>166</v>
      </c>
      <c r="T586" s="509"/>
    </row>
    <row r="587">
      <c r="A587" s="504" t="s">
        <v>3401</v>
      </c>
      <c r="B587" s="505" t="s">
        <v>3459</v>
      </c>
      <c r="C587" s="174" t="str">
        <f t="shared" si="126"/>
        <v>Gigabyte</v>
      </c>
      <c r="D587" s="506" t="s">
        <v>3844</v>
      </c>
      <c r="E587" s="507">
        <v>266.7</v>
      </c>
      <c r="F587" s="507">
        <v>149.27</v>
      </c>
      <c r="G587" s="507">
        <v>28.25</v>
      </c>
      <c r="H587" s="507">
        <v>2.0</v>
      </c>
      <c r="I587" s="507">
        <v>1746.0</v>
      </c>
      <c r="J587" s="507">
        <v>11.4</v>
      </c>
      <c r="K587" s="507">
        <v>250.0</v>
      </c>
      <c r="L587" s="507" t="s">
        <v>3460</v>
      </c>
      <c r="M587" s="507" t="s">
        <v>166</v>
      </c>
      <c r="N587" s="507">
        <v>3.0</v>
      </c>
      <c r="O587" s="507">
        <v>2.0</v>
      </c>
      <c r="P587" s="507" t="s">
        <v>166</v>
      </c>
      <c r="Q587" s="507">
        <v>1.0</v>
      </c>
      <c r="R587" s="507" t="s">
        <v>174</v>
      </c>
      <c r="S587" s="507" t="s">
        <v>166</v>
      </c>
      <c r="T587" s="509"/>
    </row>
    <row r="588">
      <c r="A588" s="504" t="s">
        <v>3401</v>
      </c>
      <c r="B588" s="505" t="s">
        <v>3459</v>
      </c>
      <c r="C588" s="452" t="s">
        <v>3538</v>
      </c>
      <c r="D588" s="506" t="s">
        <v>3812</v>
      </c>
      <c r="E588" s="507">
        <v>267.0</v>
      </c>
      <c r="F588" s="507">
        <v>111.0</v>
      </c>
      <c r="G588" s="507">
        <v>35.0</v>
      </c>
      <c r="H588" s="507">
        <v>2.0</v>
      </c>
      <c r="I588" s="507">
        <v>1582.0</v>
      </c>
      <c r="J588" s="507">
        <v>11.0</v>
      </c>
      <c r="K588" s="507">
        <v>250.0</v>
      </c>
      <c r="L588" s="507" t="s">
        <v>3361</v>
      </c>
      <c r="M588" s="507">
        <v>1.0</v>
      </c>
      <c r="N588" s="507">
        <v>3.0</v>
      </c>
      <c r="O588" s="507">
        <v>1.0</v>
      </c>
      <c r="P588" s="507" t="s">
        <v>166</v>
      </c>
      <c r="Q588" s="507" t="s">
        <v>166</v>
      </c>
      <c r="R588" s="507" t="s">
        <v>166</v>
      </c>
      <c r="S588" s="507" t="s">
        <v>174</v>
      </c>
      <c r="T588" s="509"/>
    </row>
    <row r="589">
      <c r="A589" s="504" t="s">
        <v>3401</v>
      </c>
      <c r="B589" s="505" t="s">
        <v>3459</v>
      </c>
      <c r="C589" s="452" t="s">
        <v>3538</v>
      </c>
      <c r="D589" s="506" t="s">
        <v>3599</v>
      </c>
      <c r="E589" s="507">
        <v>267.0</v>
      </c>
      <c r="F589" s="507">
        <v>111.0</v>
      </c>
      <c r="G589" s="507">
        <v>35.0</v>
      </c>
      <c r="H589" s="507">
        <v>2.0</v>
      </c>
      <c r="I589" s="507">
        <v>1582.0</v>
      </c>
      <c r="J589" s="507">
        <v>11.0</v>
      </c>
      <c r="K589" s="507">
        <v>250.0</v>
      </c>
      <c r="L589" s="507" t="s">
        <v>3361</v>
      </c>
      <c r="M589" s="507">
        <v>1.0</v>
      </c>
      <c r="N589" s="507">
        <v>3.0</v>
      </c>
      <c r="O589" s="507">
        <v>1.0</v>
      </c>
      <c r="P589" s="507" t="s">
        <v>166</v>
      </c>
      <c r="Q589" s="507" t="s">
        <v>166</v>
      </c>
      <c r="R589" s="507" t="s">
        <v>166</v>
      </c>
      <c r="S589" s="507" t="s">
        <v>174</v>
      </c>
      <c r="T589" s="509"/>
    </row>
    <row r="590">
      <c r="A590" s="504" t="s">
        <v>3401</v>
      </c>
      <c r="B590" s="505" t="s">
        <v>3459</v>
      </c>
      <c r="C590" s="452" t="s">
        <v>3538</v>
      </c>
      <c r="D590" s="506" t="s">
        <v>3845</v>
      </c>
      <c r="E590" s="507">
        <v>297.0</v>
      </c>
      <c r="F590" s="507">
        <v>111.0</v>
      </c>
      <c r="G590" s="507">
        <v>42.0</v>
      </c>
      <c r="H590" s="507">
        <v>2.0</v>
      </c>
      <c r="I590" s="507">
        <v>1657.0</v>
      </c>
      <c r="J590" s="507">
        <v>11.0</v>
      </c>
      <c r="K590" s="507">
        <v>250.0</v>
      </c>
      <c r="L590" s="507" t="s">
        <v>3460</v>
      </c>
      <c r="M590" s="507">
        <v>3.0</v>
      </c>
      <c r="N590" s="507">
        <v>3.0</v>
      </c>
      <c r="O590" s="507">
        <v>1.0</v>
      </c>
      <c r="P590" s="507" t="s">
        <v>166</v>
      </c>
      <c r="Q590" s="507">
        <v>1.0</v>
      </c>
      <c r="R590" s="507" t="s">
        <v>166</v>
      </c>
      <c r="S590" s="507" t="s">
        <v>166</v>
      </c>
      <c r="T590" s="509"/>
    </row>
    <row r="591">
      <c r="A591" s="504" t="s">
        <v>3401</v>
      </c>
      <c r="B591" s="505" t="s">
        <v>3459</v>
      </c>
      <c r="C591" s="452" t="str">
        <f t="shared" ref="C591:C594" si="127">HYPERLINK("http://manli.com/en","Manli")</f>
        <v>Manli</v>
      </c>
      <c r="D591" s="506" t="s">
        <v>3846</v>
      </c>
      <c r="E591" s="507">
        <v>282.0</v>
      </c>
      <c r="F591" s="507">
        <v>126.0</v>
      </c>
      <c r="G591" s="507">
        <v>42.0</v>
      </c>
      <c r="H591" s="507">
        <v>2.0</v>
      </c>
      <c r="I591" s="507">
        <v>1645.0</v>
      </c>
      <c r="J591" s="507">
        <v>11.0</v>
      </c>
      <c r="K591" s="507">
        <v>250.0</v>
      </c>
      <c r="L591" s="507" t="s">
        <v>3361</v>
      </c>
      <c r="M591" s="507">
        <v>1.0</v>
      </c>
      <c r="N591" s="507">
        <v>3.0</v>
      </c>
      <c r="O591" s="507">
        <v>1.0</v>
      </c>
      <c r="P591" s="507" t="s">
        <v>166</v>
      </c>
      <c r="Q591" s="507" t="s">
        <v>166</v>
      </c>
      <c r="R591" s="507" t="s">
        <v>166</v>
      </c>
      <c r="S591" s="507" t="s">
        <v>174</v>
      </c>
      <c r="T591" s="509"/>
    </row>
    <row r="592">
      <c r="A592" s="504" t="s">
        <v>3401</v>
      </c>
      <c r="B592" s="505" t="s">
        <v>3459</v>
      </c>
      <c r="C592" s="452" t="str">
        <f t="shared" si="127"/>
        <v>Manli</v>
      </c>
      <c r="D592" s="506" t="s">
        <v>3847</v>
      </c>
      <c r="E592" s="507">
        <v>314.0</v>
      </c>
      <c r="F592" s="507">
        <v>126.0</v>
      </c>
      <c r="G592" s="507">
        <v>42.0</v>
      </c>
      <c r="H592" s="507">
        <v>2.0</v>
      </c>
      <c r="I592" s="507">
        <v>1645.0</v>
      </c>
      <c r="J592" s="507">
        <v>11.0</v>
      </c>
      <c r="K592" s="507">
        <v>250.0</v>
      </c>
      <c r="L592" s="507" t="s">
        <v>3361</v>
      </c>
      <c r="M592" s="507">
        <v>3.0</v>
      </c>
      <c r="N592" s="507">
        <v>3.0</v>
      </c>
      <c r="O592" s="507">
        <v>1.0</v>
      </c>
      <c r="P592" s="507" t="s">
        <v>166</v>
      </c>
      <c r="Q592" s="507" t="s">
        <v>166</v>
      </c>
      <c r="R592" s="507" t="s">
        <v>166</v>
      </c>
      <c r="S592" s="507" t="s">
        <v>166</v>
      </c>
      <c r="T592" s="509"/>
    </row>
    <row r="593">
      <c r="A593" s="504" t="s">
        <v>3401</v>
      </c>
      <c r="B593" s="505" t="s">
        <v>3459</v>
      </c>
      <c r="C593" s="452" t="str">
        <f t="shared" si="127"/>
        <v>Manli</v>
      </c>
      <c r="D593" s="506" t="s">
        <v>3848</v>
      </c>
      <c r="E593" s="507">
        <v>314.0</v>
      </c>
      <c r="F593" s="507">
        <v>126.0</v>
      </c>
      <c r="G593" s="507">
        <v>42.0</v>
      </c>
      <c r="H593" s="507">
        <v>2.0</v>
      </c>
      <c r="I593" s="507">
        <v>1645.0</v>
      </c>
      <c r="J593" s="507">
        <v>11.0</v>
      </c>
      <c r="K593" s="507">
        <v>250.0</v>
      </c>
      <c r="L593" s="507" t="s">
        <v>3361</v>
      </c>
      <c r="M593" s="507">
        <v>3.0</v>
      </c>
      <c r="N593" s="507">
        <v>3.0</v>
      </c>
      <c r="O593" s="507">
        <v>1.0</v>
      </c>
      <c r="P593" s="507" t="s">
        <v>166</v>
      </c>
      <c r="Q593" s="507">
        <v>1.0</v>
      </c>
      <c r="R593" s="507" t="s">
        <v>166</v>
      </c>
      <c r="S593" s="507" t="s">
        <v>166</v>
      </c>
      <c r="T593" s="509"/>
    </row>
    <row r="594">
      <c r="A594" s="504" t="s">
        <v>3401</v>
      </c>
      <c r="B594" s="505" t="s">
        <v>3459</v>
      </c>
      <c r="C594" s="452" t="str">
        <f t="shared" si="127"/>
        <v>Manli</v>
      </c>
      <c r="D594" s="506" t="s">
        <v>3849</v>
      </c>
      <c r="E594" s="507">
        <v>314.0</v>
      </c>
      <c r="F594" s="507">
        <v>126.0</v>
      </c>
      <c r="G594" s="507">
        <v>42.0</v>
      </c>
      <c r="H594" s="507">
        <v>2.0</v>
      </c>
      <c r="I594" s="507">
        <v>1733.0</v>
      </c>
      <c r="J594" s="507">
        <v>11.0</v>
      </c>
      <c r="K594" s="507">
        <v>250.0</v>
      </c>
      <c r="L594" s="507" t="s">
        <v>3361</v>
      </c>
      <c r="M594" s="507">
        <v>3.0</v>
      </c>
      <c r="N594" s="507">
        <v>3.0</v>
      </c>
      <c r="O594" s="507">
        <v>1.0</v>
      </c>
      <c r="P594" s="507" t="s">
        <v>166</v>
      </c>
      <c r="Q594" s="507">
        <v>1.0</v>
      </c>
      <c r="R594" s="507" t="s">
        <v>166</v>
      </c>
      <c r="S594" s="507" t="s">
        <v>166</v>
      </c>
      <c r="T594" s="509"/>
    </row>
    <row r="595">
      <c r="A595" s="504" t="s">
        <v>3401</v>
      </c>
      <c r="B595" s="505" t="s">
        <v>3459</v>
      </c>
      <c r="C595" s="174" t="str">
        <f t="shared" ref="C595:C611" si="128">HYPERLINK("https://www.msi.com/index.php","MSI")</f>
        <v>MSI</v>
      </c>
      <c r="D595" s="506" t="s">
        <v>3812</v>
      </c>
      <c r="E595" s="507">
        <v>266.0</v>
      </c>
      <c r="F595" s="507">
        <v>111.0</v>
      </c>
      <c r="G595" s="507">
        <v>40.0</v>
      </c>
      <c r="H595" s="507">
        <v>2.0</v>
      </c>
      <c r="I595" s="507">
        <v>1582.0</v>
      </c>
      <c r="J595" s="507">
        <v>11.0</v>
      </c>
      <c r="K595" s="507">
        <v>250.0</v>
      </c>
      <c r="L595" s="507" t="s">
        <v>3361</v>
      </c>
      <c r="M595" s="507">
        <v>1.0</v>
      </c>
      <c r="N595" s="507">
        <v>3.0</v>
      </c>
      <c r="O595" s="507">
        <v>1.0</v>
      </c>
      <c r="P595" s="507" t="s">
        <v>166</v>
      </c>
      <c r="Q595" s="507" t="s">
        <v>166</v>
      </c>
      <c r="R595" s="507" t="s">
        <v>166</v>
      </c>
      <c r="S595" s="507" t="s">
        <v>174</v>
      </c>
      <c r="T595" s="509"/>
    </row>
    <row r="596">
      <c r="A596" s="504" t="s">
        <v>3401</v>
      </c>
      <c r="B596" s="505" t="s">
        <v>3459</v>
      </c>
      <c r="C596" s="174" t="str">
        <f t="shared" si="128"/>
        <v>MSI</v>
      </c>
      <c r="D596" s="506" t="s">
        <v>3850</v>
      </c>
      <c r="E596" s="507">
        <v>269.0</v>
      </c>
      <c r="F596" s="507">
        <v>111.0</v>
      </c>
      <c r="G596" s="507">
        <v>35.0</v>
      </c>
      <c r="H596" s="507">
        <v>2.0</v>
      </c>
      <c r="I596" s="507">
        <v>1582.0</v>
      </c>
      <c r="J596" s="507">
        <v>11.0</v>
      </c>
      <c r="K596" s="507">
        <v>250.0</v>
      </c>
      <c r="L596" s="507" t="s">
        <v>3361</v>
      </c>
      <c r="M596" s="507">
        <v>1.0</v>
      </c>
      <c r="N596" s="507">
        <v>3.0</v>
      </c>
      <c r="O596" s="507">
        <v>1.0</v>
      </c>
      <c r="P596" s="507" t="s">
        <v>166</v>
      </c>
      <c r="Q596" s="507" t="s">
        <v>166</v>
      </c>
      <c r="R596" s="507" t="s">
        <v>166</v>
      </c>
      <c r="S596" s="507" t="s">
        <v>174</v>
      </c>
      <c r="T596" s="509"/>
    </row>
    <row r="597">
      <c r="A597" s="504" t="s">
        <v>3401</v>
      </c>
      <c r="B597" s="505" t="s">
        <v>3459</v>
      </c>
      <c r="C597" s="174" t="str">
        <f t="shared" si="128"/>
        <v>MSI</v>
      </c>
      <c r="D597" s="506" t="s">
        <v>3851</v>
      </c>
      <c r="E597" s="507">
        <v>269.0</v>
      </c>
      <c r="F597" s="507">
        <v>111.0</v>
      </c>
      <c r="G597" s="507">
        <v>35.0</v>
      </c>
      <c r="H597" s="507">
        <v>2.0</v>
      </c>
      <c r="I597" s="507">
        <v>1620.0</v>
      </c>
      <c r="J597" s="507">
        <v>11.0</v>
      </c>
      <c r="K597" s="507">
        <v>250.0</v>
      </c>
      <c r="L597" s="507" t="s">
        <v>3361</v>
      </c>
      <c r="M597" s="507">
        <v>1.0</v>
      </c>
      <c r="N597" s="507">
        <v>3.0</v>
      </c>
      <c r="O597" s="507">
        <v>1.0</v>
      </c>
      <c r="P597" s="507" t="s">
        <v>166</v>
      </c>
      <c r="Q597" s="507" t="s">
        <v>166</v>
      </c>
      <c r="R597" s="507" t="s">
        <v>166</v>
      </c>
      <c r="S597" s="507" t="s">
        <v>174</v>
      </c>
      <c r="T597" s="509"/>
    </row>
    <row r="598">
      <c r="A598" s="504" t="s">
        <v>3401</v>
      </c>
      <c r="B598" s="505" t="s">
        <v>3459</v>
      </c>
      <c r="C598" s="174" t="str">
        <f t="shared" si="128"/>
        <v>MSI</v>
      </c>
      <c r="D598" s="506" t="s">
        <v>3693</v>
      </c>
      <c r="E598" s="507">
        <v>290.0</v>
      </c>
      <c r="F598" s="507">
        <v>143.0</v>
      </c>
      <c r="G598" s="507">
        <v>40.0</v>
      </c>
      <c r="H598" s="507">
        <v>2.0</v>
      </c>
      <c r="I598" s="507">
        <v>1582.0</v>
      </c>
      <c r="J598" s="507">
        <v>11.0</v>
      </c>
      <c r="K598" s="507">
        <v>250.0</v>
      </c>
      <c r="L598" s="507" t="s">
        <v>3460</v>
      </c>
      <c r="M598" s="507">
        <v>2.0</v>
      </c>
      <c r="N598" s="507">
        <v>2.0</v>
      </c>
      <c r="O598" s="507">
        <v>2.0</v>
      </c>
      <c r="P598" s="507" t="s">
        <v>166</v>
      </c>
      <c r="Q598" s="507">
        <v>1.0</v>
      </c>
      <c r="R598" s="507" t="s">
        <v>166</v>
      </c>
      <c r="S598" s="507" t="s">
        <v>166</v>
      </c>
      <c r="T598" s="509"/>
    </row>
    <row r="599">
      <c r="A599" s="504" t="s">
        <v>3401</v>
      </c>
      <c r="B599" s="505" t="s">
        <v>3459</v>
      </c>
      <c r="C599" s="174" t="str">
        <f t="shared" si="128"/>
        <v>MSI</v>
      </c>
      <c r="D599" s="506" t="s">
        <v>3852</v>
      </c>
      <c r="E599" s="507">
        <v>290.0</v>
      </c>
      <c r="F599" s="507">
        <v>143.0</v>
      </c>
      <c r="G599" s="507">
        <v>40.0</v>
      </c>
      <c r="H599" s="507">
        <v>2.0</v>
      </c>
      <c r="I599" s="507">
        <v>1645.0</v>
      </c>
      <c r="J599" s="507">
        <v>11.0</v>
      </c>
      <c r="K599" s="507">
        <v>250.0</v>
      </c>
      <c r="L599" s="507" t="s">
        <v>3460</v>
      </c>
      <c r="M599" s="507">
        <v>2.0</v>
      </c>
      <c r="N599" s="507">
        <v>2.0</v>
      </c>
      <c r="O599" s="507">
        <v>2.0</v>
      </c>
      <c r="P599" s="507" t="s">
        <v>166</v>
      </c>
      <c r="Q599" s="507">
        <v>1.0</v>
      </c>
      <c r="R599" s="507" t="s">
        <v>166</v>
      </c>
      <c r="S599" s="507" t="s">
        <v>166</v>
      </c>
      <c r="T599" s="509"/>
    </row>
    <row r="600">
      <c r="A600" s="504" t="s">
        <v>3401</v>
      </c>
      <c r="B600" s="505" t="s">
        <v>3459</v>
      </c>
      <c r="C600" s="174" t="str">
        <f t="shared" si="128"/>
        <v>MSI</v>
      </c>
      <c r="D600" s="506" t="s">
        <v>3853</v>
      </c>
      <c r="E600" s="507">
        <v>320.0</v>
      </c>
      <c r="F600" s="507">
        <v>141.0</v>
      </c>
      <c r="G600" s="507">
        <v>42.0</v>
      </c>
      <c r="H600" s="507">
        <v>2.0</v>
      </c>
      <c r="I600" s="507">
        <v>1582.0</v>
      </c>
      <c r="J600" s="507">
        <v>11.0</v>
      </c>
      <c r="K600" s="507">
        <v>250.0</v>
      </c>
      <c r="L600" s="507" t="s">
        <v>3460</v>
      </c>
      <c r="M600" s="507">
        <v>3.0</v>
      </c>
      <c r="N600" s="507">
        <v>2.0</v>
      </c>
      <c r="O600" s="507">
        <v>2.0</v>
      </c>
      <c r="P600" s="507" t="s">
        <v>166</v>
      </c>
      <c r="Q600" s="507">
        <v>1.0</v>
      </c>
      <c r="R600" s="507" t="s">
        <v>166</v>
      </c>
      <c r="S600" s="507" t="s">
        <v>166</v>
      </c>
      <c r="T600" s="509"/>
    </row>
    <row r="601">
      <c r="A601" s="504" t="s">
        <v>3401</v>
      </c>
      <c r="B601" s="505" t="s">
        <v>3459</v>
      </c>
      <c r="C601" s="174" t="str">
        <f t="shared" si="128"/>
        <v>MSI</v>
      </c>
      <c r="D601" s="506" t="s">
        <v>3854</v>
      </c>
      <c r="E601" s="507">
        <v>320.0</v>
      </c>
      <c r="F601" s="507">
        <v>141.0</v>
      </c>
      <c r="G601" s="507">
        <v>42.0</v>
      </c>
      <c r="H601" s="507">
        <v>2.0</v>
      </c>
      <c r="I601" s="507">
        <v>1645.0</v>
      </c>
      <c r="J601" s="507">
        <v>11.0</v>
      </c>
      <c r="K601" s="507">
        <v>250.0</v>
      </c>
      <c r="L601" s="507" t="s">
        <v>3460</v>
      </c>
      <c r="M601" s="507">
        <v>3.0</v>
      </c>
      <c r="N601" s="507">
        <v>2.0</v>
      </c>
      <c r="O601" s="507">
        <v>2.0</v>
      </c>
      <c r="P601" s="507" t="s">
        <v>166</v>
      </c>
      <c r="Q601" s="507">
        <v>1.0</v>
      </c>
      <c r="R601" s="507" t="s">
        <v>166</v>
      </c>
      <c r="S601" s="507" t="s">
        <v>166</v>
      </c>
      <c r="T601" s="509"/>
    </row>
    <row r="602">
      <c r="A602" s="504" t="s">
        <v>3401</v>
      </c>
      <c r="B602" s="505" t="s">
        <v>3459</v>
      </c>
      <c r="C602" s="174" t="str">
        <f t="shared" si="128"/>
        <v>MSI</v>
      </c>
      <c r="D602" s="506" t="s">
        <v>3409</v>
      </c>
      <c r="E602" s="507">
        <v>290.0</v>
      </c>
      <c r="F602" s="507">
        <v>140.0</v>
      </c>
      <c r="G602" s="507">
        <v>51.0</v>
      </c>
      <c r="H602" s="507">
        <v>2.0</v>
      </c>
      <c r="I602" s="507">
        <v>1620.0</v>
      </c>
      <c r="J602" s="507">
        <v>11.0</v>
      </c>
      <c r="K602" s="507">
        <v>250.0</v>
      </c>
      <c r="L602" s="507" t="s">
        <v>3460</v>
      </c>
      <c r="M602" s="507">
        <v>2.0</v>
      </c>
      <c r="N602" s="507">
        <v>2.0</v>
      </c>
      <c r="O602" s="507">
        <v>2.0</v>
      </c>
      <c r="P602" s="507" t="s">
        <v>166</v>
      </c>
      <c r="Q602" s="507">
        <v>1.0</v>
      </c>
      <c r="R602" s="507" t="s">
        <v>166</v>
      </c>
      <c r="S602" s="507" t="s">
        <v>166</v>
      </c>
      <c r="T602" s="509"/>
    </row>
    <row r="603">
      <c r="A603" s="504" t="s">
        <v>3401</v>
      </c>
      <c r="B603" s="505" t="s">
        <v>3459</v>
      </c>
      <c r="C603" s="174" t="str">
        <f t="shared" si="128"/>
        <v>MSI</v>
      </c>
      <c r="D603" s="506" t="s">
        <v>3557</v>
      </c>
      <c r="E603" s="507">
        <v>290.0</v>
      </c>
      <c r="F603" s="507">
        <v>140.0</v>
      </c>
      <c r="G603" s="507">
        <v>51.0</v>
      </c>
      <c r="H603" s="507">
        <v>2.0</v>
      </c>
      <c r="I603" s="507">
        <v>1683.0</v>
      </c>
      <c r="J603" s="507">
        <v>11.1</v>
      </c>
      <c r="K603" s="507">
        <v>250.0</v>
      </c>
      <c r="L603" s="507" t="s">
        <v>3460</v>
      </c>
      <c r="M603" s="507">
        <v>2.0</v>
      </c>
      <c r="N603" s="507">
        <v>2.0</v>
      </c>
      <c r="O603" s="507">
        <v>2.0</v>
      </c>
      <c r="P603" s="507" t="s">
        <v>166</v>
      </c>
      <c r="Q603" s="507">
        <v>1.0</v>
      </c>
      <c r="R603" s="507" t="s">
        <v>166</v>
      </c>
      <c r="S603" s="507" t="s">
        <v>166</v>
      </c>
      <c r="T603" s="509"/>
    </row>
    <row r="604">
      <c r="A604" s="504" t="s">
        <v>3401</v>
      </c>
      <c r="B604" s="505" t="s">
        <v>3459</v>
      </c>
      <c r="C604" s="174" t="str">
        <f t="shared" si="128"/>
        <v>MSI</v>
      </c>
      <c r="D604" s="506" t="s">
        <v>3720</v>
      </c>
      <c r="E604" s="507">
        <v>325.0</v>
      </c>
      <c r="F604" s="507">
        <v>140.0</v>
      </c>
      <c r="G604" s="507">
        <v>48.0</v>
      </c>
      <c r="H604" s="507">
        <v>2.0</v>
      </c>
      <c r="I604" s="507">
        <v>1620.0</v>
      </c>
      <c r="J604" s="507">
        <v>11.0</v>
      </c>
      <c r="K604" s="507">
        <v>250.0</v>
      </c>
      <c r="L604" s="507" t="s">
        <v>3460</v>
      </c>
      <c r="M604" s="507">
        <v>3.0</v>
      </c>
      <c r="N604" s="507">
        <v>2.0</v>
      </c>
      <c r="O604" s="507">
        <v>2.0</v>
      </c>
      <c r="P604" s="507" t="s">
        <v>166</v>
      </c>
      <c r="Q604" s="507">
        <v>1.0</v>
      </c>
      <c r="R604" s="507" t="s">
        <v>166</v>
      </c>
      <c r="S604" s="507" t="s">
        <v>166</v>
      </c>
      <c r="T604" s="509"/>
    </row>
    <row r="605">
      <c r="A605" s="504" t="s">
        <v>3401</v>
      </c>
      <c r="B605" s="505" t="s">
        <v>3459</v>
      </c>
      <c r="C605" s="174" t="str">
        <f t="shared" si="128"/>
        <v>MSI</v>
      </c>
      <c r="D605" s="506" t="s">
        <v>3721</v>
      </c>
      <c r="E605" s="507">
        <v>325.0</v>
      </c>
      <c r="F605" s="507">
        <v>140.0</v>
      </c>
      <c r="G605" s="507">
        <v>48.0</v>
      </c>
      <c r="H605" s="507">
        <v>2.0</v>
      </c>
      <c r="I605" s="507">
        <v>1683.0</v>
      </c>
      <c r="J605" s="507">
        <v>11.1</v>
      </c>
      <c r="K605" s="507">
        <v>250.0</v>
      </c>
      <c r="L605" s="507" t="s">
        <v>3460</v>
      </c>
      <c r="M605" s="507">
        <v>3.0</v>
      </c>
      <c r="N605" s="507">
        <v>2.0</v>
      </c>
      <c r="O605" s="507">
        <v>2.0</v>
      </c>
      <c r="P605" s="507" t="s">
        <v>166</v>
      </c>
      <c r="Q605" s="507">
        <v>1.0</v>
      </c>
      <c r="R605" s="507" t="s">
        <v>166</v>
      </c>
      <c r="S605" s="507" t="s">
        <v>166</v>
      </c>
      <c r="T605" s="509"/>
    </row>
    <row r="606">
      <c r="A606" s="504" t="s">
        <v>3401</v>
      </c>
      <c r="B606" s="505" t="s">
        <v>3459</v>
      </c>
      <c r="C606" s="174" t="str">
        <f t="shared" si="128"/>
        <v>MSI</v>
      </c>
      <c r="D606" s="506" t="s">
        <v>3855</v>
      </c>
      <c r="E606" s="507">
        <v>320.0</v>
      </c>
      <c r="F606" s="507">
        <v>140.0</v>
      </c>
      <c r="G606" s="507">
        <v>61.0</v>
      </c>
      <c r="H606" s="507">
        <v>2.0</v>
      </c>
      <c r="I606" s="507">
        <v>1632.0</v>
      </c>
      <c r="J606" s="507">
        <v>11.1</v>
      </c>
      <c r="K606" s="507">
        <v>250.0</v>
      </c>
      <c r="L606" s="507" t="s">
        <v>3734</v>
      </c>
      <c r="M606" s="507">
        <v>3.0</v>
      </c>
      <c r="N606" s="507">
        <v>2.0</v>
      </c>
      <c r="O606" s="507">
        <v>2.0</v>
      </c>
      <c r="P606" s="507" t="s">
        <v>166</v>
      </c>
      <c r="Q606" s="507">
        <v>1.0</v>
      </c>
      <c r="R606" s="507" t="s">
        <v>166</v>
      </c>
      <c r="S606" s="507" t="s">
        <v>166</v>
      </c>
      <c r="T606" s="509"/>
    </row>
    <row r="607">
      <c r="A607" s="504" t="s">
        <v>3401</v>
      </c>
      <c r="B607" s="505" t="s">
        <v>3459</v>
      </c>
      <c r="C607" s="174" t="str">
        <f t="shared" si="128"/>
        <v>MSI</v>
      </c>
      <c r="D607" s="506" t="s">
        <v>3856</v>
      </c>
      <c r="E607" s="507">
        <v>320.0</v>
      </c>
      <c r="F607" s="507">
        <v>140.0</v>
      </c>
      <c r="G607" s="507">
        <v>61.0</v>
      </c>
      <c r="H607" s="507">
        <v>2.0</v>
      </c>
      <c r="I607" s="507">
        <v>1683.0</v>
      </c>
      <c r="J607" s="507">
        <v>11.1</v>
      </c>
      <c r="K607" s="507">
        <v>250.0</v>
      </c>
      <c r="L607" s="507" t="s">
        <v>3734</v>
      </c>
      <c r="M607" s="507">
        <v>3.0</v>
      </c>
      <c r="N607" s="507">
        <v>2.0</v>
      </c>
      <c r="O607" s="507">
        <v>2.0</v>
      </c>
      <c r="P607" s="507" t="s">
        <v>166</v>
      </c>
      <c r="Q607" s="507">
        <v>1.0</v>
      </c>
      <c r="R607" s="507" t="s">
        <v>166</v>
      </c>
      <c r="S607" s="507" t="s">
        <v>166</v>
      </c>
      <c r="T607" s="509"/>
    </row>
    <row r="608">
      <c r="A608" s="504" t="s">
        <v>3401</v>
      </c>
      <c r="B608" s="505" t="s">
        <v>3459</v>
      </c>
      <c r="C608" s="174" t="str">
        <f t="shared" si="128"/>
        <v>MSI</v>
      </c>
      <c r="D608" s="506" t="s">
        <v>3857</v>
      </c>
      <c r="E608" s="507">
        <v>320.0</v>
      </c>
      <c r="F608" s="507">
        <v>140.0</v>
      </c>
      <c r="G608" s="507">
        <v>61.0</v>
      </c>
      <c r="H608" s="507">
        <v>2.0</v>
      </c>
      <c r="I608" s="507">
        <v>1721.0</v>
      </c>
      <c r="J608" s="507">
        <v>11.1</v>
      </c>
      <c r="K608" s="507">
        <v>250.0</v>
      </c>
      <c r="L608" s="507" t="s">
        <v>3734</v>
      </c>
      <c r="M608" s="507">
        <v>3.0</v>
      </c>
      <c r="N608" s="507">
        <v>2.0</v>
      </c>
      <c r="O608" s="507">
        <v>2.0</v>
      </c>
      <c r="P608" s="507" t="s">
        <v>166</v>
      </c>
      <c r="Q608" s="507">
        <v>1.0</v>
      </c>
      <c r="R608" s="507" t="s">
        <v>166</v>
      </c>
      <c r="S608" s="507" t="s">
        <v>166</v>
      </c>
      <c r="T608" s="509"/>
    </row>
    <row r="609">
      <c r="A609" s="504" t="s">
        <v>3401</v>
      </c>
      <c r="B609" s="505" t="s">
        <v>3459</v>
      </c>
      <c r="C609" s="174" t="str">
        <f t="shared" si="128"/>
        <v>MSI</v>
      </c>
      <c r="D609" s="506" t="s">
        <v>3858</v>
      </c>
      <c r="E609" s="507">
        <v>269.0</v>
      </c>
      <c r="F609" s="507">
        <v>111.0</v>
      </c>
      <c r="G609" s="507">
        <v>35.0</v>
      </c>
      <c r="H609" s="507">
        <v>2.0</v>
      </c>
      <c r="I609" s="507">
        <v>1620.0</v>
      </c>
      <c r="J609" s="507">
        <v>11.0</v>
      </c>
      <c r="K609" s="507">
        <v>250.0</v>
      </c>
      <c r="L609" s="507" t="s">
        <v>3361</v>
      </c>
      <c r="M609" s="507">
        <v>1.0</v>
      </c>
      <c r="N609" s="507">
        <v>3.0</v>
      </c>
      <c r="O609" s="507">
        <v>1.0</v>
      </c>
      <c r="P609" s="507" t="s">
        <v>166</v>
      </c>
      <c r="Q609" s="507">
        <v>1.0</v>
      </c>
      <c r="R609" s="507" t="s">
        <v>174</v>
      </c>
      <c r="S609" s="507" t="s">
        <v>174</v>
      </c>
      <c r="T609" s="509"/>
    </row>
    <row r="610">
      <c r="A610" s="504" t="s">
        <v>3401</v>
      </c>
      <c r="B610" s="505" t="s">
        <v>3459</v>
      </c>
      <c r="C610" s="174" t="str">
        <f t="shared" si="128"/>
        <v>MSI</v>
      </c>
      <c r="D610" s="506" t="s">
        <v>3859</v>
      </c>
      <c r="E610" s="507">
        <v>269.0</v>
      </c>
      <c r="F610" s="507">
        <v>111.0</v>
      </c>
      <c r="G610" s="507">
        <v>35.0</v>
      </c>
      <c r="H610" s="507">
        <v>2.0</v>
      </c>
      <c r="I610" s="507">
        <v>1683.0</v>
      </c>
      <c r="J610" s="507">
        <v>11.1</v>
      </c>
      <c r="K610" s="507">
        <v>250.0</v>
      </c>
      <c r="L610" s="507" t="s">
        <v>3361</v>
      </c>
      <c r="M610" s="507">
        <v>1.0</v>
      </c>
      <c r="N610" s="507">
        <v>3.0</v>
      </c>
      <c r="O610" s="507">
        <v>1.0</v>
      </c>
      <c r="P610" s="507" t="s">
        <v>166</v>
      </c>
      <c r="Q610" s="507">
        <v>1.0</v>
      </c>
      <c r="R610" s="507" t="s">
        <v>174</v>
      </c>
      <c r="S610" s="507" t="s">
        <v>174</v>
      </c>
      <c r="T610" s="509"/>
    </row>
    <row r="611">
      <c r="A611" s="504" t="s">
        <v>3401</v>
      </c>
      <c r="B611" s="505" t="s">
        <v>3459</v>
      </c>
      <c r="C611" s="174" t="str">
        <f t="shared" si="128"/>
        <v>MSI</v>
      </c>
      <c r="D611" s="506" t="s">
        <v>3860</v>
      </c>
      <c r="E611" s="507">
        <v>277.0</v>
      </c>
      <c r="F611" s="507">
        <v>170.0</v>
      </c>
      <c r="G611" s="507">
        <v>22.0</v>
      </c>
      <c r="H611" s="507">
        <v>2.0</v>
      </c>
      <c r="I611" s="507">
        <v>1683.0</v>
      </c>
      <c r="J611" s="507">
        <v>11.1</v>
      </c>
      <c r="K611" s="507">
        <v>250.0</v>
      </c>
      <c r="L611" s="507" t="s">
        <v>3460</v>
      </c>
      <c r="M611" s="507" t="s">
        <v>166</v>
      </c>
      <c r="N611" s="507">
        <v>2.0</v>
      </c>
      <c r="O611" s="507">
        <v>2.0</v>
      </c>
      <c r="P611" s="507" t="s">
        <v>166</v>
      </c>
      <c r="Q611" s="507">
        <v>1.0</v>
      </c>
      <c r="R611" s="507" t="s">
        <v>174</v>
      </c>
      <c r="S611" s="507" t="s">
        <v>166</v>
      </c>
      <c r="T611" s="509"/>
    </row>
    <row r="612">
      <c r="A612" s="504" t="s">
        <v>3401</v>
      </c>
      <c r="B612" s="505" t="s">
        <v>3459</v>
      </c>
      <c r="C612" s="452" t="str">
        <f t="shared" ref="C612:C615" si="129">HYPERLINK("https://pny.com/","PNY")</f>
        <v>PNY</v>
      </c>
      <c r="D612" s="506" t="s">
        <v>3861</v>
      </c>
      <c r="E612" s="507">
        <v>266.7</v>
      </c>
      <c r="F612" s="507">
        <v>111.15</v>
      </c>
      <c r="G612" s="507">
        <v>40.0</v>
      </c>
      <c r="H612" s="507">
        <v>2.0</v>
      </c>
      <c r="I612" s="507">
        <v>1582.0</v>
      </c>
      <c r="J612" s="507">
        <v>11.0</v>
      </c>
      <c r="K612" s="507">
        <v>250.0</v>
      </c>
      <c r="L612" s="507" t="s">
        <v>3361</v>
      </c>
      <c r="M612" s="507">
        <v>1.0</v>
      </c>
      <c r="N612" s="507">
        <v>3.0</v>
      </c>
      <c r="O612" s="507">
        <v>1.0</v>
      </c>
      <c r="P612" s="507" t="s">
        <v>166</v>
      </c>
      <c r="Q612" s="507" t="s">
        <v>166</v>
      </c>
      <c r="R612" s="507" t="s">
        <v>166</v>
      </c>
      <c r="S612" s="507" t="s">
        <v>174</v>
      </c>
      <c r="T612" s="509"/>
    </row>
    <row r="613">
      <c r="A613" s="504" t="s">
        <v>3401</v>
      </c>
      <c r="B613" s="505" t="s">
        <v>3459</v>
      </c>
      <c r="C613" s="452" t="str">
        <f t="shared" si="129"/>
        <v>PNY</v>
      </c>
      <c r="D613" s="506" t="s">
        <v>3862</v>
      </c>
      <c r="E613" s="507">
        <v>266.7</v>
      </c>
      <c r="F613" s="507">
        <v>111.15</v>
      </c>
      <c r="G613" s="507">
        <v>40.0</v>
      </c>
      <c r="H613" s="507">
        <v>2.0</v>
      </c>
      <c r="I613" s="507">
        <v>1582.0</v>
      </c>
      <c r="J613" s="507">
        <v>11.0</v>
      </c>
      <c r="K613" s="507">
        <v>250.0</v>
      </c>
      <c r="L613" s="507" t="s">
        <v>3361</v>
      </c>
      <c r="M613" s="507">
        <v>1.0</v>
      </c>
      <c r="N613" s="507">
        <v>3.0</v>
      </c>
      <c r="O613" s="507">
        <v>1.0</v>
      </c>
      <c r="P613" s="507" t="s">
        <v>166</v>
      </c>
      <c r="Q613" s="507" t="s">
        <v>166</v>
      </c>
      <c r="R613" s="507" t="s">
        <v>166</v>
      </c>
      <c r="S613" s="507" t="s">
        <v>174</v>
      </c>
      <c r="T613" s="509"/>
    </row>
    <row r="614">
      <c r="A614" s="504" t="s">
        <v>3401</v>
      </c>
      <c r="B614" s="505" t="s">
        <v>3459</v>
      </c>
      <c r="C614" s="452" t="str">
        <f t="shared" si="129"/>
        <v>PNY</v>
      </c>
      <c r="D614" s="506" t="s">
        <v>3863</v>
      </c>
      <c r="E614" s="507">
        <v>267.0</v>
      </c>
      <c r="F614" s="507">
        <v>112.0</v>
      </c>
      <c r="G614" s="507">
        <v>42.0</v>
      </c>
      <c r="H614" s="507">
        <v>2.0</v>
      </c>
      <c r="I614" s="507">
        <v>1620.0</v>
      </c>
      <c r="J614" s="507">
        <v>11.0</v>
      </c>
      <c r="K614" s="507">
        <v>250.0</v>
      </c>
      <c r="L614" s="507" t="s">
        <v>3361</v>
      </c>
      <c r="M614" s="507">
        <v>1.0</v>
      </c>
      <c r="N614" s="507">
        <v>3.0</v>
      </c>
      <c r="O614" s="507">
        <v>1.0</v>
      </c>
      <c r="P614" s="507" t="s">
        <v>166</v>
      </c>
      <c r="Q614" s="507" t="s">
        <v>166</v>
      </c>
      <c r="R614" s="507" t="s">
        <v>166</v>
      </c>
      <c r="S614" s="507" t="s">
        <v>174</v>
      </c>
      <c r="T614" s="509"/>
    </row>
    <row r="615">
      <c r="A615" s="504" t="s">
        <v>3401</v>
      </c>
      <c r="B615" s="505" t="s">
        <v>3459</v>
      </c>
      <c r="C615" s="452" t="str">
        <f t="shared" si="129"/>
        <v>PNY</v>
      </c>
      <c r="D615" s="506" t="s">
        <v>3864</v>
      </c>
      <c r="E615" s="507">
        <v>314.0</v>
      </c>
      <c r="F615" s="507">
        <v>126.0</v>
      </c>
      <c r="G615" s="507">
        <v>40.0</v>
      </c>
      <c r="H615" s="507">
        <v>2.0</v>
      </c>
      <c r="I615" s="507">
        <v>1645.0</v>
      </c>
      <c r="J615" s="507">
        <v>11.0</v>
      </c>
      <c r="K615" s="507">
        <v>250.0</v>
      </c>
      <c r="L615" s="507" t="s">
        <v>3361</v>
      </c>
      <c r="M615" s="507">
        <v>3.0</v>
      </c>
      <c r="N615" s="507">
        <v>3.0</v>
      </c>
      <c r="O615" s="507">
        <v>1.0</v>
      </c>
      <c r="P615" s="507" t="s">
        <v>166</v>
      </c>
      <c r="Q615" s="507" t="s">
        <v>166</v>
      </c>
      <c r="R615" s="507" t="s">
        <v>166</v>
      </c>
      <c r="S615" s="507" t="s">
        <v>166</v>
      </c>
      <c r="T615" s="509"/>
    </row>
    <row r="616">
      <c r="A616" s="504" t="s">
        <v>3401</v>
      </c>
      <c r="B616" s="505" t="s">
        <v>3459</v>
      </c>
      <c r="C616" s="452" t="str">
        <f t="shared" ref="C616:C621" si="130">HYPERLINK("http://zotac.com/","ZOTAC")</f>
        <v>ZOTAC</v>
      </c>
      <c r="D616" s="506" t="s">
        <v>3812</v>
      </c>
      <c r="E616" s="507">
        <v>266.7</v>
      </c>
      <c r="F616" s="507">
        <v>111.15</v>
      </c>
      <c r="G616" s="507">
        <v>35.3</v>
      </c>
      <c r="H616" s="507">
        <v>2.0</v>
      </c>
      <c r="I616" s="507">
        <v>1582.0</v>
      </c>
      <c r="J616" s="507">
        <v>11.0</v>
      </c>
      <c r="K616" s="507">
        <v>250.0</v>
      </c>
      <c r="L616" s="507" t="s">
        <v>3361</v>
      </c>
      <c r="M616" s="507">
        <v>1.0</v>
      </c>
      <c r="N616" s="507">
        <v>3.0</v>
      </c>
      <c r="O616" s="507">
        <v>1.0</v>
      </c>
      <c r="P616" s="507" t="s">
        <v>166</v>
      </c>
      <c r="Q616" s="507" t="s">
        <v>166</v>
      </c>
      <c r="R616" s="507" t="s">
        <v>166</v>
      </c>
      <c r="S616" s="507" t="s">
        <v>174</v>
      </c>
      <c r="T616" s="509"/>
    </row>
    <row r="617">
      <c r="A617" s="504" t="s">
        <v>3401</v>
      </c>
      <c r="B617" s="505" t="s">
        <v>3459</v>
      </c>
      <c r="C617" s="452" t="str">
        <f t="shared" si="130"/>
        <v>ZOTAC</v>
      </c>
      <c r="D617" s="506" t="s">
        <v>1609</v>
      </c>
      <c r="E617" s="507">
        <v>266.7</v>
      </c>
      <c r="F617" s="507">
        <v>111.15</v>
      </c>
      <c r="G617" s="507">
        <v>35.3</v>
      </c>
      <c r="H617" s="507">
        <v>2.0</v>
      </c>
      <c r="I617" s="507">
        <v>1582.0</v>
      </c>
      <c r="J617" s="507">
        <v>11.0</v>
      </c>
      <c r="K617" s="507">
        <v>250.0</v>
      </c>
      <c r="L617" s="507" t="s">
        <v>3361</v>
      </c>
      <c r="M617" s="507">
        <v>1.0</v>
      </c>
      <c r="N617" s="507">
        <v>3.0</v>
      </c>
      <c r="O617" s="507">
        <v>1.0</v>
      </c>
      <c r="P617" s="507" t="s">
        <v>166</v>
      </c>
      <c r="Q617" s="507" t="s">
        <v>166</v>
      </c>
      <c r="R617" s="507" t="s">
        <v>166</v>
      </c>
      <c r="S617" s="507" t="s">
        <v>174</v>
      </c>
      <c r="T617" s="509"/>
    </row>
    <row r="618">
      <c r="A618" s="504" t="s">
        <v>3401</v>
      </c>
      <c r="B618" s="505" t="s">
        <v>3459</v>
      </c>
      <c r="C618" s="452" t="str">
        <f t="shared" si="130"/>
        <v>ZOTAC</v>
      </c>
      <c r="D618" s="506" t="s">
        <v>3865</v>
      </c>
      <c r="E618" s="507">
        <v>300.0</v>
      </c>
      <c r="F618" s="507">
        <v>148.0</v>
      </c>
      <c r="G618" s="507">
        <v>43.5</v>
      </c>
      <c r="H618" s="507">
        <v>2.0</v>
      </c>
      <c r="I618" s="507">
        <v>1683.0</v>
      </c>
      <c r="J618" s="507">
        <v>11.0</v>
      </c>
      <c r="K618" s="507">
        <v>270.0</v>
      </c>
      <c r="L618" s="507" t="s">
        <v>3460</v>
      </c>
      <c r="M618" s="507">
        <v>2.0</v>
      </c>
      <c r="N618" s="507">
        <v>3.0</v>
      </c>
      <c r="O618" s="507">
        <v>1.0</v>
      </c>
      <c r="P618" s="507" t="s">
        <v>166</v>
      </c>
      <c r="Q618" s="507">
        <v>1.0</v>
      </c>
      <c r="R618" s="507" t="s">
        <v>166</v>
      </c>
      <c r="S618" s="507" t="s">
        <v>166</v>
      </c>
      <c r="T618" s="509"/>
    </row>
    <row r="619">
      <c r="A619" s="504" t="s">
        <v>3401</v>
      </c>
      <c r="B619" s="505" t="s">
        <v>3459</v>
      </c>
      <c r="C619" s="452" t="str">
        <f t="shared" si="130"/>
        <v>ZOTAC</v>
      </c>
      <c r="D619" s="506" t="s">
        <v>3866</v>
      </c>
      <c r="E619" s="507">
        <v>325.0</v>
      </c>
      <c r="F619" s="507">
        <v>148.0</v>
      </c>
      <c r="G619" s="507">
        <v>56.6</v>
      </c>
      <c r="H619" s="507">
        <v>2.0</v>
      </c>
      <c r="I619" s="507">
        <v>1721.0</v>
      </c>
      <c r="J619" s="507">
        <v>11.2</v>
      </c>
      <c r="K619" s="507">
        <v>320.0</v>
      </c>
      <c r="L619" s="507" t="s">
        <v>3460</v>
      </c>
      <c r="M619" s="507">
        <v>3.0</v>
      </c>
      <c r="N619" s="507">
        <v>3.0</v>
      </c>
      <c r="O619" s="507">
        <v>1.0</v>
      </c>
      <c r="P619" s="507" t="s">
        <v>166</v>
      </c>
      <c r="Q619" s="507">
        <v>1.0</v>
      </c>
      <c r="R619" s="507" t="s">
        <v>166</v>
      </c>
      <c r="S619" s="507" t="s">
        <v>166</v>
      </c>
      <c r="T619" s="509"/>
    </row>
    <row r="620">
      <c r="A620" s="504" t="s">
        <v>3401</v>
      </c>
      <c r="B620" s="505" t="s">
        <v>3459</v>
      </c>
      <c r="C620" s="452" t="str">
        <f t="shared" si="130"/>
        <v>ZOTAC</v>
      </c>
      <c r="D620" s="506" t="s">
        <v>3867</v>
      </c>
      <c r="E620" s="507">
        <v>325.0</v>
      </c>
      <c r="F620" s="507">
        <v>148.0</v>
      </c>
      <c r="G620" s="507">
        <v>56.6</v>
      </c>
      <c r="H620" s="507">
        <v>2.0</v>
      </c>
      <c r="I620" s="507">
        <v>1759.0</v>
      </c>
      <c r="J620" s="507">
        <v>11.2</v>
      </c>
      <c r="K620" s="507">
        <v>320.0</v>
      </c>
      <c r="L620" s="507" t="s">
        <v>3460</v>
      </c>
      <c r="M620" s="507">
        <v>3.0</v>
      </c>
      <c r="N620" s="507">
        <v>3.0</v>
      </c>
      <c r="O620" s="507">
        <v>1.0</v>
      </c>
      <c r="P620" s="507" t="s">
        <v>166</v>
      </c>
      <c r="Q620" s="507">
        <v>1.0</v>
      </c>
      <c r="R620" s="507" t="s">
        <v>166</v>
      </c>
      <c r="S620" s="507" t="s">
        <v>166</v>
      </c>
      <c r="T620" s="509"/>
    </row>
    <row r="621">
      <c r="A621" s="538" t="s">
        <v>3401</v>
      </c>
      <c r="B621" s="539" t="s">
        <v>3459</v>
      </c>
      <c r="C621" s="500" t="str">
        <f t="shared" si="130"/>
        <v>ZOTAC</v>
      </c>
      <c r="D621" s="391" t="s">
        <v>3868</v>
      </c>
      <c r="E621" s="519">
        <v>300.0</v>
      </c>
      <c r="F621" s="519">
        <v>148.0</v>
      </c>
      <c r="G621" s="519">
        <v>43.5</v>
      </c>
      <c r="H621" s="519">
        <v>2.0</v>
      </c>
      <c r="I621" s="519">
        <v>1620.0</v>
      </c>
      <c r="J621" s="519">
        <v>11.0</v>
      </c>
      <c r="K621" s="519">
        <v>250.0</v>
      </c>
      <c r="L621" s="519" t="s">
        <v>3460</v>
      </c>
      <c r="M621" s="519" t="s">
        <v>166</v>
      </c>
      <c r="N621" s="519">
        <v>3.0</v>
      </c>
      <c r="O621" s="519">
        <v>1.0</v>
      </c>
      <c r="P621" s="519" t="s">
        <v>166</v>
      </c>
      <c r="Q621" s="519">
        <v>1.0</v>
      </c>
      <c r="R621" s="519" t="s">
        <v>174</v>
      </c>
      <c r="S621" s="519" t="s">
        <v>166</v>
      </c>
      <c r="T621" s="541"/>
    </row>
    <row r="622">
      <c r="A622" s="538" t="s">
        <v>3401</v>
      </c>
      <c r="B622" s="539" t="s">
        <v>3869</v>
      </c>
      <c r="C622" s="290" t="s">
        <v>3575</v>
      </c>
      <c r="D622" s="549" t="s">
        <v>3870</v>
      </c>
      <c r="E622" s="519">
        <v>232.0</v>
      </c>
      <c r="F622" s="519">
        <v>127.0</v>
      </c>
      <c r="G622" s="519">
        <v>39.0</v>
      </c>
      <c r="H622" s="519">
        <v>2.0</v>
      </c>
      <c r="I622" s="519">
        <v>1815.0</v>
      </c>
      <c r="J622" s="519">
        <v>12.0</v>
      </c>
      <c r="K622" s="519">
        <v>75.0</v>
      </c>
      <c r="L622" s="519">
        <v>6.0</v>
      </c>
      <c r="M622" s="519">
        <v>2.0</v>
      </c>
      <c r="N622" s="519">
        <v>1.0</v>
      </c>
      <c r="O622" s="519">
        <v>1.0</v>
      </c>
      <c r="P622" s="519" t="s">
        <v>166</v>
      </c>
      <c r="Q622" s="519">
        <v>1.0</v>
      </c>
      <c r="R622" s="519" t="s">
        <v>166</v>
      </c>
      <c r="S622" s="519" t="s">
        <v>166</v>
      </c>
      <c r="T622" s="541"/>
    </row>
    <row r="623">
      <c r="A623" s="504" t="s">
        <v>3401</v>
      </c>
      <c r="B623" s="505" t="s">
        <v>3462</v>
      </c>
      <c r="C623" s="506" t="s">
        <v>3467</v>
      </c>
      <c r="D623" s="506" t="s">
        <v>3871</v>
      </c>
      <c r="E623" s="507">
        <v>227.0</v>
      </c>
      <c r="F623" s="507">
        <v>128.0</v>
      </c>
      <c r="G623" s="507">
        <v>35.0</v>
      </c>
      <c r="H623" s="507">
        <v>2.0</v>
      </c>
      <c r="I623" s="507">
        <v>1665.0</v>
      </c>
      <c r="J623" s="507">
        <v>8.0</v>
      </c>
      <c r="K623" s="507">
        <v>75.0</v>
      </c>
      <c r="L623" s="507">
        <v>6.0</v>
      </c>
      <c r="M623" s="507">
        <v>2.0</v>
      </c>
      <c r="N623" s="507" t="s">
        <v>166</v>
      </c>
      <c r="O623" s="507">
        <v>1.0</v>
      </c>
      <c r="P623" s="507" t="s">
        <v>166</v>
      </c>
      <c r="Q623" s="507">
        <v>1.0</v>
      </c>
      <c r="R623" s="507" t="s">
        <v>166</v>
      </c>
      <c r="S623" s="507" t="s">
        <v>166</v>
      </c>
      <c r="T623" s="509"/>
    </row>
    <row r="624">
      <c r="A624" s="504" t="s">
        <v>3401</v>
      </c>
      <c r="B624" s="505" t="s">
        <v>3462</v>
      </c>
      <c r="C624" s="282" t="str">
        <f t="shared" ref="C624:C626" si="131">HYPERLINK("https://www.asus.com/","Asus")</f>
        <v>Asus</v>
      </c>
      <c r="D624" s="506" t="s">
        <v>3631</v>
      </c>
      <c r="E624" s="507">
        <v>242.0</v>
      </c>
      <c r="F624" s="507">
        <v>127.0</v>
      </c>
      <c r="G624" s="507">
        <v>38.4</v>
      </c>
      <c r="H624" s="507">
        <v>2.0</v>
      </c>
      <c r="I624" s="507">
        <v>1695.0</v>
      </c>
      <c r="J624" s="507">
        <v>8.0</v>
      </c>
      <c r="K624" s="507">
        <v>75.0</v>
      </c>
      <c r="L624" s="507">
        <v>6.0</v>
      </c>
      <c r="M624" s="507">
        <v>2.0</v>
      </c>
      <c r="N624" s="507">
        <v>2.0</v>
      </c>
      <c r="O624" s="507">
        <v>2.0</v>
      </c>
      <c r="P624" s="507" t="s">
        <v>166</v>
      </c>
      <c r="Q624" s="507" t="s">
        <v>166</v>
      </c>
      <c r="R624" s="508" t="s">
        <v>166</v>
      </c>
      <c r="S624" s="508" t="s">
        <v>166</v>
      </c>
      <c r="T624" s="509"/>
    </row>
    <row r="625">
      <c r="A625" s="494" t="s">
        <v>3401</v>
      </c>
      <c r="B625" s="495" t="s">
        <v>3462</v>
      </c>
      <c r="C625" s="174" t="str">
        <f t="shared" si="131"/>
        <v>Asus</v>
      </c>
      <c r="D625" s="452" t="s">
        <v>3642</v>
      </c>
      <c r="E625" s="266">
        <v>242.0</v>
      </c>
      <c r="F625" s="266">
        <v>127.0</v>
      </c>
      <c r="G625" s="266">
        <v>38.4</v>
      </c>
      <c r="H625" s="266">
        <v>2.0</v>
      </c>
      <c r="I625" s="266">
        <v>1710.0</v>
      </c>
      <c r="J625" s="266">
        <v>8.0</v>
      </c>
      <c r="K625" s="266">
        <v>75.0</v>
      </c>
      <c r="L625" s="266">
        <v>6.0</v>
      </c>
      <c r="M625" s="266">
        <v>2.0</v>
      </c>
      <c r="N625" s="266">
        <v>2.0</v>
      </c>
      <c r="O625" s="266">
        <v>2.0</v>
      </c>
      <c r="P625" s="266" t="s">
        <v>166</v>
      </c>
      <c r="Q625" s="266" t="s">
        <v>166</v>
      </c>
      <c r="R625" s="497" t="s">
        <v>166</v>
      </c>
      <c r="S625" s="497" t="s">
        <v>166</v>
      </c>
      <c r="T625" s="496"/>
    </row>
    <row r="626">
      <c r="A626" s="494" t="s">
        <v>3401</v>
      </c>
      <c r="B626" s="495" t="s">
        <v>3462</v>
      </c>
      <c r="C626" s="174" t="str">
        <f t="shared" si="131"/>
        <v>Asus</v>
      </c>
      <c r="D626" s="452" t="s">
        <v>3643</v>
      </c>
      <c r="E626" s="550">
        <v>242.0</v>
      </c>
      <c r="F626" s="551">
        <v>127.0</v>
      </c>
      <c r="G626" s="552">
        <v>38.4</v>
      </c>
      <c r="H626" s="266">
        <v>2.0</v>
      </c>
      <c r="I626" s="266">
        <v>1860.0</v>
      </c>
      <c r="J626" s="266">
        <v>8.0</v>
      </c>
      <c r="K626" s="266">
        <v>75.0</v>
      </c>
      <c r="L626" s="266">
        <v>6.0</v>
      </c>
      <c r="M626" s="266">
        <v>2.0</v>
      </c>
      <c r="N626" s="266">
        <v>2.0</v>
      </c>
      <c r="O626" s="266">
        <v>2.0</v>
      </c>
      <c r="P626" s="266" t="s">
        <v>166</v>
      </c>
      <c r="Q626" s="266" t="s">
        <v>166</v>
      </c>
      <c r="R626" s="497" t="s">
        <v>166</v>
      </c>
      <c r="S626" s="497" t="s">
        <v>166</v>
      </c>
      <c r="T626" s="496"/>
    </row>
    <row r="627">
      <c r="A627" s="494" t="s">
        <v>3401</v>
      </c>
      <c r="B627" s="495" t="s">
        <v>3462</v>
      </c>
      <c r="C627" s="452" t="s">
        <v>3575</v>
      </c>
      <c r="D627" s="452" t="s">
        <v>3428</v>
      </c>
      <c r="E627" s="266">
        <v>228.0</v>
      </c>
      <c r="F627" s="518">
        <v>127.0</v>
      </c>
      <c r="G627" s="518">
        <v>39.0</v>
      </c>
      <c r="H627" s="266">
        <v>2.0</v>
      </c>
      <c r="I627" s="266">
        <v>1680.0</v>
      </c>
      <c r="J627" s="266">
        <v>8.0</v>
      </c>
      <c r="K627" s="266">
        <v>75.0</v>
      </c>
      <c r="L627" s="266">
        <v>6.0</v>
      </c>
      <c r="M627" s="266">
        <v>2.0</v>
      </c>
      <c r="N627" s="266">
        <v>1.0</v>
      </c>
      <c r="O627" s="266">
        <v>1.0</v>
      </c>
      <c r="P627" s="266" t="s">
        <v>166</v>
      </c>
      <c r="Q627" s="266">
        <v>1.0</v>
      </c>
      <c r="R627" s="497" t="s">
        <v>166</v>
      </c>
      <c r="S627" s="497" t="s">
        <v>166</v>
      </c>
      <c r="T627" s="496"/>
    </row>
    <row r="628">
      <c r="A628" s="494" t="s">
        <v>3401</v>
      </c>
      <c r="B628" s="495" t="s">
        <v>3462</v>
      </c>
      <c r="C628" s="452" t="s">
        <v>3575</v>
      </c>
      <c r="D628" s="452" t="s">
        <v>3872</v>
      </c>
      <c r="E628" s="266">
        <v>232.0</v>
      </c>
      <c r="F628" s="518">
        <v>127.0</v>
      </c>
      <c r="G628" s="518">
        <v>39.0</v>
      </c>
      <c r="H628" s="266">
        <v>2.0</v>
      </c>
      <c r="I628" s="266">
        <v>1785.0</v>
      </c>
      <c r="J628" s="266">
        <v>8.0</v>
      </c>
      <c r="K628" s="266">
        <v>75.0</v>
      </c>
      <c r="L628" s="266">
        <v>6.0</v>
      </c>
      <c r="M628" s="266">
        <v>2.0</v>
      </c>
      <c r="N628" s="266">
        <v>1.0</v>
      </c>
      <c r="O628" s="266">
        <v>1.0</v>
      </c>
      <c r="P628" s="266" t="s">
        <v>166</v>
      </c>
      <c r="Q628" s="266">
        <v>1.0</v>
      </c>
      <c r="R628" s="497" t="s">
        <v>166</v>
      </c>
      <c r="S628" s="497" t="s">
        <v>166</v>
      </c>
      <c r="T628" s="496"/>
    </row>
    <row r="629">
      <c r="A629" s="494" t="s">
        <v>3401</v>
      </c>
      <c r="B629" s="495" t="s">
        <v>3462</v>
      </c>
      <c r="C629" s="452" t="s">
        <v>3575</v>
      </c>
      <c r="D629" s="452" t="s">
        <v>3873</v>
      </c>
      <c r="E629" s="266">
        <v>240.0</v>
      </c>
      <c r="F629" s="518">
        <v>132.0</v>
      </c>
      <c r="G629" s="518">
        <v>40.3</v>
      </c>
      <c r="H629" s="266">
        <v>2.0</v>
      </c>
      <c r="I629" s="266">
        <v>1860.0</v>
      </c>
      <c r="J629" s="266">
        <v>8.0</v>
      </c>
      <c r="K629" s="266">
        <v>75.0</v>
      </c>
      <c r="L629" s="266">
        <v>6.0</v>
      </c>
      <c r="M629" s="266">
        <v>2.0</v>
      </c>
      <c r="N629" s="266">
        <v>1.0</v>
      </c>
      <c r="O629" s="266">
        <v>1.0</v>
      </c>
      <c r="P629" s="266" t="s">
        <v>166</v>
      </c>
      <c r="Q629" s="266">
        <v>1.0</v>
      </c>
      <c r="R629" s="497" t="s">
        <v>166</v>
      </c>
      <c r="S629" s="497" t="s">
        <v>166</v>
      </c>
      <c r="T629" s="496"/>
    </row>
    <row r="630">
      <c r="A630" s="494" t="s">
        <v>3401</v>
      </c>
      <c r="B630" s="495" t="s">
        <v>3462</v>
      </c>
      <c r="C630" s="174" t="str">
        <f t="shared" ref="C630:C632" si="132">HYPERLINK("https://www.gigabyte.com/","Gigabyte")</f>
        <v>Gigabyte</v>
      </c>
      <c r="D630" s="452" t="s">
        <v>3597</v>
      </c>
      <c r="E630" s="266">
        <v>229.0</v>
      </c>
      <c r="F630" s="266">
        <v>119.0</v>
      </c>
      <c r="G630" s="266">
        <v>36.0</v>
      </c>
      <c r="H630" s="266">
        <v>2.0</v>
      </c>
      <c r="I630" s="266">
        <v>1665.0</v>
      </c>
      <c r="J630" s="266">
        <v>8.0</v>
      </c>
      <c r="K630" s="266">
        <v>75.0</v>
      </c>
      <c r="L630" s="266">
        <v>6.0</v>
      </c>
      <c r="M630" s="266">
        <v>2.0</v>
      </c>
      <c r="N630" s="266">
        <v>1.0</v>
      </c>
      <c r="O630" s="266">
        <v>3.0</v>
      </c>
      <c r="P630" s="266" t="s">
        <v>166</v>
      </c>
      <c r="Q630" s="266" t="s">
        <v>166</v>
      </c>
      <c r="R630" s="497" t="s">
        <v>166</v>
      </c>
      <c r="S630" s="497" t="s">
        <v>166</v>
      </c>
      <c r="T630" s="496"/>
    </row>
    <row r="631">
      <c r="A631" s="494" t="s">
        <v>3401</v>
      </c>
      <c r="B631" s="495" t="s">
        <v>3462</v>
      </c>
      <c r="C631" s="174" t="str">
        <f t="shared" si="132"/>
        <v>Gigabyte</v>
      </c>
      <c r="D631" s="452" t="s">
        <v>3578</v>
      </c>
      <c r="E631" s="266">
        <v>229.0</v>
      </c>
      <c r="F631" s="266">
        <v>119.0</v>
      </c>
      <c r="G631" s="266">
        <v>36.0</v>
      </c>
      <c r="H631" s="266">
        <v>2.0</v>
      </c>
      <c r="I631" s="266">
        <v>1785.0</v>
      </c>
      <c r="J631" s="266">
        <v>8.0</v>
      </c>
      <c r="K631" s="266">
        <v>75.0</v>
      </c>
      <c r="L631" s="266">
        <v>6.0</v>
      </c>
      <c r="M631" s="266">
        <v>2.0</v>
      </c>
      <c r="N631" s="266">
        <v>1.0</v>
      </c>
      <c r="O631" s="266">
        <v>3.0</v>
      </c>
      <c r="P631" s="266" t="s">
        <v>166</v>
      </c>
      <c r="Q631" s="266" t="s">
        <v>166</v>
      </c>
      <c r="R631" s="497" t="s">
        <v>166</v>
      </c>
      <c r="S631" s="497" t="s">
        <v>166</v>
      </c>
      <c r="T631" s="496"/>
    </row>
    <row r="632">
      <c r="A632" s="494" t="s">
        <v>3401</v>
      </c>
      <c r="B632" s="495" t="s">
        <v>3462</v>
      </c>
      <c r="C632" s="174" t="str">
        <f t="shared" si="132"/>
        <v>Gigabyte</v>
      </c>
      <c r="D632" s="452" t="s">
        <v>3630</v>
      </c>
      <c r="E632" s="266">
        <v>265.0</v>
      </c>
      <c r="F632" s="266">
        <v>118.0</v>
      </c>
      <c r="G632" s="266">
        <v>40.0</v>
      </c>
      <c r="H632" s="266">
        <v>2.0</v>
      </c>
      <c r="I632" s="266">
        <v>1815.0</v>
      </c>
      <c r="J632" s="266">
        <v>8.0</v>
      </c>
      <c r="K632" s="266">
        <v>75.0</v>
      </c>
      <c r="L632" s="266">
        <v>6.0</v>
      </c>
      <c r="M632" s="266">
        <v>2.0</v>
      </c>
      <c r="N632" s="266">
        <v>1.0</v>
      </c>
      <c r="O632" s="266">
        <v>3.0</v>
      </c>
      <c r="P632" s="266" t="s">
        <v>166</v>
      </c>
      <c r="Q632" s="266" t="s">
        <v>166</v>
      </c>
      <c r="R632" s="497" t="s">
        <v>166</v>
      </c>
      <c r="S632" s="497" t="s">
        <v>166</v>
      </c>
      <c r="T632" s="496"/>
    </row>
    <row r="633">
      <c r="A633" s="494" t="s">
        <v>3401</v>
      </c>
      <c r="B633" s="495" t="s">
        <v>3462</v>
      </c>
      <c r="C633" s="174" t="str">
        <f t="shared" ref="C633:C634" si="133">HYPERLINK("https://www.msi.com/index.php","MSI")</f>
        <v>MSI</v>
      </c>
      <c r="D633" s="452" t="s">
        <v>3409</v>
      </c>
      <c r="E633" s="266">
        <v>245.0</v>
      </c>
      <c r="F633" s="266">
        <v>127.0</v>
      </c>
      <c r="G633" s="266">
        <v>39.0</v>
      </c>
      <c r="H633" s="266">
        <v>2.0</v>
      </c>
      <c r="I633" s="266">
        <v>1695.0</v>
      </c>
      <c r="J633" s="266">
        <v>8.0</v>
      </c>
      <c r="K633" s="266">
        <v>75.0</v>
      </c>
      <c r="L633" s="266">
        <v>6.0</v>
      </c>
      <c r="M633" s="266">
        <v>2.0</v>
      </c>
      <c r="N633" s="266">
        <v>2.0</v>
      </c>
      <c r="O633" s="266">
        <v>1.0</v>
      </c>
      <c r="P633" s="266" t="s">
        <v>166</v>
      </c>
      <c r="Q633" s="266" t="s">
        <v>166</v>
      </c>
      <c r="R633" s="497" t="s">
        <v>166</v>
      </c>
      <c r="S633" s="497" t="s">
        <v>166</v>
      </c>
      <c r="T633" s="496"/>
    </row>
    <row r="634">
      <c r="A634" s="498" t="s">
        <v>3401</v>
      </c>
      <c r="B634" s="499" t="s">
        <v>3462</v>
      </c>
      <c r="C634" s="291" t="str">
        <f t="shared" si="133"/>
        <v>MSI</v>
      </c>
      <c r="D634" s="500" t="s">
        <v>3557</v>
      </c>
      <c r="E634" s="501">
        <v>245.0</v>
      </c>
      <c r="F634" s="501">
        <v>127.0</v>
      </c>
      <c r="G634" s="501">
        <v>39.0</v>
      </c>
      <c r="H634" s="501">
        <v>2.0</v>
      </c>
      <c r="I634" s="501">
        <v>1860.0</v>
      </c>
      <c r="J634" s="501">
        <v>8.0</v>
      </c>
      <c r="K634" s="501">
        <v>75.0</v>
      </c>
      <c r="L634" s="501">
        <v>6.0</v>
      </c>
      <c r="M634" s="501">
        <v>2.0</v>
      </c>
      <c r="N634" s="501">
        <v>2.0</v>
      </c>
      <c r="O634" s="501">
        <v>1.0</v>
      </c>
      <c r="P634" s="501" t="s">
        <v>166</v>
      </c>
      <c r="Q634" s="501" t="s">
        <v>166</v>
      </c>
      <c r="R634" s="502" t="s">
        <v>166</v>
      </c>
      <c r="S634" s="502" t="s">
        <v>166</v>
      </c>
      <c r="T634" s="503"/>
    </row>
    <row r="635">
      <c r="A635" s="504" t="s">
        <v>3401</v>
      </c>
      <c r="B635" s="505" t="s">
        <v>3466</v>
      </c>
      <c r="C635" s="174" t="s">
        <v>3467</v>
      </c>
      <c r="D635" s="452" t="s">
        <v>3874</v>
      </c>
      <c r="E635" s="266" t="s">
        <v>170</v>
      </c>
      <c r="F635" s="266" t="s">
        <v>170</v>
      </c>
      <c r="G635" s="266" t="s">
        <v>170</v>
      </c>
      <c r="H635" s="266">
        <v>2.0</v>
      </c>
      <c r="I635" s="266">
        <v>1590.0</v>
      </c>
      <c r="J635" s="266">
        <v>12.0</v>
      </c>
      <c r="K635" s="266">
        <v>75.0</v>
      </c>
      <c r="L635" s="266">
        <v>6.0</v>
      </c>
      <c r="M635" s="266">
        <v>2.0</v>
      </c>
      <c r="N635" s="266">
        <v>1.0</v>
      </c>
      <c r="O635" s="266">
        <v>1.0</v>
      </c>
      <c r="P635" s="266" t="s">
        <v>166</v>
      </c>
      <c r="Q635" s="266">
        <v>1.0</v>
      </c>
      <c r="R635" s="497" t="s">
        <v>166</v>
      </c>
      <c r="S635" s="497" t="s">
        <v>166</v>
      </c>
      <c r="T635" s="496"/>
    </row>
    <row r="636">
      <c r="A636" s="504" t="s">
        <v>3401</v>
      </c>
      <c r="B636" s="505" t="s">
        <v>3466</v>
      </c>
      <c r="C636" s="282" t="str">
        <f t="shared" ref="C636:C638" si="134">HYPERLINK("https://www.asus.com/","Asus")</f>
        <v>Asus</v>
      </c>
      <c r="D636" s="506" t="s">
        <v>3631</v>
      </c>
      <c r="E636" s="507">
        <v>241.0</v>
      </c>
      <c r="F636" s="507">
        <v>130.0</v>
      </c>
      <c r="G636" s="507">
        <v>45.0</v>
      </c>
      <c r="H636" s="507">
        <v>2.0</v>
      </c>
      <c r="I636" s="507">
        <v>1620.0</v>
      </c>
      <c r="J636" s="507">
        <v>12.0</v>
      </c>
      <c r="K636" s="507">
        <v>75.0</v>
      </c>
      <c r="L636" s="507">
        <v>6.0</v>
      </c>
      <c r="M636" s="507">
        <v>2.0</v>
      </c>
      <c r="N636" s="507">
        <v>2.0</v>
      </c>
      <c r="O636" s="507">
        <v>2.0</v>
      </c>
      <c r="P636" s="507" t="s">
        <v>166</v>
      </c>
      <c r="Q636" s="507" t="s">
        <v>166</v>
      </c>
      <c r="R636" s="508" t="s">
        <v>166</v>
      </c>
      <c r="S636" s="508" t="s">
        <v>166</v>
      </c>
      <c r="T636" s="509"/>
    </row>
    <row r="637">
      <c r="A637" s="494" t="s">
        <v>3401</v>
      </c>
      <c r="B637" s="495" t="s">
        <v>3466</v>
      </c>
      <c r="C637" s="174" t="str">
        <f t="shared" si="134"/>
        <v>Asus</v>
      </c>
      <c r="D637" s="452" t="s">
        <v>3642</v>
      </c>
      <c r="E637" s="266">
        <v>241.0</v>
      </c>
      <c r="F637" s="266">
        <v>130.0</v>
      </c>
      <c r="G637" s="266">
        <v>45.0</v>
      </c>
      <c r="H637" s="266">
        <v>2.0</v>
      </c>
      <c r="I637" s="266">
        <v>1650.0</v>
      </c>
      <c r="J637" s="266">
        <v>12.0</v>
      </c>
      <c r="K637" s="266">
        <v>75.0</v>
      </c>
      <c r="L637" s="266">
        <v>6.0</v>
      </c>
      <c r="M637" s="266">
        <v>2.0</v>
      </c>
      <c r="N637" s="266">
        <v>2.0</v>
      </c>
      <c r="O637" s="266">
        <v>2.0</v>
      </c>
      <c r="P637" s="266" t="s">
        <v>166</v>
      </c>
      <c r="Q637" s="266" t="s">
        <v>166</v>
      </c>
      <c r="R637" s="497" t="s">
        <v>166</v>
      </c>
      <c r="S637" s="497" t="s">
        <v>166</v>
      </c>
      <c r="T637" s="496"/>
    </row>
    <row r="638">
      <c r="A638" s="494" t="s">
        <v>3401</v>
      </c>
      <c r="B638" s="495" t="s">
        <v>3466</v>
      </c>
      <c r="C638" s="174" t="str">
        <f t="shared" si="134"/>
        <v>Asus</v>
      </c>
      <c r="D638" s="452" t="s">
        <v>3643</v>
      </c>
      <c r="E638" s="553">
        <v>241.0</v>
      </c>
      <c r="F638" s="554">
        <v>130.0</v>
      </c>
      <c r="G638" s="555">
        <v>45.0</v>
      </c>
      <c r="H638" s="266">
        <v>2.0</v>
      </c>
      <c r="I638" s="266">
        <v>1845.0</v>
      </c>
      <c r="J638" s="266">
        <v>12.0</v>
      </c>
      <c r="K638" s="266">
        <v>75.0</v>
      </c>
      <c r="L638" s="266">
        <v>6.0</v>
      </c>
      <c r="M638" s="266">
        <v>2.0</v>
      </c>
      <c r="N638" s="266">
        <v>2.0</v>
      </c>
      <c r="O638" s="266">
        <v>2.0</v>
      </c>
      <c r="P638" s="266" t="s">
        <v>166</v>
      </c>
      <c r="Q638" s="266" t="s">
        <v>166</v>
      </c>
      <c r="R638" s="497" t="s">
        <v>166</v>
      </c>
      <c r="S638" s="497" t="s">
        <v>166</v>
      </c>
      <c r="T638" s="496"/>
    </row>
    <row r="639">
      <c r="A639" s="494" t="s">
        <v>3401</v>
      </c>
      <c r="B639" s="495" t="s">
        <v>3466</v>
      </c>
      <c r="C639" s="452" t="s">
        <v>3575</v>
      </c>
      <c r="D639" s="452" t="s">
        <v>3875</v>
      </c>
      <c r="E639" s="266">
        <v>228.0</v>
      </c>
      <c r="F639" s="518">
        <v>127.0</v>
      </c>
      <c r="G639" s="518">
        <v>39.0</v>
      </c>
      <c r="H639" s="266">
        <v>2.0</v>
      </c>
      <c r="I639" s="266">
        <v>1590.0</v>
      </c>
      <c r="J639" s="266">
        <v>12.0</v>
      </c>
      <c r="K639" s="266">
        <v>75.0</v>
      </c>
      <c r="L639" s="266">
        <v>6.0</v>
      </c>
      <c r="M639" s="266">
        <v>2.0</v>
      </c>
      <c r="N639" s="266">
        <v>1.0</v>
      </c>
      <c r="O639" s="266">
        <v>1.0</v>
      </c>
      <c r="P639" s="266" t="s">
        <v>166</v>
      </c>
      <c r="Q639" s="266">
        <v>1.0</v>
      </c>
      <c r="R639" s="497" t="s">
        <v>166</v>
      </c>
      <c r="S639" s="497" t="s">
        <v>166</v>
      </c>
      <c r="T639" s="496"/>
    </row>
    <row r="640">
      <c r="A640" s="494" t="s">
        <v>3401</v>
      </c>
      <c r="B640" s="495" t="s">
        <v>3466</v>
      </c>
      <c r="C640" s="452" t="s">
        <v>3575</v>
      </c>
      <c r="D640" s="452" t="s">
        <v>3876</v>
      </c>
      <c r="E640" s="266">
        <v>222.0</v>
      </c>
      <c r="F640" s="518">
        <v>126.0</v>
      </c>
      <c r="G640" s="518">
        <v>42.0</v>
      </c>
      <c r="H640" s="266">
        <v>2.0</v>
      </c>
      <c r="I640" s="266">
        <v>1710.0</v>
      </c>
      <c r="J640" s="266">
        <v>12.0</v>
      </c>
      <c r="K640" s="266">
        <v>75.0</v>
      </c>
      <c r="L640" s="266">
        <v>8.0</v>
      </c>
      <c r="M640" s="266">
        <v>2.0</v>
      </c>
      <c r="N640" s="266">
        <v>1.0</v>
      </c>
      <c r="O640" s="266">
        <v>1.0</v>
      </c>
      <c r="P640" s="266" t="s">
        <v>166</v>
      </c>
      <c r="Q640" s="266">
        <v>1.0</v>
      </c>
      <c r="R640" s="497" t="s">
        <v>166</v>
      </c>
      <c r="S640" s="497" t="s">
        <v>166</v>
      </c>
      <c r="T640" s="496"/>
    </row>
    <row r="641">
      <c r="A641" s="494" t="s">
        <v>3401</v>
      </c>
      <c r="B641" s="495" t="s">
        <v>3466</v>
      </c>
      <c r="C641" s="452" t="s">
        <v>3575</v>
      </c>
      <c r="D641" s="452" t="s">
        <v>3877</v>
      </c>
      <c r="E641" s="266">
        <v>232.0</v>
      </c>
      <c r="F641" s="518">
        <v>127.0</v>
      </c>
      <c r="G641" s="518">
        <v>39.0</v>
      </c>
      <c r="H641" s="266">
        <v>2.0</v>
      </c>
      <c r="I641" s="266">
        <v>1710.0</v>
      </c>
      <c r="J641" s="266">
        <v>12.0</v>
      </c>
      <c r="K641" s="266">
        <v>75.0</v>
      </c>
      <c r="L641" s="266">
        <v>6.0</v>
      </c>
      <c r="M641" s="266">
        <v>2.0</v>
      </c>
      <c r="N641" s="266">
        <v>1.0</v>
      </c>
      <c r="O641" s="266">
        <v>1.0</v>
      </c>
      <c r="P641" s="266" t="s">
        <v>166</v>
      </c>
      <c r="Q641" s="266">
        <v>1.0</v>
      </c>
      <c r="R641" s="497" t="s">
        <v>166</v>
      </c>
      <c r="S641" s="497" t="s">
        <v>166</v>
      </c>
      <c r="T641" s="496"/>
    </row>
    <row r="642">
      <c r="A642" s="494" t="s">
        <v>3401</v>
      </c>
      <c r="B642" s="495" t="s">
        <v>3466</v>
      </c>
      <c r="C642" s="452" t="s">
        <v>3575</v>
      </c>
      <c r="D642" s="452" t="s">
        <v>3878</v>
      </c>
      <c r="E642" s="266">
        <v>240.0</v>
      </c>
      <c r="F642" s="518">
        <v>132.0</v>
      </c>
      <c r="G642" s="518">
        <v>40.3</v>
      </c>
      <c r="H642" s="266">
        <v>2.0</v>
      </c>
      <c r="I642" s="266">
        <v>1725.0</v>
      </c>
      <c r="J642" s="266">
        <v>12.0</v>
      </c>
      <c r="K642" s="266">
        <v>75.0</v>
      </c>
      <c r="L642" s="266">
        <v>6.0</v>
      </c>
      <c r="M642" s="266">
        <v>2.0</v>
      </c>
      <c r="N642" s="266">
        <v>1.0</v>
      </c>
      <c r="O642" s="266">
        <v>1.0</v>
      </c>
      <c r="P642" s="266" t="s">
        <v>166</v>
      </c>
      <c r="Q642" s="266">
        <v>1.0</v>
      </c>
      <c r="R642" s="497" t="s">
        <v>166</v>
      </c>
      <c r="S642" s="497" t="s">
        <v>166</v>
      </c>
      <c r="T642" s="496"/>
    </row>
    <row r="643">
      <c r="A643" s="494" t="s">
        <v>3401</v>
      </c>
      <c r="B643" s="495" t="s">
        <v>3466</v>
      </c>
      <c r="C643" s="452" t="str">
        <f>HYPERLINK("http://www.inno3d.com/","Inno3D")</f>
        <v>Inno3D</v>
      </c>
      <c r="D643" s="452" t="s">
        <v>3879</v>
      </c>
      <c r="E643" s="266">
        <v>220.0</v>
      </c>
      <c r="F643" s="266">
        <v>113.0</v>
      </c>
      <c r="G643" s="266">
        <v>40.0</v>
      </c>
      <c r="H643" s="266">
        <v>2.0</v>
      </c>
      <c r="I643" s="266">
        <v>1635.0</v>
      </c>
      <c r="J643" s="266">
        <v>12.0</v>
      </c>
      <c r="K643" s="266">
        <v>75.0</v>
      </c>
      <c r="L643" s="266">
        <v>6.0</v>
      </c>
      <c r="M643" s="266">
        <v>2.0</v>
      </c>
      <c r="N643" s="266">
        <v>2.0</v>
      </c>
      <c r="O643" s="266">
        <v>1.0</v>
      </c>
      <c r="P643" s="266" t="s">
        <v>166</v>
      </c>
      <c r="Q643" s="266" t="s">
        <v>166</v>
      </c>
      <c r="R643" s="497" t="s">
        <v>166</v>
      </c>
      <c r="S643" s="497" t="s">
        <v>166</v>
      </c>
      <c r="T643" s="496"/>
    </row>
    <row r="644">
      <c r="A644" s="494" t="s">
        <v>3401</v>
      </c>
      <c r="B644" s="495" t="s">
        <v>3466</v>
      </c>
      <c r="C644" s="174" t="str">
        <f t="shared" ref="C644:C647" si="135">HYPERLINK("https://www.msi.com/index.php","MSI")</f>
        <v>MSI</v>
      </c>
      <c r="D644" s="452" t="s">
        <v>3409</v>
      </c>
      <c r="E644" s="266">
        <v>245.0</v>
      </c>
      <c r="F644" s="266">
        <v>127.0</v>
      </c>
      <c r="G644" s="266">
        <v>39.0</v>
      </c>
      <c r="H644" s="266">
        <v>2.0</v>
      </c>
      <c r="I644" s="266">
        <v>1620.0</v>
      </c>
      <c r="J644" s="266">
        <v>12.0</v>
      </c>
      <c r="K644" s="266">
        <v>75.0</v>
      </c>
      <c r="L644" s="266">
        <v>6.0</v>
      </c>
      <c r="M644" s="266">
        <v>2.0</v>
      </c>
      <c r="N644" s="266">
        <v>2.0</v>
      </c>
      <c r="O644" s="266">
        <v>1.0</v>
      </c>
      <c r="P644" s="266" t="s">
        <v>166</v>
      </c>
      <c r="Q644" s="266" t="s">
        <v>166</v>
      </c>
      <c r="R644" s="497" t="s">
        <v>166</v>
      </c>
      <c r="S644" s="497" t="s">
        <v>166</v>
      </c>
      <c r="T644" s="496"/>
    </row>
    <row r="645">
      <c r="A645" s="494" t="s">
        <v>3401</v>
      </c>
      <c r="B645" s="495" t="s">
        <v>3466</v>
      </c>
      <c r="C645" s="174" t="str">
        <f t="shared" si="135"/>
        <v>MSI</v>
      </c>
      <c r="D645" s="452" t="s">
        <v>3557</v>
      </c>
      <c r="E645" s="266">
        <v>245.0</v>
      </c>
      <c r="F645" s="266">
        <v>127.0</v>
      </c>
      <c r="G645" s="266">
        <v>39.0</v>
      </c>
      <c r="H645" s="266">
        <v>2.0</v>
      </c>
      <c r="I645" s="266">
        <v>1710.0</v>
      </c>
      <c r="J645" s="266">
        <v>12.0</v>
      </c>
      <c r="K645" s="266">
        <v>75.0</v>
      </c>
      <c r="L645" s="266">
        <v>6.0</v>
      </c>
      <c r="M645" s="266">
        <v>2.0</v>
      </c>
      <c r="N645" s="266">
        <v>2.0</v>
      </c>
      <c r="O645" s="266">
        <v>1.0</v>
      </c>
      <c r="P645" s="266" t="s">
        <v>166</v>
      </c>
      <c r="Q645" s="266" t="s">
        <v>166</v>
      </c>
      <c r="R645" s="497" t="s">
        <v>166</v>
      </c>
      <c r="S645" s="497" t="s">
        <v>166</v>
      </c>
      <c r="T645" s="496"/>
    </row>
    <row r="646">
      <c r="A646" s="494" t="s">
        <v>3401</v>
      </c>
      <c r="B646" s="495" t="s">
        <v>3466</v>
      </c>
      <c r="C646" s="174" t="str">
        <f t="shared" si="135"/>
        <v>MSI</v>
      </c>
      <c r="D646" s="452" t="s">
        <v>3880</v>
      </c>
      <c r="E646" s="266">
        <v>248.0</v>
      </c>
      <c r="F646" s="266">
        <v>127.0</v>
      </c>
      <c r="G646" s="266">
        <v>44.0</v>
      </c>
      <c r="H646" s="266">
        <v>2.0</v>
      </c>
      <c r="I646" s="266">
        <v>1590.0</v>
      </c>
      <c r="J646" s="266">
        <v>12.0</v>
      </c>
      <c r="K646" s="266">
        <v>75.0</v>
      </c>
      <c r="L646" s="266">
        <v>6.0</v>
      </c>
      <c r="M646" s="266">
        <v>2.0</v>
      </c>
      <c r="N646" s="266">
        <v>3.0</v>
      </c>
      <c r="O646" s="266">
        <v>1.0</v>
      </c>
      <c r="P646" s="266" t="s">
        <v>166</v>
      </c>
      <c r="Q646" s="266" t="s">
        <v>166</v>
      </c>
      <c r="R646" s="497" t="s">
        <v>166</v>
      </c>
      <c r="S646" s="497" t="s">
        <v>166</v>
      </c>
      <c r="T646" s="496"/>
    </row>
    <row r="647">
      <c r="A647" s="498" t="s">
        <v>3401</v>
      </c>
      <c r="B647" s="499" t="s">
        <v>3466</v>
      </c>
      <c r="C647" s="291" t="str">
        <f t="shared" si="135"/>
        <v>MSI</v>
      </c>
      <c r="D647" s="500" t="s">
        <v>3881</v>
      </c>
      <c r="E647" s="501">
        <v>248.0</v>
      </c>
      <c r="F647" s="501">
        <v>127.0</v>
      </c>
      <c r="G647" s="501">
        <v>44.0</v>
      </c>
      <c r="H647" s="501">
        <v>2.0</v>
      </c>
      <c r="I647" s="501">
        <v>1710.0</v>
      </c>
      <c r="J647" s="501">
        <v>12.0</v>
      </c>
      <c r="K647" s="501">
        <v>75.0</v>
      </c>
      <c r="L647" s="501">
        <v>6.0</v>
      </c>
      <c r="M647" s="501">
        <v>2.0</v>
      </c>
      <c r="N647" s="501">
        <v>3.0</v>
      </c>
      <c r="O647" s="501">
        <v>1.0</v>
      </c>
      <c r="P647" s="501" t="s">
        <v>166</v>
      </c>
      <c r="Q647" s="501" t="s">
        <v>166</v>
      </c>
      <c r="R647" s="502" t="s">
        <v>166</v>
      </c>
      <c r="S647" s="502" t="s">
        <v>166</v>
      </c>
      <c r="T647" s="503"/>
    </row>
    <row r="648">
      <c r="A648" s="504" t="s">
        <v>3401</v>
      </c>
      <c r="B648" s="505" t="s">
        <v>3504</v>
      </c>
      <c r="C648" s="282" t="s">
        <v>3467</v>
      </c>
      <c r="D648" s="506" t="s">
        <v>3874</v>
      </c>
      <c r="E648" s="507" t="s">
        <v>170</v>
      </c>
      <c r="F648" s="507" t="s">
        <v>170</v>
      </c>
      <c r="G648" s="507" t="s">
        <v>170</v>
      </c>
      <c r="H648" s="507">
        <v>2.0</v>
      </c>
      <c r="I648" s="507">
        <v>1725.0</v>
      </c>
      <c r="J648" s="507">
        <v>12.0</v>
      </c>
      <c r="K648" s="507">
        <v>100.0</v>
      </c>
      <c r="L648" s="507">
        <v>6.0</v>
      </c>
      <c r="M648" s="507">
        <v>2.0</v>
      </c>
      <c r="N648" s="507">
        <v>1.0</v>
      </c>
      <c r="O648" s="507">
        <v>1.0</v>
      </c>
      <c r="P648" s="507" t="s">
        <v>166</v>
      </c>
      <c r="Q648" s="507">
        <v>1.0</v>
      </c>
      <c r="R648" s="508" t="s">
        <v>166</v>
      </c>
      <c r="S648" s="508" t="s">
        <v>166</v>
      </c>
      <c r="T648" s="509"/>
    </row>
    <row r="649">
      <c r="A649" s="504" t="s">
        <v>3401</v>
      </c>
      <c r="B649" s="505" t="s">
        <v>3504</v>
      </c>
      <c r="C649" s="282" t="str">
        <f t="shared" ref="C649:C651" si="136">HYPERLINK("https://www.asus.com/","Asus")</f>
        <v>Asus</v>
      </c>
      <c r="D649" s="506" t="s">
        <v>3631</v>
      </c>
      <c r="E649" s="507">
        <v>243.0</v>
      </c>
      <c r="F649" s="507">
        <v>130.0</v>
      </c>
      <c r="G649" s="507">
        <v>47.0</v>
      </c>
      <c r="H649" s="507">
        <v>2.0</v>
      </c>
      <c r="I649" s="507">
        <v>1755.0</v>
      </c>
      <c r="J649" s="507">
        <v>12.0</v>
      </c>
      <c r="K649" s="507">
        <v>100.0</v>
      </c>
      <c r="L649" s="507">
        <v>6.0</v>
      </c>
      <c r="M649" s="507">
        <v>2.0</v>
      </c>
      <c r="N649" s="507">
        <v>2.0</v>
      </c>
      <c r="O649" s="507">
        <v>2.0</v>
      </c>
      <c r="P649" s="507" t="s">
        <v>166</v>
      </c>
      <c r="Q649" s="507" t="s">
        <v>166</v>
      </c>
      <c r="R649" s="508" t="s">
        <v>166</v>
      </c>
      <c r="S649" s="508" t="s">
        <v>166</v>
      </c>
      <c r="T649" s="509"/>
    </row>
    <row r="650">
      <c r="A650" s="494" t="s">
        <v>3401</v>
      </c>
      <c r="B650" s="495" t="s">
        <v>3504</v>
      </c>
      <c r="C650" s="174" t="str">
        <f t="shared" si="136"/>
        <v>Asus</v>
      </c>
      <c r="D650" s="452" t="s">
        <v>3642</v>
      </c>
      <c r="E650" s="266">
        <v>243.0</v>
      </c>
      <c r="F650" s="266">
        <v>130.0</v>
      </c>
      <c r="G650" s="266">
        <v>47.0</v>
      </c>
      <c r="H650" s="266">
        <v>2.0</v>
      </c>
      <c r="I650" s="266">
        <v>1770.0</v>
      </c>
      <c r="J650" s="266">
        <v>12.0</v>
      </c>
      <c r="K650" s="266">
        <v>100.0</v>
      </c>
      <c r="L650" s="266">
        <v>6.0</v>
      </c>
      <c r="M650" s="266">
        <v>2.0</v>
      </c>
      <c r="N650" s="266">
        <v>2.0</v>
      </c>
      <c r="O650" s="266">
        <v>2.0</v>
      </c>
      <c r="P650" s="266" t="s">
        <v>166</v>
      </c>
      <c r="Q650" s="266" t="s">
        <v>166</v>
      </c>
      <c r="R650" s="497" t="s">
        <v>166</v>
      </c>
      <c r="S650" s="497" t="s">
        <v>166</v>
      </c>
      <c r="T650" s="496"/>
    </row>
    <row r="651">
      <c r="A651" s="494" t="s">
        <v>3401</v>
      </c>
      <c r="B651" s="495" t="s">
        <v>3504</v>
      </c>
      <c r="C651" s="174" t="str">
        <f t="shared" si="136"/>
        <v>Asus</v>
      </c>
      <c r="D651" s="452" t="s">
        <v>3643</v>
      </c>
      <c r="E651" s="556">
        <v>243.0</v>
      </c>
      <c r="F651" s="554">
        <v>130.0</v>
      </c>
      <c r="G651" s="557">
        <v>47.0</v>
      </c>
      <c r="H651" s="266">
        <v>2.0</v>
      </c>
      <c r="I651" s="266">
        <v>1810.0</v>
      </c>
      <c r="J651" s="266">
        <v>12.0</v>
      </c>
      <c r="K651" s="266">
        <v>100.0</v>
      </c>
      <c r="L651" s="266">
        <v>6.0</v>
      </c>
      <c r="M651" s="266">
        <v>2.0</v>
      </c>
      <c r="N651" s="266">
        <v>2.0</v>
      </c>
      <c r="O651" s="266">
        <v>2.0</v>
      </c>
      <c r="P651" s="266" t="s">
        <v>166</v>
      </c>
      <c r="Q651" s="266" t="s">
        <v>166</v>
      </c>
      <c r="R651" s="497" t="s">
        <v>166</v>
      </c>
      <c r="S651" s="497" t="s">
        <v>166</v>
      </c>
      <c r="T651" s="496"/>
    </row>
    <row r="652">
      <c r="A652" s="494" t="s">
        <v>3401</v>
      </c>
      <c r="B652" s="495" t="s">
        <v>3504</v>
      </c>
      <c r="C652" s="452" t="s">
        <v>3575</v>
      </c>
      <c r="D652" s="452" t="s">
        <v>3428</v>
      </c>
      <c r="E652" s="266">
        <v>227.0</v>
      </c>
      <c r="F652" s="518">
        <v>130.0</v>
      </c>
      <c r="G652" s="518">
        <v>42.0</v>
      </c>
      <c r="H652" s="266">
        <v>2.0</v>
      </c>
      <c r="I652" s="266">
        <v>1725.0</v>
      </c>
      <c r="J652" s="266">
        <v>12.0</v>
      </c>
      <c r="K652" s="266">
        <v>100.0</v>
      </c>
      <c r="L652" s="266">
        <v>6.0</v>
      </c>
      <c r="M652" s="266">
        <v>2.0</v>
      </c>
      <c r="N652" s="266">
        <v>1.0</v>
      </c>
      <c r="O652" s="266">
        <v>1.0</v>
      </c>
      <c r="P652" s="266" t="s">
        <v>166</v>
      </c>
      <c r="Q652" s="266">
        <v>1.0</v>
      </c>
      <c r="R652" s="497" t="s">
        <v>166</v>
      </c>
      <c r="S652" s="497" t="s">
        <v>166</v>
      </c>
      <c r="T652" s="496"/>
    </row>
    <row r="653">
      <c r="A653" s="494" t="s">
        <v>3401</v>
      </c>
      <c r="B653" s="495" t="s">
        <v>3504</v>
      </c>
      <c r="C653" s="452" t="s">
        <v>3575</v>
      </c>
      <c r="D653" s="452" t="s">
        <v>3872</v>
      </c>
      <c r="E653" s="266">
        <v>234.0</v>
      </c>
      <c r="F653" s="518">
        <v>130.0</v>
      </c>
      <c r="G653" s="518">
        <v>42.0</v>
      </c>
      <c r="H653" s="266">
        <v>2.0</v>
      </c>
      <c r="I653" s="266">
        <v>1725.0</v>
      </c>
      <c r="J653" s="266">
        <v>12.0</v>
      </c>
      <c r="K653" s="266">
        <v>100.0</v>
      </c>
      <c r="L653" s="266">
        <v>6.0</v>
      </c>
      <c r="M653" s="266">
        <v>2.0</v>
      </c>
      <c r="N653" s="266">
        <v>1.0</v>
      </c>
      <c r="O653" s="266">
        <v>1.0</v>
      </c>
      <c r="P653" s="266" t="s">
        <v>166</v>
      </c>
      <c r="Q653" s="266">
        <v>1.0</v>
      </c>
      <c r="R653" s="497" t="s">
        <v>166</v>
      </c>
      <c r="S653" s="497" t="s">
        <v>166</v>
      </c>
      <c r="T653" s="496"/>
    </row>
    <row r="654">
      <c r="A654" s="494" t="s">
        <v>3401</v>
      </c>
      <c r="B654" s="495" t="s">
        <v>3504</v>
      </c>
      <c r="C654" s="452" t="s">
        <v>3575</v>
      </c>
      <c r="D654" s="452" t="s">
        <v>3878</v>
      </c>
      <c r="E654" s="266">
        <v>240.0</v>
      </c>
      <c r="F654" s="518">
        <v>130.0</v>
      </c>
      <c r="G654" s="518">
        <v>42.0</v>
      </c>
      <c r="H654" s="266">
        <v>2.0</v>
      </c>
      <c r="I654" s="266">
        <v>1755.0</v>
      </c>
      <c r="J654" s="266">
        <v>12.0</v>
      </c>
      <c r="K654" s="266">
        <v>100.0</v>
      </c>
      <c r="L654" s="266">
        <v>6.0</v>
      </c>
      <c r="M654" s="266">
        <v>2.0</v>
      </c>
      <c r="N654" s="266">
        <v>1.0</v>
      </c>
      <c r="O654" s="266">
        <v>1.0</v>
      </c>
      <c r="P654" s="266" t="s">
        <v>166</v>
      </c>
      <c r="Q654" s="266">
        <v>1.0</v>
      </c>
      <c r="R654" s="497" t="s">
        <v>166</v>
      </c>
      <c r="S654" s="497" t="s">
        <v>166</v>
      </c>
      <c r="T654" s="496"/>
    </row>
    <row r="655">
      <c r="A655" s="494" t="s">
        <v>3401</v>
      </c>
      <c r="B655" s="495" t="s">
        <v>3504</v>
      </c>
      <c r="C655" s="174" t="str">
        <f>HYPERLINK("https://www.gigabyte.com/","Gigabyte")</f>
        <v>Gigabyte</v>
      </c>
      <c r="D655" s="452" t="s">
        <v>3578</v>
      </c>
      <c r="E655" s="266">
        <v>225.0</v>
      </c>
      <c r="F655" s="266">
        <v>119.0</v>
      </c>
      <c r="G655" s="266">
        <v>40.0</v>
      </c>
      <c r="H655" s="266">
        <v>2.0</v>
      </c>
      <c r="I655" s="266">
        <v>1755.0</v>
      </c>
      <c r="J655" s="266">
        <v>12.0</v>
      </c>
      <c r="K655" s="266">
        <v>100.0</v>
      </c>
      <c r="L655" s="266">
        <v>6.0</v>
      </c>
      <c r="M655" s="266">
        <v>2.0</v>
      </c>
      <c r="N655" s="266">
        <v>1.0</v>
      </c>
      <c r="O655" s="266">
        <v>1.0</v>
      </c>
      <c r="P655" s="266" t="s">
        <v>166</v>
      </c>
      <c r="Q655" s="266">
        <v>1.0</v>
      </c>
      <c r="R655" s="497" t="s">
        <v>166</v>
      </c>
      <c r="S655" s="497" t="s">
        <v>166</v>
      </c>
      <c r="T655" s="496"/>
    </row>
    <row r="656">
      <c r="A656" s="494" t="s">
        <v>3401</v>
      </c>
      <c r="B656" s="495" t="s">
        <v>3504</v>
      </c>
      <c r="C656" s="452" t="str">
        <f>HYPERLINK("http://www.inno3d.com/","Inno3D")</f>
        <v>Inno3D</v>
      </c>
      <c r="D656" s="452" t="s">
        <v>3882</v>
      </c>
      <c r="E656" s="266">
        <v>220.0</v>
      </c>
      <c r="F656" s="266">
        <v>113.0</v>
      </c>
      <c r="G656" s="266">
        <v>40.0</v>
      </c>
      <c r="H656" s="266">
        <v>2.0</v>
      </c>
      <c r="I656" s="266">
        <v>1755.0</v>
      </c>
      <c r="J656" s="266">
        <v>12.0</v>
      </c>
      <c r="K656" s="266">
        <v>100.0</v>
      </c>
      <c r="L656" s="266">
        <v>6.0</v>
      </c>
      <c r="M656" s="266">
        <v>2.0</v>
      </c>
      <c r="N656" s="266">
        <v>1.0</v>
      </c>
      <c r="O656" s="266">
        <v>1.0</v>
      </c>
      <c r="P656" s="266" t="s">
        <v>166</v>
      </c>
      <c r="Q656" s="266">
        <v>1.0</v>
      </c>
      <c r="R656" s="497" t="s">
        <v>166</v>
      </c>
      <c r="S656" s="497" t="s">
        <v>166</v>
      </c>
      <c r="T656" s="496"/>
    </row>
    <row r="657">
      <c r="A657" s="494" t="s">
        <v>3401</v>
      </c>
      <c r="B657" s="495" t="s">
        <v>3504</v>
      </c>
      <c r="C657" s="174" t="str">
        <f t="shared" ref="C657:C658" si="137">HYPERLINK("https://www.msi.com/index.php","MSI")</f>
        <v>MSI</v>
      </c>
      <c r="D657" s="452" t="s">
        <v>3409</v>
      </c>
      <c r="E657" s="266">
        <v>248.0</v>
      </c>
      <c r="F657" s="266">
        <v>127.0</v>
      </c>
      <c r="G657" s="266">
        <v>44.0</v>
      </c>
      <c r="H657" s="266">
        <v>2.0</v>
      </c>
      <c r="I657" s="266">
        <v>1725.0</v>
      </c>
      <c r="J657" s="266">
        <v>12.0</v>
      </c>
      <c r="K657" s="266">
        <v>100.0</v>
      </c>
      <c r="L657" s="266">
        <v>6.0</v>
      </c>
      <c r="M657" s="266">
        <v>2.0</v>
      </c>
      <c r="N657" s="266">
        <v>3.0</v>
      </c>
      <c r="O657" s="266">
        <v>1.0</v>
      </c>
      <c r="P657" s="266" t="s">
        <v>166</v>
      </c>
      <c r="Q657" s="266" t="s">
        <v>166</v>
      </c>
      <c r="R657" s="497" t="s">
        <v>166</v>
      </c>
      <c r="S657" s="497" t="s">
        <v>166</v>
      </c>
      <c r="T657" s="496"/>
    </row>
    <row r="658">
      <c r="A658" s="498" t="s">
        <v>3401</v>
      </c>
      <c r="B658" s="499" t="s">
        <v>3504</v>
      </c>
      <c r="C658" s="291" t="str">
        <f t="shared" si="137"/>
        <v>MSI</v>
      </c>
      <c r="D658" s="500" t="s">
        <v>3557</v>
      </c>
      <c r="E658" s="501">
        <v>248.0</v>
      </c>
      <c r="F658" s="501">
        <v>127.0</v>
      </c>
      <c r="G658" s="501">
        <v>44.0</v>
      </c>
      <c r="H658" s="501">
        <v>2.0</v>
      </c>
      <c r="I658" s="501">
        <v>1755.0</v>
      </c>
      <c r="J658" s="501">
        <v>12.0</v>
      </c>
      <c r="K658" s="501">
        <v>100.0</v>
      </c>
      <c r="L658" s="501">
        <v>6.0</v>
      </c>
      <c r="M658" s="501">
        <v>2.0</v>
      </c>
      <c r="N658" s="501">
        <v>3.0</v>
      </c>
      <c r="O658" s="501">
        <v>1.0</v>
      </c>
      <c r="P658" s="501" t="s">
        <v>166</v>
      </c>
      <c r="Q658" s="501" t="s">
        <v>166</v>
      </c>
      <c r="R658" s="502" t="s">
        <v>166</v>
      </c>
      <c r="S658" s="502" t="s">
        <v>166</v>
      </c>
      <c r="T658" s="503"/>
    </row>
    <row r="659">
      <c r="A659" s="494" t="s">
        <v>3401</v>
      </c>
      <c r="B659" s="495" t="s">
        <v>3510</v>
      </c>
      <c r="C659" s="174" t="s">
        <v>3467</v>
      </c>
      <c r="D659" s="452" t="s">
        <v>3874</v>
      </c>
      <c r="E659" s="266" t="s">
        <v>170</v>
      </c>
      <c r="F659" s="266" t="s">
        <v>170</v>
      </c>
      <c r="G659" s="266" t="s">
        <v>170</v>
      </c>
      <c r="H659" s="266">
        <v>2.0</v>
      </c>
      <c r="I659" s="266">
        <v>1785.0</v>
      </c>
      <c r="J659" s="266">
        <v>8.0</v>
      </c>
      <c r="K659" s="266">
        <v>120.0</v>
      </c>
      <c r="L659" s="266">
        <v>8.0</v>
      </c>
      <c r="M659" s="266">
        <v>2.0</v>
      </c>
      <c r="N659" s="266">
        <v>1.0</v>
      </c>
      <c r="O659" s="266">
        <v>1.0</v>
      </c>
      <c r="P659" s="266" t="s">
        <v>166</v>
      </c>
      <c r="Q659" s="266">
        <v>1.0</v>
      </c>
      <c r="R659" s="497" t="s">
        <v>166</v>
      </c>
      <c r="S659" s="497" t="s">
        <v>166</v>
      </c>
      <c r="T659" s="496"/>
    </row>
    <row r="660">
      <c r="A660" s="494" t="s">
        <v>3401</v>
      </c>
      <c r="B660" s="495" t="s">
        <v>3510</v>
      </c>
      <c r="C660" s="174" t="s">
        <v>3467</v>
      </c>
      <c r="D660" s="452" t="s">
        <v>3883</v>
      </c>
      <c r="E660" s="266" t="s">
        <v>170</v>
      </c>
      <c r="F660" s="266" t="s">
        <v>170</v>
      </c>
      <c r="G660" s="266" t="s">
        <v>170</v>
      </c>
      <c r="H660" s="266">
        <v>2.0</v>
      </c>
      <c r="I660" s="266">
        <v>1785.0</v>
      </c>
      <c r="J660" s="266">
        <v>8.0</v>
      </c>
      <c r="K660" s="266">
        <v>120.0</v>
      </c>
      <c r="L660" s="266">
        <v>6.0</v>
      </c>
      <c r="M660" s="266">
        <v>2.0</v>
      </c>
      <c r="N660" s="266">
        <v>1.0</v>
      </c>
      <c r="O660" s="266">
        <v>1.0</v>
      </c>
      <c r="P660" s="266" t="s">
        <v>166</v>
      </c>
      <c r="Q660" s="266">
        <v>1.0</v>
      </c>
      <c r="R660" s="497" t="s">
        <v>166</v>
      </c>
      <c r="S660" s="497" t="s">
        <v>166</v>
      </c>
      <c r="T660" s="496"/>
    </row>
    <row r="661">
      <c r="A661" s="494" t="s">
        <v>3401</v>
      </c>
      <c r="B661" s="495" t="s">
        <v>3510</v>
      </c>
      <c r="C661" s="174" t="s">
        <v>3467</v>
      </c>
      <c r="D661" s="452" t="s">
        <v>3884</v>
      </c>
      <c r="E661" s="266">
        <v>225.0</v>
      </c>
      <c r="F661" s="266">
        <v>115.0</v>
      </c>
      <c r="G661" s="266">
        <v>50.0</v>
      </c>
      <c r="H661" s="266">
        <v>2.0</v>
      </c>
      <c r="I661" s="266">
        <v>1785.0</v>
      </c>
      <c r="J661" s="266">
        <v>8.0</v>
      </c>
      <c r="K661" s="266">
        <v>120.0</v>
      </c>
      <c r="L661" s="266">
        <v>8.0</v>
      </c>
      <c r="M661" s="266">
        <v>2.0</v>
      </c>
      <c r="N661" s="266">
        <v>1.0</v>
      </c>
      <c r="O661" s="266">
        <v>1.0</v>
      </c>
      <c r="P661" s="266" t="s">
        <v>166</v>
      </c>
      <c r="Q661" s="266">
        <v>1.0</v>
      </c>
      <c r="R661" s="497" t="s">
        <v>166</v>
      </c>
      <c r="S661" s="497" t="s">
        <v>166</v>
      </c>
      <c r="T661" s="496"/>
    </row>
    <row r="662">
      <c r="A662" s="494" t="s">
        <v>3401</v>
      </c>
      <c r="B662" s="495" t="s">
        <v>3510</v>
      </c>
      <c r="C662" s="174" t="str">
        <f t="shared" ref="C662:C666" si="138">HYPERLINK("https://www.asus.com/","Asus")</f>
        <v>Asus</v>
      </c>
      <c r="D662" s="452" t="s">
        <v>3640</v>
      </c>
      <c r="E662" s="266">
        <v>242.0</v>
      </c>
      <c r="F662" s="266">
        <v>130.0</v>
      </c>
      <c r="G662" s="266">
        <v>53.0</v>
      </c>
      <c r="H662" s="266">
        <v>2.0</v>
      </c>
      <c r="I662" s="266">
        <v>1830.0</v>
      </c>
      <c r="J662" s="266">
        <v>8.0</v>
      </c>
      <c r="K662" s="266">
        <v>120.0</v>
      </c>
      <c r="L662" s="266">
        <v>8.0</v>
      </c>
      <c r="M662" s="266">
        <v>2.0</v>
      </c>
      <c r="N662" s="266">
        <v>1.0</v>
      </c>
      <c r="O662" s="266">
        <v>1.0</v>
      </c>
      <c r="P662" s="266" t="s">
        <v>166</v>
      </c>
      <c r="Q662" s="266">
        <v>1.0</v>
      </c>
      <c r="R662" s="497" t="s">
        <v>166</v>
      </c>
      <c r="S662" s="497" t="s">
        <v>166</v>
      </c>
      <c r="T662" s="496"/>
    </row>
    <row r="663">
      <c r="A663" s="494" t="s">
        <v>3401</v>
      </c>
      <c r="B663" s="495" t="s">
        <v>3510</v>
      </c>
      <c r="C663" s="174" t="str">
        <f t="shared" si="138"/>
        <v>Asus</v>
      </c>
      <c r="D663" s="452" t="s">
        <v>3659</v>
      </c>
      <c r="E663" s="266">
        <v>242.0</v>
      </c>
      <c r="F663" s="266">
        <v>130.0</v>
      </c>
      <c r="G663" s="266">
        <v>53.0</v>
      </c>
      <c r="H663" s="266">
        <v>2.0</v>
      </c>
      <c r="I663" s="266">
        <v>1875.0</v>
      </c>
      <c r="J663" s="266">
        <v>8.0</v>
      </c>
      <c r="K663" s="266">
        <v>120.0</v>
      </c>
      <c r="L663" s="266">
        <v>8.0</v>
      </c>
      <c r="M663" s="266">
        <v>2.0</v>
      </c>
      <c r="N663" s="266">
        <v>1.0</v>
      </c>
      <c r="O663" s="266">
        <v>1.0</v>
      </c>
      <c r="P663" s="266" t="s">
        <v>166</v>
      </c>
      <c r="Q663" s="266">
        <v>1.0</v>
      </c>
      <c r="R663" s="497" t="s">
        <v>166</v>
      </c>
      <c r="S663" s="497" t="s">
        <v>166</v>
      </c>
      <c r="T663" s="496"/>
    </row>
    <row r="664">
      <c r="A664" s="494" t="s">
        <v>3401</v>
      </c>
      <c r="B664" s="495" t="s">
        <v>3510</v>
      </c>
      <c r="C664" s="174" t="str">
        <f t="shared" si="138"/>
        <v>Asus</v>
      </c>
      <c r="D664" s="452" t="s">
        <v>3885</v>
      </c>
      <c r="E664" s="266">
        <v>264.0</v>
      </c>
      <c r="F664" s="266">
        <v>130.0</v>
      </c>
      <c r="G664" s="266">
        <v>55.0</v>
      </c>
      <c r="H664" s="266">
        <v>2.0</v>
      </c>
      <c r="I664" s="266">
        <v>1815.0</v>
      </c>
      <c r="J664" s="266">
        <v>8.0</v>
      </c>
      <c r="K664" s="266">
        <v>120.0</v>
      </c>
      <c r="L664" s="266">
        <v>8.0</v>
      </c>
      <c r="M664" s="266">
        <v>3.0</v>
      </c>
      <c r="N664" s="266">
        <v>1.0</v>
      </c>
      <c r="O664" s="266">
        <v>1.0</v>
      </c>
      <c r="P664" s="266" t="s">
        <v>166</v>
      </c>
      <c r="Q664" s="266">
        <v>1.0</v>
      </c>
      <c r="R664" s="497" t="s">
        <v>166</v>
      </c>
      <c r="S664" s="497" t="s">
        <v>166</v>
      </c>
      <c r="T664" s="496"/>
    </row>
    <row r="665">
      <c r="A665" s="494" t="s">
        <v>3401</v>
      </c>
      <c r="B665" s="495" t="s">
        <v>3510</v>
      </c>
      <c r="C665" s="174" t="str">
        <f t="shared" si="138"/>
        <v>Asus</v>
      </c>
      <c r="D665" s="452" t="s">
        <v>3886</v>
      </c>
      <c r="E665" s="266">
        <v>264.0</v>
      </c>
      <c r="F665" s="266">
        <v>130.0</v>
      </c>
      <c r="G665" s="266">
        <v>55.0</v>
      </c>
      <c r="H665" s="266">
        <v>2.0</v>
      </c>
      <c r="I665" s="266">
        <v>1830.0</v>
      </c>
      <c r="J665" s="266">
        <v>8.0</v>
      </c>
      <c r="K665" s="266">
        <v>120.0</v>
      </c>
      <c r="L665" s="266">
        <v>8.0</v>
      </c>
      <c r="M665" s="266">
        <v>3.0</v>
      </c>
      <c r="N665" s="266">
        <v>1.0</v>
      </c>
      <c r="O665" s="266">
        <v>1.0</v>
      </c>
      <c r="P665" s="266" t="s">
        <v>166</v>
      </c>
      <c r="Q665" s="266">
        <v>1.0</v>
      </c>
      <c r="R665" s="497" t="s">
        <v>166</v>
      </c>
      <c r="S665" s="497" t="s">
        <v>166</v>
      </c>
      <c r="T665" s="496"/>
    </row>
    <row r="666">
      <c r="A666" s="494" t="s">
        <v>3401</v>
      </c>
      <c r="B666" s="495" t="s">
        <v>3510</v>
      </c>
      <c r="C666" s="174" t="str">
        <f t="shared" si="138"/>
        <v>Asus</v>
      </c>
      <c r="D666" s="452" t="s">
        <v>3660</v>
      </c>
      <c r="E666" s="558">
        <v>264.0</v>
      </c>
      <c r="F666" s="554">
        <v>130.0</v>
      </c>
      <c r="G666" s="559">
        <v>55.0</v>
      </c>
      <c r="H666" s="266">
        <v>2.0</v>
      </c>
      <c r="I666" s="266">
        <v>1890.0</v>
      </c>
      <c r="J666" s="266">
        <v>8.0</v>
      </c>
      <c r="K666" s="266">
        <v>120.0</v>
      </c>
      <c r="L666" s="266">
        <v>8.0</v>
      </c>
      <c r="M666" s="266">
        <v>3.0</v>
      </c>
      <c r="N666" s="266">
        <v>1.0</v>
      </c>
      <c r="O666" s="266">
        <v>1.0</v>
      </c>
      <c r="P666" s="266" t="s">
        <v>166</v>
      </c>
      <c r="Q666" s="266">
        <v>1.0</v>
      </c>
      <c r="R666" s="497" t="s">
        <v>166</v>
      </c>
      <c r="S666" s="497" t="s">
        <v>166</v>
      </c>
      <c r="T666" s="496"/>
    </row>
    <row r="667">
      <c r="A667" s="494" t="s">
        <v>3401</v>
      </c>
      <c r="B667" s="495" t="s">
        <v>3510</v>
      </c>
      <c r="C667" s="452" t="s">
        <v>3575</v>
      </c>
      <c r="D667" s="452" t="s">
        <v>3887</v>
      </c>
      <c r="E667" s="266">
        <v>222.0</v>
      </c>
      <c r="F667" s="518">
        <v>126.0</v>
      </c>
      <c r="G667" s="518">
        <v>42.0</v>
      </c>
      <c r="H667" s="266">
        <v>2.0</v>
      </c>
      <c r="I667" s="266">
        <v>1785.0</v>
      </c>
      <c r="J667" s="266">
        <v>8.0</v>
      </c>
      <c r="K667" s="266">
        <v>120.0</v>
      </c>
      <c r="L667" s="266">
        <v>8.0</v>
      </c>
      <c r="M667" s="266">
        <v>2.0</v>
      </c>
      <c r="N667" s="266">
        <v>1.0</v>
      </c>
      <c r="O667" s="266">
        <v>1.0</v>
      </c>
      <c r="P667" s="266" t="s">
        <v>166</v>
      </c>
      <c r="Q667" s="266">
        <v>1.0</v>
      </c>
      <c r="R667" s="497" t="s">
        <v>166</v>
      </c>
      <c r="S667" s="497" t="s">
        <v>166</v>
      </c>
      <c r="T667" s="496"/>
    </row>
    <row r="668">
      <c r="A668" s="494" t="s">
        <v>3401</v>
      </c>
      <c r="B668" s="495" t="s">
        <v>3510</v>
      </c>
      <c r="C668" s="452" t="s">
        <v>3575</v>
      </c>
      <c r="D668" s="452" t="s">
        <v>3888</v>
      </c>
      <c r="E668" s="266">
        <v>222.0</v>
      </c>
      <c r="F668" s="518">
        <v>126.0</v>
      </c>
      <c r="G668" s="518">
        <v>42.0</v>
      </c>
      <c r="H668" s="266">
        <v>2.0</v>
      </c>
      <c r="I668" s="266">
        <v>1785.0</v>
      </c>
      <c r="J668" s="266">
        <v>8.0</v>
      </c>
      <c r="K668" s="266">
        <v>120.0</v>
      </c>
      <c r="L668" s="266">
        <v>8.0</v>
      </c>
      <c r="M668" s="266">
        <v>2.0</v>
      </c>
      <c r="N668" s="266">
        <v>1.0</v>
      </c>
      <c r="O668" s="266">
        <v>1.0</v>
      </c>
      <c r="P668" s="266" t="s">
        <v>166</v>
      </c>
      <c r="Q668" s="266">
        <v>1.0</v>
      </c>
      <c r="R668" s="497" t="s">
        <v>166</v>
      </c>
      <c r="S668" s="497" t="s">
        <v>166</v>
      </c>
      <c r="T668" s="496"/>
    </row>
    <row r="669">
      <c r="A669" s="494" t="s">
        <v>3401</v>
      </c>
      <c r="B669" s="495" t="s">
        <v>3510</v>
      </c>
      <c r="C669" s="452" t="s">
        <v>3575</v>
      </c>
      <c r="D669" s="452" t="s">
        <v>3873</v>
      </c>
      <c r="E669" s="266">
        <v>310.0</v>
      </c>
      <c r="F669" s="518">
        <v>126.0</v>
      </c>
      <c r="G669" s="518">
        <v>42.0</v>
      </c>
      <c r="H669" s="266">
        <v>2.0</v>
      </c>
      <c r="I669" s="266">
        <v>1860.0</v>
      </c>
      <c r="J669" s="266">
        <v>8.0</v>
      </c>
      <c r="K669" s="266">
        <v>120.0</v>
      </c>
      <c r="L669" s="266">
        <v>8.0</v>
      </c>
      <c r="M669" s="266">
        <v>3.0</v>
      </c>
      <c r="N669" s="266">
        <v>1.0</v>
      </c>
      <c r="O669" s="266">
        <v>1.0</v>
      </c>
      <c r="P669" s="266" t="s">
        <v>166</v>
      </c>
      <c r="Q669" s="266">
        <v>1.0</v>
      </c>
      <c r="R669" s="497" t="s">
        <v>166</v>
      </c>
      <c r="S669" s="497" t="s">
        <v>166</v>
      </c>
      <c r="T669" s="496"/>
    </row>
    <row r="670">
      <c r="A670" s="494" t="s">
        <v>3401</v>
      </c>
      <c r="B670" s="495" t="s">
        <v>3510</v>
      </c>
      <c r="C670" s="452" t="s">
        <v>3575</v>
      </c>
      <c r="D670" s="452" t="s">
        <v>3889</v>
      </c>
      <c r="E670" s="266">
        <v>315.0</v>
      </c>
      <c r="F670" s="518">
        <v>131.0</v>
      </c>
      <c r="G670" s="518">
        <v>45.0</v>
      </c>
      <c r="H670" s="266">
        <v>2.0</v>
      </c>
      <c r="I670" s="266">
        <v>1860.0</v>
      </c>
      <c r="J670" s="266">
        <v>8.0</v>
      </c>
      <c r="K670" s="266">
        <v>120.0</v>
      </c>
      <c r="L670" s="266">
        <v>8.0</v>
      </c>
      <c r="M670" s="266">
        <v>3.0</v>
      </c>
      <c r="N670" s="266">
        <v>1.0</v>
      </c>
      <c r="O670" s="266">
        <v>1.0</v>
      </c>
      <c r="P670" s="266" t="s">
        <v>166</v>
      </c>
      <c r="Q670" s="266">
        <v>1.0</v>
      </c>
      <c r="R670" s="497" t="s">
        <v>166</v>
      </c>
      <c r="S670" s="497" t="s">
        <v>166</v>
      </c>
      <c r="T670" s="496"/>
    </row>
    <row r="671">
      <c r="A671" s="494" t="s">
        <v>3401</v>
      </c>
      <c r="B671" s="495" t="s">
        <v>3510</v>
      </c>
      <c r="C671" s="174" t="s">
        <v>3405</v>
      </c>
      <c r="D671" s="452" t="s">
        <v>3890</v>
      </c>
      <c r="E671" s="266">
        <v>235.0</v>
      </c>
      <c r="F671" s="518">
        <v>110.0</v>
      </c>
      <c r="G671" s="518">
        <v>35.0</v>
      </c>
      <c r="H671" s="266">
        <v>2.0</v>
      </c>
      <c r="I671" s="266">
        <v>1785.0</v>
      </c>
      <c r="J671" s="266">
        <v>8.0</v>
      </c>
      <c r="K671" s="266">
        <v>120.0</v>
      </c>
      <c r="L671" s="266">
        <v>8.0</v>
      </c>
      <c r="M671" s="266">
        <v>2.0</v>
      </c>
      <c r="N671" s="266">
        <v>1.0</v>
      </c>
      <c r="O671" s="266">
        <v>1.0</v>
      </c>
      <c r="P671" s="266" t="s">
        <v>166</v>
      </c>
      <c r="Q671" s="266">
        <v>1.0</v>
      </c>
      <c r="R671" s="497" t="s">
        <v>166</v>
      </c>
      <c r="S671" s="497" t="s">
        <v>166</v>
      </c>
      <c r="T671" s="496"/>
    </row>
    <row r="672">
      <c r="A672" s="494" t="s">
        <v>3401</v>
      </c>
      <c r="B672" s="495" t="s">
        <v>3510</v>
      </c>
      <c r="C672" s="174" t="s">
        <v>3405</v>
      </c>
      <c r="D672" s="452" t="s">
        <v>3891</v>
      </c>
      <c r="E672" s="266">
        <v>235.0</v>
      </c>
      <c r="F672" s="518">
        <v>110.0</v>
      </c>
      <c r="G672" s="518">
        <v>35.0</v>
      </c>
      <c r="H672" s="266">
        <v>2.0</v>
      </c>
      <c r="I672" s="266">
        <v>1830.0</v>
      </c>
      <c r="J672" s="266">
        <v>8.0</v>
      </c>
      <c r="K672" s="266">
        <v>120.0</v>
      </c>
      <c r="L672" s="266">
        <v>8.0</v>
      </c>
      <c r="M672" s="266">
        <v>2.0</v>
      </c>
      <c r="N672" s="266">
        <v>1.0</v>
      </c>
      <c r="O672" s="266">
        <v>1.0</v>
      </c>
      <c r="P672" s="266" t="s">
        <v>166</v>
      </c>
      <c r="Q672" s="266">
        <v>1.0</v>
      </c>
      <c r="R672" s="497" t="s">
        <v>166</v>
      </c>
      <c r="S672" s="497" t="s">
        <v>166</v>
      </c>
      <c r="T672" s="496"/>
    </row>
    <row r="673">
      <c r="A673" s="494" t="s">
        <v>3401</v>
      </c>
      <c r="B673" s="495" t="s">
        <v>3510</v>
      </c>
      <c r="C673" s="174" t="s">
        <v>3405</v>
      </c>
      <c r="D673" s="452" t="s">
        <v>3892</v>
      </c>
      <c r="E673" s="266">
        <v>235.0</v>
      </c>
      <c r="F673" s="518">
        <v>110.0</v>
      </c>
      <c r="G673" s="518">
        <v>40.0</v>
      </c>
      <c r="H673" s="266">
        <v>2.0</v>
      </c>
      <c r="I673" s="266">
        <v>1785.0</v>
      </c>
      <c r="J673" s="266">
        <v>8.0</v>
      </c>
      <c r="K673" s="266">
        <v>120.0</v>
      </c>
      <c r="L673" s="266">
        <v>8.0</v>
      </c>
      <c r="M673" s="266">
        <v>2.0</v>
      </c>
      <c r="N673" s="266">
        <v>1.0</v>
      </c>
      <c r="O673" s="266">
        <v>1.0</v>
      </c>
      <c r="P673" s="266" t="s">
        <v>166</v>
      </c>
      <c r="Q673" s="266">
        <v>1.0</v>
      </c>
      <c r="R673" s="497" t="s">
        <v>166</v>
      </c>
      <c r="S673" s="497" t="s">
        <v>166</v>
      </c>
      <c r="T673" s="496"/>
    </row>
    <row r="674">
      <c r="A674" s="494" t="s">
        <v>3401</v>
      </c>
      <c r="B674" s="495" t="s">
        <v>3510</v>
      </c>
      <c r="C674" s="174" t="s">
        <v>3405</v>
      </c>
      <c r="D674" s="452" t="s">
        <v>3893</v>
      </c>
      <c r="E674" s="266">
        <v>235.0</v>
      </c>
      <c r="F674" s="518">
        <v>110.0</v>
      </c>
      <c r="G674" s="518">
        <v>40.0</v>
      </c>
      <c r="H674" s="266">
        <v>2.0</v>
      </c>
      <c r="I674" s="266">
        <v>1830.0</v>
      </c>
      <c r="J674" s="266">
        <v>8.0</v>
      </c>
      <c r="K674" s="266">
        <v>120.0</v>
      </c>
      <c r="L674" s="266">
        <v>8.0</v>
      </c>
      <c r="M674" s="266">
        <v>2.0</v>
      </c>
      <c r="N674" s="266">
        <v>1.0</v>
      </c>
      <c r="O674" s="266">
        <v>1.0</v>
      </c>
      <c r="P674" s="266" t="s">
        <v>166</v>
      </c>
      <c r="Q674" s="266">
        <v>1.0</v>
      </c>
      <c r="R674" s="497" t="s">
        <v>166</v>
      </c>
      <c r="S674" s="497" t="s">
        <v>166</v>
      </c>
      <c r="T674" s="496"/>
    </row>
    <row r="675">
      <c r="A675" s="494" t="s">
        <v>3401</v>
      </c>
      <c r="B675" s="495" t="s">
        <v>3510</v>
      </c>
      <c r="C675" s="174" t="str">
        <f t="shared" ref="C675:C676" si="139">HYPERLINK("https://www.evga.com/","EVGA")</f>
        <v>EVGA</v>
      </c>
      <c r="D675" s="452" t="s">
        <v>3894</v>
      </c>
      <c r="E675" s="266">
        <v>267.97</v>
      </c>
      <c r="F675" s="266">
        <v>111.15</v>
      </c>
      <c r="G675" s="266">
        <v>40.0</v>
      </c>
      <c r="H675" s="266">
        <v>2.0</v>
      </c>
      <c r="I675" s="266">
        <v>1785.0</v>
      </c>
      <c r="J675" s="266">
        <v>8.0</v>
      </c>
      <c r="K675" s="266">
        <v>120.0</v>
      </c>
      <c r="L675" s="266">
        <v>8.0</v>
      </c>
      <c r="M675" s="266">
        <v>2.0</v>
      </c>
      <c r="N675" s="266">
        <v>1.0</v>
      </c>
      <c r="O675" s="266">
        <v>1.0</v>
      </c>
      <c r="P675" s="266" t="s">
        <v>166</v>
      </c>
      <c r="Q675" s="266">
        <v>1.0</v>
      </c>
      <c r="R675" s="497" t="s">
        <v>166</v>
      </c>
      <c r="S675" s="497" t="s">
        <v>166</v>
      </c>
      <c r="T675" s="496"/>
    </row>
    <row r="676">
      <c r="A676" s="494" t="s">
        <v>3401</v>
      </c>
      <c r="B676" s="495" t="s">
        <v>3510</v>
      </c>
      <c r="C676" s="174" t="str">
        <f t="shared" si="139"/>
        <v>EVGA</v>
      </c>
      <c r="D676" s="452" t="s">
        <v>3895</v>
      </c>
      <c r="E676" s="266">
        <v>267.97</v>
      </c>
      <c r="F676" s="266">
        <v>111.15</v>
      </c>
      <c r="G676" s="266">
        <v>40.0</v>
      </c>
      <c r="H676" s="266">
        <v>2.0</v>
      </c>
      <c r="I676" s="266">
        <v>1845.0</v>
      </c>
      <c r="J676" s="266">
        <v>8.0</v>
      </c>
      <c r="K676" s="266">
        <v>120.0</v>
      </c>
      <c r="L676" s="266">
        <v>8.0</v>
      </c>
      <c r="M676" s="266">
        <v>2.0</v>
      </c>
      <c r="N676" s="266">
        <v>1.0</v>
      </c>
      <c r="O676" s="266">
        <v>1.0</v>
      </c>
      <c r="P676" s="266" t="s">
        <v>166</v>
      </c>
      <c r="Q676" s="266">
        <v>1.0</v>
      </c>
      <c r="R676" s="497" t="s">
        <v>166</v>
      </c>
      <c r="S676" s="497" t="s">
        <v>166</v>
      </c>
      <c r="T676" s="496"/>
    </row>
    <row r="677">
      <c r="A677" s="494" t="s">
        <v>3401</v>
      </c>
      <c r="B677" s="495" t="s">
        <v>3510</v>
      </c>
      <c r="C677" s="452" t="str">
        <f t="shared" ref="C677:C678" si="140">HYPERLINK("http://www.gainward.com/main/index.php?lang=en","Gainward")</f>
        <v>Gainward</v>
      </c>
      <c r="D677" s="452" t="str">
        <f>HYPERLINK("http://www.gainward.com/main/vgapro.php?id=1049&amp;lang=en","Ghost")</f>
        <v>Ghost</v>
      </c>
      <c r="E677" s="266">
        <v>235.0</v>
      </c>
      <c r="F677" s="266">
        <v>115.0</v>
      </c>
      <c r="G677" s="266">
        <v>40.0</v>
      </c>
      <c r="H677" s="266">
        <v>2.0</v>
      </c>
      <c r="I677" s="266">
        <v>1785.0</v>
      </c>
      <c r="J677" s="266">
        <v>8.0</v>
      </c>
      <c r="K677" s="266">
        <v>120.0</v>
      </c>
      <c r="L677" s="266">
        <v>8.0</v>
      </c>
      <c r="M677" s="266">
        <v>2.0</v>
      </c>
      <c r="N677" s="266">
        <v>1.0</v>
      </c>
      <c r="O677" s="266">
        <v>1.0</v>
      </c>
      <c r="P677" s="266" t="s">
        <v>166</v>
      </c>
      <c r="Q677" s="266">
        <v>1.0</v>
      </c>
      <c r="R677" s="497" t="s">
        <v>166</v>
      </c>
      <c r="S677" s="497" t="s">
        <v>166</v>
      </c>
      <c r="T677" s="496"/>
    </row>
    <row r="678">
      <c r="A678" s="494" t="s">
        <v>3401</v>
      </c>
      <c r="B678" s="495" t="s">
        <v>3510</v>
      </c>
      <c r="C678" s="452" t="str">
        <f t="shared" si="140"/>
        <v>Gainward</v>
      </c>
      <c r="D678" s="452" t="str">
        <f>HYPERLINK("http://www.gainward.com/main/vgapro.php?id=1046&amp;lang=en","Ghost OC")</f>
        <v>Ghost OC</v>
      </c>
      <c r="E678" s="266">
        <v>235.0</v>
      </c>
      <c r="F678" s="266">
        <v>115.0</v>
      </c>
      <c r="G678" s="266">
        <v>40.0</v>
      </c>
      <c r="H678" s="266">
        <v>2.0</v>
      </c>
      <c r="I678" s="266">
        <v>1830.0</v>
      </c>
      <c r="J678" s="266">
        <v>8.0</v>
      </c>
      <c r="K678" s="266">
        <v>120.0</v>
      </c>
      <c r="L678" s="266">
        <v>8.0</v>
      </c>
      <c r="M678" s="266">
        <v>2.0</v>
      </c>
      <c r="N678" s="266">
        <v>1.0</v>
      </c>
      <c r="O678" s="266">
        <v>1.0</v>
      </c>
      <c r="P678" s="266" t="s">
        <v>166</v>
      </c>
      <c r="Q678" s="266">
        <v>1.0</v>
      </c>
      <c r="R678" s="497" t="s">
        <v>166</v>
      </c>
      <c r="S678" s="497" t="s">
        <v>166</v>
      </c>
      <c r="T678" s="496"/>
    </row>
    <row r="679">
      <c r="A679" s="494" t="s">
        <v>3401</v>
      </c>
      <c r="B679" s="495" t="s">
        <v>3510</v>
      </c>
      <c r="C679" s="174" t="s">
        <v>3456</v>
      </c>
      <c r="D679" s="452" t="str">
        <f>HYPERLINK("http://www.galax.com/en/graphics-card/16-series/galax-geforce-gtx-1660blower.html","GTX 1660")</f>
        <v>GTX 1660</v>
      </c>
      <c r="E679" s="266">
        <v>268.0</v>
      </c>
      <c r="F679" s="266">
        <v>111.0</v>
      </c>
      <c r="G679" s="266">
        <v>38.0</v>
      </c>
      <c r="H679" s="266">
        <v>2.0</v>
      </c>
      <c r="I679" s="266">
        <v>1785.0</v>
      </c>
      <c r="J679" s="266">
        <v>8.0</v>
      </c>
      <c r="K679" s="266">
        <v>120.0</v>
      </c>
      <c r="L679" s="266">
        <v>8.0</v>
      </c>
      <c r="M679" s="266">
        <v>1.0</v>
      </c>
      <c r="N679" s="266">
        <v>3.0</v>
      </c>
      <c r="O679" s="266">
        <v>1.0</v>
      </c>
      <c r="P679" s="266" t="s">
        <v>166</v>
      </c>
      <c r="Q679" s="266" t="s">
        <v>166</v>
      </c>
      <c r="R679" s="266" t="s">
        <v>166</v>
      </c>
      <c r="S679" s="266" t="s">
        <v>174</v>
      </c>
      <c r="T679" s="494"/>
    </row>
    <row r="680">
      <c r="A680" s="494" t="s">
        <v>3401</v>
      </c>
      <c r="B680" s="495" t="s">
        <v>3510</v>
      </c>
      <c r="C680" s="174" t="s">
        <v>3456</v>
      </c>
      <c r="D680" s="452" t="str">
        <f>HYPERLINK("http://www.galax.com/en/graphics-card/16-series/galax-geforce-gtx-1660ex1clickoc.html","EX (1-Click OC)")</f>
        <v>EX (1-Click OC)</v>
      </c>
      <c r="E680" s="266">
        <v>233.0</v>
      </c>
      <c r="F680" s="266">
        <v>119.0</v>
      </c>
      <c r="G680" s="266">
        <v>40.0</v>
      </c>
      <c r="H680" s="266">
        <v>2.0</v>
      </c>
      <c r="I680" s="266">
        <v>1845.0</v>
      </c>
      <c r="J680" s="266">
        <v>8.0</v>
      </c>
      <c r="K680" s="266">
        <v>120.0</v>
      </c>
      <c r="L680" s="266">
        <v>6.0</v>
      </c>
      <c r="M680" s="266">
        <v>2.0</v>
      </c>
      <c r="N680" s="266">
        <v>1.0</v>
      </c>
      <c r="O680" s="266">
        <v>1.0</v>
      </c>
      <c r="P680" s="266" t="s">
        <v>166</v>
      </c>
      <c r="Q680" s="266">
        <v>1.0</v>
      </c>
      <c r="R680" s="497" t="s">
        <v>166</v>
      </c>
      <c r="S680" s="497" t="s">
        <v>166</v>
      </c>
      <c r="T680" s="496"/>
    </row>
    <row r="681">
      <c r="A681" s="494" t="s">
        <v>3401</v>
      </c>
      <c r="B681" s="495" t="s">
        <v>3510</v>
      </c>
      <c r="C681" s="174" t="s">
        <v>3456</v>
      </c>
      <c r="D681" s="452" t="str">
        <f>HYPERLINK("http://www.galax.com/en/graphics-card/16-series/galax-geforce-gtx-1660exwhite1clickoc.html","EX White (1-Click OC)")</f>
        <v>EX White (1-Click OC)</v>
      </c>
      <c r="E681" s="266">
        <v>233.0</v>
      </c>
      <c r="F681" s="266">
        <v>119.0</v>
      </c>
      <c r="G681" s="266">
        <v>40.0</v>
      </c>
      <c r="H681" s="266">
        <v>2.0</v>
      </c>
      <c r="I681" s="266">
        <v>1845.0</v>
      </c>
      <c r="J681" s="266">
        <v>8.0</v>
      </c>
      <c r="K681" s="266">
        <v>120.0</v>
      </c>
      <c r="L681" s="266">
        <v>6.0</v>
      </c>
      <c r="M681" s="266">
        <v>2.0</v>
      </c>
      <c r="N681" s="266">
        <v>1.0</v>
      </c>
      <c r="O681" s="266">
        <v>1.0</v>
      </c>
      <c r="P681" s="266" t="s">
        <v>166</v>
      </c>
      <c r="Q681" s="266">
        <v>1.0</v>
      </c>
      <c r="R681" s="497" t="s">
        <v>166</v>
      </c>
      <c r="S681" s="497" t="s">
        <v>166</v>
      </c>
      <c r="T681" s="496"/>
    </row>
    <row r="682">
      <c r="A682" s="494" t="s">
        <v>3401</v>
      </c>
      <c r="B682" s="495" t="s">
        <v>3510</v>
      </c>
      <c r="C682" s="174" t="str">
        <f t="shared" ref="C682:C685" si="141">HYPERLINK("https://www.gigabyte.com/","Gigabyte")</f>
        <v>Gigabyte</v>
      </c>
      <c r="D682" s="452" t="str">
        <f>HYPERLINK("https://www.gigabyte.com/Graphics-Card/GV-N1660D5-6GD#kf","D5")</f>
        <v>D5</v>
      </c>
      <c r="E682" s="266">
        <v>224.0</v>
      </c>
      <c r="F682" s="266">
        <v>121.0</v>
      </c>
      <c r="G682" s="266">
        <v>40.0</v>
      </c>
      <c r="H682" s="266">
        <v>2.0</v>
      </c>
      <c r="I682" s="266">
        <v>1785.0</v>
      </c>
      <c r="J682" s="266">
        <v>8.0</v>
      </c>
      <c r="K682" s="266">
        <v>120.0</v>
      </c>
      <c r="L682" s="266">
        <v>8.0</v>
      </c>
      <c r="M682" s="266">
        <v>2.0</v>
      </c>
      <c r="N682" s="266">
        <v>3.0</v>
      </c>
      <c r="O682" s="266">
        <v>1.0</v>
      </c>
      <c r="P682" s="266" t="s">
        <v>166</v>
      </c>
      <c r="Q682" s="266" t="s">
        <v>166</v>
      </c>
      <c r="R682" s="497" t="s">
        <v>166</v>
      </c>
      <c r="S682" s="497" t="s">
        <v>166</v>
      </c>
      <c r="T682" s="496"/>
    </row>
    <row r="683">
      <c r="A683" s="494" t="s">
        <v>3401</v>
      </c>
      <c r="B683" s="495" t="s">
        <v>3510</v>
      </c>
      <c r="C683" s="174" t="str">
        <f t="shared" si="141"/>
        <v>Gigabyte</v>
      </c>
      <c r="D683" s="452" t="str">
        <f>HYPERLINK("https://www.gigabyte.com/Graphics-Card/GV-N1660OC-6GD#kf","OC")</f>
        <v>OC</v>
      </c>
      <c r="E683" s="266">
        <v>224.0</v>
      </c>
      <c r="F683" s="266">
        <v>121.0</v>
      </c>
      <c r="G683" s="266">
        <v>40.0</v>
      </c>
      <c r="H683" s="266">
        <v>2.0</v>
      </c>
      <c r="I683" s="266">
        <v>1830.0</v>
      </c>
      <c r="J683" s="266">
        <v>8.0</v>
      </c>
      <c r="K683" s="266">
        <v>120.0</v>
      </c>
      <c r="L683" s="266">
        <v>8.0</v>
      </c>
      <c r="M683" s="266">
        <v>2.0</v>
      </c>
      <c r="N683" s="266">
        <v>3.0</v>
      </c>
      <c r="O683" s="266">
        <v>1.0</v>
      </c>
      <c r="P683" s="266" t="s">
        <v>166</v>
      </c>
      <c r="Q683" s="266" t="s">
        <v>166</v>
      </c>
      <c r="R683" s="497" t="s">
        <v>166</v>
      </c>
      <c r="S683" s="497" t="s">
        <v>166</v>
      </c>
      <c r="T683" s="496"/>
    </row>
    <row r="684">
      <c r="A684" s="494" t="s">
        <v>3401</v>
      </c>
      <c r="B684" s="495" t="s">
        <v>3510</v>
      </c>
      <c r="C684" s="174" t="str">
        <f t="shared" si="141"/>
        <v>Gigabyte</v>
      </c>
      <c r="D684" s="452" t="s">
        <v>3409</v>
      </c>
      <c r="E684" s="266">
        <v>280.0</v>
      </c>
      <c r="F684" s="266">
        <v>116.0</v>
      </c>
      <c r="G684" s="266">
        <v>40.0</v>
      </c>
      <c r="H684" s="266">
        <v>2.0</v>
      </c>
      <c r="I684" s="266">
        <v>1785.0</v>
      </c>
      <c r="J684" s="266">
        <v>8.0</v>
      </c>
      <c r="K684" s="266">
        <v>120.0</v>
      </c>
      <c r="L684" s="266">
        <v>8.0</v>
      </c>
      <c r="M684" s="266">
        <v>3.0</v>
      </c>
      <c r="N684" s="266">
        <v>3.0</v>
      </c>
      <c r="O684" s="266">
        <v>1.0</v>
      </c>
      <c r="P684" s="266" t="s">
        <v>166</v>
      </c>
      <c r="Q684" s="266" t="s">
        <v>166</v>
      </c>
      <c r="R684" s="497" t="s">
        <v>166</v>
      </c>
      <c r="S684" s="497" t="s">
        <v>166</v>
      </c>
      <c r="T684" s="496"/>
    </row>
    <row r="685">
      <c r="A685" s="494" t="s">
        <v>3401</v>
      </c>
      <c r="B685" s="495" t="s">
        <v>3510</v>
      </c>
      <c r="C685" s="174" t="str">
        <f t="shared" si="141"/>
        <v>Gigabyte</v>
      </c>
      <c r="D685" s="452" t="s">
        <v>3630</v>
      </c>
      <c r="E685" s="266">
        <v>280.0</v>
      </c>
      <c r="F685" s="266">
        <v>116.0</v>
      </c>
      <c r="G685" s="266">
        <v>40.0</v>
      </c>
      <c r="H685" s="266">
        <v>2.0</v>
      </c>
      <c r="I685" s="266">
        <v>1860.0</v>
      </c>
      <c r="J685" s="266">
        <v>8.0</v>
      </c>
      <c r="K685" s="266">
        <v>120.0</v>
      </c>
      <c r="L685" s="266">
        <v>8.0</v>
      </c>
      <c r="M685" s="266">
        <v>3.0</v>
      </c>
      <c r="N685" s="266">
        <v>3.0</v>
      </c>
      <c r="O685" s="266">
        <v>1.0</v>
      </c>
      <c r="P685" s="266" t="s">
        <v>166</v>
      </c>
      <c r="Q685" s="266" t="s">
        <v>166</v>
      </c>
      <c r="R685" s="497" t="s">
        <v>166</v>
      </c>
      <c r="S685" s="497" t="s">
        <v>166</v>
      </c>
      <c r="T685" s="496"/>
    </row>
    <row r="686">
      <c r="A686" s="494" t="s">
        <v>3401</v>
      </c>
      <c r="B686" s="495" t="s">
        <v>3510</v>
      </c>
      <c r="C686" s="452" t="str">
        <f t="shared" ref="C686:C687" si="142">HYPERLINK("http://www.inno3d.com/","Inno3D")</f>
        <v>Inno3D</v>
      </c>
      <c r="D686" s="452" t="s">
        <v>3896</v>
      </c>
      <c r="E686" s="266">
        <v>220.0</v>
      </c>
      <c r="F686" s="266">
        <v>113.0</v>
      </c>
      <c r="G686" s="266">
        <v>40.0</v>
      </c>
      <c r="H686" s="266">
        <v>2.0</v>
      </c>
      <c r="I686" s="266">
        <v>1785.0</v>
      </c>
      <c r="J686" s="266">
        <v>8.0</v>
      </c>
      <c r="K686" s="266">
        <v>120.0</v>
      </c>
      <c r="L686" s="266">
        <v>8.0</v>
      </c>
      <c r="M686" s="266">
        <v>2.0</v>
      </c>
      <c r="N686" s="266">
        <v>3.0</v>
      </c>
      <c r="O686" s="266">
        <v>1.0</v>
      </c>
      <c r="P686" s="266" t="s">
        <v>166</v>
      </c>
      <c r="Q686" s="266" t="s">
        <v>166</v>
      </c>
      <c r="R686" s="497" t="s">
        <v>166</v>
      </c>
      <c r="S686" s="497" t="s">
        <v>166</v>
      </c>
      <c r="T686" s="496"/>
    </row>
    <row r="687">
      <c r="A687" s="494" t="s">
        <v>3401</v>
      </c>
      <c r="B687" s="495" t="s">
        <v>3510</v>
      </c>
      <c r="C687" s="452" t="str">
        <f t="shared" si="142"/>
        <v>Inno3D</v>
      </c>
      <c r="D687" s="452" t="s">
        <v>3897</v>
      </c>
      <c r="E687" s="266">
        <v>220.0</v>
      </c>
      <c r="F687" s="266">
        <v>113.0</v>
      </c>
      <c r="G687" s="266">
        <v>40.0</v>
      </c>
      <c r="H687" s="266">
        <v>2.0</v>
      </c>
      <c r="I687" s="266">
        <v>1815.0</v>
      </c>
      <c r="J687" s="266">
        <v>8.0</v>
      </c>
      <c r="K687" s="266">
        <v>120.0</v>
      </c>
      <c r="L687" s="266">
        <v>8.0</v>
      </c>
      <c r="M687" s="266">
        <v>2.0</v>
      </c>
      <c r="N687" s="266">
        <v>3.0</v>
      </c>
      <c r="O687" s="266">
        <v>1.0</v>
      </c>
      <c r="P687" s="266" t="s">
        <v>166</v>
      </c>
      <c r="Q687" s="266" t="s">
        <v>166</v>
      </c>
      <c r="R687" s="497" t="s">
        <v>166</v>
      </c>
      <c r="S687" s="497" t="s">
        <v>166</v>
      </c>
      <c r="T687" s="496"/>
    </row>
    <row r="688">
      <c r="A688" s="494" t="s">
        <v>3401</v>
      </c>
      <c r="B688" s="495" t="s">
        <v>3510</v>
      </c>
      <c r="C688" s="452" t="s">
        <v>3538</v>
      </c>
      <c r="D688" s="452" t="s">
        <v>3898</v>
      </c>
      <c r="E688" s="266">
        <v>241.0</v>
      </c>
      <c r="F688" s="266">
        <v>111.0</v>
      </c>
      <c r="G688" s="266">
        <v>35.0</v>
      </c>
      <c r="H688" s="266">
        <v>2.0</v>
      </c>
      <c r="I688" s="266">
        <v>1785.0</v>
      </c>
      <c r="J688" s="266">
        <v>8.0</v>
      </c>
      <c r="K688" s="266">
        <v>120.0</v>
      </c>
      <c r="L688" s="266">
        <v>8.0</v>
      </c>
      <c r="M688" s="266">
        <v>1.0</v>
      </c>
      <c r="N688" s="266">
        <v>1.0</v>
      </c>
      <c r="O688" s="266">
        <v>1.0</v>
      </c>
      <c r="P688" s="266" t="s">
        <v>166</v>
      </c>
      <c r="Q688" s="266">
        <v>1.0</v>
      </c>
      <c r="R688" s="266" t="s">
        <v>166</v>
      </c>
      <c r="S688" s="266" t="s">
        <v>174</v>
      </c>
      <c r="T688" s="494"/>
    </row>
    <row r="689">
      <c r="A689" s="494" t="s">
        <v>3401</v>
      </c>
      <c r="B689" s="495" t="s">
        <v>3510</v>
      </c>
      <c r="C689" s="452" t="str">
        <f t="shared" ref="C689:C690" si="143">HYPERLINK("http://manli.com/en","Manli")</f>
        <v>Manli</v>
      </c>
      <c r="D689" s="452" t="str">
        <f>HYPERLINK("https://manli.com/en/product-detail-MANLI_GeForce_GTX_1660_Heatsink_with_Blower_Fan_(M1432+N549-00)-20.html","Blower (M1432+N549-00)")</f>
        <v>Blower (M1432+N549-00)</v>
      </c>
      <c r="E689" s="266">
        <v>255.0</v>
      </c>
      <c r="F689" s="266">
        <v>125.0</v>
      </c>
      <c r="G689" s="266">
        <v>42.0</v>
      </c>
      <c r="H689" s="266">
        <v>2.0</v>
      </c>
      <c r="I689" s="266">
        <v>1785.0</v>
      </c>
      <c r="J689" s="266">
        <v>8.0</v>
      </c>
      <c r="K689" s="266">
        <v>120.0</v>
      </c>
      <c r="L689" s="266">
        <v>8.0</v>
      </c>
      <c r="M689" s="266">
        <v>1.0</v>
      </c>
      <c r="N689" s="266">
        <v>1.0</v>
      </c>
      <c r="O689" s="266">
        <v>1.0</v>
      </c>
      <c r="P689" s="266" t="s">
        <v>166</v>
      </c>
      <c r="Q689" s="266">
        <v>1.0</v>
      </c>
      <c r="R689" s="266" t="s">
        <v>166</v>
      </c>
      <c r="S689" s="266" t="s">
        <v>174</v>
      </c>
      <c r="T689" s="494"/>
    </row>
    <row r="690">
      <c r="A690" s="494" t="s">
        <v>3401</v>
      </c>
      <c r="B690" s="495" t="s">
        <v>3510</v>
      </c>
      <c r="C690" s="452" t="str">
        <f t="shared" si="143"/>
        <v>Manli</v>
      </c>
      <c r="D690" s="452" t="str">
        <f>HYPERLINK("https://manli.com/en/product-detail-MANLI_GeForce_GTX_1660_Gallardo_(M2436+N549-00)-21.html","Gallardo (M2436+N549-00)")</f>
        <v>Gallardo (M2436+N549-00)</v>
      </c>
      <c r="E690" s="266">
        <v>232.0</v>
      </c>
      <c r="F690" s="266">
        <v>125.0</v>
      </c>
      <c r="G690" s="266">
        <v>42.0</v>
      </c>
      <c r="H690" s="266">
        <v>2.0</v>
      </c>
      <c r="I690" s="266">
        <v>1830.0</v>
      </c>
      <c r="J690" s="266">
        <v>8.0</v>
      </c>
      <c r="K690" s="266">
        <v>120.0</v>
      </c>
      <c r="L690" s="266">
        <v>8.0</v>
      </c>
      <c r="M690" s="266">
        <v>2.0</v>
      </c>
      <c r="N690" s="266">
        <v>1.0</v>
      </c>
      <c r="O690" s="266">
        <v>1.0</v>
      </c>
      <c r="P690" s="266" t="s">
        <v>166</v>
      </c>
      <c r="Q690" s="266">
        <v>1.0</v>
      </c>
      <c r="R690" s="497" t="s">
        <v>166</v>
      </c>
      <c r="S690" s="497" t="s">
        <v>166</v>
      </c>
      <c r="T690" s="496"/>
    </row>
    <row r="691">
      <c r="A691" s="494" t="s">
        <v>3401</v>
      </c>
      <c r="B691" s="495" t="s">
        <v>3510</v>
      </c>
      <c r="C691" s="174" t="str">
        <f t="shared" ref="C691:C694" si="144">HYPERLINK("https://www.msi.com/index.php","MSI")</f>
        <v>MSI</v>
      </c>
      <c r="D691" s="452" t="s">
        <v>3693</v>
      </c>
      <c r="E691" s="266">
        <v>243.0</v>
      </c>
      <c r="F691" s="266">
        <v>129.0</v>
      </c>
      <c r="G691" s="266">
        <v>42.0</v>
      </c>
      <c r="H691" s="266">
        <v>2.0</v>
      </c>
      <c r="I691" s="266">
        <v>1785.0</v>
      </c>
      <c r="J691" s="266">
        <v>8.0</v>
      </c>
      <c r="K691" s="266">
        <v>120.0</v>
      </c>
      <c r="L691" s="266">
        <v>8.0</v>
      </c>
      <c r="M691" s="266">
        <v>2.0</v>
      </c>
      <c r="N691" s="266">
        <v>3.0</v>
      </c>
      <c r="O691" s="266">
        <v>1.0</v>
      </c>
      <c r="P691" s="266" t="s">
        <v>166</v>
      </c>
      <c r="Q691" s="266" t="s">
        <v>166</v>
      </c>
      <c r="R691" s="497" t="s">
        <v>166</v>
      </c>
      <c r="S691" s="497" t="s">
        <v>166</v>
      </c>
      <c r="T691" s="496"/>
    </row>
    <row r="692">
      <c r="A692" s="494" t="s">
        <v>3401</v>
      </c>
      <c r="B692" s="495" t="s">
        <v>3510</v>
      </c>
      <c r="C692" s="174" t="str">
        <f t="shared" si="144"/>
        <v>MSI</v>
      </c>
      <c r="D692" s="452" t="s">
        <v>3852</v>
      </c>
      <c r="E692" s="266">
        <v>243.0</v>
      </c>
      <c r="F692" s="266">
        <v>129.0</v>
      </c>
      <c r="G692" s="266">
        <v>42.0</v>
      </c>
      <c r="H692" s="266">
        <v>2.0</v>
      </c>
      <c r="I692" s="266">
        <v>1845.0</v>
      </c>
      <c r="J692" s="266">
        <v>8.0</v>
      </c>
      <c r="K692" s="266">
        <v>120.0</v>
      </c>
      <c r="L692" s="266">
        <v>8.0</v>
      </c>
      <c r="M692" s="266">
        <v>2.0</v>
      </c>
      <c r="N692" s="266">
        <v>3.0</v>
      </c>
      <c r="O692" s="266">
        <v>1.0</v>
      </c>
      <c r="P692" s="266" t="s">
        <v>166</v>
      </c>
      <c r="Q692" s="266" t="s">
        <v>166</v>
      </c>
      <c r="R692" s="497" t="s">
        <v>166</v>
      </c>
      <c r="S692" s="497" t="s">
        <v>166</v>
      </c>
      <c r="T692" s="496"/>
    </row>
    <row r="693">
      <c r="A693" s="494" t="s">
        <v>3401</v>
      </c>
      <c r="B693" s="495" t="s">
        <v>3510</v>
      </c>
      <c r="C693" s="174" t="str">
        <f t="shared" si="144"/>
        <v>MSI</v>
      </c>
      <c r="D693" s="452" t="s">
        <v>3409</v>
      </c>
      <c r="E693" s="266">
        <v>247.0</v>
      </c>
      <c r="F693" s="266">
        <v>127.0</v>
      </c>
      <c r="G693" s="266">
        <v>46.0</v>
      </c>
      <c r="H693" s="266">
        <v>2.0</v>
      </c>
      <c r="I693" s="266">
        <v>1785.0</v>
      </c>
      <c r="J693" s="266">
        <v>8.0</v>
      </c>
      <c r="K693" s="266">
        <v>120.0</v>
      </c>
      <c r="L693" s="266">
        <v>8.0</v>
      </c>
      <c r="M693" s="266">
        <v>2.0</v>
      </c>
      <c r="N693" s="266">
        <v>3.0</v>
      </c>
      <c r="O693" s="266">
        <v>1.0</v>
      </c>
      <c r="P693" s="266" t="s">
        <v>166</v>
      </c>
      <c r="Q693" s="266" t="s">
        <v>166</v>
      </c>
      <c r="R693" s="497" t="s">
        <v>166</v>
      </c>
      <c r="S693" s="497" t="s">
        <v>166</v>
      </c>
      <c r="T693" s="496"/>
    </row>
    <row r="694">
      <c r="A694" s="494" t="s">
        <v>3401</v>
      </c>
      <c r="B694" s="495" t="s">
        <v>3510</v>
      </c>
      <c r="C694" s="174" t="str">
        <f t="shared" si="144"/>
        <v>MSI</v>
      </c>
      <c r="D694" s="452" t="s">
        <v>3557</v>
      </c>
      <c r="E694" s="266">
        <v>247.0</v>
      </c>
      <c r="F694" s="266">
        <v>127.0</v>
      </c>
      <c r="G694" s="266">
        <v>46.0</v>
      </c>
      <c r="H694" s="266">
        <v>2.0</v>
      </c>
      <c r="I694" s="266">
        <v>1860.0</v>
      </c>
      <c r="J694" s="266">
        <v>8.0</v>
      </c>
      <c r="K694" s="266">
        <v>120.0</v>
      </c>
      <c r="L694" s="266">
        <v>8.0</v>
      </c>
      <c r="M694" s="266">
        <v>2.0</v>
      </c>
      <c r="N694" s="266">
        <v>3.0</v>
      </c>
      <c r="O694" s="266">
        <v>1.0</v>
      </c>
      <c r="P694" s="266" t="s">
        <v>166</v>
      </c>
      <c r="Q694" s="266" t="s">
        <v>166</v>
      </c>
      <c r="R694" s="497" t="s">
        <v>166</v>
      </c>
      <c r="S694" s="497" t="s">
        <v>166</v>
      </c>
      <c r="T694" s="496"/>
    </row>
    <row r="695">
      <c r="A695" s="494" t="s">
        <v>3401</v>
      </c>
      <c r="B695" s="495" t="s">
        <v>3510</v>
      </c>
      <c r="C695" s="452" t="str">
        <f>HYPERLINK("https://pny.com/","PNY")</f>
        <v>PNY</v>
      </c>
      <c r="D695" s="452" t="str">
        <f>HYPERLINK("https://pny.com/GeForce-GTX-1660-6GB-Blower","Blower")</f>
        <v>Blower</v>
      </c>
      <c r="E695" s="266">
        <v>255.0</v>
      </c>
      <c r="F695" s="266">
        <v>125.0</v>
      </c>
      <c r="G695" s="266">
        <v>40.0</v>
      </c>
      <c r="H695" s="266">
        <v>2.0</v>
      </c>
      <c r="I695" s="266">
        <v>1785.0</v>
      </c>
      <c r="J695" s="266">
        <v>8.0</v>
      </c>
      <c r="K695" s="266">
        <v>120.0</v>
      </c>
      <c r="L695" s="266">
        <v>8.0</v>
      </c>
      <c r="M695" s="266">
        <v>1.0</v>
      </c>
      <c r="N695" s="266">
        <v>1.0</v>
      </c>
      <c r="O695" s="266">
        <v>1.0</v>
      </c>
      <c r="P695" s="266" t="s">
        <v>166</v>
      </c>
      <c r="Q695" s="266">
        <v>1.0</v>
      </c>
      <c r="R695" s="266" t="s">
        <v>166</v>
      </c>
      <c r="S695" s="266" t="s">
        <v>174</v>
      </c>
      <c r="T695" s="494"/>
    </row>
    <row r="696">
      <c r="A696" s="494" t="s">
        <v>3401</v>
      </c>
      <c r="B696" s="495" t="s">
        <v>3510</v>
      </c>
      <c r="C696" s="452" t="str">
        <f t="shared" ref="C696:C697" si="145">HYPERLINK("http://www.palit.com/palit/index.php?lang=en","Palit")</f>
        <v>Palit</v>
      </c>
      <c r="D696" s="452" t="str">
        <f>HYPERLINK("http://www.palit.com/palit/vgapro.php?id=3230&amp;lang=en","Dual")</f>
        <v>Dual</v>
      </c>
      <c r="E696" s="266">
        <v>235.0</v>
      </c>
      <c r="F696" s="266">
        <v>115.0</v>
      </c>
      <c r="G696" s="266">
        <v>40.0</v>
      </c>
      <c r="H696" s="266">
        <v>2.0</v>
      </c>
      <c r="I696" s="266">
        <v>1785.0</v>
      </c>
      <c r="J696" s="266">
        <v>8.0</v>
      </c>
      <c r="K696" s="266">
        <v>120.0</v>
      </c>
      <c r="L696" s="266">
        <v>8.0</v>
      </c>
      <c r="M696" s="266">
        <v>2.0</v>
      </c>
      <c r="N696" s="266">
        <v>1.0</v>
      </c>
      <c r="O696" s="266">
        <v>1.0</v>
      </c>
      <c r="P696" s="266" t="s">
        <v>166</v>
      </c>
      <c r="Q696" s="266">
        <v>1.0</v>
      </c>
      <c r="R696" s="497" t="s">
        <v>166</v>
      </c>
      <c r="S696" s="497" t="s">
        <v>166</v>
      </c>
      <c r="T696" s="496"/>
    </row>
    <row r="697">
      <c r="A697" s="494" t="s">
        <v>3401</v>
      </c>
      <c r="B697" s="495" t="s">
        <v>3510</v>
      </c>
      <c r="C697" s="452" t="str">
        <f t="shared" si="145"/>
        <v>Palit</v>
      </c>
      <c r="D697" s="452" t="str">
        <f>HYPERLINK("http://www.palit.com/palit/vgapro.php?id=3223&amp;lang=en","Dual OC")</f>
        <v>Dual OC</v>
      </c>
      <c r="E697" s="266">
        <v>235.0</v>
      </c>
      <c r="F697" s="266">
        <v>115.0</v>
      </c>
      <c r="G697" s="266">
        <v>40.0</v>
      </c>
      <c r="H697" s="266">
        <v>2.0</v>
      </c>
      <c r="I697" s="266">
        <v>1830.0</v>
      </c>
      <c r="J697" s="266">
        <v>8.0</v>
      </c>
      <c r="K697" s="266">
        <v>120.0</v>
      </c>
      <c r="L697" s="266">
        <v>8.0</v>
      </c>
      <c r="M697" s="266">
        <v>2.0</v>
      </c>
      <c r="N697" s="266">
        <v>1.0</v>
      </c>
      <c r="O697" s="266">
        <v>1.0</v>
      </c>
      <c r="P697" s="266" t="s">
        <v>166</v>
      </c>
      <c r="Q697" s="266">
        <v>1.0</v>
      </c>
      <c r="R697" s="497" t="s">
        <v>166</v>
      </c>
      <c r="S697" s="497" t="s">
        <v>166</v>
      </c>
      <c r="T697" s="496"/>
    </row>
    <row r="698">
      <c r="A698" s="498" t="s">
        <v>3401</v>
      </c>
      <c r="B698" s="499" t="s">
        <v>3510</v>
      </c>
      <c r="C698" s="500" t="str">
        <f>HYPERLINK("https://pny.com/","PNY")</f>
        <v>PNY</v>
      </c>
      <c r="D698" s="500" t="str">
        <f>HYPERLINK("https://pny.com/PNY-GeForce-GTX-1660-XLR8-Gaming-Overclocked-Edition","XLR8 Gaming OC")</f>
        <v>XLR8 Gaming OC</v>
      </c>
      <c r="E698" s="501">
        <v>232.0</v>
      </c>
      <c r="F698" s="501">
        <v>125.0</v>
      </c>
      <c r="G698" s="501">
        <v>42.0</v>
      </c>
      <c r="H698" s="501">
        <v>2.0</v>
      </c>
      <c r="I698" s="501">
        <v>1830.0</v>
      </c>
      <c r="J698" s="501">
        <v>8.0</v>
      </c>
      <c r="K698" s="501">
        <v>120.0</v>
      </c>
      <c r="L698" s="501">
        <v>8.0</v>
      </c>
      <c r="M698" s="501">
        <v>2.0</v>
      </c>
      <c r="N698" s="501">
        <v>1.0</v>
      </c>
      <c r="O698" s="501">
        <v>1.0</v>
      </c>
      <c r="P698" s="501" t="s">
        <v>166</v>
      </c>
      <c r="Q698" s="501">
        <v>1.0</v>
      </c>
      <c r="R698" s="502" t="s">
        <v>166</v>
      </c>
      <c r="S698" s="502" t="s">
        <v>166</v>
      </c>
      <c r="T698" s="503"/>
    </row>
    <row r="699">
      <c r="A699" s="494" t="s">
        <v>3401</v>
      </c>
      <c r="B699" s="495" t="s">
        <v>3519</v>
      </c>
      <c r="C699" s="174" t="s">
        <v>3467</v>
      </c>
      <c r="D699" s="452" t="s">
        <v>3874</v>
      </c>
      <c r="E699" s="266">
        <v>223.0</v>
      </c>
      <c r="F699" s="266">
        <v>132.0</v>
      </c>
      <c r="G699" s="266">
        <v>38.0</v>
      </c>
      <c r="H699" s="266">
        <v>2.0</v>
      </c>
      <c r="I699" s="266">
        <v>1785.0</v>
      </c>
      <c r="J699" s="266">
        <v>14.0</v>
      </c>
      <c r="K699" s="266">
        <v>125.0</v>
      </c>
      <c r="L699" s="266">
        <v>8.0</v>
      </c>
      <c r="M699" s="266">
        <v>2.0</v>
      </c>
      <c r="N699" s="266">
        <v>1.0</v>
      </c>
      <c r="O699" s="266">
        <v>1.0</v>
      </c>
      <c r="P699" s="266" t="s">
        <v>166</v>
      </c>
      <c r="Q699" s="266">
        <v>1.0</v>
      </c>
      <c r="R699" s="497" t="s">
        <v>166</v>
      </c>
      <c r="S699" s="497" t="s">
        <v>166</v>
      </c>
      <c r="T699" s="496"/>
    </row>
    <row r="700">
      <c r="A700" s="494" t="s">
        <v>3401</v>
      </c>
      <c r="B700" s="495" t="s">
        <v>3519</v>
      </c>
      <c r="C700" s="174" t="s">
        <v>3467</v>
      </c>
      <c r="D700" s="452" t="s">
        <v>3884</v>
      </c>
      <c r="E700" s="266">
        <v>220.0</v>
      </c>
      <c r="F700" s="266">
        <v>113.0</v>
      </c>
      <c r="G700" s="266">
        <v>45.0</v>
      </c>
      <c r="H700" s="266">
        <v>2.0</v>
      </c>
      <c r="I700" s="266">
        <v>1785.0</v>
      </c>
      <c r="J700" s="266">
        <v>14.0</v>
      </c>
      <c r="K700" s="266">
        <v>125.0</v>
      </c>
      <c r="L700" s="266">
        <v>8.0</v>
      </c>
      <c r="M700" s="266">
        <v>2.0</v>
      </c>
      <c r="N700" s="266">
        <v>1.0</v>
      </c>
      <c r="O700" s="266">
        <v>1.0</v>
      </c>
      <c r="P700" s="266" t="s">
        <v>166</v>
      </c>
      <c r="Q700" s="266">
        <v>1.0</v>
      </c>
      <c r="R700" s="497" t="s">
        <v>166</v>
      </c>
      <c r="S700" s="497" t="s">
        <v>166</v>
      </c>
      <c r="T700" s="496"/>
    </row>
    <row r="701">
      <c r="A701" s="494" t="s">
        <v>3401</v>
      </c>
      <c r="B701" s="495" t="s">
        <v>3519</v>
      </c>
      <c r="C701" s="174" t="str">
        <f t="shared" ref="C701:C711" si="146">HYPERLINK("https://www.asus.com/","Asus")</f>
        <v>Asus</v>
      </c>
      <c r="D701" s="452" t="s">
        <v>3629</v>
      </c>
      <c r="E701" s="266">
        <v>242.0</v>
      </c>
      <c r="F701" s="266">
        <v>130.0</v>
      </c>
      <c r="G701" s="266">
        <v>53.0</v>
      </c>
      <c r="H701" s="266">
        <v>2.0</v>
      </c>
      <c r="I701" s="266">
        <v>1815.0</v>
      </c>
      <c r="J701" s="266">
        <v>14.0</v>
      </c>
      <c r="K701" s="266">
        <v>125.0</v>
      </c>
      <c r="L701" s="266">
        <v>8.0</v>
      </c>
      <c r="M701" s="266">
        <v>2.0</v>
      </c>
      <c r="N701" s="266">
        <v>1.0</v>
      </c>
      <c r="O701" s="266">
        <v>1.0</v>
      </c>
      <c r="P701" s="266" t="s">
        <v>166</v>
      </c>
      <c r="Q701" s="266">
        <v>1.0</v>
      </c>
      <c r="R701" s="497" t="s">
        <v>166</v>
      </c>
      <c r="S701" s="497" t="s">
        <v>166</v>
      </c>
      <c r="T701" s="496"/>
    </row>
    <row r="702">
      <c r="A702" s="494" t="s">
        <v>3401</v>
      </c>
      <c r="B702" s="495" t="s">
        <v>3519</v>
      </c>
      <c r="C702" s="174" t="str">
        <f t="shared" si="146"/>
        <v>Asus</v>
      </c>
      <c r="D702" s="452" t="s">
        <v>3640</v>
      </c>
      <c r="E702" s="266">
        <v>242.0</v>
      </c>
      <c r="F702" s="266">
        <v>130.0</v>
      </c>
      <c r="G702" s="266">
        <v>53.0</v>
      </c>
      <c r="H702" s="266">
        <v>2.0</v>
      </c>
      <c r="I702" s="266">
        <v>1830.0</v>
      </c>
      <c r="J702" s="266">
        <v>14.0</v>
      </c>
      <c r="K702" s="266">
        <v>125.0</v>
      </c>
      <c r="L702" s="266">
        <v>8.0</v>
      </c>
      <c r="M702" s="266">
        <v>2.0</v>
      </c>
      <c r="N702" s="266">
        <v>1.0</v>
      </c>
      <c r="O702" s="266">
        <v>1.0</v>
      </c>
      <c r="P702" s="266" t="s">
        <v>166</v>
      </c>
      <c r="Q702" s="266">
        <v>1.0</v>
      </c>
      <c r="R702" s="497" t="s">
        <v>166</v>
      </c>
      <c r="S702" s="497" t="s">
        <v>166</v>
      </c>
      <c r="T702" s="496"/>
    </row>
    <row r="703">
      <c r="A703" s="494" t="s">
        <v>3401</v>
      </c>
      <c r="B703" s="495" t="s">
        <v>3519</v>
      </c>
      <c r="C703" s="174" t="str">
        <f t="shared" si="146"/>
        <v>Asus</v>
      </c>
      <c r="D703" s="452" t="s">
        <v>3659</v>
      </c>
      <c r="E703" s="550">
        <v>242.0</v>
      </c>
      <c r="F703" s="560">
        <v>130.0</v>
      </c>
      <c r="G703" s="561">
        <v>53.0</v>
      </c>
      <c r="H703" s="266">
        <v>2.0</v>
      </c>
      <c r="I703" s="266">
        <v>1860.0</v>
      </c>
      <c r="J703" s="266">
        <v>14.0</v>
      </c>
      <c r="K703" s="266">
        <v>125.0</v>
      </c>
      <c r="L703" s="266">
        <v>8.0</v>
      </c>
      <c r="M703" s="266">
        <v>2.0</v>
      </c>
      <c r="N703" s="266">
        <v>1.0</v>
      </c>
      <c r="O703" s="266">
        <v>1.0</v>
      </c>
      <c r="P703" s="266" t="s">
        <v>166</v>
      </c>
      <c r="Q703" s="266">
        <v>1.0</v>
      </c>
      <c r="R703" s="497" t="s">
        <v>166</v>
      </c>
      <c r="S703" s="497" t="s">
        <v>166</v>
      </c>
      <c r="T703" s="496"/>
    </row>
    <row r="704">
      <c r="A704" s="494" t="s">
        <v>3401</v>
      </c>
      <c r="B704" s="495" t="s">
        <v>3519</v>
      </c>
      <c r="C704" s="174" t="str">
        <f t="shared" si="146"/>
        <v>Asus</v>
      </c>
      <c r="D704" s="452" t="s">
        <v>3885</v>
      </c>
      <c r="E704" s="266">
        <v>264.0</v>
      </c>
      <c r="F704" s="266">
        <v>130.0</v>
      </c>
      <c r="G704" s="266">
        <v>55.0</v>
      </c>
      <c r="H704" s="266">
        <v>2.0</v>
      </c>
      <c r="I704" s="266">
        <v>1815.0</v>
      </c>
      <c r="J704" s="266">
        <v>14.0</v>
      </c>
      <c r="K704" s="266">
        <v>125.0</v>
      </c>
      <c r="L704" s="266">
        <v>8.0</v>
      </c>
      <c r="M704" s="266">
        <v>3.0</v>
      </c>
      <c r="N704" s="266">
        <v>1.0</v>
      </c>
      <c r="O704" s="266">
        <v>1.0</v>
      </c>
      <c r="P704" s="266" t="s">
        <v>166</v>
      </c>
      <c r="Q704" s="266">
        <v>1.0</v>
      </c>
      <c r="R704" s="497" t="s">
        <v>166</v>
      </c>
      <c r="S704" s="497" t="s">
        <v>166</v>
      </c>
      <c r="T704" s="496"/>
    </row>
    <row r="705">
      <c r="A705" s="494" t="s">
        <v>3401</v>
      </c>
      <c r="B705" s="495" t="s">
        <v>3519</v>
      </c>
      <c r="C705" s="174" t="str">
        <f t="shared" si="146"/>
        <v>Asus</v>
      </c>
      <c r="D705" s="452" t="s">
        <v>3886</v>
      </c>
      <c r="E705" s="266">
        <v>264.0</v>
      </c>
      <c r="F705" s="266">
        <v>130.0</v>
      </c>
      <c r="G705" s="266">
        <v>55.0</v>
      </c>
      <c r="H705" s="266">
        <v>2.0</v>
      </c>
      <c r="I705" s="266">
        <v>1830.0</v>
      </c>
      <c r="J705" s="266">
        <v>14.0</v>
      </c>
      <c r="K705" s="266">
        <v>125.0</v>
      </c>
      <c r="L705" s="266">
        <v>8.0</v>
      </c>
      <c r="M705" s="266">
        <v>3.0</v>
      </c>
      <c r="N705" s="266">
        <v>1.0</v>
      </c>
      <c r="O705" s="266">
        <v>1.0</v>
      </c>
      <c r="P705" s="266" t="s">
        <v>166</v>
      </c>
      <c r="Q705" s="266">
        <v>1.0</v>
      </c>
      <c r="R705" s="497" t="s">
        <v>166</v>
      </c>
      <c r="S705" s="497" t="s">
        <v>166</v>
      </c>
      <c r="T705" s="496"/>
    </row>
    <row r="706">
      <c r="A706" s="494" t="s">
        <v>3401</v>
      </c>
      <c r="B706" s="495" t="s">
        <v>3519</v>
      </c>
      <c r="C706" s="174" t="str">
        <f t="shared" si="146"/>
        <v>Asus</v>
      </c>
      <c r="D706" s="452" t="s">
        <v>3899</v>
      </c>
      <c r="E706" s="266">
        <v>264.0</v>
      </c>
      <c r="F706" s="266">
        <v>130.0</v>
      </c>
      <c r="G706" s="266">
        <v>55.0</v>
      </c>
      <c r="H706" s="266">
        <v>2.0</v>
      </c>
      <c r="I706" s="266">
        <v>1830.0</v>
      </c>
      <c r="J706" s="266">
        <v>14.0</v>
      </c>
      <c r="K706" s="266">
        <v>125.0</v>
      </c>
      <c r="L706" s="266">
        <v>8.0</v>
      </c>
      <c r="M706" s="266">
        <v>3.0</v>
      </c>
      <c r="N706" s="266">
        <v>1.0</v>
      </c>
      <c r="O706" s="266">
        <v>1.0</v>
      </c>
      <c r="P706" s="266" t="s">
        <v>166</v>
      </c>
      <c r="Q706" s="266">
        <v>1.0</v>
      </c>
      <c r="R706" s="497" t="s">
        <v>166</v>
      </c>
      <c r="S706" s="497" t="s">
        <v>166</v>
      </c>
      <c r="T706" s="496"/>
    </row>
    <row r="707">
      <c r="A707" s="494" t="s">
        <v>3401</v>
      </c>
      <c r="B707" s="495" t="s">
        <v>3519</v>
      </c>
      <c r="C707" s="174" t="str">
        <f t="shared" si="146"/>
        <v>Asus</v>
      </c>
      <c r="D707" s="452" t="s">
        <v>3660</v>
      </c>
      <c r="E707" s="558">
        <v>264.0</v>
      </c>
      <c r="F707" s="560">
        <v>130.0</v>
      </c>
      <c r="G707" s="559">
        <v>55.0</v>
      </c>
      <c r="H707" s="266">
        <v>2.0</v>
      </c>
      <c r="I707" s="266">
        <v>1860.0</v>
      </c>
      <c r="J707" s="266">
        <v>14.0</v>
      </c>
      <c r="K707" s="266">
        <v>125.0</v>
      </c>
      <c r="L707" s="266">
        <v>8.0</v>
      </c>
      <c r="M707" s="266">
        <v>3.0</v>
      </c>
      <c r="N707" s="266">
        <v>1.0</v>
      </c>
      <c r="O707" s="266">
        <v>1.0</v>
      </c>
      <c r="P707" s="266" t="s">
        <v>166</v>
      </c>
      <c r="Q707" s="266">
        <v>1.0</v>
      </c>
      <c r="R707" s="497" t="s">
        <v>166</v>
      </c>
      <c r="S707" s="497" t="s">
        <v>166</v>
      </c>
      <c r="T707" s="496"/>
    </row>
    <row r="708">
      <c r="A708" s="494" t="s">
        <v>3401</v>
      </c>
      <c r="B708" s="495" t="s">
        <v>3519</v>
      </c>
      <c r="C708" s="174" t="str">
        <f t="shared" si="146"/>
        <v>Asus</v>
      </c>
      <c r="D708" s="452" t="s">
        <v>3900</v>
      </c>
      <c r="E708" s="558">
        <v>264.0</v>
      </c>
      <c r="F708" s="560">
        <v>130.0</v>
      </c>
      <c r="G708" s="559">
        <v>55.0</v>
      </c>
      <c r="H708" s="266">
        <v>2.0</v>
      </c>
      <c r="I708" s="266">
        <v>1860.0</v>
      </c>
      <c r="J708" s="266">
        <v>14.0</v>
      </c>
      <c r="K708" s="266">
        <v>125.0</v>
      </c>
      <c r="L708" s="266">
        <v>8.0</v>
      </c>
      <c r="M708" s="266">
        <v>3.0</v>
      </c>
      <c r="N708" s="266">
        <v>1.0</v>
      </c>
      <c r="O708" s="266">
        <v>1.0</v>
      </c>
      <c r="P708" s="266" t="s">
        <v>166</v>
      </c>
      <c r="Q708" s="266">
        <v>1.0</v>
      </c>
      <c r="R708" s="497" t="s">
        <v>166</v>
      </c>
      <c r="S708" s="497" t="s">
        <v>166</v>
      </c>
      <c r="T708" s="496"/>
    </row>
    <row r="709">
      <c r="A709" s="494" t="s">
        <v>3401</v>
      </c>
      <c r="B709" s="495" t="s">
        <v>3519</v>
      </c>
      <c r="C709" s="174" t="str">
        <f t="shared" si="146"/>
        <v>Asus</v>
      </c>
      <c r="D709" s="452" t="s">
        <v>3631</v>
      </c>
      <c r="E709" s="266">
        <v>243.0</v>
      </c>
      <c r="F709" s="266">
        <v>130.0</v>
      </c>
      <c r="G709" s="266">
        <v>47.0</v>
      </c>
      <c r="H709" s="266">
        <v>2.0</v>
      </c>
      <c r="I709" s="266">
        <v>1815.0</v>
      </c>
      <c r="J709" s="266">
        <v>14.0</v>
      </c>
      <c r="K709" s="266">
        <v>125.0</v>
      </c>
      <c r="L709" s="266">
        <v>8.0</v>
      </c>
      <c r="M709" s="266">
        <v>2.0</v>
      </c>
      <c r="N709" s="266">
        <v>2.0</v>
      </c>
      <c r="O709" s="266">
        <v>2.0</v>
      </c>
      <c r="P709" s="266" t="s">
        <v>166</v>
      </c>
      <c r="Q709" s="266" t="s">
        <v>166</v>
      </c>
      <c r="R709" s="497" t="s">
        <v>166</v>
      </c>
      <c r="S709" s="497" t="s">
        <v>166</v>
      </c>
      <c r="T709" s="496"/>
    </row>
    <row r="710">
      <c r="A710" s="494" t="s">
        <v>3401</v>
      </c>
      <c r="B710" s="495" t="s">
        <v>3519</v>
      </c>
      <c r="C710" s="174" t="str">
        <f t="shared" si="146"/>
        <v>Asus</v>
      </c>
      <c r="D710" s="452" t="s">
        <v>3642</v>
      </c>
      <c r="E710" s="266">
        <v>243.0</v>
      </c>
      <c r="F710" s="266">
        <v>130.0</v>
      </c>
      <c r="G710" s="266">
        <v>47.0</v>
      </c>
      <c r="H710" s="266">
        <v>2.0</v>
      </c>
      <c r="I710" s="266">
        <v>1845.0</v>
      </c>
      <c r="J710" s="266">
        <v>14.0</v>
      </c>
      <c r="K710" s="266">
        <v>125.0</v>
      </c>
      <c r="L710" s="266">
        <v>8.0</v>
      </c>
      <c r="M710" s="266">
        <v>2.0</v>
      </c>
      <c r="N710" s="266">
        <v>2.0</v>
      </c>
      <c r="O710" s="266">
        <v>2.0</v>
      </c>
      <c r="P710" s="266" t="s">
        <v>166</v>
      </c>
      <c r="Q710" s="266" t="s">
        <v>166</v>
      </c>
      <c r="R710" s="497" t="s">
        <v>166</v>
      </c>
      <c r="S710" s="497" t="s">
        <v>166</v>
      </c>
      <c r="T710" s="496"/>
    </row>
    <row r="711">
      <c r="A711" s="494" t="s">
        <v>3401</v>
      </c>
      <c r="B711" s="495" t="s">
        <v>3519</v>
      </c>
      <c r="C711" s="174" t="str">
        <f t="shared" si="146"/>
        <v>Asus</v>
      </c>
      <c r="D711" s="452" t="s">
        <v>3643</v>
      </c>
      <c r="E711" s="556">
        <v>243.0</v>
      </c>
      <c r="F711" s="560">
        <v>130.0</v>
      </c>
      <c r="G711" s="557">
        <v>47.0</v>
      </c>
      <c r="H711" s="266">
        <v>2.0</v>
      </c>
      <c r="I711" s="266">
        <v>1875.0</v>
      </c>
      <c r="J711" s="266">
        <v>14.0</v>
      </c>
      <c r="K711" s="266">
        <v>125.0</v>
      </c>
      <c r="L711" s="266">
        <v>8.0</v>
      </c>
      <c r="M711" s="266">
        <v>2.0</v>
      </c>
      <c r="N711" s="266">
        <v>2.0</v>
      </c>
      <c r="O711" s="266">
        <v>2.0</v>
      </c>
      <c r="P711" s="266" t="s">
        <v>166</v>
      </c>
      <c r="Q711" s="266" t="s">
        <v>166</v>
      </c>
      <c r="R711" s="497" t="s">
        <v>166</v>
      </c>
      <c r="S711" s="497" t="s">
        <v>166</v>
      </c>
      <c r="T711" s="496"/>
    </row>
    <row r="712">
      <c r="A712" s="494" t="s">
        <v>3401</v>
      </c>
      <c r="B712" s="495" t="s">
        <v>3519</v>
      </c>
      <c r="C712" s="452" t="s">
        <v>3575</v>
      </c>
      <c r="D712" s="452" t="s">
        <v>3887</v>
      </c>
      <c r="E712" s="266">
        <v>222.0</v>
      </c>
      <c r="F712" s="518">
        <v>126.0</v>
      </c>
      <c r="G712" s="518">
        <v>42.0</v>
      </c>
      <c r="H712" s="266">
        <v>2.0</v>
      </c>
      <c r="I712" s="266">
        <v>1785.0</v>
      </c>
      <c r="J712" s="266">
        <v>14.0</v>
      </c>
      <c r="K712" s="266">
        <v>125.0</v>
      </c>
      <c r="L712" s="266">
        <v>8.0</v>
      </c>
      <c r="M712" s="266">
        <v>2.0</v>
      </c>
      <c r="N712" s="266">
        <v>1.0</v>
      </c>
      <c r="O712" s="266">
        <v>1.0</v>
      </c>
      <c r="P712" s="266" t="s">
        <v>166</v>
      </c>
      <c r="Q712" s="266">
        <v>1.0</v>
      </c>
      <c r="R712" s="497" t="s">
        <v>166</v>
      </c>
      <c r="S712" s="497" t="s">
        <v>166</v>
      </c>
      <c r="T712" s="496"/>
    </row>
    <row r="713">
      <c r="A713" s="494" t="s">
        <v>3401</v>
      </c>
      <c r="B713" s="495" t="s">
        <v>3519</v>
      </c>
      <c r="C713" s="452" t="s">
        <v>3575</v>
      </c>
      <c r="D713" s="452" t="s">
        <v>3888</v>
      </c>
      <c r="E713" s="266">
        <v>222.0</v>
      </c>
      <c r="F713" s="518">
        <v>126.0</v>
      </c>
      <c r="G713" s="518">
        <v>42.0</v>
      </c>
      <c r="H713" s="266">
        <v>2.0</v>
      </c>
      <c r="I713" s="266">
        <v>1785.0</v>
      </c>
      <c r="J713" s="266">
        <v>14.0</v>
      </c>
      <c r="K713" s="266">
        <v>125.0</v>
      </c>
      <c r="L713" s="266">
        <v>8.0</v>
      </c>
      <c r="M713" s="266">
        <v>2.0</v>
      </c>
      <c r="N713" s="266">
        <v>1.0</v>
      </c>
      <c r="O713" s="266">
        <v>1.0</v>
      </c>
      <c r="P713" s="266" t="s">
        <v>166</v>
      </c>
      <c r="Q713" s="266">
        <v>1.0</v>
      </c>
      <c r="R713" s="497" t="s">
        <v>166</v>
      </c>
      <c r="S713" s="497" t="s">
        <v>166</v>
      </c>
      <c r="T713" s="496"/>
    </row>
    <row r="714">
      <c r="A714" s="494" t="s">
        <v>3401</v>
      </c>
      <c r="B714" s="495" t="s">
        <v>3519</v>
      </c>
      <c r="C714" s="452" t="s">
        <v>3575</v>
      </c>
      <c r="D714" s="452" t="s">
        <v>3873</v>
      </c>
      <c r="E714" s="266">
        <v>310.0</v>
      </c>
      <c r="F714" s="518">
        <v>126.0</v>
      </c>
      <c r="G714" s="518">
        <v>42.0</v>
      </c>
      <c r="H714" s="266">
        <v>2.0</v>
      </c>
      <c r="I714" s="266">
        <v>1830.0</v>
      </c>
      <c r="J714" s="266">
        <v>14.0</v>
      </c>
      <c r="K714" s="266">
        <v>125.0</v>
      </c>
      <c r="L714" s="266">
        <v>8.0</v>
      </c>
      <c r="M714" s="266">
        <v>3.0</v>
      </c>
      <c r="N714" s="266">
        <v>1.0</v>
      </c>
      <c r="O714" s="266">
        <v>1.0</v>
      </c>
      <c r="P714" s="266" t="s">
        <v>166</v>
      </c>
      <c r="Q714" s="266">
        <v>1.0</v>
      </c>
      <c r="R714" s="497" t="s">
        <v>166</v>
      </c>
      <c r="S714" s="497" t="s">
        <v>166</v>
      </c>
      <c r="T714" s="496"/>
    </row>
    <row r="715">
      <c r="A715" s="494" t="s">
        <v>3401</v>
      </c>
      <c r="B715" s="495" t="s">
        <v>3519</v>
      </c>
      <c r="C715" s="174" t="s">
        <v>3405</v>
      </c>
      <c r="D715" s="452" t="s">
        <v>3481</v>
      </c>
      <c r="E715" s="266">
        <v>240.0</v>
      </c>
      <c r="F715" s="518">
        <v>111.0</v>
      </c>
      <c r="G715" s="518">
        <v>42.0</v>
      </c>
      <c r="H715" s="266">
        <v>2.0</v>
      </c>
      <c r="I715" s="266">
        <v>1785.0</v>
      </c>
      <c r="J715" s="266">
        <v>14.0</v>
      </c>
      <c r="K715" s="266">
        <v>125.0</v>
      </c>
      <c r="L715" s="266">
        <v>8.0</v>
      </c>
      <c r="M715" s="266">
        <v>2.0</v>
      </c>
      <c r="N715" s="266">
        <v>1.0</v>
      </c>
      <c r="O715" s="266">
        <v>1.0</v>
      </c>
      <c r="P715" s="266" t="s">
        <v>166</v>
      </c>
      <c r="Q715" s="266">
        <v>1.0</v>
      </c>
      <c r="R715" s="497" t="s">
        <v>166</v>
      </c>
      <c r="S715" s="497" t="s">
        <v>166</v>
      </c>
      <c r="T715" s="496"/>
    </row>
    <row r="716">
      <c r="A716" s="494" t="s">
        <v>3401</v>
      </c>
      <c r="B716" s="495" t="s">
        <v>3519</v>
      </c>
      <c r="C716" s="174" t="s">
        <v>3405</v>
      </c>
      <c r="D716" s="452" t="s">
        <v>3901</v>
      </c>
      <c r="E716" s="266">
        <v>240.0</v>
      </c>
      <c r="F716" s="518">
        <v>111.0</v>
      </c>
      <c r="G716" s="518">
        <v>42.0</v>
      </c>
      <c r="H716" s="266">
        <v>2.0</v>
      </c>
      <c r="I716" s="266">
        <v>1785.0</v>
      </c>
      <c r="J716" s="266">
        <v>14.0</v>
      </c>
      <c r="K716" s="266">
        <v>125.0</v>
      </c>
      <c r="L716" s="266">
        <v>8.0</v>
      </c>
      <c r="M716" s="266">
        <v>2.0</v>
      </c>
      <c r="N716" s="266">
        <v>1.0</v>
      </c>
      <c r="O716" s="266">
        <v>1.0</v>
      </c>
      <c r="P716" s="266" t="s">
        <v>166</v>
      </c>
      <c r="Q716" s="266">
        <v>1.0</v>
      </c>
      <c r="R716" s="497" t="s">
        <v>166</v>
      </c>
      <c r="S716" s="497" t="s">
        <v>166</v>
      </c>
      <c r="T716" s="496"/>
    </row>
    <row r="717">
      <c r="A717" s="494" t="s">
        <v>3401</v>
      </c>
      <c r="B717" s="495" t="s">
        <v>3519</v>
      </c>
      <c r="C717" s="174" t="s">
        <v>3405</v>
      </c>
      <c r="D717" s="452" t="s">
        <v>3902</v>
      </c>
      <c r="E717" s="266">
        <v>235.0</v>
      </c>
      <c r="F717" s="518">
        <v>115.0</v>
      </c>
      <c r="G717" s="518">
        <v>40.0</v>
      </c>
      <c r="H717" s="266">
        <v>2.0</v>
      </c>
      <c r="I717" s="266">
        <v>1785.0</v>
      </c>
      <c r="J717" s="266">
        <v>14.0</v>
      </c>
      <c r="K717" s="266">
        <v>125.0</v>
      </c>
      <c r="L717" s="266">
        <v>8.0</v>
      </c>
      <c r="M717" s="266">
        <v>2.0</v>
      </c>
      <c r="N717" s="266">
        <v>1.0</v>
      </c>
      <c r="O717" s="266">
        <v>1.0</v>
      </c>
      <c r="P717" s="266" t="s">
        <v>166</v>
      </c>
      <c r="Q717" s="266">
        <v>1.0</v>
      </c>
      <c r="R717" s="497" t="s">
        <v>166</v>
      </c>
      <c r="S717" s="497" t="s">
        <v>166</v>
      </c>
      <c r="T717" s="496"/>
    </row>
    <row r="718">
      <c r="A718" s="494" t="s">
        <v>3401</v>
      </c>
      <c r="B718" s="495" t="s">
        <v>3519</v>
      </c>
      <c r="C718" s="174" t="s">
        <v>3405</v>
      </c>
      <c r="D718" s="452" t="s">
        <v>3903</v>
      </c>
      <c r="E718" s="266">
        <v>235.0</v>
      </c>
      <c r="F718" s="518">
        <v>115.0</v>
      </c>
      <c r="G718" s="518">
        <v>40.0</v>
      </c>
      <c r="H718" s="266">
        <v>2.0</v>
      </c>
      <c r="I718" s="266">
        <v>1830.0</v>
      </c>
      <c r="J718" s="266">
        <v>14.0</v>
      </c>
      <c r="K718" s="266">
        <v>125.0</v>
      </c>
      <c r="L718" s="266">
        <v>8.0</v>
      </c>
      <c r="M718" s="266">
        <v>2.0</v>
      </c>
      <c r="N718" s="266">
        <v>1.0</v>
      </c>
      <c r="O718" s="266">
        <v>1.0</v>
      </c>
      <c r="P718" s="266" t="s">
        <v>166</v>
      </c>
      <c r="Q718" s="266">
        <v>1.0</v>
      </c>
      <c r="R718" s="497" t="s">
        <v>166</v>
      </c>
      <c r="S718" s="497" t="s">
        <v>166</v>
      </c>
      <c r="T718" s="496"/>
    </row>
    <row r="719">
      <c r="A719" s="494" t="s">
        <v>3401</v>
      </c>
      <c r="B719" s="495" t="s">
        <v>3519</v>
      </c>
      <c r="C719" s="452" t="str">
        <f t="shared" ref="C719:C720" si="147">HYPERLINK("http://www.gainward.com/main/index.php?lang=en","Gainward")</f>
        <v>Gainward</v>
      </c>
      <c r="D719" s="452" t="str">
        <f>HYPERLINK("http://www.gainward.com/main/vgapro.php?id=1071&amp;lang=en","Ghost")</f>
        <v>Ghost</v>
      </c>
      <c r="E719" s="266">
        <v>235.0</v>
      </c>
      <c r="F719" s="266">
        <v>115.0</v>
      </c>
      <c r="G719" s="266">
        <v>40.0</v>
      </c>
      <c r="H719" s="266">
        <v>2.0</v>
      </c>
      <c r="I719" s="266">
        <v>1785.0</v>
      </c>
      <c r="J719" s="266">
        <v>14.0</v>
      </c>
      <c r="K719" s="266">
        <v>125.0</v>
      </c>
      <c r="L719" s="266">
        <v>8.0</v>
      </c>
      <c r="M719" s="266">
        <v>2.0</v>
      </c>
      <c r="N719" s="266">
        <v>1.0</v>
      </c>
      <c r="O719" s="266">
        <v>1.0</v>
      </c>
      <c r="P719" s="266" t="s">
        <v>166</v>
      </c>
      <c r="Q719" s="266">
        <v>1.0</v>
      </c>
      <c r="R719" s="497" t="s">
        <v>166</v>
      </c>
      <c r="S719" s="497" t="s">
        <v>166</v>
      </c>
      <c r="T719" s="496"/>
    </row>
    <row r="720">
      <c r="A720" s="494" t="s">
        <v>3401</v>
      </c>
      <c r="B720" s="495" t="s">
        <v>3519</v>
      </c>
      <c r="C720" s="452" t="str">
        <f t="shared" si="147"/>
        <v>Gainward</v>
      </c>
      <c r="D720" s="452" t="str">
        <f>HYPERLINK("http://www.gainward.com/main/vgapro.php?id=1070&amp;lang=en","Ghost OC")</f>
        <v>Ghost OC</v>
      </c>
      <c r="E720" s="266">
        <v>235.0</v>
      </c>
      <c r="F720" s="266">
        <v>115.0</v>
      </c>
      <c r="G720" s="266">
        <v>40.0</v>
      </c>
      <c r="H720" s="266">
        <v>2.0</v>
      </c>
      <c r="I720" s="266">
        <v>1830.0</v>
      </c>
      <c r="J720" s="266">
        <v>14.0</v>
      </c>
      <c r="K720" s="266">
        <v>125.0</v>
      </c>
      <c r="L720" s="266">
        <v>8.0</v>
      </c>
      <c r="M720" s="266">
        <v>2.0</v>
      </c>
      <c r="N720" s="266">
        <v>1.0</v>
      </c>
      <c r="O720" s="266">
        <v>1.0</v>
      </c>
      <c r="P720" s="266" t="s">
        <v>166</v>
      </c>
      <c r="Q720" s="266">
        <v>1.0</v>
      </c>
      <c r="R720" s="497" t="s">
        <v>166</v>
      </c>
      <c r="S720" s="497" t="s">
        <v>166</v>
      </c>
      <c r="T720" s="496"/>
    </row>
    <row r="721">
      <c r="A721" s="494" t="s">
        <v>3401</v>
      </c>
      <c r="B721" s="495" t="s">
        <v>3519</v>
      </c>
      <c r="C721" s="174" t="s">
        <v>3456</v>
      </c>
      <c r="D721" s="452" t="str">
        <f>HYPERLINK("https://www.galax.com/en/graphics-card/16super-series/galax-geforce-gtx-1660super.html","GTX 1660 SUPER")</f>
        <v>GTX 1660 SUPER</v>
      </c>
      <c r="E721" s="266">
        <v>268.0</v>
      </c>
      <c r="F721" s="266">
        <v>111.0</v>
      </c>
      <c r="G721" s="266">
        <v>38.0</v>
      </c>
      <c r="H721" s="266">
        <v>2.0</v>
      </c>
      <c r="I721" s="266">
        <v>1785.0</v>
      </c>
      <c r="J721" s="266">
        <v>14.0</v>
      </c>
      <c r="K721" s="266">
        <v>125.0</v>
      </c>
      <c r="L721" s="266">
        <v>8.0</v>
      </c>
      <c r="M721" s="266">
        <v>1.0</v>
      </c>
      <c r="N721" s="266">
        <v>3.0</v>
      </c>
      <c r="O721" s="266">
        <v>1.0</v>
      </c>
      <c r="P721" s="266" t="s">
        <v>166</v>
      </c>
      <c r="Q721" s="266" t="s">
        <v>166</v>
      </c>
      <c r="R721" s="266" t="s">
        <v>166</v>
      </c>
      <c r="S721" s="266" t="s">
        <v>174</v>
      </c>
      <c r="T721" s="494"/>
    </row>
    <row r="722">
      <c r="A722" s="494" t="s">
        <v>3401</v>
      </c>
      <c r="B722" s="495" t="s">
        <v>3519</v>
      </c>
      <c r="C722" s="174" t="s">
        <v>3456</v>
      </c>
      <c r="D722" s="452" t="str">
        <f>HYPERLINK("http://www.galax.com/en/graphics-card/16super-series/geforce-gtx-1660super-prodigy.html","Prodigy")</f>
        <v>Prodigy</v>
      </c>
      <c r="E722" s="266">
        <v>220.0</v>
      </c>
      <c r="F722" s="266">
        <v>113.0</v>
      </c>
      <c r="G722" s="266">
        <v>39.0</v>
      </c>
      <c r="H722" s="266">
        <v>2.0</v>
      </c>
      <c r="I722" s="266">
        <v>1815.0</v>
      </c>
      <c r="J722" s="266">
        <v>14.0</v>
      </c>
      <c r="K722" s="266">
        <v>125.0</v>
      </c>
      <c r="L722" s="266">
        <v>8.0</v>
      </c>
      <c r="M722" s="266">
        <v>1.0</v>
      </c>
      <c r="N722" s="266">
        <v>1.0</v>
      </c>
      <c r="O722" s="266">
        <v>1.0</v>
      </c>
      <c r="P722" s="266" t="s">
        <v>166</v>
      </c>
      <c r="Q722" s="266">
        <v>1.0</v>
      </c>
      <c r="R722" s="266" t="s">
        <v>166</v>
      </c>
      <c r="S722" s="497" t="s">
        <v>166</v>
      </c>
      <c r="T722" s="494"/>
    </row>
    <row r="723">
      <c r="A723" s="494" t="s">
        <v>3401</v>
      </c>
      <c r="B723" s="495" t="s">
        <v>3519</v>
      </c>
      <c r="C723" s="174" t="s">
        <v>3456</v>
      </c>
      <c r="D723" s="452" t="str">
        <f>HYPERLINK("http://www.galax.com/en/graphics-card/16super-series/galax-geforce-gtx-1660superex1clickoc.html","EX (1-Click OC)")</f>
        <v>EX (1-Click OC)</v>
      </c>
      <c r="E723" s="266">
        <v>233.0</v>
      </c>
      <c r="F723" s="266">
        <v>119.0</v>
      </c>
      <c r="G723" s="266">
        <v>40.0</v>
      </c>
      <c r="H723" s="266">
        <v>2.0</v>
      </c>
      <c r="I723" s="266">
        <v>1845.0</v>
      </c>
      <c r="J723" s="266">
        <v>14.0</v>
      </c>
      <c r="K723" s="266">
        <v>125.0</v>
      </c>
      <c r="L723" s="266">
        <v>8.0</v>
      </c>
      <c r="M723" s="266">
        <v>2.0</v>
      </c>
      <c r="N723" s="266">
        <v>1.0</v>
      </c>
      <c r="O723" s="266">
        <v>1.0</v>
      </c>
      <c r="P723" s="266" t="s">
        <v>166</v>
      </c>
      <c r="Q723" s="266">
        <v>1.0</v>
      </c>
      <c r="R723" s="497" t="s">
        <v>166</v>
      </c>
      <c r="S723" s="497" t="s">
        <v>166</v>
      </c>
      <c r="T723" s="496"/>
    </row>
    <row r="724">
      <c r="A724" s="494" t="s">
        <v>3401</v>
      </c>
      <c r="B724" s="495" t="s">
        <v>3519</v>
      </c>
      <c r="C724" s="174" t="s">
        <v>3456</v>
      </c>
      <c r="D724" s="452" t="str">
        <f>HYPERLINK("https://www.galax.com/en/graphics-card/16super-series/geforce-gtx-1660superexwhite1clickoc.html","EX White (1-Click OC)")</f>
        <v>EX White (1-Click OC)</v>
      </c>
      <c r="E724" s="266">
        <v>233.0</v>
      </c>
      <c r="F724" s="266">
        <v>119.0</v>
      </c>
      <c r="G724" s="266">
        <v>40.0</v>
      </c>
      <c r="H724" s="266">
        <v>2.0</v>
      </c>
      <c r="I724" s="266">
        <v>1845.0</v>
      </c>
      <c r="J724" s="266">
        <v>14.0</v>
      </c>
      <c r="K724" s="266">
        <v>125.0</v>
      </c>
      <c r="L724" s="266">
        <v>8.0</v>
      </c>
      <c r="M724" s="266">
        <v>2.0</v>
      </c>
      <c r="N724" s="266">
        <v>1.0</v>
      </c>
      <c r="O724" s="266">
        <v>1.0</v>
      </c>
      <c r="P724" s="266" t="s">
        <v>166</v>
      </c>
      <c r="Q724" s="266">
        <v>1.0</v>
      </c>
      <c r="R724" s="497" t="s">
        <v>166</v>
      </c>
      <c r="S724" s="497" t="s">
        <v>166</v>
      </c>
      <c r="T724" s="496"/>
    </row>
    <row r="725">
      <c r="A725" s="494" t="s">
        <v>3401</v>
      </c>
      <c r="B725" s="495" t="s">
        <v>3519</v>
      </c>
      <c r="C725" s="174" t="str">
        <f t="shared" ref="C725:C728" si="148">HYPERLINK("https://www.gigabyte.com/","Gigabyte")</f>
        <v>Gigabyte</v>
      </c>
      <c r="D725" s="452" t="str">
        <f>HYPERLINK("https://www.gigabyte.com/Graphics-Card/GV-N166SOC-6GD#kf","OC")</f>
        <v>OC</v>
      </c>
      <c r="E725" s="266">
        <v>225.65</v>
      </c>
      <c r="F725" s="266">
        <v>122.02</v>
      </c>
      <c r="G725" s="266">
        <v>40.5</v>
      </c>
      <c r="H725" s="266">
        <v>2.0</v>
      </c>
      <c r="I725" s="266">
        <v>1830.0</v>
      </c>
      <c r="J725" s="266">
        <v>14.0</v>
      </c>
      <c r="K725" s="266">
        <v>125.0</v>
      </c>
      <c r="L725" s="266">
        <v>8.0</v>
      </c>
      <c r="M725" s="266">
        <v>2.0</v>
      </c>
      <c r="N725" s="266">
        <v>3.0</v>
      </c>
      <c r="O725" s="266">
        <v>1.0</v>
      </c>
      <c r="P725" s="266" t="s">
        <v>166</v>
      </c>
      <c r="Q725" s="266" t="s">
        <v>166</v>
      </c>
      <c r="R725" s="497" t="s">
        <v>166</v>
      </c>
      <c r="S725" s="497" t="s">
        <v>166</v>
      </c>
      <c r="T725" s="496"/>
    </row>
    <row r="726">
      <c r="A726" s="494" t="s">
        <v>3401</v>
      </c>
      <c r="B726" s="495" t="s">
        <v>3519</v>
      </c>
      <c r="C726" s="174" t="str">
        <f t="shared" si="148"/>
        <v>Gigabyte</v>
      </c>
      <c r="D726" s="452" t="s">
        <v>3409</v>
      </c>
      <c r="E726" s="266">
        <v>280.0</v>
      </c>
      <c r="F726" s="266">
        <v>116.7</v>
      </c>
      <c r="G726" s="266">
        <v>40.4</v>
      </c>
      <c r="H726" s="266">
        <v>2.0</v>
      </c>
      <c r="I726" s="266">
        <v>1785.0</v>
      </c>
      <c r="J726" s="266">
        <v>14.0</v>
      </c>
      <c r="K726" s="266">
        <v>125.0</v>
      </c>
      <c r="L726" s="266">
        <v>8.0</v>
      </c>
      <c r="M726" s="266">
        <v>3.0</v>
      </c>
      <c r="N726" s="266">
        <v>3.0</v>
      </c>
      <c r="O726" s="266">
        <v>1.0</v>
      </c>
      <c r="P726" s="266" t="s">
        <v>166</v>
      </c>
      <c r="Q726" s="266" t="s">
        <v>166</v>
      </c>
      <c r="R726" s="497" t="s">
        <v>166</v>
      </c>
      <c r="S726" s="497" t="s">
        <v>166</v>
      </c>
      <c r="T726" s="496"/>
    </row>
    <row r="727">
      <c r="A727" s="494" t="s">
        <v>3401</v>
      </c>
      <c r="B727" s="495" t="s">
        <v>3519</v>
      </c>
      <c r="C727" s="174" t="str">
        <f t="shared" si="148"/>
        <v>Gigabyte</v>
      </c>
      <c r="D727" s="452" t="s">
        <v>3630</v>
      </c>
      <c r="E727" s="266">
        <v>280.0</v>
      </c>
      <c r="F727" s="266">
        <v>116.7</v>
      </c>
      <c r="G727" s="266">
        <v>40.4</v>
      </c>
      <c r="H727" s="266">
        <v>2.0</v>
      </c>
      <c r="I727" s="266">
        <v>1860.0</v>
      </c>
      <c r="J727" s="266">
        <v>14.0</v>
      </c>
      <c r="K727" s="266">
        <v>125.0</v>
      </c>
      <c r="L727" s="266">
        <v>8.0</v>
      </c>
      <c r="M727" s="266">
        <v>3.0</v>
      </c>
      <c r="N727" s="266">
        <v>3.0</v>
      </c>
      <c r="O727" s="266">
        <v>1.0</v>
      </c>
      <c r="P727" s="266" t="s">
        <v>166</v>
      </c>
      <c r="Q727" s="266" t="s">
        <v>166</v>
      </c>
      <c r="R727" s="497" t="s">
        <v>166</v>
      </c>
      <c r="S727" s="497" t="s">
        <v>166</v>
      </c>
      <c r="T727" s="496"/>
    </row>
    <row r="728">
      <c r="A728" s="494" t="s">
        <v>3401</v>
      </c>
      <c r="B728" s="495" t="s">
        <v>3519</v>
      </c>
      <c r="C728" s="174" t="str">
        <f t="shared" si="148"/>
        <v>Gigabyte</v>
      </c>
      <c r="D728" s="452" t="s">
        <v>3677</v>
      </c>
      <c r="E728" s="266">
        <v>280.0</v>
      </c>
      <c r="F728" s="266">
        <v>120.1</v>
      </c>
      <c r="G728" s="266">
        <v>40.5</v>
      </c>
      <c r="H728" s="266">
        <v>2.0</v>
      </c>
      <c r="I728" s="266">
        <v>1875.0</v>
      </c>
      <c r="J728" s="266">
        <v>14.0</v>
      </c>
      <c r="K728" s="266">
        <v>125.0</v>
      </c>
      <c r="L728" s="266">
        <v>8.0</v>
      </c>
      <c r="M728" s="266">
        <v>3.0</v>
      </c>
      <c r="N728" s="266">
        <v>3.0</v>
      </c>
      <c r="O728" s="266">
        <v>1.0</v>
      </c>
      <c r="P728" s="266" t="s">
        <v>166</v>
      </c>
      <c r="Q728" s="266" t="s">
        <v>166</v>
      </c>
      <c r="R728" s="497" t="s">
        <v>166</v>
      </c>
      <c r="S728" s="497" t="s">
        <v>166</v>
      </c>
      <c r="T728" s="496"/>
    </row>
    <row r="729">
      <c r="A729" s="494" t="s">
        <v>3401</v>
      </c>
      <c r="B729" s="495" t="s">
        <v>3519</v>
      </c>
      <c r="C729" s="452" t="str">
        <f t="shared" ref="C729:C730" si="149">HYPERLINK("http://www.inno3d.com/","Inno3D")</f>
        <v>Inno3D</v>
      </c>
      <c r="D729" s="452" t="s">
        <v>3896</v>
      </c>
      <c r="E729" s="266">
        <v>220.0</v>
      </c>
      <c r="F729" s="266">
        <v>113.0</v>
      </c>
      <c r="G729" s="266">
        <v>40.0</v>
      </c>
      <c r="H729" s="266">
        <v>2.0</v>
      </c>
      <c r="I729" s="266">
        <v>1785.0</v>
      </c>
      <c r="J729" s="266">
        <v>14.0</v>
      </c>
      <c r="K729" s="266">
        <v>125.0</v>
      </c>
      <c r="L729" s="266">
        <v>8.0</v>
      </c>
      <c r="M729" s="266">
        <v>2.0</v>
      </c>
      <c r="N729" s="266">
        <v>3.0</v>
      </c>
      <c r="O729" s="266">
        <v>1.0</v>
      </c>
      <c r="P729" s="266" t="s">
        <v>166</v>
      </c>
      <c r="Q729" s="266" t="s">
        <v>166</v>
      </c>
      <c r="R729" s="497" t="s">
        <v>166</v>
      </c>
      <c r="S729" s="497" t="s">
        <v>166</v>
      </c>
      <c r="T729" s="496"/>
    </row>
    <row r="730">
      <c r="A730" s="494" t="s">
        <v>3401</v>
      </c>
      <c r="B730" s="495" t="s">
        <v>3519</v>
      </c>
      <c r="C730" s="452" t="str">
        <f t="shared" si="149"/>
        <v>Inno3D</v>
      </c>
      <c r="D730" s="452" t="s">
        <v>3897</v>
      </c>
      <c r="E730" s="266">
        <v>220.0</v>
      </c>
      <c r="F730" s="266">
        <v>113.0</v>
      </c>
      <c r="G730" s="266">
        <v>40.0</v>
      </c>
      <c r="H730" s="266">
        <v>2.0</v>
      </c>
      <c r="I730" s="266">
        <v>1815.0</v>
      </c>
      <c r="J730" s="266">
        <v>14.0</v>
      </c>
      <c r="K730" s="266">
        <v>125.0</v>
      </c>
      <c r="L730" s="266">
        <v>8.0</v>
      </c>
      <c r="M730" s="266">
        <v>2.0</v>
      </c>
      <c r="N730" s="266">
        <v>3.0</v>
      </c>
      <c r="O730" s="266">
        <v>1.0</v>
      </c>
      <c r="P730" s="266" t="s">
        <v>166</v>
      </c>
      <c r="Q730" s="266" t="s">
        <v>166</v>
      </c>
      <c r="R730" s="497" t="s">
        <v>166</v>
      </c>
      <c r="S730" s="497" t="s">
        <v>166</v>
      </c>
      <c r="T730" s="496"/>
    </row>
    <row r="731">
      <c r="A731" s="494" t="s">
        <v>3401</v>
      </c>
      <c r="B731" s="495" t="s">
        <v>3519</v>
      </c>
      <c r="C731" s="452" t="s">
        <v>3538</v>
      </c>
      <c r="D731" s="452" t="s">
        <v>3898</v>
      </c>
      <c r="E731" s="266">
        <v>241.0</v>
      </c>
      <c r="F731" s="266">
        <v>111.0</v>
      </c>
      <c r="G731" s="266">
        <v>35.0</v>
      </c>
      <c r="H731" s="266">
        <v>2.0</v>
      </c>
      <c r="I731" s="266">
        <v>1785.0</v>
      </c>
      <c r="J731" s="266">
        <v>14.0</v>
      </c>
      <c r="K731" s="266">
        <v>125.0</v>
      </c>
      <c r="L731" s="266">
        <v>8.0</v>
      </c>
      <c r="M731" s="266">
        <v>1.0</v>
      </c>
      <c r="N731" s="266">
        <v>1.0</v>
      </c>
      <c r="O731" s="266">
        <v>1.0</v>
      </c>
      <c r="P731" s="266" t="s">
        <v>166</v>
      </c>
      <c r="Q731" s="266">
        <v>1.0</v>
      </c>
      <c r="R731" s="266" t="s">
        <v>166</v>
      </c>
      <c r="S731" s="266" t="s">
        <v>174</v>
      </c>
      <c r="T731" s="494"/>
    </row>
    <row r="732">
      <c r="A732" s="494" t="s">
        <v>3401</v>
      </c>
      <c r="B732" s="495" t="s">
        <v>3519</v>
      </c>
      <c r="C732" s="452" t="str">
        <f t="shared" ref="C732:C734" si="150">HYPERLINK("http://manli.com/en","Manli")</f>
        <v>Manli</v>
      </c>
      <c r="D732" s="452" t="str">
        <f>HYPERLINK("https://manli.com/en/product-detail-MANLI_GeForce_GTX_1660_Super_Heatsink_with_Blower_Fan_(M1432+N537-00)-24.html","Blower (M1432+N537-00)")</f>
        <v>Blower (M1432+N537-00)</v>
      </c>
      <c r="E732" s="266">
        <v>255.0</v>
      </c>
      <c r="F732" s="266">
        <v>125.0</v>
      </c>
      <c r="G732" s="266">
        <v>42.0</v>
      </c>
      <c r="H732" s="266">
        <v>2.0</v>
      </c>
      <c r="I732" s="266">
        <v>1785.0</v>
      </c>
      <c r="J732" s="266">
        <v>14.0</v>
      </c>
      <c r="K732" s="266">
        <v>125.0</v>
      </c>
      <c r="L732" s="266">
        <v>8.0</v>
      </c>
      <c r="M732" s="266">
        <v>1.0</v>
      </c>
      <c r="N732" s="266">
        <v>1.0</v>
      </c>
      <c r="O732" s="266">
        <v>1.0</v>
      </c>
      <c r="P732" s="266" t="s">
        <v>166</v>
      </c>
      <c r="Q732" s="266">
        <v>1.0</v>
      </c>
      <c r="R732" s="266" t="s">
        <v>166</v>
      </c>
      <c r="S732" s="266" t="s">
        <v>174</v>
      </c>
      <c r="T732" s="494"/>
    </row>
    <row r="733">
      <c r="A733" s="494" t="s">
        <v>3401</v>
      </c>
      <c r="B733" s="495" t="s">
        <v>3519</v>
      </c>
      <c r="C733" s="452" t="str">
        <f t="shared" si="150"/>
        <v>Manli</v>
      </c>
      <c r="D733" s="452" t="str">
        <f>HYPERLINK("https://manli.com/en/product-detail-MANLI_GeForce_GTX_1660_Super_(F347-1G+N537-10)-22.html","(F347-1G+N537-10)")</f>
        <v>(F347-1G+N537-10)</v>
      </c>
      <c r="E733" s="266">
        <v>232.0</v>
      </c>
      <c r="F733" s="266">
        <v>125.0</v>
      </c>
      <c r="G733" s="266">
        <v>42.0</v>
      </c>
      <c r="H733" s="266">
        <v>2.0</v>
      </c>
      <c r="I733" s="266">
        <v>1785.0</v>
      </c>
      <c r="J733" s="266">
        <v>14.0</v>
      </c>
      <c r="K733" s="266">
        <v>125.0</v>
      </c>
      <c r="L733" s="266">
        <v>8.0</v>
      </c>
      <c r="M733" s="266">
        <v>2.0</v>
      </c>
      <c r="N733" s="266">
        <v>1.0</v>
      </c>
      <c r="O733" s="266">
        <v>1.0</v>
      </c>
      <c r="P733" s="266" t="s">
        <v>166</v>
      </c>
      <c r="Q733" s="266">
        <v>1.0</v>
      </c>
      <c r="R733" s="497" t="s">
        <v>166</v>
      </c>
      <c r="S733" s="497" t="s">
        <v>166</v>
      </c>
      <c r="T733" s="496"/>
    </row>
    <row r="734">
      <c r="A734" s="494" t="s">
        <v>3401</v>
      </c>
      <c r="B734" s="495" t="s">
        <v>3519</v>
      </c>
      <c r="C734" s="452" t="str">
        <f t="shared" si="150"/>
        <v>Manli</v>
      </c>
      <c r="D734" s="452" t="str">
        <f>HYPERLINK("https://manli.com/en/product-detail-MANLI_GeForce_GTX_1660_Super_Gallardo_(M2436+N537-00)-25.html","Gallardo (M2436+N537-00)")</f>
        <v>Gallardo (M2436+N537-00)</v>
      </c>
      <c r="E734" s="266">
        <v>232.0</v>
      </c>
      <c r="F734" s="266">
        <v>125.0</v>
      </c>
      <c r="G734" s="266">
        <v>42.0</v>
      </c>
      <c r="H734" s="266">
        <v>2.0</v>
      </c>
      <c r="I734" s="266">
        <v>1830.0</v>
      </c>
      <c r="J734" s="266">
        <v>14.0</v>
      </c>
      <c r="K734" s="266">
        <v>125.0</v>
      </c>
      <c r="L734" s="266">
        <v>8.0</v>
      </c>
      <c r="M734" s="266">
        <v>2.0</v>
      </c>
      <c r="N734" s="266">
        <v>1.0</v>
      </c>
      <c r="O734" s="266">
        <v>1.0</v>
      </c>
      <c r="P734" s="266" t="s">
        <v>166</v>
      </c>
      <c r="Q734" s="266">
        <v>1.0</v>
      </c>
      <c r="R734" s="497" t="s">
        <v>166</v>
      </c>
      <c r="S734" s="497" t="s">
        <v>166</v>
      </c>
      <c r="T734" s="496"/>
    </row>
    <row r="735">
      <c r="A735" s="494" t="s">
        <v>3401</v>
      </c>
      <c r="B735" s="495" t="s">
        <v>3519</v>
      </c>
      <c r="C735" s="174" t="str">
        <f t="shared" ref="C735:C740" si="151">HYPERLINK("https://www.msi.com/index.php","MSI")</f>
        <v>MSI</v>
      </c>
      <c r="D735" s="452" t="s">
        <v>3904</v>
      </c>
      <c r="E735" s="266">
        <v>231.0</v>
      </c>
      <c r="F735" s="266">
        <v>128.0</v>
      </c>
      <c r="G735" s="266">
        <v>42.0</v>
      </c>
      <c r="H735" s="266">
        <v>2.0</v>
      </c>
      <c r="I735" s="266">
        <v>1785.0</v>
      </c>
      <c r="J735" s="266">
        <v>14.0</v>
      </c>
      <c r="K735" s="266">
        <v>125.0</v>
      </c>
      <c r="L735" s="266">
        <v>8.0</v>
      </c>
      <c r="M735" s="266">
        <v>2.0</v>
      </c>
      <c r="N735" s="266">
        <v>3.0</v>
      </c>
      <c r="O735" s="266">
        <v>1.0</v>
      </c>
      <c r="P735" s="266" t="s">
        <v>166</v>
      </c>
      <c r="Q735" s="266" t="s">
        <v>166</v>
      </c>
      <c r="R735" s="497" t="s">
        <v>166</v>
      </c>
      <c r="S735" s="497" t="s">
        <v>166</v>
      </c>
      <c r="T735" s="496"/>
    </row>
    <row r="736">
      <c r="A736" s="494" t="s">
        <v>3401</v>
      </c>
      <c r="B736" s="495" t="s">
        <v>3519</v>
      </c>
      <c r="C736" s="174" t="str">
        <f t="shared" si="151"/>
        <v>MSI</v>
      </c>
      <c r="D736" s="452" t="s">
        <v>3905</v>
      </c>
      <c r="E736" s="266">
        <v>231.0</v>
      </c>
      <c r="F736" s="266">
        <v>128.0</v>
      </c>
      <c r="G736" s="266">
        <v>42.0</v>
      </c>
      <c r="H736" s="266">
        <v>2.0</v>
      </c>
      <c r="I736" s="266">
        <v>1815.0</v>
      </c>
      <c r="J736" s="266">
        <v>14.0</v>
      </c>
      <c r="K736" s="266">
        <v>125.0</v>
      </c>
      <c r="L736" s="266">
        <v>8.0</v>
      </c>
      <c r="M736" s="266">
        <v>2.0</v>
      </c>
      <c r="N736" s="266">
        <v>3.0</v>
      </c>
      <c r="O736" s="266">
        <v>1.0</v>
      </c>
      <c r="P736" s="266" t="s">
        <v>166</v>
      </c>
      <c r="Q736" s="266" t="s">
        <v>166</v>
      </c>
      <c r="R736" s="497" t="s">
        <v>166</v>
      </c>
      <c r="S736" s="497" t="s">
        <v>166</v>
      </c>
      <c r="T736" s="496"/>
    </row>
    <row r="737">
      <c r="A737" s="494" t="s">
        <v>3401</v>
      </c>
      <c r="B737" s="495" t="s">
        <v>3519</v>
      </c>
      <c r="C737" s="174" t="str">
        <f t="shared" si="151"/>
        <v>MSI</v>
      </c>
      <c r="D737" s="452" t="s">
        <v>3409</v>
      </c>
      <c r="E737" s="266">
        <v>247.0</v>
      </c>
      <c r="F737" s="266">
        <v>127.0</v>
      </c>
      <c r="G737" s="266">
        <v>46.0</v>
      </c>
      <c r="H737" s="266">
        <v>2.0</v>
      </c>
      <c r="I737" s="266">
        <v>1785.0</v>
      </c>
      <c r="J737" s="266">
        <v>14.0</v>
      </c>
      <c r="K737" s="266">
        <v>125.0</v>
      </c>
      <c r="L737" s="266">
        <v>8.0</v>
      </c>
      <c r="M737" s="266">
        <v>2.0</v>
      </c>
      <c r="N737" s="266">
        <v>3.0</v>
      </c>
      <c r="O737" s="266">
        <v>1.0</v>
      </c>
      <c r="P737" s="266" t="s">
        <v>166</v>
      </c>
      <c r="Q737" s="266" t="s">
        <v>166</v>
      </c>
      <c r="R737" s="497" t="s">
        <v>166</v>
      </c>
      <c r="S737" s="497" t="s">
        <v>166</v>
      </c>
      <c r="T737" s="496"/>
    </row>
    <row r="738">
      <c r="A738" s="494" t="s">
        <v>3401</v>
      </c>
      <c r="B738" s="495" t="s">
        <v>3519</v>
      </c>
      <c r="C738" s="174" t="str">
        <f t="shared" si="151"/>
        <v>MSI</v>
      </c>
      <c r="D738" s="452" t="s">
        <v>3557</v>
      </c>
      <c r="E738" s="266">
        <v>247.0</v>
      </c>
      <c r="F738" s="266">
        <v>127.0</v>
      </c>
      <c r="G738" s="266">
        <v>46.0</v>
      </c>
      <c r="H738" s="266">
        <v>2.0</v>
      </c>
      <c r="I738" s="266">
        <v>1830.0</v>
      </c>
      <c r="J738" s="266">
        <v>14.0</v>
      </c>
      <c r="K738" s="266">
        <v>125.0</v>
      </c>
      <c r="L738" s="266">
        <v>8.0</v>
      </c>
      <c r="M738" s="266">
        <v>2.0</v>
      </c>
      <c r="N738" s="266">
        <v>3.0</v>
      </c>
      <c r="O738" s="266">
        <v>1.0</v>
      </c>
      <c r="P738" s="266" t="s">
        <v>166</v>
      </c>
      <c r="Q738" s="266" t="s">
        <v>166</v>
      </c>
      <c r="R738" s="497" t="s">
        <v>166</v>
      </c>
      <c r="S738" s="497" t="s">
        <v>166</v>
      </c>
      <c r="T738" s="496"/>
    </row>
    <row r="739">
      <c r="A739" s="494" t="s">
        <v>3401</v>
      </c>
      <c r="B739" s="495" t="s">
        <v>3519</v>
      </c>
      <c r="C739" s="174" t="str">
        <f t="shared" si="151"/>
        <v>MSI</v>
      </c>
      <c r="D739" s="452" t="s">
        <v>3880</v>
      </c>
      <c r="E739" s="266">
        <v>248.0</v>
      </c>
      <c r="F739" s="266">
        <v>128.0</v>
      </c>
      <c r="G739" s="266">
        <v>52.0</v>
      </c>
      <c r="H739" s="266">
        <v>2.0</v>
      </c>
      <c r="I739" s="266">
        <v>1785.0</v>
      </c>
      <c r="J739" s="266">
        <v>14.0</v>
      </c>
      <c r="K739" s="266">
        <v>125.0</v>
      </c>
      <c r="L739" s="266">
        <v>8.0</v>
      </c>
      <c r="M739" s="266">
        <v>2.0</v>
      </c>
      <c r="N739" s="266">
        <v>3.0</v>
      </c>
      <c r="O739" s="266">
        <v>1.0</v>
      </c>
      <c r="P739" s="266" t="s">
        <v>166</v>
      </c>
      <c r="Q739" s="266" t="s">
        <v>166</v>
      </c>
      <c r="R739" s="497" t="s">
        <v>166</v>
      </c>
      <c r="S739" s="497" t="s">
        <v>166</v>
      </c>
      <c r="T739" s="496"/>
    </row>
    <row r="740">
      <c r="A740" s="494" t="s">
        <v>3401</v>
      </c>
      <c r="B740" s="495" t="s">
        <v>3519</v>
      </c>
      <c r="C740" s="174" t="str">
        <f t="shared" si="151"/>
        <v>MSI</v>
      </c>
      <c r="D740" s="452" t="s">
        <v>3906</v>
      </c>
      <c r="E740" s="266">
        <v>248.0</v>
      </c>
      <c r="F740" s="266">
        <v>128.0</v>
      </c>
      <c r="G740" s="266">
        <v>52.0</v>
      </c>
      <c r="H740" s="266">
        <v>2.0</v>
      </c>
      <c r="I740" s="266">
        <v>1830.0</v>
      </c>
      <c r="J740" s="266">
        <v>14.0</v>
      </c>
      <c r="K740" s="266">
        <v>125.0</v>
      </c>
      <c r="L740" s="266">
        <v>8.0</v>
      </c>
      <c r="M740" s="266">
        <v>2.0</v>
      </c>
      <c r="N740" s="266">
        <v>3.0</v>
      </c>
      <c r="O740" s="266">
        <v>1.0</v>
      </c>
      <c r="P740" s="266" t="s">
        <v>166</v>
      </c>
      <c r="Q740" s="266" t="s">
        <v>166</v>
      </c>
      <c r="R740" s="497" t="s">
        <v>166</v>
      </c>
      <c r="S740" s="497" t="s">
        <v>166</v>
      </c>
      <c r="T740" s="496"/>
    </row>
    <row r="741">
      <c r="A741" s="494" t="s">
        <v>3401</v>
      </c>
      <c r="B741" s="495" t="s">
        <v>3519</v>
      </c>
      <c r="C741" s="452" t="str">
        <f t="shared" ref="C741:C742" si="152">HYPERLINK("http://www.palit.com/palit/index.php?lang=en","Palit")</f>
        <v>Palit</v>
      </c>
      <c r="D741" s="452" t="str">
        <f>HYPERLINK("http://www.palit.com/palit/vgapro.php?id=3416&amp;lang=en","GP")</f>
        <v>GP</v>
      </c>
      <c r="E741" s="266">
        <v>235.0</v>
      </c>
      <c r="F741" s="266">
        <v>115.0</v>
      </c>
      <c r="G741" s="266">
        <v>40.0</v>
      </c>
      <c r="H741" s="266">
        <v>2.0</v>
      </c>
      <c r="I741" s="266">
        <v>1785.0</v>
      </c>
      <c r="J741" s="266">
        <v>14.0</v>
      </c>
      <c r="K741" s="266">
        <v>125.0</v>
      </c>
      <c r="L741" s="266">
        <v>8.0</v>
      </c>
      <c r="M741" s="266">
        <v>2.0</v>
      </c>
      <c r="N741" s="266">
        <v>1.0</v>
      </c>
      <c r="O741" s="266">
        <v>1.0</v>
      </c>
      <c r="P741" s="266" t="s">
        <v>166</v>
      </c>
      <c r="Q741" s="266">
        <v>1.0</v>
      </c>
      <c r="R741" s="497" t="s">
        <v>166</v>
      </c>
      <c r="S741" s="497" t="s">
        <v>166</v>
      </c>
      <c r="T741" s="496"/>
    </row>
    <row r="742">
      <c r="A742" s="494" t="s">
        <v>3401</v>
      </c>
      <c r="B742" s="495" t="s">
        <v>3519</v>
      </c>
      <c r="C742" s="452" t="str">
        <f t="shared" si="152"/>
        <v>Palit</v>
      </c>
      <c r="D742" s="452" t="str">
        <f>HYPERLINK("http://www.palit.com/palit/vgapro.php?id=3423&amp;lang=en","GP OC")</f>
        <v>GP OC</v>
      </c>
      <c r="E742" s="266">
        <v>235.0</v>
      </c>
      <c r="F742" s="266">
        <v>115.0</v>
      </c>
      <c r="G742" s="266">
        <v>40.0</v>
      </c>
      <c r="H742" s="266">
        <v>2.0</v>
      </c>
      <c r="I742" s="266">
        <v>1830.0</v>
      </c>
      <c r="J742" s="266">
        <v>14.0</v>
      </c>
      <c r="K742" s="266">
        <v>125.0</v>
      </c>
      <c r="L742" s="266">
        <v>8.0</v>
      </c>
      <c r="M742" s="266">
        <v>2.0</v>
      </c>
      <c r="N742" s="266">
        <v>1.0</v>
      </c>
      <c r="O742" s="266">
        <v>1.0</v>
      </c>
      <c r="P742" s="266" t="s">
        <v>166</v>
      </c>
      <c r="Q742" s="266">
        <v>1.0</v>
      </c>
      <c r="R742" s="497" t="s">
        <v>166</v>
      </c>
      <c r="S742" s="497" t="s">
        <v>166</v>
      </c>
      <c r="T742" s="496"/>
    </row>
    <row r="743">
      <c r="A743" s="498" t="s">
        <v>3401</v>
      </c>
      <c r="B743" s="499" t="s">
        <v>3519</v>
      </c>
      <c r="C743" s="500" t="str">
        <f>HYPERLINK("https://pny.com/","PNY")</f>
        <v>PNY</v>
      </c>
      <c r="D743" s="500" t="str">
        <f>HYPERLINK("https://pny.com/GeForce-GTX-1660-SUPER-6GB-Blower","Blower")</f>
        <v>Blower</v>
      </c>
      <c r="E743" s="501">
        <v>255.0</v>
      </c>
      <c r="F743" s="501">
        <v>125.0</v>
      </c>
      <c r="G743" s="501">
        <v>42.0</v>
      </c>
      <c r="H743" s="501">
        <v>2.0</v>
      </c>
      <c r="I743" s="501">
        <v>1785.0</v>
      </c>
      <c r="J743" s="501">
        <v>14.0</v>
      </c>
      <c r="K743" s="501">
        <v>125.0</v>
      </c>
      <c r="L743" s="501">
        <v>8.0</v>
      </c>
      <c r="M743" s="501">
        <v>1.0</v>
      </c>
      <c r="N743" s="501">
        <v>1.0</v>
      </c>
      <c r="O743" s="501">
        <v>1.0</v>
      </c>
      <c r="P743" s="501" t="s">
        <v>166</v>
      </c>
      <c r="Q743" s="501">
        <v>1.0</v>
      </c>
      <c r="R743" s="502" t="s">
        <v>166</v>
      </c>
      <c r="S743" s="501" t="s">
        <v>174</v>
      </c>
      <c r="T743" s="562"/>
    </row>
    <row r="744">
      <c r="A744" s="494" t="s">
        <v>3401</v>
      </c>
      <c r="B744" s="495" t="s">
        <v>3524</v>
      </c>
      <c r="C744" s="174" t="s">
        <v>3467</v>
      </c>
      <c r="D744" s="452" t="s">
        <v>3874</v>
      </c>
      <c r="E744" s="266">
        <v>222.0</v>
      </c>
      <c r="F744" s="266">
        <v>114.0</v>
      </c>
      <c r="G744" s="266">
        <v>47.0</v>
      </c>
      <c r="H744" s="266">
        <v>2.0</v>
      </c>
      <c r="I744" s="266">
        <v>1770.0</v>
      </c>
      <c r="J744" s="266">
        <v>12.0</v>
      </c>
      <c r="K744" s="266">
        <v>120.0</v>
      </c>
      <c r="L744" s="266">
        <v>8.0</v>
      </c>
      <c r="M744" s="266">
        <v>2.0</v>
      </c>
      <c r="N744" s="266">
        <v>1.0</v>
      </c>
      <c r="O744" s="266">
        <v>1.0</v>
      </c>
      <c r="P744" s="266" t="s">
        <v>166</v>
      </c>
      <c r="Q744" s="266">
        <v>1.0</v>
      </c>
      <c r="R744" s="497" t="s">
        <v>166</v>
      </c>
      <c r="S744" s="497" t="s">
        <v>166</v>
      </c>
      <c r="T744" s="496"/>
    </row>
    <row r="745">
      <c r="A745" s="494" t="s">
        <v>3401</v>
      </c>
      <c r="B745" s="495" t="s">
        <v>3524</v>
      </c>
      <c r="C745" s="174" t="s">
        <v>3467</v>
      </c>
      <c r="D745" s="452" t="s">
        <v>3884</v>
      </c>
      <c r="E745" s="266">
        <v>225.0</v>
      </c>
      <c r="F745" s="266">
        <v>115.0</v>
      </c>
      <c r="G745" s="266">
        <v>50.0</v>
      </c>
      <c r="H745" s="266">
        <v>2.0</v>
      </c>
      <c r="I745" s="266">
        <v>1770.0</v>
      </c>
      <c r="J745" s="266">
        <v>12.0</v>
      </c>
      <c r="K745" s="266">
        <v>120.0</v>
      </c>
      <c r="L745" s="266">
        <v>8.0</v>
      </c>
      <c r="M745" s="266">
        <v>2.0</v>
      </c>
      <c r="N745" s="266">
        <v>1.0</v>
      </c>
      <c r="O745" s="266">
        <v>1.0</v>
      </c>
      <c r="P745" s="266" t="s">
        <v>166</v>
      </c>
      <c r="Q745" s="266">
        <v>1.0</v>
      </c>
      <c r="R745" s="497" t="s">
        <v>166</v>
      </c>
      <c r="S745" s="497" t="s">
        <v>166</v>
      </c>
      <c r="T745" s="496"/>
    </row>
    <row r="746">
      <c r="A746" s="494" t="s">
        <v>3401</v>
      </c>
      <c r="B746" s="495" t="s">
        <v>3524</v>
      </c>
      <c r="C746" s="174" t="str">
        <f t="shared" ref="C746:C753" si="153">HYPERLINK("https://www.asus.com/","Asus")</f>
        <v>Asus</v>
      </c>
      <c r="D746" s="452" t="s">
        <v>3629</v>
      </c>
      <c r="E746" s="266">
        <v>242.0</v>
      </c>
      <c r="F746" s="266">
        <v>130.0</v>
      </c>
      <c r="G746" s="266">
        <v>53.0</v>
      </c>
      <c r="H746" s="266">
        <v>2.0</v>
      </c>
      <c r="I746" s="266">
        <v>1800.0</v>
      </c>
      <c r="J746" s="266">
        <v>12.0</v>
      </c>
      <c r="K746" s="266">
        <v>120.0</v>
      </c>
      <c r="L746" s="266">
        <v>8.0</v>
      </c>
      <c r="M746" s="266">
        <v>2.0</v>
      </c>
      <c r="N746" s="266">
        <v>1.0</v>
      </c>
      <c r="O746" s="266">
        <v>2.0</v>
      </c>
      <c r="P746" s="266" t="s">
        <v>166</v>
      </c>
      <c r="Q746" s="266">
        <v>1.0</v>
      </c>
      <c r="R746" s="497" t="s">
        <v>166</v>
      </c>
      <c r="S746" s="497" t="s">
        <v>166</v>
      </c>
      <c r="T746" s="496"/>
    </row>
    <row r="747">
      <c r="A747" s="494" t="s">
        <v>3401</v>
      </c>
      <c r="B747" s="495" t="s">
        <v>3524</v>
      </c>
      <c r="C747" s="174" t="str">
        <f t="shared" si="153"/>
        <v>Asus</v>
      </c>
      <c r="D747" s="452" t="s">
        <v>3659</v>
      </c>
      <c r="E747" s="266">
        <v>242.0</v>
      </c>
      <c r="F747" s="266">
        <v>130.0</v>
      </c>
      <c r="G747" s="266">
        <v>53.0</v>
      </c>
      <c r="H747" s="266">
        <v>2.0</v>
      </c>
      <c r="I747" s="266">
        <v>1875.0</v>
      </c>
      <c r="J747" s="266">
        <v>12.0</v>
      </c>
      <c r="K747" s="266">
        <v>120.0</v>
      </c>
      <c r="L747" s="266">
        <v>8.0</v>
      </c>
      <c r="M747" s="266">
        <v>2.0</v>
      </c>
      <c r="N747" s="266">
        <v>1.0</v>
      </c>
      <c r="O747" s="266">
        <v>2.0</v>
      </c>
      <c r="P747" s="266" t="s">
        <v>166</v>
      </c>
      <c r="Q747" s="266">
        <v>1.0</v>
      </c>
      <c r="R747" s="497" t="s">
        <v>166</v>
      </c>
      <c r="S747" s="497" t="s">
        <v>166</v>
      </c>
      <c r="T747" s="496"/>
    </row>
    <row r="748">
      <c r="A748" s="494" t="s">
        <v>3401</v>
      </c>
      <c r="B748" s="495" t="s">
        <v>3524</v>
      </c>
      <c r="C748" s="174" t="str">
        <f t="shared" si="153"/>
        <v>Asus</v>
      </c>
      <c r="D748" s="452" t="s">
        <v>3885</v>
      </c>
      <c r="E748" s="266">
        <v>264.0</v>
      </c>
      <c r="F748" s="266">
        <v>130.0</v>
      </c>
      <c r="G748" s="266">
        <v>55.0</v>
      </c>
      <c r="H748" s="266">
        <v>2.0</v>
      </c>
      <c r="I748" s="266">
        <v>1800.0</v>
      </c>
      <c r="J748" s="266">
        <v>12.0</v>
      </c>
      <c r="K748" s="266">
        <v>120.0</v>
      </c>
      <c r="L748" s="266">
        <v>8.0</v>
      </c>
      <c r="M748" s="266">
        <v>3.0</v>
      </c>
      <c r="N748" s="266">
        <v>1.0</v>
      </c>
      <c r="O748" s="266">
        <v>2.0</v>
      </c>
      <c r="P748" s="266" t="s">
        <v>166</v>
      </c>
      <c r="Q748" s="266">
        <v>1.0</v>
      </c>
      <c r="R748" s="497" t="s">
        <v>166</v>
      </c>
      <c r="S748" s="497" t="s">
        <v>166</v>
      </c>
      <c r="T748" s="496"/>
    </row>
    <row r="749">
      <c r="A749" s="494" t="s">
        <v>3401</v>
      </c>
      <c r="B749" s="495" t="s">
        <v>3524</v>
      </c>
      <c r="C749" s="174" t="str">
        <f t="shared" si="153"/>
        <v>Asus</v>
      </c>
      <c r="D749" s="452" t="s">
        <v>3886</v>
      </c>
      <c r="E749" s="266">
        <v>264.0</v>
      </c>
      <c r="F749" s="266">
        <v>130.0</v>
      </c>
      <c r="G749" s="266">
        <v>55.0</v>
      </c>
      <c r="H749" s="266">
        <v>2.0</v>
      </c>
      <c r="I749" s="266">
        <v>1830.0</v>
      </c>
      <c r="J749" s="266">
        <v>12.0</v>
      </c>
      <c r="K749" s="266">
        <v>120.0</v>
      </c>
      <c r="L749" s="266">
        <v>8.0</v>
      </c>
      <c r="M749" s="266">
        <v>3.0</v>
      </c>
      <c r="N749" s="266">
        <v>1.0</v>
      </c>
      <c r="O749" s="266">
        <v>2.0</v>
      </c>
      <c r="P749" s="266" t="s">
        <v>166</v>
      </c>
      <c r="Q749" s="266">
        <v>1.0</v>
      </c>
      <c r="R749" s="497" t="s">
        <v>166</v>
      </c>
      <c r="S749" s="497" t="s">
        <v>166</v>
      </c>
      <c r="T749" s="496"/>
    </row>
    <row r="750">
      <c r="A750" s="494" t="s">
        <v>3401</v>
      </c>
      <c r="B750" s="495" t="s">
        <v>3524</v>
      </c>
      <c r="C750" s="174" t="str">
        <f t="shared" si="153"/>
        <v>Asus</v>
      </c>
      <c r="D750" s="452" t="s">
        <v>3660</v>
      </c>
      <c r="E750" s="558">
        <v>264.0</v>
      </c>
      <c r="F750" s="560">
        <v>130.0</v>
      </c>
      <c r="G750" s="559">
        <v>55.0</v>
      </c>
      <c r="H750" s="266">
        <v>2.0</v>
      </c>
      <c r="I750" s="266">
        <v>1890.0</v>
      </c>
      <c r="J750" s="266">
        <v>12.0</v>
      </c>
      <c r="K750" s="266">
        <v>120.0</v>
      </c>
      <c r="L750" s="266">
        <v>8.0</v>
      </c>
      <c r="M750" s="266">
        <v>3.0</v>
      </c>
      <c r="N750" s="266">
        <v>1.0</v>
      </c>
      <c r="O750" s="266">
        <v>2.0</v>
      </c>
      <c r="P750" s="266" t="s">
        <v>166</v>
      </c>
      <c r="Q750" s="266">
        <v>1.0</v>
      </c>
      <c r="R750" s="497" t="s">
        <v>166</v>
      </c>
      <c r="S750" s="497" t="s">
        <v>166</v>
      </c>
      <c r="T750" s="496"/>
    </row>
    <row r="751">
      <c r="A751" s="494" t="s">
        <v>3401</v>
      </c>
      <c r="B751" s="495" t="s">
        <v>3524</v>
      </c>
      <c r="C751" s="174" t="str">
        <f t="shared" si="153"/>
        <v>Asus</v>
      </c>
      <c r="D751" s="452" t="s">
        <v>3631</v>
      </c>
      <c r="E751" s="266">
        <v>301.0</v>
      </c>
      <c r="F751" s="266">
        <v>132.0</v>
      </c>
      <c r="G751" s="266">
        <v>50.0</v>
      </c>
      <c r="H751" s="266">
        <v>2.0</v>
      </c>
      <c r="I751" s="266">
        <v>1800.0</v>
      </c>
      <c r="J751" s="266">
        <v>12.0</v>
      </c>
      <c r="K751" s="266">
        <v>120.0</v>
      </c>
      <c r="L751" s="266">
        <v>8.0</v>
      </c>
      <c r="M751" s="266">
        <v>3.0</v>
      </c>
      <c r="N751" s="266">
        <v>2.0</v>
      </c>
      <c r="O751" s="266">
        <v>2.0</v>
      </c>
      <c r="P751" s="266" t="s">
        <v>166</v>
      </c>
      <c r="Q751" s="266" t="s">
        <v>166</v>
      </c>
      <c r="R751" s="497" t="s">
        <v>166</v>
      </c>
      <c r="S751" s="497" t="s">
        <v>166</v>
      </c>
      <c r="T751" s="496"/>
    </row>
    <row r="752">
      <c r="A752" s="494" t="s">
        <v>3401</v>
      </c>
      <c r="B752" s="495" t="s">
        <v>3524</v>
      </c>
      <c r="C752" s="174" t="str">
        <f t="shared" si="153"/>
        <v>Asus</v>
      </c>
      <c r="D752" s="452" t="s">
        <v>3642</v>
      </c>
      <c r="E752" s="266">
        <v>301.0</v>
      </c>
      <c r="F752" s="266">
        <v>132.0</v>
      </c>
      <c r="G752" s="266">
        <v>50.0</v>
      </c>
      <c r="H752" s="266">
        <v>2.0</v>
      </c>
      <c r="I752" s="266">
        <v>1830.0</v>
      </c>
      <c r="J752" s="266">
        <v>12.0</v>
      </c>
      <c r="K752" s="266">
        <v>120.0</v>
      </c>
      <c r="L752" s="266">
        <v>8.0</v>
      </c>
      <c r="M752" s="266">
        <v>3.0</v>
      </c>
      <c r="N752" s="266">
        <v>2.0</v>
      </c>
      <c r="O752" s="266">
        <v>2.0</v>
      </c>
      <c r="P752" s="266" t="s">
        <v>166</v>
      </c>
      <c r="Q752" s="266" t="s">
        <v>166</v>
      </c>
      <c r="R752" s="497" t="s">
        <v>166</v>
      </c>
      <c r="S752" s="497" t="s">
        <v>166</v>
      </c>
      <c r="T752" s="496"/>
    </row>
    <row r="753">
      <c r="A753" s="494" t="s">
        <v>3401</v>
      </c>
      <c r="B753" s="495" t="s">
        <v>3524</v>
      </c>
      <c r="C753" s="174" t="str">
        <f t="shared" si="153"/>
        <v>Asus</v>
      </c>
      <c r="D753" s="452" t="s">
        <v>3643</v>
      </c>
      <c r="E753" s="563">
        <v>301.0</v>
      </c>
      <c r="F753" s="557">
        <v>132.0</v>
      </c>
      <c r="G753" s="564">
        <v>50.0</v>
      </c>
      <c r="H753" s="266">
        <v>2.0</v>
      </c>
      <c r="I753" s="266">
        <v>1890.0</v>
      </c>
      <c r="J753" s="266">
        <v>12.0</v>
      </c>
      <c r="K753" s="266">
        <v>120.0</v>
      </c>
      <c r="L753" s="266">
        <v>8.0</v>
      </c>
      <c r="M753" s="266">
        <v>3.0</v>
      </c>
      <c r="N753" s="266">
        <v>2.0</v>
      </c>
      <c r="O753" s="266">
        <v>2.0</v>
      </c>
      <c r="P753" s="266" t="s">
        <v>166</v>
      </c>
      <c r="Q753" s="266" t="s">
        <v>166</v>
      </c>
      <c r="R753" s="497" t="s">
        <v>166</v>
      </c>
      <c r="S753" s="497" t="s">
        <v>166</v>
      </c>
      <c r="T753" s="496"/>
    </row>
    <row r="754">
      <c r="A754" s="494" t="s">
        <v>3401</v>
      </c>
      <c r="B754" s="495" t="s">
        <v>3524</v>
      </c>
      <c r="C754" s="452" t="s">
        <v>3575</v>
      </c>
      <c r="D754" s="452" t="s">
        <v>3887</v>
      </c>
      <c r="E754" s="266">
        <v>222.0</v>
      </c>
      <c r="F754" s="518">
        <v>126.0</v>
      </c>
      <c r="G754" s="518">
        <v>42.0</v>
      </c>
      <c r="H754" s="266">
        <v>2.0</v>
      </c>
      <c r="I754" s="266">
        <v>1770.0</v>
      </c>
      <c r="J754" s="266">
        <v>12.0</v>
      </c>
      <c r="K754" s="266">
        <v>120.0</v>
      </c>
      <c r="L754" s="266">
        <v>8.0</v>
      </c>
      <c r="M754" s="266">
        <v>2.0</v>
      </c>
      <c r="N754" s="266">
        <v>1.0</v>
      </c>
      <c r="O754" s="266">
        <v>1.0</v>
      </c>
      <c r="P754" s="266" t="s">
        <v>166</v>
      </c>
      <c r="Q754" s="266">
        <v>1.0</v>
      </c>
      <c r="R754" s="497" t="s">
        <v>166</v>
      </c>
      <c r="S754" s="497" t="s">
        <v>166</v>
      </c>
      <c r="T754" s="496"/>
    </row>
    <row r="755">
      <c r="A755" s="494" t="s">
        <v>3401</v>
      </c>
      <c r="B755" s="495" t="s">
        <v>3524</v>
      </c>
      <c r="C755" s="452" t="s">
        <v>3575</v>
      </c>
      <c r="D755" s="452" t="s">
        <v>3888</v>
      </c>
      <c r="E755" s="266">
        <v>222.0</v>
      </c>
      <c r="F755" s="518">
        <v>126.0</v>
      </c>
      <c r="G755" s="518">
        <v>42.0</v>
      </c>
      <c r="H755" s="266">
        <v>2.0</v>
      </c>
      <c r="I755" s="266">
        <v>1770.0</v>
      </c>
      <c r="J755" s="266">
        <v>12.0</v>
      </c>
      <c r="K755" s="266">
        <v>120.0</v>
      </c>
      <c r="L755" s="266">
        <v>8.0</v>
      </c>
      <c r="M755" s="266">
        <v>2.0</v>
      </c>
      <c r="N755" s="266">
        <v>1.0</v>
      </c>
      <c r="O755" s="266">
        <v>1.0</v>
      </c>
      <c r="P755" s="266" t="s">
        <v>166</v>
      </c>
      <c r="Q755" s="266">
        <v>1.0</v>
      </c>
      <c r="R755" s="497" t="s">
        <v>166</v>
      </c>
      <c r="S755" s="497" t="s">
        <v>166</v>
      </c>
      <c r="T755" s="496"/>
    </row>
    <row r="756">
      <c r="A756" s="494" t="s">
        <v>3401</v>
      </c>
      <c r="B756" s="495" t="s">
        <v>3524</v>
      </c>
      <c r="C756" s="452" t="s">
        <v>3575</v>
      </c>
      <c r="D756" s="452" t="s">
        <v>3907</v>
      </c>
      <c r="E756" s="266">
        <v>222.0</v>
      </c>
      <c r="F756" s="518">
        <v>126.0</v>
      </c>
      <c r="G756" s="518">
        <v>42.0</v>
      </c>
      <c r="H756" s="266">
        <v>2.0</v>
      </c>
      <c r="I756" s="266">
        <v>1770.0</v>
      </c>
      <c r="J756" s="266">
        <v>12.0</v>
      </c>
      <c r="K756" s="266">
        <v>120.0</v>
      </c>
      <c r="L756" s="266">
        <v>8.0</v>
      </c>
      <c r="M756" s="266">
        <v>2.0</v>
      </c>
      <c r="N756" s="266">
        <v>1.0</v>
      </c>
      <c r="O756" s="266">
        <v>1.0</v>
      </c>
      <c r="P756" s="266" t="s">
        <v>166</v>
      </c>
      <c r="Q756" s="266">
        <v>1.0</v>
      </c>
      <c r="R756" s="497" t="s">
        <v>166</v>
      </c>
      <c r="S756" s="497" t="s">
        <v>166</v>
      </c>
      <c r="T756" s="496"/>
    </row>
    <row r="757">
      <c r="A757" s="494" t="s">
        <v>3401</v>
      </c>
      <c r="B757" s="495" t="s">
        <v>3524</v>
      </c>
      <c r="C757" s="452" t="s">
        <v>3575</v>
      </c>
      <c r="D757" s="452" t="s">
        <v>3873</v>
      </c>
      <c r="E757" s="266">
        <v>310.0</v>
      </c>
      <c r="F757" s="518">
        <v>126.0</v>
      </c>
      <c r="G757" s="518">
        <v>42.0</v>
      </c>
      <c r="H757" s="266">
        <v>2.0</v>
      </c>
      <c r="I757" s="266">
        <v>1845.0</v>
      </c>
      <c r="J757" s="266">
        <v>12.0</v>
      </c>
      <c r="K757" s="266">
        <v>120.0</v>
      </c>
      <c r="L757" s="266">
        <v>8.0</v>
      </c>
      <c r="M757" s="266">
        <v>3.0</v>
      </c>
      <c r="N757" s="266">
        <v>1.0</v>
      </c>
      <c r="O757" s="266">
        <v>1.0</v>
      </c>
      <c r="P757" s="266" t="s">
        <v>166</v>
      </c>
      <c r="Q757" s="266">
        <v>1.0</v>
      </c>
      <c r="R757" s="497" t="s">
        <v>166</v>
      </c>
      <c r="S757" s="497" t="s">
        <v>166</v>
      </c>
      <c r="T757" s="496"/>
    </row>
    <row r="758">
      <c r="A758" s="494" t="s">
        <v>3401</v>
      </c>
      <c r="B758" s="495" t="s">
        <v>3524</v>
      </c>
      <c r="C758" s="452" t="s">
        <v>3575</v>
      </c>
      <c r="D758" s="452" t="s">
        <v>3889</v>
      </c>
      <c r="E758" s="266">
        <v>315.0</v>
      </c>
      <c r="F758" s="518">
        <v>131.0</v>
      </c>
      <c r="G758" s="518">
        <v>45.0</v>
      </c>
      <c r="H758" s="266">
        <v>2.0</v>
      </c>
      <c r="I758" s="266">
        <v>1860.0</v>
      </c>
      <c r="J758" s="266">
        <v>12.0</v>
      </c>
      <c r="K758" s="266">
        <v>120.0</v>
      </c>
      <c r="L758" s="266">
        <v>8.0</v>
      </c>
      <c r="M758" s="266">
        <v>3.0</v>
      </c>
      <c r="N758" s="266">
        <v>1.0</v>
      </c>
      <c r="O758" s="266">
        <v>1.0</v>
      </c>
      <c r="P758" s="266" t="s">
        <v>166</v>
      </c>
      <c r="Q758" s="266">
        <v>1.0</v>
      </c>
      <c r="R758" s="497" t="s">
        <v>166</v>
      </c>
      <c r="S758" s="497" t="s">
        <v>166</v>
      </c>
      <c r="T758" s="496"/>
    </row>
    <row r="759">
      <c r="A759" s="494" t="s">
        <v>3401</v>
      </c>
      <c r="B759" s="495" t="s">
        <v>3524</v>
      </c>
      <c r="C759" s="174" t="s">
        <v>3405</v>
      </c>
      <c r="D759" s="452" t="s">
        <v>3481</v>
      </c>
      <c r="E759" s="266">
        <v>240.0</v>
      </c>
      <c r="F759" s="518">
        <v>111.0</v>
      </c>
      <c r="G759" s="518">
        <v>42.0</v>
      </c>
      <c r="H759" s="266">
        <v>2.0</v>
      </c>
      <c r="I759" s="266">
        <v>1770.0</v>
      </c>
      <c r="J759" s="266">
        <v>12.0</v>
      </c>
      <c r="K759" s="266">
        <v>120.0</v>
      </c>
      <c r="L759" s="266">
        <v>8.0</v>
      </c>
      <c r="M759" s="266">
        <v>2.0</v>
      </c>
      <c r="N759" s="266">
        <v>1.0</v>
      </c>
      <c r="O759" s="266">
        <v>1.0</v>
      </c>
      <c r="P759" s="266" t="s">
        <v>166</v>
      </c>
      <c r="Q759" s="266">
        <v>1.0</v>
      </c>
      <c r="R759" s="497" t="s">
        <v>166</v>
      </c>
      <c r="S759" s="497" t="s">
        <v>166</v>
      </c>
      <c r="T759" s="496"/>
    </row>
    <row r="760">
      <c r="A760" s="494" t="s">
        <v>3401</v>
      </c>
      <c r="B760" s="495" t="s">
        <v>3524</v>
      </c>
      <c r="C760" s="174" t="s">
        <v>3405</v>
      </c>
      <c r="D760" s="452" t="s">
        <v>3890</v>
      </c>
      <c r="E760" s="266">
        <v>235.0</v>
      </c>
      <c r="F760" s="518">
        <v>110.0</v>
      </c>
      <c r="G760" s="518">
        <v>40.0</v>
      </c>
      <c r="H760" s="266">
        <v>2.0</v>
      </c>
      <c r="I760" s="266">
        <v>1770.0</v>
      </c>
      <c r="J760" s="266">
        <v>12.0</v>
      </c>
      <c r="K760" s="266">
        <v>120.0</v>
      </c>
      <c r="L760" s="266">
        <v>8.0</v>
      </c>
      <c r="M760" s="266">
        <v>2.0</v>
      </c>
      <c r="N760" s="266">
        <v>1.0</v>
      </c>
      <c r="O760" s="266">
        <v>1.0</v>
      </c>
      <c r="P760" s="266" t="s">
        <v>166</v>
      </c>
      <c r="Q760" s="266">
        <v>1.0</v>
      </c>
      <c r="R760" s="497" t="s">
        <v>166</v>
      </c>
      <c r="S760" s="497" t="s">
        <v>166</v>
      </c>
      <c r="T760" s="496"/>
    </row>
    <row r="761">
      <c r="A761" s="494" t="s">
        <v>3401</v>
      </c>
      <c r="B761" s="495" t="s">
        <v>3524</v>
      </c>
      <c r="C761" s="174" t="s">
        <v>3405</v>
      </c>
      <c r="D761" s="452" t="s">
        <v>3891</v>
      </c>
      <c r="E761" s="266">
        <v>235.0</v>
      </c>
      <c r="F761" s="518">
        <v>110.0</v>
      </c>
      <c r="G761" s="518">
        <v>40.0</v>
      </c>
      <c r="H761" s="266">
        <v>2.0</v>
      </c>
      <c r="I761" s="266">
        <v>1815.0</v>
      </c>
      <c r="J761" s="266">
        <v>12.0</v>
      </c>
      <c r="K761" s="266">
        <v>120.0</v>
      </c>
      <c r="L761" s="266">
        <v>8.0</v>
      </c>
      <c r="M761" s="266">
        <v>2.0</v>
      </c>
      <c r="N761" s="266">
        <v>1.0</v>
      </c>
      <c r="O761" s="266">
        <v>1.0</v>
      </c>
      <c r="P761" s="266" t="s">
        <v>166</v>
      </c>
      <c r="Q761" s="266">
        <v>1.0</v>
      </c>
      <c r="R761" s="497" t="s">
        <v>166</v>
      </c>
      <c r="S761" s="497" t="s">
        <v>166</v>
      </c>
      <c r="T761" s="496"/>
    </row>
    <row r="762">
      <c r="A762" s="494" t="s">
        <v>3401</v>
      </c>
      <c r="B762" s="495" t="s">
        <v>3524</v>
      </c>
      <c r="C762" s="174" t="s">
        <v>3405</v>
      </c>
      <c r="D762" s="452" t="s">
        <v>3892</v>
      </c>
      <c r="E762" s="266">
        <v>235.0</v>
      </c>
      <c r="F762" s="518">
        <v>112.0</v>
      </c>
      <c r="G762" s="518">
        <v>40.0</v>
      </c>
      <c r="H762" s="266">
        <v>2.0</v>
      </c>
      <c r="I762" s="266">
        <v>1770.0</v>
      </c>
      <c r="J762" s="266">
        <v>12.0</v>
      </c>
      <c r="K762" s="266">
        <v>120.0</v>
      </c>
      <c r="L762" s="266">
        <v>8.0</v>
      </c>
      <c r="M762" s="266">
        <v>2.0</v>
      </c>
      <c r="N762" s="266">
        <v>1.0</v>
      </c>
      <c r="O762" s="266">
        <v>1.0</v>
      </c>
      <c r="P762" s="266" t="s">
        <v>166</v>
      </c>
      <c r="Q762" s="266">
        <v>1.0</v>
      </c>
      <c r="R762" s="497" t="s">
        <v>166</v>
      </c>
      <c r="S762" s="497" t="s">
        <v>166</v>
      </c>
      <c r="T762" s="496"/>
    </row>
    <row r="763">
      <c r="A763" s="494" t="s">
        <v>3401</v>
      </c>
      <c r="B763" s="495" t="s">
        <v>3524</v>
      </c>
      <c r="C763" s="174" t="s">
        <v>3405</v>
      </c>
      <c r="D763" s="452" t="s">
        <v>3893</v>
      </c>
      <c r="E763" s="266">
        <v>235.0</v>
      </c>
      <c r="F763" s="518">
        <v>112.0</v>
      </c>
      <c r="G763" s="518">
        <v>40.0</v>
      </c>
      <c r="H763" s="266">
        <v>2.0</v>
      </c>
      <c r="I763" s="266">
        <v>1860.0</v>
      </c>
      <c r="J763" s="266">
        <v>12.0</v>
      </c>
      <c r="K763" s="266">
        <v>120.0</v>
      </c>
      <c r="L763" s="266">
        <v>8.0</v>
      </c>
      <c r="M763" s="266">
        <v>2.0</v>
      </c>
      <c r="N763" s="266">
        <v>1.0</v>
      </c>
      <c r="O763" s="266">
        <v>1.0</v>
      </c>
      <c r="P763" s="266" t="s">
        <v>166</v>
      </c>
      <c r="Q763" s="266">
        <v>1.0</v>
      </c>
      <c r="R763" s="497" t="s">
        <v>166</v>
      </c>
      <c r="S763" s="497" t="s">
        <v>166</v>
      </c>
      <c r="T763" s="496"/>
    </row>
    <row r="764">
      <c r="A764" s="494" t="s">
        <v>3401</v>
      </c>
      <c r="B764" s="495" t="s">
        <v>3524</v>
      </c>
      <c r="C764" s="174" t="str">
        <f t="shared" ref="C764:C765" si="154">HYPERLINK("https://www.evga.com/","EVGA")</f>
        <v>EVGA</v>
      </c>
      <c r="D764" s="452" t="s">
        <v>3894</v>
      </c>
      <c r="E764" s="266">
        <v>267.97</v>
      </c>
      <c r="F764" s="266">
        <v>111.15</v>
      </c>
      <c r="G764" s="266">
        <v>40.0</v>
      </c>
      <c r="H764" s="266">
        <v>2.0</v>
      </c>
      <c r="I764" s="266">
        <v>1770.0</v>
      </c>
      <c r="J764" s="266">
        <v>12.0</v>
      </c>
      <c r="K764" s="266">
        <v>120.0</v>
      </c>
      <c r="L764" s="266">
        <v>8.0</v>
      </c>
      <c r="M764" s="266">
        <v>2.0</v>
      </c>
      <c r="N764" s="266">
        <v>1.0</v>
      </c>
      <c r="O764" s="266">
        <v>1.0</v>
      </c>
      <c r="P764" s="266" t="s">
        <v>166</v>
      </c>
      <c r="Q764" s="266">
        <v>1.0</v>
      </c>
      <c r="R764" s="497" t="s">
        <v>166</v>
      </c>
      <c r="S764" s="497" t="s">
        <v>166</v>
      </c>
      <c r="T764" s="496"/>
    </row>
    <row r="765">
      <c r="A765" s="494" t="s">
        <v>3401</v>
      </c>
      <c r="B765" s="495" t="s">
        <v>3524</v>
      </c>
      <c r="C765" s="174" t="str">
        <f t="shared" si="154"/>
        <v>EVGA</v>
      </c>
      <c r="D765" s="452" t="s">
        <v>3895</v>
      </c>
      <c r="E765" s="266">
        <v>267.97</v>
      </c>
      <c r="F765" s="266">
        <v>111.15</v>
      </c>
      <c r="G765" s="266">
        <v>40.0</v>
      </c>
      <c r="H765" s="266">
        <v>2.0</v>
      </c>
      <c r="I765" s="266">
        <v>1860.0</v>
      </c>
      <c r="J765" s="266">
        <v>12.0</v>
      </c>
      <c r="K765" s="266">
        <v>120.0</v>
      </c>
      <c r="L765" s="266">
        <v>8.0</v>
      </c>
      <c r="M765" s="266">
        <v>2.0</v>
      </c>
      <c r="N765" s="266">
        <v>1.0</v>
      </c>
      <c r="O765" s="266">
        <v>1.0</v>
      </c>
      <c r="P765" s="266" t="s">
        <v>166</v>
      </c>
      <c r="Q765" s="266">
        <v>1.0</v>
      </c>
      <c r="R765" s="497" t="s">
        <v>166</v>
      </c>
      <c r="S765" s="497" t="s">
        <v>166</v>
      </c>
      <c r="T765" s="496"/>
    </row>
    <row r="766">
      <c r="A766" s="494" t="s">
        <v>3401</v>
      </c>
      <c r="B766" s="495" t="s">
        <v>3524</v>
      </c>
      <c r="C766" s="452" t="str">
        <f t="shared" ref="C766:C767" si="155">HYPERLINK("http://www.gainward.com/main/index.php?lang=en","Gainward")</f>
        <v>Gainward</v>
      </c>
      <c r="D766" s="452" t="str">
        <f>HYPERLINK("http://www.gainward.com/main/vgapro.php?id=1045&amp;lang=en","Ghost")</f>
        <v>Ghost</v>
      </c>
      <c r="E766" s="266">
        <v>235.0</v>
      </c>
      <c r="F766" s="266">
        <v>115.0</v>
      </c>
      <c r="G766" s="266">
        <v>40.0</v>
      </c>
      <c r="H766" s="266">
        <v>2.0</v>
      </c>
      <c r="I766" s="266">
        <v>1770.0</v>
      </c>
      <c r="J766" s="266">
        <v>12.0</v>
      </c>
      <c r="K766" s="266">
        <v>120.0</v>
      </c>
      <c r="L766" s="266">
        <v>8.0</v>
      </c>
      <c r="M766" s="266">
        <v>2.0</v>
      </c>
      <c r="N766" s="266">
        <v>1.0</v>
      </c>
      <c r="O766" s="266">
        <v>1.0</v>
      </c>
      <c r="P766" s="266" t="s">
        <v>166</v>
      </c>
      <c r="Q766" s="266">
        <v>1.0</v>
      </c>
      <c r="R766" s="497" t="s">
        <v>166</v>
      </c>
      <c r="S766" s="497" t="s">
        <v>166</v>
      </c>
      <c r="T766" s="496"/>
    </row>
    <row r="767">
      <c r="A767" s="494" t="s">
        <v>3401</v>
      </c>
      <c r="B767" s="495" t="s">
        <v>3524</v>
      </c>
      <c r="C767" s="452" t="str">
        <f t="shared" si="155"/>
        <v>Gainward</v>
      </c>
      <c r="D767" s="452" t="str">
        <f>HYPERLINK("http://www.gainward.com/main/vgapro.php?id=1044&amp;lang=en","Ghost OC")</f>
        <v>Ghost OC</v>
      </c>
      <c r="E767" s="266">
        <v>235.0</v>
      </c>
      <c r="F767" s="266">
        <v>115.0</v>
      </c>
      <c r="G767" s="266">
        <v>40.0</v>
      </c>
      <c r="H767" s="266">
        <v>2.0</v>
      </c>
      <c r="I767" s="266">
        <v>1815.0</v>
      </c>
      <c r="J767" s="266">
        <v>12.0</v>
      </c>
      <c r="K767" s="266">
        <v>120.0</v>
      </c>
      <c r="L767" s="266">
        <v>8.0</v>
      </c>
      <c r="M767" s="266">
        <v>2.0</v>
      </c>
      <c r="N767" s="266">
        <v>1.0</v>
      </c>
      <c r="O767" s="266">
        <v>1.0</v>
      </c>
      <c r="P767" s="266" t="s">
        <v>166</v>
      </c>
      <c r="Q767" s="266">
        <v>1.0</v>
      </c>
      <c r="R767" s="497" t="s">
        <v>166</v>
      </c>
      <c r="S767" s="497" t="s">
        <v>166</v>
      </c>
      <c r="T767" s="496"/>
    </row>
    <row r="768">
      <c r="A768" s="494" t="s">
        <v>3401</v>
      </c>
      <c r="B768" s="495" t="s">
        <v>3524</v>
      </c>
      <c r="C768" s="174" t="s">
        <v>3456</v>
      </c>
      <c r="D768" s="452" t="str">
        <f>HYPERLINK("http://www.galax.com/en/graphics-card/16-series/galax-geforce-gtx-1660ti-ex-1clickoc.html","EX (1-Click OC)")</f>
        <v>EX (1-Click OC)</v>
      </c>
      <c r="E768" s="266">
        <v>233.0</v>
      </c>
      <c r="F768" s="266">
        <v>119.0</v>
      </c>
      <c r="G768" s="266">
        <v>40.0</v>
      </c>
      <c r="H768" s="266">
        <v>2.0</v>
      </c>
      <c r="I768" s="266">
        <v>1830.0</v>
      </c>
      <c r="J768" s="266">
        <v>12.0</v>
      </c>
      <c r="K768" s="266">
        <v>120.0</v>
      </c>
      <c r="L768" s="266">
        <v>8.0</v>
      </c>
      <c r="M768" s="266">
        <v>2.0</v>
      </c>
      <c r="N768" s="266">
        <v>1.0</v>
      </c>
      <c r="O768" s="266">
        <v>1.0</v>
      </c>
      <c r="P768" s="266" t="s">
        <v>166</v>
      </c>
      <c r="Q768" s="266">
        <v>1.0</v>
      </c>
      <c r="R768" s="497" t="s">
        <v>166</v>
      </c>
      <c r="S768" s="497" t="s">
        <v>166</v>
      </c>
      <c r="T768" s="496"/>
    </row>
    <row r="769">
      <c r="A769" s="494" t="s">
        <v>3401</v>
      </c>
      <c r="B769" s="495" t="s">
        <v>3524</v>
      </c>
      <c r="C769" s="174" t="s">
        <v>3456</v>
      </c>
      <c r="D769" s="452" t="str">
        <f>HYPERLINK("http://www.galax.com/en/graphics-card/16-series/galax-geforce-gtx-1660ti-ex-white-1clickoc.html","EX White (1-Click OC)")</f>
        <v>EX White (1-Click OC)</v>
      </c>
      <c r="E769" s="266">
        <v>233.0</v>
      </c>
      <c r="F769" s="266">
        <v>119.0</v>
      </c>
      <c r="G769" s="266">
        <v>40.0</v>
      </c>
      <c r="H769" s="266">
        <v>2.0</v>
      </c>
      <c r="I769" s="266">
        <v>1830.0</v>
      </c>
      <c r="J769" s="266">
        <v>12.0</v>
      </c>
      <c r="K769" s="266">
        <v>120.0</v>
      </c>
      <c r="L769" s="266">
        <v>8.0</v>
      </c>
      <c r="M769" s="266">
        <v>2.0</v>
      </c>
      <c r="N769" s="266">
        <v>1.0</v>
      </c>
      <c r="O769" s="266">
        <v>1.0</v>
      </c>
      <c r="P769" s="266" t="s">
        <v>166</v>
      </c>
      <c r="Q769" s="266">
        <v>1.0</v>
      </c>
      <c r="R769" s="497" t="s">
        <v>166</v>
      </c>
      <c r="S769" s="497" t="s">
        <v>166</v>
      </c>
      <c r="T769" s="496"/>
    </row>
    <row r="770">
      <c r="A770" s="494" t="s">
        <v>3401</v>
      </c>
      <c r="B770" s="495" t="s">
        <v>3524</v>
      </c>
      <c r="C770" s="174" t="str">
        <f t="shared" ref="C770:C774" si="156">HYPERLINK("https://www.gigabyte.com/","Gigabyte")</f>
        <v>Gigabyte</v>
      </c>
      <c r="D770" s="452" t="str">
        <f>HYPERLINK("https://www.gigabyte.com/Graphics-Card/GV-N166TOC-6GD#kf","OC")</f>
        <v>OC</v>
      </c>
      <c r="E770" s="266">
        <v>225.65</v>
      </c>
      <c r="F770" s="266">
        <v>122.02</v>
      </c>
      <c r="G770" s="266">
        <v>40.5</v>
      </c>
      <c r="H770" s="266">
        <v>2.0</v>
      </c>
      <c r="I770" s="266">
        <v>1800.0</v>
      </c>
      <c r="J770" s="266">
        <v>12.0</v>
      </c>
      <c r="K770" s="266">
        <v>120.0</v>
      </c>
      <c r="L770" s="266">
        <v>8.0</v>
      </c>
      <c r="M770" s="266">
        <v>2.0</v>
      </c>
      <c r="N770" s="266">
        <v>3.0</v>
      </c>
      <c r="O770" s="266">
        <v>1.0</v>
      </c>
      <c r="P770" s="266" t="s">
        <v>166</v>
      </c>
      <c r="Q770" s="266" t="s">
        <v>166</v>
      </c>
      <c r="R770" s="497" t="s">
        <v>166</v>
      </c>
      <c r="S770" s="497" t="s">
        <v>166</v>
      </c>
      <c r="T770" s="496"/>
    </row>
    <row r="771">
      <c r="A771" s="494" t="s">
        <v>3401</v>
      </c>
      <c r="B771" s="495" t="s">
        <v>3524</v>
      </c>
      <c r="C771" s="174" t="str">
        <f t="shared" si="156"/>
        <v>Gigabyte</v>
      </c>
      <c r="D771" s="452" t="s">
        <v>3597</v>
      </c>
      <c r="E771" s="266">
        <v>264.9</v>
      </c>
      <c r="F771" s="266">
        <v>120.58</v>
      </c>
      <c r="G771" s="266">
        <v>40.41</v>
      </c>
      <c r="H771" s="266">
        <v>2.0</v>
      </c>
      <c r="I771" s="266">
        <v>1770.0</v>
      </c>
      <c r="J771" s="266">
        <v>12.0</v>
      </c>
      <c r="K771" s="266">
        <v>120.0</v>
      </c>
      <c r="L771" s="266">
        <v>8.0</v>
      </c>
      <c r="M771" s="266">
        <v>2.0</v>
      </c>
      <c r="N771" s="266">
        <v>3.0</v>
      </c>
      <c r="O771" s="266">
        <v>1.0</v>
      </c>
      <c r="P771" s="266" t="s">
        <v>166</v>
      </c>
      <c r="Q771" s="266" t="s">
        <v>166</v>
      </c>
      <c r="R771" s="497" t="s">
        <v>166</v>
      </c>
      <c r="S771" s="497" t="s">
        <v>166</v>
      </c>
      <c r="T771" s="496"/>
    </row>
    <row r="772">
      <c r="A772" s="494" t="s">
        <v>3401</v>
      </c>
      <c r="B772" s="495" t="s">
        <v>3524</v>
      </c>
      <c r="C772" s="174" t="str">
        <f t="shared" si="156"/>
        <v>Gigabyte</v>
      </c>
      <c r="D772" s="452" t="s">
        <v>3578</v>
      </c>
      <c r="E772" s="266">
        <v>264.9</v>
      </c>
      <c r="F772" s="266">
        <v>120.58</v>
      </c>
      <c r="G772" s="266">
        <v>40.41</v>
      </c>
      <c r="H772" s="266">
        <v>2.0</v>
      </c>
      <c r="I772" s="266">
        <v>1845.0</v>
      </c>
      <c r="J772" s="266">
        <v>12.0</v>
      </c>
      <c r="K772" s="266">
        <v>120.0</v>
      </c>
      <c r="L772" s="266">
        <v>8.0</v>
      </c>
      <c r="M772" s="266">
        <v>2.0</v>
      </c>
      <c r="N772" s="266">
        <v>3.0</v>
      </c>
      <c r="O772" s="266">
        <v>1.0</v>
      </c>
      <c r="P772" s="266" t="s">
        <v>166</v>
      </c>
      <c r="Q772" s="266" t="s">
        <v>166</v>
      </c>
      <c r="R772" s="497" t="s">
        <v>166</v>
      </c>
      <c r="S772" s="497" t="s">
        <v>166</v>
      </c>
      <c r="T772" s="496"/>
    </row>
    <row r="773">
      <c r="A773" s="494" t="s">
        <v>3401</v>
      </c>
      <c r="B773" s="495" t="s">
        <v>3524</v>
      </c>
      <c r="C773" s="174" t="str">
        <f t="shared" si="156"/>
        <v>Gigabyte</v>
      </c>
      <c r="D773" s="452" t="s">
        <v>3630</v>
      </c>
      <c r="E773" s="266">
        <v>280.0</v>
      </c>
      <c r="F773" s="266">
        <v>116.7</v>
      </c>
      <c r="G773" s="266">
        <v>40.4</v>
      </c>
      <c r="H773" s="266">
        <v>2.0</v>
      </c>
      <c r="I773" s="266">
        <v>1860.0</v>
      </c>
      <c r="J773" s="266">
        <v>12.0</v>
      </c>
      <c r="K773" s="266">
        <v>120.0</v>
      </c>
      <c r="L773" s="266">
        <v>8.0</v>
      </c>
      <c r="M773" s="266">
        <v>3.0</v>
      </c>
      <c r="N773" s="266">
        <v>3.0</v>
      </c>
      <c r="O773" s="266">
        <v>1.0</v>
      </c>
      <c r="P773" s="266" t="s">
        <v>166</v>
      </c>
      <c r="Q773" s="266" t="s">
        <v>166</v>
      </c>
      <c r="R773" s="497" t="s">
        <v>166</v>
      </c>
      <c r="S773" s="497" t="s">
        <v>166</v>
      </c>
      <c r="T773" s="496"/>
    </row>
    <row r="774">
      <c r="A774" s="494" t="s">
        <v>3401</v>
      </c>
      <c r="B774" s="495" t="s">
        <v>3524</v>
      </c>
      <c r="C774" s="174" t="str">
        <f t="shared" si="156"/>
        <v>Gigabyte</v>
      </c>
      <c r="D774" s="452" t="s">
        <v>3677</v>
      </c>
      <c r="E774" s="266">
        <v>280.0</v>
      </c>
      <c r="F774" s="266">
        <v>120.1</v>
      </c>
      <c r="G774" s="266">
        <v>40.5</v>
      </c>
      <c r="H774" s="266">
        <v>2.0</v>
      </c>
      <c r="I774" s="266">
        <v>1890.0</v>
      </c>
      <c r="J774" s="266">
        <v>12.0</v>
      </c>
      <c r="K774" s="266">
        <v>120.0</v>
      </c>
      <c r="L774" s="266">
        <v>8.0</v>
      </c>
      <c r="M774" s="266">
        <v>3.0</v>
      </c>
      <c r="N774" s="266">
        <v>3.0</v>
      </c>
      <c r="O774" s="266">
        <v>1.0</v>
      </c>
      <c r="P774" s="266" t="s">
        <v>166</v>
      </c>
      <c r="Q774" s="266" t="s">
        <v>166</v>
      </c>
      <c r="R774" s="497" t="s">
        <v>166</v>
      </c>
      <c r="S774" s="497" t="s">
        <v>166</v>
      </c>
      <c r="T774" s="496"/>
    </row>
    <row r="775">
      <c r="A775" s="494" t="s">
        <v>3401</v>
      </c>
      <c r="B775" s="495" t="s">
        <v>3524</v>
      </c>
      <c r="C775" s="452" t="str">
        <f>HYPERLINK("http://www.inno3d.com/","Inno3D")</f>
        <v>Inno3D</v>
      </c>
      <c r="D775" s="452" t="s">
        <v>3897</v>
      </c>
      <c r="E775" s="266">
        <v>220.0</v>
      </c>
      <c r="F775" s="266">
        <v>113.0</v>
      </c>
      <c r="G775" s="266">
        <v>40.0</v>
      </c>
      <c r="H775" s="266">
        <v>2.0</v>
      </c>
      <c r="I775" s="266">
        <v>1800.0</v>
      </c>
      <c r="J775" s="266">
        <v>12.0</v>
      </c>
      <c r="K775" s="266">
        <v>120.0</v>
      </c>
      <c r="L775" s="266">
        <v>8.0</v>
      </c>
      <c r="M775" s="266">
        <v>2.0</v>
      </c>
      <c r="N775" s="266">
        <v>3.0</v>
      </c>
      <c r="O775" s="266">
        <v>1.0</v>
      </c>
      <c r="P775" s="266" t="s">
        <v>166</v>
      </c>
      <c r="Q775" s="266" t="s">
        <v>166</v>
      </c>
      <c r="R775" s="497" t="s">
        <v>166</v>
      </c>
      <c r="S775" s="497" t="s">
        <v>166</v>
      </c>
      <c r="T775" s="496"/>
    </row>
    <row r="776">
      <c r="A776" s="494" t="s">
        <v>3401</v>
      </c>
      <c r="B776" s="495" t="s">
        <v>3524</v>
      </c>
      <c r="C776" s="452" t="s">
        <v>3538</v>
      </c>
      <c r="D776" s="452" t="s">
        <v>3898</v>
      </c>
      <c r="E776" s="266">
        <v>241.0</v>
      </c>
      <c r="F776" s="266">
        <v>111.0</v>
      </c>
      <c r="G776" s="266">
        <v>35.0</v>
      </c>
      <c r="H776" s="266">
        <v>2.0</v>
      </c>
      <c r="I776" s="266">
        <v>1770.0</v>
      </c>
      <c r="J776" s="266">
        <v>12.0</v>
      </c>
      <c r="K776" s="266">
        <v>120.0</v>
      </c>
      <c r="L776" s="266">
        <v>8.0</v>
      </c>
      <c r="M776" s="266">
        <v>1.0</v>
      </c>
      <c r="N776" s="266">
        <v>1.0</v>
      </c>
      <c r="O776" s="266">
        <v>1.0</v>
      </c>
      <c r="P776" s="266" t="s">
        <v>166</v>
      </c>
      <c r="Q776" s="266">
        <v>1.0</v>
      </c>
      <c r="R776" s="266" t="s">
        <v>166</v>
      </c>
      <c r="S776" s="266" t="s">
        <v>174</v>
      </c>
      <c r="T776" s="494"/>
    </row>
    <row r="777">
      <c r="A777" s="494" t="s">
        <v>3401</v>
      </c>
      <c r="B777" s="495" t="s">
        <v>3524</v>
      </c>
      <c r="C777" s="452" t="str">
        <f t="shared" ref="C777:C778" si="157">HYPERLINK("http://manli.com/en","Manli")</f>
        <v>Manli</v>
      </c>
      <c r="D777" s="452" t="str">
        <f>HYPERLINK("https://manli.com/en/product-detail-MANLI_GeForce_GTX_1660Ti_Heatsink_with_Blower_Fan_(M1432+N537-00)-28.html","Blower (M1432+N537-00)")</f>
        <v>Blower (M1432+N537-00)</v>
      </c>
      <c r="E777" s="266">
        <v>255.0</v>
      </c>
      <c r="F777" s="266">
        <v>125.0</v>
      </c>
      <c r="G777" s="266">
        <v>40.0</v>
      </c>
      <c r="H777" s="266">
        <v>2.0</v>
      </c>
      <c r="I777" s="266">
        <v>1770.0</v>
      </c>
      <c r="J777" s="266">
        <v>12.0</v>
      </c>
      <c r="K777" s="266">
        <v>120.0</v>
      </c>
      <c r="L777" s="266">
        <v>8.0</v>
      </c>
      <c r="M777" s="266">
        <v>1.0</v>
      </c>
      <c r="N777" s="266">
        <v>1.0</v>
      </c>
      <c r="O777" s="266">
        <v>1.0</v>
      </c>
      <c r="P777" s="266" t="s">
        <v>166</v>
      </c>
      <c r="Q777" s="266">
        <v>1.0</v>
      </c>
      <c r="R777" s="266" t="s">
        <v>166</v>
      </c>
      <c r="S777" s="266" t="s">
        <v>174</v>
      </c>
      <c r="T777" s="494"/>
    </row>
    <row r="778">
      <c r="A778" s="494" t="s">
        <v>3401</v>
      </c>
      <c r="B778" s="495" t="s">
        <v>3524</v>
      </c>
      <c r="C778" s="452" t="str">
        <f t="shared" si="157"/>
        <v>Manli</v>
      </c>
      <c r="D778" s="452" t="str">
        <f>HYPERLINK("https://manli.com/en/product-detail-MANLI_GeForce_GTX_1660Ti_Gallardo_(M2436+N537-00)-26.html","Gallardo (M2436+N537-00)")</f>
        <v>Gallardo (M2436+N537-00)</v>
      </c>
      <c r="E778" s="266">
        <v>232.0</v>
      </c>
      <c r="F778" s="266">
        <v>125.0</v>
      </c>
      <c r="G778" s="266">
        <v>42.0</v>
      </c>
      <c r="H778" s="266">
        <v>2.0</v>
      </c>
      <c r="I778" s="266">
        <v>1815.0</v>
      </c>
      <c r="J778" s="266">
        <v>12.0</v>
      </c>
      <c r="K778" s="266">
        <v>120.0</v>
      </c>
      <c r="L778" s="266">
        <v>8.0</v>
      </c>
      <c r="M778" s="266">
        <v>2.0</v>
      </c>
      <c r="N778" s="266">
        <v>1.0</v>
      </c>
      <c r="O778" s="266">
        <v>1.0</v>
      </c>
      <c r="P778" s="266" t="s">
        <v>166</v>
      </c>
      <c r="Q778" s="266">
        <v>1.0</v>
      </c>
      <c r="R778" s="497" t="s">
        <v>166</v>
      </c>
      <c r="S778" s="497" t="s">
        <v>166</v>
      </c>
      <c r="T778" s="496"/>
    </row>
    <row r="779">
      <c r="A779" s="494" t="s">
        <v>3401</v>
      </c>
      <c r="B779" s="495" t="s">
        <v>3524</v>
      </c>
      <c r="C779" s="174" t="str">
        <f t="shared" ref="C779:C784" si="158">HYPERLINK("https://www.msi.com/index.php","MSI")</f>
        <v>MSI</v>
      </c>
      <c r="D779" s="452" t="s">
        <v>3904</v>
      </c>
      <c r="E779" s="266">
        <v>231.0</v>
      </c>
      <c r="F779" s="266">
        <v>127.0</v>
      </c>
      <c r="G779" s="266">
        <v>43.0</v>
      </c>
      <c r="H779" s="266">
        <v>2.0</v>
      </c>
      <c r="I779" s="266">
        <v>1770.0</v>
      </c>
      <c r="J779" s="266">
        <v>12.0</v>
      </c>
      <c r="K779" s="266">
        <v>120.0</v>
      </c>
      <c r="L779" s="266">
        <v>8.0</v>
      </c>
      <c r="M779" s="266">
        <v>2.0</v>
      </c>
      <c r="N779" s="266">
        <v>3.0</v>
      </c>
      <c r="O779" s="266">
        <v>1.0</v>
      </c>
      <c r="P779" s="266" t="s">
        <v>166</v>
      </c>
      <c r="Q779" s="266" t="s">
        <v>166</v>
      </c>
      <c r="R779" s="497" t="s">
        <v>166</v>
      </c>
      <c r="S779" s="497" t="s">
        <v>166</v>
      </c>
      <c r="T779" s="496"/>
    </row>
    <row r="780">
      <c r="A780" s="494" t="s">
        <v>3401</v>
      </c>
      <c r="B780" s="495" t="s">
        <v>3524</v>
      </c>
      <c r="C780" s="174" t="str">
        <f t="shared" si="158"/>
        <v>MSI</v>
      </c>
      <c r="D780" s="452" t="s">
        <v>3905</v>
      </c>
      <c r="E780" s="266">
        <v>231.0</v>
      </c>
      <c r="F780" s="266">
        <v>127.0</v>
      </c>
      <c r="G780" s="266">
        <v>43.0</v>
      </c>
      <c r="H780" s="266">
        <v>2.0</v>
      </c>
      <c r="I780" s="266">
        <v>1830.0</v>
      </c>
      <c r="J780" s="266">
        <v>12.0</v>
      </c>
      <c r="K780" s="266">
        <v>120.0</v>
      </c>
      <c r="L780" s="266">
        <v>8.0</v>
      </c>
      <c r="M780" s="266">
        <v>2.0</v>
      </c>
      <c r="N780" s="266">
        <v>3.0</v>
      </c>
      <c r="O780" s="266">
        <v>1.0</v>
      </c>
      <c r="P780" s="266" t="s">
        <v>166</v>
      </c>
      <c r="Q780" s="266" t="s">
        <v>166</v>
      </c>
      <c r="R780" s="497" t="s">
        <v>166</v>
      </c>
      <c r="S780" s="497" t="s">
        <v>166</v>
      </c>
      <c r="T780" s="496"/>
    </row>
    <row r="781">
      <c r="A781" s="494" t="s">
        <v>3401</v>
      </c>
      <c r="B781" s="495" t="s">
        <v>3524</v>
      </c>
      <c r="C781" s="174" t="str">
        <f t="shared" si="158"/>
        <v>MSI</v>
      </c>
      <c r="D781" s="452" t="s">
        <v>3693</v>
      </c>
      <c r="E781" s="266">
        <v>243.0</v>
      </c>
      <c r="F781" s="266">
        <v>129.0</v>
      </c>
      <c r="G781" s="266">
        <v>42.0</v>
      </c>
      <c r="H781" s="266">
        <v>2.0</v>
      </c>
      <c r="I781" s="266">
        <v>1770.0</v>
      </c>
      <c r="J781" s="266">
        <v>12.0</v>
      </c>
      <c r="K781" s="266">
        <v>120.0</v>
      </c>
      <c r="L781" s="266">
        <v>8.0</v>
      </c>
      <c r="M781" s="266">
        <v>2.0</v>
      </c>
      <c r="N781" s="266">
        <v>3.0</v>
      </c>
      <c r="O781" s="266">
        <v>1.0</v>
      </c>
      <c r="P781" s="266" t="s">
        <v>166</v>
      </c>
      <c r="Q781" s="266" t="s">
        <v>166</v>
      </c>
      <c r="R781" s="497" t="s">
        <v>166</v>
      </c>
      <c r="S781" s="497" t="s">
        <v>166</v>
      </c>
      <c r="T781" s="496"/>
    </row>
    <row r="782">
      <c r="A782" s="494" t="s">
        <v>3401</v>
      </c>
      <c r="B782" s="495" t="s">
        <v>3524</v>
      </c>
      <c r="C782" s="174" t="str">
        <f t="shared" si="158"/>
        <v>MSI</v>
      </c>
      <c r="D782" s="452" t="s">
        <v>3852</v>
      </c>
      <c r="E782" s="266">
        <v>243.0</v>
      </c>
      <c r="F782" s="266">
        <v>129.0</v>
      </c>
      <c r="G782" s="266">
        <v>42.0</v>
      </c>
      <c r="H782" s="266">
        <v>2.0</v>
      </c>
      <c r="I782" s="266">
        <v>1860.0</v>
      </c>
      <c r="J782" s="266">
        <v>12.0</v>
      </c>
      <c r="K782" s="266">
        <v>120.0</v>
      </c>
      <c r="L782" s="266">
        <v>8.0</v>
      </c>
      <c r="M782" s="266">
        <v>2.0</v>
      </c>
      <c r="N782" s="266">
        <v>3.0</v>
      </c>
      <c r="O782" s="266">
        <v>1.0</v>
      </c>
      <c r="P782" s="266" t="s">
        <v>166</v>
      </c>
      <c r="Q782" s="266" t="s">
        <v>166</v>
      </c>
      <c r="R782" s="497" t="s">
        <v>166</v>
      </c>
      <c r="S782" s="497" t="s">
        <v>166</v>
      </c>
      <c r="T782" s="496"/>
    </row>
    <row r="783">
      <c r="A783" s="494" t="s">
        <v>3401</v>
      </c>
      <c r="B783" s="495" t="s">
        <v>3524</v>
      </c>
      <c r="C783" s="174" t="str">
        <f t="shared" si="158"/>
        <v>MSI</v>
      </c>
      <c r="D783" s="452" t="s">
        <v>3409</v>
      </c>
      <c r="E783" s="266">
        <v>247.0</v>
      </c>
      <c r="F783" s="266">
        <v>127.0</v>
      </c>
      <c r="G783" s="266">
        <v>46.0</v>
      </c>
      <c r="H783" s="266">
        <v>2.0</v>
      </c>
      <c r="I783" s="266">
        <v>1770.0</v>
      </c>
      <c r="J783" s="266">
        <v>12.0</v>
      </c>
      <c r="K783" s="266">
        <v>120.0</v>
      </c>
      <c r="L783" s="266">
        <v>8.0</v>
      </c>
      <c r="M783" s="266">
        <v>2.0</v>
      </c>
      <c r="N783" s="266">
        <v>3.0</v>
      </c>
      <c r="O783" s="266">
        <v>1.0</v>
      </c>
      <c r="P783" s="266" t="s">
        <v>166</v>
      </c>
      <c r="Q783" s="266" t="s">
        <v>166</v>
      </c>
      <c r="R783" s="497" t="s">
        <v>166</v>
      </c>
      <c r="S783" s="497" t="s">
        <v>166</v>
      </c>
      <c r="T783" s="496"/>
    </row>
    <row r="784">
      <c r="A784" s="494" t="s">
        <v>3401</v>
      </c>
      <c r="B784" s="495" t="s">
        <v>3524</v>
      </c>
      <c r="C784" s="174" t="str">
        <f t="shared" si="158"/>
        <v>MSI</v>
      </c>
      <c r="D784" s="452" t="s">
        <v>3557</v>
      </c>
      <c r="E784" s="266">
        <v>247.0</v>
      </c>
      <c r="F784" s="266">
        <v>127.0</v>
      </c>
      <c r="G784" s="266">
        <v>46.0</v>
      </c>
      <c r="H784" s="266">
        <v>2.0</v>
      </c>
      <c r="I784" s="266">
        <v>1875.0</v>
      </c>
      <c r="J784" s="266">
        <v>12.0</v>
      </c>
      <c r="K784" s="266">
        <v>120.0</v>
      </c>
      <c r="L784" s="266">
        <v>8.0</v>
      </c>
      <c r="M784" s="266">
        <v>2.0</v>
      </c>
      <c r="N784" s="266">
        <v>3.0</v>
      </c>
      <c r="O784" s="266">
        <v>1.0</v>
      </c>
      <c r="P784" s="266" t="s">
        <v>166</v>
      </c>
      <c r="Q784" s="266" t="s">
        <v>166</v>
      </c>
      <c r="R784" s="497" t="s">
        <v>166</v>
      </c>
      <c r="S784" s="497" t="s">
        <v>166</v>
      </c>
      <c r="T784" s="496"/>
    </row>
    <row r="785">
      <c r="A785" s="494" t="s">
        <v>3401</v>
      </c>
      <c r="B785" s="495" t="s">
        <v>3524</v>
      </c>
      <c r="C785" s="452" t="str">
        <f t="shared" ref="C785:C786" si="159">HYPERLINK("http://www.palit.com/palit/index.php?lang=en","Palit")</f>
        <v>Palit</v>
      </c>
      <c r="D785" s="452" t="str">
        <f>HYPERLINK("http://www.palit.com/palit/vgapro.php?id=3195&amp;lang=en","Dual")</f>
        <v>Dual</v>
      </c>
      <c r="E785" s="266">
        <v>235.0</v>
      </c>
      <c r="F785" s="266">
        <v>115.0</v>
      </c>
      <c r="G785" s="266">
        <v>40.0</v>
      </c>
      <c r="H785" s="266">
        <v>2.0</v>
      </c>
      <c r="I785" s="266">
        <v>1770.0</v>
      </c>
      <c r="J785" s="266">
        <v>12.0</v>
      </c>
      <c r="K785" s="266">
        <v>120.0</v>
      </c>
      <c r="L785" s="266">
        <v>8.0</v>
      </c>
      <c r="M785" s="266">
        <v>2.0</v>
      </c>
      <c r="N785" s="266">
        <v>1.0</v>
      </c>
      <c r="O785" s="266">
        <v>1.0</v>
      </c>
      <c r="P785" s="266" t="s">
        <v>166</v>
      </c>
      <c r="Q785" s="266">
        <v>1.0</v>
      </c>
      <c r="R785" s="497" t="s">
        <v>166</v>
      </c>
      <c r="S785" s="497" t="s">
        <v>166</v>
      </c>
      <c r="T785" s="496"/>
    </row>
    <row r="786">
      <c r="A786" s="494" t="s">
        <v>3401</v>
      </c>
      <c r="B786" s="495" t="s">
        <v>3524</v>
      </c>
      <c r="C786" s="452" t="str">
        <f t="shared" si="159"/>
        <v>Palit</v>
      </c>
      <c r="D786" s="452" t="str">
        <f>HYPERLINK("http://www.palit.com/palit/vgapro.php?id=3202&amp;lang=en","Dual OC")</f>
        <v>Dual OC</v>
      </c>
      <c r="E786" s="266">
        <v>235.0</v>
      </c>
      <c r="F786" s="266">
        <v>115.0</v>
      </c>
      <c r="G786" s="266">
        <v>40.0</v>
      </c>
      <c r="H786" s="266">
        <v>2.0</v>
      </c>
      <c r="I786" s="266">
        <v>1815.0</v>
      </c>
      <c r="J786" s="266">
        <v>12.0</v>
      </c>
      <c r="K786" s="266">
        <v>120.0</v>
      </c>
      <c r="L786" s="266">
        <v>8.0</v>
      </c>
      <c r="M786" s="266">
        <v>2.0</v>
      </c>
      <c r="N786" s="266">
        <v>1.0</v>
      </c>
      <c r="O786" s="266">
        <v>1.0</v>
      </c>
      <c r="P786" s="266" t="s">
        <v>166</v>
      </c>
      <c r="Q786" s="266">
        <v>1.0</v>
      </c>
      <c r="R786" s="497" t="s">
        <v>166</v>
      </c>
      <c r="S786" s="497" t="s">
        <v>166</v>
      </c>
      <c r="T786" s="496"/>
    </row>
    <row r="787">
      <c r="A787" s="498" t="s">
        <v>3401</v>
      </c>
      <c r="B787" s="499" t="s">
        <v>3524</v>
      </c>
      <c r="C787" s="500" t="str">
        <f>HYPERLINK("https://pny.com/","PNY")</f>
        <v>PNY</v>
      </c>
      <c r="D787" s="500" t="str">
        <f>HYPERLINK("https://pny.com/PNY-GeForce-GTX-1660-Ti-6GB-Blower","Blower")</f>
        <v>Blower</v>
      </c>
      <c r="E787" s="501">
        <v>255.0</v>
      </c>
      <c r="F787" s="501">
        <v>125.0</v>
      </c>
      <c r="G787" s="501">
        <v>40.0</v>
      </c>
      <c r="H787" s="501">
        <v>2.0</v>
      </c>
      <c r="I787" s="501">
        <v>1770.0</v>
      </c>
      <c r="J787" s="501">
        <v>12.0</v>
      </c>
      <c r="K787" s="501">
        <v>120.0</v>
      </c>
      <c r="L787" s="501">
        <v>8.0</v>
      </c>
      <c r="M787" s="501">
        <v>1.0</v>
      </c>
      <c r="N787" s="501">
        <v>1.0</v>
      </c>
      <c r="O787" s="501">
        <v>1.0</v>
      </c>
      <c r="P787" s="501" t="s">
        <v>166</v>
      </c>
      <c r="Q787" s="501">
        <v>1.0</v>
      </c>
      <c r="R787" s="502" t="s">
        <v>166</v>
      </c>
      <c r="S787" s="501" t="s">
        <v>174</v>
      </c>
      <c r="T787" s="562"/>
    </row>
    <row r="788">
      <c r="A788" s="494" t="s">
        <v>3401</v>
      </c>
      <c r="B788" s="495" t="s">
        <v>3530</v>
      </c>
      <c r="C788" s="174" t="s">
        <v>3467</v>
      </c>
      <c r="D788" s="452" t="s">
        <v>3908</v>
      </c>
      <c r="E788" s="266">
        <v>225.0</v>
      </c>
      <c r="F788" s="266">
        <v>128.0</v>
      </c>
      <c r="G788" s="266">
        <v>42.0</v>
      </c>
      <c r="H788" s="266">
        <v>2.0</v>
      </c>
      <c r="I788" s="266">
        <v>1680.0</v>
      </c>
      <c r="J788" s="266">
        <v>14.0</v>
      </c>
      <c r="K788" s="266">
        <v>160.0</v>
      </c>
      <c r="L788" s="266">
        <v>8.0</v>
      </c>
      <c r="M788" s="266">
        <v>2.0</v>
      </c>
      <c r="N788" s="266">
        <v>3.0</v>
      </c>
      <c r="O788" s="266">
        <v>1.0</v>
      </c>
      <c r="P788" s="266" t="s">
        <v>166</v>
      </c>
      <c r="Q788" s="266" t="s">
        <v>166</v>
      </c>
      <c r="R788" s="497" t="s">
        <v>166</v>
      </c>
      <c r="S788" s="497" t="s">
        <v>166</v>
      </c>
      <c r="T788" s="496"/>
    </row>
    <row r="789">
      <c r="A789" s="494" t="s">
        <v>3401</v>
      </c>
      <c r="B789" s="495" t="s">
        <v>3530</v>
      </c>
      <c r="C789" s="174" t="s">
        <v>3467</v>
      </c>
      <c r="D789" s="452" t="s">
        <v>3874</v>
      </c>
      <c r="E789" s="266">
        <v>222.0</v>
      </c>
      <c r="F789" s="266">
        <v>114.0</v>
      </c>
      <c r="G789" s="266">
        <v>41.0</v>
      </c>
      <c r="H789" s="266">
        <v>2.0</v>
      </c>
      <c r="I789" s="266">
        <v>1680.0</v>
      </c>
      <c r="J789" s="266">
        <v>14.0</v>
      </c>
      <c r="K789" s="266">
        <v>160.0</v>
      </c>
      <c r="L789" s="266">
        <v>8.0</v>
      </c>
      <c r="M789" s="266">
        <v>2.0</v>
      </c>
      <c r="N789" s="266">
        <v>1.0</v>
      </c>
      <c r="O789" s="266">
        <v>1.0</v>
      </c>
      <c r="P789" s="266" t="s">
        <v>166</v>
      </c>
      <c r="Q789" s="266">
        <v>1.0</v>
      </c>
      <c r="R789" s="497" t="s">
        <v>166</v>
      </c>
      <c r="S789" s="497" t="s">
        <v>166</v>
      </c>
      <c r="T789" s="496"/>
    </row>
    <row r="790">
      <c r="A790" s="494" t="s">
        <v>3401</v>
      </c>
      <c r="B790" s="495" t="s">
        <v>3530</v>
      </c>
      <c r="C790" s="174" t="s">
        <v>3467</v>
      </c>
      <c r="D790" s="452" t="s">
        <v>3884</v>
      </c>
      <c r="E790" s="266">
        <v>225.0</v>
      </c>
      <c r="F790" s="266">
        <v>115.0</v>
      </c>
      <c r="G790" s="266">
        <v>50.0</v>
      </c>
      <c r="H790" s="266">
        <v>2.0</v>
      </c>
      <c r="I790" s="266">
        <v>1680.0</v>
      </c>
      <c r="J790" s="266">
        <v>14.0</v>
      </c>
      <c r="K790" s="266">
        <v>160.0</v>
      </c>
      <c r="L790" s="266">
        <v>8.0</v>
      </c>
      <c r="M790" s="266">
        <v>2.0</v>
      </c>
      <c r="N790" s="266">
        <v>1.0</v>
      </c>
      <c r="O790" s="266">
        <v>1.0</v>
      </c>
      <c r="P790" s="266" t="s">
        <v>166</v>
      </c>
      <c r="Q790" s="266">
        <v>1.0</v>
      </c>
      <c r="R790" s="497" t="s">
        <v>166</v>
      </c>
      <c r="S790" s="497" t="s">
        <v>166</v>
      </c>
      <c r="T790" s="496"/>
    </row>
    <row r="791">
      <c r="A791" s="494" t="s">
        <v>3401</v>
      </c>
      <c r="B791" s="495" t="s">
        <v>3530</v>
      </c>
      <c r="C791" s="174" t="str">
        <f t="shared" ref="C791:C804" si="160">HYPERLINK("https://www.asus.com/","Asus")</f>
        <v>Asus</v>
      </c>
      <c r="D791" s="452" t="s">
        <v>3810</v>
      </c>
      <c r="E791" s="266">
        <v>268.0</v>
      </c>
      <c r="F791" s="266">
        <v>113.0</v>
      </c>
      <c r="G791" s="266">
        <v>40.0</v>
      </c>
      <c r="H791" s="266">
        <v>2.0</v>
      </c>
      <c r="I791" s="266">
        <v>1710.0</v>
      </c>
      <c r="J791" s="266">
        <v>14.0</v>
      </c>
      <c r="K791" s="266">
        <v>160.0</v>
      </c>
      <c r="L791" s="266">
        <v>8.0</v>
      </c>
      <c r="M791" s="266">
        <v>1.0</v>
      </c>
      <c r="N791" s="266">
        <v>2.0</v>
      </c>
      <c r="O791" s="266">
        <v>2.0</v>
      </c>
      <c r="P791" s="266" t="s">
        <v>166</v>
      </c>
      <c r="Q791" s="266" t="s">
        <v>166</v>
      </c>
      <c r="R791" s="266" t="s">
        <v>166</v>
      </c>
      <c r="S791" s="266" t="s">
        <v>174</v>
      </c>
      <c r="T791" s="494"/>
    </row>
    <row r="792">
      <c r="A792" s="494" t="s">
        <v>3401</v>
      </c>
      <c r="B792" s="495" t="s">
        <v>3530</v>
      </c>
      <c r="C792" s="174" t="str">
        <f t="shared" si="160"/>
        <v>Asus</v>
      </c>
      <c r="D792" s="452" t="s">
        <v>3372</v>
      </c>
      <c r="E792" s="266">
        <v>270.0</v>
      </c>
      <c r="F792" s="266">
        <v>111.0</v>
      </c>
      <c r="G792" s="266">
        <v>58.0</v>
      </c>
      <c r="H792" s="266">
        <v>2.0</v>
      </c>
      <c r="I792" s="266">
        <v>1710.0</v>
      </c>
      <c r="J792" s="266">
        <v>14.0</v>
      </c>
      <c r="K792" s="266">
        <v>160.0</v>
      </c>
      <c r="L792" s="266">
        <v>8.0</v>
      </c>
      <c r="M792" s="266">
        <v>2.0</v>
      </c>
      <c r="N792" s="266">
        <v>2.0</v>
      </c>
      <c r="O792" s="266">
        <v>2.0</v>
      </c>
      <c r="P792" s="266" t="s">
        <v>166</v>
      </c>
      <c r="Q792" s="266">
        <v>1.0</v>
      </c>
      <c r="R792" s="497" t="s">
        <v>166</v>
      </c>
      <c r="S792" s="497" t="s">
        <v>166</v>
      </c>
      <c r="T792" s="496"/>
    </row>
    <row r="793">
      <c r="A793" s="494" t="s">
        <v>3401</v>
      </c>
      <c r="B793" s="495" t="s">
        <v>3530</v>
      </c>
      <c r="C793" s="174" t="str">
        <f t="shared" si="160"/>
        <v>Asus</v>
      </c>
      <c r="D793" s="452" t="s">
        <v>3909</v>
      </c>
      <c r="E793" s="266">
        <v>270.0</v>
      </c>
      <c r="F793" s="266">
        <v>111.0</v>
      </c>
      <c r="G793" s="266">
        <v>58.0</v>
      </c>
      <c r="H793" s="266">
        <v>2.0</v>
      </c>
      <c r="I793" s="266">
        <v>1725.0</v>
      </c>
      <c r="J793" s="266">
        <v>14.0</v>
      </c>
      <c r="K793" s="266">
        <v>160.0</v>
      </c>
      <c r="L793" s="266">
        <v>8.0</v>
      </c>
      <c r="M793" s="266">
        <v>2.0</v>
      </c>
      <c r="N793" s="266">
        <v>2.0</v>
      </c>
      <c r="O793" s="266">
        <v>2.0</v>
      </c>
      <c r="P793" s="266" t="s">
        <v>166</v>
      </c>
      <c r="Q793" s="266">
        <v>1.0</v>
      </c>
      <c r="R793" s="497" t="s">
        <v>166</v>
      </c>
      <c r="S793" s="497" t="s">
        <v>166</v>
      </c>
      <c r="T793" s="496"/>
    </row>
    <row r="794">
      <c r="A794" s="494" t="s">
        <v>3401</v>
      </c>
      <c r="B794" s="495" t="s">
        <v>3530</v>
      </c>
      <c r="C794" s="174" t="str">
        <f t="shared" si="160"/>
        <v>Asus</v>
      </c>
      <c r="D794" s="452" t="s">
        <v>3381</v>
      </c>
      <c r="E794" s="565">
        <v>270.0</v>
      </c>
      <c r="F794" s="566">
        <v>111.0</v>
      </c>
      <c r="G794" s="567">
        <v>58.0</v>
      </c>
      <c r="H794" s="266">
        <v>2.0</v>
      </c>
      <c r="I794" s="266">
        <v>1785.0</v>
      </c>
      <c r="J794" s="266">
        <v>14.0</v>
      </c>
      <c r="K794" s="266">
        <v>160.0</v>
      </c>
      <c r="L794" s="266">
        <v>8.0</v>
      </c>
      <c r="M794" s="266">
        <v>2.0</v>
      </c>
      <c r="N794" s="266">
        <v>2.0</v>
      </c>
      <c r="O794" s="266">
        <v>2.0</v>
      </c>
      <c r="P794" s="266" t="s">
        <v>166</v>
      </c>
      <c r="Q794" s="266">
        <v>1.0</v>
      </c>
      <c r="R794" s="497" t="s">
        <v>166</v>
      </c>
      <c r="S794" s="497" t="s">
        <v>166</v>
      </c>
      <c r="T794" s="496"/>
    </row>
    <row r="795">
      <c r="A795" s="494" t="s">
        <v>3401</v>
      </c>
      <c r="B795" s="495" t="s">
        <v>3530</v>
      </c>
      <c r="C795" s="174" t="str">
        <f t="shared" si="160"/>
        <v>Asus</v>
      </c>
      <c r="D795" s="452" t="s">
        <v>3629</v>
      </c>
      <c r="E795" s="266">
        <v>242.0</v>
      </c>
      <c r="F795" s="266">
        <v>130.0</v>
      </c>
      <c r="G795" s="266">
        <v>53.0</v>
      </c>
      <c r="H795" s="266">
        <v>2.0</v>
      </c>
      <c r="I795" s="266">
        <v>1710.0</v>
      </c>
      <c r="J795" s="266">
        <v>14.0</v>
      </c>
      <c r="K795" s="266">
        <v>160.0</v>
      </c>
      <c r="L795" s="266">
        <v>8.0</v>
      </c>
      <c r="M795" s="266">
        <v>2.0</v>
      </c>
      <c r="N795" s="266">
        <v>1.0</v>
      </c>
      <c r="O795" s="266">
        <v>2.0</v>
      </c>
      <c r="P795" s="266" t="s">
        <v>166</v>
      </c>
      <c r="Q795" s="266">
        <v>1.0</v>
      </c>
      <c r="R795" s="497" t="s">
        <v>166</v>
      </c>
      <c r="S795" s="497" t="s">
        <v>166</v>
      </c>
      <c r="T795" s="496"/>
    </row>
    <row r="796">
      <c r="A796" s="494" t="s">
        <v>3401</v>
      </c>
      <c r="B796" s="495" t="s">
        <v>3530</v>
      </c>
      <c r="C796" s="174" t="str">
        <f t="shared" si="160"/>
        <v>Asus</v>
      </c>
      <c r="D796" s="452" t="s">
        <v>3640</v>
      </c>
      <c r="E796" s="266">
        <v>242.0</v>
      </c>
      <c r="F796" s="266">
        <v>130.0</v>
      </c>
      <c r="G796" s="266">
        <v>53.0</v>
      </c>
      <c r="H796" s="266">
        <v>2.0</v>
      </c>
      <c r="I796" s="266">
        <v>1725.0</v>
      </c>
      <c r="J796" s="266">
        <v>14.0</v>
      </c>
      <c r="K796" s="266">
        <v>160.0</v>
      </c>
      <c r="L796" s="266">
        <v>8.0</v>
      </c>
      <c r="M796" s="266">
        <v>2.0</v>
      </c>
      <c r="N796" s="266">
        <v>1.0</v>
      </c>
      <c r="O796" s="266">
        <v>2.0</v>
      </c>
      <c r="P796" s="266" t="s">
        <v>166</v>
      </c>
      <c r="Q796" s="266">
        <v>1.0</v>
      </c>
      <c r="R796" s="497" t="s">
        <v>166</v>
      </c>
      <c r="S796" s="497" t="s">
        <v>166</v>
      </c>
      <c r="T796" s="496"/>
    </row>
    <row r="797">
      <c r="A797" s="494" t="s">
        <v>3401</v>
      </c>
      <c r="B797" s="495" t="s">
        <v>3530</v>
      </c>
      <c r="C797" s="174" t="str">
        <f t="shared" si="160"/>
        <v>Asus</v>
      </c>
      <c r="D797" s="452" t="s">
        <v>3659</v>
      </c>
      <c r="E797" s="550">
        <v>242.0</v>
      </c>
      <c r="F797" s="560">
        <v>130.0</v>
      </c>
      <c r="G797" s="561">
        <v>53.0</v>
      </c>
      <c r="H797" s="266">
        <v>2.0</v>
      </c>
      <c r="I797" s="266">
        <v>1785.0</v>
      </c>
      <c r="J797" s="266">
        <v>14.0</v>
      </c>
      <c r="K797" s="266">
        <v>160.0</v>
      </c>
      <c r="L797" s="266">
        <v>8.0</v>
      </c>
      <c r="M797" s="266">
        <v>2.0</v>
      </c>
      <c r="N797" s="266">
        <v>1.0</v>
      </c>
      <c r="O797" s="266">
        <v>2.0</v>
      </c>
      <c r="P797" s="266" t="s">
        <v>166</v>
      </c>
      <c r="Q797" s="266">
        <v>1.0</v>
      </c>
      <c r="R797" s="497" t="s">
        <v>166</v>
      </c>
      <c r="S797" s="497" t="s">
        <v>166</v>
      </c>
      <c r="T797" s="496"/>
    </row>
    <row r="798">
      <c r="A798" s="494" t="s">
        <v>3401</v>
      </c>
      <c r="B798" s="495" t="s">
        <v>3530</v>
      </c>
      <c r="C798" s="174" t="str">
        <f t="shared" si="160"/>
        <v>Asus</v>
      </c>
      <c r="D798" s="452" t="s">
        <v>3631</v>
      </c>
      <c r="E798" s="266">
        <v>300.0</v>
      </c>
      <c r="F798" s="518">
        <v>132.0</v>
      </c>
      <c r="G798" s="518">
        <v>50.0</v>
      </c>
      <c r="H798" s="266">
        <v>2.0</v>
      </c>
      <c r="I798" s="266">
        <v>1710.0</v>
      </c>
      <c r="J798" s="266">
        <v>14.0</v>
      </c>
      <c r="K798" s="266">
        <v>160.0</v>
      </c>
      <c r="L798" s="266" t="s">
        <v>3361</v>
      </c>
      <c r="M798" s="266">
        <v>3.0</v>
      </c>
      <c r="N798" s="266">
        <v>2.0</v>
      </c>
      <c r="O798" s="266">
        <v>2.0</v>
      </c>
      <c r="P798" s="266" t="s">
        <v>166</v>
      </c>
      <c r="Q798" s="266" t="s">
        <v>166</v>
      </c>
      <c r="R798" s="497" t="s">
        <v>166</v>
      </c>
      <c r="S798" s="497" t="s">
        <v>166</v>
      </c>
      <c r="T798" s="496"/>
    </row>
    <row r="799">
      <c r="A799" s="494" t="s">
        <v>3401</v>
      </c>
      <c r="B799" s="495" t="s">
        <v>3530</v>
      </c>
      <c r="C799" s="174" t="str">
        <f t="shared" si="160"/>
        <v>Asus</v>
      </c>
      <c r="D799" s="452" t="s">
        <v>3642</v>
      </c>
      <c r="E799" s="266">
        <v>300.0</v>
      </c>
      <c r="F799" s="518">
        <v>132.0</v>
      </c>
      <c r="G799" s="518">
        <v>50.0</v>
      </c>
      <c r="H799" s="266">
        <v>2.0</v>
      </c>
      <c r="I799" s="266">
        <v>1740.0</v>
      </c>
      <c r="J799" s="266">
        <v>14.0</v>
      </c>
      <c r="K799" s="266">
        <v>160.0</v>
      </c>
      <c r="L799" s="266" t="s">
        <v>3361</v>
      </c>
      <c r="M799" s="266">
        <v>3.0</v>
      </c>
      <c r="N799" s="266">
        <v>2.0</v>
      </c>
      <c r="O799" s="266">
        <v>2.0</v>
      </c>
      <c r="P799" s="266" t="s">
        <v>166</v>
      </c>
      <c r="Q799" s="266" t="s">
        <v>166</v>
      </c>
      <c r="R799" s="497" t="s">
        <v>166</v>
      </c>
      <c r="S799" s="497" t="s">
        <v>166</v>
      </c>
      <c r="T799" s="496"/>
    </row>
    <row r="800">
      <c r="A800" s="494" t="s">
        <v>3401</v>
      </c>
      <c r="B800" s="495" t="s">
        <v>3530</v>
      </c>
      <c r="C800" s="174" t="str">
        <f t="shared" si="160"/>
        <v>Asus</v>
      </c>
      <c r="D800" s="452" t="s">
        <v>3643</v>
      </c>
      <c r="E800" s="568">
        <v>300.0</v>
      </c>
      <c r="F800" s="557">
        <v>132.0</v>
      </c>
      <c r="G800" s="564">
        <v>50.0</v>
      </c>
      <c r="H800" s="266">
        <v>2.0</v>
      </c>
      <c r="I800" s="266">
        <v>1860.0</v>
      </c>
      <c r="J800" s="266">
        <v>14.0</v>
      </c>
      <c r="K800" s="266">
        <v>160.0</v>
      </c>
      <c r="L800" s="266" t="s">
        <v>3361</v>
      </c>
      <c r="M800" s="266">
        <v>3.0</v>
      </c>
      <c r="N800" s="266">
        <v>2.0</v>
      </c>
      <c r="O800" s="266">
        <v>2.0</v>
      </c>
      <c r="P800" s="266" t="s">
        <v>166</v>
      </c>
      <c r="Q800" s="266" t="s">
        <v>166</v>
      </c>
      <c r="R800" s="497" t="s">
        <v>166</v>
      </c>
      <c r="S800" s="497" t="s">
        <v>166</v>
      </c>
      <c r="T800" s="496"/>
    </row>
    <row r="801">
      <c r="A801" s="494" t="s">
        <v>3401</v>
      </c>
      <c r="B801" s="495" t="s">
        <v>3530</v>
      </c>
      <c r="C801" s="174" t="str">
        <f t="shared" si="160"/>
        <v>Asus</v>
      </c>
      <c r="D801" s="452" t="s">
        <v>3910</v>
      </c>
      <c r="E801" s="568">
        <v>300.0</v>
      </c>
      <c r="F801" s="557">
        <v>132.0</v>
      </c>
      <c r="G801" s="564">
        <v>50.0</v>
      </c>
      <c r="H801" s="266">
        <v>2.0</v>
      </c>
      <c r="I801" s="266">
        <v>1710.0</v>
      </c>
      <c r="J801" s="266">
        <v>14.0</v>
      </c>
      <c r="K801" s="266">
        <v>160.0</v>
      </c>
      <c r="L801" s="266" t="s">
        <v>3361</v>
      </c>
      <c r="M801" s="266">
        <v>3.0</v>
      </c>
      <c r="N801" s="266">
        <v>2.0</v>
      </c>
      <c r="O801" s="266">
        <v>2.0</v>
      </c>
      <c r="P801" s="266" t="s">
        <v>166</v>
      </c>
      <c r="Q801" s="266" t="s">
        <v>166</v>
      </c>
      <c r="R801" s="497" t="s">
        <v>166</v>
      </c>
      <c r="S801" s="497" t="s">
        <v>166</v>
      </c>
      <c r="T801" s="496"/>
    </row>
    <row r="802">
      <c r="A802" s="494" t="s">
        <v>3401</v>
      </c>
      <c r="B802" s="495" t="s">
        <v>3530</v>
      </c>
      <c r="C802" s="174" t="str">
        <f t="shared" si="160"/>
        <v>Asus</v>
      </c>
      <c r="D802" s="452" t="s">
        <v>3911</v>
      </c>
      <c r="E802" s="569">
        <v>300.5</v>
      </c>
      <c r="F802" s="570">
        <v>130.6</v>
      </c>
      <c r="G802" s="571">
        <v>48.9</v>
      </c>
      <c r="H802" s="266">
        <v>2.0</v>
      </c>
      <c r="I802" s="266">
        <v>1710.0</v>
      </c>
      <c r="J802" s="266">
        <v>14.0</v>
      </c>
      <c r="K802" s="266">
        <v>160.0</v>
      </c>
      <c r="L802" s="266">
        <v>8.0</v>
      </c>
      <c r="M802" s="266">
        <v>3.0</v>
      </c>
      <c r="N802" s="266">
        <v>2.0</v>
      </c>
      <c r="O802" s="266">
        <v>2.0</v>
      </c>
      <c r="P802" s="266" t="s">
        <v>166</v>
      </c>
      <c r="Q802" s="266" t="s">
        <v>166</v>
      </c>
      <c r="R802" s="497" t="s">
        <v>166</v>
      </c>
      <c r="S802" s="497" t="s">
        <v>166</v>
      </c>
      <c r="T802" s="496"/>
    </row>
    <row r="803">
      <c r="A803" s="494" t="s">
        <v>3401</v>
      </c>
      <c r="B803" s="495" t="s">
        <v>3530</v>
      </c>
      <c r="C803" s="174" t="str">
        <f t="shared" si="160"/>
        <v>Asus</v>
      </c>
      <c r="D803" s="452" t="s">
        <v>3912</v>
      </c>
      <c r="E803" s="568">
        <v>300.0</v>
      </c>
      <c r="F803" s="557">
        <v>132.0</v>
      </c>
      <c r="G803" s="564">
        <v>50.0</v>
      </c>
      <c r="H803" s="266">
        <v>2.0</v>
      </c>
      <c r="I803" s="266">
        <v>1740.0</v>
      </c>
      <c r="J803" s="266">
        <v>14.0</v>
      </c>
      <c r="K803" s="266">
        <v>160.0</v>
      </c>
      <c r="L803" s="266" t="s">
        <v>3361</v>
      </c>
      <c r="M803" s="266">
        <v>3.0</v>
      </c>
      <c r="N803" s="266">
        <v>2.0</v>
      </c>
      <c r="O803" s="266">
        <v>2.0</v>
      </c>
      <c r="P803" s="266" t="s">
        <v>166</v>
      </c>
      <c r="Q803" s="266" t="s">
        <v>166</v>
      </c>
      <c r="R803" s="497" t="s">
        <v>166</v>
      </c>
      <c r="S803" s="497" t="s">
        <v>166</v>
      </c>
      <c r="T803" s="496"/>
    </row>
    <row r="804">
      <c r="A804" s="494" t="s">
        <v>3401</v>
      </c>
      <c r="B804" s="495" t="s">
        <v>3530</v>
      </c>
      <c r="C804" s="174" t="str">
        <f t="shared" si="160"/>
        <v>Asus</v>
      </c>
      <c r="D804" s="452" t="s">
        <v>3913</v>
      </c>
      <c r="E804" s="568">
        <v>300.0</v>
      </c>
      <c r="F804" s="557">
        <v>132.0</v>
      </c>
      <c r="G804" s="564">
        <v>50.0</v>
      </c>
      <c r="H804" s="266">
        <v>2.0</v>
      </c>
      <c r="I804" s="266">
        <v>1860.0</v>
      </c>
      <c r="J804" s="266">
        <v>14.0</v>
      </c>
      <c r="K804" s="266">
        <v>160.0</v>
      </c>
      <c r="L804" s="266" t="s">
        <v>3361</v>
      </c>
      <c r="M804" s="266">
        <v>3.0</v>
      </c>
      <c r="N804" s="266">
        <v>2.0</v>
      </c>
      <c r="O804" s="266">
        <v>2.0</v>
      </c>
      <c r="P804" s="266" t="s">
        <v>166</v>
      </c>
      <c r="Q804" s="266" t="s">
        <v>166</v>
      </c>
      <c r="R804" s="497" t="s">
        <v>166</v>
      </c>
      <c r="S804" s="497" t="s">
        <v>166</v>
      </c>
      <c r="T804" s="496"/>
    </row>
    <row r="805">
      <c r="A805" s="494" t="s">
        <v>3401</v>
      </c>
      <c r="B805" s="495" t="s">
        <v>3530</v>
      </c>
      <c r="C805" s="452" t="s">
        <v>3575</v>
      </c>
      <c r="D805" s="452" t="s">
        <v>3887</v>
      </c>
      <c r="E805" s="266">
        <v>267.0</v>
      </c>
      <c r="F805" s="266">
        <v>111.0</v>
      </c>
      <c r="G805" s="266">
        <v>42.0</v>
      </c>
      <c r="H805" s="266">
        <v>2.0</v>
      </c>
      <c r="I805" s="266">
        <v>1680.0</v>
      </c>
      <c r="J805" s="266">
        <v>14.0</v>
      </c>
      <c r="K805" s="266">
        <v>160.0</v>
      </c>
      <c r="L805" s="266">
        <v>8.0</v>
      </c>
      <c r="M805" s="266">
        <v>2.0</v>
      </c>
      <c r="N805" s="266">
        <v>2.0</v>
      </c>
      <c r="O805" s="266">
        <v>1.0</v>
      </c>
      <c r="P805" s="266" t="s">
        <v>166</v>
      </c>
      <c r="Q805" s="266">
        <v>1.0</v>
      </c>
      <c r="R805" s="497" t="s">
        <v>166</v>
      </c>
      <c r="S805" s="497" t="s">
        <v>166</v>
      </c>
      <c r="T805" s="496"/>
    </row>
    <row r="806">
      <c r="A806" s="494" t="s">
        <v>3401</v>
      </c>
      <c r="B806" s="495" t="s">
        <v>3530</v>
      </c>
      <c r="C806" s="452" t="s">
        <v>3575</v>
      </c>
      <c r="D806" s="452" t="s">
        <v>3914</v>
      </c>
      <c r="E806" s="266">
        <v>222.0</v>
      </c>
      <c r="F806" s="266">
        <v>126.0</v>
      </c>
      <c r="G806" s="266">
        <v>42.0</v>
      </c>
      <c r="H806" s="266">
        <v>2.0</v>
      </c>
      <c r="I806" s="266">
        <v>1680.0</v>
      </c>
      <c r="J806" s="266">
        <v>14.0</v>
      </c>
      <c r="K806" s="266">
        <v>160.0</v>
      </c>
      <c r="L806" s="266">
        <v>8.0</v>
      </c>
      <c r="M806" s="266">
        <v>2.0</v>
      </c>
      <c r="N806" s="266">
        <v>1.0</v>
      </c>
      <c r="O806" s="266">
        <v>1.0</v>
      </c>
      <c r="P806" s="266" t="s">
        <v>166</v>
      </c>
      <c r="Q806" s="266">
        <v>1.0</v>
      </c>
      <c r="R806" s="497" t="s">
        <v>166</v>
      </c>
      <c r="S806" s="497" t="s">
        <v>166</v>
      </c>
      <c r="T806" s="496"/>
    </row>
    <row r="807">
      <c r="A807" s="494" t="s">
        <v>3401</v>
      </c>
      <c r="B807" s="495" t="s">
        <v>3530</v>
      </c>
      <c r="C807" s="452" t="s">
        <v>3575</v>
      </c>
      <c r="D807" s="452" t="s">
        <v>3907</v>
      </c>
      <c r="E807" s="266">
        <v>222.0</v>
      </c>
      <c r="F807" s="266">
        <v>126.0</v>
      </c>
      <c r="G807" s="266">
        <v>42.0</v>
      </c>
      <c r="H807" s="266">
        <v>2.0</v>
      </c>
      <c r="I807" s="266">
        <v>1680.0</v>
      </c>
      <c r="J807" s="266">
        <v>14.0</v>
      </c>
      <c r="K807" s="266">
        <v>160.0</v>
      </c>
      <c r="L807" s="266">
        <v>8.0</v>
      </c>
      <c r="M807" s="266">
        <v>2.0</v>
      </c>
      <c r="N807" s="266">
        <v>1.0</v>
      </c>
      <c r="O807" s="266">
        <v>1.0</v>
      </c>
      <c r="P807" s="266" t="s">
        <v>166</v>
      </c>
      <c r="Q807" s="266">
        <v>1.0</v>
      </c>
      <c r="R807" s="497" t="s">
        <v>166</v>
      </c>
      <c r="S807" s="497" t="s">
        <v>166</v>
      </c>
      <c r="T807" s="496"/>
    </row>
    <row r="808">
      <c r="A808" s="494" t="s">
        <v>3401</v>
      </c>
      <c r="B808" s="495" t="s">
        <v>3530</v>
      </c>
      <c r="C808" s="452" t="s">
        <v>3575</v>
      </c>
      <c r="D808" s="452" t="s">
        <v>3873</v>
      </c>
      <c r="E808" s="266">
        <v>310.0</v>
      </c>
      <c r="F808" s="266">
        <v>126.0</v>
      </c>
      <c r="G808" s="266">
        <v>42.0</v>
      </c>
      <c r="H808" s="266">
        <v>2.0</v>
      </c>
      <c r="I808" s="266">
        <v>1710.0</v>
      </c>
      <c r="J808" s="266">
        <v>14.0</v>
      </c>
      <c r="K808" s="266">
        <v>160.0</v>
      </c>
      <c r="L808" s="266">
        <v>8.0</v>
      </c>
      <c r="M808" s="266">
        <v>3.0</v>
      </c>
      <c r="N808" s="266">
        <v>1.0</v>
      </c>
      <c r="O808" s="266">
        <v>1.0</v>
      </c>
      <c r="P808" s="266" t="s">
        <v>166</v>
      </c>
      <c r="Q808" s="266">
        <v>1.0</v>
      </c>
      <c r="R808" s="497" t="s">
        <v>166</v>
      </c>
      <c r="S808" s="497" t="s">
        <v>166</v>
      </c>
      <c r="T808" s="496"/>
    </row>
    <row r="809">
      <c r="A809" s="494" t="s">
        <v>3401</v>
      </c>
      <c r="B809" s="495" t="s">
        <v>3530</v>
      </c>
      <c r="C809" s="452" t="s">
        <v>3575</v>
      </c>
      <c r="D809" s="452" t="s">
        <v>3878</v>
      </c>
      <c r="E809" s="266">
        <v>315.0</v>
      </c>
      <c r="F809" s="266">
        <v>147.0</v>
      </c>
      <c r="G809" s="266">
        <v>52.0</v>
      </c>
      <c r="H809" s="266">
        <v>2.0</v>
      </c>
      <c r="I809" s="266">
        <v>1755.0</v>
      </c>
      <c r="J809" s="266">
        <v>14.0</v>
      </c>
      <c r="K809" s="266">
        <v>160.0</v>
      </c>
      <c r="L809" s="266" t="s">
        <v>3460</v>
      </c>
      <c r="M809" s="266">
        <v>3.0</v>
      </c>
      <c r="N809" s="266">
        <v>3.0</v>
      </c>
      <c r="O809" s="266">
        <v>1.0</v>
      </c>
      <c r="P809" s="266">
        <v>1.0</v>
      </c>
      <c r="Q809" s="266" t="s">
        <v>166</v>
      </c>
      <c r="R809" s="497" t="s">
        <v>166</v>
      </c>
      <c r="S809" s="497" t="s">
        <v>166</v>
      </c>
      <c r="T809" s="496"/>
    </row>
    <row r="810">
      <c r="A810" s="494" t="s">
        <v>3401</v>
      </c>
      <c r="B810" s="495" t="s">
        <v>3530</v>
      </c>
      <c r="C810" s="452" t="s">
        <v>3575</v>
      </c>
      <c r="D810" s="452" t="s">
        <v>3889</v>
      </c>
      <c r="E810" s="266">
        <v>315.0</v>
      </c>
      <c r="F810" s="266">
        <v>136.0</v>
      </c>
      <c r="G810" s="266">
        <v>46.0</v>
      </c>
      <c r="H810" s="266">
        <v>2.0</v>
      </c>
      <c r="I810" s="266">
        <v>1755.0</v>
      </c>
      <c r="J810" s="266">
        <v>14.0</v>
      </c>
      <c r="K810" s="266">
        <v>160.0</v>
      </c>
      <c r="L810" s="266" t="s">
        <v>3460</v>
      </c>
      <c r="M810" s="266">
        <v>3.0</v>
      </c>
      <c r="N810" s="266">
        <v>3.0</v>
      </c>
      <c r="O810" s="266">
        <v>1.0</v>
      </c>
      <c r="P810" s="266">
        <v>1.0</v>
      </c>
      <c r="Q810" s="266" t="s">
        <v>166</v>
      </c>
      <c r="R810" s="497" t="s">
        <v>166</v>
      </c>
      <c r="S810" s="497" t="s">
        <v>166</v>
      </c>
      <c r="T810" s="496"/>
    </row>
    <row r="811">
      <c r="A811" s="494" t="s">
        <v>3401</v>
      </c>
      <c r="B811" s="495" t="s">
        <v>3530</v>
      </c>
      <c r="C811" s="174" t="s">
        <v>3405</v>
      </c>
      <c r="D811" s="452" t="s">
        <v>3481</v>
      </c>
      <c r="E811" s="266">
        <v>240.0</v>
      </c>
      <c r="F811" s="266">
        <v>111.0</v>
      </c>
      <c r="G811" s="266">
        <v>42.0</v>
      </c>
      <c r="H811" s="266">
        <v>2.0</v>
      </c>
      <c r="I811" s="266">
        <v>1680.0</v>
      </c>
      <c r="J811" s="266">
        <v>14.0</v>
      </c>
      <c r="K811" s="266">
        <v>160.0</v>
      </c>
      <c r="L811" s="266">
        <v>8.0</v>
      </c>
      <c r="M811" s="266">
        <v>2.0</v>
      </c>
      <c r="N811" s="266">
        <v>1.0</v>
      </c>
      <c r="O811" s="266">
        <v>1.0</v>
      </c>
      <c r="P811" s="266" t="s">
        <v>166</v>
      </c>
      <c r="Q811" s="266">
        <v>1.0</v>
      </c>
      <c r="R811" s="497" t="s">
        <v>166</v>
      </c>
      <c r="S811" s="497" t="s">
        <v>166</v>
      </c>
      <c r="T811" s="496"/>
    </row>
    <row r="812">
      <c r="A812" s="494" t="s">
        <v>3401</v>
      </c>
      <c r="B812" s="495" t="s">
        <v>3530</v>
      </c>
      <c r="C812" s="174" t="s">
        <v>3405</v>
      </c>
      <c r="D812" s="452" t="s">
        <v>3482</v>
      </c>
      <c r="E812" s="266">
        <v>235.0</v>
      </c>
      <c r="F812" s="266">
        <v>116.0</v>
      </c>
      <c r="G812" s="266">
        <v>40.0</v>
      </c>
      <c r="H812" s="266">
        <v>2.0</v>
      </c>
      <c r="I812" s="266">
        <v>1680.0</v>
      </c>
      <c r="J812" s="266">
        <v>14.0</v>
      </c>
      <c r="K812" s="266">
        <v>160.0</v>
      </c>
      <c r="L812" s="266">
        <v>8.0</v>
      </c>
      <c r="M812" s="266">
        <v>2.0</v>
      </c>
      <c r="N812" s="266">
        <v>1.0</v>
      </c>
      <c r="O812" s="266">
        <v>1.0</v>
      </c>
      <c r="P812" s="266" t="s">
        <v>166</v>
      </c>
      <c r="Q812" s="266">
        <v>1.0</v>
      </c>
      <c r="R812" s="497" t="s">
        <v>166</v>
      </c>
      <c r="S812" s="497" t="s">
        <v>166</v>
      </c>
      <c r="T812" s="496"/>
    </row>
    <row r="813">
      <c r="A813" s="494" t="s">
        <v>3401</v>
      </c>
      <c r="B813" s="495" t="s">
        <v>3530</v>
      </c>
      <c r="C813" s="174" t="s">
        <v>3405</v>
      </c>
      <c r="D813" s="452" t="s">
        <v>3915</v>
      </c>
      <c r="E813" s="266">
        <v>235.0</v>
      </c>
      <c r="F813" s="266">
        <v>112.0</v>
      </c>
      <c r="G813" s="266">
        <v>40.0</v>
      </c>
      <c r="H813" s="266">
        <v>2.0</v>
      </c>
      <c r="I813" s="266">
        <v>1680.0</v>
      </c>
      <c r="J813" s="266">
        <v>14.0</v>
      </c>
      <c r="K813" s="266">
        <v>160.0</v>
      </c>
      <c r="L813" s="266">
        <v>8.0</v>
      </c>
      <c r="M813" s="266">
        <v>2.0</v>
      </c>
      <c r="N813" s="266">
        <v>1.0</v>
      </c>
      <c r="O813" s="266">
        <v>1.0</v>
      </c>
      <c r="P813" s="266" t="s">
        <v>166</v>
      </c>
      <c r="Q813" s="266">
        <v>1.0</v>
      </c>
      <c r="R813" s="497" t="s">
        <v>166</v>
      </c>
      <c r="S813" s="497" t="s">
        <v>166</v>
      </c>
      <c r="T813" s="496"/>
    </row>
    <row r="814">
      <c r="A814" s="494" t="s">
        <v>3401</v>
      </c>
      <c r="B814" s="495" t="s">
        <v>3530</v>
      </c>
      <c r="C814" s="174" t="s">
        <v>3405</v>
      </c>
      <c r="D814" s="452" t="s">
        <v>3902</v>
      </c>
      <c r="E814" s="266">
        <v>235.0</v>
      </c>
      <c r="F814" s="266">
        <v>112.0</v>
      </c>
      <c r="G814" s="266">
        <v>40.0</v>
      </c>
      <c r="H814" s="266">
        <v>2.0</v>
      </c>
      <c r="I814" s="266">
        <v>1680.0</v>
      </c>
      <c r="J814" s="266">
        <v>14.0</v>
      </c>
      <c r="K814" s="266">
        <v>160.0</v>
      </c>
      <c r="L814" s="266">
        <v>8.0</v>
      </c>
      <c r="M814" s="266">
        <v>2.0</v>
      </c>
      <c r="N814" s="266">
        <v>1.0</v>
      </c>
      <c r="O814" s="266">
        <v>1.0</v>
      </c>
      <c r="P814" s="266" t="s">
        <v>166</v>
      </c>
      <c r="Q814" s="266">
        <v>1.0</v>
      </c>
      <c r="R814" s="497" t="s">
        <v>166</v>
      </c>
      <c r="S814" s="497" t="s">
        <v>166</v>
      </c>
      <c r="T814" s="496"/>
    </row>
    <row r="815">
      <c r="A815" s="494" t="s">
        <v>3401</v>
      </c>
      <c r="B815" s="495" t="s">
        <v>3530</v>
      </c>
      <c r="C815" s="174" t="s">
        <v>3405</v>
      </c>
      <c r="D815" s="452" t="s">
        <v>3916</v>
      </c>
      <c r="E815" s="266">
        <v>235.0</v>
      </c>
      <c r="F815" s="266">
        <v>112.0</v>
      </c>
      <c r="G815" s="266">
        <v>40.0</v>
      </c>
      <c r="H815" s="266">
        <v>2.0</v>
      </c>
      <c r="I815" s="266">
        <v>1830.0</v>
      </c>
      <c r="J815" s="266">
        <v>14.0</v>
      </c>
      <c r="K815" s="266">
        <v>160.0</v>
      </c>
      <c r="L815" s="266">
        <v>8.0</v>
      </c>
      <c r="M815" s="266">
        <v>2.0</v>
      </c>
      <c r="N815" s="266">
        <v>1.0</v>
      </c>
      <c r="O815" s="266">
        <v>1.0</v>
      </c>
      <c r="P815" s="266" t="s">
        <v>166</v>
      </c>
      <c r="Q815" s="266">
        <v>1.0</v>
      </c>
      <c r="R815" s="497" t="s">
        <v>166</v>
      </c>
      <c r="S815" s="497" t="s">
        <v>166</v>
      </c>
      <c r="T815" s="496"/>
    </row>
    <row r="816">
      <c r="A816" s="494" t="s">
        <v>3401</v>
      </c>
      <c r="B816" s="495" t="s">
        <v>3530</v>
      </c>
      <c r="C816" s="174" t="s">
        <v>3405</v>
      </c>
      <c r="D816" s="452" t="s">
        <v>3891</v>
      </c>
      <c r="E816" s="266">
        <v>235.0</v>
      </c>
      <c r="F816" s="266">
        <v>112.0</v>
      </c>
      <c r="G816" s="266">
        <v>40.0</v>
      </c>
      <c r="H816" s="266">
        <v>2.0</v>
      </c>
      <c r="I816" s="266">
        <v>1725.0</v>
      </c>
      <c r="J816" s="266">
        <v>14.0</v>
      </c>
      <c r="K816" s="266">
        <v>160.0</v>
      </c>
      <c r="L816" s="266">
        <v>8.0</v>
      </c>
      <c r="M816" s="266">
        <v>2.0</v>
      </c>
      <c r="N816" s="266">
        <v>1.0</v>
      </c>
      <c r="O816" s="266">
        <v>1.0</v>
      </c>
      <c r="P816" s="266" t="s">
        <v>166</v>
      </c>
      <c r="Q816" s="266">
        <v>1.0</v>
      </c>
      <c r="R816" s="497" t="s">
        <v>166</v>
      </c>
      <c r="S816" s="497" t="s">
        <v>166</v>
      </c>
      <c r="T816" s="496"/>
    </row>
    <row r="817">
      <c r="A817" s="494" t="s">
        <v>3401</v>
      </c>
      <c r="B817" s="495" t="s">
        <v>3530</v>
      </c>
      <c r="C817" s="174" t="s">
        <v>3405</v>
      </c>
      <c r="D817" s="452" t="s">
        <v>3892</v>
      </c>
      <c r="E817" s="266">
        <v>235.0</v>
      </c>
      <c r="F817" s="266">
        <v>112.0</v>
      </c>
      <c r="G817" s="266">
        <v>40.0</v>
      </c>
      <c r="H817" s="266">
        <v>2.0</v>
      </c>
      <c r="I817" s="266">
        <v>1680.0</v>
      </c>
      <c r="J817" s="266">
        <v>14.0</v>
      </c>
      <c r="K817" s="266">
        <v>160.0</v>
      </c>
      <c r="L817" s="266">
        <v>8.0</v>
      </c>
      <c r="M817" s="266">
        <v>2.0</v>
      </c>
      <c r="N817" s="266">
        <v>1.0</v>
      </c>
      <c r="O817" s="266">
        <v>1.0</v>
      </c>
      <c r="P817" s="266" t="s">
        <v>166</v>
      </c>
      <c r="Q817" s="266">
        <v>1.0</v>
      </c>
      <c r="R817" s="497" t="s">
        <v>166</v>
      </c>
      <c r="S817" s="497" t="s">
        <v>166</v>
      </c>
      <c r="T817" s="496"/>
    </row>
    <row r="818">
      <c r="A818" s="494" t="s">
        <v>3401</v>
      </c>
      <c r="B818" s="495" t="s">
        <v>3530</v>
      </c>
      <c r="C818" s="174" t="s">
        <v>3405</v>
      </c>
      <c r="D818" s="452" t="s">
        <v>3893</v>
      </c>
      <c r="E818" s="266">
        <v>235.0</v>
      </c>
      <c r="F818" s="266">
        <v>112.0</v>
      </c>
      <c r="G818" s="266">
        <v>40.0</v>
      </c>
      <c r="H818" s="266">
        <v>2.0</v>
      </c>
      <c r="I818" s="266">
        <v>1830.0</v>
      </c>
      <c r="J818" s="266">
        <v>14.0</v>
      </c>
      <c r="K818" s="266">
        <v>160.0</v>
      </c>
      <c r="L818" s="266">
        <v>8.0</v>
      </c>
      <c r="M818" s="266">
        <v>2.0</v>
      </c>
      <c r="N818" s="266">
        <v>1.0</v>
      </c>
      <c r="O818" s="266">
        <v>1.0</v>
      </c>
      <c r="P818" s="266" t="s">
        <v>166</v>
      </c>
      <c r="Q818" s="266">
        <v>1.0</v>
      </c>
      <c r="R818" s="497" t="s">
        <v>166</v>
      </c>
      <c r="S818" s="497" t="s">
        <v>166</v>
      </c>
      <c r="T818" s="496"/>
    </row>
    <row r="819">
      <c r="A819" s="494" t="s">
        <v>3401</v>
      </c>
      <c r="B819" s="495" t="s">
        <v>3530</v>
      </c>
      <c r="C819" s="174" t="str">
        <f t="shared" ref="C819:C822" si="161">HYPERLINK("https://www.evga.com/","EVGA")</f>
        <v>EVGA</v>
      </c>
      <c r="D819" s="452" t="s">
        <v>3486</v>
      </c>
      <c r="E819" s="266">
        <v>267.97</v>
      </c>
      <c r="F819" s="266">
        <v>111.15</v>
      </c>
      <c r="G819" s="266">
        <v>40.0</v>
      </c>
      <c r="H819" s="266">
        <v>2.0</v>
      </c>
      <c r="I819" s="266">
        <v>1680.0</v>
      </c>
      <c r="J819" s="266">
        <v>14.0</v>
      </c>
      <c r="K819" s="266">
        <v>160.0</v>
      </c>
      <c r="L819" s="266">
        <v>8.0</v>
      </c>
      <c r="M819" s="266">
        <v>2.0</v>
      </c>
      <c r="N819" s="266">
        <v>1.0</v>
      </c>
      <c r="O819" s="266">
        <v>1.0</v>
      </c>
      <c r="P819" s="266" t="s">
        <v>166</v>
      </c>
      <c r="Q819" s="266">
        <v>1.0</v>
      </c>
      <c r="R819" s="497" t="s">
        <v>166</v>
      </c>
      <c r="S819" s="497" t="s">
        <v>166</v>
      </c>
      <c r="T819" s="496"/>
    </row>
    <row r="820">
      <c r="A820" s="494" t="s">
        <v>3401</v>
      </c>
      <c r="B820" s="495" t="s">
        <v>3530</v>
      </c>
      <c r="C820" s="174" t="str">
        <f t="shared" si="161"/>
        <v>EVGA</v>
      </c>
      <c r="D820" s="452" t="s">
        <v>3487</v>
      </c>
      <c r="E820" s="266">
        <v>267.97</v>
      </c>
      <c r="F820" s="266">
        <v>111.15</v>
      </c>
      <c r="G820" s="266">
        <v>40.0</v>
      </c>
      <c r="H820" s="266">
        <v>2.0</v>
      </c>
      <c r="I820" s="266">
        <v>1755.0</v>
      </c>
      <c r="J820" s="266">
        <v>14.0</v>
      </c>
      <c r="K820" s="266">
        <v>160.0</v>
      </c>
      <c r="L820" s="266">
        <v>8.0</v>
      </c>
      <c r="M820" s="266">
        <v>2.0</v>
      </c>
      <c r="N820" s="266">
        <v>1.0</v>
      </c>
      <c r="O820" s="266">
        <v>1.0</v>
      </c>
      <c r="P820" s="266" t="s">
        <v>166</v>
      </c>
      <c r="Q820" s="266">
        <v>1.0</v>
      </c>
      <c r="R820" s="497" t="s">
        <v>166</v>
      </c>
      <c r="S820" s="497" t="s">
        <v>166</v>
      </c>
      <c r="T820" s="496"/>
    </row>
    <row r="821">
      <c r="A821" s="494" t="s">
        <v>3401</v>
      </c>
      <c r="B821" s="495" t="s">
        <v>3530</v>
      </c>
      <c r="C821" s="174" t="str">
        <f t="shared" si="161"/>
        <v>EVGA</v>
      </c>
      <c r="D821" s="452" t="s">
        <v>3894</v>
      </c>
      <c r="E821" s="266">
        <v>267.97</v>
      </c>
      <c r="F821" s="266">
        <v>111.15</v>
      </c>
      <c r="G821" s="266">
        <v>40.0</v>
      </c>
      <c r="H821" s="266">
        <v>2.0</v>
      </c>
      <c r="I821" s="266">
        <v>1680.0</v>
      </c>
      <c r="J821" s="266">
        <v>14.0</v>
      </c>
      <c r="K821" s="266">
        <v>160.0</v>
      </c>
      <c r="L821" s="266">
        <v>8.0</v>
      </c>
      <c r="M821" s="266">
        <v>2.0</v>
      </c>
      <c r="N821" s="266">
        <v>2.0</v>
      </c>
      <c r="O821" s="266">
        <v>1.0</v>
      </c>
      <c r="P821" s="266" t="s">
        <v>166</v>
      </c>
      <c r="Q821" s="266">
        <v>1.0</v>
      </c>
      <c r="R821" s="497" t="s">
        <v>166</v>
      </c>
      <c r="S821" s="497" t="s">
        <v>166</v>
      </c>
      <c r="T821" s="496"/>
    </row>
    <row r="822">
      <c r="A822" s="494" t="s">
        <v>3401</v>
      </c>
      <c r="B822" s="495" t="s">
        <v>3530</v>
      </c>
      <c r="C822" s="174" t="str">
        <f t="shared" si="161"/>
        <v>EVGA</v>
      </c>
      <c r="D822" s="452" t="s">
        <v>3895</v>
      </c>
      <c r="E822" s="266">
        <v>267.97</v>
      </c>
      <c r="F822" s="266">
        <v>111.15</v>
      </c>
      <c r="G822" s="266">
        <v>40.0</v>
      </c>
      <c r="H822" s="266">
        <v>2.0</v>
      </c>
      <c r="I822" s="266">
        <v>1830.0</v>
      </c>
      <c r="J822" s="266">
        <v>14.0</v>
      </c>
      <c r="K822" s="266">
        <v>160.0</v>
      </c>
      <c r="L822" s="266">
        <v>8.0</v>
      </c>
      <c r="M822" s="266">
        <v>2.0</v>
      </c>
      <c r="N822" s="266">
        <v>2.0</v>
      </c>
      <c r="O822" s="266">
        <v>1.0</v>
      </c>
      <c r="P822" s="266" t="s">
        <v>166</v>
      </c>
      <c r="Q822" s="266">
        <v>1.0</v>
      </c>
      <c r="R822" s="497" t="s">
        <v>166</v>
      </c>
      <c r="S822" s="497" t="s">
        <v>166</v>
      </c>
      <c r="T822" s="496"/>
    </row>
    <row r="823">
      <c r="A823" s="494" t="s">
        <v>3401</v>
      </c>
      <c r="B823" s="495" t="s">
        <v>3530</v>
      </c>
      <c r="C823" s="452" t="str">
        <f t="shared" ref="C823:C826" si="162">HYPERLINK("http://www.gainward.com/main/index.php?lang=en","Gainward")</f>
        <v>Gainward</v>
      </c>
      <c r="D823" s="452" t="str">
        <f>HYPERLINK("http://www.gainward.com/main/vgapro.php?id=1043&amp;lang=en","Ghost")</f>
        <v>Ghost</v>
      </c>
      <c r="E823" s="266">
        <v>235.0</v>
      </c>
      <c r="F823" s="266">
        <v>115.0</v>
      </c>
      <c r="G823" s="266">
        <v>40.0</v>
      </c>
      <c r="H823" s="266">
        <v>2.0</v>
      </c>
      <c r="I823" s="266">
        <v>1680.0</v>
      </c>
      <c r="J823" s="266">
        <v>14.0</v>
      </c>
      <c r="K823" s="266">
        <v>160.0</v>
      </c>
      <c r="L823" s="266">
        <v>8.0</v>
      </c>
      <c r="M823" s="266">
        <v>2.0</v>
      </c>
      <c r="N823" s="266">
        <v>1.0</v>
      </c>
      <c r="O823" s="266">
        <v>1.0</v>
      </c>
      <c r="P823" s="266" t="s">
        <v>166</v>
      </c>
      <c r="Q823" s="266">
        <v>1.0</v>
      </c>
      <c r="R823" s="497" t="s">
        <v>166</v>
      </c>
      <c r="S823" s="497" t="s">
        <v>166</v>
      </c>
      <c r="T823" s="496"/>
    </row>
    <row r="824">
      <c r="A824" s="494" t="s">
        <v>3401</v>
      </c>
      <c r="B824" s="495" t="s">
        <v>3530</v>
      </c>
      <c r="C824" s="452" t="str">
        <f t="shared" si="162"/>
        <v>Gainward</v>
      </c>
      <c r="D824" s="452" t="str">
        <f>HYPERLINK("http://www.gainward.com/main/vgapro.php?id=1042&amp;lang=en","Ghost OC")</f>
        <v>Ghost OC</v>
      </c>
      <c r="E824" s="266">
        <v>235.0</v>
      </c>
      <c r="F824" s="266">
        <v>115.0</v>
      </c>
      <c r="G824" s="266">
        <v>40.0</v>
      </c>
      <c r="H824" s="266">
        <v>2.0</v>
      </c>
      <c r="I824" s="266">
        <v>1725.0</v>
      </c>
      <c r="J824" s="266">
        <v>14.0</v>
      </c>
      <c r="K824" s="266">
        <v>160.0</v>
      </c>
      <c r="L824" s="266">
        <v>8.0</v>
      </c>
      <c r="M824" s="266">
        <v>2.0</v>
      </c>
      <c r="N824" s="266">
        <v>1.0</v>
      </c>
      <c r="O824" s="266">
        <v>1.0</v>
      </c>
      <c r="P824" s="266" t="s">
        <v>166</v>
      </c>
      <c r="Q824" s="266">
        <v>1.0</v>
      </c>
      <c r="R824" s="497" t="s">
        <v>166</v>
      </c>
      <c r="S824" s="497" t="s">
        <v>166</v>
      </c>
      <c r="T824" s="496"/>
    </row>
    <row r="825">
      <c r="A825" s="494" t="s">
        <v>3401</v>
      </c>
      <c r="B825" s="495" t="s">
        <v>3530</v>
      </c>
      <c r="C825" s="452" t="str">
        <f t="shared" si="162"/>
        <v>Gainward</v>
      </c>
      <c r="D825" s="452" t="str">
        <f>HYPERLINK("http://www.gainward.com/main/vgapro.php?id=1034&amp;lang=en","Phoenix")</f>
        <v>Phoenix</v>
      </c>
      <c r="E825" s="266">
        <v>235.0</v>
      </c>
      <c r="F825" s="266">
        <v>112.0</v>
      </c>
      <c r="G825" s="266">
        <v>40.0</v>
      </c>
      <c r="H825" s="266">
        <v>2.0</v>
      </c>
      <c r="I825" s="266">
        <v>1680.0</v>
      </c>
      <c r="J825" s="266">
        <v>14.0</v>
      </c>
      <c r="K825" s="266">
        <v>160.0</v>
      </c>
      <c r="L825" s="266">
        <v>8.0</v>
      </c>
      <c r="M825" s="266">
        <v>2.0</v>
      </c>
      <c r="N825" s="266">
        <v>1.0</v>
      </c>
      <c r="O825" s="266">
        <v>1.0</v>
      </c>
      <c r="P825" s="266" t="s">
        <v>166</v>
      </c>
      <c r="Q825" s="266">
        <v>1.0</v>
      </c>
      <c r="R825" s="497" t="s">
        <v>166</v>
      </c>
      <c r="S825" s="497" t="s">
        <v>166</v>
      </c>
      <c r="T825" s="496"/>
    </row>
    <row r="826">
      <c r="A826" s="494" t="s">
        <v>3401</v>
      </c>
      <c r="B826" s="495" t="s">
        <v>3530</v>
      </c>
      <c r="C826" s="452" t="str">
        <f t="shared" si="162"/>
        <v>Gainward</v>
      </c>
      <c r="D826" s="452" t="s">
        <v>3917</v>
      </c>
      <c r="E826" s="266">
        <v>235.0</v>
      </c>
      <c r="F826" s="266">
        <v>112.0</v>
      </c>
      <c r="G826" s="266">
        <v>40.0</v>
      </c>
      <c r="H826" s="266">
        <v>2.0</v>
      </c>
      <c r="I826" s="266">
        <v>1830.0</v>
      </c>
      <c r="J826" s="266">
        <v>14.0</v>
      </c>
      <c r="K826" s="266">
        <v>160.0</v>
      </c>
      <c r="L826" s="266">
        <v>8.0</v>
      </c>
      <c r="M826" s="266">
        <v>2.0</v>
      </c>
      <c r="N826" s="266">
        <v>1.0</v>
      </c>
      <c r="O826" s="266">
        <v>1.0</v>
      </c>
      <c r="P826" s="266" t="s">
        <v>166</v>
      </c>
      <c r="Q826" s="266">
        <v>1.0</v>
      </c>
      <c r="R826" s="497" t="s">
        <v>166</v>
      </c>
      <c r="S826" s="497" t="s">
        <v>166</v>
      </c>
      <c r="T826" s="496"/>
    </row>
    <row r="827">
      <c r="A827" s="494" t="s">
        <v>3401</v>
      </c>
      <c r="B827" s="495" t="s">
        <v>3530</v>
      </c>
      <c r="C827" s="174" t="s">
        <v>3456</v>
      </c>
      <c r="D827" s="452" t="str">
        <f>HYPERLINK("http://www.galax.com/en/graphics-card/20-series/2060-series/galax-geforce-rtx-2060.html","RTX 2060")</f>
        <v>RTX 2060</v>
      </c>
      <c r="E827" s="266">
        <v>268.0</v>
      </c>
      <c r="F827" s="266">
        <v>111.0</v>
      </c>
      <c r="G827" s="266">
        <v>38.0</v>
      </c>
      <c r="H827" s="266">
        <v>2.0</v>
      </c>
      <c r="I827" s="266">
        <v>1680.0</v>
      </c>
      <c r="J827" s="266">
        <v>14.0</v>
      </c>
      <c r="K827" s="266">
        <v>160.0</v>
      </c>
      <c r="L827" s="266">
        <v>8.0</v>
      </c>
      <c r="M827" s="266">
        <v>1.0</v>
      </c>
      <c r="N827" s="266">
        <v>1.0</v>
      </c>
      <c r="O827" s="266">
        <v>1.0</v>
      </c>
      <c r="P827" s="266" t="s">
        <v>166</v>
      </c>
      <c r="Q827" s="266">
        <v>1.0</v>
      </c>
      <c r="R827" s="266" t="s">
        <v>166</v>
      </c>
      <c r="S827" s="266" t="s">
        <v>174</v>
      </c>
      <c r="T827" s="494"/>
    </row>
    <row r="828">
      <c r="A828" s="494" t="s">
        <v>3401</v>
      </c>
      <c r="B828" s="495" t="s">
        <v>3530</v>
      </c>
      <c r="C828" s="174" t="s">
        <v>3456</v>
      </c>
      <c r="D828" s="452" t="str">
        <f>HYPERLINK("http://www.galax.com/en/graphics-card/20-series/2060-series/galax-geforce-rtx-2060ex-1click.html","EX (1-Click OC)")</f>
        <v>EX (1-Click OC)</v>
      </c>
      <c r="E828" s="266">
        <v>233.0</v>
      </c>
      <c r="F828" s="266">
        <v>119.0</v>
      </c>
      <c r="G828" s="266">
        <v>40.0</v>
      </c>
      <c r="H828" s="266">
        <v>2.0</v>
      </c>
      <c r="I828" s="266">
        <v>1725.0</v>
      </c>
      <c r="J828" s="266">
        <v>14.0</v>
      </c>
      <c r="K828" s="266">
        <v>160.0</v>
      </c>
      <c r="L828" s="266">
        <v>8.0</v>
      </c>
      <c r="M828" s="266">
        <v>2.0</v>
      </c>
      <c r="N828" s="266">
        <v>1.0</v>
      </c>
      <c r="O828" s="266">
        <v>1.0</v>
      </c>
      <c r="P828" s="266" t="s">
        <v>166</v>
      </c>
      <c r="Q828" s="266">
        <v>1.0</v>
      </c>
      <c r="R828" s="497" t="s">
        <v>166</v>
      </c>
      <c r="S828" s="497" t="s">
        <v>166</v>
      </c>
      <c r="T828" s="496"/>
    </row>
    <row r="829">
      <c r="A829" s="494" t="s">
        <v>3401</v>
      </c>
      <c r="B829" s="495" t="s">
        <v>3530</v>
      </c>
      <c r="C829" s="174" t="s">
        <v>3456</v>
      </c>
      <c r="D829" s="452" t="str">
        <f>HYPERLINK("http://www.galax.com/en/graphics-card/20-series/2060-series/galax-geforce-rtx-2060ex-white-1click.html","EX White (1-Click OC)")</f>
        <v>EX White (1-Click OC)</v>
      </c>
      <c r="E829" s="266">
        <v>233.0</v>
      </c>
      <c r="F829" s="266">
        <v>119.0</v>
      </c>
      <c r="G829" s="266">
        <v>40.0</v>
      </c>
      <c r="H829" s="266">
        <v>2.0</v>
      </c>
      <c r="I829" s="266">
        <v>1725.0</v>
      </c>
      <c r="J829" s="266">
        <v>14.0</v>
      </c>
      <c r="K829" s="266">
        <v>160.0</v>
      </c>
      <c r="L829" s="266">
        <v>8.0</v>
      </c>
      <c r="M829" s="266">
        <v>2.0</v>
      </c>
      <c r="N829" s="266">
        <v>1.0</v>
      </c>
      <c r="O829" s="266">
        <v>1.0</v>
      </c>
      <c r="P829" s="266" t="s">
        <v>166</v>
      </c>
      <c r="Q829" s="266">
        <v>1.0</v>
      </c>
      <c r="R829" s="497" t="s">
        <v>166</v>
      </c>
      <c r="S829" s="497" t="s">
        <v>166</v>
      </c>
      <c r="T829" s="496"/>
    </row>
    <row r="830">
      <c r="A830" s="494" t="s">
        <v>3401</v>
      </c>
      <c r="B830" s="495" t="s">
        <v>3530</v>
      </c>
      <c r="C830" s="174" t="str">
        <f t="shared" ref="C830:C836" si="163">HYPERLINK("https://www.gigabyte.com/","Gigabyte")</f>
        <v>Gigabyte</v>
      </c>
      <c r="D830" s="452" t="str">
        <f>HYPERLINK("https://www.gigabyte.com/Graphics-Card/GV-N2060OC-6GD-rev-10#kf","OC")</f>
        <v>OC</v>
      </c>
      <c r="E830" s="266">
        <v>225.65</v>
      </c>
      <c r="F830" s="266">
        <v>122.02</v>
      </c>
      <c r="G830" s="266">
        <v>40.5</v>
      </c>
      <c r="H830" s="266">
        <v>2.0</v>
      </c>
      <c r="I830" s="266">
        <v>1755.0</v>
      </c>
      <c r="J830" s="266">
        <v>14.0</v>
      </c>
      <c r="K830" s="266">
        <v>160.0</v>
      </c>
      <c r="L830" s="266">
        <v>8.0</v>
      </c>
      <c r="M830" s="266">
        <v>2.0</v>
      </c>
      <c r="N830" s="266">
        <v>3.0</v>
      </c>
      <c r="O830" s="266">
        <v>1.0</v>
      </c>
      <c r="P830" s="266" t="s">
        <v>166</v>
      </c>
      <c r="Q830" s="266" t="s">
        <v>166</v>
      </c>
      <c r="R830" s="497" t="s">
        <v>166</v>
      </c>
      <c r="S830" s="497" t="s">
        <v>166</v>
      </c>
      <c r="T830" s="496"/>
    </row>
    <row r="831">
      <c r="A831" s="494" t="s">
        <v>3401</v>
      </c>
      <c r="B831" s="495" t="s">
        <v>3530</v>
      </c>
      <c r="C831" s="174" t="str">
        <f t="shared" si="163"/>
        <v>Gigabyte</v>
      </c>
      <c r="D831" s="452" t="s">
        <v>3597</v>
      </c>
      <c r="E831" s="266">
        <v>264.9</v>
      </c>
      <c r="F831" s="266">
        <v>120.58</v>
      </c>
      <c r="G831" s="266">
        <v>40.41</v>
      </c>
      <c r="H831" s="266">
        <v>2.0</v>
      </c>
      <c r="I831" s="266">
        <v>1755.0</v>
      </c>
      <c r="J831" s="266">
        <v>14.0</v>
      </c>
      <c r="K831" s="266">
        <v>160.0</v>
      </c>
      <c r="L831" s="266">
        <v>8.0</v>
      </c>
      <c r="M831" s="266">
        <v>2.0</v>
      </c>
      <c r="N831" s="266">
        <v>3.0</v>
      </c>
      <c r="O831" s="266">
        <v>1.0</v>
      </c>
      <c r="P831" s="266" t="s">
        <v>166</v>
      </c>
      <c r="Q831" s="266" t="s">
        <v>166</v>
      </c>
      <c r="R831" s="497" t="s">
        <v>166</v>
      </c>
      <c r="S831" s="497" t="s">
        <v>166</v>
      </c>
      <c r="T831" s="496"/>
    </row>
    <row r="832">
      <c r="A832" s="494" t="s">
        <v>3401</v>
      </c>
      <c r="B832" s="495" t="s">
        <v>3530</v>
      </c>
      <c r="C832" s="174" t="str">
        <f t="shared" si="163"/>
        <v>Gigabyte</v>
      </c>
      <c r="D832" s="452" t="s">
        <v>3578</v>
      </c>
      <c r="E832" s="266">
        <v>264.9</v>
      </c>
      <c r="F832" s="266">
        <v>120.58</v>
      </c>
      <c r="G832" s="266">
        <v>40.41</v>
      </c>
      <c r="H832" s="266">
        <v>2.0</v>
      </c>
      <c r="I832" s="266">
        <v>1770.0</v>
      </c>
      <c r="J832" s="266">
        <v>14.0</v>
      </c>
      <c r="K832" s="266">
        <v>160.0</v>
      </c>
      <c r="L832" s="266">
        <v>8.0</v>
      </c>
      <c r="M832" s="266">
        <v>2.0</v>
      </c>
      <c r="N832" s="266">
        <v>3.0</v>
      </c>
      <c r="O832" s="266">
        <v>1.0</v>
      </c>
      <c r="P832" s="266" t="s">
        <v>166</v>
      </c>
      <c r="Q832" s="266" t="s">
        <v>166</v>
      </c>
      <c r="R832" s="497" t="s">
        <v>166</v>
      </c>
      <c r="S832" s="497" t="s">
        <v>166</v>
      </c>
      <c r="T832" s="496"/>
    </row>
    <row r="833">
      <c r="A833" s="494" t="s">
        <v>3401</v>
      </c>
      <c r="B833" s="495" t="s">
        <v>3530</v>
      </c>
      <c r="C833" s="174" t="str">
        <f t="shared" si="163"/>
        <v>Gigabyte</v>
      </c>
      <c r="D833" s="452" t="s">
        <v>3630</v>
      </c>
      <c r="E833" s="266">
        <v>280.0</v>
      </c>
      <c r="F833" s="266">
        <v>116.7</v>
      </c>
      <c r="G833" s="266">
        <v>40.4</v>
      </c>
      <c r="H833" s="266">
        <v>2.0</v>
      </c>
      <c r="I833" s="266">
        <v>1830.0</v>
      </c>
      <c r="J833" s="266">
        <v>14.0</v>
      </c>
      <c r="K833" s="266">
        <v>160.0</v>
      </c>
      <c r="L833" s="266">
        <v>8.0</v>
      </c>
      <c r="M833" s="266">
        <v>3.0</v>
      </c>
      <c r="N833" s="266">
        <v>3.0</v>
      </c>
      <c r="O833" s="266">
        <v>1.0</v>
      </c>
      <c r="P833" s="266" t="s">
        <v>166</v>
      </c>
      <c r="Q833" s="266" t="s">
        <v>166</v>
      </c>
      <c r="R833" s="497" t="s">
        <v>166</v>
      </c>
      <c r="S833" s="497" t="s">
        <v>166</v>
      </c>
      <c r="T833" s="496"/>
    </row>
    <row r="834">
      <c r="A834" s="494" t="s">
        <v>3401</v>
      </c>
      <c r="B834" s="495" t="s">
        <v>3530</v>
      </c>
      <c r="C834" s="174" t="str">
        <f t="shared" si="163"/>
        <v>Gigabyte</v>
      </c>
      <c r="D834" s="452" t="s">
        <v>3697</v>
      </c>
      <c r="E834" s="266">
        <v>280.35</v>
      </c>
      <c r="F834" s="266">
        <v>116.45</v>
      </c>
      <c r="G834" s="266">
        <v>40.24</v>
      </c>
      <c r="H834" s="266">
        <v>2.0</v>
      </c>
      <c r="I834" s="266">
        <v>1830.0</v>
      </c>
      <c r="J834" s="266">
        <v>14.0</v>
      </c>
      <c r="K834" s="266">
        <v>160.0</v>
      </c>
      <c r="L834" s="266">
        <v>8.0</v>
      </c>
      <c r="M834" s="266">
        <v>3.0</v>
      </c>
      <c r="N834" s="266">
        <v>3.0</v>
      </c>
      <c r="O834" s="266">
        <v>1.0</v>
      </c>
      <c r="P834" s="266" t="s">
        <v>166</v>
      </c>
      <c r="Q834" s="266" t="s">
        <v>166</v>
      </c>
      <c r="R834" s="497" t="s">
        <v>166</v>
      </c>
      <c r="S834" s="497" t="s">
        <v>166</v>
      </c>
      <c r="T834" s="496"/>
    </row>
    <row r="835">
      <c r="A835" s="494" t="s">
        <v>3401</v>
      </c>
      <c r="B835" s="495" t="s">
        <v>3530</v>
      </c>
      <c r="C835" s="174" t="str">
        <f t="shared" si="163"/>
        <v>Gigabyte</v>
      </c>
      <c r="D835" s="452" t="s">
        <v>3918</v>
      </c>
      <c r="E835" s="266">
        <v>280.35</v>
      </c>
      <c r="F835" s="266">
        <v>116.45</v>
      </c>
      <c r="G835" s="266">
        <v>40.24</v>
      </c>
      <c r="H835" s="266">
        <v>2.0</v>
      </c>
      <c r="I835" s="266">
        <v>1830.0</v>
      </c>
      <c r="J835" s="266">
        <v>14.0</v>
      </c>
      <c r="K835" s="266">
        <v>160.0</v>
      </c>
      <c r="L835" s="266">
        <v>8.0</v>
      </c>
      <c r="M835" s="266">
        <v>3.0</v>
      </c>
      <c r="N835" s="266">
        <v>3.0</v>
      </c>
      <c r="O835" s="266">
        <v>1.0</v>
      </c>
      <c r="P835" s="266" t="s">
        <v>166</v>
      </c>
      <c r="Q835" s="266" t="s">
        <v>166</v>
      </c>
      <c r="R835" s="497" t="s">
        <v>166</v>
      </c>
      <c r="S835" s="497" t="s">
        <v>166</v>
      </c>
      <c r="T835" s="496"/>
    </row>
    <row r="836">
      <c r="A836" s="494" t="s">
        <v>3401</v>
      </c>
      <c r="B836" s="495" t="s">
        <v>3530</v>
      </c>
      <c r="C836" s="174" t="str">
        <f t="shared" si="163"/>
        <v>Gigabyte</v>
      </c>
      <c r="D836" s="452" t="s">
        <v>3919</v>
      </c>
      <c r="E836" s="266">
        <v>290.0</v>
      </c>
      <c r="F836" s="266">
        <v>140.0</v>
      </c>
      <c r="G836" s="266">
        <v>58.0</v>
      </c>
      <c r="H836" s="266">
        <v>2.0</v>
      </c>
      <c r="I836" s="266">
        <v>1845.0</v>
      </c>
      <c r="J836" s="266">
        <v>14.14</v>
      </c>
      <c r="K836" s="266">
        <v>160.0</v>
      </c>
      <c r="L836" s="266" t="s">
        <v>3361</v>
      </c>
      <c r="M836" s="266">
        <v>3.0</v>
      </c>
      <c r="N836" s="266">
        <v>3.0</v>
      </c>
      <c r="O836" s="266">
        <v>1.0</v>
      </c>
      <c r="P836" s="266">
        <v>1.0</v>
      </c>
      <c r="Q836" s="266" t="s">
        <v>166</v>
      </c>
      <c r="R836" s="497" t="s">
        <v>166</v>
      </c>
      <c r="S836" s="497" t="s">
        <v>166</v>
      </c>
      <c r="T836" s="496"/>
    </row>
    <row r="837">
      <c r="A837" s="494" t="s">
        <v>3401</v>
      </c>
      <c r="B837" s="495" t="s">
        <v>3530</v>
      </c>
      <c r="C837" s="452" t="str">
        <f t="shared" ref="C837:C841" si="164">HYPERLINK("http://www.inno3d.com/","Inno3D")</f>
        <v>Inno3D</v>
      </c>
      <c r="D837" s="452" t="s">
        <v>3882</v>
      </c>
      <c r="E837" s="266">
        <v>220.0</v>
      </c>
      <c r="F837" s="266">
        <v>113.0</v>
      </c>
      <c r="G837" s="266">
        <v>40.0</v>
      </c>
      <c r="H837" s="266">
        <v>2.0</v>
      </c>
      <c r="I837" s="266">
        <v>1680.0</v>
      </c>
      <c r="J837" s="266">
        <v>14.0</v>
      </c>
      <c r="K837" s="266">
        <v>160.0</v>
      </c>
      <c r="L837" s="266">
        <v>8.0</v>
      </c>
      <c r="M837" s="266">
        <v>2.0</v>
      </c>
      <c r="N837" s="266">
        <v>3.0</v>
      </c>
      <c r="O837" s="266">
        <v>1.0</v>
      </c>
      <c r="P837" s="266" t="s">
        <v>166</v>
      </c>
      <c r="Q837" s="266" t="s">
        <v>166</v>
      </c>
      <c r="R837" s="497" t="s">
        <v>166</v>
      </c>
      <c r="S837" s="497" t="s">
        <v>166</v>
      </c>
      <c r="T837" s="496"/>
    </row>
    <row r="838">
      <c r="A838" s="494" t="s">
        <v>3401</v>
      </c>
      <c r="B838" s="495" t="s">
        <v>3530</v>
      </c>
      <c r="C838" s="452" t="str">
        <f t="shared" si="164"/>
        <v>Inno3D</v>
      </c>
      <c r="D838" s="452" t="s">
        <v>3897</v>
      </c>
      <c r="E838" s="266">
        <v>220.0</v>
      </c>
      <c r="F838" s="266">
        <v>113.0</v>
      </c>
      <c r="G838" s="266">
        <v>40.0</v>
      </c>
      <c r="H838" s="266">
        <v>2.0</v>
      </c>
      <c r="I838" s="266">
        <v>1710.0</v>
      </c>
      <c r="J838" s="266">
        <v>14.0</v>
      </c>
      <c r="K838" s="266">
        <v>160.0</v>
      </c>
      <c r="L838" s="266">
        <v>8.0</v>
      </c>
      <c r="M838" s="266">
        <v>2.0</v>
      </c>
      <c r="N838" s="266">
        <v>3.0</v>
      </c>
      <c r="O838" s="266">
        <v>1.0</v>
      </c>
      <c r="P838" s="266" t="s">
        <v>166</v>
      </c>
      <c r="Q838" s="266" t="s">
        <v>166</v>
      </c>
      <c r="R838" s="497" t="s">
        <v>166</v>
      </c>
      <c r="S838" s="497" t="s">
        <v>166</v>
      </c>
      <c r="T838" s="496"/>
    </row>
    <row r="839">
      <c r="A839" s="494" t="s">
        <v>3401</v>
      </c>
      <c r="B839" s="495" t="s">
        <v>3530</v>
      </c>
      <c r="C839" s="452" t="str">
        <f t="shared" si="164"/>
        <v>Inno3D</v>
      </c>
      <c r="D839" s="452" t="s">
        <v>3920</v>
      </c>
      <c r="E839" s="266">
        <v>220.0</v>
      </c>
      <c r="F839" s="266">
        <v>113.0</v>
      </c>
      <c r="G839" s="266">
        <v>40.0</v>
      </c>
      <c r="H839" s="266">
        <v>2.0</v>
      </c>
      <c r="I839" s="266">
        <v>1710.0</v>
      </c>
      <c r="J839" s="266">
        <v>14.0</v>
      </c>
      <c r="K839" s="266">
        <v>160.0</v>
      </c>
      <c r="L839" s="266">
        <v>8.0</v>
      </c>
      <c r="M839" s="266">
        <v>2.0</v>
      </c>
      <c r="N839" s="266">
        <v>3.0</v>
      </c>
      <c r="O839" s="266">
        <v>1.0</v>
      </c>
      <c r="P839" s="266" t="s">
        <v>166</v>
      </c>
      <c r="Q839" s="266" t="s">
        <v>166</v>
      </c>
      <c r="R839" s="497" t="s">
        <v>166</v>
      </c>
      <c r="S839" s="497" t="s">
        <v>166</v>
      </c>
      <c r="T839" s="496"/>
    </row>
    <row r="840">
      <c r="A840" s="494" t="s">
        <v>3401</v>
      </c>
      <c r="B840" s="495" t="s">
        <v>3530</v>
      </c>
      <c r="C840" s="452" t="str">
        <f t="shared" si="164"/>
        <v>Inno3D</v>
      </c>
      <c r="D840" s="452" t="s">
        <v>3920</v>
      </c>
      <c r="E840" s="266">
        <v>264.0</v>
      </c>
      <c r="F840" s="266">
        <v>134.0</v>
      </c>
      <c r="G840" s="266">
        <v>50.0</v>
      </c>
      <c r="H840" s="266">
        <v>2.0</v>
      </c>
      <c r="I840" s="266">
        <v>1725.0</v>
      </c>
      <c r="J840" s="266">
        <v>14.0</v>
      </c>
      <c r="K840" s="266">
        <v>160.0</v>
      </c>
      <c r="L840" s="266" t="s">
        <v>3361</v>
      </c>
      <c r="M840" s="266">
        <v>2.0</v>
      </c>
      <c r="N840" s="266">
        <v>3.0</v>
      </c>
      <c r="O840" s="266">
        <v>1.0</v>
      </c>
      <c r="P840" s="266" t="s">
        <v>166</v>
      </c>
      <c r="Q840" s="266" t="s">
        <v>166</v>
      </c>
      <c r="R840" s="497" t="s">
        <v>166</v>
      </c>
      <c r="S840" s="497" t="s">
        <v>166</v>
      </c>
      <c r="T840" s="496"/>
    </row>
    <row r="841">
      <c r="A841" s="494" t="s">
        <v>3401</v>
      </c>
      <c r="B841" s="495" t="s">
        <v>3530</v>
      </c>
      <c r="C841" s="452" t="str">
        <f t="shared" si="164"/>
        <v>Inno3D</v>
      </c>
      <c r="D841" s="452" t="s">
        <v>3921</v>
      </c>
      <c r="E841" s="266">
        <v>302.2</v>
      </c>
      <c r="F841" s="266">
        <v>123.0</v>
      </c>
      <c r="G841" s="266">
        <v>50.0</v>
      </c>
      <c r="H841" s="266">
        <v>2.0</v>
      </c>
      <c r="I841" s="266">
        <v>1725.0</v>
      </c>
      <c r="J841" s="266">
        <v>14.0</v>
      </c>
      <c r="K841" s="266">
        <v>160.0</v>
      </c>
      <c r="L841" s="266">
        <v>8.0</v>
      </c>
      <c r="M841" s="266">
        <v>3.0</v>
      </c>
      <c r="N841" s="266">
        <v>3.0</v>
      </c>
      <c r="O841" s="266">
        <v>1.0</v>
      </c>
      <c r="P841" s="266" t="s">
        <v>166</v>
      </c>
      <c r="Q841" s="266" t="s">
        <v>166</v>
      </c>
      <c r="R841" s="497" t="s">
        <v>166</v>
      </c>
      <c r="S841" s="497" t="s">
        <v>166</v>
      </c>
      <c r="T841" s="496"/>
    </row>
    <row r="842">
      <c r="A842" s="494" t="s">
        <v>3401</v>
      </c>
      <c r="B842" s="495" t="s">
        <v>3530</v>
      </c>
      <c r="C842" s="452" t="str">
        <f t="shared" ref="C842:C846" si="165">HYPERLINK("http://manli.com/en","Manli")</f>
        <v>Manli</v>
      </c>
      <c r="D842" s="452" t="str">
        <f>HYPERLINK("https://manli.com/en/product-detail-MANLI_GeForce_RTX_2060_(M1432+N537-10)-29.html","(M1432+N537-10)")</f>
        <v>(M1432+N537-10)</v>
      </c>
      <c r="E842" s="266">
        <v>255.0</v>
      </c>
      <c r="F842" s="266">
        <v>125.0</v>
      </c>
      <c r="G842" s="266">
        <v>42.0</v>
      </c>
      <c r="H842" s="266">
        <v>2.0</v>
      </c>
      <c r="I842" s="266">
        <v>1695.0</v>
      </c>
      <c r="J842" s="266">
        <v>14.0</v>
      </c>
      <c r="K842" s="266">
        <v>160.0</v>
      </c>
      <c r="L842" s="266">
        <v>8.0</v>
      </c>
      <c r="M842" s="266">
        <v>1.0</v>
      </c>
      <c r="N842" s="266">
        <v>3.0</v>
      </c>
      <c r="O842" s="266">
        <v>1.0</v>
      </c>
      <c r="P842" s="266" t="s">
        <v>166</v>
      </c>
      <c r="Q842" s="266" t="s">
        <v>166</v>
      </c>
      <c r="R842" s="266" t="s">
        <v>166</v>
      </c>
      <c r="S842" s="266" t="s">
        <v>174</v>
      </c>
      <c r="T842" s="494"/>
    </row>
    <row r="843">
      <c r="A843" s="494" t="s">
        <v>3401</v>
      </c>
      <c r="B843" s="495" t="s">
        <v>3530</v>
      </c>
      <c r="C843" s="452" t="str">
        <f t="shared" si="165"/>
        <v>Manli</v>
      </c>
      <c r="D843" s="452" t="str">
        <f>HYPERLINK("https://manli.com/en/product-detail-MANLI_GeForce_RTX_2060_(M2435+N537-00)-30.html","(M2435+N537-00)")</f>
        <v>(M2435+N537-00)</v>
      </c>
      <c r="E843" s="266">
        <v>255.0</v>
      </c>
      <c r="F843" s="266">
        <v>125.0</v>
      </c>
      <c r="G843" s="266">
        <v>42.0</v>
      </c>
      <c r="H843" s="266">
        <v>2.0</v>
      </c>
      <c r="I843" s="266">
        <v>1680.0</v>
      </c>
      <c r="J843" s="266">
        <v>14.0</v>
      </c>
      <c r="K843" s="266">
        <v>160.0</v>
      </c>
      <c r="L843" s="266">
        <v>8.0</v>
      </c>
      <c r="M843" s="266">
        <v>2.0</v>
      </c>
      <c r="N843" s="266">
        <v>3.0</v>
      </c>
      <c r="O843" s="266">
        <v>1.0</v>
      </c>
      <c r="P843" s="266" t="s">
        <v>166</v>
      </c>
      <c r="Q843" s="266" t="s">
        <v>166</v>
      </c>
      <c r="R843" s="497" t="s">
        <v>166</v>
      </c>
      <c r="S843" s="497" t="s">
        <v>166</v>
      </c>
      <c r="T843" s="496"/>
    </row>
    <row r="844">
      <c r="A844" s="494" t="s">
        <v>3401</v>
      </c>
      <c r="B844" s="495" t="s">
        <v>3530</v>
      </c>
      <c r="C844" s="452" t="str">
        <f t="shared" si="165"/>
        <v>Manli</v>
      </c>
      <c r="D844" s="452" t="str">
        <f>HYPERLINK("https://manli.com/en/product-detail-MANLI_GeForce_RTX_2060_Gallardo_(F401G+N522)-32.html","Gallardo (F401G+N522)")</f>
        <v>Gallardo (F401G+N522)</v>
      </c>
      <c r="E844" s="266">
        <v>225.0</v>
      </c>
      <c r="F844" s="266">
        <v>128.0</v>
      </c>
      <c r="G844" s="266">
        <v>42.0</v>
      </c>
      <c r="H844" s="266">
        <v>2.0</v>
      </c>
      <c r="I844" s="266">
        <v>1725.0</v>
      </c>
      <c r="J844" s="266">
        <v>14.0</v>
      </c>
      <c r="K844" s="266">
        <v>160.0</v>
      </c>
      <c r="L844" s="266">
        <v>8.0</v>
      </c>
      <c r="M844" s="266">
        <v>2.0</v>
      </c>
      <c r="N844" s="266">
        <v>3.0</v>
      </c>
      <c r="O844" s="266">
        <v>1.0</v>
      </c>
      <c r="P844" s="266" t="s">
        <v>166</v>
      </c>
      <c r="Q844" s="266" t="s">
        <v>166</v>
      </c>
      <c r="R844" s="497" t="s">
        <v>166</v>
      </c>
      <c r="S844" s="497" t="s">
        <v>166</v>
      </c>
      <c r="T844" s="496"/>
    </row>
    <row r="845">
      <c r="A845" s="494" t="s">
        <v>3401</v>
      </c>
      <c r="B845" s="495" t="s">
        <v>3530</v>
      </c>
      <c r="C845" s="452" t="str">
        <f t="shared" si="165"/>
        <v>Manli</v>
      </c>
      <c r="D845" s="452" t="str">
        <f>HYPERLINK("https://manli.com/en/product-detail-MANLI_GeForce_RTX_2060_Gallardo_(M2435+N537)-31.html","Gallardo (M2435+N537)")</f>
        <v>Gallardo (M2435+N537)</v>
      </c>
      <c r="E845" s="266">
        <v>255.0</v>
      </c>
      <c r="F845" s="266">
        <v>125.0</v>
      </c>
      <c r="G845" s="266">
        <v>42.0</v>
      </c>
      <c r="H845" s="266">
        <v>2.0</v>
      </c>
      <c r="I845" s="266">
        <v>1725.0</v>
      </c>
      <c r="J845" s="266">
        <v>14.0</v>
      </c>
      <c r="K845" s="266">
        <v>160.0</v>
      </c>
      <c r="L845" s="266">
        <v>8.0</v>
      </c>
      <c r="M845" s="266">
        <v>2.0</v>
      </c>
      <c r="N845" s="266">
        <v>3.0</v>
      </c>
      <c r="O845" s="266">
        <v>1.0</v>
      </c>
      <c r="P845" s="266" t="s">
        <v>166</v>
      </c>
      <c r="Q845" s="266" t="s">
        <v>166</v>
      </c>
      <c r="R845" s="497" t="s">
        <v>166</v>
      </c>
      <c r="S845" s="497" t="s">
        <v>166</v>
      </c>
      <c r="T845" s="496"/>
    </row>
    <row r="846">
      <c r="A846" s="494" t="s">
        <v>3401</v>
      </c>
      <c r="B846" s="495" t="s">
        <v>3530</v>
      </c>
      <c r="C846" s="452" t="str">
        <f t="shared" si="165"/>
        <v>Manli</v>
      </c>
      <c r="D846" s="452" t="s">
        <v>3922</v>
      </c>
      <c r="E846" s="266">
        <v>255.0</v>
      </c>
      <c r="F846" s="266">
        <v>125.0</v>
      </c>
      <c r="G846" s="266">
        <v>40.0</v>
      </c>
      <c r="H846" s="266">
        <v>2.0</v>
      </c>
      <c r="I846" s="266">
        <v>1725.0</v>
      </c>
      <c r="J846" s="266">
        <v>14.0</v>
      </c>
      <c r="K846" s="266">
        <v>160.0</v>
      </c>
      <c r="L846" s="266">
        <v>8.0</v>
      </c>
      <c r="M846" s="266">
        <v>2.0</v>
      </c>
      <c r="N846" s="266">
        <v>3.0</v>
      </c>
      <c r="O846" s="266">
        <v>1.0</v>
      </c>
      <c r="P846" s="266" t="s">
        <v>166</v>
      </c>
      <c r="Q846" s="266" t="s">
        <v>166</v>
      </c>
      <c r="R846" s="497" t="s">
        <v>166</v>
      </c>
      <c r="S846" s="497" t="s">
        <v>166</v>
      </c>
      <c r="T846" s="496"/>
    </row>
    <row r="847">
      <c r="A847" s="494" t="s">
        <v>3401</v>
      </c>
      <c r="B847" s="495" t="s">
        <v>3530</v>
      </c>
      <c r="C847" s="174" t="str">
        <f t="shared" ref="C847:C854" si="166">HYPERLINK("https://www.msi.com/index.php","MSI")</f>
        <v>MSI</v>
      </c>
      <c r="D847" s="452" t="s">
        <v>3904</v>
      </c>
      <c r="E847" s="266">
        <v>226.0</v>
      </c>
      <c r="F847" s="266">
        <v>128.0</v>
      </c>
      <c r="G847" s="266">
        <v>41.0</v>
      </c>
      <c r="H847" s="266">
        <v>2.0</v>
      </c>
      <c r="I847" s="266">
        <v>1680.0</v>
      </c>
      <c r="J847" s="266">
        <v>14.0</v>
      </c>
      <c r="K847" s="266">
        <v>160.0</v>
      </c>
      <c r="L847" s="266">
        <v>8.0</v>
      </c>
      <c r="M847" s="266">
        <v>2.0</v>
      </c>
      <c r="N847" s="266">
        <v>3.0</v>
      </c>
      <c r="O847" s="266">
        <v>1.0</v>
      </c>
      <c r="P847" s="266" t="s">
        <v>166</v>
      </c>
      <c r="Q847" s="266" t="s">
        <v>166</v>
      </c>
      <c r="R847" s="497" t="s">
        <v>166</v>
      </c>
      <c r="S847" s="497" t="s">
        <v>166</v>
      </c>
      <c r="T847" s="496"/>
    </row>
    <row r="848">
      <c r="A848" s="494" t="s">
        <v>3401</v>
      </c>
      <c r="B848" s="495" t="s">
        <v>3530</v>
      </c>
      <c r="C848" s="174" t="str">
        <f t="shared" si="166"/>
        <v>MSI</v>
      </c>
      <c r="D848" s="452" t="s">
        <v>3905</v>
      </c>
      <c r="E848" s="266">
        <v>226.0</v>
      </c>
      <c r="F848" s="266">
        <v>128.0</v>
      </c>
      <c r="G848" s="266">
        <v>41.0</v>
      </c>
      <c r="H848" s="266">
        <v>2.0</v>
      </c>
      <c r="I848" s="266">
        <v>1710.0</v>
      </c>
      <c r="J848" s="266">
        <v>14.0</v>
      </c>
      <c r="K848" s="266">
        <v>160.0</v>
      </c>
      <c r="L848" s="266">
        <v>8.0</v>
      </c>
      <c r="M848" s="266">
        <v>2.0</v>
      </c>
      <c r="N848" s="266">
        <v>3.0</v>
      </c>
      <c r="O848" s="266">
        <v>1.0</v>
      </c>
      <c r="P848" s="266" t="s">
        <v>166</v>
      </c>
      <c r="Q848" s="266" t="s">
        <v>166</v>
      </c>
      <c r="R848" s="497" t="s">
        <v>166</v>
      </c>
      <c r="S848" s="497" t="s">
        <v>166</v>
      </c>
      <c r="T848" s="496"/>
    </row>
    <row r="849">
      <c r="A849" s="494" t="s">
        <v>3401</v>
      </c>
      <c r="B849" s="495" t="s">
        <v>3530</v>
      </c>
      <c r="C849" s="174" t="str">
        <f t="shared" si="166"/>
        <v>MSI</v>
      </c>
      <c r="D849" s="452" t="s">
        <v>3923</v>
      </c>
      <c r="E849" s="266">
        <v>231.0</v>
      </c>
      <c r="F849" s="266">
        <v>128.0</v>
      </c>
      <c r="G849" s="266">
        <v>42.0</v>
      </c>
      <c r="H849" s="266">
        <v>2.0</v>
      </c>
      <c r="I849" s="266">
        <v>1680.0</v>
      </c>
      <c r="J849" s="266">
        <v>14.0</v>
      </c>
      <c r="K849" s="266">
        <v>160.0</v>
      </c>
      <c r="L849" s="266">
        <v>8.0</v>
      </c>
      <c r="M849" s="266">
        <v>2.0</v>
      </c>
      <c r="N849" s="266">
        <v>3.0</v>
      </c>
      <c r="O849" s="266">
        <v>1.0</v>
      </c>
      <c r="P849" s="266" t="s">
        <v>166</v>
      </c>
      <c r="Q849" s="266" t="s">
        <v>166</v>
      </c>
      <c r="R849" s="497" t="s">
        <v>166</v>
      </c>
      <c r="S849" s="497" t="s">
        <v>166</v>
      </c>
      <c r="T849" s="496"/>
    </row>
    <row r="850">
      <c r="A850" s="494" t="s">
        <v>3401</v>
      </c>
      <c r="B850" s="495" t="s">
        <v>3530</v>
      </c>
      <c r="C850" s="174" t="str">
        <f t="shared" si="166"/>
        <v>MSI</v>
      </c>
      <c r="D850" s="452" t="s">
        <v>3924</v>
      </c>
      <c r="E850" s="266">
        <v>231.0</v>
      </c>
      <c r="F850" s="266">
        <v>128.0</v>
      </c>
      <c r="G850" s="266">
        <v>42.0</v>
      </c>
      <c r="H850" s="266">
        <v>2.0</v>
      </c>
      <c r="I850" s="266">
        <v>1710.0</v>
      </c>
      <c r="J850" s="266">
        <v>14.0</v>
      </c>
      <c r="K850" s="266">
        <v>160.0</v>
      </c>
      <c r="L850" s="266">
        <v>8.0</v>
      </c>
      <c r="M850" s="266">
        <v>2.0</v>
      </c>
      <c r="N850" s="266">
        <v>3.0</v>
      </c>
      <c r="O850" s="266">
        <v>1.0</v>
      </c>
      <c r="P850" s="266" t="s">
        <v>166</v>
      </c>
      <c r="Q850" s="266" t="s">
        <v>166</v>
      </c>
      <c r="R850" s="497" t="s">
        <v>166</v>
      </c>
      <c r="S850" s="497" t="s">
        <v>166</v>
      </c>
      <c r="T850" s="496"/>
    </row>
    <row r="851">
      <c r="A851" s="494" t="s">
        <v>3401</v>
      </c>
      <c r="B851" s="495" t="s">
        <v>3530</v>
      </c>
      <c r="C851" s="174" t="str">
        <f t="shared" si="166"/>
        <v>MSI</v>
      </c>
      <c r="D851" s="452" t="s">
        <v>3409</v>
      </c>
      <c r="E851" s="266">
        <v>247.0</v>
      </c>
      <c r="F851" s="266">
        <v>129.0</v>
      </c>
      <c r="G851" s="266">
        <v>52.0</v>
      </c>
      <c r="H851" s="266">
        <v>2.0</v>
      </c>
      <c r="I851" s="266">
        <v>1680.0</v>
      </c>
      <c r="J851" s="266">
        <v>14.0</v>
      </c>
      <c r="K851" s="266">
        <v>160.0</v>
      </c>
      <c r="L851" s="266">
        <v>8.0</v>
      </c>
      <c r="M851" s="266">
        <v>2.0</v>
      </c>
      <c r="N851" s="266">
        <v>3.0</v>
      </c>
      <c r="O851" s="266">
        <v>1.0</v>
      </c>
      <c r="P851" s="266" t="s">
        <v>166</v>
      </c>
      <c r="Q851" s="266" t="s">
        <v>166</v>
      </c>
      <c r="R851" s="497" t="s">
        <v>166</v>
      </c>
      <c r="S851" s="497" t="s">
        <v>166</v>
      </c>
      <c r="T851" s="496"/>
    </row>
    <row r="852">
      <c r="A852" s="494" t="s">
        <v>3401</v>
      </c>
      <c r="B852" s="495" t="s">
        <v>3530</v>
      </c>
      <c r="C852" s="174" t="str">
        <f t="shared" si="166"/>
        <v>MSI</v>
      </c>
      <c r="D852" s="452" t="s">
        <v>3925</v>
      </c>
      <c r="E852" s="266">
        <v>247.0</v>
      </c>
      <c r="F852" s="266">
        <v>129.0</v>
      </c>
      <c r="G852" s="266">
        <v>52.0</v>
      </c>
      <c r="H852" s="266">
        <v>2.0</v>
      </c>
      <c r="I852" s="266">
        <v>1830.0</v>
      </c>
      <c r="J852" s="266">
        <v>14.0</v>
      </c>
      <c r="K852" s="266">
        <v>160.0</v>
      </c>
      <c r="L852" s="266">
        <v>8.0</v>
      </c>
      <c r="M852" s="266">
        <v>2.0</v>
      </c>
      <c r="N852" s="266">
        <v>3.0</v>
      </c>
      <c r="O852" s="266">
        <v>1.0</v>
      </c>
      <c r="P852" s="266" t="s">
        <v>166</v>
      </c>
      <c r="Q852" s="266" t="s">
        <v>166</v>
      </c>
      <c r="R852" s="497" t="s">
        <v>166</v>
      </c>
      <c r="S852" s="497" t="s">
        <v>166</v>
      </c>
      <c r="T852" s="496"/>
    </row>
    <row r="853">
      <c r="A853" s="494" t="s">
        <v>3401</v>
      </c>
      <c r="B853" s="495" t="s">
        <v>3530</v>
      </c>
      <c r="C853" s="174" t="str">
        <f t="shared" si="166"/>
        <v>MSI</v>
      </c>
      <c r="D853" s="452" t="s">
        <v>3880</v>
      </c>
      <c r="E853" s="266">
        <v>297.0</v>
      </c>
      <c r="F853" s="266">
        <v>143.0</v>
      </c>
      <c r="G853" s="266">
        <v>56.0</v>
      </c>
      <c r="H853" s="266">
        <v>2.0</v>
      </c>
      <c r="I853" s="266">
        <v>1680.0</v>
      </c>
      <c r="J853" s="266">
        <v>14.0</v>
      </c>
      <c r="K853" s="266">
        <v>160.0</v>
      </c>
      <c r="L853" s="266" t="s">
        <v>3361</v>
      </c>
      <c r="M853" s="266">
        <v>2.0</v>
      </c>
      <c r="N853" s="266">
        <v>3.0</v>
      </c>
      <c r="O853" s="266">
        <v>1.0</v>
      </c>
      <c r="P853" s="266" t="s">
        <v>166</v>
      </c>
      <c r="Q853" s="266" t="s">
        <v>166</v>
      </c>
      <c r="R853" s="497" t="s">
        <v>166</v>
      </c>
      <c r="S853" s="497" t="s">
        <v>166</v>
      </c>
      <c r="T853" s="496"/>
    </row>
    <row r="854">
      <c r="A854" s="494" t="s">
        <v>3401</v>
      </c>
      <c r="B854" s="495" t="s">
        <v>3530</v>
      </c>
      <c r="C854" s="174" t="str">
        <f t="shared" si="166"/>
        <v>MSI</v>
      </c>
      <c r="D854" s="452" t="s">
        <v>3906</v>
      </c>
      <c r="E854" s="266">
        <v>297.0</v>
      </c>
      <c r="F854" s="266">
        <v>143.0</v>
      </c>
      <c r="G854" s="266">
        <v>56.0</v>
      </c>
      <c r="H854" s="266">
        <v>2.0</v>
      </c>
      <c r="I854" s="266">
        <v>1830.0</v>
      </c>
      <c r="J854" s="266">
        <v>14.0</v>
      </c>
      <c r="K854" s="266">
        <v>160.0</v>
      </c>
      <c r="L854" s="266" t="s">
        <v>3361</v>
      </c>
      <c r="M854" s="266">
        <v>2.0</v>
      </c>
      <c r="N854" s="266">
        <v>3.0</v>
      </c>
      <c r="O854" s="266">
        <v>1.0</v>
      </c>
      <c r="P854" s="266" t="s">
        <v>166</v>
      </c>
      <c r="Q854" s="266" t="s">
        <v>166</v>
      </c>
      <c r="R854" s="497" t="s">
        <v>166</v>
      </c>
      <c r="S854" s="497" t="s">
        <v>166</v>
      </c>
      <c r="T854" s="496"/>
    </row>
    <row r="855">
      <c r="A855" s="494" t="s">
        <v>3401</v>
      </c>
      <c r="B855" s="495" t="s">
        <v>3530</v>
      </c>
      <c r="C855" s="452" t="str">
        <f>HYPERLINK("https://www.nvidia.com/en-us/","Nvidia")</f>
        <v>Nvidia</v>
      </c>
      <c r="D855" s="452" t="str">
        <f>HYPERLINK("https://www.nvidia.com/en-us/geforce/graphics-cards/rtx-2060/","Founders Edition")</f>
        <v>Founders Edition</v>
      </c>
      <c r="E855" s="266">
        <v>228.6</v>
      </c>
      <c r="F855" s="266">
        <v>112.6</v>
      </c>
      <c r="G855" s="266">
        <v>40.0</v>
      </c>
      <c r="H855" s="266">
        <v>2.0</v>
      </c>
      <c r="I855" s="266">
        <v>1680.0</v>
      </c>
      <c r="J855" s="266">
        <v>14.0</v>
      </c>
      <c r="K855" s="266">
        <v>160.0</v>
      </c>
      <c r="L855" s="266">
        <v>8.0</v>
      </c>
      <c r="M855" s="266">
        <v>2.0</v>
      </c>
      <c r="N855" s="266">
        <v>1.0</v>
      </c>
      <c r="O855" s="266">
        <v>1.0</v>
      </c>
      <c r="P855" s="266">
        <v>1.0</v>
      </c>
      <c r="Q855" s="266">
        <v>1.0</v>
      </c>
      <c r="R855" s="497" t="s">
        <v>166</v>
      </c>
      <c r="S855" s="497" t="s">
        <v>166</v>
      </c>
      <c r="T855" s="496"/>
    </row>
    <row r="856">
      <c r="A856" s="494" t="s">
        <v>3401</v>
      </c>
      <c r="B856" s="495" t="s">
        <v>3530</v>
      </c>
      <c r="C856" s="452" t="str">
        <f t="shared" ref="C856:C859" si="167">HYPERLINK("http://www.palit.com/palit/index.php?lang=en","Palit")</f>
        <v>Palit</v>
      </c>
      <c r="D856" s="452" t="str">
        <f>HYPERLINK("http://www.palit.com/palit/vgapro.php?id=3181&amp;lang=en","Dual")</f>
        <v>Dual</v>
      </c>
      <c r="E856" s="266">
        <v>235.0</v>
      </c>
      <c r="F856" s="266">
        <v>115.0</v>
      </c>
      <c r="G856" s="266">
        <v>40.0</v>
      </c>
      <c r="H856" s="266">
        <v>2.0</v>
      </c>
      <c r="I856" s="266">
        <v>1680.0</v>
      </c>
      <c r="J856" s="266">
        <v>14.0</v>
      </c>
      <c r="K856" s="266">
        <v>160.0</v>
      </c>
      <c r="L856" s="266">
        <v>8.0</v>
      </c>
      <c r="M856" s="266">
        <v>2.0</v>
      </c>
      <c r="N856" s="266">
        <v>1.0</v>
      </c>
      <c r="O856" s="266">
        <v>1.0</v>
      </c>
      <c r="P856" s="266" t="s">
        <v>166</v>
      </c>
      <c r="Q856" s="266">
        <v>1.0</v>
      </c>
      <c r="R856" s="497" t="s">
        <v>166</v>
      </c>
      <c r="S856" s="497" t="s">
        <v>166</v>
      </c>
      <c r="T856" s="496"/>
    </row>
    <row r="857">
      <c r="A857" s="494" t="s">
        <v>3401</v>
      </c>
      <c r="B857" s="495" t="s">
        <v>3530</v>
      </c>
      <c r="C857" s="452" t="str">
        <f t="shared" si="167"/>
        <v>Palit</v>
      </c>
      <c r="D857" s="452" t="str">
        <f>HYPERLINK("http://www.palit.com/palit/vgapro.php?id=3188&amp;lang=en","Dual OC")</f>
        <v>Dual OC</v>
      </c>
      <c r="E857" s="266">
        <v>235.0</v>
      </c>
      <c r="F857" s="266">
        <v>115.0</v>
      </c>
      <c r="G857" s="266">
        <v>40.0</v>
      </c>
      <c r="H857" s="266">
        <v>2.0</v>
      </c>
      <c r="I857" s="266">
        <v>1725.0</v>
      </c>
      <c r="J857" s="266">
        <v>14.0</v>
      </c>
      <c r="K857" s="266">
        <v>160.0</v>
      </c>
      <c r="L857" s="266">
        <v>8.0</v>
      </c>
      <c r="M857" s="266">
        <v>2.0</v>
      </c>
      <c r="N857" s="266">
        <v>1.0</v>
      </c>
      <c r="O857" s="266">
        <v>1.0</v>
      </c>
      <c r="P857" s="266" t="s">
        <v>166</v>
      </c>
      <c r="Q857" s="266">
        <v>1.0</v>
      </c>
      <c r="R857" s="497" t="s">
        <v>166</v>
      </c>
      <c r="S857" s="497" t="s">
        <v>166</v>
      </c>
      <c r="T857" s="496"/>
    </row>
    <row r="858">
      <c r="A858" s="494" t="s">
        <v>3401</v>
      </c>
      <c r="B858" s="495" t="s">
        <v>3530</v>
      </c>
      <c r="C858" s="452" t="str">
        <f t="shared" si="167"/>
        <v>Palit</v>
      </c>
      <c r="D858" s="452" t="str">
        <f>HYPERLINK("http://www.palit.com/palit/vgapro.php?id=3132&amp;lang=en","GamingPro")</f>
        <v>GamingPro</v>
      </c>
      <c r="E858" s="266">
        <v>235.0</v>
      </c>
      <c r="F858" s="266">
        <v>112.0</v>
      </c>
      <c r="G858" s="266">
        <v>40.0</v>
      </c>
      <c r="H858" s="266">
        <v>2.0</v>
      </c>
      <c r="I858" s="266">
        <v>1680.0</v>
      </c>
      <c r="J858" s="266">
        <v>14.0</v>
      </c>
      <c r="K858" s="266">
        <v>160.0</v>
      </c>
      <c r="L858" s="266">
        <v>8.0</v>
      </c>
      <c r="M858" s="266">
        <v>2.0</v>
      </c>
      <c r="N858" s="266">
        <v>1.0</v>
      </c>
      <c r="O858" s="266">
        <v>1.0</v>
      </c>
      <c r="P858" s="266" t="s">
        <v>166</v>
      </c>
      <c r="Q858" s="266">
        <v>1.0</v>
      </c>
      <c r="R858" s="497" t="s">
        <v>166</v>
      </c>
      <c r="S858" s="497" t="s">
        <v>166</v>
      </c>
      <c r="T858" s="496"/>
    </row>
    <row r="859">
      <c r="A859" s="494" t="s">
        <v>3401</v>
      </c>
      <c r="B859" s="495" t="s">
        <v>3530</v>
      </c>
      <c r="C859" s="452" t="str">
        <f t="shared" si="167"/>
        <v>Palit</v>
      </c>
      <c r="D859" s="452" t="str">
        <f>HYPERLINK("http://www.palit.com/palit/vgapro.php?id=3125&amp;lang=en","GamingPro OC")</f>
        <v>GamingPro OC</v>
      </c>
      <c r="E859" s="266">
        <v>235.0</v>
      </c>
      <c r="F859" s="266">
        <v>112.0</v>
      </c>
      <c r="G859" s="266">
        <v>40.0</v>
      </c>
      <c r="H859" s="266">
        <v>2.0</v>
      </c>
      <c r="I859" s="266">
        <v>1830.0</v>
      </c>
      <c r="J859" s="266">
        <v>14.0</v>
      </c>
      <c r="K859" s="266">
        <v>160.0</v>
      </c>
      <c r="L859" s="266">
        <v>8.0</v>
      </c>
      <c r="M859" s="266">
        <v>2.0</v>
      </c>
      <c r="N859" s="266">
        <v>1.0</v>
      </c>
      <c r="O859" s="266">
        <v>1.0</v>
      </c>
      <c r="P859" s="266" t="s">
        <v>166</v>
      </c>
      <c r="Q859" s="266">
        <v>1.0</v>
      </c>
      <c r="R859" s="497" t="s">
        <v>166</v>
      </c>
      <c r="S859" s="497" t="s">
        <v>166</v>
      </c>
      <c r="T859" s="496"/>
    </row>
    <row r="860">
      <c r="A860" s="494" t="s">
        <v>3401</v>
      </c>
      <c r="B860" s="495" t="s">
        <v>3530</v>
      </c>
      <c r="C860" s="452" t="str">
        <f t="shared" ref="C860:C861" si="168">HYPERLINK("https://pny.com/","PNY")</f>
        <v>PNY</v>
      </c>
      <c r="D860" s="452" t="str">
        <f>HYPERLINK("https://pny.com/pny-geforce-rtx-2060-6gb-blower","Blower")</f>
        <v>Blower</v>
      </c>
      <c r="E860" s="266">
        <v>281.0</v>
      </c>
      <c r="F860" s="266">
        <v>125.0</v>
      </c>
      <c r="G860" s="266">
        <v>42.0</v>
      </c>
      <c r="H860" s="266">
        <v>2.0</v>
      </c>
      <c r="I860" s="266">
        <v>1680.0</v>
      </c>
      <c r="J860" s="266">
        <v>14.0</v>
      </c>
      <c r="K860" s="266">
        <v>160.0</v>
      </c>
      <c r="L860" s="266">
        <v>8.0</v>
      </c>
      <c r="M860" s="266">
        <v>1.0</v>
      </c>
      <c r="N860" s="266">
        <v>3.0</v>
      </c>
      <c r="O860" s="266">
        <v>1.0</v>
      </c>
      <c r="P860" s="266" t="s">
        <v>166</v>
      </c>
      <c r="Q860" s="266" t="s">
        <v>166</v>
      </c>
      <c r="R860" s="266" t="s">
        <v>166</v>
      </c>
      <c r="S860" s="266" t="s">
        <v>174</v>
      </c>
      <c r="T860" s="494"/>
    </row>
    <row r="861">
      <c r="A861" s="494" t="s">
        <v>3401</v>
      </c>
      <c r="B861" s="495" t="s">
        <v>3530</v>
      </c>
      <c r="C861" s="452" t="str">
        <f t="shared" si="168"/>
        <v>PNY</v>
      </c>
      <c r="D861" s="452" t="str">
        <f>HYPERLINK("https://pny.com/geforce-rtx-2060-6gb-xlr8-gaming-overclocked","XLR8 Gaming OC")</f>
        <v>XLR8 Gaming OC</v>
      </c>
      <c r="E861" s="266">
        <v>235.0</v>
      </c>
      <c r="F861" s="266">
        <v>112.0</v>
      </c>
      <c r="G861" s="266">
        <v>40.0</v>
      </c>
      <c r="H861" s="266">
        <v>2.0</v>
      </c>
      <c r="I861" s="266">
        <v>1830.0</v>
      </c>
      <c r="J861" s="266">
        <v>14.0</v>
      </c>
      <c r="K861" s="266">
        <v>160.0</v>
      </c>
      <c r="L861" s="266">
        <v>8.0</v>
      </c>
      <c r="M861" s="266">
        <v>2.0</v>
      </c>
      <c r="N861" s="266">
        <v>1.0</v>
      </c>
      <c r="O861" s="266">
        <v>1.0</v>
      </c>
      <c r="P861" s="266" t="s">
        <v>166</v>
      </c>
      <c r="Q861" s="266">
        <v>1.0</v>
      </c>
      <c r="R861" s="497" t="s">
        <v>166</v>
      </c>
      <c r="S861" s="497" t="s">
        <v>166</v>
      </c>
      <c r="T861" s="496"/>
    </row>
    <row r="862">
      <c r="A862" s="538" t="s">
        <v>3401</v>
      </c>
      <c r="B862" s="539" t="s">
        <v>3530</v>
      </c>
      <c r="C862" s="290" t="s">
        <v>3440</v>
      </c>
      <c r="D862" s="391" t="s">
        <v>3867</v>
      </c>
      <c r="E862" s="519">
        <v>308.0</v>
      </c>
      <c r="F862" s="519">
        <v>113.0</v>
      </c>
      <c r="G862" s="519">
        <v>57.0</v>
      </c>
      <c r="H862" s="519">
        <v>2.0</v>
      </c>
      <c r="I862" s="519">
        <v>1830.0</v>
      </c>
      <c r="J862" s="519">
        <v>14.0</v>
      </c>
      <c r="K862" s="519">
        <v>190.0</v>
      </c>
      <c r="L862" s="519" t="s">
        <v>3361</v>
      </c>
      <c r="M862" s="519">
        <v>3.0</v>
      </c>
      <c r="N862" s="519">
        <v>3.0</v>
      </c>
      <c r="O862" s="519">
        <v>1.0</v>
      </c>
      <c r="P862" s="519" t="s">
        <v>166</v>
      </c>
      <c r="Q862" s="519" t="s">
        <v>166</v>
      </c>
      <c r="R862" s="519" t="s">
        <v>166</v>
      </c>
      <c r="S862" s="519" t="s">
        <v>166</v>
      </c>
      <c r="T862" s="498"/>
    </row>
    <row r="863">
      <c r="A863" s="504" t="s">
        <v>3401</v>
      </c>
      <c r="B863" s="505" t="s">
        <v>3537</v>
      </c>
      <c r="C863" s="282" t="str">
        <f t="shared" ref="C863:C864" si="169">HYPERLINK("https://www.asus.com/","Asus")</f>
        <v>Asus</v>
      </c>
      <c r="D863" s="506" t="s">
        <v>3629</v>
      </c>
      <c r="E863" s="507">
        <v>242.0</v>
      </c>
      <c r="F863" s="507">
        <v>130.0</v>
      </c>
      <c r="G863" s="507">
        <v>53.0</v>
      </c>
      <c r="H863" s="507">
        <v>2.0</v>
      </c>
      <c r="I863" s="507">
        <v>1680.0</v>
      </c>
      <c r="J863" s="507">
        <v>14.0</v>
      </c>
      <c r="K863" s="507">
        <v>184.0</v>
      </c>
      <c r="L863" s="507">
        <v>8.0</v>
      </c>
      <c r="M863" s="507">
        <v>2.0</v>
      </c>
      <c r="N863" s="507">
        <v>1.0</v>
      </c>
      <c r="O863" s="507">
        <v>2.0</v>
      </c>
      <c r="P863" s="507" t="s">
        <v>166</v>
      </c>
      <c r="Q863" s="507">
        <v>1.0</v>
      </c>
      <c r="R863" s="507" t="s">
        <v>166</v>
      </c>
      <c r="S863" s="507" t="s">
        <v>166</v>
      </c>
      <c r="T863" s="504"/>
    </row>
    <row r="864">
      <c r="A864" s="504" t="s">
        <v>3401</v>
      </c>
      <c r="B864" s="505" t="s">
        <v>3537</v>
      </c>
      <c r="C864" s="282" t="str">
        <f t="shared" si="169"/>
        <v>Asus</v>
      </c>
      <c r="D864" s="506" t="s">
        <v>3659</v>
      </c>
      <c r="E864" s="507">
        <v>242.0</v>
      </c>
      <c r="F864" s="507">
        <v>130.0</v>
      </c>
      <c r="G864" s="507">
        <v>53.0</v>
      </c>
      <c r="H864" s="507">
        <v>2.0</v>
      </c>
      <c r="I864" s="507">
        <v>1710.0</v>
      </c>
      <c r="J864" s="507">
        <v>14.0</v>
      </c>
      <c r="K864" s="507">
        <v>184.0</v>
      </c>
      <c r="L864" s="507">
        <v>8.0</v>
      </c>
      <c r="M864" s="507">
        <v>2.0</v>
      </c>
      <c r="N864" s="507">
        <v>1.0</v>
      </c>
      <c r="O864" s="507">
        <v>2.0</v>
      </c>
      <c r="P864" s="507" t="s">
        <v>166</v>
      </c>
      <c r="Q864" s="507">
        <v>1.0</v>
      </c>
      <c r="R864" s="507" t="s">
        <v>166</v>
      </c>
      <c r="S864" s="507" t="s">
        <v>166</v>
      </c>
      <c r="T864" s="504"/>
    </row>
    <row r="865">
      <c r="A865" s="504" t="s">
        <v>3401</v>
      </c>
      <c r="B865" s="505" t="s">
        <v>3537</v>
      </c>
      <c r="C865" s="452" t="s">
        <v>3575</v>
      </c>
      <c r="D865" s="506" t="s">
        <v>3870</v>
      </c>
      <c r="E865" s="507">
        <v>227.3</v>
      </c>
      <c r="F865" s="507">
        <v>124.6</v>
      </c>
      <c r="G865" s="507">
        <v>40.1</v>
      </c>
      <c r="H865" s="507">
        <v>2.0</v>
      </c>
      <c r="I865" s="507">
        <v>1650.0</v>
      </c>
      <c r="J865" s="507">
        <v>14.0</v>
      </c>
      <c r="K865" s="507">
        <v>184.0</v>
      </c>
      <c r="L865" s="507">
        <v>8.0</v>
      </c>
      <c r="M865" s="507">
        <v>2.0</v>
      </c>
      <c r="N865" s="507">
        <v>1.0</v>
      </c>
      <c r="O865" s="507">
        <v>1.0</v>
      </c>
      <c r="P865" s="507" t="s">
        <v>166</v>
      </c>
      <c r="Q865" s="507">
        <v>1.0</v>
      </c>
      <c r="R865" s="507" t="s">
        <v>166</v>
      </c>
      <c r="S865" s="507" t="s">
        <v>166</v>
      </c>
      <c r="T865" s="504"/>
    </row>
    <row r="866">
      <c r="A866" s="504" t="s">
        <v>3401</v>
      </c>
      <c r="B866" s="505" t="s">
        <v>3537</v>
      </c>
      <c r="C866" s="506" t="str">
        <f t="shared" ref="C866:C868" si="170">HYPERLINK("http://www.gainward.com/main/index.php?lang=en","Gainward")</f>
        <v>Gainward</v>
      </c>
      <c r="D866" s="506" t="s">
        <v>3592</v>
      </c>
      <c r="E866" s="507">
        <v>283.0</v>
      </c>
      <c r="F866" s="507">
        <v>139.0</v>
      </c>
      <c r="G866" s="507">
        <v>42.0</v>
      </c>
      <c r="H866" s="507">
        <v>2.0</v>
      </c>
      <c r="I866" s="507">
        <v>1665.0</v>
      </c>
      <c r="J866" s="507">
        <v>14.0</v>
      </c>
      <c r="K866" s="507">
        <v>184.0</v>
      </c>
      <c r="L866" s="507">
        <v>8.0</v>
      </c>
      <c r="M866" s="507">
        <v>2.0</v>
      </c>
      <c r="N866" s="507">
        <v>1.0</v>
      </c>
      <c r="O866" s="507">
        <v>1.0</v>
      </c>
      <c r="P866" s="507" t="s">
        <v>166</v>
      </c>
      <c r="Q866" s="507">
        <v>1.0</v>
      </c>
      <c r="R866" s="507" t="s">
        <v>166</v>
      </c>
      <c r="S866" s="507" t="s">
        <v>166</v>
      </c>
      <c r="T866" s="504"/>
    </row>
    <row r="867">
      <c r="A867" s="504" t="s">
        <v>3401</v>
      </c>
      <c r="B867" s="505" t="s">
        <v>3537</v>
      </c>
      <c r="C867" s="506" t="str">
        <f t="shared" si="170"/>
        <v>Gainward</v>
      </c>
      <c r="D867" s="506" t="s">
        <v>3926</v>
      </c>
      <c r="E867" s="507">
        <v>235.0</v>
      </c>
      <c r="F867" s="507">
        <v>115.0</v>
      </c>
      <c r="G867" s="507">
        <v>40.0</v>
      </c>
      <c r="H867" s="507">
        <v>2.0</v>
      </c>
      <c r="I867" s="507">
        <v>1650.0</v>
      </c>
      <c r="J867" s="507">
        <v>14.0</v>
      </c>
      <c r="K867" s="507">
        <v>184.0</v>
      </c>
      <c r="L867" s="507">
        <v>8.0</v>
      </c>
      <c r="M867" s="507">
        <v>2.0</v>
      </c>
      <c r="N867" s="507">
        <v>1.0</v>
      </c>
      <c r="O867" s="507">
        <v>1.0</v>
      </c>
      <c r="P867" s="507" t="s">
        <v>166</v>
      </c>
      <c r="Q867" s="507">
        <v>1.0</v>
      </c>
      <c r="R867" s="507" t="s">
        <v>166</v>
      </c>
      <c r="S867" s="507" t="s">
        <v>166</v>
      </c>
      <c r="T867" s="504"/>
    </row>
    <row r="868">
      <c r="A868" s="504" t="s">
        <v>3401</v>
      </c>
      <c r="B868" s="505" t="s">
        <v>3537</v>
      </c>
      <c r="C868" s="452" t="str">
        <f t="shared" si="170"/>
        <v>Gainward</v>
      </c>
      <c r="D868" s="506" t="s">
        <v>3488</v>
      </c>
      <c r="E868" s="507">
        <v>235.0</v>
      </c>
      <c r="F868" s="507">
        <v>115.0</v>
      </c>
      <c r="G868" s="507">
        <v>40.0</v>
      </c>
      <c r="H868" s="507">
        <v>2.0</v>
      </c>
      <c r="I868" s="507">
        <v>1695.0</v>
      </c>
      <c r="J868" s="507">
        <v>14.0</v>
      </c>
      <c r="K868" s="507">
        <v>184.0</v>
      </c>
      <c r="L868" s="507">
        <v>8.0</v>
      </c>
      <c r="M868" s="507">
        <v>2.0</v>
      </c>
      <c r="N868" s="507">
        <v>1.0</v>
      </c>
      <c r="O868" s="507">
        <v>1.0</v>
      </c>
      <c r="P868" s="507" t="s">
        <v>166</v>
      </c>
      <c r="Q868" s="507">
        <v>1.0</v>
      </c>
      <c r="R868" s="507" t="s">
        <v>166</v>
      </c>
      <c r="S868" s="507" t="s">
        <v>166</v>
      </c>
      <c r="T868" s="494"/>
    </row>
    <row r="869">
      <c r="A869" s="572" t="s">
        <v>3401</v>
      </c>
      <c r="B869" s="573" t="s">
        <v>3537</v>
      </c>
      <c r="C869" s="174" t="s">
        <v>3456</v>
      </c>
      <c r="D869" s="506" t="s">
        <v>3927</v>
      </c>
      <c r="E869" s="507">
        <v>239.0</v>
      </c>
      <c r="F869" s="507">
        <v>137.0</v>
      </c>
      <c r="G869" s="507">
        <v>41.0</v>
      </c>
      <c r="H869" s="507">
        <v>2.0</v>
      </c>
      <c r="I869" s="507">
        <v>1650.0</v>
      </c>
      <c r="J869" s="507">
        <v>14.0</v>
      </c>
      <c r="K869" s="507">
        <v>184.0</v>
      </c>
      <c r="L869" s="507">
        <v>8.0</v>
      </c>
      <c r="M869" s="507">
        <v>2.0</v>
      </c>
      <c r="N869" s="507">
        <v>1.0</v>
      </c>
      <c r="O869" s="507">
        <v>1.0</v>
      </c>
      <c r="P869" s="507" t="s">
        <v>166</v>
      </c>
      <c r="Q869" s="507">
        <v>1.0</v>
      </c>
      <c r="R869" s="507" t="s">
        <v>166</v>
      </c>
      <c r="S869" s="507" t="s">
        <v>166</v>
      </c>
      <c r="T869" s="494"/>
    </row>
    <row r="870">
      <c r="A870" s="572" t="s">
        <v>3401</v>
      </c>
      <c r="B870" s="573" t="s">
        <v>3537</v>
      </c>
      <c r="C870" s="174" t="s">
        <v>3456</v>
      </c>
      <c r="D870" s="506" t="s">
        <v>3928</v>
      </c>
      <c r="E870" s="507">
        <v>282.0</v>
      </c>
      <c r="F870" s="507">
        <v>129.0</v>
      </c>
      <c r="G870" s="507">
        <v>45.0</v>
      </c>
      <c r="H870" s="507">
        <v>2.0</v>
      </c>
      <c r="I870" s="507">
        <v>1650.0</v>
      </c>
      <c r="J870" s="507">
        <v>14.0</v>
      </c>
      <c r="K870" s="507">
        <v>184.0</v>
      </c>
      <c r="L870" s="507">
        <v>8.0</v>
      </c>
      <c r="M870" s="507">
        <v>3.0</v>
      </c>
      <c r="N870" s="507">
        <v>3.0</v>
      </c>
      <c r="O870" s="507">
        <v>1.0</v>
      </c>
      <c r="P870" s="507" t="s">
        <v>166</v>
      </c>
      <c r="Q870" s="507" t="s">
        <v>166</v>
      </c>
      <c r="R870" s="507" t="s">
        <v>166</v>
      </c>
      <c r="S870" s="507" t="s">
        <v>166</v>
      </c>
      <c r="T870" s="494"/>
    </row>
    <row r="871">
      <c r="A871" s="572" t="s">
        <v>3401</v>
      </c>
      <c r="B871" s="573" t="s">
        <v>3537</v>
      </c>
      <c r="C871" s="174" t="s">
        <v>3456</v>
      </c>
      <c r="D871" s="506" t="s">
        <v>3929</v>
      </c>
      <c r="E871" s="507">
        <v>282.0</v>
      </c>
      <c r="F871" s="507">
        <v>129.0</v>
      </c>
      <c r="G871" s="507">
        <v>45.0</v>
      </c>
      <c r="H871" s="507">
        <v>2.0</v>
      </c>
      <c r="I871" s="507">
        <v>1695.0</v>
      </c>
      <c r="J871" s="507">
        <v>14.0</v>
      </c>
      <c r="K871" s="507">
        <v>184.0</v>
      </c>
      <c r="L871" s="507">
        <v>8.0</v>
      </c>
      <c r="M871" s="507">
        <v>3.0</v>
      </c>
      <c r="N871" s="507">
        <v>3.0</v>
      </c>
      <c r="O871" s="507">
        <v>1.0</v>
      </c>
      <c r="P871" s="507" t="s">
        <v>166</v>
      </c>
      <c r="Q871" s="507" t="s">
        <v>166</v>
      </c>
      <c r="R871" s="507" t="s">
        <v>166</v>
      </c>
      <c r="S871" s="507" t="s">
        <v>166</v>
      </c>
      <c r="T871" s="494"/>
    </row>
    <row r="872">
      <c r="A872" s="572" t="s">
        <v>3401</v>
      </c>
      <c r="B872" s="573" t="s">
        <v>3537</v>
      </c>
      <c r="C872" s="174" t="s">
        <v>3456</v>
      </c>
      <c r="D872" s="506" t="s">
        <v>3930</v>
      </c>
      <c r="E872" s="507">
        <v>230.0</v>
      </c>
      <c r="F872" s="507">
        <v>119.0</v>
      </c>
      <c r="G872" s="507">
        <v>38.0</v>
      </c>
      <c r="H872" s="507">
        <v>2.0</v>
      </c>
      <c r="I872" s="507">
        <v>1710.0</v>
      </c>
      <c r="J872" s="507">
        <v>14.0</v>
      </c>
      <c r="K872" s="507">
        <v>184.0</v>
      </c>
      <c r="L872" s="507">
        <v>8.0</v>
      </c>
      <c r="M872" s="507">
        <v>2.0</v>
      </c>
      <c r="N872" s="507">
        <v>1.0</v>
      </c>
      <c r="O872" s="507">
        <v>1.0</v>
      </c>
      <c r="P872" s="507" t="s">
        <v>166</v>
      </c>
      <c r="Q872" s="507">
        <v>1.0</v>
      </c>
      <c r="R872" s="507" t="s">
        <v>166</v>
      </c>
      <c r="S872" s="507" t="s">
        <v>166</v>
      </c>
      <c r="T872" s="494"/>
    </row>
    <row r="873">
      <c r="A873" s="504" t="s">
        <v>3401</v>
      </c>
      <c r="B873" s="505" t="s">
        <v>3537</v>
      </c>
      <c r="C873" s="174" t="str">
        <f t="shared" ref="C873:C874" si="171">HYPERLINK("https://www.gigabyte.com/","Gigabyte")</f>
        <v>Gigabyte</v>
      </c>
      <c r="D873" s="506" t="s">
        <v>223</v>
      </c>
      <c r="E873" s="507">
        <v>224.0</v>
      </c>
      <c r="F873" s="507">
        <v>121.0</v>
      </c>
      <c r="G873" s="507">
        <v>41.0</v>
      </c>
      <c r="H873" s="507">
        <v>2.0</v>
      </c>
      <c r="I873" s="507">
        <v>1650.0</v>
      </c>
      <c r="J873" s="507">
        <v>14.0</v>
      </c>
      <c r="K873" s="507">
        <v>184.0</v>
      </c>
      <c r="L873" s="507">
        <v>8.0</v>
      </c>
      <c r="M873" s="507">
        <v>2.0</v>
      </c>
      <c r="N873" s="507">
        <v>3.0</v>
      </c>
      <c r="O873" s="507">
        <v>1.0</v>
      </c>
      <c r="P873" s="507" t="s">
        <v>166</v>
      </c>
      <c r="Q873" s="507" t="s">
        <v>166</v>
      </c>
      <c r="R873" s="507" t="s">
        <v>166</v>
      </c>
      <c r="S873" s="507" t="s">
        <v>166</v>
      </c>
      <c r="T873" s="494"/>
    </row>
    <row r="874">
      <c r="A874" s="504" t="s">
        <v>3401</v>
      </c>
      <c r="B874" s="505" t="s">
        <v>3537</v>
      </c>
      <c r="C874" s="174" t="str">
        <f t="shared" si="171"/>
        <v>Gigabyte</v>
      </c>
      <c r="D874" s="506" t="s">
        <v>3578</v>
      </c>
      <c r="E874" s="507">
        <v>265.0</v>
      </c>
      <c r="F874" s="507">
        <v>121.0</v>
      </c>
      <c r="G874" s="507">
        <v>40.0</v>
      </c>
      <c r="H874" s="507">
        <v>2.0</v>
      </c>
      <c r="I874" s="507">
        <v>1680.0</v>
      </c>
      <c r="J874" s="507">
        <v>14.0</v>
      </c>
      <c r="K874" s="507">
        <v>184.0</v>
      </c>
      <c r="L874" s="507">
        <v>8.0</v>
      </c>
      <c r="M874" s="507">
        <v>2.0</v>
      </c>
      <c r="N874" s="507">
        <v>3.0</v>
      </c>
      <c r="O874" s="507">
        <v>1.0</v>
      </c>
      <c r="P874" s="507" t="s">
        <v>166</v>
      </c>
      <c r="Q874" s="507" t="s">
        <v>166</v>
      </c>
      <c r="R874" s="507" t="s">
        <v>166</v>
      </c>
      <c r="S874" s="507" t="s">
        <v>166</v>
      </c>
      <c r="T874" s="494"/>
    </row>
    <row r="875">
      <c r="A875" s="504" t="s">
        <v>3401</v>
      </c>
      <c r="B875" s="505" t="s">
        <v>3537</v>
      </c>
      <c r="C875" s="452" t="str">
        <f>HYPERLINK("http://www.inno3d.com/","Inno3D")</f>
        <v>Inno3D</v>
      </c>
      <c r="D875" s="506" t="s">
        <v>3882</v>
      </c>
      <c r="E875" s="507">
        <v>240.0</v>
      </c>
      <c r="F875" s="507">
        <v>120.0</v>
      </c>
      <c r="G875" s="507">
        <v>40.0</v>
      </c>
      <c r="H875" s="507">
        <v>2.0</v>
      </c>
      <c r="I875" s="507">
        <v>1665.0</v>
      </c>
      <c r="J875" s="507">
        <v>14.0</v>
      </c>
      <c r="K875" s="507">
        <v>184.0</v>
      </c>
      <c r="L875" s="507">
        <v>8.0</v>
      </c>
      <c r="M875" s="507">
        <v>2.0</v>
      </c>
      <c r="N875" s="507">
        <v>3.0</v>
      </c>
      <c r="O875" s="507">
        <v>1.0</v>
      </c>
      <c r="P875" s="507" t="s">
        <v>166</v>
      </c>
      <c r="Q875" s="507" t="s">
        <v>166</v>
      </c>
      <c r="R875" s="507" t="s">
        <v>166</v>
      </c>
      <c r="S875" s="507" t="s">
        <v>166</v>
      </c>
      <c r="T875" s="494"/>
    </row>
    <row r="876">
      <c r="A876" s="504" t="s">
        <v>3401</v>
      </c>
      <c r="B876" s="505" t="s">
        <v>3537</v>
      </c>
      <c r="C876" s="452" t="str">
        <f>HYPERLINK("http://manli.com/en","Manli")</f>
        <v>Manli</v>
      </c>
      <c r="D876" s="506" t="s">
        <v>3931</v>
      </c>
      <c r="E876" s="507">
        <v>255.0</v>
      </c>
      <c r="F876" s="507">
        <v>125.0</v>
      </c>
      <c r="G876" s="507">
        <v>40.0</v>
      </c>
      <c r="H876" s="507">
        <v>2.0</v>
      </c>
      <c r="I876" s="507">
        <v>1650.0</v>
      </c>
      <c r="J876" s="507">
        <v>14.0</v>
      </c>
      <c r="K876" s="507">
        <v>184.0</v>
      </c>
      <c r="L876" s="507">
        <v>8.0</v>
      </c>
      <c r="M876" s="507">
        <v>2.0</v>
      </c>
      <c r="N876" s="507">
        <v>3.0</v>
      </c>
      <c r="O876" s="507">
        <v>1.0</v>
      </c>
      <c r="P876" s="507" t="s">
        <v>166</v>
      </c>
      <c r="Q876" s="507" t="s">
        <v>166</v>
      </c>
      <c r="R876" s="507" t="s">
        <v>166</v>
      </c>
      <c r="S876" s="507" t="s">
        <v>166</v>
      </c>
      <c r="T876" s="494"/>
    </row>
    <row r="877">
      <c r="A877" s="504" t="s">
        <v>3401</v>
      </c>
      <c r="B877" s="505" t="s">
        <v>3537</v>
      </c>
      <c r="C877" s="174" t="str">
        <f t="shared" ref="C877:C878" si="172">HYPERLINK("https://www.msi.com/index.php","MSI")</f>
        <v>MSI</v>
      </c>
      <c r="D877" s="506" t="s">
        <v>3904</v>
      </c>
      <c r="E877" s="507">
        <v>231.0</v>
      </c>
      <c r="F877" s="507">
        <v>128.0</v>
      </c>
      <c r="G877" s="507">
        <v>42.0</v>
      </c>
      <c r="H877" s="507">
        <v>2.0</v>
      </c>
      <c r="I877" s="507">
        <v>1650.0</v>
      </c>
      <c r="J877" s="507">
        <v>14.0</v>
      </c>
      <c r="K877" s="507">
        <v>184.0</v>
      </c>
      <c r="L877" s="507">
        <v>8.0</v>
      </c>
      <c r="M877" s="507">
        <v>2.0</v>
      </c>
      <c r="N877" s="507">
        <v>3.0</v>
      </c>
      <c r="O877" s="507">
        <v>1.0</v>
      </c>
      <c r="P877" s="507" t="s">
        <v>166</v>
      </c>
      <c r="Q877" s="507" t="s">
        <v>166</v>
      </c>
      <c r="R877" s="507" t="s">
        <v>166</v>
      </c>
      <c r="S877" s="507" t="s">
        <v>166</v>
      </c>
      <c r="T877" s="494"/>
    </row>
    <row r="878">
      <c r="A878" s="504" t="s">
        <v>3401</v>
      </c>
      <c r="B878" s="505" t="s">
        <v>3537</v>
      </c>
      <c r="C878" s="174" t="str">
        <f t="shared" si="172"/>
        <v>MSI</v>
      </c>
      <c r="D878" s="506" t="s">
        <v>3905</v>
      </c>
      <c r="E878" s="507">
        <v>231.0</v>
      </c>
      <c r="F878" s="507">
        <v>128.0</v>
      </c>
      <c r="G878" s="507">
        <v>42.0</v>
      </c>
      <c r="H878" s="507">
        <v>2.0</v>
      </c>
      <c r="I878" s="507">
        <v>1710.0</v>
      </c>
      <c r="J878" s="574">
        <v>14.0</v>
      </c>
      <c r="K878" s="507">
        <v>184.0</v>
      </c>
      <c r="L878" s="507">
        <v>8.0</v>
      </c>
      <c r="M878" s="507">
        <v>2.0</v>
      </c>
      <c r="N878" s="507">
        <v>3.0</v>
      </c>
      <c r="O878" s="507">
        <v>1.0</v>
      </c>
      <c r="P878" s="507" t="s">
        <v>166</v>
      </c>
      <c r="Q878" s="507" t="s">
        <v>166</v>
      </c>
      <c r="R878" s="507" t="s">
        <v>166</v>
      </c>
      <c r="S878" s="507" t="s">
        <v>166</v>
      </c>
      <c r="T878" s="494"/>
    </row>
    <row r="879">
      <c r="A879" s="504" t="s">
        <v>3401</v>
      </c>
      <c r="B879" s="505" t="s">
        <v>3537</v>
      </c>
      <c r="C879" s="452" t="str">
        <f t="shared" ref="C879:C880" si="173">HYPERLINK("http://www.palit.com/palit/index.php?lang=en","Palit")</f>
        <v>Palit</v>
      </c>
      <c r="D879" s="506" t="s">
        <v>3372</v>
      </c>
      <c r="E879" s="507">
        <v>235.0</v>
      </c>
      <c r="F879" s="507">
        <v>115.0</v>
      </c>
      <c r="G879" s="507">
        <v>40.0</v>
      </c>
      <c r="H879" s="507">
        <v>2.0</v>
      </c>
      <c r="I879" s="507">
        <v>1650.0</v>
      </c>
      <c r="J879" s="574">
        <v>14.0</v>
      </c>
      <c r="K879" s="507">
        <v>184.0</v>
      </c>
      <c r="L879" s="507">
        <v>8.0</v>
      </c>
      <c r="M879" s="507">
        <v>2.0</v>
      </c>
      <c r="N879" s="507">
        <v>1.0</v>
      </c>
      <c r="O879" s="507">
        <v>1.0</v>
      </c>
      <c r="P879" s="507" t="s">
        <v>166</v>
      </c>
      <c r="Q879" s="507">
        <v>1.0</v>
      </c>
      <c r="R879" s="507" t="s">
        <v>166</v>
      </c>
      <c r="S879" s="507" t="s">
        <v>166</v>
      </c>
      <c r="T879" s="494"/>
    </row>
    <row r="880">
      <c r="A880" s="504" t="s">
        <v>3401</v>
      </c>
      <c r="B880" s="505" t="s">
        <v>3537</v>
      </c>
      <c r="C880" s="452" t="str">
        <f t="shared" si="173"/>
        <v>Palit</v>
      </c>
      <c r="D880" s="506" t="s">
        <v>3381</v>
      </c>
      <c r="E880" s="507">
        <v>235.0</v>
      </c>
      <c r="F880" s="507">
        <v>115.0</v>
      </c>
      <c r="G880" s="507">
        <v>40.0</v>
      </c>
      <c r="H880" s="507">
        <v>2.0</v>
      </c>
      <c r="I880" s="507">
        <v>1650.0</v>
      </c>
      <c r="J880" s="574">
        <v>14.0</v>
      </c>
      <c r="K880" s="507">
        <v>184.0</v>
      </c>
      <c r="L880" s="507">
        <v>8.0</v>
      </c>
      <c r="M880" s="507">
        <v>2.0</v>
      </c>
      <c r="N880" s="507">
        <v>1.0</v>
      </c>
      <c r="O880" s="507">
        <v>1.0</v>
      </c>
      <c r="P880" s="507" t="s">
        <v>166</v>
      </c>
      <c r="Q880" s="507">
        <v>1.0</v>
      </c>
      <c r="R880" s="507" t="s">
        <v>166</v>
      </c>
      <c r="S880" s="507" t="s">
        <v>166</v>
      </c>
      <c r="T880" s="494"/>
    </row>
    <row r="881">
      <c r="A881" s="504" t="s">
        <v>3401</v>
      </c>
      <c r="B881" s="505" t="s">
        <v>3537</v>
      </c>
      <c r="C881" s="452" t="str">
        <f t="shared" ref="C881:C882" si="174">HYPERLINK("https://pny.com/","PNY")</f>
        <v>PNY</v>
      </c>
      <c r="D881" s="506" t="s">
        <v>3932</v>
      </c>
      <c r="E881" s="507">
        <v>235.0</v>
      </c>
      <c r="F881" s="507">
        <v>115.0</v>
      </c>
      <c r="G881" s="507">
        <v>40.0</v>
      </c>
      <c r="H881" s="507">
        <v>2.0</v>
      </c>
      <c r="I881" s="507">
        <v>1650.0</v>
      </c>
      <c r="J881" s="574">
        <v>14.0</v>
      </c>
      <c r="K881" s="507">
        <v>184.0</v>
      </c>
      <c r="L881" s="507">
        <v>8.0</v>
      </c>
      <c r="M881" s="507">
        <v>2.0</v>
      </c>
      <c r="N881" s="507">
        <v>1.0</v>
      </c>
      <c r="O881" s="507">
        <v>1.0</v>
      </c>
      <c r="P881" s="507" t="s">
        <v>166</v>
      </c>
      <c r="Q881" s="507">
        <v>1.0</v>
      </c>
      <c r="R881" s="507" t="s">
        <v>166</v>
      </c>
      <c r="S881" s="507" t="s">
        <v>166</v>
      </c>
      <c r="T881" s="494"/>
    </row>
    <row r="882">
      <c r="A882" s="504" t="s">
        <v>3401</v>
      </c>
      <c r="B882" s="505" t="s">
        <v>3537</v>
      </c>
      <c r="C882" s="452" t="str">
        <f t="shared" si="174"/>
        <v>PNY</v>
      </c>
      <c r="D882" s="506" t="s">
        <v>3933</v>
      </c>
      <c r="E882" s="507">
        <v>255.0</v>
      </c>
      <c r="F882" s="507">
        <v>125.0</v>
      </c>
      <c r="G882" s="507">
        <v>40.0</v>
      </c>
      <c r="H882" s="507">
        <v>2.0</v>
      </c>
      <c r="I882" s="507">
        <v>1650.0</v>
      </c>
      <c r="J882" s="574">
        <v>14.0</v>
      </c>
      <c r="K882" s="507">
        <v>184.0</v>
      </c>
      <c r="L882" s="507">
        <v>8.0</v>
      </c>
      <c r="M882" s="507">
        <v>2.0</v>
      </c>
      <c r="N882" s="507">
        <v>3.0</v>
      </c>
      <c r="O882" s="507">
        <v>1.0</v>
      </c>
      <c r="P882" s="507" t="s">
        <v>166</v>
      </c>
      <c r="Q882" s="507" t="s">
        <v>166</v>
      </c>
      <c r="R882" s="507" t="s">
        <v>166</v>
      </c>
      <c r="S882" s="507" t="s">
        <v>166</v>
      </c>
      <c r="T882" s="494"/>
    </row>
    <row r="883">
      <c r="A883" s="538" t="s">
        <v>3401</v>
      </c>
      <c r="B883" s="539" t="s">
        <v>3537</v>
      </c>
      <c r="C883" s="290" t="s">
        <v>3440</v>
      </c>
      <c r="D883" s="391" t="s">
        <v>3934</v>
      </c>
      <c r="E883" s="519">
        <v>218.0</v>
      </c>
      <c r="F883" s="519">
        <v>118.0</v>
      </c>
      <c r="G883" s="519">
        <v>41.0</v>
      </c>
      <c r="H883" s="519">
        <v>2.0</v>
      </c>
      <c r="I883" s="519">
        <v>1710.0</v>
      </c>
      <c r="J883" s="519">
        <v>14.0</v>
      </c>
      <c r="K883" s="519">
        <v>184.0</v>
      </c>
      <c r="L883" s="519">
        <v>8.0</v>
      </c>
      <c r="M883" s="519">
        <v>2.0</v>
      </c>
      <c r="N883" s="519">
        <v>1.0</v>
      </c>
      <c r="O883" s="519">
        <v>1.0</v>
      </c>
      <c r="P883" s="519" t="s">
        <v>166</v>
      </c>
      <c r="Q883" s="519">
        <v>1.0</v>
      </c>
      <c r="R883" s="519" t="s">
        <v>166</v>
      </c>
      <c r="S883" s="519" t="s">
        <v>166</v>
      </c>
      <c r="T883" s="498"/>
    </row>
    <row r="884">
      <c r="A884" s="504" t="s">
        <v>3401</v>
      </c>
      <c r="B884" s="505" t="s">
        <v>3540</v>
      </c>
      <c r="C884" s="282" t="s">
        <v>3467</v>
      </c>
      <c r="D884" s="506" t="s">
        <v>3884</v>
      </c>
      <c r="E884" s="507">
        <v>225.0</v>
      </c>
      <c r="F884" s="507">
        <v>115.0</v>
      </c>
      <c r="G884" s="507">
        <v>50.0</v>
      </c>
      <c r="H884" s="507">
        <v>2.0</v>
      </c>
      <c r="I884" s="507">
        <v>1650.0</v>
      </c>
      <c r="J884" s="507">
        <v>14.0</v>
      </c>
      <c r="K884" s="507">
        <v>175.0</v>
      </c>
      <c r="L884" s="507">
        <v>8.0</v>
      </c>
      <c r="M884" s="507">
        <v>2.0</v>
      </c>
      <c r="N884" s="507">
        <v>1.0</v>
      </c>
      <c r="O884" s="507">
        <v>1.0</v>
      </c>
      <c r="P884" s="507" t="s">
        <v>166</v>
      </c>
      <c r="Q884" s="507">
        <v>1.0</v>
      </c>
      <c r="R884" s="507" t="s">
        <v>166</v>
      </c>
      <c r="S884" s="507" t="s">
        <v>166</v>
      </c>
      <c r="T884" s="504"/>
    </row>
    <row r="885">
      <c r="A885" s="504" t="s">
        <v>3401</v>
      </c>
      <c r="B885" s="505" t="s">
        <v>3540</v>
      </c>
      <c r="C885" s="282" t="str">
        <f t="shared" ref="C885:C899" si="175">HYPERLINK("https://www.asus.com/","Asus")</f>
        <v>Asus</v>
      </c>
      <c r="D885" s="506" t="s">
        <v>3935</v>
      </c>
      <c r="E885" s="507">
        <v>268.0</v>
      </c>
      <c r="F885" s="507">
        <v>113.0</v>
      </c>
      <c r="G885" s="507">
        <v>40.0</v>
      </c>
      <c r="H885" s="507">
        <v>2.0</v>
      </c>
      <c r="I885" s="507">
        <v>1680.0</v>
      </c>
      <c r="J885" s="507">
        <v>14.0</v>
      </c>
      <c r="K885" s="507">
        <v>175.0</v>
      </c>
      <c r="L885" s="507">
        <v>8.0</v>
      </c>
      <c r="M885" s="507">
        <v>1.0</v>
      </c>
      <c r="N885" s="507">
        <v>2.0</v>
      </c>
      <c r="O885" s="507">
        <v>2.0</v>
      </c>
      <c r="P885" s="507" t="s">
        <v>166</v>
      </c>
      <c r="Q885" s="507" t="s">
        <v>166</v>
      </c>
      <c r="R885" s="507" t="s">
        <v>166</v>
      </c>
      <c r="S885" s="507" t="s">
        <v>174</v>
      </c>
      <c r="T885" s="494"/>
    </row>
    <row r="886">
      <c r="A886" s="494" t="s">
        <v>3401</v>
      </c>
      <c r="B886" s="495" t="s">
        <v>3540</v>
      </c>
      <c r="C886" s="174" t="str">
        <f t="shared" si="175"/>
        <v>Asus</v>
      </c>
      <c r="D886" s="452" t="s">
        <v>3629</v>
      </c>
      <c r="E886" s="266">
        <v>267.0</v>
      </c>
      <c r="F886" s="266">
        <v>118.0</v>
      </c>
      <c r="G886" s="266">
        <v>58.0</v>
      </c>
      <c r="H886" s="266">
        <v>2.0</v>
      </c>
      <c r="I886" s="266">
        <v>1680.0</v>
      </c>
      <c r="J886" s="266">
        <v>14.0</v>
      </c>
      <c r="K886" s="266">
        <v>175.0</v>
      </c>
      <c r="L886" s="266">
        <v>8.0</v>
      </c>
      <c r="M886" s="266">
        <v>2.0</v>
      </c>
      <c r="N886" s="266">
        <v>2.0</v>
      </c>
      <c r="O886" s="266">
        <v>2.0</v>
      </c>
      <c r="P886" s="266" t="s">
        <v>166</v>
      </c>
      <c r="Q886" s="266">
        <v>1.0</v>
      </c>
      <c r="R886" s="497" t="s">
        <v>166</v>
      </c>
      <c r="S886" s="497" t="s">
        <v>166</v>
      </c>
      <c r="T886" s="496"/>
    </row>
    <row r="887">
      <c r="A887" s="494" t="s">
        <v>3401</v>
      </c>
      <c r="B887" s="495" t="s">
        <v>3540</v>
      </c>
      <c r="C887" s="174" t="str">
        <f t="shared" si="175"/>
        <v>Asus</v>
      </c>
      <c r="D887" s="452" t="s">
        <v>3640</v>
      </c>
      <c r="E887" s="266">
        <v>267.0</v>
      </c>
      <c r="F887" s="266">
        <v>118.0</v>
      </c>
      <c r="G887" s="266">
        <v>58.0</v>
      </c>
      <c r="H887" s="266">
        <v>2.0</v>
      </c>
      <c r="I887" s="266">
        <v>1695.0</v>
      </c>
      <c r="J887" s="266">
        <v>14.0</v>
      </c>
      <c r="K887" s="266">
        <v>175.0</v>
      </c>
      <c r="L887" s="266">
        <v>8.0</v>
      </c>
      <c r="M887" s="266">
        <v>2.0</v>
      </c>
      <c r="N887" s="266">
        <v>2.0</v>
      </c>
      <c r="O887" s="266">
        <v>2.0</v>
      </c>
      <c r="P887" s="266" t="s">
        <v>166</v>
      </c>
      <c r="Q887" s="266">
        <v>1.0</v>
      </c>
      <c r="R887" s="497" t="s">
        <v>166</v>
      </c>
      <c r="S887" s="497" t="s">
        <v>166</v>
      </c>
      <c r="T887" s="496"/>
    </row>
    <row r="888">
      <c r="A888" s="494" t="s">
        <v>3401</v>
      </c>
      <c r="B888" s="495" t="s">
        <v>3540</v>
      </c>
      <c r="C888" s="174" t="str">
        <f t="shared" si="175"/>
        <v>Asus</v>
      </c>
      <c r="D888" s="452" t="s">
        <v>3659</v>
      </c>
      <c r="E888" s="575">
        <v>267.0</v>
      </c>
      <c r="F888" s="576">
        <v>118.0</v>
      </c>
      <c r="G888" s="577">
        <v>58.0</v>
      </c>
      <c r="H888" s="266">
        <v>2.0</v>
      </c>
      <c r="I888" s="266">
        <v>1725.0</v>
      </c>
      <c r="J888" s="266">
        <v>14.0</v>
      </c>
      <c r="K888" s="266">
        <v>175.0</v>
      </c>
      <c r="L888" s="266">
        <v>8.0</v>
      </c>
      <c r="M888" s="266">
        <v>2.0</v>
      </c>
      <c r="N888" s="266">
        <v>2.0</v>
      </c>
      <c r="O888" s="266">
        <v>2.0</v>
      </c>
      <c r="P888" s="266" t="s">
        <v>166</v>
      </c>
      <c r="Q888" s="266">
        <v>1.0</v>
      </c>
      <c r="R888" s="497" t="s">
        <v>166</v>
      </c>
      <c r="S888" s="497" t="s">
        <v>166</v>
      </c>
      <c r="T888" s="496"/>
    </row>
    <row r="889">
      <c r="A889" s="494" t="s">
        <v>3401</v>
      </c>
      <c r="B889" s="495" t="s">
        <v>3540</v>
      </c>
      <c r="C889" s="174" t="str">
        <f t="shared" si="175"/>
        <v>Asus</v>
      </c>
      <c r="D889" s="452" t="s">
        <v>3936</v>
      </c>
      <c r="E889" s="266">
        <v>242.0</v>
      </c>
      <c r="F889" s="266">
        <v>130.0</v>
      </c>
      <c r="G889" s="266">
        <v>53.0</v>
      </c>
      <c r="H889" s="266">
        <v>2.0</v>
      </c>
      <c r="I889" s="266">
        <v>1680.0</v>
      </c>
      <c r="J889" s="266">
        <v>14.0</v>
      </c>
      <c r="K889" s="266">
        <v>175.0</v>
      </c>
      <c r="L889" s="266">
        <v>8.0</v>
      </c>
      <c r="M889" s="266">
        <v>2.0</v>
      </c>
      <c r="N889" s="266">
        <v>1.0</v>
      </c>
      <c r="O889" s="266">
        <v>2.0</v>
      </c>
      <c r="P889" s="266" t="s">
        <v>166</v>
      </c>
      <c r="Q889" s="266">
        <v>1.0</v>
      </c>
      <c r="R889" s="497" t="s">
        <v>166</v>
      </c>
      <c r="S889" s="497" t="s">
        <v>166</v>
      </c>
      <c r="T889" s="496"/>
    </row>
    <row r="890">
      <c r="A890" s="494" t="s">
        <v>3401</v>
      </c>
      <c r="B890" s="495" t="s">
        <v>3540</v>
      </c>
      <c r="C890" s="174" t="str">
        <f t="shared" si="175"/>
        <v>Asus</v>
      </c>
      <c r="D890" s="452" t="s">
        <v>3937</v>
      </c>
      <c r="E890" s="266">
        <v>242.0</v>
      </c>
      <c r="F890" s="266">
        <v>130.0</v>
      </c>
      <c r="G890" s="266">
        <v>53.0</v>
      </c>
      <c r="H890" s="266">
        <v>2.0</v>
      </c>
      <c r="I890" s="266">
        <v>1695.0</v>
      </c>
      <c r="J890" s="266">
        <v>14.0</v>
      </c>
      <c r="K890" s="266">
        <v>175.0</v>
      </c>
      <c r="L890" s="266">
        <v>8.0</v>
      </c>
      <c r="M890" s="266">
        <v>2.0</v>
      </c>
      <c r="N890" s="266">
        <v>1.0</v>
      </c>
      <c r="O890" s="266">
        <v>2.0</v>
      </c>
      <c r="P890" s="266" t="s">
        <v>166</v>
      </c>
      <c r="Q890" s="266">
        <v>1.0</v>
      </c>
      <c r="R890" s="497" t="s">
        <v>166</v>
      </c>
      <c r="S890" s="497" t="s">
        <v>166</v>
      </c>
      <c r="T890" s="496"/>
    </row>
    <row r="891">
      <c r="A891" s="494" t="s">
        <v>3401</v>
      </c>
      <c r="B891" s="495" t="s">
        <v>3540</v>
      </c>
      <c r="C891" s="174" t="str">
        <f t="shared" si="175"/>
        <v>Asus</v>
      </c>
      <c r="D891" s="452" t="s">
        <v>3938</v>
      </c>
      <c r="E891" s="550">
        <v>242.0</v>
      </c>
      <c r="F891" s="560">
        <v>130.0</v>
      </c>
      <c r="G891" s="578">
        <v>53.0</v>
      </c>
      <c r="H891" s="266">
        <v>2.0</v>
      </c>
      <c r="I891" s="266">
        <v>1725.0</v>
      </c>
      <c r="J891" s="266">
        <v>14.0</v>
      </c>
      <c r="K891" s="266">
        <v>175.0</v>
      </c>
      <c r="L891" s="266">
        <v>8.0</v>
      </c>
      <c r="M891" s="266">
        <v>2.0</v>
      </c>
      <c r="N891" s="266">
        <v>1.0</v>
      </c>
      <c r="O891" s="266">
        <v>2.0</v>
      </c>
      <c r="P891" s="266" t="s">
        <v>166</v>
      </c>
      <c r="Q891" s="266">
        <v>1.0</v>
      </c>
      <c r="R891" s="497" t="s">
        <v>166</v>
      </c>
      <c r="S891" s="497" t="s">
        <v>166</v>
      </c>
      <c r="T891" s="496"/>
    </row>
    <row r="892">
      <c r="A892" s="494" t="s">
        <v>3401</v>
      </c>
      <c r="B892" s="495" t="s">
        <v>3540</v>
      </c>
      <c r="C892" s="174" t="str">
        <f t="shared" si="175"/>
        <v>Asus</v>
      </c>
      <c r="D892" s="452" t="s">
        <v>3631</v>
      </c>
      <c r="E892" s="266">
        <v>301.0</v>
      </c>
      <c r="F892" s="518">
        <v>131.0</v>
      </c>
      <c r="G892" s="518">
        <v>49.0</v>
      </c>
      <c r="H892" s="266">
        <v>2.0</v>
      </c>
      <c r="I892" s="266">
        <v>1680.0</v>
      </c>
      <c r="J892" s="266">
        <v>14.0</v>
      </c>
      <c r="K892" s="266">
        <v>175.0</v>
      </c>
      <c r="L892" s="266" t="s">
        <v>3361</v>
      </c>
      <c r="M892" s="266">
        <v>3.0</v>
      </c>
      <c r="N892" s="266">
        <v>2.0</v>
      </c>
      <c r="O892" s="266">
        <v>2.0</v>
      </c>
      <c r="P892" s="266">
        <v>1.0</v>
      </c>
      <c r="Q892" s="266" t="s">
        <v>166</v>
      </c>
      <c r="R892" s="497" t="s">
        <v>166</v>
      </c>
      <c r="S892" s="497" t="s">
        <v>166</v>
      </c>
      <c r="T892" s="496"/>
    </row>
    <row r="893">
      <c r="A893" s="494" t="s">
        <v>3401</v>
      </c>
      <c r="B893" s="495" t="s">
        <v>3540</v>
      </c>
      <c r="C893" s="174" t="str">
        <f t="shared" si="175"/>
        <v>Asus</v>
      </c>
      <c r="D893" s="452" t="s">
        <v>3642</v>
      </c>
      <c r="E893" s="266">
        <v>301.0</v>
      </c>
      <c r="F893" s="518">
        <v>131.0</v>
      </c>
      <c r="G893" s="518">
        <v>49.0</v>
      </c>
      <c r="H893" s="266">
        <v>2.0</v>
      </c>
      <c r="I893" s="266">
        <v>1710.0</v>
      </c>
      <c r="J893" s="266">
        <v>14.0</v>
      </c>
      <c r="K893" s="266">
        <v>175.0</v>
      </c>
      <c r="L893" s="266" t="s">
        <v>3361</v>
      </c>
      <c r="M893" s="266">
        <v>3.0</v>
      </c>
      <c r="N893" s="266">
        <v>2.0</v>
      </c>
      <c r="O893" s="266">
        <v>2.0</v>
      </c>
      <c r="P893" s="266">
        <v>1.0</v>
      </c>
      <c r="Q893" s="266" t="s">
        <v>166</v>
      </c>
      <c r="R893" s="497" t="s">
        <v>166</v>
      </c>
      <c r="S893" s="497" t="s">
        <v>166</v>
      </c>
      <c r="T893" s="496"/>
    </row>
    <row r="894">
      <c r="A894" s="494" t="s">
        <v>3401</v>
      </c>
      <c r="B894" s="495" t="s">
        <v>3540</v>
      </c>
      <c r="C894" s="174" t="str">
        <f t="shared" si="175"/>
        <v>Asus</v>
      </c>
      <c r="D894" s="452" t="s">
        <v>3643</v>
      </c>
      <c r="E894" s="563">
        <v>301.0</v>
      </c>
      <c r="F894" s="521">
        <v>131.0</v>
      </c>
      <c r="G894" s="579">
        <v>49.0</v>
      </c>
      <c r="H894" s="266">
        <v>2.0</v>
      </c>
      <c r="I894" s="266">
        <v>1860.0</v>
      </c>
      <c r="J894" s="266">
        <v>14.0</v>
      </c>
      <c r="K894" s="266">
        <v>175.0</v>
      </c>
      <c r="L894" s="266" t="s">
        <v>3361</v>
      </c>
      <c r="M894" s="266">
        <v>3.0</v>
      </c>
      <c r="N894" s="266">
        <v>2.0</v>
      </c>
      <c r="O894" s="266">
        <v>2.0</v>
      </c>
      <c r="P894" s="266">
        <v>1.0</v>
      </c>
      <c r="Q894" s="266" t="s">
        <v>166</v>
      </c>
      <c r="R894" s="497" t="s">
        <v>166</v>
      </c>
      <c r="S894" s="497" t="s">
        <v>166</v>
      </c>
      <c r="T894" s="496"/>
    </row>
    <row r="895">
      <c r="A895" s="494" t="s">
        <v>3401</v>
      </c>
      <c r="B895" s="495" t="s">
        <v>3540</v>
      </c>
      <c r="C895" s="174" t="str">
        <f t="shared" si="175"/>
        <v>Asus</v>
      </c>
      <c r="D895" s="452" t="s">
        <v>3910</v>
      </c>
      <c r="E895" s="266">
        <v>300.5</v>
      </c>
      <c r="F895" s="518">
        <v>130.6</v>
      </c>
      <c r="G895" s="518">
        <v>48.9</v>
      </c>
      <c r="H895" s="266">
        <v>2.0</v>
      </c>
      <c r="I895" s="266">
        <v>1680.0</v>
      </c>
      <c r="J895" s="266">
        <v>14.0</v>
      </c>
      <c r="K895" s="266">
        <v>175.0</v>
      </c>
      <c r="L895" s="266" t="s">
        <v>3361</v>
      </c>
      <c r="M895" s="266">
        <v>3.0</v>
      </c>
      <c r="N895" s="266">
        <v>2.0</v>
      </c>
      <c r="O895" s="266">
        <v>2.0</v>
      </c>
      <c r="P895" s="266">
        <v>1.0</v>
      </c>
      <c r="Q895" s="266" t="s">
        <v>166</v>
      </c>
      <c r="R895" s="497" t="s">
        <v>166</v>
      </c>
      <c r="S895" s="497" t="s">
        <v>166</v>
      </c>
      <c r="T895" s="496"/>
    </row>
    <row r="896">
      <c r="A896" s="494" t="s">
        <v>3401</v>
      </c>
      <c r="B896" s="495" t="s">
        <v>3540</v>
      </c>
      <c r="C896" s="174" t="str">
        <f t="shared" si="175"/>
        <v>Asus</v>
      </c>
      <c r="D896" s="452" t="s">
        <v>3912</v>
      </c>
      <c r="E896" s="266">
        <v>300.5</v>
      </c>
      <c r="F896" s="518">
        <v>130.6</v>
      </c>
      <c r="G896" s="518">
        <v>48.9</v>
      </c>
      <c r="H896" s="266">
        <v>2.0</v>
      </c>
      <c r="I896" s="266">
        <v>1710.0</v>
      </c>
      <c r="J896" s="266">
        <v>14.0</v>
      </c>
      <c r="K896" s="266">
        <v>175.0</v>
      </c>
      <c r="L896" s="266" t="s">
        <v>3361</v>
      </c>
      <c r="M896" s="266">
        <v>3.0</v>
      </c>
      <c r="N896" s="266">
        <v>2.0</v>
      </c>
      <c r="O896" s="266">
        <v>2.0</v>
      </c>
      <c r="P896" s="266">
        <v>1.0</v>
      </c>
      <c r="Q896" s="266" t="s">
        <v>166</v>
      </c>
      <c r="R896" s="497" t="s">
        <v>166</v>
      </c>
      <c r="S896" s="497" t="s">
        <v>166</v>
      </c>
      <c r="T896" s="496"/>
    </row>
    <row r="897">
      <c r="A897" s="494" t="s">
        <v>3401</v>
      </c>
      <c r="B897" s="495" t="s">
        <v>3540</v>
      </c>
      <c r="C897" s="174" t="str">
        <f t="shared" si="175"/>
        <v>Asus</v>
      </c>
      <c r="D897" s="452" t="s">
        <v>3913</v>
      </c>
      <c r="E897" s="580">
        <v>300.5</v>
      </c>
      <c r="F897" s="554">
        <v>130.6</v>
      </c>
      <c r="G897" s="581">
        <v>48.9</v>
      </c>
      <c r="H897" s="266">
        <v>2.0</v>
      </c>
      <c r="I897" s="266">
        <v>1860.0</v>
      </c>
      <c r="J897" s="266">
        <v>14.0</v>
      </c>
      <c r="K897" s="266">
        <v>175.0</v>
      </c>
      <c r="L897" s="266" t="s">
        <v>3361</v>
      </c>
      <c r="M897" s="266">
        <v>3.0</v>
      </c>
      <c r="N897" s="266">
        <v>2.0</v>
      </c>
      <c r="O897" s="266">
        <v>2.0</v>
      </c>
      <c r="P897" s="266">
        <v>1.0</v>
      </c>
      <c r="Q897" s="266" t="s">
        <v>166</v>
      </c>
      <c r="R897" s="497" t="s">
        <v>166</v>
      </c>
      <c r="S897" s="497" t="s">
        <v>166</v>
      </c>
      <c r="T897" s="496"/>
    </row>
    <row r="898">
      <c r="A898" s="494" t="s">
        <v>3401</v>
      </c>
      <c r="B898" s="495" t="s">
        <v>3540</v>
      </c>
      <c r="C898" s="174" t="str">
        <f t="shared" si="175"/>
        <v>Asus</v>
      </c>
      <c r="D898" s="452" t="s">
        <v>3911</v>
      </c>
      <c r="E898" s="580">
        <v>300.5</v>
      </c>
      <c r="F898" s="554">
        <v>130.6</v>
      </c>
      <c r="G898" s="581">
        <v>48.9</v>
      </c>
      <c r="H898" s="266">
        <v>2.0</v>
      </c>
      <c r="I898" s="266">
        <v>1680.0</v>
      </c>
      <c r="J898" s="266">
        <v>14.0</v>
      </c>
      <c r="K898" s="266">
        <v>175.0</v>
      </c>
      <c r="L898" s="266" t="s">
        <v>3361</v>
      </c>
      <c r="M898" s="266">
        <v>3.0</v>
      </c>
      <c r="N898" s="266">
        <v>2.0</v>
      </c>
      <c r="O898" s="266">
        <v>2.0</v>
      </c>
      <c r="P898" s="266" t="s">
        <v>166</v>
      </c>
      <c r="Q898" s="266" t="s">
        <v>166</v>
      </c>
      <c r="R898" s="497" t="s">
        <v>166</v>
      </c>
      <c r="S898" s="497" t="s">
        <v>166</v>
      </c>
      <c r="T898" s="496"/>
    </row>
    <row r="899">
      <c r="A899" s="494" t="s">
        <v>3401</v>
      </c>
      <c r="B899" s="495" t="s">
        <v>3540</v>
      </c>
      <c r="C899" s="174" t="str">
        <f t="shared" si="175"/>
        <v>Asus</v>
      </c>
      <c r="D899" s="452" t="s">
        <v>3939</v>
      </c>
      <c r="E899" s="580">
        <v>300.5</v>
      </c>
      <c r="F899" s="554">
        <v>130.6</v>
      </c>
      <c r="G899" s="581">
        <v>48.9</v>
      </c>
      <c r="H899" s="266">
        <v>2.0</v>
      </c>
      <c r="I899" s="266">
        <v>1860.0</v>
      </c>
      <c r="J899" s="266">
        <v>14.0</v>
      </c>
      <c r="K899" s="266">
        <v>175.0</v>
      </c>
      <c r="L899" s="266" t="s">
        <v>3361</v>
      </c>
      <c r="M899" s="266">
        <v>3.0</v>
      </c>
      <c r="N899" s="266">
        <v>2.0</v>
      </c>
      <c r="O899" s="266">
        <v>2.0</v>
      </c>
      <c r="P899" s="266" t="s">
        <v>166</v>
      </c>
      <c r="Q899" s="266" t="s">
        <v>166</v>
      </c>
      <c r="R899" s="497" t="s">
        <v>166</v>
      </c>
      <c r="S899" s="497" t="s">
        <v>166</v>
      </c>
      <c r="T899" s="496"/>
    </row>
    <row r="900">
      <c r="A900" s="494" t="s">
        <v>3401</v>
      </c>
      <c r="B900" s="495" t="s">
        <v>3540</v>
      </c>
      <c r="C900" s="452" t="s">
        <v>3575</v>
      </c>
      <c r="D900" s="452" t="s">
        <v>3940</v>
      </c>
      <c r="E900" s="266">
        <v>222.0</v>
      </c>
      <c r="F900" s="266">
        <v>126.0</v>
      </c>
      <c r="G900" s="266">
        <v>42.0</v>
      </c>
      <c r="H900" s="266">
        <v>2.0</v>
      </c>
      <c r="I900" s="266">
        <v>1650.0</v>
      </c>
      <c r="J900" s="266">
        <v>14.0</v>
      </c>
      <c r="K900" s="266">
        <v>175.0</v>
      </c>
      <c r="L900" s="266">
        <v>8.0</v>
      </c>
      <c r="M900" s="266">
        <v>2.0</v>
      </c>
      <c r="N900" s="266">
        <v>1.0</v>
      </c>
      <c r="O900" s="266">
        <v>1.0</v>
      </c>
      <c r="P900" s="266" t="s">
        <v>166</v>
      </c>
      <c r="Q900" s="266">
        <v>1.0</v>
      </c>
      <c r="R900" s="497" t="s">
        <v>166</v>
      </c>
      <c r="S900" s="497" t="s">
        <v>166</v>
      </c>
      <c r="T900" s="496"/>
    </row>
    <row r="901">
      <c r="A901" s="494" t="s">
        <v>3401</v>
      </c>
      <c r="B901" s="495" t="s">
        <v>3540</v>
      </c>
      <c r="C901" s="452" t="s">
        <v>3575</v>
      </c>
      <c r="D901" s="452" t="s">
        <v>3941</v>
      </c>
      <c r="E901" s="266">
        <v>267.0</v>
      </c>
      <c r="F901" s="266">
        <v>111.0</v>
      </c>
      <c r="G901" s="266">
        <v>42.0</v>
      </c>
      <c r="H901" s="266">
        <v>2.0</v>
      </c>
      <c r="I901" s="266">
        <v>1650.0</v>
      </c>
      <c r="J901" s="266">
        <v>14.0</v>
      </c>
      <c r="K901" s="266">
        <v>175.0</v>
      </c>
      <c r="L901" s="266" t="s">
        <v>3361</v>
      </c>
      <c r="M901" s="266">
        <v>2.0</v>
      </c>
      <c r="N901" s="266">
        <v>2.0</v>
      </c>
      <c r="O901" s="266">
        <v>1.0</v>
      </c>
      <c r="P901" s="266" t="s">
        <v>166</v>
      </c>
      <c r="Q901" s="266">
        <v>1.0</v>
      </c>
      <c r="R901" s="497" t="s">
        <v>166</v>
      </c>
      <c r="S901" s="497" t="s">
        <v>166</v>
      </c>
      <c r="T901" s="496"/>
    </row>
    <row r="902">
      <c r="A902" s="494" t="s">
        <v>3401</v>
      </c>
      <c r="B902" s="495" t="s">
        <v>3540</v>
      </c>
      <c r="C902" s="452" t="s">
        <v>3575</v>
      </c>
      <c r="D902" s="452" t="s">
        <v>3942</v>
      </c>
      <c r="E902" s="266">
        <v>222.0</v>
      </c>
      <c r="F902" s="266">
        <v>126.0</v>
      </c>
      <c r="G902" s="266">
        <v>42.0</v>
      </c>
      <c r="H902" s="266">
        <v>2.0</v>
      </c>
      <c r="I902" s="266">
        <v>1650.0</v>
      </c>
      <c r="J902" s="266">
        <v>14.0</v>
      </c>
      <c r="K902" s="266">
        <v>175.0</v>
      </c>
      <c r="L902" s="266">
        <v>8.0</v>
      </c>
      <c r="M902" s="266">
        <v>2.0</v>
      </c>
      <c r="N902" s="266">
        <v>1.0</v>
      </c>
      <c r="O902" s="266">
        <v>1.0</v>
      </c>
      <c r="P902" s="266" t="s">
        <v>166</v>
      </c>
      <c r="Q902" s="266">
        <v>1.0</v>
      </c>
      <c r="R902" s="497" t="s">
        <v>166</v>
      </c>
      <c r="S902" s="497" t="s">
        <v>166</v>
      </c>
      <c r="T902" s="496"/>
    </row>
    <row r="903">
      <c r="A903" s="494" t="s">
        <v>3401</v>
      </c>
      <c r="B903" s="495" t="s">
        <v>3540</v>
      </c>
      <c r="C903" s="452" t="s">
        <v>3575</v>
      </c>
      <c r="D903" s="452" t="s">
        <v>3873</v>
      </c>
      <c r="E903" s="266">
        <v>310.0</v>
      </c>
      <c r="F903" s="266">
        <v>126.0</v>
      </c>
      <c r="G903" s="266">
        <v>53.0</v>
      </c>
      <c r="H903" s="266">
        <v>2.0</v>
      </c>
      <c r="I903" s="266">
        <v>1650.0</v>
      </c>
      <c r="J903" s="266">
        <v>14.0</v>
      </c>
      <c r="K903" s="266">
        <v>175.0</v>
      </c>
      <c r="L903" s="266" t="s">
        <v>3460</v>
      </c>
      <c r="M903" s="266">
        <v>3.0</v>
      </c>
      <c r="N903" s="266">
        <v>3.0</v>
      </c>
      <c r="O903" s="266">
        <v>1.0</v>
      </c>
      <c r="P903" s="266" t="s">
        <v>166</v>
      </c>
      <c r="Q903" s="266" t="s">
        <v>166</v>
      </c>
      <c r="R903" s="497" t="s">
        <v>166</v>
      </c>
      <c r="S903" s="497" t="s">
        <v>166</v>
      </c>
      <c r="T903" s="496"/>
    </row>
    <row r="904">
      <c r="A904" s="494" t="s">
        <v>3401</v>
      </c>
      <c r="B904" s="495" t="s">
        <v>3540</v>
      </c>
      <c r="C904" s="452" t="s">
        <v>3575</v>
      </c>
      <c r="D904" s="452" t="s">
        <v>3943</v>
      </c>
      <c r="E904" s="266">
        <v>318.0</v>
      </c>
      <c r="F904" s="266">
        <v>147.0</v>
      </c>
      <c r="G904" s="266">
        <v>59.0</v>
      </c>
      <c r="H904" s="266">
        <v>2.0</v>
      </c>
      <c r="I904" s="266">
        <v>1815.0</v>
      </c>
      <c r="J904" s="266">
        <v>14.0</v>
      </c>
      <c r="K904" s="266">
        <v>175.0</v>
      </c>
      <c r="L904" s="266" t="s">
        <v>3460</v>
      </c>
      <c r="M904" s="266">
        <v>3.0</v>
      </c>
      <c r="N904" s="266">
        <v>3.0</v>
      </c>
      <c r="O904" s="266">
        <v>1.0</v>
      </c>
      <c r="P904" s="266">
        <v>1.0</v>
      </c>
      <c r="Q904" s="266" t="s">
        <v>166</v>
      </c>
      <c r="R904" s="497" t="s">
        <v>166</v>
      </c>
      <c r="S904" s="497" t="s">
        <v>166</v>
      </c>
      <c r="T904" s="496"/>
    </row>
    <row r="905">
      <c r="A905" s="494" t="s">
        <v>3401</v>
      </c>
      <c r="B905" s="495" t="s">
        <v>3540</v>
      </c>
      <c r="C905" s="452" t="s">
        <v>3575</v>
      </c>
      <c r="D905" s="452" t="s">
        <v>3814</v>
      </c>
      <c r="E905" s="266">
        <v>318.0</v>
      </c>
      <c r="F905" s="266">
        <v>147.0</v>
      </c>
      <c r="G905" s="266">
        <v>59.0</v>
      </c>
      <c r="H905" s="266">
        <v>2.0</v>
      </c>
      <c r="I905" s="266">
        <v>1875.0</v>
      </c>
      <c r="J905" s="266">
        <v>14.0</v>
      </c>
      <c r="K905" s="266">
        <v>175.0</v>
      </c>
      <c r="L905" s="266" t="s">
        <v>3460</v>
      </c>
      <c r="M905" s="266">
        <v>3.0</v>
      </c>
      <c r="N905" s="266">
        <v>3.0</v>
      </c>
      <c r="O905" s="266">
        <v>1.0</v>
      </c>
      <c r="P905" s="266">
        <v>1.0</v>
      </c>
      <c r="Q905" s="266" t="s">
        <v>166</v>
      </c>
      <c r="R905" s="497" t="s">
        <v>166</v>
      </c>
      <c r="S905" s="497" t="s">
        <v>166</v>
      </c>
      <c r="T905" s="496"/>
    </row>
    <row r="906">
      <c r="A906" s="494" t="s">
        <v>3401</v>
      </c>
      <c r="B906" s="495" t="s">
        <v>3540</v>
      </c>
      <c r="C906" s="452" t="s">
        <v>3575</v>
      </c>
      <c r="D906" s="452" t="s">
        <v>3944</v>
      </c>
      <c r="E906" s="266">
        <v>280.0</v>
      </c>
      <c r="F906" s="266">
        <v>129.0</v>
      </c>
      <c r="G906" s="266">
        <v>42.0</v>
      </c>
      <c r="H906" s="266">
        <v>2.0</v>
      </c>
      <c r="I906" s="266">
        <v>1815.0</v>
      </c>
      <c r="J906" s="266">
        <v>14.0</v>
      </c>
      <c r="K906" s="266">
        <v>175.0</v>
      </c>
      <c r="L906" s="266" t="s">
        <v>3460</v>
      </c>
      <c r="M906" s="266" t="s">
        <v>166</v>
      </c>
      <c r="N906" s="266">
        <v>3.0</v>
      </c>
      <c r="O906" s="266">
        <v>1.0</v>
      </c>
      <c r="P906" s="266" t="s">
        <v>166</v>
      </c>
      <c r="Q906" s="266" t="s">
        <v>166</v>
      </c>
      <c r="R906" s="266" t="s">
        <v>174</v>
      </c>
      <c r="S906" s="497" t="s">
        <v>166</v>
      </c>
      <c r="T906" s="494"/>
    </row>
    <row r="907">
      <c r="A907" s="494" t="s">
        <v>3401</v>
      </c>
      <c r="B907" s="495" t="s">
        <v>3540</v>
      </c>
      <c r="C907" s="174" t="s">
        <v>3405</v>
      </c>
      <c r="D907" s="452" t="s">
        <v>3481</v>
      </c>
      <c r="E907" s="266">
        <v>245.0</v>
      </c>
      <c r="F907" s="266">
        <v>116.0</v>
      </c>
      <c r="G907" s="266">
        <v>43.0</v>
      </c>
      <c r="H907" s="266">
        <v>2.0</v>
      </c>
      <c r="I907" s="266">
        <v>1650.0</v>
      </c>
      <c r="J907" s="266">
        <v>14.0</v>
      </c>
      <c r="K907" s="266">
        <v>175.0</v>
      </c>
      <c r="L907" s="266">
        <v>8.0</v>
      </c>
      <c r="M907" s="266">
        <v>2.0</v>
      </c>
      <c r="N907" s="266">
        <v>3.0</v>
      </c>
      <c r="O907" s="266">
        <v>1.0</v>
      </c>
      <c r="P907" s="266" t="s">
        <v>166</v>
      </c>
      <c r="Q907" s="266" t="s">
        <v>166</v>
      </c>
      <c r="R907" s="497" t="s">
        <v>166</v>
      </c>
      <c r="S907" s="497" t="s">
        <v>166</v>
      </c>
      <c r="T907" s="496"/>
    </row>
    <row r="908">
      <c r="A908" s="494" t="s">
        <v>3401</v>
      </c>
      <c r="B908" s="495" t="s">
        <v>3540</v>
      </c>
      <c r="C908" s="174" t="s">
        <v>3405</v>
      </c>
      <c r="D908" s="452" t="s">
        <v>3945</v>
      </c>
      <c r="E908" s="266">
        <v>245.0</v>
      </c>
      <c r="F908" s="266">
        <v>116.0</v>
      </c>
      <c r="G908" s="266">
        <v>43.0</v>
      </c>
      <c r="H908" s="266">
        <v>2.0</v>
      </c>
      <c r="I908" s="266">
        <v>1650.0</v>
      </c>
      <c r="J908" s="266">
        <v>14.0</v>
      </c>
      <c r="K908" s="266">
        <v>175.0</v>
      </c>
      <c r="L908" s="266">
        <v>8.0</v>
      </c>
      <c r="M908" s="266">
        <v>2.0</v>
      </c>
      <c r="N908" s="266">
        <v>3.0</v>
      </c>
      <c r="O908" s="266">
        <v>1.0</v>
      </c>
      <c r="P908" s="266" t="s">
        <v>166</v>
      </c>
      <c r="Q908" s="266" t="s">
        <v>166</v>
      </c>
      <c r="R908" s="497" t="s">
        <v>166</v>
      </c>
      <c r="S908" s="497" t="s">
        <v>166</v>
      </c>
      <c r="T908" s="496"/>
    </row>
    <row r="909">
      <c r="A909" s="494" t="s">
        <v>3401</v>
      </c>
      <c r="B909" s="495" t="s">
        <v>3540</v>
      </c>
      <c r="C909" s="174" t="s">
        <v>3405</v>
      </c>
      <c r="D909" s="452" t="s">
        <v>3946</v>
      </c>
      <c r="E909" s="266">
        <v>235.0</v>
      </c>
      <c r="F909" s="266">
        <v>112.0</v>
      </c>
      <c r="G909" s="266">
        <v>40.0</v>
      </c>
      <c r="H909" s="266">
        <v>2.0</v>
      </c>
      <c r="I909" s="266">
        <v>1650.0</v>
      </c>
      <c r="J909" s="266">
        <v>14.0</v>
      </c>
      <c r="K909" s="266">
        <v>175.0</v>
      </c>
      <c r="L909" s="266">
        <v>8.0</v>
      </c>
      <c r="M909" s="266">
        <v>2.0</v>
      </c>
      <c r="N909" s="266">
        <v>1.0</v>
      </c>
      <c r="O909" s="266">
        <v>1.0</v>
      </c>
      <c r="P909" s="266" t="s">
        <v>166</v>
      </c>
      <c r="Q909" s="266">
        <v>1.0</v>
      </c>
      <c r="R909" s="497" t="s">
        <v>166</v>
      </c>
      <c r="S909" s="497" t="s">
        <v>166</v>
      </c>
      <c r="T909" s="496"/>
    </row>
    <row r="910">
      <c r="A910" s="494" t="s">
        <v>3401</v>
      </c>
      <c r="B910" s="495" t="s">
        <v>3540</v>
      </c>
      <c r="C910" s="174" t="s">
        <v>3405</v>
      </c>
      <c r="D910" s="452" t="s">
        <v>3892</v>
      </c>
      <c r="E910" s="266">
        <v>235.0</v>
      </c>
      <c r="F910" s="266">
        <v>112.0</v>
      </c>
      <c r="G910" s="266">
        <v>40.0</v>
      </c>
      <c r="H910" s="266">
        <v>2.0</v>
      </c>
      <c r="I910" s="266">
        <v>1650.0</v>
      </c>
      <c r="J910" s="266">
        <v>14.0</v>
      </c>
      <c r="K910" s="266">
        <v>175.0</v>
      </c>
      <c r="L910" s="266">
        <v>8.0</v>
      </c>
      <c r="M910" s="266">
        <v>2.0</v>
      </c>
      <c r="N910" s="266">
        <v>3.0</v>
      </c>
      <c r="O910" s="266">
        <v>1.0</v>
      </c>
      <c r="P910" s="266" t="s">
        <v>166</v>
      </c>
      <c r="Q910" s="266" t="s">
        <v>166</v>
      </c>
      <c r="R910" s="497" t="s">
        <v>166</v>
      </c>
      <c r="S910" s="497" t="s">
        <v>166</v>
      </c>
      <c r="T910" s="496"/>
    </row>
    <row r="911">
      <c r="A911" s="494" t="s">
        <v>3401</v>
      </c>
      <c r="B911" s="495" t="s">
        <v>3540</v>
      </c>
      <c r="C911" s="174" t="s">
        <v>3405</v>
      </c>
      <c r="D911" s="452" t="s">
        <v>3893</v>
      </c>
      <c r="E911" s="266">
        <v>235.0</v>
      </c>
      <c r="F911" s="266">
        <v>112.0</v>
      </c>
      <c r="G911" s="266">
        <v>40.0</v>
      </c>
      <c r="H911" s="266">
        <v>2.0</v>
      </c>
      <c r="I911" s="266">
        <v>1710.0</v>
      </c>
      <c r="J911" s="266">
        <v>14.0</v>
      </c>
      <c r="K911" s="266">
        <v>175.0</v>
      </c>
      <c r="L911" s="266">
        <v>8.0</v>
      </c>
      <c r="M911" s="266">
        <v>2.0</v>
      </c>
      <c r="N911" s="266">
        <v>3.0</v>
      </c>
      <c r="O911" s="266">
        <v>1.0</v>
      </c>
      <c r="P911" s="266" t="s">
        <v>166</v>
      </c>
      <c r="Q911" s="266" t="s">
        <v>166</v>
      </c>
      <c r="R911" s="497" t="s">
        <v>166</v>
      </c>
      <c r="S911" s="497" t="s">
        <v>166</v>
      </c>
      <c r="T911" s="496"/>
    </row>
    <row r="912">
      <c r="A912" s="494" t="s">
        <v>3401</v>
      </c>
      <c r="B912" s="495" t="s">
        <v>3540</v>
      </c>
      <c r="C912" s="174" t="s">
        <v>3405</v>
      </c>
      <c r="D912" s="452" t="s">
        <v>3947</v>
      </c>
      <c r="E912" s="266">
        <v>292.0</v>
      </c>
      <c r="F912" s="266">
        <v>130.0</v>
      </c>
      <c r="G912" s="266">
        <v>59.6</v>
      </c>
      <c r="H912" s="266">
        <v>2.0</v>
      </c>
      <c r="I912" s="266">
        <v>1830.0</v>
      </c>
      <c r="J912" s="266">
        <v>14.0</v>
      </c>
      <c r="K912" s="266">
        <v>175.0</v>
      </c>
      <c r="L912" s="266" t="s">
        <v>3361</v>
      </c>
      <c r="M912" s="266">
        <v>3.0</v>
      </c>
      <c r="N912" s="266">
        <v>3.0</v>
      </c>
      <c r="O912" s="266">
        <v>1.0</v>
      </c>
      <c r="P912" s="266" t="s">
        <v>166</v>
      </c>
      <c r="Q912" s="266" t="s">
        <v>166</v>
      </c>
      <c r="R912" s="497" t="s">
        <v>166</v>
      </c>
      <c r="S912" s="497" t="s">
        <v>166</v>
      </c>
      <c r="T912" s="496"/>
    </row>
    <row r="913">
      <c r="A913" s="494" t="s">
        <v>3401</v>
      </c>
      <c r="B913" s="495" t="s">
        <v>3540</v>
      </c>
      <c r="C913" s="174" t="s">
        <v>3405</v>
      </c>
      <c r="D913" s="452" t="s">
        <v>3948</v>
      </c>
      <c r="E913" s="266">
        <v>292.0</v>
      </c>
      <c r="F913" s="266">
        <v>130.0</v>
      </c>
      <c r="G913" s="266">
        <v>59.6</v>
      </c>
      <c r="H913" s="266">
        <v>2.0</v>
      </c>
      <c r="I913" s="266">
        <v>1650.0</v>
      </c>
      <c r="J913" s="266">
        <v>14.0</v>
      </c>
      <c r="K913" s="266">
        <v>175.0</v>
      </c>
      <c r="L913" s="266" t="s">
        <v>3361</v>
      </c>
      <c r="M913" s="266">
        <v>3.0</v>
      </c>
      <c r="N913" s="266">
        <v>3.0</v>
      </c>
      <c r="O913" s="266">
        <v>1.0</v>
      </c>
      <c r="P913" s="266" t="s">
        <v>166</v>
      </c>
      <c r="Q913" s="266" t="s">
        <v>166</v>
      </c>
      <c r="R913" s="497" t="s">
        <v>166</v>
      </c>
      <c r="S913" s="497" t="s">
        <v>166</v>
      </c>
      <c r="T913" s="496"/>
    </row>
    <row r="914">
      <c r="A914" s="494" t="s">
        <v>3401</v>
      </c>
      <c r="B914" s="495" t="s">
        <v>3540</v>
      </c>
      <c r="C914" s="174" t="s">
        <v>3405</v>
      </c>
      <c r="D914" s="452" t="s">
        <v>3949</v>
      </c>
      <c r="E914" s="266">
        <v>292.0</v>
      </c>
      <c r="F914" s="266">
        <v>130.0</v>
      </c>
      <c r="G914" s="266">
        <v>59.6</v>
      </c>
      <c r="H914" s="266">
        <v>2.0</v>
      </c>
      <c r="I914" s="266">
        <v>1830.0</v>
      </c>
      <c r="J914" s="266">
        <v>14.0</v>
      </c>
      <c r="K914" s="266">
        <v>175.0</v>
      </c>
      <c r="L914" s="266" t="s">
        <v>3361</v>
      </c>
      <c r="M914" s="266">
        <v>3.0</v>
      </c>
      <c r="N914" s="266">
        <v>3.0</v>
      </c>
      <c r="O914" s="266">
        <v>1.0</v>
      </c>
      <c r="P914" s="266" t="s">
        <v>166</v>
      </c>
      <c r="Q914" s="266" t="s">
        <v>166</v>
      </c>
      <c r="R914" s="497" t="s">
        <v>166</v>
      </c>
      <c r="S914" s="497" t="s">
        <v>166</v>
      </c>
      <c r="T914" s="496"/>
    </row>
    <row r="915">
      <c r="A915" s="494" t="s">
        <v>3401</v>
      </c>
      <c r="B915" s="495" t="s">
        <v>3540</v>
      </c>
      <c r="C915" s="174" t="s">
        <v>3405</v>
      </c>
      <c r="D915" s="452" t="s">
        <v>3950</v>
      </c>
      <c r="E915" s="266">
        <v>292.0</v>
      </c>
      <c r="F915" s="266">
        <v>130.0</v>
      </c>
      <c r="G915" s="266">
        <v>59.6</v>
      </c>
      <c r="H915" s="266">
        <v>2.0</v>
      </c>
      <c r="I915" s="266">
        <v>1650.0</v>
      </c>
      <c r="J915" s="266">
        <v>14.0</v>
      </c>
      <c r="K915" s="266">
        <v>175.0</v>
      </c>
      <c r="L915" s="266" t="s">
        <v>3361</v>
      </c>
      <c r="M915" s="266">
        <v>2.0</v>
      </c>
      <c r="N915" s="266">
        <v>3.0</v>
      </c>
      <c r="O915" s="266">
        <v>1.0</v>
      </c>
      <c r="P915" s="266" t="s">
        <v>166</v>
      </c>
      <c r="Q915" s="266" t="s">
        <v>166</v>
      </c>
      <c r="R915" s="497" t="s">
        <v>166</v>
      </c>
      <c r="S915" s="497" t="s">
        <v>166</v>
      </c>
      <c r="T915" s="496"/>
    </row>
    <row r="916">
      <c r="A916" s="494" t="s">
        <v>3401</v>
      </c>
      <c r="B916" s="495" t="s">
        <v>3540</v>
      </c>
      <c r="C916" s="174" t="s">
        <v>3405</v>
      </c>
      <c r="D916" s="452" t="s">
        <v>3951</v>
      </c>
      <c r="E916" s="266">
        <v>292.0</v>
      </c>
      <c r="F916" s="266">
        <v>130.0</v>
      </c>
      <c r="G916" s="266">
        <v>59.6</v>
      </c>
      <c r="H916" s="266">
        <v>2.0</v>
      </c>
      <c r="I916" s="266">
        <v>1830.0</v>
      </c>
      <c r="J916" s="266">
        <v>14.0</v>
      </c>
      <c r="K916" s="266">
        <v>175.0</v>
      </c>
      <c r="L916" s="266" t="s">
        <v>3361</v>
      </c>
      <c r="M916" s="266">
        <v>2.0</v>
      </c>
      <c r="N916" s="266">
        <v>3.0</v>
      </c>
      <c r="O916" s="266">
        <v>1.0</v>
      </c>
      <c r="P916" s="266" t="s">
        <v>166</v>
      </c>
      <c r="Q916" s="266" t="s">
        <v>166</v>
      </c>
      <c r="R916" s="497" t="s">
        <v>166</v>
      </c>
      <c r="S916" s="497" t="s">
        <v>166</v>
      </c>
      <c r="T916" s="496"/>
    </row>
    <row r="917">
      <c r="A917" s="494" t="s">
        <v>3401</v>
      </c>
      <c r="B917" s="495" t="s">
        <v>3540</v>
      </c>
      <c r="C917" s="174" t="str">
        <f t="shared" ref="C917:C922" si="176">HYPERLINK("https://www.evga.com/","EVGA")</f>
        <v>EVGA</v>
      </c>
      <c r="D917" s="452" t="s">
        <v>3952</v>
      </c>
      <c r="E917" s="266">
        <v>267.97</v>
      </c>
      <c r="F917" s="266">
        <v>111.15</v>
      </c>
      <c r="G917" s="266">
        <v>40.0</v>
      </c>
      <c r="H917" s="266">
        <v>2.0</v>
      </c>
      <c r="I917" s="266">
        <v>1650.0</v>
      </c>
      <c r="J917" s="266">
        <v>14.0</v>
      </c>
      <c r="K917" s="266">
        <v>175.0</v>
      </c>
      <c r="L917" s="266">
        <v>8.0</v>
      </c>
      <c r="M917" s="266">
        <v>2.0</v>
      </c>
      <c r="N917" s="266">
        <v>2.0</v>
      </c>
      <c r="O917" s="266">
        <v>1.0</v>
      </c>
      <c r="P917" s="266" t="s">
        <v>166</v>
      </c>
      <c r="Q917" s="266">
        <v>1.0</v>
      </c>
      <c r="R917" s="497" t="s">
        <v>166</v>
      </c>
      <c r="S917" s="497" t="s">
        <v>166</v>
      </c>
      <c r="T917" s="496"/>
    </row>
    <row r="918">
      <c r="A918" s="494" t="s">
        <v>3401</v>
      </c>
      <c r="B918" s="495" t="s">
        <v>3540</v>
      </c>
      <c r="C918" s="174" t="str">
        <f t="shared" si="176"/>
        <v>EVGA</v>
      </c>
      <c r="D918" s="452" t="s">
        <v>3486</v>
      </c>
      <c r="E918" s="266">
        <v>269.83</v>
      </c>
      <c r="F918" s="266">
        <v>111.15</v>
      </c>
      <c r="G918" s="266">
        <v>40.0</v>
      </c>
      <c r="H918" s="266">
        <v>2.0</v>
      </c>
      <c r="I918" s="266">
        <v>1650.0</v>
      </c>
      <c r="J918" s="266">
        <v>14.0</v>
      </c>
      <c r="K918" s="266">
        <v>175.0</v>
      </c>
      <c r="L918" s="266">
        <v>8.0</v>
      </c>
      <c r="M918" s="266">
        <v>2.0</v>
      </c>
      <c r="N918" s="266">
        <v>2.0</v>
      </c>
      <c r="O918" s="266">
        <v>1.0</v>
      </c>
      <c r="P918" s="266" t="s">
        <v>166</v>
      </c>
      <c r="Q918" s="266">
        <v>1.0</v>
      </c>
      <c r="R918" s="497" t="s">
        <v>166</v>
      </c>
      <c r="S918" s="497" t="s">
        <v>166</v>
      </c>
      <c r="T918" s="496"/>
    </row>
    <row r="919">
      <c r="A919" s="494" t="s">
        <v>3401</v>
      </c>
      <c r="B919" s="495" t="s">
        <v>3540</v>
      </c>
      <c r="C919" s="174" t="str">
        <f t="shared" si="176"/>
        <v>EVGA</v>
      </c>
      <c r="D919" s="452" t="s">
        <v>3487</v>
      </c>
      <c r="E919" s="266">
        <v>269.83</v>
      </c>
      <c r="F919" s="266">
        <v>111.15</v>
      </c>
      <c r="G919" s="266">
        <v>40.0</v>
      </c>
      <c r="H919" s="266">
        <v>2.0</v>
      </c>
      <c r="I919" s="266">
        <v>1680.0</v>
      </c>
      <c r="J919" s="266">
        <v>14.0</v>
      </c>
      <c r="K919" s="266">
        <v>175.0</v>
      </c>
      <c r="L919" s="266">
        <v>8.0</v>
      </c>
      <c r="M919" s="266">
        <v>2.0</v>
      </c>
      <c r="N919" s="266">
        <v>2.0</v>
      </c>
      <c r="O919" s="266">
        <v>1.0</v>
      </c>
      <c r="P919" s="266" t="s">
        <v>166</v>
      </c>
      <c r="Q919" s="266">
        <v>1.0</v>
      </c>
      <c r="R919" s="497" t="s">
        <v>166</v>
      </c>
      <c r="S919" s="497" t="s">
        <v>166</v>
      </c>
      <c r="T919" s="496"/>
    </row>
    <row r="920">
      <c r="A920" s="494" t="s">
        <v>3401</v>
      </c>
      <c r="B920" s="495" t="s">
        <v>3540</v>
      </c>
      <c r="C920" s="174" t="str">
        <f t="shared" si="176"/>
        <v>EVGA</v>
      </c>
      <c r="D920" s="452" t="s">
        <v>3506</v>
      </c>
      <c r="E920" s="266">
        <v>269.83</v>
      </c>
      <c r="F920" s="266">
        <v>111.15</v>
      </c>
      <c r="G920" s="266">
        <v>40.0</v>
      </c>
      <c r="H920" s="266">
        <v>2.0</v>
      </c>
      <c r="I920" s="266">
        <v>1650.0</v>
      </c>
      <c r="J920" s="266">
        <v>14.0</v>
      </c>
      <c r="K920" s="266">
        <v>175.0</v>
      </c>
      <c r="L920" s="266" t="s">
        <v>3361</v>
      </c>
      <c r="M920" s="266">
        <v>2.0</v>
      </c>
      <c r="N920" s="266">
        <v>3.0</v>
      </c>
      <c r="O920" s="266">
        <v>1.0</v>
      </c>
      <c r="P920" s="266">
        <v>1.0</v>
      </c>
      <c r="Q920" s="266" t="s">
        <v>166</v>
      </c>
      <c r="R920" s="497" t="s">
        <v>166</v>
      </c>
      <c r="S920" s="497" t="s">
        <v>166</v>
      </c>
      <c r="T920" s="496"/>
    </row>
    <row r="921">
      <c r="A921" s="494" t="s">
        <v>3401</v>
      </c>
      <c r="B921" s="495" t="s">
        <v>3540</v>
      </c>
      <c r="C921" s="174" t="str">
        <f t="shared" si="176"/>
        <v>EVGA</v>
      </c>
      <c r="D921" s="452" t="s">
        <v>3513</v>
      </c>
      <c r="E921" s="266">
        <v>269.83</v>
      </c>
      <c r="F921" s="266">
        <v>111.15</v>
      </c>
      <c r="G921" s="266">
        <v>40.0</v>
      </c>
      <c r="H921" s="266">
        <v>2.0</v>
      </c>
      <c r="I921" s="266">
        <v>1695.0</v>
      </c>
      <c r="J921" s="266">
        <v>14.0</v>
      </c>
      <c r="K921" s="266">
        <v>175.0</v>
      </c>
      <c r="L921" s="266" t="s">
        <v>3361</v>
      </c>
      <c r="M921" s="266">
        <v>2.0</v>
      </c>
      <c r="N921" s="266">
        <v>3.0</v>
      </c>
      <c r="O921" s="266">
        <v>1.0</v>
      </c>
      <c r="P921" s="266">
        <v>1.0</v>
      </c>
      <c r="Q921" s="266" t="s">
        <v>166</v>
      </c>
      <c r="R921" s="497" t="s">
        <v>166</v>
      </c>
      <c r="S921" s="497" t="s">
        <v>166</v>
      </c>
      <c r="T921" s="496"/>
    </row>
    <row r="922">
      <c r="A922" s="494" t="s">
        <v>3401</v>
      </c>
      <c r="B922" s="495" t="s">
        <v>3540</v>
      </c>
      <c r="C922" s="174" t="str">
        <f t="shared" si="176"/>
        <v>EVGA</v>
      </c>
      <c r="D922" s="452" t="s">
        <v>3895</v>
      </c>
      <c r="E922" s="266">
        <v>269.83</v>
      </c>
      <c r="F922" s="266">
        <v>111.15</v>
      </c>
      <c r="G922" s="266">
        <v>55.0</v>
      </c>
      <c r="H922" s="266">
        <v>3.0</v>
      </c>
      <c r="I922" s="266">
        <v>1695.0</v>
      </c>
      <c r="J922" s="266">
        <v>14.0</v>
      </c>
      <c r="K922" s="266">
        <v>175.0</v>
      </c>
      <c r="L922" s="266" t="s">
        <v>3361</v>
      </c>
      <c r="M922" s="266">
        <v>2.0</v>
      </c>
      <c r="N922" s="266">
        <v>3.0</v>
      </c>
      <c r="O922" s="266">
        <v>1.0</v>
      </c>
      <c r="P922" s="266">
        <v>1.0</v>
      </c>
      <c r="Q922" s="266" t="s">
        <v>166</v>
      </c>
      <c r="R922" s="497" t="s">
        <v>166</v>
      </c>
      <c r="S922" s="497" t="s">
        <v>166</v>
      </c>
      <c r="T922" s="496"/>
    </row>
    <row r="923">
      <c r="A923" s="494" t="s">
        <v>3401</v>
      </c>
      <c r="B923" s="495" t="s">
        <v>3540</v>
      </c>
      <c r="C923" s="452" t="str">
        <f t="shared" ref="C923:C927" si="177">HYPERLINK("http://www.gainward.com/main/index.php?lang=en","Gainward")</f>
        <v>Gainward</v>
      </c>
      <c r="D923" s="452" t="str">
        <f>HYPERLINK("http://www.gainward.com/main/vgapro.php?id=1063&amp;lang=en","Ghost")</f>
        <v>Ghost</v>
      </c>
      <c r="E923" s="266">
        <v>235.0</v>
      </c>
      <c r="F923" s="266">
        <v>112.0</v>
      </c>
      <c r="G923" s="266">
        <v>40.0</v>
      </c>
      <c r="H923" s="266">
        <v>2.0</v>
      </c>
      <c r="I923" s="266">
        <v>1650.0</v>
      </c>
      <c r="J923" s="266">
        <v>14.0</v>
      </c>
      <c r="K923" s="266">
        <v>175.0</v>
      </c>
      <c r="L923" s="266">
        <v>8.0</v>
      </c>
      <c r="M923" s="266">
        <v>2.0</v>
      </c>
      <c r="N923" s="266">
        <v>1.0</v>
      </c>
      <c r="O923" s="266">
        <v>1.0</v>
      </c>
      <c r="P923" s="266" t="s">
        <v>166</v>
      </c>
      <c r="Q923" s="266">
        <v>1.0</v>
      </c>
      <c r="R923" s="497" t="s">
        <v>166</v>
      </c>
      <c r="S923" s="497" t="s">
        <v>166</v>
      </c>
      <c r="T923" s="496"/>
    </row>
    <row r="924">
      <c r="A924" s="494" t="s">
        <v>3401</v>
      </c>
      <c r="B924" s="495" t="s">
        <v>3540</v>
      </c>
      <c r="C924" s="452" t="str">
        <f t="shared" si="177"/>
        <v>Gainward</v>
      </c>
      <c r="D924" s="452" t="str">
        <f>HYPERLINK("http://www.gainward.com/main/vgapro.php?id=1062&amp;lang=en","Phoenix")</f>
        <v>Phoenix</v>
      </c>
      <c r="E924" s="266">
        <v>235.0</v>
      </c>
      <c r="F924" s="266">
        <v>112.0</v>
      </c>
      <c r="G924" s="266">
        <v>40.0</v>
      </c>
      <c r="H924" s="266">
        <v>2.0</v>
      </c>
      <c r="I924" s="266">
        <v>1650.0</v>
      </c>
      <c r="J924" s="266">
        <v>14.0</v>
      </c>
      <c r="K924" s="266">
        <v>175.0</v>
      </c>
      <c r="L924" s="266">
        <v>8.0</v>
      </c>
      <c r="M924" s="266">
        <v>2.0</v>
      </c>
      <c r="N924" s="266">
        <v>3.0</v>
      </c>
      <c r="O924" s="266">
        <v>1.0</v>
      </c>
      <c r="P924" s="266" t="s">
        <v>166</v>
      </c>
      <c r="Q924" s="266" t="s">
        <v>166</v>
      </c>
      <c r="R924" s="497" t="s">
        <v>166</v>
      </c>
      <c r="S924" s="497" t="s">
        <v>166</v>
      </c>
      <c r="T924" s="496"/>
    </row>
    <row r="925">
      <c r="A925" s="494" t="s">
        <v>3401</v>
      </c>
      <c r="B925" s="495" t="s">
        <v>3540</v>
      </c>
      <c r="C925" s="452" t="str">
        <f t="shared" si="177"/>
        <v>Gainward</v>
      </c>
      <c r="D925" s="452" t="s">
        <v>3917</v>
      </c>
      <c r="E925" s="266">
        <v>235.0</v>
      </c>
      <c r="F925" s="266">
        <v>112.0</v>
      </c>
      <c r="G925" s="266">
        <v>40.0</v>
      </c>
      <c r="H925" s="266">
        <v>2.0</v>
      </c>
      <c r="I925" s="266">
        <v>1710.0</v>
      </c>
      <c r="J925" s="266">
        <v>14.0</v>
      </c>
      <c r="K925" s="266">
        <v>175.0</v>
      </c>
      <c r="L925" s="266">
        <v>8.0</v>
      </c>
      <c r="M925" s="266">
        <v>2.0</v>
      </c>
      <c r="N925" s="266">
        <v>3.0</v>
      </c>
      <c r="O925" s="266">
        <v>1.0</v>
      </c>
      <c r="P925" s="266" t="s">
        <v>166</v>
      </c>
      <c r="Q925" s="266" t="s">
        <v>166</v>
      </c>
      <c r="R925" s="497" t="s">
        <v>166</v>
      </c>
      <c r="S925" s="497" t="s">
        <v>166</v>
      </c>
      <c r="T925" s="496"/>
    </row>
    <row r="926">
      <c r="A926" s="494" t="s">
        <v>3401</v>
      </c>
      <c r="B926" s="495" t="s">
        <v>3540</v>
      </c>
      <c r="C926" s="452" t="str">
        <f t="shared" si="177"/>
        <v>Gainward</v>
      </c>
      <c r="D926" s="452" t="s">
        <v>3953</v>
      </c>
      <c r="E926" s="266">
        <v>292.0</v>
      </c>
      <c r="F926" s="266">
        <v>130.0</v>
      </c>
      <c r="G926" s="266">
        <v>54.0</v>
      </c>
      <c r="H926" s="266">
        <v>2.0</v>
      </c>
      <c r="I926" s="266">
        <v>1650.0</v>
      </c>
      <c r="J926" s="266">
        <v>14.0</v>
      </c>
      <c r="K926" s="266">
        <v>175.0</v>
      </c>
      <c r="L926" s="266" t="s">
        <v>3361</v>
      </c>
      <c r="M926" s="266">
        <v>3.0</v>
      </c>
      <c r="N926" s="266">
        <v>3.0</v>
      </c>
      <c r="O926" s="266">
        <v>1.0</v>
      </c>
      <c r="P926" s="266" t="s">
        <v>166</v>
      </c>
      <c r="Q926" s="266" t="s">
        <v>166</v>
      </c>
      <c r="R926" s="497" t="s">
        <v>166</v>
      </c>
      <c r="S926" s="497" t="s">
        <v>166</v>
      </c>
      <c r="T926" s="496"/>
    </row>
    <row r="927">
      <c r="A927" s="494" t="s">
        <v>3401</v>
      </c>
      <c r="B927" s="495" t="s">
        <v>3540</v>
      </c>
      <c r="C927" s="452" t="str">
        <f t="shared" si="177"/>
        <v>Gainward</v>
      </c>
      <c r="D927" s="452" t="s">
        <v>3954</v>
      </c>
      <c r="E927" s="266">
        <v>292.0</v>
      </c>
      <c r="F927" s="266">
        <v>130.0</v>
      </c>
      <c r="G927" s="266">
        <v>54.0</v>
      </c>
      <c r="H927" s="266">
        <v>2.0</v>
      </c>
      <c r="I927" s="266">
        <v>1830.0</v>
      </c>
      <c r="J927" s="266">
        <v>14.0</v>
      </c>
      <c r="K927" s="266">
        <v>175.0</v>
      </c>
      <c r="L927" s="266" t="s">
        <v>3361</v>
      </c>
      <c r="M927" s="266">
        <v>3.0</v>
      </c>
      <c r="N927" s="266">
        <v>3.0</v>
      </c>
      <c r="O927" s="266">
        <v>1.0</v>
      </c>
      <c r="P927" s="266" t="s">
        <v>166</v>
      </c>
      <c r="Q927" s="266" t="s">
        <v>166</v>
      </c>
      <c r="R927" s="497" t="s">
        <v>166</v>
      </c>
      <c r="S927" s="497" t="s">
        <v>166</v>
      </c>
      <c r="T927" s="496"/>
    </row>
    <row r="928">
      <c r="A928" s="494" t="s">
        <v>3401</v>
      </c>
      <c r="B928" s="495" t="s">
        <v>3540</v>
      </c>
      <c r="C928" s="174" t="s">
        <v>3456</v>
      </c>
      <c r="D928" s="452" t="str">
        <f>HYPERLINK("http://www.galax.com/en/graphics-card/20-series/geforcer-rtx-super-series/geforcer-rtx-2060-super-series/galax-geforce-rtx-2060-super.html","RTX 2060 SUPER")</f>
        <v>RTX 2060 SUPER</v>
      </c>
      <c r="E928" s="266">
        <v>268.0</v>
      </c>
      <c r="F928" s="266">
        <v>123.0</v>
      </c>
      <c r="G928" s="266">
        <v>38.0</v>
      </c>
      <c r="H928" s="266">
        <v>2.0</v>
      </c>
      <c r="I928" s="266">
        <v>1650.0</v>
      </c>
      <c r="J928" s="266">
        <v>14.0</v>
      </c>
      <c r="K928" s="266">
        <v>175.0</v>
      </c>
      <c r="L928" s="266">
        <v>8.0</v>
      </c>
      <c r="M928" s="266">
        <v>1.0</v>
      </c>
      <c r="N928" s="266">
        <v>3.0</v>
      </c>
      <c r="O928" s="266">
        <v>1.0</v>
      </c>
      <c r="P928" s="266" t="s">
        <v>166</v>
      </c>
      <c r="Q928" s="266" t="s">
        <v>166</v>
      </c>
      <c r="R928" s="266" t="s">
        <v>166</v>
      </c>
      <c r="S928" s="266" t="s">
        <v>174</v>
      </c>
      <c r="T928" s="494"/>
    </row>
    <row r="929">
      <c r="A929" s="494" t="s">
        <v>3401</v>
      </c>
      <c r="B929" s="495" t="s">
        <v>3540</v>
      </c>
      <c r="C929" s="174" t="s">
        <v>3456</v>
      </c>
      <c r="D929" s="452" t="str">
        <f>HYPERLINK("http://www.galax.com/en/graphics-card/20-series/geforcer-rtx-super-series/geforcer-rtx-2060-super-series/galax-geforce-rtx-2060-super-1click.html","(1-Click OC)")</f>
        <v>(1-Click OC)</v>
      </c>
      <c r="E929" s="266">
        <v>230.0</v>
      </c>
      <c r="F929" s="266">
        <v>119.0</v>
      </c>
      <c r="G929" s="266">
        <v>38.0</v>
      </c>
      <c r="H929" s="266">
        <v>2.0</v>
      </c>
      <c r="I929" s="266">
        <v>1680.0</v>
      </c>
      <c r="J929" s="266">
        <v>14.0</v>
      </c>
      <c r="K929" s="266">
        <v>175.0</v>
      </c>
      <c r="L929" s="266">
        <v>8.0</v>
      </c>
      <c r="M929" s="266">
        <v>2.0</v>
      </c>
      <c r="N929" s="266">
        <v>1.0</v>
      </c>
      <c r="O929" s="266">
        <v>1.0</v>
      </c>
      <c r="P929" s="266" t="s">
        <v>166</v>
      </c>
      <c r="Q929" s="266">
        <v>1.0</v>
      </c>
      <c r="R929" s="497" t="s">
        <v>166</v>
      </c>
      <c r="S929" s="497" t="s">
        <v>166</v>
      </c>
      <c r="T929" s="496"/>
    </row>
    <row r="930">
      <c r="A930" s="494" t="s">
        <v>3401</v>
      </c>
      <c r="B930" s="495" t="s">
        <v>3540</v>
      </c>
      <c r="C930" s="174" t="s">
        <v>3456</v>
      </c>
      <c r="D930" s="452" t="str">
        <f>HYPERLINK("https://www.galax.com/en/graphics-card/20-series/geforcer-rtx-super-series/geforcer-rtx-2060-super-series/geforce-rtx-2060-super-gamer-1click-rgb.html","Gamer (1-Click OC)")</f>
        <v>Gamer (1-Click OC)</v>
      </c>
      <c r="E930" s="266">
        <v>267.0</v>
      </c>
      <c r="F930" s="266">
        <v>119.0</v>
      </c>
      <c r="G930" s="266">
        <v>42.0</v>
      </c>
      <c r="H930" s="266">
        <v>2.0</v>
      </c>
      <c r="I930" s="266">
        <v>1695.0</v>
      </c>
      <c r="J930" s="266">
        <v>14.0</v>
      </c>
      <c r="K930" s="266">
        <v>175.0</v>
      </c>
      <c r="L930" s="266">
        <v>8.0</v>
      </c>
      <c r="M930" s="266">
        <v>2.0</v>
      </c>
      <c r="N930" s="266">
        <v>1.0</v>
      </c>
      <c r="O930" s="266">
        <v>1.0</v>
      </c>
      <c r="P930" s="266" t="s">
        <v>166</v>
      </c>
      <c r="Q930" s="266">
        <v>1.0</v>
      </c>
      <c r="R930" s="497" t="s">
        <v>166</v>
      </c>
      <c r="S930" s="497" t="s">
        <v>166</v>
      </c>
      <c r="T930" s="496"/>
    </row>
    <row r="931">
      <c r="A931" s="494" t="s">
        <v>3401</v>
      </c>
      <c r="B931" s="495" t="s">
        <v>3540</v>
      </c>
      <c r="C931" s="174" t="s">
        <v>3456</v>
      </c>
      <c r="D931" s="452" t="s">
        <v>3489</v>
      </c>
      <c r="E931" s="266">
        <v>285.0</v>
      </c>
      <c r="F931" s="266">
        <v>127.0</v>
      </c>
      <c r="G931" s="266">
        <v>52.0</v>
      </c>
      <c r="H931" s="266">
        <v>2.0</v>
      </c>
      <c r="I931" s="266">
        <v>1710.0</v>
      </c>
      <c r="J931" s="266">
        <v>14.0</v>
      </c>
      <c r="K931" s="266">
        <v>175.0</v>
      </c>
      <c r="L931" s="266" t="s">
        <v>3361</v>
      </c>
      <c r="M931" s="266">
        <v>2.0</v>
      </c>
      <c r="N931" s="266">
        <v>2.0</v>
      </c>
      <c r="O931" s="266">
        <v>1.0</v>
      </c>
      <c r="P931" s="266" t="s">
        <v>166</v>
      </c>
      <c r="Q931" s="266" t="s">
        <v>166</v>
      </c>
      <c r="R931" s="497" t="s">
        <v>166</v>
      </c>
      <c r="S931" s="497" t="s">
        <v>166</v>
      </c>
      <c r="T931" s="496"/>
    </row>
    <row r="932">
      <c r="A932" s="494" t="s">
        <v>3401</v>
      </c>
      <c r="B932" s="495" t="s">
        <v>3540</v>
      </c>
      <c r="C932" s="174" t="s">
        <v>3456</v>
      </c>
      <c r="D932" s="452" t="s">
        <v>3955</v>
      </c>
      <c r="E932" s="266">
        <v>285.0</v>
      </c>
      <c r="F932" s="266">
        <v>127.0</v>
      </c>
      <c r="G932" s="266">
        <v>52.0</v>
      </c>
      <c r="H932" s="266">
        <v>2.0</v>
      </c>
      <c r="I932" s="266">
        <v>1665.0</v>
      </c>
      <c r="J932" s="266">
        <v>14.0</v>
      </c>
      <c r="K932" s="266">
        <v>175.0</v>
      </c>
      <c r="L932" s="266" t="s">
        <v>3361</v>
      </c>
      <c r="M932" s="266">
        <v>2.0</v>
      </c>
      <c r="N932" s="266">
        <v>2.0</v>
      </c>
      <c r="O932" s="266">
        <v>1.0</v>
      </c>
      <c r="P932" s="266" t="s">
        <v>166</v>
      </c>
      <c r="Q932" s="266" t="s">
        <v>166</v>
      </c>
      <c r="R932" s="497" t="s">
        <v>166</v>
      </c>
      <c r="S932" s="497" t="s">
        <v>166</v>
      </c>
      <c r="T932" s="496"/>
    </row>
    <row r="933">
      <c r="A933" s="494" t="s">
        <v>3401</v>
      </c>
      <c r="B933" s="495" t="s">
        <v>3540</v>
      </c>
      <c r="C933" s="174" t="s">
        <v>3456</v>
      </c>
      <c r="D933" s="452" t="s">
        <v>3956</v>
      </c>
      <c r="E933" s="266">
        <v>285.0</v>
      </c>
      <c r="F933" s="266">
        <v>127.0</v>
      </c>
      <c r="G933" s="266">
        <v>52.0</v>
      </c>
      <c r="H933" s="266">
        <v>2.0</v>
      </c>
      <c r="I933" s="266">
        <v>1710.0</v>
      </c>
      <c r="J933" s="266">
        <v>14.0</v>
      </c>
      <c r="K933" s="266">
        <v>175.0</v>
      </c>
      <c r="L933" s="266" t="s">
        <v>3361</v>
      </c>
      <c r="M933" s="266">
        <v>2.0</v>
      </c>
      <c r="N933" s="266">
        <v>2.0</v>
      </c>
      <c r="O933" s="266">
        <v>1.0</v>
      </c>
      <c r="P933" s="266" t="s">
        <v>166</v>
      </c>
      <c r="Q933" s="266" t="s">
        <v>166</v>
      </c>
      <c r="R933" s="497" t="s">
        <v>166</v>
      </c>
      <c r="S933" s="497" t="s">
        <v>166</v>
      </c>
      <c r="T933" s="496"/>
    </row>
    <row r="934">
      <c r="A934" s="494" t="s">
        <v>3401</v>
      </c>
      <c r="B934" s="495" t="s">
        <v>3540</v>
      </c>
      <c r="C934" s="174" t="str">
        <f t="shared" ref="C934:C942" si="178">HYPERLINK("https://www.gigabyte.com/","Gigabyte")</f>
        <v>Gigabyte</v>
      </c>
      <c r="D934" s="452" t="s">
        <v>3597</v>
      </c>
      <c r="E934" s="266">
        <v>265.0</v>
      </c>
      <c r="F934" s="266">
        <v>121.0</v>
      </c>
      <c r="G934" s="266">
        <v>40.0</v>
      </c>
      <c r="H934" s="266">
        <v>2.0</v>
      </c>
      <c r="I934" s="266">
        <v>1650.0</v>
      </c>
      <c r="J934" s="266">
        <v>14.0</v>
      </c>
      <c r="K934" s="266">
        <v>175.0</v>
      </c>
      <c r="L934" s="266">
        <v>8.0</v>
      </c>
      <c r="M934" s="266">
        <v>2.0</v>
      </c>
      <c r="N934" s="266">
        <v>3.0</v>
      </c>
      <c r="O934" s="266">
        <v>1.0</v>
      </c>
      <c r="P934" s="266" t="s">
        <v>166</v>
      </c>
      <c r="Q934" s="266" t="s">
        <v>166</v>
      </c>
      <c r="R934" s="497" t="s">
        <v>166</v>
      </c>
      <c r="S934" s="497" t="s">
        <v>166</v>
      </c>
      <c r="T934" s="496"/>
    </row>
    <row r="935">
      <c r="A935" s="494" t="s">
        <v>3401</v>
      </c>
      <c r="B935" s="495" t="s">
        <v>3540</v>
      </c>
      <c r="C935" s="174" t="str">
        <f t="shared" si="178"/>
        <v>Gigabyte</v>
      </c>
      <c r="D935" s="452" t="s">
        <v>3578</v>
      </c>
      <c r="E935" s="266">
        <v>265.0</v>
      </c>
      <c r="F935" s="266">
        <v>121.0</v>
      </c>
      <c r="G935" s="266">
        <v>40.0</v>
      </c>
      <c r="H935" s="266">
        <v>2.0</v>
      </c>
      <c r="I935" s="266">
        <v>1680.0</v>
      </c>
      <c r="J935" s="266">
        <v>14.0</v>
      </c>
      <c r="K935" s="266">
        <v>175.0</v>
      </c>
      <c r="L935" s="266">
        <v>8.0</v>
      </c>
      <c r="M935" s="266">
        <v>2.0</v>
      </c>
      <c r="N935" s="266">
        <v>3.0</v>
      </c>
      <c r="O935" s="266">
        <v>1.0</v>
      </c>
      <c r="P935" s="266" t="s">
        <v>166</v>
      </c>
      <c r="Q935" s="266" t="s">
        <v>166</v>
      </c>
      <c r="R935" s="497" t="s">
        <v>166</v>
      </c>
      <c r="S935" s="497" t="s">
        <v>166</v>
      </c>
      <c r="T935" s="496"/>
    </row>
    <row r="936">
      <c r="A936" s="494" t="s">
        <v>3401</v>
      </c>
      <c r="B936" s="495" t="s">
        <v>3540</v>
      </c>
      <c r="C936" s="174" t="str">
        <f t="shared" si="178"/>
        <v>Gigabyte</v>
      </c>
      <c r="D936" s="452" t="s">
        <v>3409</v>
      </c>
      <c r="E936" s="266">
        <v>280.35</v>
      </c>
      <c r="F936" s="266">
        <v>116.45</v>
      </c>
      <c r="G936" s="266">
        <v>40.24</v>
      </c>
      <c r="H936" s="266">
        <v>2.0</v>
      </c>
      <c r="I936" s="266">
        <v>1650.0</v>
      </c>
      <c r="J936" s="266">
        <v>14.0</v>
      </c>
      <c r="K936" s="266">
        <v>175.0</v>
      </c>
      <c r="L936" s="266" t="s">
        <v>3361</v>
      </c>
      <c r="M936" s="266">
        <v>3.0</v>
      </c>
      <c r="N936" s="266">
        <v>3.0</v>
      </c>
      <c r="O936" s="266">
        <v>1.0</v>
      </c>
      <c r="P936" s="266">
        <v>1.0</v>
      </c>
      <c r="Q936" s="266" t="s">
        <v>166</v>
      </c>
      <c r="R936" s="497" t="s">
        <v>166</v>
      </c>
      <c r="S936" s="497" t="s">
        <v>166</v>
      </c>
      <c r="T936" s="496"/>
    </row>
    <row r="937">
      <c r="A937" s="494" t="s">
        <v>3401</v>
      </c>
      <c r="B937" s="495" t="s">
        <v>3540</v>
      </c>
      <c r="C937" s="174" t="str">
        <f t="shared" si="178"/>
        <v>Gigabyte</v>
      </c>
      <c r="D937" s="452" t="s">
        <v>3630</v>
      </c>
      <c r="E937" s="266">
        <v>280.35</v>
      </c>
      <c r="F937" s="266">
        <v>116.45</v>
      </c>
      <c r="G937" s="266">
        <v>40.24</v>
      </c>
      <c r="H937" s="266">
        <v>2.0</v>
      </c>
      <c r="I937" s="266">
        <v>1815.0</v>
      </c>
      <c r="J937" s="266">
        <v>14.0</v>
      </c>
      <c r="K937" s="266">
        <v>175.0</v>
      </c>
      <c r="L937" s="266" t="s">
        <v>3361</v>
      </c>
      <c r="M937" s="266">
        <v>3.0</v>
      </c>
      <c r="N937" s="266">
        <v>3.0</v>
      </c>
      <c r="O937" s="266">
        <v>1.0</v>
      </c>
      <c r="P937" s="266">
        <v>1.0</v>
      </c>
      <c r="Q937" s="266" t="s">
        <v>166</v>
      </c>
      <c r="R937" s="497" t="s">
        <v>166</v>
      </c>
      <c r="S937" s="497" t="s">
        <v>166</v>
      </c>
      <c r="T937" s="496"/>
    </row>
    <row r="938">
      <c r="A938" s="494" t="s">
        <v>3401</v>
      </c>
      <c r="B938" s="495" t="s">
        <v>3540</v>
      </c>
      <c r="C938" s="174" t="str">
        <f t="shared" si="178"/>
        <v>Gigabyte</v>
      </c>
      <c r="D938" s="452" t="s">
        <v>3957</v>
      </c>
      <c r="E938" s="266">
        <v>280.35</v>
      </c>
      <c r="F938" s="266">
        <v>116.45</v>
      </c>
      <c r="G938" s="266">
        <v>40.24</v>
      </c>
      <c r="H938" s="266">
        <v>2.0</v>
      </c>
      <c r="I938" s="266">
        <v>1815.0</v>
      </c>
      <c r="J938" s="266">
        <v>14.0</v>
      </c>
      <c r="K938" s="266">
        <v>175.0</v>
      </c>
      <c r="L938" s="266" t="s">
        <v>3361</v>
      </c>
      <c r="M938" s="266">
        <v>3.0</v>
      </c>
      <c r="N938" s="266">
        <v>3.0</v>
      </c>
      <c r="O938" s="266">
        <v>1.0</v>
      </c>
      <c r="P938" s="266">
        <v>1.0</v>
      </c>
      <c r="Q938" s="266" t="s">
        <v>166</v>
      </c>
      <c r="R938" s="497" t="s">
        <v>166</v>
      </c>
      <c r="S938" s="497" t="s">
        <v>166</v>
      </c>
      <c r="T938" s="496"/>
    </row>
    <row r="939">
      <c r="A939" s="494" t="s">
        <v>3401</v>
      </c>
      <c r="B939" s="495" t="s">
        <v>3540</v>
      </c>
      <c r="C939" s="174" t="str">
        <f t="shared" si="178"/>
        <v>Gigabyte</v>
      </c>
      <c r="D939" s="452" t="s">
        <v>3958</v>
      </c>
      <c r="E939" s="266">
        <v>280.35</v>
      </c>
      <c r="F939" s="266">
        <v>116.45</v>
      </c>
      <c r="G939" s="266">
        <v>40.24</v>
      </c>
      <c r="H939" s="266">
        <v>2.0</v>
      </c>
      <c r="I939" s="266">
        <v>1650.0</v>
      </c>
      <c r="J939" s="266">
        <v>14.0</v>
      </c>
      <c r="K939" s="266">
        <v>175.0</v>
      </c>
      <c r="L939" s="266" t="s">
        <v>3361</v>
      </c>
      <c r="M939" s="266">
        <v>3.0</v>
      </c>
      <c r="N939" s="266">
        <v>3.0</v>
      </c>
      <c r="O939" s="266">
        <v>1.0</v>
      </c>
      <c r="P939" s="266">
        <v>1.0</v>
      </c>
      <c r="Q939" s="266" t="s">
        <v>166</v>
      </c>
      <c r="R939" s="497" t="s">
        <v>166</v>
      </c>
      <c r="S939" s="497" t="s">
        <v>166</v>
      </c>
      <c r="T939" s="496"/>
    </row>
    <row r="940">
      <c r="A940" s="494" t="s">
        <v>3401</v>
      </c>
      <c r="B940" s="495" t="s">
        <v>3540</v>
      </c>
      <c r="C940" s="174" t="str">
        <f t="shared" si="178"/>
        <v>Gigabyte</v>
      </c>
      <c r="D940" s="452" t="s">
        <v>3959</v>
      </c>
      <c r="E940" s="266">
        <v>280.35</v>
      </c>
      <c r="F940" s="266">
        <v>116.45</v>
      </c>
      <c r="G940" s="266">
        <v>40.24</v>
      </c>
      <c r="H940" s="266">
        <v>2.0</v>
      </c>
      <c r="I940" s="266">
        <v>1710.0</v>
      </c>
      <c r="J940" s="266">
        <v>14.0</v>
      </c>
      <c r="K940" s="266">
        <v>175.0</v>
      </c>
      <c r="L940" s="266" t="s">
        <v>3361</v>
      </c>
      <c r="M940" s="266">
        <v>3.0</v>
      </c>
      <c r="N940" s="266">
        <v>3.0</v>
      </c>
      <c r="O940" s="266">
        <v>1.0</v>
      </c>
      <c r="P940" s="266">
        <v>1.0</v>
      </c>
      <c r="Q940" s="266" t="s">
        <v>166</v>
      </c>
      <c r="R940" s="497" t="s">
        <v>166</v>
      </c>
      <c r="S940" s="497" t="s">
        <v>166</v>
      </c>
      <c r="T940" s="496"/>
    </row>
    <row r="941">
      <c r="A941" s="494" t="s">
        <v>3401</v>
      </c>
      <c r="B941" s="495" t="s">
        <v>3540</v>
      </c>
      <c r="C941" s="174" t="str">
        <f t="shared" si="178"/>
        <v>Gigabyte</v>
      </c>
      <c r="D941" s="452" t="s">
        <v>3960</v>
      </c>
      <c r="E941" s="266">
        <v>280.35</v>
      </c>
      <c r="F941" s="266">
        <v>116.45</v>
      </c>
      <c r="G941" s="266">
        <v>40.24</v>
      </c>
      <c r="H941" s="266">
        <v>2.0</v>
      </c>
      <c r="I941" s="266">
        <v>1710.0</v>
      </c>
      <c r="J941" s="266">
        <v>14.0</v>
      </c>
      <c r="K941" s="266">
        <v>175.0</v>
      </c>
      <c r="L941" s="266" t="s">
        <v>3361</v>
      </c>
      <c r="M941" s="266">
        <v>3.0</v>
      </c>
      <c r="N941" s="266">
        <v>3.0</v>
      </c>
      <c r="O941" s="266">
        <v>1.0</v>
      </c>
      <c r="P941" s="266">
        <v>1.0</v>
      </c>
      <c r="Q941" s="266" t="s">
        <v>166</v>
      </c>
      <c r="R941" s="497" t="s">
        <v>166</v>
      </c>
      <c r="S941" s="497" t="s">
        <v>166</v>
      </c>
      <c r="T941" s="496"/>
    </row>
    <row r="942">
      <c r="A942" s="494" t="s">
        <v>3401</v>
      </c>
      <c r="B942" s="495" t="s">
        <v>3540</v>
      </c>
      <c r="C942" s="174" t="str">
        <f t="shared" si="178"/>
        <v>Gigabyte</v>
      </c>
      <c r="D942" s="452" t="s">
        <v>3677</v>
      </c>
      <c r="E942" s="266">
        <v>290.0</v>
      </c>
      <c r="F942" s="266">
        <v>134.31</v>
      </c>
      <c r="G942" s="266">
        <v>59.9</v>
      </c>
      <c r="H942" s="266">
        <v>2.0</v>
      </c>
      <c r="I942" s="266">
        <v>1845.0</v>
      </c>
      <c r="J942" s="266">
        <v>14.0</v>
      </c>
      <c r="K942" s="266">
        <v>175.0</v>
      </c>
      <c r="L942" s="266" t="s">
        <v>3361</v>
      </c>
      <c r="M942" s="266">
        <v>3.0</v>
      </c>
      <c r="N942" s="266">
        <v>3.0</v>
      </c>
      <c r="O942" s="266">
        <v>3.0</v>
      </c>
      <c r="P942" s="266">
        <v>1.0</v>
      </c>
      <c r="Q942" s="266" t="s">
        <v>166</v>
      </c>
      <c r="R942" s="497" t="s">
        <v>166</v>
      </c>
      <c r="S942" s="497" t="s">
        <v>166</v>
      </c>
      <c r="T942" s="496"/>
    </row>
    <row r="943">
      <c r="A943" s="494" t="s">
        <v>3401</v>
      </c>
      <c r="B943" s="495" t="s">
        <v>3540</v>
      </c>
      <c r="C943" s="452" t="str">
        <f t="shared" ref="C943:C947" si="179">HYPERLINK("http://www.inno3d.com/","Inno3D")</f>
        <v>Inno3D</v>
      </c>
      <c r="D943" s="452" t="s">
        <v>3882</v>
      </c>
      <c r="E943" s="266">
        <v>220.0</v>
      </c>
      <c r="F943" s="266">
        <v>113.0</v>
      </c>
      <c r="G943" s="266">
        <v>40.0</v>
      </c>
      <c r="H943" s="266">
        <v>2.0</v>
      </c>
      <c r="I943" s="266">
        <v>1665.0</v>
      </c>
      <c r="J943" s="266">
        <v>14.0</v>
      </c>
      <c r="K943" s="266">
        <v>175.0</v>
      </c>
      <c r="L943" s="266">
        <v>8.0</v>
      </c>
      <c r="M943" s="266">
        <v>2.0</v>
      </c>
      <c r="N943" s="266">
        <v>3.0</v>
      </c>
      <c r="O943" s="266">
        <v>1.0</v>
      </c>
      <c r="P943" s="266" t="s">
        <v>166</v>
      </c>
      <c r="Q943" s="266" t="s">
        <v>166</v>
      </c>
      <c r="R943" s="497" t="s">
        <v>166</v>
      </c>
      <c r="S943" s="497" t="s">
        <v>166</v>
      </c>
      <c r="T943" s="496"/>
    </row>
    <row r="944">
      <c r="A944" s="494" t="s">
        <v>3401</v>
      </c>
      <c r="B944" s="495" t="s">
        <v>3540</v>
      </c>
      <c r="C944" s="452" t="str">
        <f t="shared" si="179"/>
        <v>Inno3D</v>
      </c>
      <c r="D944" s="452" t="s">
        <v>3897</v>
      </c>
      <c r="E944" s="266">
        <v>220.0</v>
      </c>
      <c r="F944" s="266">
        <v>113.0</v>
      </c>
      <c r="G944" s="266">
        <v>40.0</v>
      </c>
      <c r="H944" s="266">
        <v>2.0</v>
      </c>
      <c r="I944" s="266">
        <v>1665.0</v>
      </c>
      <c r="J944" s="266">
        <v>14.0</v>
      </c>
      <c r="K944" s="266">
        <v>175.0</v>
      </c>
      <c r="L944" s="266">
        <v>8.0</v>
      </c>
      <c r="M944" s="266">
        <v>2.0</v>
      </c>
      <c r="N944" s="266">
        <v>3.0</v>
      </c>
      <c r="O944" s="266">
        <v>1.0</v>
      </c>
      <c r="P944" s="266" t="s">
        <v>166</v>
      </c>
      <c r="Q944" s="266" t="s">
        <v>166</v>
      </c>
      <c r="R944" s="497" t="s">
        <v>166</v>
      </c>
      <c r="S944" s="497" t="s">
        <v>166</v>
      </c>
      <c r="T944" s="496"/>
    </row>
    <row r="945">
      <c r="A945" s="494" t="s">
        <v>3401</v>
      </c>
      <c r="B945" s="495" t="s">
        <v>3540</v>
      </c>
      <c r="C945" s="452" t="str">
        <f t="shared" si="179"/>
        <v>Inno3D</v>
      </c>
      <c r="D945" s="452" t="s">
        <v>3920</v>
      </c>
      <c r="E945" s="266">
        <v>264.0</v>
      </c>
      <c r="F945" s="266">
        <v>134.0</v>
      </c>
      <c r="G945" s="266">
        <v>50.0</v>
      </c>
      <c r="H945" s="266">
        <v>2.0</v>
      </c>
      <c r="I945" s="266">
        <v>1695.0</v>
      </c>
      <c r="J945" s="266">
        <v>14.0</v>
      </c>
      <c r="K945" s="266">
        <v>175.0</v>
      </c>
      <c r="L945" s="266" t="s">
        <v>3361</v>
      </c>
      <c r="M945" s="266">
        <v>2.0</v>
      </c>
      <c r="N945" s="266">
        <v>3.0</v>
      </c>
      <c r="O945" s="266">
        <v>1.0</v>
      </c>
      <c r="P945" s="266" t="s">
        <v>166</v>
      </c>
      <c r="Q945" s="266" t="s">
        <v>166</v>
      </c>
      <c r="R945" s="497" t="s">
        <v>166</v>
      </c>
      <c r="S945" s="497" t="s">
        <v>166</v>
      </c>
      <c r="T945" s="496"/>
    </row>
    <row r="946">
      <c r="A946" s="494" t="s">
        <v>3401</v>
      </c>
      <c r="B946" s="495" t="s">
        <v>3540</v>
      </c>
      <c r="C946" s="452" t="str">
        <f t="shared" si="179"/>
        <v>Inno3D</v>
      </c>
      <c r="D946" s="452" t="s">
        <v>3921</v>
      </c>
      <c r="E946" s="266">
        <v>302.2</v>
      </c>
      <c r="F946" s="266">
        <v>123.0</v>
      </c>
      <c r="G946" s="266">
        <v>50.0</v>
      </c>
      <c r="H946" s="266">
        <v>2.0</v>
      </c>
      <c r="I946" s="266">
        <v>1695.0</v>
      </c>
      <c r="J946" s="266">
        <v>14.0</v>
      </c>
      <c r="K946" s="266">
        <v>175.0</v>
      </c>
      <c r="L946" s="266">
        <v>8.0</v>
      </c>
      <c r="M946" s="266">
        <v>3.0</v>
      </c>
      <c r="N946" s="266">
        <v>3.0</v>
      </c>
      <c r="O946" s="266">
        <v>1.0</v>
      </c>
      <c r="P946" s="266" t="s">
        <v>166</v>
      </c>
      <c r="Q946" s="266" t="s">
        <v>166</v>
      </c>
      <c r="R946" s="497" t="s">
        <v>166</v>
      </c>
      <c r="S946" s="497" t="s">
        <v>166</v>
      </c>
      <c r="T946" s="496"/>
    </row>
    <row r="947">
      <c r="A947" s="494" t="s">
        <v>3401</v>
      </c>
      <c r="B947" s="495" t="s">
        <v>3540</v>
      </c>
      <c r="C947" s="452" t="str">
        <f t="shared" si="179"/>
        <v>Inno3D</v>
      </c>
      <c r="D947" s="452" t="s">
        <v>3961</v>
      </c>
      <c r="E947" s="266">
        <v>300.0</v>
      </c>
      <c r="F947" s="266">
        <v>140.0</v>
      </c>
      <c r="G947" s="266">
        <v>60.0</v>
      </c>
      <c r="H947" s="266">
        <v>2.0</v>
      </c>
      <c r="I947" s="266">
        <v>1695.0</v>
      </c>
      <c r="J947" s="266">
        <v>14.0</v>
      </c>
      <c r="K947" s="266">
        <v>175.0</v>
      </c>
      <c r="L947" s="266" t="s">
        <v>3361</v>
      </c>
      <c r="M947" s="266">
        <v>3.0</v>
      </c>
      <c r="N947" s="266">
        <v>3.0</v>
      </c>
      <c r="O947" s="266">
        <v>1.0</v>
      </c>
      <c r="P947" s="266" t="s">
        <v>166</v>
      </c>
      <c r="Q947" s="266" t="s">
        <v>166</v>
      </c>
      <c r="R947" s="497" t="s">
        <v>166</v>
      </c>
      <c r="S947" s="497" t="s">
        <v>166</v>
      </c>
      <c r="T947" s="496"/>
    </row>
    <row r="948">
      <c r="A948" s="494" t="s">
        <v>3401</v>
      </c>
      <c r="B948" s="495" t="s">
        <v>3540</v>
      </c>
      <c r="C948" s="452" t="str">
        <f t="shared" ref="C948:C951" si="180">HYPERLINK("http://manli.com/en","Manli")</f>
        <v>Manli</v>
      </c>
      <c r="D948" s="452" t="s">
        <v>3962</v>
      </c>
      <c r="E948" s="266">
        <v>255.0</v>
      </c>
      <c r="F948" s="266">
        <v>125.0</v>
      </c>
      <c r="G948" s="266">
        <v>42.0</v>
      </c>
      <c r="H948" s="266">
        <v>2.0</v>
      </c>
      <c r="I948" s="266">
        <v>1650.0</v>
      </c>
      <c r="J948" s="266">
        <v>14.0</v>
      </c>
      <c r="K948" s="266">
        <v>175.0</v>
      </c>
      <c r="L948" s="266">
        <v>8.0</v>
      </c>
      <c r="M948" s="266">
        <v>1.0</v>
      </c>
      <c r="N948" s="266">
        <v>3.0</v>
      </c>
      <c r="O948" s="266">
        <v>1.0</v>
      </c>
      <c r="P948" s="266" t="s">
        <v>166</v>
      </c>
      <c r="Q948" s="266" t="s">
        <v>166</v>
      </c>
      <c r="R948" s="266" t="s">
        <v>166</v>
      </c>
      <c r="S948" s="266" t="s">
        <v>174</v>
      </c>
      <c r="T948" s="494"/>
    </row>
    <row r="949">
      <c r="A949" s="494" t="s">
        <v>3401</v>
      </c>
      <c r="B949" s="495" t="s">
        <v>3540</v>
      </c>
      <c r="C949" s="452" t="str">
        <f t="shared" si="180"/>
        <v>Manli</v>
      </c>
      <c r="D949" s="452" t="s">
        <v>3963</v>
      </c>
      <c r="E949" s="266">
        <v>281.0</v>
      </c>
      <c r="F949" s="266">
        <v>125.0</v>
      </c>
      <c r="G949" s="266">
        <v>42.0</v>
      </c>
      <c r="H949" s="266">
        <v>2.0</v>
      </c>
      <c r="I949" s="266">
        <v>1650.0</v>
      </c>
      <c r="J949" s="266">
        <v>14.0</v>
      </c>
      <c r="K949" s="266">
        <v>175.0</v>
      </c>
      <c r="L949" s="266">
        <v>8.0</v>
      </c>
      <c r="M949" s="266">
        <v>1.0</v>
      </c>
      <c r="N949" s="266">
        <v>3.0</v>
      </c>
      <c r="O949" s="266">
        <v>1.0</v>
      </c>
      <c r="P949" s="266" t="s">
        <v>166</v>
      </c>
      <c r="Q949" s="266">
        <v>1.0</v>
      </c>
      <c r="R949" s="266" t="s">
        <v>166</v>
      </c>
      <c r="S949" s="266" t="s">
        <v>174</v>
      </c>
      <c r="T949" s="494"/>
    </row>
    <row r="950">
      <c r="A950" s="494" t="s">
        <v>3401</v>
      </c>
      <c r="B950" s="495" t="s">
        <v>3540</v>
      </c>
      <c r="C950" s="452" t="str">
        <f t="shared" si="180"/>
        <v>Manli</v>
      </c>
      <c r="D950" s="452" t="str">
        <f>HYPERLINK("https://manli.com/en/product-detail-MANLI_GeForce_RTX_2060_Super_Gallardo_(F401G+N522-01)-34.html","Gallardo (F401G+N522-01)")</f>
        <v>Gallardo (F401G+N522-01)</v>
      </c>
      <c r="E950" s="266">
        <v>225.0</v>
      </c>
      <c r="F950" s="266">
        <v>128.0</v>
      </c>
      <c r="G950" s="266">
        <v>42.0</v>
      </c>
      <c r="H950" s="266">
        <v>2.0</v>
      </c>
      <c r="I950" s="266">
        <v>1695.0</v>
      </c>
      <c r="J950" s="266">
        <v>14.0</v>
      </c>
      <c r="K950" s="266">
        <v>175.0</v>
      </c>
      <c r="L950" s="266">
        <v>8.0</v>
      </c>
      <c r="M950" s="266">
        <v>2.0</v>
      </c>
      <c r="N950" s="266">
        <v>3.0</v>
      </c>
      <c r="O950" s="266">
        <v>1.0</v>
      </c>
      <c r="P950" s="266" t="s">
        <v>166</v>
      </c>
      <c r="Q950" s="266">
        <v>1.0</v>
      </c>
      <c r="R950" s="497" t="s">
        <v>166</v>
      </c>
      <c r="S950" s="497" t="s">
        <v>166</v>
      </c>
      <c r="T950" s="496"/>
    </row>
    <row r="951">
      <c r="A951" s="494" t="s">
        <v>3401</v>
      </c>
      <c r="B951" s="495" t="s">
        <v>3540</v>
      </c>
      <c r="C951" s="452" t="str">
        <f t="shared" si="180"/>
        <v>Manli</v>
      </c>
      <c r="D951" s="452" t="str">
        <f>HYPERLINK("https://manli.com/en/product-detail-MANLI_GeForce_RTX_2060_Super_Gallardo_(M2435+N537-10)-35.html","Gallardo (M2435+N537-10)")</f>
        <v>Gallardo (M2435+N537-10)</v>
      </c>
      <c r="E951" s="266">
        <v>255.0</v>
      </c>
      <c r="F951" s="266">
        <v>125.0</v>
      </c>
      <c r="G951" s="266">
        <v>42.0</v>
      </c>
      <c r="H951" s="266">
        <v>2.0</v>
      </c>
      <c r="I951" s="266">
        <v>1695.0</v>
      </c>
      <c r="J951" s="266">
        <v>14.0</v>
      </c>
      <c r="K951" s="266">
        <v>175.0</v>
      </c>
      <c r="L951" s="266">
        <v>8.0</v>
      </c>
      <c r="M951" s="266">
        <v>2.0</v>
      </c>
      <c r="N951" s="266">
        <v>3.0</v>
      </c>
      <c r="O951" s="266">
        <v>1.0</v>
      </c>
      <c r="P951" s="266" t="s">
        <v>166</v>
      </c>
      <c r="Q951" s="266" t="s">
        <v>166</v>
      </c>
      <c r="R951" s="497" t="s">
        <v>166</v>
      </c>
      <c r="S951" s="497" t="s">
        <v>166</v>
      </c>
      <c r="T951" s="496"/>
    </row>
    <row r="952">
      <c r="A952" s="494" t="s">
        <v>3401</v>
      </c>
      <c r="B952" s="495" t="s">
        <v>3540</v>
      </c>
      <c r="C952" s="174" t="str">
        <f t="shared" ref="C952:C961" si="181">HYPERLINK("https://www.msi.com/index.php","MSI")</f>
        <v>MSI</v>
      </c>
      <c r="D952" s="452" t="s">
        <v>3904</v>
      </c>
      <c r="E952" s="266">
        <v>231.0</v>
      </c>
      <c r="F952" s="266">
        <v>128.0</v>
      </c>
      <c r="G952" s="266">
        <v>42.0</v>
      </c>
      <c r="H952" s="266">
        <v>2.0</v>
      </c>
      <c r="I952" s="266">
        <v>1650.0</v>
      </c>
      <c r="J952" s="266">
        <v>14.0</v>
      </c>
      <c r="K952" s="266">
        <v>175.0</v>
      </c>
      <c r="L952" s="266">
        <v>8.0</v>
      </c>
      <c r="M952" s="266">
        <v>2.0</v>
      </c>
      <c r="N952" s="266">
        <v>3.0</v>
      </c>
      <c r="O952" s="266">
        <v>1.0</v>
      </c>
      <c r="P952" s="266" t="s">
        <v>166</v>
      </c>
      <c r="Q952" s="266" t="s">
        <v>166</v>
      </c>
      <c r="R952" s="497" t="s">
        <v>166</v>
      </c>
      <c r="S952" s="497" t="s">
        <v>166</v>
      </c>
      <c r="T952" s="496"/>
    </row>
    <row r="953">
      <c r="A953" s="494" t="s">
        <v>3401</v>
      </c>
      <c r="B953" s="495" t="s">
        <v>3540</v>
      </c>
      <c r="C953" s="174" t="str">
        <f t="shared" si="181"/>
        <v>MSI</v>
      </c>
      <c r="D953" s="452" t="s">
        <v>3905</v>
      </c>
      <c r="E953" s="266">
        <v>231.0</v>
      </c>
      <c r="F953" s="266">
        <v>128.0</v>
      </c>
      <c r="G953" s="266">
        <v>42.0</v>
      </c>
      <c r="H953" s="266">
        <v>2.0</v>
      </c>
      <c r="I953" s="266">
        <v>1665.0</v>
      </c>
      <c r="J953" s="266">
        <v>14.0</v>
      </c>
      <c r="K953" s="266">
        <v>175.0</v>
      </c>
      <c r="L953" s="266">
        <v>8.0</v>
      </c>
      <c r="M953" s="266">
        <v>2.0</v>
      </c>
      <c r="N953" s="266">
        <v>3.0</v>
      </c>
      <c r="O953" s="266">
        <v>1.0</v>
      </c>
      <c r="P953" s="266" t="s">
        <v>166</v>
      </c>
      <c r="Q953" s="266" t="s">
        <v>166</v>
      </c>
      <c r="R953" s="497" t="s">
        <v>166</v>
      </c>
      <c r="S953" s="497" t="s">
        <v>166</v>
      </c>
      <c r="T953" s="496"/>
    </row>
    <row r="954">
      <c r="A954" s="494" t="s">
        <v>3401</v>
      </c>
      <c r="B954" s="495" t="s">
        <v>3540</v>
      </c>
      <c r="C954" s="174" t="str">
        <f t="shared" si="181"/>
        <v>MSI</v>
      </c>
      <c r="D954" s="452" t="s">
        <v>3923</v>
      </c>
      <c r="E954" s="266">
        <v>232.0</v>
      </c>
      <c r="F954" s="266">
        <v>127.0</v>
      </c>
      <c r="G954" s="266">
        <v>42.0</v>
      </c>
      <c r="H954" s="266">
        <v>2.0</v>
      </c>
      <c r="I954" s="266">
        <v>1650.0</v>
      </c>
      <c r="J954" s="266">
        <v>14.0</v>
      </c>
      <c r="K954" s="266">
        <v>175.0</v>
      </c>
      <c r="L954" s="266">
        <v>8.0</v>
      </c>
      <c r="M954" s="266">
        <v>2.0</v>
      </c>
      <c r="N954" s="266">
        <v>3.0</v>
      </c>
      <c r="O954" s="266">
        <v>1.0</v>
      </c>
      <c r="P954" s="266" t="s">
        <v>166</v>
      </c>
      <c r="Q954" s="266" t="s">
        <v>166</v>
      </c>
      <c r="R954" s="497" t="s">
        <v>166</v>
      </c>
      <c r="S954" s="497" t="s">
        <v>166</v>
      </c>
      <c r="T954" s="496"/>
    </row>
    <row r="955">
      <c r="A955" s="494" t="s">
        <v>3401</v>
      </c>
      <c r="B955" s="495" t="s">
        <v>3540</v>
      </c>
      <c r="C955" s="174" t="str">
        <f t="shared" si="181"/>
        <v>MSI</v>
      </c>
      <c r="D955" s="452" t="s">
        <v>3924</v>
      </c>
      <c r="E955" s="266">
        <v>232.0</v>
      </c>
      <c r="F955" s="266">
        <v>127.0</v>
      </c>
      <c r="G955" s="266">
        <v>42.0</v>
      </c>
      <c r="H955" s="266">
        <v>2.0</v>
      </c>
      <c r="I955" s="266">
        <v>1665.0</v>
      </c>
      <c r="J955" s="266">
        <v>14.0</v>
      </c>
      <c r="K955" s="266">
        <v>175.0</v>
      </c>
      <c r="L955" s="266">
        <v>8.0</v>
      </c>
      <c r="M955" s="266">
        <v>2.0</v>
      </c>
      <c r="N955" s="266">
        <v>3.0</v>
      </c>
      <c r="O955" s="266">
        <v>1.0</v>
      </c>
      <c r="P955" s="266" t="s">
        <v>166</v>
      </c>
      <c r="Q955" s="266" t="s">
        <v>166</v>
      </c>
      <c r="R955" s="497" t="s">
        <v>166</v>
      </c>
      <c r="S955" s="497" t="s">
        <v>166</v>
      </c>
      <c r="T955" s="496"/>
    </row>
    <row r="956">
      <c r="A956" s="494" t="s">
        <v>3401</v>
      </c>
      <c r="B956" s="495" t="s">
        <v>3540</v>
      </c>
      <c r="C956" s="174" t="str">
        <f t="shared" si="181"/>
        <v>MSI</v>
      </c>
      <c r="D956" s="452" t="s">
        <v>3964</v>
      </c>
      <c r="E956" s="266">
        <v>258.0</v>
      </c>
      <c r="F956" s="266">
        <v>127.0</v>
      </c>
      <c r="G956" s="266">
        <v>43.0</v>
      </c>
      <c r="H956" s="266">
        <v>2.0</v>
      </c>
      <c r="I956" s="266">
        <v>1650.0</v>
      </c>
      <c r="J956" s="266">
        <v>14.0</v>
      </c>
      <c r="K956" s="266">
        <v>175.0</v>
      </c>
      <c r="L956" s="266" t="s">
        <v>3361</v>
      </c>
      <c r="M956" s="266">
        <v>2.0</v>
      </c>
      <c r="N956" s="266">
        <v>3.0</v>
      </c>
      <c r="O956" s="266">
        <v>1.0</v>
      </c>
      <c r="P956" s="266" t="s">
        <v>166</v>
      </c>
      <c r="Q956" s="266" t="s">
        <v>166</v>
      </c>
      <c r="R956" s="497" t="s">
        <v>166</v>
      </c>
      <c r="S956" s="497" t="s">
        <v>166</v>
      </c>
      <c r="T956" s="496"/>
    </row>
    <row r="957">
      <c r="A957" s="494" t="s">
        <v>3401</v>
      </c>
      <c r="B957" s="495" t="s">
        <v>3540</v>
      </c>
      <c r="C957" s="174" t="str">
        <f t="shared" si="181"/>
        <v>MSI</v>
      </c>
      <c r="D957" s="452" t="s">
        <v>3965</v>
      </c>
      <c r="E957" s="266">
        <v>258.0</v>
      </c>
      <c r="F957" s="266">
        <v>127.0</v>
      </c>
      <c r="G957" s="266">
        <v>43.0</v>
      </c>
      <c r="H957" s="266">
        <v>2.0</v>
      </c>
      <c r="I957" s="266">
        <v>1665.0</v>
      </c>
      <c r="J957" s="266">
        <v>14.0</v>
      </c>
      <c r="K957" s="266">
        <v>175.0</v>
      </c>
      <c r="L957" s="266" t="s">
        <v>3361</v>
      </c>
      <c r="M957" s="266">
        <v>2.0</v>
      </c>
      <c r="N957" s="266">
        <v>3.0</v>
      </c>
      <c r="O957" s="266">
        <v>1.0</v>
      </c>
      <c r="P957" s="266" t="s">
        <v>166</v>
      </c>
      <c r="Q957" s="266" t="s">
        <v>166</v>
      </c>
      <c r="R957" s="497" t="s">
        <v>166</v>
      </c>
      <c r="S957" s="497" t="s">
        <v>166</v>
      </c>
      <c r="T957" s="496"/>
    </row>
    <row r="958">
      <c r="A958" s="494" t="s">
        <v>3401</v>
      </c>
      <c r="B958" s="495" t="s">
        <v>3540</v>
      </c>
      <c r="C958" s="174" t="str">
        <f t="shared" si="181"/>
        <v>MSI</v>
      </c>
      <c r="D958" s="452" t="s">
        <v>3693</v>
      </c>
      <c r="E958" s="266">
        <v>250.0</v>
      </c>
      <c r="F958" s="266">
        <v>129.0</v>
      </c>
      <c r="G958" s="266">
        <v>44.0</v>
      </c>
      <c r="H958" s="266">
        <v>2.0</v>
      </c>
      <c r="I958" s="266">
        <v>1650.0</v>
      </c>
      <c r="J958" s="266">
        <v>14.0</v>
      </c>
      <c r="K958" s="266">
        <v>175.0</v>
      </c>
      <c r="L958" s="266">
        <v>8.0</v>
      </c>
      <c r="M958" s="266">
        <v>2.0</v>
      </c>
      <c r="N958" s="266">
        <v>3.0</v>
      </c>
      <c r="O958" s="266">
        <v>1.0</v>
      </c>
      <c r="P958" s="266" t="s">
        <v>166</v>
      </c>
      <c r="Q958" s="266" t="s">
        <v>166</v>
      </c>
      <c r="R958" s="497" t="s">
        <v>166</v>
      </c>
      <c r="S958" s="497" t="s">
        <v>166</v>
      </c>
      <c r="T958" s="496"/>
    </row>
    <row r="959">
      <c r="A959" s="494" t="s">
        <v>3401</v>
      </c>
      <c r="B959" s="495" t="s">
        <v>3540</v>
      </c>
      <c r="C959" s="174" t="str">
        <f t="shared" si="181"/>
        <v>MSI</v>
      </c>
      <c r="D959" s="452" t="s">
        <v>3852</v>
      </c>
      <c r="E959" s="266">
        <v>250.0</v>
      </c>
      <c r="F959" s="266">
        <v>129.0</v>
      </c>
      <c r="G959" s="266">
        <v>44.0</v>
      </c>
      <c r="H959" s="266">
        <v>2.0</v>
      </c>
      <c r="I959" s="266">
        <v>1680.0</v>
      </c>
      <c r="J959" s="266">
        <v>14.0</v>
      </c>
      <c r="K959" s="266">
        <v>175.0</v>
      </c>
      <c r="L959" s="266">
        <v>8.0</v>
      </c>
      <c r="M959" s="266">
        <v>2.0</v>
      </c>
      <c r="N959" s="266">
        <v>3.0</v>
      </c>
      <c r="O959" s="266">
        <v>1.0</v>
      </c>
      <c r="P959" s="266" t="s">
        <v>166</v>
      </c>
      <c r="Q959" s="266" t="s">
        <v>166</v>
      </c>
      <c r="R959" s="497" t="s">
        <v>166</v>
      </c>
      <c r="S959" s="497" t="s">
        <v>166</v>
      </c>
      <c r="T959" s="496"/>
    </row>
    <row r="960">
      <c r="A960" s="494" t="s">
        <v>3401</v>
      </c>
      <c r="B960" s="495" t="s">
        <v>3540</v>
      </c>
      <c r="C960" s="174" t="str">
        <f t="shared" si="181"/>
        <v>MSI</v>
      </c>
      <c r="D960" s="452" t="s">
        <v>3409</v>
      </c>
      <c r="E960" s="266">
        <v>248.0</v>
      </c>
      <c r="F960" s="266">
        <v>128.0</v>
      </c>
      <c r="G960" s="266">
        <v>52.0</v>
      </c>
      <c r="H960" s="266">
        <v>2.0</v>
      </c>
      <c r="I960" s="266">
        <v>1650.0</v>
      </c>
      <c r="J960" s="266">
        <v>14.0</v>
      </c>
      <c r="K960" s="266">
        <v>175.0</v>
      </c>
      <c r="L960" s="266">
        <v>8.0</v>
      </c>
      <c r="M960" s="266">
        <v>2.0</v>
      </c>
      <c r="N960" s="266">
        <v>3.0</v>
      </c>
      <c r="O960" s="266">
        <v>1.0</v>
      </c>
      <c r="P960" s="266" t="s">
        <v>166</v>
      </c>
      <c r="Q960" s="266" t="s">
        <v>166</v>
      </c>
      <c r="R960" s="497" t="s">
        <v>166</v>
      </c>
      <c r="S960" s="497" t="s">
        <v>166</v>
      </c>
      <c r="T960" s="496"/>
    </row>
    <row r="961">
      <c r="A961" s="494" t="s">
        <v>3401</v>
      </c>
      <c r="B961" s="495" t="s">
        <v>3540</v>
      </c>
      <c r="C961" s="174" t="str">
        <f t="shared" si="181"/>
        <v>MSI</v>
      </c>
      <c r="D961" s="452" t="s">
        <v>3557</v>
      </c>
      <c r="E961" s="266">
        <v>248.0</v>
      </c>
      <c r="F961" s="266">
        <v>128.0</v>
      </c>
      <c r="G961" s="266">
        <v>52.0</v>
      </c>
      <c r="H961" s="266">
        <v>2.0</v>
      </c>
      <c r="I961" s="266">
        <v>1695.0</v>
      </c>
      <c r="J961" s="266">
        <v>14.0</v>
      </c>
      <c r="K961" s="266">
        <v>175.0</v>
      </c>
      <c r="L961" s="266">
        <v>8.0</v>
      </c>
      <c r="M961" s="266">
        <v>2.0</v>
      </c>
      <c r="N961" s="266">
        <v>3.0</v>
      </c>
      <c r="O961" s="266">
        <v>1.0</v>
      </c>
      <c r="P961" s="266" t="s">
        <v>166</v>
      </c>
      <c r="Q961" s="266" t="s">
        <v>166</v>
      </c>
      <c r="R961" s="497" t="s">
        <v>166</v>
      </c>
      <c r="S961" s="497" t="s">
        <v>166</v>
      </c>
      <c r="T961" s="496"/>
    </row>
    <row r="962">
      <c r="A962" s="494" t="s">
        <v>3401</v>
      </c>
      <c r="B962" s="495" t="s">
        <v>3540</v>
      </c>
      <c r="C962" s="452" t="str">
        <f>HYPERLINK("https://www.nvidia.com/en-us/","Nvidia")</f>
        <v>Nvidia</v>
      </c>
      <c r="D962" s="452" t="str">
        <f>HYPERLINK("https://www.nvidia.com/en-us/geforce/graphics-cards/rtx-2060-super/","Founders Edition")</f>
        <v>Founders Edition</v>
      </c>
      <c r="E962" s="266">
        <v>228.6</v>
      </c>
      <c r="F962" s="266">
        <v>112.6</v>
      </c>
      <c r="G962" s="266">
        <v>40.0</v>
      </c>
      <c r="H962" s="266">
        <v>2.0</v>
      </c>
      <c r="I962" s="266">
        <v>1650.0</v>
      </c>
      <c r="J962" s="266">
        <v>14.0</v>
      </c>
      <c r="K962" s="266">
        <v>175.0</v>
      </c>
      <c r="L962" s="266">
        <v>8.0</v>
      </c>
      <c r="M962" s="266">
        <v>2.0</v>
      </c>
      <c r="N962" s="266">
        <v>2.0</v>
      </c>
      <c r="O962" s="266">
        <v>1.0</v>
      </c>
      <c r="P962" s="266">
        <v>1.0</v>
      </c>
      <c r="Q962" s="266">
        <v>1.0</v>
      </c>
      <c r="R962" s="497" t="s">
        <v>166</v>
      </c>
      <c r="S962" s="497" t="s">
        <v>166</v>
      </c>
      <c r="T962" s="496"/>
    </row>
    <row r="963">
      <c r="A963" s="494" t="s">
        <v>3401</v>
      </c>
      <c r="B963" s="495" t="s">
        <v>3540</v>
      </c>
      <c r="C963" s="452" t="str">
        <f t="shared" ref="C963:C966" si="182">HYPERLINK("http://www.palit.com/palit/index.php?lang=en","Palit")</f>
        <v>Palit</v>
      </c>
      <c r="D963" s="452" t="str">
        <f>HYPERLINK("http://www.palit.com/palit/vgapro.php?id=3338&amp;lang=en","Dual")</f>
        <v>Dual</v>
      </c>
      <c r="E963" s="266">
        <v>235.0</v>
      </c>
      <c r="F963" s="266">
        <v>112.0</v>
      </c>
      <c r="G963" s="266">
        <v>40.0</v>
      </c>
      <c r="H963" s="266">
        <v>2.0</v>
      </c>
      <c r="I963" s="266">
        <v>1650.0</v>
      </c>
      <c r="J963" s="266">
        <v>14.0</v>
      </c>
      <c r="K963" s="266">
        <v>175.0</v>
      </c>
      <c r="L963" s="266">
        <v>8.0</v>
      </c>
      <c r="M963" s="266">
        <v>2.0</v>
      </c>
      <c r="N963" s="266">
        <v>1.0</v>
      </c>
      <c r="O963" s="266">
        <v>1.0</v>
      </c>
      <c r="P963" s="266" t="s">
        <v>166</v>
      </c>
      <c r="Q963" s="266">
        <v>1.0</v>
      </c>
      <c r="R963" s="497" t="s">
        <v>166</v>
      </c>
      <c r="S963" s="497" t="s">
        <v>166</v>
      </c>
      <c r="T963" s="496"/>
    </row>
    <row r="964">
      <c r="A964" s="494" t="s">
        <v>3401</v>
      </c>
      <c r="B964" s="495" t="s">
        <v>3540</v>
      </c>
      <c r="C964" s="452" t="str">
        <f t="shared" si="182"/>
        <v>Palit</v>
      </c>
      <c r="D964" s="452" t="str">
        <f>HYPERLINK("http://www.palit.com/palit/vgapro.php?id=3331&amp;lang=en","GP")</f>
        <v>GP</v>
      </c>
      <c r="E964" s="266">
        <v>235.0</v>
      </c>
      <c r="F964" s="266">
        <v>112.0</v>
      </c>
      <c r="G964" s="266">
        <v>40.0</v>
      </c>
      <c r="H964" s="266">
        <v>2.0</v>
      </c>
      <c r="I964" s="266">
        <v>1650.0</v>
      </c>
      <c r="J964" s="266">
        <v>14.0</v>
      </c>
      <c r="K964" s="266">
        <v>175.0</v>
      </c>
      <c r="L964" s="266">
        <v>8.0</v>
      </c>
      <c r="M964" s="266">
        <v>2.0</v>
      </c>
      <c r="N964" s="266">
        <v>3.0</v>
      </c>
      <c r="O964" s="266">
        <v>1.0</v>
      </c>
      <c r="P964" s="266" t="s">
        <v>166</v>
      </c>
      <c r="Q964" s="266" t="s">
        <v>166</v>
      </c>
      <c r="R964" s="497" t="s">
        <v>166</v>
      </c>
      <c r="S964" s="497" t="s">
        <v>166</v>
      </c>
      <c r="T964" s="496"/>
    </row>
    <row r="965">
      <c r="A965" s="494" t="s">
        <v>3401</v>
      </c>
      <c r="B965" s="495" t="s">
        <v>3540</v>
      </c>
      <c r="C965" s="452" t="str">
        <f t="shared" si="182"/>
        <v>Palit</v>
      </c>
      <c r="D965" s="452" t="str">
        <f>HYPERLINK("http://www.palit.com/palit/vgapro.php?id=3324&amp;lang=en","GP OC")</f>
        <v>GP OC</v>
      </c>
      <c r="E965" s="266">
        <v>235.0</v>
      </c>
      <c r="F965" s="266">
        <v>112.0</v>
      </c>
      <c r="G965" s="266">
        <v>40.0</v>
      </c>
      <c r="H965" s="266">
        <v>2.0</v>
      </c>
      <c r="I965" s="266">
        <v>1710.0</v>
      </c>
      <c r="J965" s="266">
        <v>14.0</v>
      </c>
      <c r="K965" s="266">
        <v>175.0</v>
      </c>
      <c r="L965" s="266">
        <v>8.0</v>
      </c>
      <c r="M965" s="266">
        <v>2.0</v>
      </c>
      <c r="N965" s="266">
        <v>3.0</v>
      </c>
      <c r="O965" s="266">
        <v>1.0</v>
      </c>
      <c r="P965" s="266" t="s">
        <v>166</v>
      </c>
      <c r="Q965" s="266" t="s">
        <v>166</v>
      </c>
      <c r="R965" s="497" t="s">
        <v>166</v>
      </c>
      <c r="S965" s="497" t="s">
        <v>166</v>
      </c>
      <c r="T965" s="496"/>
    </row>
    <row r="966">
      <c r="A966" s="494" t="s">
        <v>3401</v>
      </c>
      <c r="B966" s="495" t="s">
        <v>3540</v>
      </c>
      <c r="C966" s="452" t="str">
        <f t="shared" si="182"/>
        <v>Palit</v>
      </c>
      <c r="D966" s="452" t="s">
        <v>3966</v>
      </c>
      <c r="E966" s="266">
        <v>292.0</v>
      </c>
      <c r="F966" s="266">
        <v>130.0</v>
      </c>
      <c r="G966" s="266">
        <v>59.6</v>
      </c>
      <c r="H966" s="266">
        <v>2.0</v>
      </c>
      <c r="I966" s="266">
        <v>1830.0</v>
      </c>
      <c r="J966" s="266">
        <v>14.0</v>
      </c>
      <c r="K966" s="266">
        <v>215.0</v>
      </c>
      <c r="L966" s="266" t="s">
        <v>3361</v>
      </c>
      <c r="M966" s="266">
        <v>2.0</v>
      </c>
      <c r="N966" s="266">
        <v>3.0</v>
      </c>
      <c r="O966" s="266">
        <v>1.0</v>
      </c>
      <c r="P966" s="266" t="s">
        <v>166</v>
      </c>
      <c r="Q966" s="266" t="s">
        <v>166</v>
      </c>
      <c r="R966" s="497" t="s">
        <v>166</v>
      </c>
      <c r="S966" s="497" t="s">
        <v>166</v>
      </c>
      <c r="T966" s="496"/>
    </row>
    <row r="967">
      <c r="A967" s="494" t="s">
        <v>3401</v>
      </c>
      <c r="B967" s="495" t="s">
        <v>3540</v>
      </c>
      <c r="C967" s="452" t="str">
        <f t="shared" ref="C967:C970" si="183">HYPERLINK("https://pny.com/","PNY")</f>
        <v>PNY</v>
      </c>
      <c r="D967" s="452" t="str">
        <f>HYPERLINK("https://pny.com/geforce-rtx-2060-super-8gb-blower","Blower")</f>
        <v>Blower</v>
      </c>
      <c r="E967" s="266">
        <v>281.0</v>
      </c>
      <c r="F967" s="266">
        <v>125.0</v>
      </c>
      <c r="G967" s="266">
        <v>42.0</v>
      </c>
      <c r="H967" s="266">
        <v>2.0</v>
      </c>
      <c r="I967" s="266">
        <v>1650.0</v>
      </c>
      <c r="J967" s="266">
        <v>14.0</v>
      </c>
      <c r="K967" s="266">
        <v>175.0</v>
      </c>
      <c r="L967" s="266">
        <v>8.0</v>
      </c>
      <c r="M967" s="266">
        <v>1.0</v>
      </c>
      <c r="N967" s="266">
        <v>3.0</v>
      </c>
      <c r="O967" s="266">
        <v>1.0</v>
      </c>
      <c r="P967" s="266" t="s">
        <v>166</v>
      </c>
      <c r="Q967" s="266">
        <v>1.0</v>
      </c>
      <c r="R967" s="266" t="s">
        <v>166</v>
      </c>
      <c r="S967" s="266" t="s">
        <v>174</v>
      </c>
      <c r="T967" s="494"/>
    </row>
    <row r="968">
      <c r="A968" s="494" t="s">
        <v>3401</v>
      </c>
      <c r="B968" s="495" t="s">
        <v>3540</v>
      </c>
      <c r="C968" s="452" t="str">
        <f t="shared" si="183"/>
        <v>PNY</v>
      </c>
      <c r="D968" s="452" t="str">
        <f>HYPERLINK("https://pny.com/geforce-rtx-2060-super-8gb-dual-fan","Dual Fan")</f>
        <v>Dual Fan</v>
      </c>
      <c r="E968" s="266">
        <v>235.0</v>
      </c>
      <c r="F968" s="266">
        <v>112.0</v>
      </c>
      <c r="G968" s="266">
        <v>40.0</v>
      </c>
      <c r="H968" s="266">
        <v>2.0</v>
      </c>
      <c r="I968" s="266">
        <v>1650.0</v>
      </c>
      <c r="J968" s="266">
        <v>14.0</v>
      </c>
      <c r="K968" s="266">
        <v>175.0</v>
      </c>
      <c r="L968" s="266">
        <v>8.0</v>
      </c>
      <c r="M968" s="266">
        <v>2.0</v>
      </c>
      <c r="N968" s="266">
        <v>1.0</v>
      </c>
      <c r="O968" s="266">
        <v>1.0</v>
      </c>
      <c r="P968" s="266" t="s">
        <v>166</v>
      </c>
      <c r="Q968" s="266">
        <v>1.0</v>
      </c>
      <c r="R968" s="497" t="s">
        <v>166</v>
      </c>
      <c r="S968" s="497" t="s">
        <v>166</v>
      </c>
      <c r="T968" s="496"/>
    </row>
    <row r="969">
      <c r="A969" s="494" t="s">
        <v>3401</v>
      </c>
      <c r="B969" s="495" t="s">
        <v>3540</v>
      </c>
      <c r="C969" s="452" t="str">
        <f t="shared" si="183"/>
        <v>PNY</v>
      </c>
      <c r="D969" s="452" t="str">
        <f>HYPERLINK("https://pny.com/geforce-rtx-2060-super-8gb-xlr8-gaming-overclocked-edition","XLR8 Gaming OC")</f>
        <v>XLR8 Gaming OC</v>
      </c>
      <c r="E969" s="266">
        <v>225.0</v>
      </c>
      <c r="F969" s="266">
        <v>128.0</v>
      </c>
      <c r="G969" s="266">
        <v>42.0</v>
      </c>
      <c r="H969" s="266">
        <v>2.0</v>
      </c>
      <c r="I969" s="266">
        <v>1680.0</v>
      </c>
      <c r="J969" s="266">
        <v>14.0</v>
      </c>
      <c r="K969" s="266">
        <v>175.0</v>
      </c>
      <c r="L969" s="266">
        <v>8.0</v>
      </c>
      <c r="M969" s="266">
        <v>2.0</v>
      </c>
      <c r="N969" s="266">
        <v>3.0</v>
      </c>
      <c r="O969" s="266">
        <v>1.0</v>
      </c>
      <c r="P969" s="266" t="s">
        <v>166</v>
      </c>
      <c r="Q969" s="266">
        <v>1.0</v>
      </c>
      <c r="R969" s="497" t="s">
        <v>166</v>
      </c>
      <c r="S969" s="497" t="s">
        <v>166</v>
      </c>
      <c r="T969" s="496"/>
    </row>
    <row r="970">
      <c r="A970" s="494" t="s">
        <v>3401</v>
      </c>
      <c r="B970" s="495" t="s">
        <v>3540</v>
      </c>
      <c r="C970" s="452" t="str">
        <f t="shared" si="183"/>
        <v>PNY</v>
      </c>
      <c r="D970" s="452" t="str">
        <f>HYPERLINK("https://pny.com/geforce-rtx-2060-super-8gb-xlr8-gaming-overclocked-edition-dual-fan","XLR8 Gaming OC Dual Fan")</f>
        <v>XLR8 Gaming OC Dual Fan</v>
      </c>
      <c r="E970" s="266">
        <v>235.0</v>
      </c>
      <c r="F970" s="266">
        <v>112.0</v>
      </c>
      <c r="G970" s="266">
        <v>40.0</v>
      </c>
      <c r="H970" s="266">
        <v>2.0</v>
      </c>
      <c r="I970" s="266">
        <v>1710.0</v>
      </c>
      <c r="J970" s="266">
        <v>14.0</v>
      </c>
      <c r="K970" s="266">
        <v>175.0</v>
      </c>
      <c r="L970" s="266">
        <v>8.0</v>
      </c>
      <c r="M970" s="266">
        <v>2.0</v>
      </c>
      <c r="N970" s="266">
        <v>3.0</v>
      </c>
      <c r="O970" s="266">
        <v>1.0</v>
      </c>
      <c r="P970" s="266" t="s">
        <v>166</v>
      </c>
      <c r="Q970" s="266" t="s">
        <v>166</v>
      </c>
      <c r="R970" s="497" t="s">
        <v>166</v>
      </c>
      <c r="S970" s="497" t="s">
        <v>166</v>
      </c>
      <c r="T970" s="496"/>
    </row>
    <row r="971">
      <c r="A971" s="494" t="s">
        <v>3401</v>
      </c>
      <c r="B971" s="495" t="s">
        <v>3540</v>
      </c>
      <c r="C971" s="452" t="str">
        <f t="shared" ref="C971:C972" si="184">HYPERLINK("http://zotac.com/","ZOTAC")</f>
        <v>ZOTAC</v>
      </c>
      <c r="D971" s="452" t="str">
        <f>HYPERLINK("https://www.zotac.com/product/graphics_card/zotac-gaming-geforce-rtx-2060-super-amp","AMP")</f>
        <v>AMP</v>
      </c>
      <c r="E971" s="266">
        <v>268.0</v>
      </c>
      <c r="F971" s="266">
        <v>113.0</v>
      </c>
      <c r="G971" s="266">
        <v>38.0</v>
      </c>
      <c r="H971" s="266">
        <v>2.0</v>
      </c>
      <c r="I971" s="266">
        <v>1680.0</v>
      </c>
      <c r="J971" s="266">
        <v>14.0</v>
      </c>
      <c r="K971" s="266">
        <v>175.0</v>
      </c>
      <c r="L971" s="266" t="s">
        <v>3361</v>
      </c>
      <c r="M971" s="266">
        <v>2.0</v>
      </c>
      <c r="N971" s="266">
        <v>3.0</v>
      </c>
      <c r="O971" s="266">
        <v>1.0</v>
      </c>
      <c r="P971" s="266" t="s">
        <v>166</v>
      </c>
      <c r="Q971" s="266" t="s">
        <v>166</v>
      </c>
      <c r="R971" s="497" t="s">
        <v>166</v>
      </c>
      <c r="S971" s="497" t="s">
        <v>166</v>
      </c>
      <c r="T971" s="496"/>
    </row>
    <row r="972">
      <c r="A972" s="498" t="s">
        <v>3401</v>
      </c>
      <c r="B972" s="499" t="s">
        <v>3540</v>
      </c>
      <c r="C972" s="500" t="str">
        <f t="shared" si="184"/>
        <v>ZOTAC</v>
      </c>
      <c r="D972" s="500" t="s">
        <v>3867</v>
      </c>
      <c r="E972" s="501">
        <v>308.0</v>
      </c>
      <c r="F972" s="501">
        <v>113.0</v>
      </c>
      <c r="G972" s="501">
        <v>57.0</v>
      </c>
      <c r="H972" s="501">
        <v>2.0</v>
      </c>
      <c r="I972" s="501">
        <v>1710.0</v>
      </c>
      <c r="J972" s="501">
        <v>14.0</v>
      </c>
      <c r="K972" s="501">
        <v>175.0</v>
      </c>
      <c r="L972" s="501" t="s">
        <v>3361</v>
      </c>
      <c r="M972" s="501">
        <v>3.0</v>
      </c>
      <c r="N972" s="501">
        <v>3.0</v>
      </c>
      <c r="O972" s="501">
        <v>1.0</v>
      </c>
      <c r="P972" s="501" t="s">
        <v>166</v>
      </c>
      <c r="Q972" s="501" t="s">
        <v>166</v>
      </c>
      <c r="R972" s="502" t="s">
        <v>166</v>
      </c>
      <c r="S972" s="502" t="s">
        <v>166</v>
      </c>
      <c r="T972" s="503"/>
    </row>
    <row r="973">
      <c r="A973" s="494" t="s">
        <v>3401</v>
      </c>
      <c r="B973" s="495" t="s">
        <v>3541</v>
      </c>
      <c r="C973" s="174" t="s">
        <v>3467</v>
      </c>
      <c r="D973" s="452" t="s">
        <v>3967</v>
      </c>
      <c r="E973" s="266">
        <v>227.0</v>
      </c>
      <c r="F973" s="266">
        <v>128.0</v>
      </c>
      <c r="G973" s="266">
        <v>42.0</v>
      </c>
      <c r="H973" s="266">
        <v>2.0</v>
      </c>
      <c r="I973" s="266">
        <v>1620.0</v>
      </c>
      <c r="J973" s="266">
        <v>14.0</v>
      </c>
      <c r="K973" s="266">
        <v>175.0</v>
      </c>
      <c r="L973" s="266">
        <v>8.0</v>
      </c>
      <c r="M973" s="266">
        <v>2.0</v>
      </c>
      <c r="N973" s="266">
        <v>3.0</v>
      </c>
      <c r="O973" s="266">
        <v>1.0</v>
      </c>
      <c r="P973" s="266" t="s">
        <v>166</v>
      </c>
      <c r="Q973" s="266">
        <v>1.0</v>
      </c>
      <c r="R973" s="497" t="s">
        <v>166</v>
      </c>
      <c r="S973" s="497" t="s">
        <v>166</v>
      </c>
      <c r="T973" s="496"/>
    </row>
    <row r="974">
      <c r="A974" s="494" t="s">
        <v>3401</v>
      </c>
      <c r="B974" s="495" t="s">
        <v>3541</v>
      </c>
      <c r="C974" s="174" t="s">
        <v>3467</v>
      </c>
      <c r="D974" s="452" t="s">
        <v>3884</v>
      </c>
      <c r="E974" s="266">
        <v>225.0</v>
      </c>
      <c r="F974" s="266">
        <v>115.0</v>
      </c>
      <c r="G974" s="266">
        <v>50.0</v>
      </c>
      <c r="H974" s="266">
        <v>2.0</v>
      </c>
      <c r="I974" s="266">
        <v>1620.0</v>
      </c>
      <c r="J974" s="266">
        <v>14.0</v>
      </c>
      <c r="K974" s="266">
        <v>175.0</v>
      </c>
      <c r="L974" s="266">
        <v>8.0</v>
      </c>
      <c r="M974" s="266">
        <v>2.0</v>
      </c>
      <c r="N974" s="266">
        <v>2.0</v>
      </c>
      <c r="O974" s="266">
        <v>1.0</v>
      </c>
      <c r="P974" s="266" t="s">
        <v>166</v>
      </c>
      <c r="Q974" s="266">
        <v>1.0</v>
      </c>
      <c r="R974" s="497" t="s">
        <v>166</v>
      </c>
      <c r="S974" s="497" t="s">
        <v>166</v>
      </c>
      <c r="T974" s="496"/>
    </row>
    <row r="975">
      <c r="A975" s="494" t="s">
        <v>3401</v>
      </c>
      <c r="B975" s="495" t="s">
        <v>3541</v>
      </c>
      <c r="C975" s="174" t="str">
        <f t="shared" ref="C975:C987" si="185">HYPERLINK("https://www.asus.com/","Asus")</f>
        <v>Asus</v>
      </c>
      <c r="D975" s="452" t="s">
        <v>3810</v>
      </c>
      <c r="E975" s="266">
        <v>268.0</v>
      </c>
      <c r="F975" s="266">
        <v>113.0</v>
      </c>
      <c r="G975" s="266">
        <v>40.0</v>
      </c>
      <c r="H975" s="266">
        <v>2.0</v>
      </c>
      <c r="I975" s="266">
        <v>1650.0</v>
      </c>
      <c r="J975" s="266">
        <v>14.0</v>
      </c>
      <c r="K975" s="266">
        <v>175.0</v>
      </c>
      <c r="L975" s="266" t="s">
        <v>3361</v>
      </c>
      <c r="M975" s="266">
        <v>1.0</v>
      </c>
      <c r="N975" s="266">
        <v>2.0</v>
      </c>
      <c r="O975" s="266">
        <v>1.0</v>
      </c>
      <c r="P975" s="266">
        <v>1.0</v>
      </c>
      <c r="Q975" s="266" t="s">
        <v>166</v>
      </c>
      <c r="R975" s="266" t="s">
        <v>166</v>
      </c>
      <c r="S975" s="266" t="s">
        <v>174</v>
      </c>
      <c r="T975" s="494"/>
    </row>
    <row r="976">
      <c r="A976" s="494" t="s">
        <v>3401</v>
      </c>
      <c r="B976" s="495" t="s">
        <v>3541</v>
      </c>
      <c r="C976" s="174" t="str">
        <f t="shared" si="185"/>
        <v>Asus</v>
      </c>
      <c r="D976" s="452" t="s">
        <v>3935</v>
      </c>
      <c r="E976" s="266">
        <v>268.0</v>
      </c>
      <c r="F976" s="266">
        <v>113.0</v>
      </c>
      <c r="G976" s="266">
        <v>40.0</v>
      </c>
      <c r="H976" s="266">
        <v>2.0</v>
      </c>
      <c r="I976" s="266">
        <v>1650.0</v>
      </c>
      <c r="J976" s="266">
        <v>14.0</v>
      </c>
      <c r="K976" s="266">
        <v>175.0</v>
      </c>
      <c r="L976" s="266" t="s">
        <v>3361</v>
      </c>
      <c r="M976" s="266">
        <v>1.0</v>
      </c>
      <c r="N976" s="266">
        <v>2.0</v>
      </c>
      <c r="O976" s="266">
        <v>1.0</v>
      </c>
      <c r="P976" s="266">
        <v>1.0</v>
      </c>
      <c r="Q976" s="266" t="s">
        <v>166</v>
      </c>
      <c r="R976" s="266" t="s">
        <v>166</v>
      </c>
      <c r="S976" s="266" t="s">
        <v>174</v>
      </c>
      <c r="T976" s="494"/>
    </row>
    <row r="977">
      <c r="A977" s="494" t="s">
        <v>3401</v>
      </c>
      <c r="B977" s="495" t="s">
        <v>3541</v>
      </c>
      <c r="C977" s="174" t="str">
        <f t="shared" si="185"/>
        <v>Asus</v>
      </c>
      <c r="D977" s="452" t="s">
        <v>3372</v>
      </c>
      <c r="E977" s="266">
        <v>268.0</v>
      </c>
      <c r="F977" s="266">
        <v>114.0</v>
      </c>
      <c r="G977" s="266">
        <v>58.0</v>
      </c>
      <c r="H977" s="266">
        <v>2.0</v>
      </c>
      <c r="I977" s="266">
        <v>1650.0</v>
      </c>
      <c r="J977" s="266">
        <v>14.0</v>
      </c>
      <c r="K977" s="266">
        <v>175.0</v>
      </c>
      <c r="L977" s="266" t="s">
        <v>3361</v>
      </c>
      <c r="M977" s="266">
        <v>2.0</v>
      </c>
      <c r="N977" s="266">
        <v>3.0</v>
      </c>
      <c r="O977" s="266">
        <v>1.0</v>
      </c>
      <c r="P977" s="266">
        <v>1.0</v>
      </c>
      <c r="Q977" s="266" t="s">
        <v>166</v>
      </c>
      <c r="R977" s="497" t="s">
        <v>166</v>
      </c>
      <c r="S977" s="497" t="s">
        <v>166</v>
      </c>
      <c r="T977" s="496"/>
    </row>
    <row r="978">
      <c r="A978" s="494" t="s">
        <v>3401</v>
      </c>
      <c r="B978" s="495" t="s">
        <v>3541</v>
      </c>
      <c r="C978" s="174" t="str">
        <f t="shared" si="185"/>
        <v>Asus</v>
      </c>
      <c r="D978" s="452" t="s">
        <v>3909</v>
      </c>
      <c r="E978" s="266">
        <v>268.0</v>
      </c>
      <c r="F978" s="266">
        <v>114.0</v>
      </c>
      <c r="G978" s="266">
        <v>58.0</v>
      </c>
      <c r="H978" s="266">
        <v>2.0</v>
      </c>
      <c r="I978" s="266">
        <v>1665.0</v>
      </c>
      <c r="J978" s="266">
        <v>14.0</v>
      </c>
      <c r="K978" s="266">
        <v>175.0</v>
      </c>
      <c r="L978" s="266" t="s">
        <v>3361</v>
      </c>
      <c r="M978" s="266">
        <v>2.0</v>
      </c>
      <c r="N978" s="266">
        <v>3.0</v>
      </c>
      <c r="O978" s="266">
        <v>1.0</v>
      </c>
      <c r="P978" s="266">
        <v>1.0</v>
      </c>
      <c r="Q978" s="266" t="s">
        <v>166</v>
      </c>
      <c r="R978" s="497" t="s">
        <v>166</v>
      </c>
      <c r="S978" s="497" t="s">
        <v>166</v>
      </c>
      <c r="T978" s="496"/>
    </row>
    <row r="979">
      <c r="A979" s="494" t="s">
        <v>3401</v>
      </c>
      <c r="B979" s="495" t="s">
        <v>3541</v>
      </c>
      <c r="C979" s="174" t="str">
        <f t="shared" si="185"/>
        <v>Asus</v>
      </c>
      <c r="D979" s="452" t="s">
        <v>3381</v>
      </c>
      <c r="E979" s="582">
        <v>268.0</v>
      </c>
      <c r="F979" s="583">
        <v>114.0</v>
      </c>
      <c r="G979" s="584">
        <v>58.0</v>
      </c>
      <c r="H979" s="266">
        <v>2.0</v>
      </c>
      <c r="I979" s="266">
        <v>1740.0</v>
      </c>
      <c r="J979" s="266">
        <v>14.0</v>
      </c>
      <c r="K979" s="266">
        <v>175.0</v>
      </c>
      <c r="L979" s="266" t="s">
        <v>3361</v>
      </c>
      <c r="M979" s="266">
        <v>2.0</v>
      </c>
      <c r="N979" s="266">
        <v>3.0</v>
      </c>
      <c r="O979" s="266">
        <v>1.0</v>
      </c>
      <c r="P979" s="266">
        <v>1.0</v>
      </c>
      <c r="Q979" s="266" t="s">
        <v>166</v>
      </c>
      <c r="R979" s="497" t="s">
        <v>166</v>
      </c>
      <c r="S979" s="497" t="s">
        <v>166</v>
      </c>
      <c r="T979" s="496"/>
    </row>
    <row r="980">
      <c r="A980" s="494" t="s">
        <v>3401</v>
      </c>
      <c r="B980" s="495" t="s">
        <v>3541</v>
      </c>
      <c r="C980" s="174" t="str">
        <f t="shared" si="185"/>
        <v>Asus</v>
      </c>
      <c r="D980" s="452" t="s">
        <v>3629</v>
      </c>
      <c r="E980" s="266">
        <v>267.0</v>
      </c>
      <c r="F980" s="518">
        <v>118.0</v>
      </c>
      <c r="G980" s="518">
        <v>58.0</v>
      </c>
      <c r="H980" s="266">
        <v>2.0</v>
      </c>
      <c r="I980" s="266">
        <v>1650.0</v>
      </c>
      <c r="J980" s="266">
        <v>14.0</v>
      </c>
      <c r="K980" s="266">
        <v>175.0</v>
      </c>
      <c r="L980" s="266">
        <v>8.0</v>
      </c>
      <c r="M980" s="266">
        <v>2.0</v>
      </c>
      <c r="N980" s="266">
        <v>2.0</v>
      </c>
      <c r="O980" s="266">
        <v>2.0</v>
      </c>
      <c r="P980" s="266" t="s">
        <v>166</v>
      </c>
      <c r="Q980" s="266">
        <v>1.0</v>
      </c>
      <c r="R980" s="497" t="s">
        <v>166</v>
      </c>
      <c r="S980" s="497" t="s">
        <v>166</v>
      </c>
      <c r="T980" s="496"/>
    </row>
    <row r="981">
      <c r="A981" s="494" t="s">
        <v>3401</v>
      </c>
      <c r="B981" s="495" t="s">
        <v>3541</v>
      </c>
      <c r="C981" s="174" t="str">
        <f t="shared" si="185"/>
        <v>Asus</v>
      </c>
      <c r="D981" s="452" t="s">
        <v>3640</v>
      </c>
      <c r="E981" s="266">
        <v>267.0</v>
      </c>
      <c r="F981" s="518">
        <v>118.0</v>
      </c>
      <c r="G981" s="518">
        <v>58.0</v>
      </c>
      <c r="H981" s="266">
        <v>2.0</v>
      </c>
      <c r="I981" s="266">
        <v>1665.0</v>
      </c>
      <c r="J981" s="266">
        <v>14.0</v>
      </c>
      <c r="K981" s="266">
        <v>175.0</v>
      </c>
      <c r="L981" s="266">
        <v>8.0</v>
      </c>
      <c r="M981" s="266">
        <v>2.0</v>
      </c>
      <c r="N981" s="266">
        <v>2.0</v>
      </c>
      <c r="O981" s="266">
        <v>2.0</v>
      </c>
      <c r="P981" s="266" t="s">
        <v>166</v>
      </c>
      <c r="Q981" s="266">
        <v>1.0</v>
      </c>
      <c r="R981" s="497" t="s">
        <v>166</v>
      </c>
      <c r="S981" s="497" t="s">
        <v>166</v>
      </c>
      <c r="T981" s="496"/>
    </row>
    <row r="982">
      <c r="A982" s="494" t="s">
        <v>3401</v>
      </c>
      <c r="B982" s="495" t="s">
        <v>3541</v>
      </c>
      <c r="C982" s="174" t="str">
        <f t="shared" si="185"/>
        <v>Asus</v>
      </c>
      <c r="D982" s="452" t="s">
        <v>3659</v>
      </c>
      <c r="E982" s="575">
        <v>267.0</v>
      </c>
      <c r="F982" s="576">
        <v>118.0</v>
      </c>
      <c r="G982" s="584">
        <v>58.0</v>
      </c>
      <c r="H982" s="266">
        <v>2.0</v>
      </c>
      <c r="I982" s="266">
        <v>1740.0</v>
      </c>
      <c r="J982" s="266">
        <v>14.0</v>
      </c>
      <c r="K982" s="266">
        <v>175.0</v>
      </c>
      <c r="L982" s="266">
        <v>8.0</v>
      </c>
      <c r="M982" s="266">
        <v>2.0</v>
      </c>
      <c r="N982" s="266">
        <v>2.0</v>
      </c>
      <c r="O982" s="266">
        <v>2.0</v>
      </c>
      <c r="P982" s="266" t="s">
        <v>166</v>
      </c>
      <c r="Q982" s="266">
        <v>1.0</v>
      </c>
      <c r="R982" s="497" t="s">
        <v>166</v>
      </c>
      <c r="S982" s="497" t="s">
        <v>166</v>
      </c>
      <c r="T982" s="496"/>
    </row>
    <row r="983">
      <c r="A983" s="494" t="s">
        <v>3401</v>
      </c>
      <c r="B983" s="495" t="s">
        <v>3541</v>
      </c>
      <c r="C983" s="174" t="str">
        <f t="shared" si="185"/>
        <v>Asus</v>
      </c>
      <c r="D983" s="452" t="s">
        <v>3936</v>
      </c>
      <c r="E983" s="266">
        <v>242.0</v>
      </c>
      <c r="F983" s="518">
        <v>130.0</v>
      </c>
      <c r="G983" s="518">
        <v>53.0</v>
      </c>
      <c r="H983" s="266">
        <v>2.0</v>
      </c>
      <c r="I983" s="266">
        <v>1650.0</v>
      </c>
      <c r="J983" s="266">
        <v>14.0</v>
      </c>
      <c r="K983" s="266">
        <v>175.0</v>
      </c>
      <c r="L983" s="266">
        <v>8.0</v>
      </c>
      <c r="M983" s="266">
        <v>2.0</v>
      </c>
      <c r="N983" s="266">
        <v>1.0</v>
      </c>
      <c r="O983" s="266">
        <v>2.0</v>
      </c>
      <c r="P983" s="266" t="s">
        <v>166</v>
      </c>
      <c r="Q983" s="266">
        <v>1.0</v>
      </c>
      <c r="R983" s="497" t="s">
        <v>166</v>
      </c>
      <c r="S983" s="497" t="s">
        <v>166</v>
      </c>
      <c r="T983" s="496"/>
    </row>
    <row r="984">
      <c r="A984" s="494" t="s">
        <v>3401</v>
      </c>
      <c r="B984" s="495" t="s">
        <v>3541</v>
      </c>
      <c r="C984" s="174" t="str">
        <f t="shared" si="185"/>
        <v>Asus</v>
      </c>
      <c r="D984" s="452" t="s">
        <v>3938</v>
      </c>
      <c r="E984" s="266">
        <v>242.0</v>
      </c>
      <c r="F984" s="518">
        <v>130.0</v>
      </c>
      <c r="G984" s="518">
        <v>53.0</v>
      </c>
      <c r="H984" s="266">
        <v>2.0</v>
      </c>
      <c r="I984" s="266">
        <v>1740.0</v>
      </c>
      <c r="J984" s="266">
        <v>14.0</v>
      </c>
      <c r="K984" s="266">
        <v>175.0</v>
      </c>
      <c r="L984" s="266">
        <v>8.0</v>
      </c>
      <c r="M984" s="266">
        <v>2.0</v>
      </c>
      <c r="N984" s="266">
        <v>1.0</v>
      </c>
      <c r="O984" s="266">
        <v>2.0</v>
      </c>
      <c r="P984" s="266" t="s">
        <v>166</v>
      </c>
      <c r="Q984" s="266">
        <v>1.0</v>
      </c>
      <c r="R984" s="497" t="s">
        <v>166</v>
      </c>
      <c r="S984" s="497" t="s">
        <v>166</v>
      </c>
      <c r="T984" s="496"/>
    </row>
    <row r="985">
      <c r="A985" s="494" t="s">
        <v>3401</v>
      </c>
      <c r="B985" s="495" t="s">
        <v>3541</v>
      </c>
      <c r="C985" s="174" t="str">
        <f t="shared" si="185"/>
        <v>Asus</v>
      </c>
      <c r="D985" s="452" t="s">
        <v>3631</v>
      </c>
      <c r="E985" s="266">
        <v>300.5</v>
      </c>
      <c r="F985" s="518">
        <v>130.6</v>
      </c>
      <c r="G985" s="518">
        <v>48.9</v>
      </c>
      <c r="H985" s="266">
        <v>2.0</v>
      </c>
      <c r="I985" s="266">
        <v>1650.0</v>
      </c>
      <c r="J985" s="266">
        <v>14.0</v>
      </c>
      <c r="K985" s="266">
        <v>175.0</v>
      </c>
      <c r="L985" s="266" t="s">
        <v>3361</v>
      </c>
      <c r="M985" s="266">
        <v>3.0</v>
      </c>
      <c r="N985" s="266">
        <v>2.0</v>
      </c>
      <c r="O985" s="266">
        <v>2.0</v>
      </c>
      <c r="P985" s="266">
        <v>1.0</v>
      </c>
      <c r="Q985" s="266" t="s">
        <v>166</v>
      </c>
      <c r="R985" s="497" t="s">
        <v>166</v>
      </c>
      <c r="S985" s="497" t="s">
        <v>166</v>
      </c>
      <c r="T985" s="496"/>
    </row>
    <row r="986">
      <c r="A986" s="494" t="s">
        <v>3401</v>
      </c>
      <c r="B986" s="495" t="s">
        <v>3541</v>
      </c>
      <c r="C986" s="174" t="str">
        <f t="shared" si="185"/>
        <v>Asus</v>
      </c>
      <c r="D986" s="452" t="s">
        <v>3642</v>
      </c>
      <c r="E986" s="266">
        <v>300.5</v>
      </c>
      <c r="F986" s="518">
        <v>130.6</v>
      </c>
      <c r="G986" s="518">
        <v>48.9</v>
      </c>
      <c r="H986" s="266">
        <v>2.0</v>
      </c>
      <c r="I986" s="266">
        <v>1680.0</v>
      </c>
      <c r="J986" s="266">
        <v>14.0</v>
      </c>
      <c r="K986" s="266">
        <v>175.0</v>
      </c>
      <c r="L986" s="266" t="s">
        <v>3361</v>
      </c>
      <c r="M986" s="266">
        <v>3.0</v>
      </c>
      <c r="N986" s="266">
        <v>2.0</v>
      </c>
      <c r="O986" s="266">
        <v>2.0</v>
      </c>
      <c r="P986" s="266">
        <v>1.0</v>
      </c>
      <c r="Q986" s="266" t="s">
        <v>166</v>
      </c>
      <c r="R986" s="497" t="s">
        <v>166</v>
      </c>
      <c r="S986" s="497" t="s">
        <v>166</v>
      </c>
      <c r="T986" s="496"/>
    </row>
    <row r="987">
      <c r="A987" s="494" t="s">
        <v>3401</v>
      </c>
      <c r="B987" s="495" t="s">
        <v>3541</v>
      </c>
      <c r="C987" s="174" t="str">
        <f t="shared" si="185"/>
        <v>Asus</v>
      </c>
      <c r="D987" s="452" t="s">
        <v>3643</v>
      </c>
      <c r="E987" s="580">
        <v>300.5</v>
      </c>
      <c r="F987" s="554">
        <v>130.6</v>
      </c>
      <c r="G987" s="585">
        <v>48.9</v>
      </c>
      <c r="H987" s="266">
        <v>2.0</v>
      </c>
      <c r="I987" s="266">
        <v>1845.0</v>
      </c>
      <c r="J987" s="266">
        <v>14.0</v>
      </c>
      <c r="K987" s="266">
        <v>175.0</v>
      </c>
      <c r="L987" s="266" t="s">
        <v>3361</v>
      </c>
      <c r="M987" s="266">
        <v>3.0</v>
      </c>
      <c r="N987" s="266">
        <v>2.0</v>
      </c>
      <c r="O987" s="266">
        <v>2.0</v>
      </c>
      <c r="P987" s="266">
        <v>1.0</v>
      </c>
      <c r="Q987" s="266" t="s">
        <v>166</v>
      </c>
      <c r="R987" s="497" t="s">
        <v>166</v>
      </c>
      <c r="S987" s="497" t="s">
        <v>166</v>
      </c>
      <c r="T987" s="496"/>
    </row>
    <row r="988">
      <c r="A988" s="494" t="s">
        <v>3401</v>
      </c>
      <c r="B988" s="495" t="s">
        <v>3541</v>
      </c>
      <c r="C988" s="452" t="s">
        <v>3575</v>
      </c>
      <c r="D988" s="452" t="s">
        <v>3940</v>
      </c>
      <c r="E988" s="266">
        <v>267.0</v>
      </c>
      <c r="F988" s="266">
        <v>112.0</v>
      </c>
      <c r="G988" s="266">
        <v>42.0</v>
      </c>
      <c r="H988" s="266">
        <v>2.0</v>
      </c>
      <c r="I988" s="266">
        <v>1620.0</v>
      </c>
      <c r="J988" s="266">
        <v>14.0</v>
      </c>
      <c r="K988" s="266">
        <v>175.0</v>
      </c>
      <c r="L988" s="266" t="s">
        <v>3361</v>
      </c>
      <c r="M988" s="266">
        <v>2.0</v>
      </c>
      <c r="N988" s="266">
        <v>2.0</v>
      </c>
      <c r="O988" s="266">
        <v>1.0</v>
      </c>
      <c r="P988" s="266">
        <v>1.0</v>
      </c>
      <c r="Q988" s="266">
        <v>1.0</v>
      </c>
      <c r="R988" s="497" t="s">
        <v>166</v>
      </c>
      <c r="S988" s="497" t="s">
        <v>166</v>
      </c>
      <c r="T988" s="496"/>
    </row>
    <row r="989">
      <c r="A989" s="494" t="s">
        <v>3401</v>
      </c>
      <c r="B989" s="495" t="s">
        <v>3541</v>
      </c>
      <c r="C989" s="452" t="s">
        <v>3575</v>
      </c>
      <c r="D989" s="452" t="s">
        <v>3968</v>
      </c>
      <c r="E989" s="266">
        <v>222.0</v>
      </c>
      <c r="F989" s="266">
        <v>126.0</v>
      </c>
      <c r="G989" s="266">
        <v>42.0</v>
      </c>
      <c r="H989" s="266">
        <v>2.0</v>
      </c>
      <c r="I989" s="266">
        <v>1620.0</v>
      </c>
      <c r="J989" s="266">
        <v>14.0</v>
      </c>
      <c r="K989" s="266">
        <v>175.0</v>
      </c>
      <c r="L989" s="266">
        <v>8.0</v>
      </c>
      <c r="M989" s="266">
        <v>2.0</v>
      </c>
      <c r="N989" s="266">
        <v>1.0</v>
      </c>
      <c r="O989" s="266">
        <v>1.0</v>
      </c>
      <c r="P989" s="266" t="s">
        <v>166</v>
      </c>
      <c r="Q989" s="266">
        <v>1.0</v>
      </c>
      <c r="R989" s="497" t="s">
        <v>166</v>
      </c>
      <c r="S989" s="497" t="s">
        <v>166</v>
      </c>
      <c r="T989" s="496"/>
    </row>
    <row r="990">
      <c r="A990" s="494" t="s">
        <v>3401</v>
      </c>
      <c r="B990" s="495" t="s">
        <v>3541</v>
      </c>
      <c r="C990" s="452" t="s">
        <v>3575</v>
      </c>
      <c r="D990" s="452" t="s">
        <v>3873</v>
      </c>
      <c r="E990" s="266">
        <v>315.0</v>
      </c>
      <c r="F990" s="266">
        <v>147.0</v>
      </c>
      <c r="G990" s="266">
        <v>52.0</v>
      </c>
      <c r="H990" s="266">
        <v>2.0</v>
      </c>
      <c r="I990" s="266">
        <v>1620.0</v>
      </c>
      <c r="J990" s="266">
        <v>14.0</v>
      </c>
      <c r="K990" s="266">
        <v>175.0</v>
      </c>
      <c r="L990" s="266" t="s">
        <v>3460</v>
      </c>
      <c r="M990" s="266">
        <v>3.0</v>
      </c>
      <c r="N990" s="266">
        <v>3.0</v>
      </c>
      <c r="O990" s="266">
        <v>1.0</v>
      </c>
      <c r="P990" s="266">
        <v>1.0</v>
      </c>
      <c r="Q990" s="266" t="s">
        <v>166</v>
      </c>
      <c r="R990" s="497" t="s">
        <v>166</v>
      </c>
      <c r="S990" s="497" t="s">
        <v>166</v>
      </c>
      <c r="T990" s="496"/>
    </row>
    <row r="991">
      <c r="A991" s="494" t="s">
        <v>3401</v>
      </c>
      <c r="B991" s="495" t="s">
        <v>3541</v>
      </c>
      <c r="C991" s="452" t="s">
        <v>3575</v>
      </c>
      <c r="D991" s="452" t="s">
        <v>3878</v>
      </c>
      <c r="E991" s="266">
        <v>315.0</v>
      </c>
      <c r="F991" s="266">
        <v>147.0</v>
      </c>
      <c r="G991" s="266">
        <v>52.0</v>
      </c>
      <c r="H991" s="266">
        <v>2.0</v>
      </c>
      <c r="I991" s="266">
        <v>1710.0</v>
      </c>
      <c r="J991" s="266">
        <v>14.0</v>
      </c>
      <c r="K991" s="266">
        <v>175.0</v>
      </c>
      <c r="L991" s="266" t="s">
        <v>3460</v>
      </c>
      <c r="M991" s="266">
        <v>3.0</v>
      </c>
      <c r="N991" s="266">
        <v>3.0</v>
      </c>
      <c r="O991" s="266">
        <v>1.0</v>
      </c>
      <c r="P991" s="266">
        <v>1.0</v>
      </c>
      <c r="Q991" s="266" t="s">
        <v>166</v>
      </c>
      <c r="R991" s="497" t="s">
        <v>166</v>
      </c>
      <c r="S991" s="497" t="s">
        <v>166</v>
      </c>
      <c r="T991" s="496"/>
    </row>
    <row r="992">
      <c r="A992" s="494" t="s">
        <v>3401</v>
      </c>
      <c r="B992" s="495" t="s">
        <v>3541</v>
      </c>
      <c r="C992" s="452" t="s">
        <v>3575</v>
      </c>
      <c r="D992" s="452" t="s">
        <v>3969</v>
      </c>
      <c r="E992" s="266">
        <v>315.0</v>
      </c>
      <c r="F992" s="266">
        <v>147.0</v>
      </c>
      <c r="G992" s="266">
        <v>52.0</v>
      </c>
      <c r="H992" s="266">
        <v>2.0</v>
      </c>
      <c r="I992" s="266">
        <v>1620.0</v>
      </c>
      <c r="J992" s="266">
        <v>14.0</v>
      </c>
      <c r="K992" s="266">
        <v>175.0</v>
      </c>
      <c r="L992" s="266" t="s">
        <v>3460</v>
      </c>
      <c r="M992" s="266">
        <v>3.0</v>
      </c>
      <c r="N992" s="266">
        <v>3.0</v>
      </c>
      <c r="O992" s="266">
        <v>1.0</v>
      </c>
      <c r="P992" s="266">
        <v>1.0</v>
      </c>
      <c r="Q992" s="266" t="s">
        <v>166</v>
      </c>
      <c r="R992" s="497" t="s">
        <v>166</v>
      </c>
      <c r="S992" s="497" t="s">
        <v>166</v>
      </c>
      <c r="T992" s="496"/>
    </row>
    <row r="993">
      <c r="A993" s="494" t="s">
        <v>3401</v>
      </c>
      <c r="B993" s="495" t="s">
        <v>3541</v>
      </c>
      <c r="C993" s="452" t="s">
        <v>3575</v>
      </c>
      <c r="D993" s="452" t="s">
        <v>3814</v>
      </c>
      <c r="E993" s="266">
        <v>318.0</v>
      </c>
      <c r="F993" s="266">
        <v>147.0</v>
      </c>
      <c r="G993" s="266">
        <v>59.0</v>
      </c>
      <c r="H993" s="266">
        <v>2.0</v>
      </c>
      <c r="I993" s="266">
        <v>1815.0</v>
      </c>
      <c r="J993" s="266">
        <v>14.0</v>
      </c>
      <c r="K993" s="266">
        <v>175.0</v>
      </c>
      <c r="L993" s="266" t="s">
        <v>3460</v>
      </c>
      <c r="M993" s="266">
        <v>3.0</v>
      </c>
      <c r="N993" s="266">
        <v>3.0</v>
      </c>
      <c r="O993" s="266">
        <v>1.0</v>
      </c>
      <c r="P993" s="266">
        <v>1.0</v>
      </c>
      <c r="Q993" s="266" t="s">
        <v>166</v>
      </c>
      <c r="R993" s="497" t="s">
        <v>166</v>
      </c>
      <c r="S993" s="497" t="s">
        <v>166</v>
      </c>
      <c r="T993" s="496"/>
    </row>
    <row r="994">
      <c r="A994" s="494" t="s">
        <v>3401</v>
      </c>
      <c r="B994" s="495" t="s">
        <v>3541</v>
      </c>
      <c r="C994" s="452" t="s">
        <v>3575</v>
      </c>
      <c r="D994" s="452" t="s">
        <v>3970</v>
      </c>
      <c r="E994" s="266">
        <v>293.4</v>
      </c>
      <c r="F994" s="266">
        <v>147.0</v>
      </c>
      <c r="G994" s="266">
        <v>45.0</v>
      </c>
      <c r="H994" s="266">
        <v>2.0</v>
      </c>
      <c r="I994" s="266">
        <v>1815.0</v>
      </c>
      <c r="J994" s="266">
        <v>14.0</v>
      </c>
      <c r="K994" s="266">
        <v>175.0</v>
      </c>
      <c r="L994" s="266" t="s">
        <v>3460</v>
      </c>
      <c r="M994" s="266">
        <v>1.0</v>
      </c>
      <c r="N994" s="266">
        <v>3.0</v>
      </c>
      <c r="O994" s="266">
        <v>1.0</v>
      </c>
      <c r="P994" s="266">
        <v>1.0</v>
      </c>
      <c r="Q994" s="266" t="s">
        <v>166</v>
      </c>
      <c r="R994" s="266" t="s">
        <v>174</v>
      </c>
      <c r="S994" s="266" t="s">
        <v>174</v>
      </c>
      <c r="T994" s="494"/>
    </row>
    <row r="995">
      <c r="A995" s="494" t="s">
        <v>3401</v>
      </c>
      <c r="B995" s="495" t="s">
        <v>3541</v>
      </c>
      <c r="C995" s="174" t="s">
        <v>3405</v>
      </c>
      <c r="D995" s="452" t="s">
        <v>3971</v>
      </c>
      <c r="E995" s="266">
        <v>235.0</v>
      </c>
      <c r="F995" s="266">
        <v>112.0</v>
      </c>
      <c r="G995" s="266">
        <v>40.0</v>
      </c>
      <c r="H995" s="266">
        <v>2.0</v>
      </c>
      <c r="I995" s="266">
        <v>1620.0</v>
      </c>
      <c r="J995" s="266">
        <v>14.0</v>
      </c>
      <c r="K995" s="266">
        <v>175.0</v>
      </c>
      <c r="L995" s="266">
        <v>8.0</v>
      </c>
      <c r="M995" s="266">
        <v>2.0</v>
      </c>
      <c r="N995" s="266">
        <v>3.0</v>
      </c>
      <c r="O995" s="266">
        <v>1.0</v>
      </c>
      <c r="P995" s="266" t="s">
        <v>166</v>
      </c>
      <c r="Q995" s="266">
        <v>1.0</v>
      </c>
      <c r="R995" s="497" t="s">
        <v>166</v>
      </c>
      <c r="S995" s="497" t="s">
        <v>166</v>
      </c>
      <c r="T995" s="496"/>
    </row>
    <row r="996">
      <c r="A996" s="494" t="s">
        <v>3401</v>
      </c>
      <c r="B996" s="495" t="s">
        <v>3541</v>
      </c>
      <c r="C996" s="174" t="s">
        <v>3405</v>
      </c>
      <c r="D996" s="452" t="s">
        <v>3972</v>
      </c>
      <c r="E996" s="266">
        <v>235.0</v>
      </c>
      <c r="F996" s="266">
        <v>112.0</v>
      </c>
      <c r="G996" s="266">
        <v>40.0</v>
      </c>
      <c r="H996" s="266">
        <v>2.0</v>
      </c>
      <c r="I996" s="266">
        <v>1620.0</v>
      </c>
      <c r="J996" s="266">
        <v>14.0</v>
      </c>
      <c r="K996" s="266">
        <v>175.0</v>
      </c>
      <c r="L996" s="266">
        <v>8.0</v>
      </c>
      <c r="M996" s="266">
        <v>2.0</v>
      </c>
      <c r="N996" s="266">
        <v>1.0</v>
      </c>
      <c r="O996" s="266">
        <v>1.0</v>
      </c>
      <c r="P996" s="266" t="s">
        <v>166</v>
      </c>
      <c r="Q996" s="266">
        <v>1.0</v>
      </c>
      <c r="R996" s="497" t="s">
        <v>166</v>
      </c>
      <c r="S996" s="497" t="s">
        <v>166</v>
      </c>
      <c r="T996" s="496"/>
    </row>
    <row r="997">
      <c r="A997" s="494" t="s">
        <v>3401</v>
      </c>
      <c r="B997" s="495" t="s">
        <v>3541</v>
      </c>
      <c r="C997" s="174" t="s">
        <v>3405</v>
      </c>
      <c r="D997" s="452" t="s">
        <v>3973</v>
      </c>
      <c r="E997" s="266">
        <v>235.0</v>
      </c>
      <c r="F997" s="266">
        <v>112.0</v>
      </c>
      <c r="G997" s="266">
        <v>40.0</v>
      </c>
      <c r="H997" s="266">
        <v>2.0</v>
      </c>
      <c r="I997" s="266">
        <v>1620.0</v>
      </c>
      <c r="J997" s="266">
        <v>14.0</v>
      </c>
      <c r="K997" s="266">
        <v>175.0</v>
      </c>
      <c r="L997" s="266">
        <v>8.0</v>
      </c>
      <c r="M997" s="266">
        <v>2.0</v>
      </c>
      <c r="N997" s="266">
        <v>3.0</v>
      </c>
      <c r="O997" s="266">
        <v>1.0</v>
      </c>
      <c r="P997" s="266" t="s">
        <v>166</v>
      </c>
      <c r="Q997" s="266">
        <v>1.0</v>
      </c>
      <c r="R997" s="497" t="s">
        <v>166</v>
      </c>
      <c r="S997" s="497" t="s">
        <v>166</v>
      </c>
      <c r="T997" s="496"/>
    </row>
    <row r="998">
      <c r="A998" s="494" t="s">
        <v>3401</v>
      </c>
      <c r="B998" s="495" t="s">
        <v>3541</v>
      </c>
      <c r="C998" s="174" t="s">
        <v>3405</v>
      </c>
      <c r="D998" s="452" t="s">
        <v>3974</v>
      </c>
      <c r="E998" s="266">
        <v>292.0</v>
      </c>
      <c r="F998" s="266">
        <v>112.0</v>
      </c>
      <c r="G998" s="266">
        <v>40.0</v>
      </c>
      <c r="H998" s="266">
        <v>2.0</v>
      </c>
      <c r="I998" s="266">
        <v>1725.0</v>
      </c>
      <c r="J998" s="266">
        <v>14.0</v>
      </c>
      <c r="K998" s="266">
        <v>175.0</v>
      </c>
      <c r="L998" s="266" t="s">
        <v>3361</v>
      </c>
      <c r="M998" s="266">
        <v>3.0</v>
      </c>
      <c r="N998" s="266">
        <v>3.0</v>
      </c>
      <c r="O998" s="266">
        <v>1.0</v>
      </c>
      <c r="P998" s="266">
        <v>1.0</v>
      </c>
      <c r="Q998" s="266" t="s">
        <v>166</v>
      </c>
      <c r="R998" s="497" t="s">
        <v>166</v>
      </c>
      <c r="S998" s="497" t="s">
        <v>166</v>
      </c>
      <c r="T998" s="496"/>
    </row>
    <row r="999">
      <c r="A999" s="494" t="s">
        <v>3401</v>
      </c>
      <c r="B999" s="495" t="s">
        <v>3541</v>
      </c>
      <c r="C999" s="174" t="s">
        <v>3405</v>
      </c>
      <c r="D999" s="452" t="s">
        <v>3975</v>
      </c>
      <c r="E999" s="266">
        <v>292.0</v>
      </c>
      <c r="F999" s="266">
        <v>130.0</v>
      </c>
      <c r="G999" s="266">
        <v>59.6</v>
      </c>
      <c r="H999" s="266">
        <v>2.0</v>
      </c>
      <c r="I999" s="266">
        <v>1620.0</v>
      </c>
      <c r="J999" s="266">
        <v>14.0</v>
      </c>
      <c r="K999" s="266">
        <v>175.0</v>
      </c>
      <c r="L999" s="266" t="s">
        <v>3361</v>
      </c>
      <c r="M999" s="266">
        <v>3.0</v>
      </c>
      <c r="N999" s="266">
        <v>3.0</v>
      </c>
      <c r="O999" s="266">
        <v>1.0</v>
      </c>
      <c r="P999" s="266">
        <v>1.0</v>
      </c>
      <c r="Q999" s="266" t="s">
        <v>166</v>
      </c>
      <c r="R999" s="497" t="s">
        <v>166</v>
      </c>
      <c r="S999" s="497" t="s">
        <v>166</v>
      </c>
      <c r="T999" s="496"/>
    </row>
    <row r="1000">
      <c r="A1000" s="494" t="s">
        <v>3401</v>
      </c>
      <c r="B1000" s="495" t="s">
        <v>3541</v>
      </c>
      <c r="C1000" s="174" t="s">
        <v>3405</v>
      </c>
      <c r="D1000" s="452" t="s">
        <v>3947</v>
      </c>
      <c r="E1000" s="266">
        <v>292.0</v>
      </c>
      <c r="F1000" s="266">
        <v>130.0</v>
      </c>
      <c r="G1000" s="266">
        <v>59.6</v>
      </c>
      <c r="H1000" s="266">
        <v>2.0</v>
      </c>
      <c r="I1000" s="266">
        <v>1725.0</v>
      </c>
      <c r="J1000" s="266">
        <v>14.0</v>
      </c>
      <c r="K1000" s="266">
        <v>175.0</v>
      </c>
      <c r="L1000" s="266" t="s">
        <v>3361</v>
      </c>
      <c r="M1000" s="266">
        <v>3.0</v>
      </c>
      <c r="N1000" s="266">
        <v>3.0</v>
      </c>
      <c r="O1000" s="266">
        <v>1.0</v>
      </c>
      <c r="P1000" s="266">
        <v>1.0</v>
      </c>
      <c r="Q1000" s="266" t="s">
        <v>166</v>
      </c>
      <c r="R1000" s="497" t="s">
        <v>166</v>
      </c>
      <c r="S1000" s="497" t="s">
        <v>166</v>
      </c>
      <c r="T1000" s="496"/>
    </row>
    <row r="1001">
      <c r="A1001" s="494" t="s">
        <v>3401</v>
      </c>
      <c r="B1001" s="495" t="s">
        <v>3541</v>
      </c>
      <c r="C1001" s="174" t="s">
        <v>3405</v>
      </c>
      <c r="D1001" s="452" t="s">
        <v>3950</v>
      </c>
      <c r="E1001" s="266">
        <v>292.0</v>
      </c>
      <c r="F1001" s="266">
        <v>130.0</v>
      </c>
      <c r="G1001" s="266">
        <v>59.6</v>
      </c>
      <c r="H1001" s="266">
        <v>2.0</v>
      </c>
      <c r="I1001" s="266">
        <v>1620.0</v>
      </c>
      <c r="J1001" s="266">
        <v>14.0</v>
      </c>
      <c r="K1001" s="266">
        <v>175.0</v>
      </c>
      <c r="L1001" s="266" t="s">
        <v>3361</v>
      </c>
      <c r="M1001" s="266">
        <v>2.0</v>
      </c>
      <c r="N1001" s="266">
        <v>3.0</v>
      </c>
      <c r="O1001" s="266">
        <v>1.0</v>
      </c>
      <c r="P1001" s="266">
        <v>1.0</v>
      </c>
      <c r="Q1001" s="266" t="s">
        <v>166</v>
      </c>
      <c r="R1001" s="497" t="s">
        <v>166</v>
      </c>
      <c r="S1001" s="497" t="s">
        <v>166</v>
      </c>
      <c r="T1001" s="496"/>
    </row>
    <row r="1002">
      <c r="A1002" s="494" t="s">
        <v>3401</v>
      </c>
      <c r="B1002" s="495" t="s">
        <v>3541</v>
      </c>
      <c r="C1002" s="174" t="s">
        <v>3405</v>
      </c>
      <c r="D1002" s="452" t="s">
        <v>3951</v>
      </c>
      <c r="E1002" s="266">
        <v>292.0</v>
      </c>
      <c r="F1002" s="266">
        <v>130.0</v>
      </c>
      <c r="G1002" s="266">
        <v>59.6</v>
      </c>
      <c r="H1002" s="266">
        <v>2.0</v>
      </c>
      <c r="I1002" s="266">
        <v>1725.0</v>
      </c>
      <c r="J1002" s="266">
        <v>14.0</v>
      </c>
      <c r="K1002" s="266">
        <v>175.0</v>
      </c>
      <c r="L1002" s="266" t="s">
        <v>3361</v>
      </c>
      <c r="M1002" s="266">
        <v>2.0</v>
      </c>
      <c r="N1002" s="266">
        <v>3.0</v>
      </c>
      <c r="O1002" s="266">
        <v>1.0</v>
      </c>
      <c r="P1002" s="266">
        <v>1.0</v>
      </c>
      <c r="Q1002" s="266" t="s">
        <v>166</v>
      </c>
      <c r="R1002" s="497" t="s">
        <v>166</v>
      </c>
      <c r="S1002" s="497" t="s">
        <v>166</v>
      </c>
      <c r="T1002" s="496"/>
    </row>
    <row r="1003">
      <c r="A1003" s="494" t="s">
        <v>3401</v>
      </c>
      <c r="B1003" s="495" t="s">
        <v>3541</v>
      </c>
      <c r="C1003" s="174" t="str">
        <f t="shared" ref="C1003:C1011" si="186">HYPERLINK("https://www.evga.com/","EVGA")</f>
        <v>EVGA</v>
      </c>
      <c r="D1003" s="452" t="s">
        <v>3409</v>
      </c>
      <c r="E1003" s="266">
        <v>265.63</v>
      </c>
      <c r="F1003" s="266">
        <v>111.15</v>
      </c>
      <c r="G1003" s="266">
        <v>40.0</v>
      </c>
      <c r="H1003" s="266">
        <v>2.0</v>
      </c>
      <c r="I1003" s="266">
        <v>1620.0</v>
      </c>
      <c r="J1003" s="266">
        <v>14.0</v>
      </c>
      <c r="K1003" s="266">
        <v>175.0</v>
      </c>
      <c r="L1003" s="266" t="s">
        <v>3361</v>
      </c>
      <c r="M1003" s="266">
        <v>1.0</v>
      </c>
      <c r="N1003" s="266">
        <v>3.0</v>
      </c>
      <c r="O1003" s="266">
        <v>1.0</v>
      </c>
      <c r="P1003" s="266">
        <v>1.0</v>
      </c>
      <c r="Q1003" s="266" t="s">
        <v>166</v>
      </c>
      <c r="R1003" s="266" t="s">
        <v>166</v>
      </c>
      <c r="S1003" s="266" t="s">
        <v>174</v>
      </c>
      <c r="T1003" s="494"/>
    </row>
    <row r="1004">
      <c r="A1004" s="494" t="s">
        <v>3401</v>
      </c>
      <c r="B1004" s="495" t="s">
        <v>3541</v>
      </c>
      <c r="C1004" s="174" t="str">
        <f t="shared" si="186"/>
        <v>EVGA</v>
      </c>
      <c r="D1004" s="452" t="s">
        <v>3512</v>
      </c>
      <c r="E1004" s="266">
        <v>269.83</v>
      </c>
      <c r="F1004" s="266">
        <v>111.15</v>
      </c>
      <c r="G1004" s="266">
        <v>40.0</v>
      </c>
      <c r="H1004" s="266">
        <v>2.0</v>
      </c>
      <c r="I1004" s="266">
        <v>1620.0</v>
      </c>
      <c r="J1004" s="266">
        <v>14.0</v>
      </c>
      <c r="K1004" s="266">
        <v>175.0</v>
      </c>
      <c r="L1004" s="266">
        <v>8.0</v>
      </c>
      <c r="M1004" s="266">
        <v>2.0</v>
      </c>
      <c r="N1004" s="266">
        <v>3.0</v>
      </c>
      <c r="O1004" s="266">
        <v>1.0</v>
      </c>
      <c r="P1004" s="266">
        <v>1.0</v>
      </c>
      <c r="Q1004" s="266" t="s">
        <v>166</v>
      </c>
      <c r="R1004" s="497" t="s">
        <v>166</v>
      </c>
      <c r="S1004" s="497" t="s">
        <v>166</v>
      </c>
      <c r="T1004" s="496"/>
    </row>
    <row r="1005">
      <c r="A1005" s="494" t="s">
        <v>3401</v>
      </c>
      <c r="B1005" s="495" t="s">
        <v>3541</v>
      </c>
      <c r="C1005" s="174" t="str">
        <f t="shared" si="186"/>
        <v>EVGA</v>
      </c>
      <c r="D1005" s="452" t="s">
        <v>3976</v>
      </c>
      <c r="E1005" s="266">
        <v>269.83</v>
      </c>
      <c r="F1005" s="266">
        <v>111.15</v>
      </c>
      <c r="G1005" s="266">
        <v>40.0</v>
      </c>
      <c r="H1005" s="266">
        <v>2.0</v>
      </c>
      <c r="I1005" s="266">
        <v>1620.0</v>
      </c>
      <c r="J1005" s="266">
        <v>14.0</v>
      </c>
      <c r="K1005" s="266">
        <v>175.0</v>
      </c>
      <c r="L1005" s="266" t="s">
        <v>3361</v>
      </c>
      <c r="M1005" s="266">
        <v>2.0</v>
      </c>
      <c r="N1005" s="266">
        <v>3.0</v>
      </c>
      <c r="O1005" s="266">
        <v>1.0</v>
      </c>
      <c r="P1005" s="266">
        <v>1.0</v>
      </c>
      <c r="Q1005" s="266" t="s">
        <v>166</v>
      </c>
      <c r="R1005" s="497" t="s">
        <v>166</v>
      </c>
      <c r="S1005" s="497" t="s">
        <v>166</v>
      </c>
      <c r="T1005" s="496"/>
    </row>
    <row r="1006">
      <c r="A1006" s="494" t="s">
        <v>3401</v>
      </c>
      <c r="B1006" s="495" t="s">
        <v>3541</v>
      </c>
      <c r="C1006" s="174" t="str">
        <f t="shared" si="186"/>
        <v>EVGA</v>
      </c>
      <c r="D1006" s="452" t="s">
        <v>3977</v>
      </c>
      <c r="E1006" s="266">
        <v>269.2</v>
      </c>
      <c r="F1006" s="266">
        <v>114.3</v>
      </c>
      <c r="G1006" s="266">
        <v>40.0</v>
      </c>
      <c r="H1006" s="266">
        <v>2.0</v>
      </c>
      <c r="I1006" s="266">
        <v>1620.0</v>
      </c>
      <c r="J1006" s="266">
        <v>14.0</v>
      </c>
      <c r="K1006" s="266">
        <v>175.0</v>
      </c>
      <c r="L1006" s="266" t="s">
        <v>3361</v>
      </c>
      <c r="M1006" s="266">
        <v>2.0</v>
      </c>
      <c r="N1006" s="266">
        <v>3.0</v>
      </c>
      <c r="O1006" s="266">
        <v>1.0</v>
      </c>
      <c r="P1006" s="266">
        <v>1.0</v>
      </c>
      <c r="Q1006" s="266" t="s">
        <v>166</v>
      </c>
      <c r="R1006" s="497" t="s">
        <v>166</v>
      </c>
      <c r="S1006" s="497" t="s">
        <v>166</v>
      </c>
      <c r="T1006" s="496"/>
    </row>
    <row r="1007">
      <c r="A1007" s="494" t="s">
        <v>3401</v>
      </c>
      <c r="B1007" s="495" t="s">
        <v>3541</v>
      </c>
      <c r="C1007" s="174" t="str">
        <f t="shared" si="186"/>
        <v>EVGA</v>
      </c>
      <c r="D1007" s="452" t="s">
        <v>3978</v>
      </c>
      <c r="E1007" s="266">
        <v>269.2</v>
      </c>
      <c r="F1007" s="266">
        <v>118.48</v>
      </c>
      <c r="G1007" s="266">
        <v>40.0</v>
      </c>
      <c r="H1007" s="266">
        <v>2.0</v>
      </c>
      <c r="I1007" s="266">
        <v>1620.0</v>
      </c>
      <c r="J1007" s="266">
        <v>14.0</v>
      </c>
      <c r="K1007" s="266">
        <v>175.0</v>
      </c>
      <c r="L1007" s="266" t="s">
        <v>3361</v>
      </c>
      <c r="M1007" s="266">
        <v>2.0</v>
      </c>
      <c r="N1007" s="266">
        <v>3.0</v>
      </c>
      <c r="O1007" s="266">
        <v>1.0</v>
      </c>
      <c r="P1007" s="266">
        <v>1.0</v>
      </c>
      <c r="Q1007" s="266" t="s">
        <v>166</v>
      </c>
      <c r="R1007" s="497" t="s">
        <v>166</v>
      </c>
      <c r="S1007" s="497" t="s">
        <v>166</v>
      </c>
      <c r="T1007" s="496"/>
    </row>
    <row r="1008">
      <c r="A1008" s="494" t="s">
        <v>3401</v>
      </c>
      <c r="B1008" s="495" t="s">
        <v>3541</v>
      </c>
      <c r="C1008" s="174" t="str">
        <f t="shared" si="186"/>
        <v>EVGA</v>
      </c>
      <c r="D1008" s="452" t="s">
        <v>3513</v>
      </c>
      <c r="E1008" s="266">
        <v>269.83</v>
      </c>
      <c r="F1008" s="266">
        <v>111.15</v>
      </c>
      <c r="G1008" s="266">
        <v>40.0</v>
      </c>
      <c r="H1008" s="266">
        <v>2.0</v>
      </c>
      <c r="I1008" s="266">
        <v>1710.0</v>
      </c>
      <c r="J1008" s="266">
        <v>14.0</v>
      </c>
      <c r="K1008" s="266">
        <v>175.0</v>
      </c>
      <c r="L1008" s="266" t="s">
        <v>3361</v>
      </c>
      <c r="M1008" s="266">
        <v>2.0</v>
      </c>
      <c r="N1008" s="266">
        <v>3.0</v>
      </c>
      <c r="O1008" s="266">
        <v>1.0</v>
      </c>
      <c r="P1008" s="266">
        <v>1.0</v>
      </c>
      <c r="Q1008" s="266" t="s">
        <v>166</v>
      </c>
      <c r="R1008" s="497" t="s">
        <v>166</v>
      </c>
      <c r="S1008" s="497" t="s">
        <v>166</v>
      </c>
      <c r="T1008" s="496"/>
    </row>
    <row r="1009">
      <c r="A1009" s="494" t="s">
        <v>3401</v>
      </c>
      <c r="B1009" s="495" t="s">
        <v>3541</v>
      </c>
      <c r="C1009" s="174" t="str">
        <f t="shared" si="186"/>
        <v>EVGA</v>
      </c>
      <c r="D1009" s="452" t="s">
        <v>3895</v>
      </c>
      <c r="E1009" s="266">
        <v>269.83</v>
      </c>
      <c r="F1009" s="266">
        <v>111.15</v>
      </c>
      <c r="G1009" s="266">
        <v>55.0</v>
      </c>
      <c r="H1009" s="266">
        <v>3.0</v>
      </c>
      <c r="I1009" s="266">
        <v>1725.0</v>
      </c>
      <c r="J1009" s="266">
        <v>14.0</v>
      </c>
      <c r="K1009" s="266">
        <v>175.0</v>
      </c>
      <c r="L1009" s="266" t="s">
        <v>3361</v>
      </c>
      <c r="M1009" s="266">
        <v>2.0</v>
      </c>
      <c r="N1009" s="266">
        <v>3.0</v>
      </c>
      <c r="O1009" s="266">
        <v>1.0</v>
      </c>
      <c r="P1009" s="266">
        <v>1.0</v>
      </c>
      <c r="Q1009" s="266" t="s">
        <v>166</v>
      </c>
      <c r="R1009" s="497" t="s">
        <v>166</v>
      </c>
      <c r="S1009" s="497" t="s">
        <v>166</v>
      </c>
      <c r="T1009" s="496"/>
    </row>
    <row r="1010">
      <c r="A1010" s="494" t="s">
        <v>3401</v>
      </c>
      <c r="B1010" s="495" t="s">
        <v>3541</v>
      </c>
      <c r="C1010" s="174" t="str">
        <f t="shared" si="186"/>
        <v>EVGA</v>
      </c>
      <c r="D1010" s="452" t="s">
        <v>3823</v>
      </c>
      <c r="E1010" s="266">
        <v>301.93</v>
      </c>
      <c r="F1010" s="266">
        <v>139.3</v>
      </c>
      <c r="G1010" s="266">
        <v>55.0</v>
      </c>
      <c r="H1010" s="266">
        <v>3.0</v>
      </c>
      <c r="I1010" s="266">
        <v>1620.0</v>
      </c>
      <c r="J1010" s="266">
        <v>14.0</v>
      </c>
      <c r="K1010" s="266">
        <v>175.0</v>
      </c>
      <c r="L1010" s="266" t="s">
        <v>3460</v>
      </c>
      <c r="M1010" s="266">
        <v>3.0</v>
      </c>
      <c r="N1010" s="266">
        <v>3.0</v>
      </c>
      <c r="O1010" s="266">
        <v>1.0</v>
      </c>
      <c r="P1010" s="266">
        <v>1.0</v>
      </c>
      <c r="Q1010" s="266" t="s">
        <v>166</v>
      </c>
      <c r="R1010" s="497" t="s">
        <v>166</v>
      </c>
      <c r="S1010" s="497" t="s">
        <v>166</v>
      </c>
      <c r="T1010" s="496"/>
    </row>
    <row r="1011">
      <c r="A1011" s="494" t="s">
        <v>3401</v>
      </c>
      <c r="B1011" s="495" t="s">
        <v>3541</v>
      </c>
      <c r="C1011" s="174" t="str">
        <f t="shared" si="186"/>
        <v>EVGA</v>
      </c>
      <c r="D1011" s="452" t="s">
        <v>3979</v>
      </c>
      <c r="E1011" s="266">
        <v>301.93</v>
      </c>
      <c r="F1011" s="266">
        <v>136.8</v>
      </c>
      <c r="G1011" s="266">
        <v>55.0</v>
      </c>
      <c r="H1011" s="266">
        <v>3.0</v>
      </c>
      <c r="I1011" s="266">
        <v>1815.0</v>
      </c>
      <c r="J1011" s="266">
        <v>14.0</v>
      </c>
      <c r="K1011" s="266">
        <v>175.0</v>
      </c>
      <c r="L1011" s="266" t="s">
        <v>3460</v>
      </c>
      <c r="M1011" s="266">
        <v>3.0</v>
      </c>
      <c r="N1011" s="266">
        <v>3.0</v>
      </c>
      <c r="O1011" s="266">
        <v>1.0</v>
      </c>
      <c r="P1011" s="266">
        <v>1.0</v>
      </c>
      <c r="Q1011" s="266" t="s">
        <v>166</v>
      </c>
      <c r="R1011" s="497" t="s">
        <v>166</v>
      </c>
      <c r="S1011" s="497" t="s">
        <v>166</v>
      </c>
      <c r="T1011" s="496"/>
    </row>
    <row r="1012">
      <c r="A1012" s="494" t="s">
        <v>3401</v>
      </c>
      <c r="B1012" s="495" t="s">
        <v>3541</v>
      </c>
      <c r="C1012" s="452" t="str">
        <f t="shared" ref="C1012:C1019" si="187">HYPERLINK("http://www.gainward.com/main/index.php?lang=en","Gainward")</f>
        <v>Gainward</v>
      </c>
      <c r="D1012" s="452" t="str">
        <f>HYPERLINK("http://www.gainward.com/main/vgapro.php?id=1025&amp;lang=en","RTX 2070")</f>
        <v>RTX 2070</v>
      </c>
      <c r="E1012" s="266">
        <v>235.0</v>
      </c>
      <c r="F1012" s="266">
        <v>112.0</v>
      </c>
      <c r="G1012" s="266">
        <v>40.0</v>
      </c>
      <c r="H1012" s="266">
        <v>2.0</v>
      </c>
      <c r="I1012" s="266">
        <v>1620.0</v>
      </c>
      <c r="J1012" s="266">
        <v>14.0</v>
      </c>
      <c r="K1012" s="266">
        <v>175.0</v>
      </c>
      <c r="L1012" s="266">
        <v>8.0</v>
      </c>
      <c r="M1012" s="266">
        <v>2.0</v>
      </c>
      <c r="N1012" s="266">
        <v>3.0</v>
      </c>
      <c r="O1012" s="266">
        <v>1.0</v>
      </c>
      <c r="P1012" s="266" t="s">
        <v>166</v>
      </c>
      <c r="Q1012" s="266">
        <v>1.0</v>
      </c>
      <c r="R1012" s="497" t="s">
        <v>166</v>
      </c>
      <c r="S1012" s="497" t="s">
        <v>166</v>
      </c>
      <c r="T1012" s="496"/>
    </row>
    <row r="1013">
      <c r="A1013" s="494" t="s">
        <v>3401</v>
      </c>
      <c r="B1013" s="495" t="s">
        <v>3541</v>
      </c>
      <c r="C1013" s="452" t="str">
        <f t="shared" si="187"/>
        <v>Gainward</v>
      </c>
      <c r="D1013" s="452" t="str">
        <f>HYPERLINK("http://www.gainward.com/main/vgapro.php?id=1031&amp;lang=en","Phoenix (426018336-4245)")</f>
        <v>Phoenix (426018336-4245)</v>
      </c>
      <c r="E1013" s="266">
        <v>235.0</v>
      </c>
      <c r="F1013" s="266">
        <v>112.0</v>
      </c>
      <c r="G1013" s="266">
        <v>40.0</v>
      </c>
      <c r="H1013" s="266">
        <v>2.0</v>
      </c>
      <c r="I1013" s="266">
        <v>1650.0</v>
      </c>
      <c r="J1013" s="266">
        <v>14.0</v>
      </c>
      <c r="K1013" s="266">
        <v>175.0</v>
      </c>
      <c r="L1013" s="266">
        <v>8.0</v>
      </c>
      <c r="M1013" s="266">
        <v>2.0</v>
      </c>
      <c r="N1013" s="266">
        <v>2.0</v>
      </c>
      <c r="O1013" s="266">
        <v>1.0</v>
      </c>
      <c r="P1013" s="266">
        <v>1.0</v>
      </c>
      <c r="Q1013" s="266">
        <v>1.0</v>
      </c>
      <c r="R1013" s="497" t="s">
        <v>166</v>
      </c>
      <c r="S1013" s="497" t="s">
        <v>166</v>
      </c>
      <c r="T1013" s="496"/>
    </row>
    <row r="1014">
      <c r="A1014" s="494" t="s">
        <v>3401</v>
      </c>
      <c r="B1014" s="495" t="s">
        <v>3541</v>
      </c>
      <c r="C1014" s="452" t="str">
        <f t="shared" si="187"/>
        <v>Gainward</v>
      </c>
      <c r="D1014" s="452" t="s">
        <v>3980</v>
      </c>
      <c r="E1014" s="266">
        <v>235.0</v>
      </c>
      <c r="F1014" s="266">
        <v>112.0</v>
      </c>
      <c r="G1014" s="266">
        <v>40.0</v>
      </c>
      <c r="H1014" s="266">
        <v>2.0</v>
      </c>
      <c r="I1014" s="266">
        <v>1710.0</v>
      </c>
      <c r="J1014" s="266">
        <v>14.0</v>
      </c>
      <c r="K1014" s="266">
        <v>175.0</v>
      </c>
      <c r="L1014" s="266">
        <v>8.0</v>
      </c>
      <c r="M1014" s="266">
        <v>2.0</v>
      </c>
      <c r="N1014" s="266">
        <v>2.0</v>
      </c>
      <c r="O1014" s="266">
        <v>1.0</v>
      </c>
      <c r="P1014" s="266">
        <v>1.0</v>
      </c>
      <c r="Q1014" s="266">
        <v>1.0</v>
      </c>
      <c r="R1014" s="497" t="s">
        <v>166</v>
      </c>
      <c r="S1014" s="497" t="s">
        <v>166</v>
      </c>
      <c r="T1014" s="496"/>
    </row>
    <row r="1015">
      <c r="A1015" s="494" t="s">
        <v>3401</v>
      </c>
      <c r="B1015" s="495" t="s">
        <v>3541</v>
      </c>
      <c r="C1015" s="452" t="str">
        <f t="shared" si="187"/>
        <v>Gainward</v>
      </c>
      <c r="D1015" s="452" t="str">
        <f>HYPERLINK("http://www.gainward.com/main/vgapro.php?id=1024&amp;lang=en","Phoenix (426018336-4153)")</f>
        <v>Phoenix (426018336-4153)</v>
      </c>
      <c r="E1015" s="266">
        <v>292.0</v>
      </c>
      <c r="F1015" s="266">
        <v>112.0</v>
      </c>
      <c r="G1015" s="266">
        <v>40.0</v>
      </c>
      <c r="H1015" s="266">
        <v>2.0</v>
      </c>
      <c r="I1015" s="266">
        <v>1650.0</v>
      </c>
      <c r="J1015" s="266">
        <v>14.0</v>
      </c>
      <c r="K1015" s="266">
        <v>175.0</v>
      </c>
      <c r="L1015" s="266" t="s">
        <v>3361</v>
      </c>
      <c r="M1015" s="266">
        <v>3.0</v>
      </c>
      <c r="N1015" s="266">
        <v>3.0</v>
      </c>
      <c r="O1015" s="266">
        <v>1.0</v>
      </c>
      <c r="P1015" s="266">
        <v>1.0</v>
      </c>
      <c r="Q1015" s="266" t="s">
        <v>166</v>
      </c>
      <c r="R1015" s="497" t="s">
        <v>166</v>
      </c>
      <c r="S1015" s="497" t="s">
        <v>166</v>
      </c>
      <c r="T1015" s="496"/>
    </row>
    <row r="1016">
      <c r="A1016" s="494" t="s">
        <v>3401</v>
      </c>
      <c r="B1016" s="495" t="s">
        <v>3541</v>
      </c>
      <c r="C1016" s="452" t="str">
        <f t="shared" si="187"/>
        <v>Gainward</v>
      </c>
      <c r="D1016" s="452" t="s">
        <v>3981</v>
      </c>
      <c r="E1016" s="266">
        <v>292.0</v>
      </c>
      <c r="F1016" s="266">
        <v>112.0</v>
      </c>
      <c r="G1016" s="266">
        <v>40.0</v>
      </c>
      <c r="H1016" s="266">
        <v>2.0</v>
      </c>
      <c r="I1016" s="266">
        <v>1725.0</v>
      </c>
      <c r="J1016" s="266">
        <v>14.0</v>
      </c>
      <c r="K1016" s="266">
        <v>175.0</v>
      </c>
      <c r="L1016" s="266" t="s">
        <v>3361</v>
      </c>
      <c r="M1016" s="266">
        <v>3.0</v>
      </c>
      <c r="N1016" s="266">
        <v>3.0</v>
      </c>
      <c r="O1016" s="266">
        <v>1.0</v>
      </c>
      <c r="P1016" s="266">
        <v>1.0</v>
      </c>
      <c r="Q1016" s="266" t="s">
        <v>166</v>
      </c>
      <c r="R1016" s="497" t="s">
        <v>166</v>
      </c>
      <c r="S1016" s="497" t="s">
        <v>166</v>
      </c>
      <c r="T1016" s="496"/>
    </row>
    <row r="1017">
      <c r="A1017" s="494" t="s">
        <v>3401</v>
      </c>
      <c r="B1017" s="495" t="s">
        <v>3541</v>
      </c>
      <c r="C1017" s="452" t="str">
        <f t="shared" si="187"/>
        <v>Gainward</v>
      </c>
      <c r="D1017" s="452" t="s">
        <v>3953</v>
      </c>
      <c r="E1017" s="266">
        <v>292.0</v>
      </c>
      <c r="F1017" s="266">
        <v>130.0</v>
      </c>
      <c r="G1017" s="266">
        <v>54.0</v>
      </c>
      <c r="H1017" s="266">
        <v>2.0</v>
      </c>
      <c r="I1017" s="266">
        <v>1620.0</v>
      </c>
      <c r="J1017" s="266">
        <v>14.0</v>
      </c>
      <c r="K1017" s="266">
        <v>175.0</v>
      </c>
      <c r="L1017" s="266" t="s">
        <v>3361</v>
      </c>
      <c r="M1017" s="266">
        <v>3.0</v>
      </c>
      <c r="N1017" s="266">
        <v>3.0</v>
      </c>
      <c r="O1017" s="266">
        <v>1.0</v>
      </c>
      <c r="P1017" s="266">
        <v>1.0</v>
      </c>
      <c r="Q1017" s="266" t="s">
        <v>166</v>
      </c>
      <c r="R1017" s="497" t="s">
        <v>166</v>
      </c>
      <c r="S1017" s="497" t="s">
        <v>166</v>
      </c>
      <c r="T1017" s="496"/>
    </row>
    <row r="1018">
      <c r="A1018" s="494" t="s">
        <v>3401</v>
      </c>
      <c r="B1018" s="495" t="s">
        <v>3541</v>
      </c>
      <c r="C1018" s="452" t="str">
        <f t="shared" si="187"/>
        <v>Gainward</v>
      </c>
      <c r="D1018" s="452" t="s">
        <v>3954</v>
      </c>
      <c r="E1018" s="266">
        <v>292.0</v>
      </c>
      <c r="F1018" s="266">
        <v>130.0</v>
      </c>
      <c r="G1018" s="266">
        <v>54.0</v>
      </c>
      <c r="H1018" s="266">
        <v>2.0</v>
      </c>
      <c r="I1018" s="266">
        <v>1725.0</v>
      </c>
      <c r="J1018" s="266">
        <v>14.0</v>
      </c>
      <c r="K1018" s="266">
        <v>175.0</v>
      </c>
      <c r="L1018" s="266" t="s">
        <v>3361</v>
      </c>
      <c r="M1018" s="266">
        <v>3.0</v>
      </c>
      <c r="N1018" s="266">
        <v>3.0</v>
      </c>
      <c r="O1018" s="266">
        <v>1.0</v>
      </c>
      <c r="P1018" s="266">
        <v>1.0</v>
      </c>
      <c r="Q1018" s="266" t="s">
        <v>166</v>
      </c>
      <c r="R1018" s="497" t="s">
        <v>166</v>
      </c>
      <c r="S1018" s="497" t="s">
        <v>166</v>
      </c>
      <c r="T1018" s="496"/>
    </row>
    <row r="1019">
      <c r="A1019" s="494" t="s">
        <v>3401</v>
      </c>
      <c r="B1019" s="495" t="s">
        <v>3541</v>
      </c>
      <c r="C1019" s="452" t="str">
        <f t="shared" si="187"/>
        <v>Gainward</v>
      </c>
      <c r="D1019" s="452" t="s">
        <v>3982</v>
      </c>
      <c r="E1019" s="586">
        <v>292.0</v>
      </c>
      <c r="F1019" s="587">
        <v>130.0</v>
      </c>
      <c r="G1019" s="588">
        <v>54.0</v>
      </c>
      <c r="H1019" s="266">
        <v>2.0</v>
      </c>
      <c r="I1019" s="266">
        <v>1815.0</v>
      </c>
      <c r="J1019" s="266">
        <v>14.0</v>
      </c>
      <c r="K1019" s="266">
        <v>175.0</v>
      </c>
      <c r="L1019" s="266" t="s">
        <v>3361</v>
      </c>
      <c r="M1019" s="266">
        <v>3.0</v>
      </c>
      <c r="N1019" s="266">
        <v>3.0</v>
      </c>
      <c r="O1019" s="266">
        <v>1.0</v>
      </c>
      <c r="P1019" s="266">
        <v>1.0</v>
      </c>
      <c r="Q1019" s="266" t="s">
        <v>166</v>
      </c>
      <c r="R1019" s="497" t="s">
        <v>166</v>
      </c>
      <c r="S1019" s="497" t="s">
        <v>166</v>
      </c>
      <c r="T1019" s="496"/>
    </row>
    <row r="1020">
      <c r="A1020" s="494" t="s">
        <v>3401</v>
      </c>
      <c r="B1020" s="495" t="s">
        <v>3541</v>
      </c>
      <c r="C1020" s="174" t="s">
        <v>3456</v>
      </c>
      <c r="D1020" s="452" t="str">
        <f>HYPERLINK("http://www.galax.com/en/graphics-card/20-series/galax-geforce-rtx-2070-vt.html","RTX 2070")</f>
        <v>RTX 2070</v>
      </c>
      <c r="E1020" s="266">
        <v>268.0</v>
      </c>
      <c r="F1020" s="266">
        <v>123.0</v>
      </c>
      <c r="G1020" s="266">
        <v>38.0</v>
      </c>
      <c r="H1020" s="266">
        <v>2.0</v>
      </c>
      <c r="I1020" s="266">
        <v>1620.0</v>
      </c>
      <c r="J1020" s="266">
        <v>14.0</v>
      </c>
      <c r="K1020" s="266">
        <v>175.0</v>
      </c>
      <c r="L1020" s="266" t="s">
        <v>3361</v>
      </c>
      <c r="M1020" s="266">
        <v>1.0</v>
      </c>
      <c r="N1020" s="266">
        <v>3.0</v>
      </c>
      <c r="O1020" s="266">
        <v>1.0</v>
      </c>
      <c r="P1020" s="266">
        <v>1.0</v>
      </c>
      <c r="Q1020" s="266" t="s">
        <v>166</v>
      </c>
      <c r="R1020" s="497" t="s">
        <v>166</v>
      </c>
      <c r="S1020" s="497" t="s">
        <v>166</v>
      </c>
      <c r="T1020" s="496"/>
    </row>
    <row r="1021">
      <c r="A1021" s="494" t="s">
        <v>3401</v>
      </c>
      <c r="B1021" s="495" t="s">
        <v>3541</v>
      </c>
      <c r="C1021" s="174" t="s">
        <v>3456</v>
      </c>
      <c r="D1021" s="452" t="str">
        <f>HYPERLINK("http://www.galax.com/en/graphics-card/20-series/galax-geforce-rtx-2070-oc-black.html","OC")</f>
        <v>OC</v>
      </c>
      <c r="E1021" s="266">
        <v>268.0</v>
      </c>
      <c r="F1021" s="266">
        <v>123.0</v>
      </c>
      <c r="G1021" s="266">
        <v>38.0</v>
      </c>
      <c r="H1021" s="266">
        <v>2.0</v>
      </c>
      <c r="I1021" s="266">
        <v>1815.0</v>
      </c>
      <c r="J1021" s="266">
        <v>14.0</v>
      </c>
      <c r="K1021" s="266">
        <v>175.0</v>
      </c>
      <c r="L1021" s="266" t="s">
        <v>3361</v>
      </c>
      <c r="M1021" s="266">
        <v>2.0</v>
      </c>
      <c r="N1021" s="266">
        <v>3.0</v>
      </c>
      <c r="O1021" s="266">
        <v>1.0</v>
      </c>
      <c r="P1021" s="266">
        <v>1.0</v>
      </c>
      <c r="Q1021" s="266" t="s">
        <v>166</v>
      </c>
      <c r="R1021" s="497" t="s">
        <v>166</v>
      </c>
      <c r="S1021" s="497" t="s">
        <v>166</v>
      </c>
      <c r="T1021" s="496"/>
    </row>
    <row r="1022">
      <c r="A1022" s="494" t="s">
        <v>3401</v>
      </c>
      <c r="B1022" s="495" t="s">
        <v>3541</v>
      </c>
      <c r="C1022" s="174" t="s">
        <v>3456</v>
      </c>
      <c r="D1022" s="452" t="str">
        <f>HYPERLINK("http://www.galax.com/en/graphics-card/20-series/galax-geforce-rtx-2070-oc-white.html","OC White")</f>
        <v>OC White</v>
      </c>
      <c r="E1022" s="266">
        <v>268.0</v>
      </c>
      <c r="F1022" s="266">
        <v>123.0</v>
      </c>
      <c r="G1022" s="266">
        <v>38.0</v>
      </c>
      <c r="H1022" s="266">
        <v>2.0</v>
      </c>
      <c r="I1022" s="266">
        <v>1830.0</v>
      </c>
      <c r="J1022" s="266">
        <v>14.0</v>
      </c>
      <c r="K1022" s="266">
        <v>175.0</v>
      </c>
      <c r="L1022" s="266" t="s">
        <v>3361</v>
      </c>
      <c r="M1022" s="266">
        <v>2.0</v>
      </c>
      <c r="N1022" s="266">
        <v>3.0</v>
      </c>
      <c r="O1022" s="266">
        <v>1.0</v>
      </c>
      <c r="P1022" s="266">
        <v>1.0</v>
      </c>
      <c r="Q1022" s="266" t="s">
        <v>166</v>
      </c>
      <c r="R1022" s="497" t="s">
        <v>166</v>
      </c>
      <c r="S1022" s="497" t="s">
        <v>166</v>
      </c>
      <c r="T1022" s="496"/>
    </row>
    <row r="1023">
      <c r="A1023" s="494" t="s">
        <v>3401</v>
      </c>
      <c r="B1023" s="495" t="s">
        <v>3541</v>
      </c>
      <c r="C1023" s="174" t="s">
        <v>3456</v>
      </c>
      <c r="D1023" s="452" t="str">
        <f>HYPERLINK("http://www.galax.com/en/graphics-card/20-series/galax-geforce-rtx-2070-white-1click.html","White (1-Click OC)")</f>
        <v>White (1-Click OC)</v>
      </c>
      <c r="E1023" s="266">
        <v>268.0</v>
      </c>
      <c r="F1023" s="266">
        <v>123.0</v>
      </c>
      <c r="G1023" s="266">
        <v>38.0</v>
      </c>
      <c r="H1023" s="266">
        <v>2.0</v>
      </c>
      <c r="I1023" s="266">
        <v>1665.0</v>
      </c>
      <c r="J1023" s="266">
        <v>14.0</v>
      </c>
      <c r="K1023" s="266">
        <v>175.0</v>
      </c>
      <c r="L1023" s="266" t="s">
        <v>3361</v>
      </c>
      <c r="M1023" s="266">
        <v>2.0</v>
      </c>
      <c r="N1023" s="266">
        <v>3.0</v>
      </c>
      <c r="O1023" s="266">
        <v>1.0</v>
      </c>
      <c r="P1023" s="266">
        <v>1.0</v>
      </c>
      <c r="Q1023" s="266" t="s">
        <v>166</v>
      </c>
      <c r="R1023" s="497" t="s">
        <v>166</v>
      </c>
      <c r="S1023" s="497" t="s">
        <v>166</v>
      </c>
      <c r="T1023" s="496"/>
    </row>
    <row r="1024">
      <c r="A1024" s="494" t="s">
        <v>3401</v>
      </c>
      <c r="B1024" s="495" t="s">
        <v>3541</v>
      </c>
      <c r="C1024" s="174" t="s">
        <v>3456</v>
      </c>
      <c r="D1024" s="452" t="s">
        <v>3489</v>
      </c>
      <c r="E1024" s="266">
        <v>285.0</v>
      </c>
      <c r="F1024" s="266">
        <v>127.0</v>
      </c>
      <c r="G1024" s="266">
        <v>52.0</v>
      </c>
      <c r="H1024" s="266">
        <v>2.0</v>
      </c>
      <c r="I1024" s="266">
        <v>1665.0</v>
      </c>
      <c r="J1024" s="266">
        <v>14.0</v>
      </c>
      <c r="K1024" s="266">
        <v>175.0</v>
      </c>
      <c r="L1024" s="266" t="s">
        <v>3361</v>
      </c>
      <c r="M1024" s="266">
        <v>2.0</v>
      </c>
      <c r="N1024" s="266">
        <v>2.0</v>
      </c>
      <c r="O1024" s="266">
        <v>1.0</v>
      </c>
      <c r="P1024" s="266" t="s">
        <v>166</v>
      </c>
      <c r="Q1024" s="266" t="s">
        <v>166</v>
      </c>
      <c r="R1024" s="497" t="s">
        <v>166</v>
      </c>
      <c r="S1024" s="497" t="s">
        <v>166</v>
      </c>
      <c r="T1024" s="496"/>
    </row>
    <row r="1025">
      <c r="A1025" s="494" t="s">
        <v>3401</v>
      </c>
      <c r="B1025" s="495" t="s">
        <v>3541</v>
      </c>
      <c r="C1025" s="174" t="s">
        <v>3456</v>
      </c>
      <c r="D1025" s="452" t="s">
        <v>3983</v>
      </c>
      <c r="E1025" s="266">
        <v>294.0</v>
      </c>
      <c r="F1025" s="266">
        <v>129.0</v>
      </c>
      <c r="G1025" s="266">
        <v>51.0</v>
      </c>
      <c r="H1025" s="266">
        <v>2.0</v>
      </c>
      <c r="I1025" s="266">
        <v>1755.0</v>
      </c>
      <c r="J1025" s="266">
        <v>14.0</v>
      </c>
      <c r="K1025" s="266">
        <v>175.0</v>
      </c>
      <c r="L1025" s="266" t="s">
        <v>3361</v>
      </c>
      <c r="M1025" s="266">
        <v>3.0</v>
      </c>
      <c r="N1025" s="266">
        <v>2.0</v>
      </c>
      <c r="O1025" s="266">
        <v>1.0</v>
      </c>
      <c r="P1025" s="266" t="s">
        <v>166</v>
      </c>
      <c r="Q1025" s="266" t="s">
        <v>166</v>
      </c>
      <c r="R1025" s="497" t="s">
        <v>166</v>
      </c>
      <c r="S1025" s="497" t="s">
        <v>166</v>
      </c>
      <c r="T1025" s="496"/>
    </row>
    <row r="1026">
      <c r="A1026" s="494" t="s">
        <v>3401</v>
      </c>
      <c r="B1026" s="495" t="s">
        <v>3541</v>
      </c>
      <c r="C1026" s="174" t="s">
        <v>3456</v>
      </c>
      <c r="D1026" s="452" t="s">
        <v>3956</v>
      </c>
      <c r="E1026" s="266">
        <v>285.0</v>
      </c>
      <c r="F1026" s="266">
        <v>127.0</v>
      </c>
      <c r="G1026" s="266">
        <v>52.0</v>
      </c>
      <c r="H1026" s="266">
        <v>2.0</v>
      </c>
      <c r="I1026" s="266">
        <v>1620.0</v>
      </c>
      <c r="J1026" s="266">
        <v>14.0</v>
      </c>
      <c r="K1026" s="266">
        <v>175.0</v>
      </c>
      <c r="L1026" s="266" t="s">
        <v>3361</v>
      </c>
      <c r="M1026" s="266">
        <v>2.0</v>
      </c>
      <c r="N1026" s="266">
        <v>2.0</v>
      </c>
      <c r="O1026" s="266">
        <v>1.0</v>
      </c>
      <c r="P1026" s="266" t="s">
        <v>166</v>
      </c>
      <c r="Q1026" s="266" t="s">
        <v>166</v>
      </c>
      <c r="R1026" s="497" t="s">
        <v>166</v>
      </c>
      <c r="S1026" s="497" t="s">
        <v>166</v>
      </c>
      <c r="T1026" s="496"/>
    </row>
    <row r="1027">
      <c r="A1027" s="494" t="s">
        <v>3401</v>
      </c>
      <c r="B1027" s="495" t="s">
        <v>3541</v>
      </c>
      <c r="C1027" s="174" t="s">
        <v>3456</v>
      </c>
      <c r="D1027" s="452" t="s">
        <v>3984</v>
      </c>
      <c r="E1027" s="266">
        <v>285.0</v>
      </c>
      <c r="F1027" s="266">
        <v>127.0</v>
      </c>
      <c r="G1027" s="266">
        <v>52.0</v>
      </c>
      <c r="H1027" s="266">
        <v>2.0</v>
      </c>
      <c r="I1027" s="266">
        <v>1815.0</v>
      </c>
      <c r="J1027" s="266">
        <v>14.0</v>
      </c>
      <c r="K1027" s="266">
        <v>175.0</v>
      </c>
      <c r="L1027" s="266" t="s">
        <v>3361</v>
      </c>
      <c r="M1027" s="266">
        <v>2.0</v>
      </c>
      <c r="N1027" s="266">
        <v>3.0</v>
      </c>
      <c r="O1027" s="266">
        <v>1.0</v>
      </c>
      <c r="P1027" s="266" t="s">
        <v>166</v>
      </c>
      <c r="Q1027" s="266" t="s">
        <v>166</v>
      </c>
      <c r="R1027" s="497" t="s">
        <v>166</v>
      </c>
      <c r="S1027" s="497" t="s">
        <v>166</v>
      </c>
      <c r="T1027" s="496"/>
    </row>
    <row r="1028">
      <c r="A1028" s="494" t="s">
        <v>3401</v>
      </c>
      <c r="B1028" s="495" t="s">
        <v>3541</v>
      </c>
      <c r="C1028" s="174" t="s">
        <v>3456</v>
      </c>
      <c r="D1028" s="452" t="s">
        <v>3985</v>
      </c>
      <c r="E1028" s="266">
        <v>294.0</v>
      </c>
      <c r="F1028" s="266">
        <v>129.0</v>
      </c>
      <c r="G1028" s="266">
        <v>51.0</v>
      </c>
      <c r="H1028" s="266">
        <v>2.0</v>
      </c>
      <c r="I1028" s="266">
        <v>1830.0</v>
      </c>
      <c r="J1028" s="266">
        <v>14.0</v>
      </c>
      <c r="K1028" s="266">
        <v>175.0</v>
      </c>
      <c r="L1028" s="266" t="s">
        <v>3361</v>
      </c>
      <c r="M1028" s="266">
        <v>3.0</v>
      </c>
      <c r="N1028" s="266">
        <v>3.0</v>
      </c>
      <c r="O1028" s="266">
        <v>1.0</v>
      </c>
      <c r="P1028" s="266" t="s">
        <v>166</v>
      </c>
      <c r="Q1028" s="266" t="s">
        <v>166</v>
      </c>
      <c r="R1028" s="497" t="s">
        <v>166</v>
      </c>
      <c r="S1028" s="497" t="s">
        <v>166</v>
      </c>
      <c r="T1028" s="496"/>
    </row>
    <row r="1029">
      <c r="A1029" s="494" t="s">
        <v>3401</v>
      </c>
      <c r="B1029" s="495" t="s">
        <v>3541</v>
      </c>
      <c r="C1029" s="174" t="s">
        <v>3456</v>
      </c>
      <c r="D1029" s="452" t="s">
        <v>3986</v>
      </c>
      <c r="E1029" s="266">
        <v>285.0</v>
      </c>
      <c r="F1029" s="266">
        <v>127.0</v>
      </c>
      <c r="G1029" s="266">
        <v>52.0</v>
      </c>
      <c r="H1029" s="266">
        <v>2.0</v>
      </c>
      <c r="I1029" s="266">
        <v>1815.0</v>
      </c>
      <c r="J1029" s="266">
        <v>14.0</v>
      </c>
      <c r="K1029" s="266">
        <v>175.0</v>
      </c>
      <c r="L1029" s="266" t="s">
        <v>3361</v>
      </c>
      <c r="M1029" s="266">
        <v>2.0</v>
      </c>
      <c r="N1029" s="266">
        <v>3.0</v>
      </c>
      <c r="O1029" s="266">
        <v>1.0</v>
      </c>
      <c r="P1029" s="266" t="s">
        <v>166</v>
      </c>
      <c r="Q1029" s="266" t="s">
        <v>166</v>
      </c>
      <c r="R1029" s="497" t="s">
        <v>166</v>
      </c>
      <c r="S1029" s="497" t="s">
        <v>166</v>
      </c>
      <c r="T1029" s="496"/>
    </row>
    <row r="1030">
      <c r="A1030" s="494" t="s">
        <v>3401</v>
      </c>
      <c r="B1030" s="495" t="s">
        <v>3541</v>
      </c>
      <c r="C1030" s="174" t="s">
        <v>3456</v>
      </c>
      <c r="D1030" s="452" t="s">
        <v>3987</v>
      </c>
      <c r="E1030" s="266">
        <v>308.0</v>
      </c>
      <c r="F1030" s="266">
        <v>110.0</v>
      </c>
      <c r="G1030" s="266">
        <v>47.0</v>
      </c>
      <c r="H1030" s="266">
        <v>2.0</v>
      </c>
      <c r="I1030" s="266">
        <v>1830.0</v>
      </c>
      <c r="J1030" s="266">
        <v>14.0</v>
      </c>
      <c r="K1030" s="266">
        <v>175.0</v>
      </c>
      <c r="L1030" s="266" t="s">
        <v>3361</v>
      </c>
      <c r="M1030" s="266">
        <v>3.0</v>
      </c>
      <c r="N1030" s="266">
        <v>3.0</v>
      </c>
      <c r="O1030" s="266">
        <v>1.0</v>
      </c>
      <c r="P1030" s="266">
        <v>1.0</v>
      </c>
      <c r="Q1030" s="266" t="s">
        <v>166</v>
      </c>
      <c r="R1030" s="497" t="s">
        <v>166</v>
      </c>
      <c r="S1030" s="497" t="s">
        <v>166</v>
      </c>
      <c r="T1030" s="496"/>
    </row>
    <row r="1031">
      <c r="A1031" s="494" t="s">
        <v>3401</v>
      </c>
      <c r="B1031" s="495" t="s">
        <v>3541</v>
      </c>
      <c r="C1031" s="174" t="str">
        <f t="shared" ref="C1031:C1040" si="188">HYPERLINK("https://www.gigabyte.com/","Gigabyte")</f>
        <v>Gigabyte</v>
      </c>
      <c r="D1031" s="452" t="s">
        <v>3597</v>
      </c>
      <c r="E1031" s="266">
        <v>280.35</v>
      </c>
      <c r="F1031" s="266">
        <v>116.45</v>
      </c>
      <c r="G1031" s="266">
        <v>40.24</v>
      </c>
      <c r="H1031" s="266">
        <v>2.0</v>
      </c>
      <c r="I1031" s="266">
        <v>1620.0</v>
      </c>
      <c r="J1031" s="266">
        <v>14.0</v>
      </c>
      <c r="K1031" s="266">
        <v>175.0</v>
      </c>
      <c r="L1031" s="266" t="s">
        <v>3361</v>
      </c>
      <c r="M1031" s="266">
        <v>3.0</v>
      </c>
      <c r="N1031" s="266">
        <v>3.0</v>
      </c>
      <c r="O1031" s="266">
        <v>1.0</v>
      </c>
      <c r="P1031" s="266">
        <v>1.0</v>
      </c>
      <c r="Q1031" s="266" t="s">
        <v>166</v>
      </c>
      <c r="R1031" s="497" t="s">
        <v>166</v>
      </c>
      <c r="S1031" s="497" t="s">
        <v>166</v>
      </c>
      <c r="T1031" s="496"/>
    </row>
    <row r="1032">
      <c r="A1032" s="494" t="s">
        <v>3401</v>
      </c>
      <c r="B1032" s="495" t="s">
        <v>3541</v>
      </c>
      <c r="C1032" s="174" t="str">
        <f t="shared" si="188"/>
        <v>Gigabyte</v>
      </c>
      <c r="D1032" s="452" t="s">
        <v>3988</v>
      </c>
      <c r="E1032" s="266">
        <v>264.9</v>
      </c>
      <c r="F1032" s="266">
        <v>120.58</v>
      </c>
      <c r="G1032" s="266">
        <v>40.41</v>
      </c>
      <c r="H1032" s="266">
        <v>2.0</v>
      </c>
      <c r="I1032" s="266">
        <v>1620.0</v>
      </c>
      <c r="J1032" s="266">
        <v>14.0</v>
      </c>
      <c r="K1032" s="266">
        <v>175.0</v>
      </c>
      <c r="L1032" s="266">
        <v>8.0</v>
      </c>
      <c r="M1032" s="266">
        <v>2.0</v>
      </c>
      <c r="N1032" s="266">
        <v>3.0</v>
      </c>
      <c r="O1032" s="266">
        <v>1.0</v>
      </c>
      <c r="P1032" s="266" t="s">
        <v>166</v>
      </c>
      <c r="Q1032" s="266" t="s">
        <v>166</v>
      </c>
      <c r="R1032" s="497" t="s">
        <v>166</v>
      </c>
      <c r="S1032" s="497" t="s">
        <v>166</v>
      </c>
      <c r="T1032" s="496"/>
    </row>
    <row r="1033">
      <c r="A1033" s="494" t="s">
        <v>3401</v>
      </c>
      <c r="B1033" s="495" t="s">
        <v>3541</v>
      </c>
      <c r="C1033" s="174" t="str">
        <f t="shared" si="188"/>
        <v>Gigabyte</v>
      </c>
      <c r="D1033" s="452" t="s">
        <v>3989</v>
      </c>
      <c r="E1033" s="266">
        <v>264.9</v>
      </c>
      <c r="F1033" s="266">
        <v>120.58</v>
      </c>
      <c r="G1033" s="266">
        <v>40.41</v>
      </c>
      <c r="H1033" s="266">
        <v>2.0</v>
      </c>
      <c r="I1033" s="266">
        <v>1710.0</v>
      </c>
      <c r="J1033" s="266">
        <v>14.0</v>
      </c>
      <c r="K1033" s="266">
        <v>175.0</v>
      </c>
      <c r="L1033" s="266">
        <v>8.0</v>
      </c>
      <c r="M1033" s="266">
        <v>2.0</v>
      </c>
      <c r="N1033" s="266">
        <v>3.0</v>
      </c>
      <c r="O1033" s="266">
        <v>1.0</v>
      </c>
      <c r="P1033" s="266" t="s">
        <v>166</v>
      </c>
      <c r="Q1033" s="266" t="s">
        <v>166</v>
      </c>
      <c r="R1033" s="497" t="s">
        <v>166</v>
      </c>
      <c r="S1033" s="497" t="s">
        <v>166</v>
      </c>
      <c r="T1033" s="496"/>
    </row>
    <row r="1034">
      <c r="A1034" s="494" t="s">
        <v>3401</v>
      </c>
      <c r="B1034" s="495" t="s">
        <v>3541</v>
      </c>
      <c r="C1034" s="174" t="str">
        <f t="shared" si="188"/>
        <v>Gigabyte</v>
      </c>
      <c r="D1034" s="452" t="s">
        <v>3409</v>
      </c>
      <c r="E1034" s="266">
        <v>280.35</v>
      </c>
      <c r="F1034" s="266">
        <v>116.45</v>
      </c>
      <c r="G1034" s="266">
        <v>40.24</v>
      </c>
      <c r="H1034" s="266">
        <v>2.0</v>
      </c>
      <c r="I1034" s="266">
        <v>1620.0</v>
      </c>
      <c r="J1034" s="266">
        <v>14.0</v>
      </c>
      <c r="K1034" s="266">
        <v>175.0</v>
      </c>
      <c r="L1034" s="266" t="s">
        <v>3361</v>
      </c>
      <c r="M1034" s="266">
        <v>3.0</v>
      </c>
      <c r="N1034" s="266">
        <v>3.0</v>
      </c>
      <c r="O1034" s="266">
        <v>1.0</v>
      </c>
      <c r="P1034" s="266">
        <v>1.0</v>
      </c>
      <c r="Q1034" s="266" t="s">
        <v>166</v>
      </c>
      <c r="R1034" s="497" t="s">
        <v>166</v>
      </c>
      <c r="S1034" s="497" t="s">
        <v>166</v>
      </c>
      <c r="T1034" s="496"/>
    </row>
    <row r="1035">
      <c r="A1035" s="494" t="s">
        <v>3401</v>
      </c>
      <c r="B1035" s="495" t="s">
        <v>3541</v>
      </c>
      <c r="C1035" s="174" t="str">
        <f t="shared" si="188"/>
        <v>Gigabyte</v>
      </c>
      <c r="D1035" s="452" t="s">
        <v>3630</v>
      </c>
      <c r="E1035" s="266">
        <v>280.35</v>
      </c>
      <c r="F1035" s="266">
        <v>116.45</v>
      </c>
      <c r="G1035" s="266">
        <v>40.24</v>
      </c>
      <c r="H1035" s="266">
        <v>2.0</v>
      </c>
      <c r="I1035" s="266">
        <v>1740.0</v>
      </c>
      <c r="J1035" s="266">
        <v>14.0</v>
      </c>
      <c r="K1035" s="266">
        <v>175.0</v>
      </c>
      <c r="L1035" s="266" t="s">
        <v>3361</v>
      </c>
      <c r="M1035" s="266">
        <v>3.0</v>
      </c>
      <c r="N1035" s="266">
        <v>3.0</v>
      </c>
      <c r="O1035" s="266">
        <v>1.0</v>
      </c>
      <c r="P1035" s="266">
        <v>1.0</v>
      </c>
      <c r="Q1035" s="266" t="s">
        <v>166</v>
      </c>
      <c r="R1035" s="497" t="s">
        <v>166</v>
      </c>
      <c r="S1035" s="497" t="s">
        <v>166</v>
      </c>
      <c r="T1035" s="496"/>
    </row>
    <row r="1036">
      <c r="A1036" s="494" t="s">
        <v>3401</v>
      </c>
      <c r="B1036" s="495" t="s">
        <v>3541</v>
      </c>
      <c r="C1036" s="174" t="str">
        <f t="shared" si="188"/>
        <v>Gigabyte</v>
      </c>
      <c r="D1036" s="452" t="s">
        <v>3957</v>
      </c>
      <c r="E1036" s="266">
        <v>280.35</v>
      </c>
      <c r="F1036" s="266">
        <v>116.45</v>
      </c>
      <c r="G1036" s="266">
        <v>40.24</v>
      </c>
      <c r="H1036" s="266">
        <v>2.0</v>
      </c>
      <c r="I1036" s="266">
        <v>1740.0</v>
      </c>
      <c r="J1036" s="266">
        <v>14.0</v>
      </c>
      <c r="K1036" s="266">
        <v>175.0</v>
      </c>
      <c r="L1036" s="266" t="s">
        <v>3361</v>
      </c>
      <c r="M1036" s="266">
        <v>3.0</v>
      </c>
      <c r="N1036" s="266">
        <v>3.0</v>
      </c>
      <c r="O1036" s="266">
        <v>1.0</v>
      </c>
      <c r="P1036" s="266">
        <v>1.0</v>
      </c>
      <c r="Q1036" s="266" t="s">
        <v>166</v>
      </c>
      <c r="R1036" s="497" t="s">
        <v>166</v>
      </c>
      <c r="S1036" s="497" t="s">
        <v>166</v>
      </c>
      <c r="T1036" s="496"/>
    </row>
    <row r="1037">
      <c r="A1037" s="494" t="s">
        <v>3401</v>
      </c>
      <c r="B1037" s="495" t="s">
        <v>3541</v>
      </c>
      <c r="C1037" s="174" t="str">
        <f t="shared" si="188"/>
        <v>Gigabyte</v>
      </c>
      <c r="D1037" s="452" t="s">
        <v>3990</v>
      </c>
      <c r="E1037" s="266">
        <v>280.35</v>
      </c>
      <c r="F1037" s="266">
        <v>116.45</v>
      </c>
      <c r="G1037" s="266">
        <v>40.24</v>
      </c>
      <c r="H1037" s="266">
        <v>2.0</v>
      </c>
      <c r="I1037" s="266">
        <v>1620.0</v>
      </c>
      <c r="J1037" s="266">
        <v>14.0</v>
      </c>
      <c r="K1037" s="266">
        <v>175.0</v>
      </c>
      <c r="L1037" s="266" t="s">
        <v>3361</v>
      </c>
      <c r="M1037" s="266">
        <v>3.0</v>
      </c>
      <c r="N1037" s="266">
        <v>3.0</v>
      </c>
      <c r="O1037" s="266">
        <v>1.0</v>
      </c>
      <c r="P1037" s="266">
        <v>1.0</v>
      </c>
      <c r="Q1037" s="266" t="s">
        <v>166</v>
      </c>
      <c r="R1037" s="497" t="s">
        <v>166</v>
      </c>
      <c r="S1037" s="497" t="s">
        <v>166</v>
      </c>
      <c r="T1037" s="496"/>
    </row>
    <row r="1038">
      <c r="A1038" s="494" t="s">
        <v>3401</v>
      </c>
      <c r="B1038" s="495" t="s">
        <v>3541</v>
      </c>
      <c r="C1038" s="174" t="str">
        <f t="shared" si="188"/>
        <v>Gigabyte</v>
      </c>
      <c r="D1038" s="452" t="s">
        <v>3959</v>
      </c>
      <c r="E1038" s="266">
        <v>280.35</v>
      </c>
      <c r="F1038" s="266">
        <v>116.45</v>
      </c>
      <c r="G1038" s="266">
        <v>40.24</v>
      </c>
      <c r="H1038" s="266">
        <v>2.0</v>
      </c>
      <c r="I1038" s="266">
        <v>1725.0</v>
      </c>
      <c r="J1038" s="266">
        <v>14.0</v>
      </c>
      <c r="K1038" s="266">
        <v>175.0</v>
      </c>
      <c r="L1038" s="266" t="s">
        <v>3361</v>
      </c>
      <c r="M1038" s="266">
        <v>3.0</v>
      </c>
      <c r="N1038" s="266">
        <v>3.0</v>
      </c>
      <c r="O1038" s="266">
        <v>1.0</v>
      </c>
      <c r="P1038" s="266">
        <v>1.0</v>
      </c>
      <c r="Q1038" s="266" t="s">
        <v>166</v>
      </c>
      <c r="R1038" s="497" t="s">
        <v>166</v>
      </c>
      <c r="S1038" s="497" t="s">
        <v>166</v>
      </c>
      <c r="T1038" s="496"/>
    </row>
    <row r="1039">
      <c r="A1039" s="494" t="s">
        <v>3401</v>
      </c>
      <c r="B1039" s="495" t="s">
        <v>3541</v>
      </c>
      <c r="C1039" s="174" t="str">
        <f t="shared" si="188"/>
        <v>Gigabyte</v>
      </c>
      <c r="D1039" s="452" t="s">
        <v>3677</v>
      </c>
      <c r="E1039" s="266">
        <v>290.0</v>
      </c>
      <c r="F1039" s="266">
        <v>134.31</v>
      </c>
      <c r="G1039" s="266">
        <v>59.9</v>
      </c>
      <c r="H1039" s="266">
        <v>2.0</v>
      </c>
      <c r="I1039" s="266">
        <v>1770.0</v>
      </c>
      <c r="J1039" s="266">
        <v>14.0</v>
      </c>
      <c r="K1039" s="266">
        <v>175.0</v>
      </c>
      <c r="L1039" s="266" t="s">
        <v>3361</v>
      </c>
      <c r="M1039" s="266">
        <v>3.0</v>
      </c>
      <c r="N1039" s="266">
        <v>3.0</v>
      </c>
      <c r="O1039" s="266">
        <v>3.0</v>
      </c>
      <c r="P1039" s="266">
        <v>1.0</v>
      </c>
      <c r="Q1039" s="266" t="s">
        <v>166</v>
      </c>
      <c r="R1039" s="497" t="s">
        <v>166</v>
      </c>
      <c r="S1039" s="497" t="s">
        <v>166</v>
      </c>
      <c r="T1039" s="496"/>
    </row>
    <row r="1040">
      <c r="A1040" s="494" t="s">
        <v>3401</v>
      </c>
      <c r="B1040" s="495" t="s">
        <v>3541</v>
      </c>
      <c r="C1040" s="174" t="str">
        <f t="shared" si="188"/>
        <v>Gigabyte</v>
      </c>
      <c r="D1040" s="452" t="s">
        <v>3919</v>
      </c>
      <c r="E1040" s="266">
        <v>290.0</v>
      </c>
      <c r="F1040" s="266">
        <v>134.31</v>
      </c>
      <c r="G1040" s="266">
        <v>59.9</v>
      </c>
      <c r="H1040" s="266">
        <v>2.0</v>
      </c>
      <c r="I1040" s="266">
        <v>1815.0</v>
      </c>
      <c r="J1040" s="266">
        <v>14.14</v>
      </c>
      <c r="K1040" s="266">
        <v>175.0</v>
      </c>
      <c r="L1040" s="266" t="s">
        <v>3361</v>
      </c>
      <c r="M1040" s="266">
        <v>3.0</v>
      </c>
      <c r="N1040" s="266">
        <v>3.0</v>
      </c>
      <c r="O1040" s="266">
        <v>3.0</v>
      </c>
      <c r="P1040" s="266">
        <v>1.0</v>
      </c>
      <c r="Q1040" s="266" t="s">
        <v>166</v>
      </c>
      <c r="R1040" s="497" t="s">
        <v>166</v>
      </c>
      <c r="S1040" s="497" t="s">
        <v>166</v>
      </c>
      <c r="T1040" s="496"/>
    </row>
    <row r="1041">
      <c r="A1041" s="494" t="s">
        <v>3401</v>
      </c>
      <c r="B1041" s="495" t="s">
        <v>3541</v>
      </c>
      <c r="C1041" s="452" t="str">
        <f t="shared" ref="C1041:C1044" si="189">HYPERLINK("http://www.inno3d.com/","Inno3D")</f>
        <v>Inno3D</v>
      </c>
      <c r="D1041" s="452" t="s">
        <v>3920</v>
      </c>
      <c r="E1041" s="266">
        <v>268.0</v>
      </c>
      <c r="F1041" s="266">
        <v>113.0</v>
      </c>
      <c r="G1041" s="266">
        <v>40.0</v>
      </c>
      <c r="H1041" s="266">
        <v>2.0</v>
      </c>
      <c r="I1041" s="266">
        <v>1740.0</v>
      </c>
      <c r="J1041" s="266">
        <v>14.0</v>
      </c>
      <c r="K1041" s="266">
        <v>175.0</v>
      </c>
      <c r="L1041" s="266" t="s">
        <v>3361</v>
      </c>
      <c r="M1041" s="266">
        <v>2.0</v>
      </c>
      <c r="N1041" s="266">
        <v>3.0</v>
      </c>
      <c r="O1041" s="266">
        <v>1.0</v>
      </c>
      <c r="P1041" s="266">
        <v>1.0</v>
      </c>
      <c r="Q1041" s="266" t="s">
        <v>166</v>
      </c>
      <c r="R1041" s="497" t="s">
        <v>166</v>
      </c>
      <c r="S1041" s="497" t="s">
        <v>166</v>
      </c>
      <c r="T1041" s="496"/>
    </row>
    <row r="1042">
      <c r="A1042" s="494" t="s">
        <v>3401</v>
      </c>
      <c r="B1042" s="495" t="s">
        <v>3541</v>
      </c>
      <c r="C1042" s="452" t="str">
        <f t="shared" si="189"/>
        <v>Inno3D</v>
      </c>
      <c r="D1042" s="452" t="s">
        <v>3991</v>
      </c>
      <c r="E1042" s="266">
        <v>300.0</v>
      </c>
      <c r="F1042" s="266">
        <v>140.0</v>
      </c>
      <c r="G1042" s="266">
        <v>60.0</v>
      </c>
      <c r="H1042" s="266">
        <v>2.0</v>
      </c>
      <c r="I1042" s="266">
        <v>1815.0</v>
      </c>
      <c r="J1042" s="266">
        <v>14.0</v>
      </c>
      <c r="K1042" s="266">
        <v>175.0</v>
      </c>
      <c r="L1042" s="266" t="s">
        <v>3361</v>
      </c>
      <c r="M1042" s="266">
        <v>3.0</v>
      </c>
      <c r="N1042" s="266">
        <v>3.0</v>
      </c>
      <c r="O1042" s="266">
        <v>1.0</v>
      </c>
      <c r="P1042" s="266">
        <v>1.0</v>
      </c>
      <c r="Q1042" s="266" t="s">
        <v>166</v>
      </c>
      <c r="R1042" s="497" t="s">
        <v>166</v>
      </c>
      <c r="S1042" s="497" t="s">
        <v>166</v>
      </c>
      <c r="T1042" s="496"/>
    </row>
    <row r="1043">
      <c r="A1043" s="494" t="s">
        <v>3401</v>
      </c>
      <c r="B1043" s="495" t="s">
        <v>3541</v>
      </c>
      <c r="C1043" s="452" t="str">
        <f t="shared" si="189"/>
        <v>Inno3D</v>
      </c>
      <c r="D1043" s="589" t="s">
        <v>3992</v>
      </c>
      <c r="E1043" s="266">
        <v>272.0</v>
      </c>
      <c r="F1043" s="266">
        <v>112.0</v>
      </c>
      <c r="G1043" s="266">
        <v>40.0</v>
      </c>
      <c r="H1043" s="266">
        <v>2.0</v>
      </c>
      <c r="I1043" s="266">
        <v>1830.0</v>
      </c>
      <c r="J1043" s="266">
        <v>14.0</v>
      </c>
      <c r="K1043" s="266">
        <v>175.0</v>
      </c>
      <c r="L1043" s="266" t="s">
        <v>3361</v>
      </c>
      <c r="M1043" s="266" t="s">
        <v>166</v>
      </c>
      <c r="N1043" s="266">
        <v>2.0</v>
      </c>
      <c r="O1043" s="266">
        <v>1.0</v>
      </c>
      <c r="P1043" s="266">
        <v>1.0</v>
      </c>
      <c r="Q1043" s="266">
        <v>1.0</v>
      </c>
      <c r="R1043" s="266" t="s">
        <v>174</v>
      </c>
      <c r="S1043" s="497" t="s">
        <v>166</v>
      </c>
      <c r="T1043" s="494"/>
    </row>
    <row r="1044">
      <c r="A1044" s="494" t="s">
        <v>3401</v>
      </c>
      <c r="B1044" s="495" t="s">
        <v>3541</v>
      </c>
      <c r="C1044" s="452" t="str">
        <f t="shared" si="189"/>
        <v>Inno3D</v>
      </c>
      <c r="D1044" s="589" t="s">
        <v>3618</v>
      </c>
      <c r="E1044" s="266">
        <v>265.0</v>
      </c>
      <c r="F1044" s="266">
        <v>135.0</v>
      </c>
      <c r="G1044" s="266">
        <v>40.0</v>
      </c>
      <c r="H1044" s="266">
        <v>2.0</v>
      </c>
      <c r="I1044" s="266">
        <v>1830.0</v>
      </c>
      <c r="J1044" s="266">
        <v>14.0</v>
      </c>
      <c r="K1044" s="266">
        <v>175.0</v>
      </c>
      <c r="L1044" s="266" t="s">
        <v>3361</v>
      </c>
      <c r="M1044" s="266" t="s">
        <v>166</v>
      </c>
      <c r="N1044" s="266">
        <v>3.0</v>
      </c>
      <c r="O1044" s="266">
        <v>1.0</v>
      </c>
      <c r="P1044" s="266">
        <v>1.0</v>
      </c>
      <c r="Q1044" s="266" t="s">
        <v>166</v>
      </c>
      <c r="R1044" s="266" t="s">
        <v>174</v>
      </c>
      <c r="S1044" s="497" t="s">
        <v>166</v>
      </c>
      <c r="T1044" s="494"/>
    </row>
    <row r="1045">
      <c r="A1045" s="494" t="s">
        <v>3401</v>
      </c>
      <c r="B1045" s="495" t="s">
        <v>3541</v>
      </c>
      <c r="C1045" s="452" t="str">
        <f t="shared" ref="C1045:C1048" si="190">HYPERLINK("http://manli.com/en","Manli")</f>
        <v>Manli</v>
      </c>
      <c r="D1045" s="452" t="str">
        <f>HYPERLINK("https://manli.com/en/product-detail-Manli_GeForce_RTX_2070_(M1424+N522-01)-99.html","(M1424+N522-01)")</f>
        <v>(M1424+N522-01)</v>
      </c>
      <c r="E1045" s="266">
        <v>281.0</v>
      </c>
      <c r="F1045" s="266">
        <v>128.0</v>
      </c>
      <c r="G1045" s="266">
        <v>42.0</v>
      </c>
      <c r="H1045" s="266">
        <v>2.0</v>
      </c>
      <c r="I1045" s="266">
        <v>1620.0</v>
      </c>
      <c r="J1045" s="266">
        <v>14.0</v>
      </c>
      <c r="K1045" s="266">
        <v>175.0</v>
      </c>
      <c r="L1045" s="266">
        <v>8.0</v>
      </c>
      <c r="M1045" s="266">
        <v>1.0</v>
      </c>
      <c r="N1045" s="266">
        <v>3.0</v>
      </c>
      <c r="O1045" s="266">
        <v>1.0</v>
      </c>
      <c r="P1045" s="266" t="s">
        <v>166</v>
      </c>
      <c r="Q1045" s="266">
        <v>1.0</v>
      </c>
      <c r="R1045" s="266" t="s">
        <v>166</v>
      </c>
      <c r="S1045" s="266" t="s">
        <v>174</v>
      </c>
      <c r="T1045" s="494"/>
    </row>
    <row r="1046">
      <c r="A1046" s="494" t="s">
        <v>3401</v>
      </c>
      <c r="B1046" s="495" t="s">
        <v>3541</v>
      </c>
      <c r="C1046" s="452" t="str">
        <f t="shared" si="190"/>
        <v>Manli</v>
      </c>
      <c r="D1046" s="589" t="s">
        <v>3993</v>
      </c>
      <c r="E1046" s="266">
        <v>227.0</v>
      </c>
      <c r="F1046" s="266">
        <v>128.0</v>
      </c>
      <c r="G1046" s="266">
        <v>42.0</v>
      </c>
      <c r="H1046" s="266">
        <v>2.0</v>
      </c>
      <c r="I1046" s="266">
        <v>1620.0</v>
      </c>
      <c r="J1046" s="266">
        <v>14.0</v>
      </c>
      <c r="K1046" s="266">
        <v>175.0</v>
      </c>
      <c r="L1046" s="266">
        <v>8.0</v>
      </c>
      <c r="M1046" s="266">
        <v>2.0</v>
      </c>
      <c r="N1046" s="266">
        <v>3.0</v>
      </c>
      <c r="O1046" s="266">
        <v>1.0</v>
      </c>
      <c r="P1046" s="266" t="s">
        <v>166</v>
      </c>
      <c r="Q1046" s="266">
        <v>1.0</v>
      </c>
      <c r="R1046" s="497" t="s">
        <v>166</v>
      </c>
      <c r="S1046" s="497" t="s">
        <v>166</v>
      </c>
      <c r="T1046" s="496"/>
    </row>
    <row r="1047">
      <c r="A1047" s="494" t="s">
        <v>3401</v>
      </c>
      <c r="B1047" s="495" t="s">
        <v>3541</v>
      </c>
      <c r="C1047" s="452" t="str">
        <f t="shared" si="190"/>
        <v>Manli</v>
      </c>
      <c r="D1047" s="589" t="s">
        <v>3994</v>
      </c>
      <c r="E1047" s="266">
        <v>287.0</v>
      </c>
      <c r="F1047" s="266">
        <v>128.0</v>
      </c>
      <c r="G1047" s="266">
        <v>42.0</v>
      </c>
      <c r="H1047" s="266">
        <v>2.0</v>
      </c>
      <c r="I1047" s="266">
        <v>1710.0</v>
      </c>
      <c r="J1047" s="266">
        <v>14.0</v>
      </c>
      <c r="K1047" s="266">
        <v>175.0</v>
      </c>
      <c r="L1047" s="266" t="s">
        <v>3361</v>
      </c>
      <c r="M1047" s="266">
        <v>2.0</v>
      </c>
      <c r="N1047" s="266">
        <v>3.0</v>
      </c>
      <c r="O1047" s="266">
        <v>1.0</v>
      </c>
      <c r="P1047" s="266">
        <v>1.0</v>
      </c>
      <c r="Q1047" s="266" t="s">
        <v>166</v>
      </c>
      <c r="R1047" s="497" t="s">
        <v>166</v>
      </c>
      <c r="S1047" s="497" t="s">
        <v>166</v>
      </c>
      <c r="T1047" s="496"/>
    </row>
    <row r="1048">
      <c r="A1048" s="494" t="s">
        <v>3401</v>
      </c>
      <c r="B1048" s="495" t="s">
        <v>3541</v>
      </c>
      <c r="C1048" s="452" t="str">
        <f t="shared" si="190"/>
        <v>Manli</v>
      </c>
      <c r="D1048" s="452" t="str">
        <f>HYPERLINK("https://manli.com/en/product-detail-Manli_GeForce_RTX_2070_Gallardo_(F401G+N522-01)-100.html","Gallardo (F401G+N522-01)")</f>
        <v>Gallardo (F401G+N522-01)</v>
      </c>
      <c r="E1048" s="266">
        <v>225.0</v>
      </c>
      <c r="F1048" s="266">
        <v>128.0</v>
      </c>
      <c r="G1048" s="266">
        <v>42.0</v>
      </c>
      <c r="H1048" s="266">
        <v>2.0</v>
      </c>
      <c r="I1048" s="266">
        <v>1710.0</v>
      </c>
      <c r="J1048" s="266">
        <v>14.0</v>
      </c>
      <c r="K1048" s="266">
        <v>175.0</v>
      </c>
      <c r="L1048" s="266">
        <v>8.0</v>
      </c>
      <c r="M1048" s="266">
        <v>2.0</v>
      </c>
      <c r="N1048" s="266">
        <v>3.0</v>
      </c>
      <c r="O1048" s="266">
        <v>1.0</v>
      </c>
      <c r="P1048" s="266" t="s">
        <v>166</v>
      </c>
      <c r="Q1048" s="266">
        <v>1.0</v>
      </c>
      <c r="R1048" s="497" t="s">
        <v>166</v>
      </c>
      <c r="S1048" s="497" t="s">
        <v>166</v>
      </c>
      <c r="T1048" s="496"/>
    </row>
    <row r="1049">
      <c r="A1049" s="494" t="s">
        <v>3401</v>
      </c>
      <c r="B1049" s="495" t="s">
        <v>3541</v>
      </c>
      <c r="C1049" s="174" t="str">
        <f t="shared" ref="C1049:C1060" si="191">HYPERLINK("https://www.msi.com/index.php","MSI")</f>
        <v>MSI</v>
      </c>
      <c r="D1049" s="452" t="s">
        <v>3850</v>
      </c>
      <c r="E1049" s="266">
        <v>268.0</v>
      </c>
      <c r="F1049" s="266">
        <v>114.0</v>
      </c>
      <c r="G1049" s="266">
        <v>41.0</v>
      </c>
      <c r="H1049" s="266">
        <v>2.0</v>
      </c>
      <c r="I1049" s="266">
        <v>1620.0</v>
      </c>
      <c r="J1049" s="266">
        <v>14.0</v>
      </c>
      <c r="K1049" s="266">
        <v>175.0</v>
      </c>
      <c r="L1049" s="266" t="s">
        <v>3361</v>
      </c>
      <c r="M1049" s="266">
        <v>1.0</v>
      </c>
      <c r="N1049" s="266">
        <v>3.0</v>
      </c>
      <c r="O1049" s="266">
        <v>1.0</v>
      </c>
      <c r="P1049" s="266">
        <v>1.0</v>
      </c>
      <c r="Q1049" s="266" t="s">
        <v>166</v>
      </c>
      <c r="R1049" s="266" t="s">
        <v>166</v>
      </c>
      <c r="S1049" s="266" t="s">
        <v>174</v>
      </c>
      <c r="T1049" s="494"/>
    </row>
    <row r="1050">
      <c r="A1050" s="494" t="s">
        <v>3401</v>
      </c>
      <c r="B1050" s="495" t="s">
        <v>3541</v>
      </c>
      <c r="C1050" s="174" t="str">
        <f t="shared" si="191"/>
        <v>MSI</v>
      </c>
      <c r="D1050" s="452" t="s">
        <v>3904</v>
      </c>
      <c r="E1050" s="266">
        <v>226.0</v>
      </c>
      <c r="F1050" s="266">
        <v>128.0</v>
      </c>
      <c r="G1050" s="266">
        <v>41.0</v>
      </c>
      <c r="H1050" s="266">
        <v>2.0</v>
      </c>
      <c r="I1050" s="266">
        <v>1620.0</v>
      </c>
      <c r="J1050" s="266">
        <v>14.0</v>
      </c>
      <c r="K1050" s="266">
        <v>175.0</v>
      </c>
      <c r="L1050" s="266">
        <v>8.0</v>
      </c>
      <c r="M1050" s="266">
        <v>2.0</v>
      </c>
      <c r="N1050" s="266">
        <v>3.0</v>
      </c>
      <c r="O1050" s="266">
        <v>1.0</v>
      </c>
      <c r="P1050" s="266" t="s">
        <v>166</v>
      </c>
      <c r="Q1050" s="266" t="s">
        <v>166</v>
      </c>
      <c r="R1050" s="497" t="s">
        <v>166</v>
      </c>
      <c r="S1050" s="497" t="s">
        <v>166</v>
      </c>
      <c r="T1050" s="496"/>
    </row>
    <row r="1051">
      <c r="A1051" s="494" t="s">
        <v>3401</v>
      </c>
      <c r="B1051" s="495" t="s">
        <v>3541</v>
      </c>
      <c r="C1051" s="174" t="str">
        <f t="shared" si="191"/>
        <v>MSI</v>
      </c>
      <c r="D1051" s="452" t="s">
        <v>3923</v>
      </c>
      <c r="E1051" s="266">
        <v>232.0</v>
      </c>
      <c r="F1051" s="266">
        <v>127.0</v>
      </c>
      <c r="G1051" s="266">
        <v>42.0</v>
      </c>
      <c r="H1051" s="266">
        <v>2.0</v>
      </c>
      <c r="I1051" s="266">
        <v>1620.0</v>
      </c>
      <c r="J1051" s="266">
        <v>14.0</v>
      </c>
      <c r="K1051" s="266">
        <v>175.0</v>
      </c>
      <c r="L1051" s="266">
        <v>8.0</v>
      </c>
      <c r="M1051" s="266">
        <v>2.0</v>
      </c>
      <c r="N1051" s="266">
        <v>3.0</v>
      </c>
      <c r="O1051" s="266">
        <v>1.0</v>
      </c>
      <c r="P1051" s="266" t="s">
        <v>166</v>
      </c>
      <c r="Q1051" s="266" t="s">
        <v>166</v>
      </c>
      <c r="R1051" s="497" t="s">
        <v>166</v>
      </c>
      <c r="S1051" s="497" t="s">
        <v>166</v>
      </c>
      <c r="T1051" s="496"/>
    </row>
    <row r="1052">
      <c r="A1052" s="494" t="s">
        <v>3401</v>
      </c>
      <c r="B1052" s="495" t="s">
        <v>3541</v>
      </c>
      <c r="C1052" s="174" t="str">
        <f t="shared" si="191"/>
        <v>MSI</v>
      </c>
      <c r="D1052" s="452" t="s">
        <v>3905</v>
      </c>
      <c r="E1052" s="266">
        <v>226.0</v>
      </c>
      <c r="F1052" s="266">
        <v>128.0</v>
      </c>
      <c r="G1052" s="266">
        <v>41.0</v>
      </c>
      <c r="H1052" s="266">
        <v>2.0</v>
      </c>
      <c r="I1052" s="266">
        <v>1710.0</v>
      </c>
      <c r="J1052" s="266">
        <v>14.0</v>
      </c>
      <c r="K1052" s="266">
        <v>175.0</v>
      </c>
      <c r="L1052" s="266">
        <v>8.0</v>
      </c>
      <c r="M1052" s="266">
        <v>2.0</v>
      </c>
      <c r="N1052" s="266">
        <v>3.0</v>
      </c>
      <c r="O1052" s="266">
        <v>1.0</v>
      </c>
      <c r="P1052" s="266" t="s">
        <v>166</v>
      </c>
      <c r="Q1052" s="266" t="s">
        <v>166</v>
      </c>
      <c r="R1052" s="497" t="s">
        <v>166</v>
      </c>
      <c r="S1052" s="497" t="s">
        <v>166</v>
      </c>
      <c r="T1052" s="496"/>
    </row>
    <row r="1053">
      <c r="A1053" s="494" t="s">
        <v>3401</v>
      </c>
      <c r="B1053" s="495" t="s">
        <v>3541</v>
      </c>
      <c r="C1053" s="174" t="str">
        <f t="shared" si="191"/>
        <v>MSI</v>
      </c>
      <c r="D1053" s="452" t="s">
        <v>3995</v>
      </c>
      <c r="E1053" s="266">
        <v>304.0</v>
      </c>
      <c r="F1053" s="266">
        <v>140.0</v>
      </c>
      <c r="G1053" s="266">
        <v>44.0</v>
      </c>
      <c r="H1053" s="266">
        <v>2.0</v>
      </c>
      <c r="I1053" s="266">
        <v>1620.0</v>
      </c>
      <c r="J1053" s="266">
        <v>14.0</v>
      </c>
      <c r="K1053" s="266">
        <v>175.0</v>
      </c>
      <c r="L1053" s="266" t="s">
        <v>3361</v>
      </c>
      <c r="M1053" s="266">
        <v>3.0</v>
      </c>
      <c r="N1053" s="266">
        <v>3.0</v>
      </c>
      <c r="O1053" s="266">
        <v>1.0</v>
      </c>
      <c r="P1053" s="266" t="s">
        <v>166</v>
      </c>
      <c r="Q1053" s="266" t="s">
        <v>166</v>
      </c>
      <c r="R1053" s="497" t="s">
        <v>166</v>
      </c>
      <c r="S1053" s="497" t="s">
        <v>166</v>
      </c>
      <c r="T1053" s="496"/>
    </row>
    <row r="1054">
      <c r="A1054" s="494" t="s">
        <v>3401</v>
      </c>
      <c r="B1054" s="495" t="s">
        <v>3541</v>
      </c>
      <c r="C1054" s="174" t="str">
        <f t="shared" si="191"/>
        <v>MSI</v>
      </c>
      <c r="D1054" s="452" t="s">
        <v>3853</v>
      </c>
      <c r="E1054" s="266">
        <v>314.0</v>
      </c>
      <c r="F1054" s="266">
        <v>116.0</v>
      </c>
      <c r="G1054" s="266">
        <v>40.0</v>
      </c>
      <c r="H1054" s="266">
        <v>2.0</v>
      </c>
      <c r="I1054" s="266">
        <v>1620.0</v>
      </c>
      <c r="J1054" s="266">
        <v>14.0</v>
      </c>
      <c r="K1054" s="266">
        <v>175.0</v>
      </c>
      <c r="L1054" s="266" t="s">
        <v>3361</v>
      </c>
      <c r="M1054" s="266">
        <v>3.0</v>
      </c>
      <c r="N1054" s="266">
        <v>3.0</v>
      </c>
      <c r="O1054" s="266">
        <v>1.0</v>
      </c>
      <c r="P1054" s="266">
        <v>1.0</v>
      </c>
      <c r="Q1054" s="266" t="s">
        <v>166</v>
      </c>
      <c r="R1054" s="497" t="s">
        <v>166</v>
      </c>
      <c r="S1054" s="497" t="s">
        <v>166</v>
      </c>
      <c r="T1054" s="496"/>
    </row>
    <row r="1055">
      <c r="A1055" s="494" t="s">
        <v>3401</v>
      </c>
      <c r="B1055" s="495" t="s">
        <v>3541</v>
      </c>
      <c r="C1055" s="174" t="str">
        <f t="shared" si="191"/>
        <v>MSI</v>
      </c>
      <c r="D1055" s="452" t="s">
        <v>3854</v>
      </c>
      <c r="E1055" s="266">
        <v>314.0</v>
      </c>
      <c r="F1055" s="266">
        <v>116.0</v>
      </c>
      <c r="G1055" s="266">
        <v>40.0</v>
      </c>
      <c r="H1055" s="266">
        <v>2.0</v>
      </c>
      <c r="I1055" s="266">
        <v>1755.0</v>
      </c>
      <c r="J1055" s="266">
        <v>14.0</v>
      </c>
      <c r="K1055" s="266">
        <v>175.0</v>
      </c>
      <c r="L1055" s="266" t="s">
        <v>3361</v>
      </c>
      <c r="M1055" s="266">
        <v>3.0</v>
      </c>
      <c r="N1055" s="266">
        <v>3.0</v>
      </c>
      <c r="O1055" s="266">
        <v>1.0</v>
      </c>
      <c r="P1055" s="266">
        <v>1.0</v>
      </c>
      <c r="Q1055" s="266" t="s">
        <v>166</v>
      </c>
      <c r="R1055" s="497" t="s">
        <v>166</v>
      </c>
      <c r="S1055" s="497" t="s">
        <v>166</v>
      </c>
      <c r="T1055" s="496"/>
    </row>
    <row r="1056">
      <c r="A1056" s="590" t="s">
        <v>3401</v>
      </c>
      <c r="B1056" s="591" t="s">
        <v>3541</v>
      </c>
      <c r="C1056" s="592" t="str">
        <f t="shared" si="191"/>
        <v>MSI</v>
      </c>
      <c r="D1056" s="593" t="s">
        <v>3996</v>
      </c>
      <c r="E1056" s="594">
        <v>314.0</v>
      </c>
      <c r="F1056" s="595">
        <v>116.0</v>
      </c>
      <c r="G1056" s="596">
        <v>40.0</v>
      </c>
      <c r="H1056" s="266">
        <v>2.0</v>
      </c>
      <c r="I1056" s="266">
        <v>1710.0</v>
      </c>
      <c r="J1056" s="513">
        <v>14.0</v>
      </c>
      <c r="K1056" s="597">
        <v>175.0</v>
      </c>
      <c r="L1056" s="516" t="s">
        <v>3361</v>
      </c>
      <c r="M1056" s="516">
        <v>3.0</v>
      </c>
      <c r="N1056" s="516">
        <v>3.0</v>
      </c>
      <c r="O1056" s="516">
        <v>1.0</v>
      </c>
      <c r="P1056" s="516">
        <v>1.0</v>
      </c>
      <c r="Q1056" s="516" t="s">
        <v>166</v>
      </c>
      <c r="R1056" s="517" t="s">
        <v>166</v>
      </c>
      <c r="S1056" s="497" t="s">
        <v>166</v>
      </c>
      <c r="T1056" s="496"/>
    </row>
    <row r="1057">
      <c r="A1057" s="494" t="s">
        <v>3401</v>
      </c>
      <c r="B1057" s="495" t="s">
        <v>3541</v>
      </c>
      <c r="C1057" s="174" t="str">
        <f t="shared" si="191"/>
        <v>MSI</v>
      </c>
      <c r="D1057" s="598" t="s">
        <v>3409</v>
      </c>
      <c r="E1057" s="518">
        <v>295.0</v>
      </c>
      <c r="F1057" s="518">
        <v>140.0</v>
      </c>
      <c r="G1057" s="518">
        <v>56.0</v>
      </c>
      <c r="H1057" s="266">
        <v>2.0</v>
      </c>
      <c r="I1057" s="266">
        <v>1620.0</v>
      </c>
      <c r="J1057" s="513">
        <v>14.0</v>
      </c>
      <c r="K1057" s="597">
        <v>175.0</v>
      </c>
      <c r="L1057" s="516" t="s">
        <v>3361</v>
      </c>
      <c r="M1057" s="518">
        <v>2.0</v>
      </c>
      <c r="N1057" s="516">
        <v>3.0</v>
      </c>
      <c r="O1057" s="516">
        <v>1.0</v>
      </c>
      <c r="P1057" s="516">
        <v>1.0</v>
      </c>
      <c r="Q1057" s="516" t="s">
        <v>166</v>
      </c>
      <c r="R1057" s="517" t="s">
        <v>166</v>
      </c>
      <c r="S1057" s="497" t="s">
        <v>166</v>
      </c>
      <c r="T1057" s="496"/>
    </row>
    <row r="1058">
      <c r="A1058" s="494" t="s">
        <v>3401</v>
      </c>
      <c r="B1058" s="495" t="s">
        <v>3541</v>
      </c>
      <c r="C1058" s="174" t="str">
        <f t="shared" si="191"/>
        <v>MSI</v>
      </c>
      <c r="D1058" s="598" t="s">
        <v>3997</v>
      </c>
      <c r="E1058" s="518">
        <v>248.0</v>
      </c>
      <c r="F1058" s="518">
        <v>128.0</v>
      </c>
      <c r="G1058" s="518">
        <v>52.0</v>
      </c>
      <c r="H1058" s="266">
        <v>2.0</v>
      </c>
      <c r="I1058" s="266">
        <v>1620.0</v>
      </c>
      <c r="J1058" s="513">
        <v>14.0</v>
      </c>
      <c r="K1058" s="597">
        <v>175.0</v>
      </c>
      <c r="L1058" s="518">
        <v>8.0</v>
      </c>
      <c r="M1058" s="518">
        <v>2.0</v>
      </c>
      <c r="N1058" s="516">
        <v>3.0</v>
      </c>
      <c r="O1058" s="516">
        <v>1.0</v>
      </c>
      <c r="P1058" s="513" t="s">
        <v>166</v>
      </c>
      <c r="Q1058" s="516" t="s">
        <v>166</v>
      </c>
      <c r="R1058" s="517" t="s">
        <v>166</v>
      </c>
      <c r="S1058" s="497" t="s">
        <v>166</v>
      </c>
      <c r="T1058" s="496"/>
    </row>
    <row r="1059">
      <c r="A1059" s="494" t="s">
        <v>3401</v>
      </c>
      <c r="B1059" s="495" t="s">
        <v>3541</v>
      </c>
      <c r="C1059" s="174" t="str">
        <f t="shared" si="191"/>
        <v>MSI</v>
      </c>
      <c r="D1059" s="598" t="s">
        <v>3557</v>
      </c>
      <c r="E1059" s="518">
        <v>295.0</v>
      </c>
      <c r="F1059" s="518">
        <v>140.0</v>
      </c>
      <c r="G1059" s="518">
        <v>56.0</v>
      </c>
      <c r="H1059" s="266">
        <v>2.0</v>
      </c>
      <c r="I1059" s="266">
        <v>1710.0</v>
      </c>
      <c r="J1059" s="513">
        <v>14.0</v>
      </c>
      <c r="K1059" s="597">
        <v>175.0</v>
      </c>
      <c r="L1059" s="516" t="s">
        <v>3361</v>
      </c>
      <c r="M1059" s="518">
        <v>2.0</v>
      </c>
      <c r="N1059" s="516">
        <v>3.0</v>
      </c>
      <c r="O1059" s="516">
        <v>1.0</v>
      </c>
      <c r="P1059" s="516">
        <v>1.0</v>
      </c>
      <c r="Q1059" s="516" t="s">
        <v>166</v>
      </c>
      <c r="R1059" s="517" t="s">
        <v>166</v>
      </c>
      <c r="S1059" s="497" t="s">
        <v>166</v>
      </c>
      <c r="T1059" s="496"/>
    </row>
    <row r="1060">
      <c r="A1060" s="494" t="s">
        <v>3401</v>
      </c>
      <c r="B1060" s="495" t="s">
        <v>3541</v>
      </c>
      <c r="C1060" s="174" t="str">
        <f t="shared" si="191"/>
        <v>MSI</v>
      </c>
      <c r="D1060" s="598" t="s">
        <v>3925</v>
      </c>
      <c r="E1060" s="599">
        <v>295.0</v>
      </c>
      <c r="F1060" s="600">
        <v>140.0</v>
      </c>
      <c r="G1060" s="601">
        <v>56.0</v>
      </c>
      <c r="H1060" s="266">
        <v>2.0</v>
      </c>
      <c r="I1060" s="266">
        <v>1830.0</v>
      </c>
      <c r="J1060" s="513">
        <v>14.0</v>
      </c>
      <c r="K1060" s="597">
        <v>175.0</v>
      </c>
      <c r="L1060" s="516" t="s">
        <v>3361</v>
      </c>
      <c r="M1060" s="518">
        <v>2.0</v>
      </c>
      <c r="N1060" s="516">
        <v>3.0</v>
      </c>
      <c r="O1060" s="516">
        <v>1.0</v>
      </c>
      <c r="P1060" s="516">
        <v>1.0</v>
      </c>
      <c r="Q1060" s="516" t="s">
        <v>166</v>
      </c>
      <c r="R1060" s="517" t="s">
        <v>166</v>
      </c>
      <c r="S1060" s="497" t="s">
        <v>166</v>
      </c>
      <c r="T1060" s="496"/>
    </row>
    <row r="1061">
      <c r="A1061" s="494" t="s">
        <v>3401</v>
      </c>
      <c r="B1061" s="495" t="s">
        <v>3541</v>
      </c>
      <c r="C1061" s="452" t="str">
        <f>HYPERLINK("https://www.nvidia.com/en-us/","Nvidia")</f>
        <v>Nvidia</v>
      </c>
      <c r="D1061" s="452" t="str">
        <f>HYPERLINK("https://www.nvidia.com/en-us/geforce/graphics-cards/rtx-2070/","Founders Edition")</f>
        <v>Founders Edition</v>
      </c>
      <c r="E1061" s="266">
        <v>228.6</v>
      </c>
      <c r="F1061" s="266">
        <v>112.6</v>
      </c>
      <c r="G1061" s="266">
        <v>40.0</v>
      </c>
      <c r="H1061" s="266">
        <v>2.0</v>
      </c>
      <c r="I1061" s="266">
        <v>1710.0</v>
      </c>
      <c r="J1061" s="266">
        <v>14.0</v>
      </c>
      <c r="K1061" s="266">
        <v>175.0</v>
      </c>
      <c r="L1061" s="266">
        <v>8.0</v>
      </c>
      <c r="M1061" s="266">
        <v>2.0</v>
      </c>
      <c r="N1061" s="266">
        <v>2.0</v>
      </c>
      <c r="O1061" s="266">
        <v>1.0</v>
      </c>
      <c r="P1061" s="266">
        <v>1.0</v>
      </c>
      <c r="Q1061" s="266">
        <v>1.0</v>
      </c>
      <c r="R1061" s="497" t="s">
        <v>166</v>
      </c>
      <c r="S1061" s="497" t="s">
        <v>166</v>
      </c>
      <c r="T1061" s="496"/>
    </row>
    <row r="1062">
      <c r="A1062" s="494" t="s">
        <v>3401</v>
      </c>
      <c r="B1062" s="495" t="s">
        <v>3541</v>
      </c>
      <c r="C1062" s="452" t="str">
        <f t="shared" ref="C1062:C1068" si="192">HYPERLINK("http://www.palit.com/palit/index.php?lang=en","Palit")</f>
        <v>Palit</v>
      </c>
      <c r="D1062" s="452" t="str">
        <f>HYPERLINK("http://www.palit.com/palit/vgapro.php?id=3076&amp;lang=en","Dual")</f>
        <v>Dual</v>
      </c>
      <c r="E1062" s="266">
        <v>235.0</v>
      </c>
      <c r="F1062" s="266">
        <v>115.0</v>
      </c>
      <c r="G1062" s="266">
        <v>40.0</v>
      </c>
      <c r="H1062" s="266">
        <v>2.0</v>
      </c>
      <c r="I1062" s="266">
        <v>1620.0</v>
      </c>
      <c r="J1062" s="266">
        <v>14.0</v>
      </c>
      <c r="K1062" s="266">
        <v>175.0</v>
      </c>
      <c r="L1062" s="266">
        <v>8.0</v>
      </c>
      <c r="M1062" s="266">
        <v>2.0</v>
      </c>
      <c r="N1062" s="266">
        <v>1.0</v>
      </c>
      <c r="O1062" s="266">
        <v>1.0</v>
      </c>
      <c r="P1062" s="266" t="s">
        <v>166</v>
      </c>
      <c r="Q1062" s="266">
        <v>1.0</v>
      </c>
      <c r="R1062" s="497" t="s">
        <v>166</v>
      </c>
      <c r="S1062" s="497" t="s">
        <v>166</v>
      </c>
      <c r="T1062" s="496"/>
    </row>
    <row r="1063">
      <c r="A1063" s="494" t="s">
        <v>3401</v>
      </c>
      <c r="B1063" s="495" t="s">
        <v>3541</v>
      </c>
      <c r="C1063" s="452" t="str">
        <f t="shared" si="192"/>
        <v>Palit</v>
      </c>
      <c r="D1063" s="452" t="str">
        <f>HYPERLINK("http://www.palit.com/palit/vgapro.php?id=3020&amp;lang=en","GamingPro")</f>
        <v>GamingPro</v>
      </c>
      <c r="E1063" s="266">
        <v>235.0</v>
      </c>
      <c r="F1063" s="266">
        <v>112.0</v>
      </c>
      <c r="G1063" s="266">
        <v>40.0</v>
      </c>
      <c r="H1063" s="266">
        <v>2.0</v>
      </c>
      <c r="I1063" s="266">
        <v>1650.0</v>
      </c>
      <c r="J1063" s="266">
        <v>14.0</v>
      </c>
      <c r="K1063" s="266">
        <v>175.0</v>
      </c>
      <c r="L1063" s="266">
        <v>8.0</v>
      </c>
      <c r="M1063" s="266">
        <v>2.0</v>
      </c>
      <c r="N1063" s="266">
        <v>2.0</v>
      </c>
      <c r="O1063" s="266">
        <v>1.0</v>
      </c>
      <c r="P1063" s="266">
        <v>1.0</v>
      </c>
      <c r="Q1063" s="266">
        <v>1.0</v>
      </c>
      <c r="R1063" s="497" t="s">
        <v>166</v>
      </c>
      <c r="S1063" s="497" t="s">
        <v>166</v>
      </c>
      <c r="T1063" s="496"/>
    </row>
    <row r="1064">
      <c r="A1064" s="494" t="s">
        <v>3401</v>
      </c>
      <c r="B1064" s="495" t="s">
        <v>3541</v>
      </c>
      <c r="C1064" s="452" t="str">
        <f t="shared" si="192"/>
        <v>Palit</v>
      </c>
      <c r="D1064" s="452" t="str">
        <f>HYPERLINK("http://www.palit.com/palit/vgapro.php?id=3013&amp;lang=en","GamingPro OC")</f>
        <v>GamingPro OC</v>
      </c>
      <c r="E1064" s="266">
        <v>235.0</v>
      </c>
      <c r="F1064" s="266">
        <v>112.0</v>
      </c>
      <c r="G1064" s="266">
        <v>40.0</v>
      </c>
      <c r="H1064" s="266">
        <v>2.0</v>
      </c>
      <c r="I1064" s="266">
        <v>1710.0</v>
      </c>
      <c r="J1064" s="266">
        <v>14.0</v>
      </c>
      <c r="K1064" s="266">
        <v>185.0</v>
      </c>
      <c r="L1064" s="266">
        <v>8.0</v>
      </c>
      <c r="M1064" s="266">
        <v>2.0</v>
      </c>
      <c r="N1064" s="266">
        <v>2.0</v>
      </c>
      <c r="O1064" s="266">
        <v>1.0</v>
      </c>
      <c r="P1064" s="266">
        <v>1.0</v>
      </c>
      <c r="Q1064" s="266">
        <v>1.0</v>
      </c>
      <c r="R1064" s="497" t="s">
        <v>166</v>
      </c>
      <c r="S1064" s="497" t="s">
        <v>166</v>
      </c>
      <c r="T1064" s="496"/>
    </row>
    <row r="1065">
      <c r="A1065" s="494" t="s">
        <v>3401</v>
      </c>
      <c r="B1065" s="495" t="s">
        <v>3541</v>
      </c>
      <c r="C1065" s="452" t="str">
        <f t="shared" si="192"/>
        <v>Palit</v>
      </c>
      <c r="D1065" s="452" t="s">
        <v>3998</v>
      </c>
      <c r="E1065" s="266">
        <v>292.0</v>
      </c>
      <c r="F1065" s="266">
        <v>130.0</v>
      </c>
      <c r="G1065" s="266">
        <v>59.6</v>
      </c>
      <c r="H1065" s="266">
        <v>2.0</v>
      </c>
      <c r="I1065" s="266">
        <v>1620.0</v>
      </c>
      <c r="J1065" s="266">
        <v>14.0</v>
      </c>
      <c r="K1065" s="266">
        <v>175.0</v>
      </c>
      <c r="L1065" s="266" t="s">
        <v>3361</v>
      </c>
      <c r="M1065" s="266">
        <v>2.0</v>
      </c>
      <c r="N1065" s="266">
        <v>3.0</v>
      </c>
      <c r="O1065" s="266">
        <v>1.0</v>
      </c>
      <c r="P1065" s="266">
        <v>1.0</v>
      </c>
      <c r="Q1065" s="266" t="s">
        <v>166</v>
      </c>
      <c r="R1065" s="497" t="s">
        <v>166</v>
      </c>
      <c r="S1065" s="497" t="s">
        <v>166</v>
      </c>
      <c r="T1065" s="496"/>
    </row>
    <row r="1066">
      <c r="A1066" s="494" t="s">
        <v>3401</v>
      </c>
      <c r="B1066" s="495" t="s">
        <v>3541</v>
      </c>
      <c r="C1066" s="452" t="str">
        <f t="shared" si="192"/>
        <v>Palit</v>
      </c>
      <c r="D1066" s="452" t="s">
        <v>3999</v>
      </c>
      <c r="E1066" s="266">
        <v>292.0</v>
      </c>
      <c r="F1066" s="266">
        <v>130.0</v>
      </c>
      <c r="G1066" s="266">
        <v>59.6</v>
      </c>
      <c r="H1066" s="266">
        <v>2.0</v>
      </c>
      <c r="I1066" s="266">
        <v>1740.0</v>
      </c>
      <c r="J1066" s="266">
        <v>14.0</v>
      </c>
      <c r="K1066" s="266">
        <v>185.0</v>
      </c>
      <c r="L1066" s="266" t="s">
        <v>3361</v>
      </c>
      <c r="M1066" s="266">
        <v>2.0</v>
      </c>
      <c r="N1066" s="266">
        <v>3.0</v>
      </c>
      <c r="O1066" s="266">
        <v>1.0</v>
      </c>
      <c r="P1066" s="266">
        <v>1.0</v>
      </c>
      <c r="Q1066" s="266" t="s">
        <v>166</v>
      </c>
      <c r="R1066" s="497" t="s">
        <v>166</v>
      </c>
      <c r="S1066" s="497" t="s">
        <v>166</v>
      </c>
      <c r="T1066" s="496"/>
    </row>
    <row r="1067">
      <c r="A1067" s="494" t="s">
        <v>3401</v>
      </c>
      <c r="B1067" s="495" t="s">
        <v>3541</v>
      </c>
      <c r="C1067" s="452" t="str">
        <f t="shared" si="192"/>
        <v>Palit</v>
      </c>
      <c r="D1067" s="452" t="s">
        <v>4000</v>
      </c>
      <c r="E1067" s="266">
        <v>292.0</v>
      </c>
      <c r="F1067" s="266">
        <v>130.0</v>
      </c>
      <c r="G1067" s="266">
        <v>59.6</v>
      </c>
      <c r="H1067" s="266">
        <v>2.0</v>
      </c>
      <c r="I1067" s="266">
        <v>1725.0</v>
      </c>
      <c r="J1067" s="266">
        <v>14.0</v>
      </c>
      <c r="K1067" s="266">
        <v>185.0</v>
      </c>
      <c r="L1067" s="266" t="s">
        <v>3361</v>
      </c>
      <c r="M1067" s="266">
        <v>2.0</v>
      </c>
      <c r="N1067" s="266">
        <v>3.0</v>
      </c>
      <c r="O1067" s="266">
        <v>1.0</v>
      </c>
      <c r="P1067" s="266">
        <v>1.0</v>
      </c>
      <c r="Q1067" s="266" t="s">
        <v>166</v>
      </c>
      <c r="R1067" s="497" t="s">
        <v>166</v>
      </c>
      <c r="S1067" s="497" t="s">
        <v>166</v>
      </c>
      <c r="T1067" s="496"/>
    </row>
    <row r="1068">
      <c r="A1068" s="494" t="s">
        <v>3401</v>
      </c>
      <c r="B1068" s="495" t="s">
        <v>3541</v>
      </c>
      <c r="C1068" s="452" t="str">
        <f t="shared" si="192"/>
        <v>Palit</v>
      </c>
      <c r="D1068" s="452" t="s">
        <v>4001</v>
      </c>
      <c r="E1068" s="266">
        <v>292.0</v>
      </c>
      <c r="F1068" s="266">
        <v>130.0</v>
      </c>
      <c r="G1068" s="266">
        <v>59.6</v>
      </c>
      <c r="H1068" s="266">
        <v>2.0</v>
      </c>
      <c r="I1068" s="266">
        <v>1815.0</v>
      </c>
      <c r="J1068" s="266">
        <v>14.0</v>
      </c>
      <c r="K1068" s="266">
        <v>225.0</v>
      </c>
      <c r="L1068" s="266" t="s">
        <v>3361</v>
      </c>
      <c r="M1068" s="266">
        <v>2.0</v>
      </c>
      <c r="N1068" s="266">
        <v>3.0</v>
      </c>
      <c r="O1068" s="266">
        <v>1.0</v>
      </c>
      <c r="P1068" s="266">
        <v>1.0</v>
      </c>
      <c r="Q1068" s="266" t="s">
        <v>166</v>
      </c>
      <c r="R1068" s="497" t="s">
        <v>166</v>
      </c>
      <c r="S1068" s="497" t="s">
        <v>166</v>
      </c>
      <c r="T1068" s="496"/>
    </row>
    <row r="1069">
      <c r="A1069" s="494" t="s">
        <v>3401</v>
      </c>
      <c r="B1069" s="495" t="s">
        <v>3541</v>
      </c>
      <c r="C1069" s="452" t="str">
        <f t="shared" ref="C1069:C1071" si="193">HYPERLINK("http://zotac.com/","ZOTAC")</f>
        <v>ZOTAC</v>
      </c>
      <c r="D1069" s="452" t="str">
        <f>HYPERLINK("https://www.zotac.com/product/graphics_card/zotac-gaming-geforce-rtx-2070-blower","Blower")</f>
        <v>Blower</v>
      </c>
      <c r="E1069" s="266">
        <v>268.0</v>
      </c>
      <c r="F1069" s="266">
        <v>113.0</v>
      </c>
      <c r="G1069" s="266">
        <v>38.0</v>
      </c>
      <c r="H1069" s="266">
        <v>2.0</v>
      </c>
      <c r="I1069" s="266">
        <v>1620.0</v>
      </c>
      <c r="J1069" s="266">
        <v>14.0</v>
      </c>
      <c r="K1069" s="266">
        <v>175.0</v>
      </c>
      <c r="L1069" s="266">
        <v>8.0</v>
      </c>
      <c r="M1069" s="266">
        <v>1.0</v>
      </c>
      <c r="N1069" s="266">
        <v>3.0</v>
      </c>
      <c r="O1069" s="266">
        <v>1.0</v>
      </c>
      <c r="P1069" s="266" t="s">
        <v>166</v>
      </c>
      <c r="Q1069" s="266">
        <v>1.0</v>
      </c>
      <c r="R1069" s="266" t="s">
        <v>166</v>
      </c>
      <c r="S1069" s="266" t="s">
        <v>174</v>
      </c>
      <c r="T1069" s="494"/>
    </row>
    <row r="1070">
      <c r="A1070" s="494" t="s">
        <v>3401</v>
      </c>
      <c r="B1070" s="495" t="s">
        <v>3541</v>
      </c>
      <c r="C1070" s="452" t="str">
        <f t="shared" si="193"/>
        <v>ZOTAC</v>
      </c>
      <c r="D1070" s="452" t="str">
        <f>HYPERLINK("https://www.zotac.com/product/graphics_card/zotac-gaming-geforce-rtx-2070-amp","AMP")</f>
        <v>AMP</v>
      </c>
      <c r="E1070" s="266">
        <v>268.0</v>
      </c>
      <c r="F1070" s="266">
        <v>113.0</v>
      </c>
      <c r="G1070" s="266">
        <v>38.0</v>
      </c>
      <c r="H1070" s="266">
        <v>2.0</v>
      </c>
      <c r="I1070" s="266">
        <v>1740.0</v>
      </c>
      <c r="J1070" s="266">
        <v>14.0</v>
      </c>
      <c r="K1070" s="266">
        <v>185.0</v>
      </c>
      <c r="L1070" s="266" t="s">
        <v>3361</v>
      </c>
      <c r="M1070" s="266">
        <v>2.0</v>
      </c>
      <c r="N1070" s="266">
        <v>3.0</v>
      </c>
      <c r="O1070" s="266">
        <v>1.0</v>
      </c>
      <c r="P1070" s="266">
        <v>1.0</v>
      </c>
      <c r="Q1070" s="266" t="s">
        <v>166</v>
      </c>
      <c r="R1070" s="497" t="s">
        <v>166</v>
      </c>
      <c r="S1070" s="497" t="s">
        <v>166</v>
      </c>
      <c r="T1070" s="496"/>
    </row>
    <row r="1071">
      <c r="A1071" s="498" t="s">
        <v>3401</v>
      </c>
      <c r="B1071" s="499" t="s">
        <v>3541</v>
      </c>
      <c r="C1071" s="500" t="str">
        <f t="shared" si="193"/>
        <v>ZOTAC</v>
      </c>
      <c r="D1071" s="500" t="s">
        <v>3867</v>
      </c>
      <c r="E1071" s="501">
        <v>308.0</v>
      </c>
      <c r="F1071" s="501">
        <v>113.0</v>
      </c>
      <c r="G1071" s="501">
        <v>57.0</v>
      </c>
      <c r="H1071" s="501">
        <v>2.0</v>
      </c>
      <c r="I1071" s="501">
        <v>1860.0</v>
      </c>
      <c r="J1071" s="501">
        <v>14.0</v>
      </c>
      <c r="K1071" s="501">
        <v>225.0</v>
      </c>
      <c r="L1071" s="501" t="s">
        <v>3361</v>
      </c>
      <c r="M1071" s="501">
        <v>3.0</v>
      </c>
      <c r="N1071" s="501">
        <v>3.0</v>
      </c>
      <c r="O1071" s="501">
        <v>1.0</v>
      </c>
      <c r="P1071" s="501">
        <v>1.0</v>
      </c>
      <c r="Q1071" s="501" t="s">
        <v>166</v>
      </c>
      <c r="R1071" s="502" t="s">
        <v>166</v>
      </c>
      <c r="S1071" s="502" t="s">
        <v>166</v>
      </c>
      <c r="T1071" s="503"/>
    </row>
    <row r="1072">
      <c r="A1072" s="504" t="s">
        <v>3401</v>
      </c>
      <c r="B1072" s="505" t="s">
        <v>3543</v>
      </c>
      <c r="C1072" s="174" t="s">
        <v>3467</v>
      </c>
      <c r="D1072" s="452" t="s">
        <v>3884</v>
      </c>
      <c r="E1072" s="266">
        <v>314.0</v>
      </c>
      <c r="F1072" s="266">
        <v>128.0</v>
      </c>
      <c r="G1072" s="266">
        <v>44.0</v>
      </c>
      <c r="H1072" s="266">
        <v>2.0</v>
      </c>
      <c r="I1072" s="266">
        <v>1770.0</v>
      </c>
      <c r="J1072" s="266">
        <v>14.0</v>
      </c>
      <c r="K1072" s="266">
        <v>215.0</v>
      </c>
      <c r="L1072" s="507" t="s">
        <v>3361</v>
      </c>
      <c r="M1072" s="266">
        <v>3.0</v>
      </c>
      <c r="N1072" s="266">
        <v>3.0</v>
      </c>
      <c r="O1072" s="266">
        <v>1.0</v>
      </c>
      <c r="P1072" s="266" t="s">
        <v>166</v>
      </c>
      <c r="Q1072" s="266" t="s">
        <v>166</v>
      </c>
      <c r="R1072" s="497" t="s">
        <v>166</v>
      </c>
      <c r="S1072" s="497" t="s">
        <v>166</v>
      </c>
      <c r="T1072" s="496"/>
    </row>
    <row r="1073">
      <c r="A1073" s="504" t="s">
        <v>3401</v>
      </c>
      <c r="B1073" s="505" t="s">
        <v>3543</v>
      </c>
      <c r="C1073" s="282" t="str">
        <f t="shared" ref="C1073:C1079" si="194">HYPERLINK("https://www.asus.com/","Asus")</f>
        <v>Asus</v>
      </c>
      <c r="D1073" s="506" t="s">
        <v>3935</v>
      </c>
      <c r="E1073" s="507">
        <v>268.0</v>
      </c>
      <c r="F1073" s="507">
        <v>113.0</v>
      </c>
      <c r="G1073" s="507">
        <v>40.0</v>
      </c>
      <c r="H1073" s="507">
        <v>2.0</v>
      </c>
      <c r="I1073" s="507">
        <v>1800.0</v>
      </c>
      <c r="J1073" s="507">
        <v>14.0</v>
      </c>
      <c r="K1073" s="507">
        <v>215.0</v>
      </c>
      <c r="L1073" s="507" t="s">
        <v>3361</v>
      </c>
      <c r="M1073" s="507">
        <v>1.0</v>
      </c>
      <c r="N1073" s="507">
        <v>3.0</v>
      </c>
      <c r="O1073" s="507">
        <v>1.0</v>
      </c>
      <c r="P1073" s="507" t="s">
        <v>166</v>
      </c>
      <c r="Q1073" s="507" t="s">
        <v>166</v>
      </c>
      <c r="R1073" s="507" t="s">
        <v>166</v>
      </c>
      <c r="S1073" s="507" t="s">
        <v>174</v>
      </c>
      <c r="T1073" s="494"/>
    </row>
    <row r="1074">
      <c r="A1074" s="494" t="s">
        <v>3401</v>
      </c>
      <c r="B1074" s="495" t="s">
        <v>3543</v>
      </c>
      <c r="C1074" s="174" t="str">
        <f t="shared" si="194"/>
        <v>Asus</v>
      </c>
      <c r="D1074" s="452" t="s">
        <v>3629</v>
      </c>
      <c r="E1074" s="266">
        <v>267.0</v>
      </c>
      <c r="F1074" s="266">
        <v>118.0</v>
      </c>
      <c r="G1074" s="266">
        <v>58.0</v>
      </c>
      <c r="H1074" s="266">
        <v>2.0</v>
      </c>
      <c r="I1074" s="266">
        <v>1800.0</v>
      </c>
      <c r="J1074" s="266">
        <v>14.0</v>
      </c>
      <c r="K1074" s="266">
        <v>215.0</v>
      </c>
      <c r="L1074" s="266" t="s">
        <v>3361</v>
      </c>
      <c r="M1074" s="266">
        <v>2.0</v>
      </c>
      <c r="N1074" s="266">
        <v>3.0</v>
      </c>
      <c r="O1074" s="266">
        <v>1.0</v>
      </c>
      <c r="P1074" s="266" t="s">
        <v>166</v>
      </c>
      <c r="Q1074" s="266" t="s">
        <v>166</v>
      </c>
      <c r="R1074" s="497" t="s">
        <v>166</v>
      </c>
      <c r="S1074" s="497" t="s">
        <v>166</v>
      </c>
      <c r="T1074" s="496"/>
    </row>
    <row r="1075">
      <c r="A1075" s="494" t="s">
        <v>3401</v>
      </c>
      <c r="B1075" s="495" t="s">
        <v>3543</v>
      </c>
      <c r="C1075" s="174" t="str">
        <f t="shared" si="194"/>
        <v>Asus</v>
      </c>
      <c r="D1075" s="452" t="s">
        <v>3640</v>
      </c>
      <c r="E1075" s="266">
        <v>267.0</v>
      </c>
      <c r="F1075" s="266">
        <v>118.0</v>
      </c>
      <c r="G1075" s="266">
        <v>58.0</v>
      </c>
      <c r="H1075" s="266">
        <v>2.0</v>
      </c>
      <c r="I1075" s="266">
        <v>1815.0</v>
      </c>
      <c r="J1075" s="266">
        <v>14.0</v>
      </c>
      <c r="K1075" s="266">
        <v>215.0</v>
      </c>
      <c r="L1075" s="266" t="s">
        <v>3361</v>
      </c>
      <c r="M1075" s="266">
        <v>2.0</v>
      </c>
      <c r="N1075" s="266">
        <v>3.0</v>
      </c>
      <c r="O1075" s="266">
        <v>1.0</v>
      </c>
      <c r="P1075" s="266" t="s">
        <v>166</v>
      </c>
      <c r="Q1075" s="266" t="s">
        <v>166</v>
      </c>
      <c r="R1075" s="497" t="s">
        <v>166</v>
      </c>
      <c r="S1075" s="497" t="s">
        <v>166</v>
      </c>
      <c r="T1075" s="496"/>
    </row>
    <row r="1076">
      <c r="A1076" s="494" t="s">
        <v>3401</v>
      </c>
      <c r="B1076" s="495" t="s">
        <v>3543</v>
      </c>
      <c r="C1076" s="174" t="str">
        <f t="shared" si="194"/>
        <v>Asus</v>
      </c>
      <c r="D1076" s="452" t="s">
        <v>3659</v>
      </c>
      <c r="E1076" s="575">
        <v>267.0</v>
      </c>
      <c r="F1076" s="576">
        <v>118.0</v>
      </c>
      <c r="G1076" s="602">
        <v>58.0</v>
      </c>
      <c r="H1076" s="266">
        <v>2.0</v>
      </c>
      <c r="I1076" s="266">
        <v>1845.0</v>
      </c>
      <c r="J1076" s="266">
        <v>14.0</v>
      </c>
      <c r="K1076" s="266">
        <v>215.0</v>
      </c>
      <c r="L1076" s="266" t="s">
        <v>3361</v>
      </c>
      <c r="M1076" s="266">
        <v>2.0</v>
      </c>
      <c r="N1076" s="266">
        <v>3.0</v>
      </c>
      <c r="O1076" s="266">
        <v>1.0</v>
      </c>
      <c r="P1076" s="266" t="s">
        <v>166</v>
      </c>
      <c r="Q1076" s="266" t="s">
        <v>166</v>
      </c>
      <c r="R1076" s="497" t="s">
        <v>166</v>
      </c>
      <c r="S1076" s="497" t="s">
        <v>166</v>
      </c>
      <c r="T1076" s="496"/>
    </row>
    <row r="1077">
      <c r="A1077" s="494" t="s">
        <v>3401</v>
      </c>
      <c r="B1077" s="495" t="s">
        <v>3543</v>
      </c>
      <c r="C1077" s="174" t="str">
        <f t="shared" si="194"/>
        <v>Asus</v>
      </c>
      <c r="D1077" s="452" t="s">
        <v>3631</v>
      </c>
      <c r="E1077" s="266">
        <v>299.7</v>
      </c>
      <c r="F1077" s="266">
        <v>130.4</v>
      </c>
      <c r="G1077" s="266">
        <v>54.1</v>
      </c>
      <c r="H1077" s="266">
        <v>2.0</v>
      </c>
      <c r="I1077" s="266">
        <v>1800.0</v>
      </c>
      <c r="J1077" s="266">
        <v>14.0</v>
      </c>
      <c r="K1077" s="266">
        <v>215.0</v>
      </c>
      <c r="L1077" s="266" t="s">
        <v>3460</v>
      </c>
      <c r="M1077" s="266">
        <v>3.0</v>
      </c>
      <c r="N1077" s="266">
        <v>2.0</v>
      </c>
      <c r="O1077" s="266">
        <v>2.0</v>
      </c>
      <c r="P1077" s="266">
        <v>1.0</v>
      </c>
      <c r="Q1077" s="266" t="s">
        <v>166</v>
      </c>
      <c r="R1077" s="497" t="s">
        <v>166</v>
      </c>
      <c r="S1077" s="497" t="s">
        <v>166</v>
      </c>
      <c r="T1077" s="496"/>
    </row>
    <row r="1078">
      <c r="A1078" s="494" t="s">
        <v>3401</v>
      </c>
      <c r="B1078" s="495" t="s">
        <v>3543</v>
      </c>
      <c r="C1078" s="174" t="str">
        <f t="shared" si="194"/>
        <v>Asus</v>
      </c>
      <c r="D1078" s="452" t="s">
        <v>3642</v>
      </c>
      <c r="E1078" s="266">
        <v>299.7</v>
      </c>
      <c r="F1078" s="266">
        <v>130.4</v>
      </c>
      <c r="G1078" s="266">
        <v>54.1</v>
      </c>
      <c r="H1078" s="266">
        <v>2.0</v>
      </c>
      <c r="I1078" s="266">
        <v>1830.0</v>
      </c>
      <c r="J1078" s="266">
        <v>14.0</v>
      </c>
      <c r="K1078" s="266">
        <v>215.0</v>
      </c>
      <c r="L1078" s="266" t="s">
        <v>3460</v>
      </c>
      <c r="M1078" s="266">
        <v>3.0</v>
      </c>
      <c r="N1078" s="266">
        <v>2.0</v>
      </c>
      <c r="O1078" s="266">
        <v>2.0</v>
      </c>
      <c r="P1078" s="266">
        <v>1.0</v>
      </c>
      <c r="Q1078" s="266" t="s">
        <v>166</v>
      </c>
      <c r="R1078" s="497" t="s">
        <v>166</v>
      </c>
      <c r="S1078" s="497" t="s">
        <v>166</v>
      </c>
      <c r="T1078" s="496"/>
    </row>
    <row r="1079">
      <c r="A1079" s="494" t="s">
        <v>3401</v>
      </c>
      <c r="B1079" s="495" t="s">
        <v>3543</v>
      </c>
      <c r="C1079" s="174" t="str">
        <f t="shared" si="194"/>
        <v>Asus</v>
      </c>
      <c r="D1079" s="452" t="s">
        <v>3643</v>
      </c>
      <c r="E1079" s="586">
        <v>299.7</v>
      </c>
      <c r="F1079" s="603">
        <v>130.4</v>
      </c>
      <c r="G1079" s="561">
        <v>54.1</v>
      </c>
      <c r="H1079" s="266">
        <v>2.0</v>
      </c>
      <c r="I1079" s="266">
        <v>1935.0</v>
      </c>
      <c r="J1079" s="266">
        <v>14.0</v>
      </c>
      <c r="K1079" s="266">
        <v>215.0</v>
      </c>
      <c r="L1079" s="266" t="s">
        <v>3460</v>
      </c>
      <c r="M1079" s="266">
        <v>3.0</v>
      </c>
      <c r="N1079" s="266">
        <v>2.0</v>
      </c>
      <c r="O1079" s="266">
        <v>2.0</v>
      </c>
      <c r="P1079" s="266">
        <v>1.0</v>
      </c>
      <c r="Q1079" s="266" t="s">
        <v>166</v>
      </c>
      <c r="R1079" s="497" t="s">
        <v>166</v>
      </c>
      <c r="S1079" s="497" t="s">
        <v>166</v>
      </c>
      <c r="T1079" s="496"/>
    </row>
    <row r="1080">
      <c r="A1080" s="494" t="s">
        <v>3401</v>
      </c>
      <c r="B1080" s="495" t="s">
        <v>3543</v>
      </c>
      <c r="C1080" s="452" t="s">
        <v>3575</v>
      </c>
      <c r="D1080" s="452" t="s">
        <v>3940</v>
      </c>
      <c r="E1080" s="266">
        <v>310.0</v>
      </c>
      <c r="F1080" s="266">
        <v>126.0</v>
      </c>
      <c r="G1080" s="266">
        <v>53.0</v>
      </c>
      <c r="H1080" s="266">
        <v>2.0</v>
      </c>
      <c r="I1080" s="266">
        <v>1770.0</v>
      </c>
      <c r="J1080" s="266">
        <v>14.0</v>
      </c>
      <c r="K1080" s="266">
        <v>215.0</v>
      </c>
      <c r="L1080" s="266" t="s">
        <v>3460</v>
      </c>
      <c r="M1080" s="266">
        <v>3.0</v>
      </c>
      <c r="N1080" s="266">
        <v>3.0</v>
      </c>
      <c r="O1080" s="266">
        <v>1.0</v>
      </c>
      <c r="P1080" s="266" t="s">
        <v>166</v>
      </c>
      <c r="Q1080" s="266" t="s">
        <v>166</v>
      </c>
      <c r="R1080" s="497" t="s">
        <v>166</v>
      </c>
      <c r="S1080" s="497" t="s">
        <v>166</v>
      </c>
      <c r="T1080" s="496"/>
    </row>
    <row r="1081">
      <c r="A1081" s="494" t="s">
        <v>3401</v>
      </c>
      <c r="B1081" s="495" t="s">
        <v>3543</v>
      </c>
      <c r="C1081" s="452" t="s">
        <v>3575</v>
      </c>
      <c r="D1081" s="452" t="s">
        <v>3889</v>
      </c>
      <c r="E1081" s="266">
        <v>315.0</v>
      </c>
      <c r="F1081" s="266">
        <v>136.0</v>
      </c>
      <c r="G1081" s="266">
        <v>53.0</v>
      </c>
      <c r="H1081" s="266">
        <v>2.0</v>
      </c>
      <c r="I1081" s="266">
        <v>1815.0</v>
      </c>
      <c r="J1081" s="266">
        <v>14.0</v>
      </c>
      <c r="K1081" s="266">
        <v>215.0</v>
      </c>
      <c r="L1081" s="266" t="s">
        <v>3460</v>
      </c>
      <c r="M1081" s="266">
        <v>3.0</v>
      </c>
      <c r="N1081" s="266">
        <v>3.0</v>
      </c>
      <c r="O1081" s="266">
        <v>1.0</v>
      </c>
      <c r="P1081" s="266">
        <v>1.0</v>
      </c>
      <c r="Q1081" s="266" t="s">
        <v>166</v>
      </c>
      <c r="R1081" s="497" t="s">
        <v>166</v>
      </c>
      <c r="S1081" s="497" t="s">
        <v>166</v>
      </c>
      <c r="T1081" s="496"/>
    </row>
    <row r="1082">
      <c r="A1082" s="494" t="s">
        <v>3401</v>
      </c>
      <c r="B1082" s="495" t="s">
        <v>3543</v>
      </c>
      <c r="C1082" s="452" t="s">
        <v>3575</v>
      </c>
      <c r="D1082" s="452" t="s">
        <v>3943</v>
      </c>
      <c r="E1082" s="266">
        <v>318.0</v>
      </c>
      <c r="F1082" s="266">
        <v>147.0</v>
      </c>
      <c r="G1082" s="266">
        <v>59.0</v>
      </c>
      <c r="H1082" s="266">
        <v>2.0</v>
      </c>
      <c r="I1082" s="266">
        <v>1815.0</v>
      </c>
      <c r="J1082" s="266">
        <v>14.0</v>
      </c>
      <c r="K1082" s="266">
        <v>215.0</v>
      </c>
      <c r="L1082" s="266" t="s">
        <v>3460</v>
      </c>
      <c r="M1082" s="266">
        <v>3.0</v>
      </c>
      <c r="N1082" s="266">
        <v>3.0</v>
      </c>
      <c r="O1082" s="266">
        <v>1.0</v>
      </c>
      <c r="P1082" s="266">
        <v>1.0</v>
      </c>
      <c r="Q1082" s="266" t="s">
        <v>166</v>
      </c>
      <c r="R1082" s="497" t="s">
        <v>166</v>
      </c>
      <c r="S1082" s="497" t="s">
        <v>166</v>
      </c>
      <c r="T1082" s="496"/>
    </row>
    <row r="1083">
      <c r="A1083" s="494" t="s">
        <v>3401</v>
      </c>
      <c r="B1083" s="495" t="s">
        <v>3543</v>
      </c>
      <c r="C1083" s="452" t="s">
        <v>3575</v>
      </c>
      <c r="D1083" s="452" t="s">
        <v>3814</v>
      </c>
      <c r="E1083" s="266">
        <v>318.0</v>
      </c>
      <c r="F1083" s="266">
        <v>147.0</v>
      </c>
      <c r="G1083" s="266">
        <v>59.0</v>
      </c>
      <c r="H1083" s="266">
        <v>2.0</v>
      </c>
      <c r="I1083" s="266">
        <v>1905.0</v>
      </c>
      <c r="J1083" s="266">
        <v>14.0</v>
      </c>
      <c r="K1083" s="266">
        <v>215.0</v>
      </c>
      <c r="L1083" s="266" t="s">
        <v>3460</v>
      </c>
      <c r="M1083" s="266">
        <v>3.0</v>
      </c>
      <c r="N1083" s="266">
        <v>3.0</v>
      </c>
      <c r="O1083" s="266">
        <v>1.0</v>
      </c>
      <c r="P1083" s="266">
        <v>1.0</v>
      </c>
      <c r="Q1083" s="266" t="s">
        <v>166</v>
      </c>
      <c r="R1083" s="497" t="s">
        <v>166</v>
      </c>
      <c r="S1083" s="497" t="s">
        <v>166</v>
      </c>
      <c r="T1083" s="496"/>
    </row>
    <row r="1084">
      <c r="A1084" s="494" t="s">
        <v>3401</v>
      </c>
      <c r="B1084" s="495" t="s">
        <v>3543</v>
      </c>
      <c r="C1084" s="174" t="s">
        <v>3405</v>
      </c>
      <c r="D1084" s="452" t="s">
        <v>3481</v>
      </c>
      <c r="E1084" s="266">
        <v>218.0</v>
      </c>
      <c r="F1084" s="266">
        <v>124.0</v>
      </c>
      <c r="G1084" s="266">
        <v>36.0</v>
      </c>
      <c r="H1084" s="266">
        <v>2.0</v>
      </c>
      <c r="I1084" s="266">
        <v>1770.0</v>
      </c>
      <c r="J1084" s="266">
        <v>14.0</v>
      </c>
      <c r="K1084" s="266">
        <v>215.0</v>
      </c>
      <c r="L1084" s="266" t="s">
        <v>3361</v>
      </c>
      <c r="M1084" s="266">
        <v>2.0</v>
      </c>
      <c r="N1084" s="266">
        <v>3.0</v>
      </c>
      <c r="O1084" s="266">
        <v>1.0</v>
      </c>
      <c r="P1084" s="266" t="s">
        <v>166</v>
      </c>
      <c r="Q1084" s="266" t="s">
        <v>166</v>
      </c>
      <c r="R1084" s="497" t="s">
        <v>166</v>
      </c>
      <c r="S1084" s="497" t="s">
        <v>166</v>
      </c>
      <c r="T1084" s="496"/>
    </row>
    <row r="1085">
      <c r="A1085" s="494" t="s">
        <v>3401</v>
      </c>
      <c r="B1085" s="495" t="s">
        <v>3543</v>
      </c>
      <c r="C1085" s="174" t="s">
        <v>3405</v>
      </c>
      <c r="D1085" s="452" t="s">
        <v>4002</v>
      </c>
      <c r="E1085" s="266">
        <v>310.0</v>
      </c>
      <c r="F1085" s="266">
        <v>112.0</v>
      </c>
      <c r="G1085" s="266">
        <v>40.0</v>
      </c>
      <c r="H1085" s="266">
        <v>2.0</v>
      </c>
      <c r="I1085" s="266">
        <v>1770.0</v>
      </c>
      <c r="J1085" s="266">
        <v>14.0</v>
      </c>
      <c r="K1085" s="266">
        <v>215.0</v>
      </c>
      <c r="L1085" s="266" t="s">
        <v>3361</v>
      </c>
      <c r="M1085" s="266">
        <v>3.0</v>
      </c>
      <c r="N1085" s="266">
        <v>3.0</v>
      </c>
      <c r="O1085" s="266">
        <v>1.0</v>
      </c>
      <c r="P1085" s="266" t="s">
        <v>166</v>
      </c>
      <c r="Q1085" s="266" t="s">
        <v>166</v>
      </c>
      <c r="R1085" s="497" t="s">
        <v>166</v>
      </c>
      <c r="S1085" s="497" t="s">
        <v>166</v>
      </c>
      <c r="T1085" s="496"/>
    </row>
    <row r="1086">
      <c r="A1086" s="494" t="s">
        <v>3401</v>
      </c>
      <c r="B1086" s="495" t="s">
        <v>3543</v>
      </c>
      <c r="C1086" s="174" t="s">
        <v>3405</v>
      </c>
      <c r="D1086" s="452" t="s">
        <v>4003</v>
      </c>
      <c r="E1086" s="266">
        <v>288.0</v>
      </c>
      <c r="F1086" s="266">
        <v>112.0</v>
      </c>
      <c r="G1086" s="266">
        <v>50.0</v>
      </c>
      <c r="H1086" s="266">
        <v>2.0</v>
      </c>
      <c r="I1086" s="266">
        <v>1770.0</v>
      </c>
      <c r="J1086" s="266">
        <v>14.0</v>
      </c>
      <c r="K1086" s="266">
        <v>215.0</v>
      </c>
      <c r="L1086" s="266" t="s">
        <v>3361</v>
      </c>
      <c r="M1086" s="266">
        <v>3.0</v>
      </c>
      <c r="N1086" s="266">
        <v>3.0</v>
      </c>
      <c r="O1086" s="266">
        <v>1.0</v>
      </c>
      <c r="P1086" s="266" t="s">
        <v>166</v>
      </c>
      <c r="Q1086" s="266" t="s">
        <v>166</v>
      </c>
      <c r="R1086" s="497" t="s">
        <v>166</v>
      </c>
      <c r="S1086" s="497" t="s">
        <v>166</v>
      </c>
      <c r="T1086" s="496"/>
    </row>
    <row r="1087">
      <c r="A1087" s="494" t="s">
        <v>3401</v>
      </c>
      <c r="B1087" s="495" t="s">
        <v>3543</v>
      </c>
      <c r="C1087" s="174" t="s">
        <v>3405</v>
      </c>
      <c r="D1087" s="452" t="s">
        <v>4004</v>
      </c>
      <c r="E1087" s="266">
        <v>288.0</v>
      </c>
      <c r="F1087" s="266">
        <v>112.0</v>
      </c>
      <c r="G1087" s="266">
        <v>50.0</v>
      </c>
      <c r="H1087" s="266">
        <v>2.0</v>
      </c>
      <c r="I1087" s="266">
        <v>1800.0</v>
      </c>
      <c r="J1087" s="266">
        <v>14.0</v>
      </c>
      <c r="K1087" s="266">
        <v>215.0</v>
      </c>
      <c r="L1087" s="266" t="s">
        <v>3361</v>
      </c>
      <c r="M1087" s="266">
        <v>3.0</v>
      </c>
      <c r="N1087" s="266">
        <v>3.0</v>
      </c>
      <c r="O1087" s="266">
        <v>1.0</v>
      </c>
      <c r="P1087" s="266" t="s">
        <v>166</v>
      </c>
      <c r="Q1087" s="266" t="s">
        <v>166</v>
      </c>
      <c r="R1087" s="497" t="s">
        <v>166</v>
      </c>
      <c r="S1087" s="497" t="s">
        <v>166</v>
      </c>
      <c r="T1087" s="496"/>
    </row>
    <row r="1088">
      <c r="A1088" s="494" t="s">
        <v>3401</v>
      </c>
      <c r="B1088" s="495" t="s">
        <v>3543</v>
      </c>
      <c r="C1088" s="174" t="s">
        <v>3405</v>
      </c>
      <c r="D1088" s="452" t="s">
        <v>3975</v>
      </c>
      <c r="E1088" s="266">
        <v>292.0</v>
      </c>
      <c r="F1088" s="266">
        <v>130.0</v>
      </c>
      <c r="G1088" s="266">
        <v>59.6</v>
      </c>
      <c r="H1088" s="266">
        <v>2.0</v>
      </c>
      <c r="I1088" s="266">
        <v>1770.0</v>
      </c>
      <c r="J1088" s="266">
        <v>14.0</v>
      </c>
      <c r="K1088" s="266">
        <v>215.0</v>
      </c>
      <c r="L1088" s="266" t="s">
        <v>3460</v>
      </c>
      <c r="M1088" s="266">
        <v>3.0</v>
      </c>
      <c r="N1088" s="266">
        <v>3.0</v>
      </c>
      <c r="O1088" s="266">
        <v>1.0</v>
      </c>
      <c r="P1088" s="266" t="s">
        <v>166</v>
      </c>
      <c r="Q1088" s="266" t="s">
        <v>166</v>
      </c>
      <c r="R1088" s="497" t="s">
        <v>166</v>
      </c>
      <c r="S1088" s="497" t="s">
        <v>166</v>
      </c>
      <c r="T1088" s="496"/>
    </row>
    <row r="1089">
      <c r="A1089" s="494" t="s">
        <v>3401</v>
      </c>
      <c r="B1089" s="495" t="s">
        <v>3543</v>
      </c>
      <c r="C1089" s="174" t="s">
        <v>3405</v>
      </c>
      <c r="D1089" s="452" t="s">
        <v>3947</v>
      </c>
      <c r="E1089" s="266">
        <v>292.0</v>
      </c>
      <c r="F1089" s="266">
        <v>130.0</v>
      </c>
      <c r="G1089" s="266">
        <v>59.6</v>
      </c>
      <c r="H1089" s="266">
        <v>2.0</v>
      </c>
      <c r="I1089" s="266">
        <v>1815.0</v>
      </c>
      <c r="J1089" s="266">
        <v>14.0</v>
      </c>
      <c r="K1089" s="266">
        <v>215.0</v>
      </c>
      <c r="L1089" s="266" t="s">
        <v>3460</v>
      </c>
      <c r="M1089" s="266">
        <v>3.0</v>
      </c>
      <c r="N1089" s="266">
        <v>3.0</v>
      </c>
      <c r="O1089" s="266">
        <v>1.0</v>
      </c>
      <c r="P1089" s="266" t="s">
        <v>166</v>
      </c>
      <c r="Q1089" s="266" t="s">
        <v>166</v>
      </c>
      <c r="R1089" s="497" t="s">
        <v>166</v>
      </c>
      <c r="S1089" s="497" t="s">
        <v>166</v>
      </c>
      <c r="T1089" s="496"/>
    </row>
    <row r="1090">
      <c r="A1090" s="494" t="s">
        <v>3401</v>
      </c>
      <c r="B1090" s="495" t="s">
        <v>3543</v>
      </c>
      <c r="C1090" s="174" t="s">
        <v>3405</v>
      </c>
      <c r="D1090" s="452" t="s">
        <v>3948</v>
      </c>
      <c r="E1090" s="266">
        <v>292.0</v>
      </c>
      <c r="F1090" s="266">
        <v>130.0</v>
      </c>
      <c r="G1090" s="266">
        <v>59.6</v>
      </c>
      <c r="H1090" s="266">
        <v>2.0</v>
      </c>
      <c r="I1090" s="266">
        <v>1770.0</v>
      </c>
      <c r="J1090" s="266">
        <v>14.0</v>
      </c>
      <c r="K1090" s="266">
        <v>215.0</v>
      </c>
      <c r="L1090" s="266" t="s">
        <v>3460</v>
      </c>
      <c r="M1090" s="266">
        <v>3.0</v>
      </c>
      <c r="N1090" s="266">
        <v>3.0</v>
      </c>
      <c r="O1090" s="266">
        <v>1.0</v>
      </c>
      <c r="P1090" s="266" t="s">
        <v>166</v>
      </c>
      <c r="Q1090" s="266" t="s">
        <v>166</v>
      </c>
      <c r="R1090" s="497" t="s">
        <v>166</v>
      </c>
      <c r="S1090" s="497" t="s">
        <v>166</v>
      </c>
      <c r="T1090" s="496"/>
    </row>
    <row r="1091">
      <c r="A1091" s="494" t="s">
        <v>3401</v>
      </c>
      <c r="B1091" s="495" t="s">
        <v>3543</v>
      </c>
      <c r="C1091" s="174" t="s">
        <v>3405</v>
      </c>
      <c r="D1091" s="452" t="s">
        <v>3949</v>
      </c>
      <c r="E1091" s="266">
        <v>292.0</v>
      </c>
      <c r="F1091" s="266">
        <v>130.0</v>
      </c>
      <c r="G1091" s="266">
        <v>59.6</v>
      </c>
      <c r="H1091" s="266">
        <v>2.0</v>
      </c>
      <c r="I1091" s="266">
        <v>1815.0</v>
      </c>
      <c r="J1091" s="266">
        <v>14.0</v>
      </c>
      <c r="K1091" s="266">
        <v>215.0</v>
      </c>
      <c r="L1091" s="266" t="s">
        <v>3460</v>
      </c>
      <c r="M1091" s="266">
        <v>3.0</v>
      </c>
      <c r="N1091" s="266">
        <v>3.0</v>
      </c>
      <c r="O1091" s="266">
        <v>1.0</v>
      </c>
      <c r="P1091" s="266" t="s">
        <v>166</v>
      </c>
      <c r="Q1091" s="266" t="s">
        <v>166</v>
      </c>
      <c r="R1091" s="497" t="s">
        <v>166</v>
      </c>
      <c r="S1091" s="497" t="s">
        <v>166</v>
      </c>
      <c r="T1091" s="496"/>
    </row>
    <row r="1092">
      <c r="A1092" s="494" t="s">
        <v>3401</v>
      </c>
      <c r="B1092" s="495" t="s">
        <v>3543</v>
      </c>
      <c r="C1092" s="174" t="s">
        <v>3405</v>
      </c>
      <c r="D1092" s="452" t="s">
        <v>3950</v>
      </c>
      <c r="E1092" s="266">
        <v>292.0</v>
      </c>
      <c r="F1092" s="266">
        <v>130.0</v>
      </c>
      <c r="G1092" s="266">
        <v>59.6</v>
      </c>
      <c r="H1092" s="266">
        <v>2.0</v>
      </c>
      <c r="I1092" s="266">
        <v>1770.0</v>
      </c>
      <c r="J1092" s="266">
        <v>14.0</v>
      </c>
      <c r="K1092" s="266">
        <v>215.0</v>
      </c>
      <c r="L1092" s="266" t="s">
        <v>3460</v>
      </c>
      <c r="M1092" s="266">
        <v>2.0</v>
      </c>
      <c r="N1092" s="266">
        <v>3.0</v>
      </c>
      <c r="O1092" s="266">
        <v>1.0</v>
      </c>
      <c r="P1092" s="266" t="s">
        <v>166</v>
      </c>
      <c r="Q1092" s="266" t="s">
        <v>166</v>
      </c>
      <c r="R1092" s="497" t="s">
        <v>166</v>
      </c>
      <c r="S1092" s="497" t="s">
        <v>166</v>
      </c>
      <c r="T1092" s="496"/>
    </row>
    <row r="1093">
      <c r="A1093" s="494" t="s">
        <v>3401</v>
      </c>
      <c r="B1093" s="495" t="s">
        <v>3543</v>
      </c>
      <c r="C1093" s="174" t="s">
        <v>3405</v>
      </c>
      <c r="D1093" s="452" t="s">
        <v>3951</v>
      </c>
      <c r="E1093" s="266">
        <v>292.0</v>
      </c>
      <c r="F1093" s="266">
        <v>130.0</v>
      </c>
      <c r="G1093" s="266">
        <v>59.6</v>
      </c>
      <c r="H1093" s="266">
        <v>2.0</v>
      </c>
      <c r="I1093" s="266">
        <v>1815.0</v>
      </c>
      <c r="J1093" s="266">
        <v>14.0</v>
      </c>
      <c r="K1093" s="266">
        <v>215.0</v>
      </c>
      <c r="L1093" s="266" t="s">
        <v>3460</v>
      </c>
      <c r="M1093" s="266">
        <v>2.0</v>
      </c>
      <c r="N1093" s="266">
        <v>3.0</v>
      </c>
      <c r="O1093" s="266">
        <v>1.0</v>
      </c>
      <c r="P1093" s="266" t="s">
        <v>166</v>
      </c>
      <c r="Q1093" s="266" t="s">
        <v>166</v>
      </c>
      <c r="R1093" s="497" t="s">
        <v>166</v>
      </c>
      <c r="S1093" s="497" t="s">
        <v>166</v>
      </c>
      <c r="T1093" s="496"/>
    </row>
    <row r="1094">
      <c r="A1094" s="494" t="s">
        <v>3401</v>
      </c>
      <c r="B1094" s="495" t="s">
        <v>3543</v>
      </c>
      <c r="C1094" s="174" t="s">
        <v>3405</v>
      </c>
      <c r="D1094" s="452" t="s">
        <v>4005</v>
      </c>
      <c r="E1094" s="266">
        <v>292.0</v>
      </c>
      <c r="F1094" s="266">
        <v>130.0</v>
      </c>
      <c r="G1094" s="266">
        <v>59.6</v>
      </c>
      <c r="H1094" s="266">
        <v>2.0</v>
      </c>
      <c r="I1094" s="266">
        <v>1770.0</v>
      </c>
      <c r="J1094" s="266">
        <v>14.0</v>
      </c>
      <c r="K1094" s="266">
        <v>215.0</v>
      </c>
      <c r="L1094" s="266" t="s">
        <v>3460</v>
      </c>
      <c r="M1094" s="266">
        <v>2.0</v>
      </c>
      <c r="N1094" s="266">
        <v>3.0</v>
      </c>
      <c r="O1094" s="266">
        <v>1.0</v>
      </c>
      <c r="P1094" s="266" t="s">
        <v>166</v>
      </c>
      <c r="Q1094" s="266" t="s">
        <v>166</v>
      </c>
      <c r="R1094" s="497" t="s">
        <v>166</v>
      </c>
      <c r="S1094" s="497" t="s">
        <v>166</v>
      </c>
      <c r="T1094" s="496"/>
    </row>
    <row r="1095">
      <c r="A1095" s="494" t="s">
        <v>3401</v>
      </c>
      <c r="B1095" s="495" t="s">
        <v>3543</v>
      </c>
      <c r="C1095" s="174" t="s">
        <v>3405</v>
      </c>
      <c r="D1095" s="452" t="s">
        <v>4006</v>
      </c>
      <c r="E1095" s="266">
        <v>292.0</v>
      </c>
      <c r="F1095" s="266">
        <v>130.0</v>
      </c>
      <c r="G1095" s="266">
        <v>59.6</v>
      </c>
      <c r="H1095" s="266">
        <v>2.0</v>
      </c>
      <c r="I1095" s="266">
        <v>1815.0</v>
      </c>
      <c r="J1095" s="266">
        <v>14.0</v>
      </c>
      <c r="K1095" s="266">
        <v>215.0</v>
      </c>
      <c r="L1095" s="266" t="s">
        <v>3460</v>
      </c>
      <c r="M1095" s="266">
        <v>2.0</v>
      </c>
      <c r="N1095" s="266">
        <v>3.0</v>
      </c>
      <c r="O1095" s="266">
        <v>1.0</v>
      </c>
      <c r="P1095" s="266" t="s">
        <v>166</v>
      </c>
      <c r="Q1095" s="266" t="s">
        <v>166</v>
      </c>
      <c r="R1095" s="497" t="s">
        <v>166</v>
      </c>
      <c r="S1095" s="497" t="s">
        <v>166</v>
      </c>
      <c r="T1095" s="496"/>
    </row>
    <row r="1096">
      <c r="A1096" s="494" t="s">
        <v>3401</v>
      </c>
      <c r="B1096" s="495" t="s">
        <v>3543</v>
      </c>
      <c r="C1096" s="174" t="str">
        <f t="shared" ref="C1096:C1105" si="195">HYPERLINK("https://www.evga.com/","EVGA")</f>
        <v>EVGA</v>
      </c>
      <c r="D1096" s="452" t="s">
        <v>3409</v>
      </c>
      <c r="E1096" s="266">
        <v>265.63</v>
      </c>
      <c r="F1096" s="266">
        <v>111.15</v>
      </c>
      <c r="G1096" s="266">
        <v>40.0</v>
      </c>
      <c r="H1096" s="266">
        <v>2.0</v>
      </c>
      <c r="I1096" s="266">
        <v>1770.0</v>
      </c>
      <c r="J1096" s="266">
        <v>14.0</v>
      </c>
      <c r="K1096" s="266">
        <v>215.0</v>
      </c>
      <c r="L1096" s="266" t="s">
        <v>3361</v>
      </c>
      <c r="M1096" s="266">
        <v>1.0</v>
      </c>
      <c r="N1096" s="266">
        <v>3.0</v>
      </c>
      <c r="O1096" s="266">
        <v>1.0</v>
      </c>
      <c r="P1096" s="266">
        <v>1.0</v>
      </c>
      <c r="Q1096" s="266" t="s">
        <v>166</v>
      </c>
      <c r="R1096" s="266" t="s">
        <v>166</v>
      </c>
      <c r="S1096" s="266" t="s">
        <v>174</v>
      </c>
      <c r="T1096" s="494"/>
    </row>
    <row r="1097">
      <c r="A1097" s="494" t="s">
        <v>3401</v>
      </c>
      <c r="B1097" s="495" t="s">
        <v>3543</v>
      </c>
      <c r="C1097" s="174" t="str">
        <f t="shared" si="195"/>
        <v>EVGA</v>
      </c>
      <c r="D1097" s="452" t="s">
        <v>3484</v>
      </c>
      <c r="E1097" s="266">
        <v>269.83</v>
      </c>
      <c r="F1097" s="266">
        <v>111.15</v>
      </c>
      <c r="G1097" s="266">
        <v>40.0</v>
      </c>
      <c r="H1097" s="266">
        <v>2.0</v>
      </c>
      <c r="I1097" s="266">
        <v>1770.0</v>
      </c>
      <c r="J1097" s="266">
        <v>14.0</v>
      </c>
      <c r="K1097" s="266">
        <v>215.0</v>
      </c>
      <c r="L1097" s="266" t="s">
        <v>3361</v>
      </c>
      <c r="M1097" s="266">
        <v>2.0</v>
      </c>
      <c r="N1097" s="266">
        <v>3.0</v>
      </c>
      <c r="O1097" s="266">
        <v>1.0</v>
      </c>
      <c r="P1097" s="266" t="s">
        <v>166</v>
      </c>
      <c r="Q1097" s="266" t="s">
        <v>166</v>
      </c>
      <c r="R1097" s="266" t="s">
        <v>166</v>
      </c>
      <c r="S1097" s="497" t="s">
        <v>166</v>
      </c>
      <c r="T1097" s="494"/>
    </row>
    <row r="1098">
      <c r="A1098" s="494" t="s">
        <v>3401</v>
      </c>
      <c r="B1098" s="495" t="s">
        <v>3543</v>
      </c>
      <c r="C1098" s="174" t="str">
        <f t="shared" si="195"/>
        <v>EVGA</v>
      </c>
      <c r="D1098" s="452" t="s">
        <v>3512</v>
      </c>
      <c r="E1098" s="266">
        <v>269.83</v>
      </c>
      <c r="F1098" s="266">
        <v>111.15</v>
      </c>
      <c r="G1098" s="266">
        <v>40.0</v>
      </c>
      <c r="H1098" s="266">
        <v>2.0</v>
      </c>
      <c r="I1098" s="266">
        <v>1770.0</v>
      </c>
      <c r="J1098" s="266">
        <v>14.0</v>
      </c>
      <c r="K1098" s="266">
        <v>215.0</v>
      </c>
      <c r="L1098" s="266" t="s">
        <v>3361</v>
      </c>
      <c r="M1098" s="266">
        <v>2.0</v>
      </c>
      <c r="N1098" s="266">
        <v>3.0</v>
      </c>
      <c r="O1098" s="266">
        <v>1.0</v>
      </c>
      <c r="P1098" s="266">
        <v>1.0</v>
      </c>
      <c r="Q1098" s="266" t="s">
        <v>166</v>
      </c>
      <c r="R1098" s="497" t="s">
        <v>166</v>
      </c>
      <c r="S1098" s="497" t="s">
        <v>166</v>
      </c>
      <c r="T1098" s="496"/>
    </row>
    <row r="1099">
      <c r="A1099" s="494" t="s">
        <v>3401</v>
      </c>
      <c r="B1099" s="495" t="s">
        <v>3543</v>
      </c>
      <c r="C1099" s="174" t="str">
        <f t="shared" si="195"/>
        <v>EVGA</v>
      </c>
      <c r="D1099" s="452" t="s">
        <v>3513</v>
      </c>
      <c r="E1099" s="266">
        <v>269.83</v>
      </c>
      <c r="F1099" s="266">
        <v>111.15</v>
      </c>
      <c r="G1099" s="266">
        <v>40.0</v>
      </c>
      <c r="H1099" s="266">
        <v>2.0</v>
      </c>
      <c r="I1099" s="266">
        <v>1830.0</v>
      </c>
      <c r="J1099" s="266">
        <v>14.0</v>
      </c>
      <c r="K1099" s="266">
        <v>215.0</v>
      </c>
      <c r="L1099" s="266" t="s">
        <v>3361</v>
      </c>
      <c r="M1099" s="266">
        <v>2.0</v>
      </c>
      <c r="N1099" s="266">
        <v>3.0</v>
      </c>
      <c r="O1099" s="266">
        <v>1.0</v>
      </c>
      <c r="P1099" s="266">
        <v>1.0</v>
      </c>
      <c r="Q1099" s="266" t="s">
        <v>166</v>
      </c>
      <c r="R1099" s="266" t="s">
        <v>166</v>
      </c>
      <c r="S1099" s="497" t="s">
        <v>166</v>
      </c>
      <c r="T1099" s="494"/>
    </row>
    <row r="1100">
      <c r="A1100" s="494" t="s">
        <v>3401</v>
      </c>
      <c r="B1100" s="495" t="s">
        <v>3543</v>
      </c>
      <c r="C1100" s="174" t="str">
        <f t="shared" si="195"/>
        <v>EVGA</v>
      </c>
      <c r="D1100" s="452" t="s">
        <v>3895</v>
      </c>
      <c r="E1100" s="266">
        <v>269.83</v>
      </c>
      <c r="F1100" s="266">
        <v>111.15</v>
      </c>
      <c r="G1100" s="266">
        <v>55.0</v>
      </c>
      <c r="H1100" s="266">
        <v>3.0</v>
      </c>
      <c r="I1100" s="266">
        <v>1800.0</v>
      </c>
      <c r="J1100" s="266">
        <v>14.0</v>
      </c>
      <c r="K1100" s="266">
        <v>215.0</v>
      </c>
      <c r="L1100" s="266" t="s">
        <v>3361</v>
      </c>
      <c r="M1100" s="266">
        <v>2.0</v>
      </c>
      <c r="N1100" s="266">
        <v>3.0</v>
      </c>
      <c r="O1100" s="266">
        <v>1.0</v>
      </c>
      <c r="P1100" s="266">
        <v>1.0</v>
      </c>
      <c r="Q1100" s="266" t="s">
        <v>166</v>
      </c>
      <c r="R1100" s="497" t="s">
        <v>166</v>
      </c>
      <c r="S1100" s="497" t="s">
        <v>166</v>
      </c>
      <c r="T1100" s="496"/>
    </row>
    <row r="1101">
      <c r="A1101" s="494" t="s">
        <v>3401</v>
      </c>
      <c r="B1101" s="495" t="s">
        <v>3543</v>
      </c>
      <c r="C1101" s="174" t="str">
        <f t="shared" si="195"/>
        <v>EVGA</v>
      </c>
      <c r="D1101" s="452" t="s">
        <v>4007</v>
      </c>
      <c r="E1101" s="266">
        <v>269.83</v>
      </c>
      <c r="F1101" s="266">
        <v>111.15</v>
      </c>
      <c r="G1101" s="266">
        <v>55.0</v>
      </c>
      <c r="H1101" s="266">
        <v>3.0</v>
      </c>
      <c r="I1101" s="266">
        <v>1800.0</v>
      </c>
      <c r="J1101" s="266">
        <v>15.5</v>
      </c>
      <c r="K1101" s="266">
        <v>215.0</v>
      </c>
      <c r="L1101" s="266" t="s">
        <v>3361</v>
      </c>
      <c r="M1101" s="266">
        <v>2.0</v>
      </c>
      <c r="N1101" s="266">
        <v>3.0</v>
      </c>
      <c r="O1101" s="266">
        <v>1.0</v>
      </c>
      <c r="P1101" s="266">
        <v>1.0</v>
      </c>
      <c r="Q1101" s="266" t="s">
        <v>166</v>
      </c>
      <c r="R1101" s="497" t="s">
        <v>166</v>
      </c>
      <c r="S1101" s="497" t="s">
        <v>166</v>
      </c>
      <c r="T1101" s="496"/>
    </row>
    <row r="1102">
      <c r="A1102" s="494" t="s">
        <v>3401</v>
      </c>
      <c r="B1102" s="495" t="s">
        <v>3543</v>
      </c>
      <c r="C1102" s="174" t="str">
        <f t="shared" si="195"/>
        <v>EVGA</v>
      </c>
      <c r="D1102" s="452" t="s">
        <v>3823</v>
      </c>
      <c r="E1102" s="266">
        <v>301.92</v>
      </c>
      <c r="F1102" s="266">
        <v>136.8</v>
      </c>
      <c r="G1102" s="266">
        <v>55.0</v>
      </c>
      <c r="H1102" s="266">
        <v>3.0</v>
      </c>
      <c r="I1102" s="266">
        <v>1770.0</v>
      </c>
      <c r="J1102" s="266">
        <v>14.0</v>
      </c>
      <c r="K1102" s="266">
        <v>215.0</v>
      </c>
      <c r="L1102" s="266" t="s">
        <v>3460</v>
      </c>
      <c r="M1102" s="266">
        <v>3.0</v>
      </c>
      <c r="N1102" s="266">
        <v>3.0</v>
      </c>
      <c r="O1102" s="266">
        <v>1.0</v>
      </c>
      <c r="P1102" s="266">
        <v>1.0</v>
      </c>
      <c r="Q1102" s="266" t="s">
        <v>166</v>
      </c>
      <c r="R1102" s="497" t="s">
        <v>166</v>
      </c>
      <c r="S1102" s="497" t="s">
        <v>166</v>
      </c>
      <c r="T1102" s="496"/>
    </row>
    <row r="1103">
      <c r="A1103" s="494" t="s">
        <v>3401</v>
      </c>
      <c r="B1103" s="495" t="s">
        <v>3543</v>
      </c>
      <c r="C1103" s="174" t="str">
        <f t="shared" si="195"/>
        <v>EVGA</v>
      </c>
      <c r="D1103" s="452" t="s">
        <v>3979</v>
      </c>
      <c r="E1103" s="266">
        <v>301.92</v>
      </c>
      <c r="F1103" s="266">
        <v>136.8</v>
      </c>
      <c r="G1103" s="266">
        <v>55.0</v>
      </c>
      <c r="H1103" s="266">
        <v>3.0</v>
      </c>
      <c r="I1103" s="266">
        <v>1815.0</v>
      </c>
      <c r="J1103" s="266">
        <v>14.0</v>
      </c>
      <c r="K1103" s="266">
        <v>215.0</v>
      </c>
      <c r="L1103" s="266" t="s">
        <v>3460</v>
      </c>
      <c r="M1103" s="266">
        <v>3.0</v>
      </c>
      <c r="N1103" s="266">
        <v>3.0</v>
      </c>
      <c r="O1103" s="266">
        <v>1.0</v>
      </c>
      <c r="P1103" s="266">
        <v>1.0</v>
      </c>
      <c r="Q1103" s="266" t="s">
        <v>166</v>
      </c>
      <c r="R1103" s="497" t="s">
        <v>166</v>
      </c>
      <c r="S1103" s="497" t="s">
        <v>166</v>
      </c>
      <c r="T1103" s="496"/>
    </row>
    <row r="1104">
      <c r="A1104" s="494" t="s">
        <v>3401</v>
      </c>
      <c r="B1104" s="495" t="s">
        <v>3543</v>
      </c>
      <c r="C1104" s="174" t="str">
        <f t="shared" si="195"/>
        <v>EVGA</v>
      </c>
      <c r="D1104" s="452" t="s">
        <v>4008</v>
      </c>
      <c r="E1104" s="604">
        <v>301.92</v>
      </c>
      <c r="F1104" s="605">
        <v>136.8</v>
      </c>
      <c r="G1104" s="602">
        <v>55.0</v>
      </c>
      <c r="H1104" s="266">
        <v>3.0</v>
      </c>
      <c r="I1104" s="266">
        <v>1815.0</v>
      </c>
      <c r="J1104" s="266">
        <v>15.5</v>
      </c>
      <c r="K1104" s="266">
        <v>215.0</v>
      </c>
      <c r="L1104" s="266" t="s">
        <v>3460</v>
      </c>
      <c r="M1104" s="266">
        <v>3.0</v>
      </c>
      <c r="N1104" s="266">
        <v>3.0</v>
      </c>
      <c r="O1104" s="266">
        <v>1.0</v>
      </c>
      <c r="P1104" s="266">
        <v>1.0</v>
      </c>
      <c r="Q1104" s="266" t="s">
        <v>166</v>
      </c>
      <c r="R1104" s="497" t="s">
        <v>166</v>
      </c>
      <c r="S1104" s="497" t="s">
        <v>166</v>
      </c>
      <c r="T1104" s="496"/>
    </row>
    <row r="1105">
      <c r="A1105" s="494" t="s">
        <v>3401</v>
      </c>
      <c r="B1105" s="495" t="s">
        <v>3543</v>
      </c>
      <c r="C1105" s="174" t="str">
        <f t="shared" si="195"/>
        <v>EVGA</v>
      </c>
      <c r="D1105" s="452" t="s">
        <v>4009</v>
      </c>
      <c r="E1105" s="266">
        <v>265.63</v>
      </c>
      <c r="F1105" s="266">
        <v>111.15</v>
      </c>
      <c r="G1105" s="266">
        <v>40.0</v>
      </c>
      <c r="H1105" s="266">
        <v>2.0</v>
      </c>
      <c r="I1105" s="266">
        <v>1800.0</v>
      </c>
      <c r="J1105" s="266">
        <v>14.0</v>
      </c>
      <c r="K1105" s="266">
        <v>215.0</v>
      </c>
      <c r="L1105" s="266" t="s">
        <v>3361</v>
      </c>
      <c r="M1105" s="266">
        <v>1.0</v>
      </c>
      <c r="N1105" s="266">
        <v>3.0</v>
      </c>
      <c r="O1105" s="266">
        <v>1.0</v>
      </c>
      <c r="P1105" s="266">
        <v>1.0</v>
      </c>
      <c r="Q1105" s="266" t="s">
        <v>166</v>
      </c>
      <c r="R1105" s="266" t="s">
        <v>174</v>
      </c>
      <c r="S1105" s="497" t="s">
        <v>166</v>
      </c>
      <c r="T1105" s="494"/>
    </row>
    <row r="1106">
      <c r="A1106" s="494" t="s">
        <v>3401</v>
      </c>
      <c r="B1106" s="495" t="s">
        <v>3543</v>
      </c>
      <c r="C1106" s="452" t="str">
        <f t="shared" ref="C1106:C1111" si="196">HYPERLINK("http://www.gainward.com/main/index.php?lang=en","Gainward")</f>
        <v>Gainward</v>
      </c>
      <c r="D1106" s="452" t="str">
        <f>HYPERLINK("http://www.gainward.com/main/vgapro.php?id=1060&amp;lang=en","RTX 2070 SUPER")</f>
        <v>RTX 2070 SUPER</v>
      </c>
      <c r="E1106" s="266">
        <v>269.0</v>
      </c>
      <c r="F1106" s="266">
        <v>112.0</v>
      </c>
      <c r="G1106" s="266">
        <v>40.0</v>
      </c>
      <c r="H1106" s="266">
        <v>2.0</v>
      </c>
      <c r="I1106" s="266">
        <v>1770.0</v>
      </c>
      <c r="J1106" s="266">
        <v>14.0</v>
      </c>
      <c r="K1106" s="266">
        <v>215.0</v>
      </c>
      <c r="L1106" s="266" t="s">
        <v>3361</v>
      </c>
      <c r="M1106" s="266">
        <v>1.0</v>
      </c>
      <c r="N1106" s="266">
        <v>3.0</v>
      </c>
      <c r="O1106" s="266">
        <v>1.0</v>
      </c>
      <c r="P1106" s="266" t="s">
        <v>166</v>
      </c>
      <c r="Q1106" s="266" t="s">
        <v>166</v>
      </c>
      <c r="R1106" s="266" t="s">
        <v>166</v>
      </c>
      <c r="S1106" s="266" t="s">
        <v>174</v>
      </c>
      <c r="T1106" s="494"/>
    </row>
    <row r="1107">
      <c r="A1107" s="494" t="s">
        <v>3401</v>
      </c>
      <c r="B1107" s="495" t="s">
        <v>3543</v>
      </c>
      <c r="C1107" s="452" t="str">
        <f t="shared" si="196"/>
        <v>Gainward</v>
      </c>
      <c r="D1107" s="452" t="s">
        <v>3371</v>
      </c>
      <c r="E1107" s="266">
        <v>288.0</v>
      </c>
      <c r="F1107" s="266">
        <v>112.0</v>
      </c>
      <c r="G1107" s="266">
        <v>50.0</v>
      </c>
      <c r="H1107" s="266">
        <v>2.0</v>
      </c>
      <c r="I1107" s="266">
        <v>1770.0</v>
      </c>
      <c r="J1107" s="266">
        <v>14.0</v>
      </c>
      <c r="K1107" s="266">
        <v>215.0</v>
      </c>
      <c r="L1107" s="266" t="s">
        <v>3361</v>
      </c>
      <c r="M1107" s="266">
        <v>3.0</v>
      </c>
      <c r="N1107" s="266">
        <v>3.0</v>
      </c>
      <c r="O1107" s="266">
        <v>1.0</v>
      </c>
      <c r="P1107" s="266" t="s">
        <v>166</v>
      </c>
      <c r="Q1107" s="266" t="s">
        <v>166</v>
      </c>
      <c r="R1107" s="497" t="s">
        <v>166</v>
      </c>
      <c r="S1107" s="497" t="s">
        <v>166</v>
      </c>
      <c r="T1107" s="496"/>
    </row>
    <row r="1108">
      <c r="A1108" s="494" t="s">
        <v>3401</v>
      </c>
      <c r="B1108" s="495" t="s">
        <v>3543</v>
      </c>
      <c r="C1108" s="452" t="str">
        <f t="shared" si="196"/>
        <v>Gainward</v>
      </c>
      <c r="D1108" s="452" t="s">
        <v>4010</v>
      </c>
      <c r="E1108" s="266">
        <v>288.0</v>
      </c>
      <c r="F1108" s="266">
        <v>112.0</v>
      </c>
      <c r="G1108" s="266">
        <v>50.0</v>
      </c>
      <c r="H1108" s="266">
        <v>2.0</v>
      </c>
      <c r="I1108" s="266">
        <v>1770.0</v>
      </c>
      <c r="J1108" s="266">
        <v>14.0</v>
      </c>
      <c r="K1108" s="266">
        <v>215.0</v>
      </c>
      <c r="L1108" s="266" t="s">
        <v>3361</v>
      </c>
      <c r="M1108" s="266">
        <v>3.0</v>
      </c>
      <c r="N1108" s="266">
        <v>3.0</v>
      </c>
      <c r="O1108" s="266">
        <v>1.0</v>
      </c>
      <c r="P1108" s="266" t="s">
        <v>166</v>
      </c>
      <c r="Q1108" s="266" t="s">
        <v>166</v>
      </c>
      <c r="R1108" s="497" t="s">
        <v>166</v>
      </c>
      <c r="S1108" s="497" t="s">
        <v>166</v>
      </c>
      <c r="T1108" s="496"/>
    </row>
    <row r="1109">
      <c r="A1109" s="494" t="s">
        <v>3401</v>
      </c>
      <c r="B1109" s="495" t="s">
        <v>3543</v>
      </c>
      <c r="C1109" s="452" t="str">
        <f t="shared" si="196"/>
        <v>Gainward</v>
      </c>
      <c r="D1109" s="452" t="s">
        <v>3917</v>
      </c>
      <c r="E1109" s="606">
        <v>288.0</v>
      </c>
      <c r="F1109" s="607">
        <v>112.0</v>
      </c>
      <c r="G1109" s="561">
        <v>50.0</v>
      </c>
      <c r="H1109" s="266">
        <v>2.0</v>
      </c>
      <c r="I1109" s="266">
        <v>1815.0</v>
      </c>
      <c r="J1109" s="266">
        <v>14.0</v>
      </c>
      <c r="K1109" s="266">
        <v>215.0</v>
      </c>
      <c r="L1109" s="266" t="s">
        <v>3361</v>
      </c>
      <c r="M1109" s="266">
        <v>3.0</v>
      </c>
      <c r="N1109" s="266">
        <v>3.0</v>
      </c>
      <c r="O1109" s="266">
        <v>1.0</v>
      </c>
      <c r="P1109" s="266" t="s">
        <v>166</v>
      </c>
      <c r="Q1109" s="266" t="s">
        <v>166</v>
      </c>
      <c r="R1109" s="497" t="s">
        <v>166</v>
      </c>
      <c r="S1109" s="497" t="s">
        <v>166</v>
      </c>
      <c r="T1109" s="496"/>
    </row>
    <row r="1110">
      <c r="A1110" s="494" t="s">
        <v>3401</v>
      </c>
      <c r="B1110" s="495" t="s">
        <v>3543</v>
      </c>
      <c r="C1110" s="452" t="str">
        <f t="shared" si="196"/>
        <v>Gainward</v>
      </c>
      <c r="D1110" s="452" t="s">
        <v>3953</v>
      </c>
      <c r="E1110" s="266">
        <v>292.0</v>
      </c>
      <c r="F1110" s="266">
        <v>130.0</v>
      </c>
      <c r="G1110" s="266">
        <v>54.0</v>
      </c>
      <c r="H1110" s="266">
        <v>2.0</v>
      </c>
      <c r="I1110" s="266">
        <v>1770.0</v>
      </c>
      <c r="J1110" s="266">
        <v>14.0</v>
      </c>
      <c r="K1110" s="266">
        <v>215.0</v>
      </c>
      <c r="L1110" s="266" t="s">
        <v>3460</v>
      </c>
      <c r="M1110" s="266">
        <v>3.0</v>
      </c>
      <c r="N1110" s="266">
        <v>3.0</v>
      </c>
      <c r="O1110" s="266">
        <v>1.0</v>
      </c>
      <c r="P1110" s="266" t="s">
        <v>166</v>
      </c>
      <c r="Q1110" s="266" t="s">
        <v>166</v>
      </c>
      <c r="R1110" s="497" t="s">
        <v>166</v>
      </c>
      <c r="S1110" s="497" t="s">
        <v>166</v>
      </c>
      <c r="T1110" s="496"/>
    </row>
    <row r="1111">
      <c r="A1111" s="494" t="s">
        <v>3401</v>
      </c>
      <c r="B1111" s="495" t="s">
        <v>3543</v>
      </c>
      <c r="C1111" s="452" t="str">
        <f t="shared" si="196"/>
        <v>Gainward</v>
      </c>
      <c r="D1111" s="452" t="s">
        <v>3954</v>
      </c>
      <c r="E1111" s="266">
        <v>292.0</v>
      </c>
      <c r="F1111" s="266">
        <v>130.0</v>
      </c>
      <c r="G1111" s="266">
        <v>54.0</v>
      </c>
      <c r="H1111" s="266">
        <v>2.0</v>
      </c>
      <c r="I1111" s="266">
        <v>1815.0</v>
      </c>
      <c r="J1111" s="266">
        <v>14.0</v>
      </c>
      <c r="K1111" s="266">
        <v>215.0</v>
      </c>
      <c r="L1111" s="266" t="s">
        <v>3460</v>
      </c>
      <c r="M1111" s="266">
        <v>3.0</v>
      </c>
      <c r="N1111" s="266">
        <v>3.0</v>
      </c>
      <c r="O1111" s="266">
        <v>1.0</v>
      </c>
      <c r="P1111" s="266" t="s">
        <v>166</v>
      </c>
      <c r="Q1111" s="266" t="s">
        <v>166</v>
      </c>
      <c r="R1111" s="497" t="s">
        <v>166</v>
      </c>
      <c r="S1111" s="497" t="s">
        <v>166</v>
      </c>
      <c r="T1111" s="496"/>
    </row>
    <row r="1112">
      <c r="A1112" s="494" t="s">
        <v>3401</v>
      </c>
      <c r="B1112" s="495" t="s">
        <v>3543</v>
      </c>
      <c r="C1112" s="174" t="s">
        <v>3456</v>
      </c>
      <c r="D1112" s="452" t="str">
        <f>HYPERLINK("http://www.galax.com/en/graphics-card/20-series/geforcer-rtx-super-series/geforcer-rtx-2070-super-series/galax-geforce-rtx-2070-super-blower.html","RTX 2070 SUPER")</f>
        <v>RTX 2070 SUPER</v>
      </c>
      <c r="E1112" s="266">
        <v>268.0</v>
      </c>
      <c r="F1112" s="266">
        <v>123.0</v>
      </c>
      <c r="G1112" s="266">
        <v>38.0</v>
      </c>
      <c r="H1112" s="266">
        <v>2.0</v>
      </c>
      <c r="I1112" s="266">
        <v>1770.0</v>
      </c>
      <c r="J1112" s="266">
        <v>14.0</v>
      </c>
      <c r="K1112" s="266">
        <v>215.0</v>
      </c>
      <c r="L1112" s="266" t="s">
        <v>3361</v>
      </c>
      <c r="M1112" s="266">
        <v>1.0</v>
      </c>
      <c r="N1112" s="266">
        <v>3.0</v>
      </c>
      <c r="O1112" s="266">
        <v>1.0</v>
      </c>
      <c r="P1112" s="266" t="s">
        <v>166</v>
      </c>
      <c r="Q1112" s="266" t="s">
        <v>166</v>
      </c>
      <c r="R1112" s="266" t="s">
        <v>166</v>
      </c>
      <c r="S1112" s="266" t="s">
        <v>174</v>
      </c>
      <c r="T1112" s="494"/>
    </row>
    <row r="1113">
      <c r="A1113" s="494" t="s">
        <v>3401</v>
      </c>
      <c r="B1113" s="495" t="s">
        <v>3543</v>
      </c>
      <c r="C1113" s="174" t="s">
        <v>3456</v>
      </c>
      <c r="D1113" s="452" t="s">
        <v>3489</v>
      </c>
      <c r="E1113" s="266">
        <v>285.0</v>
      </c>
      <c r="F1113" s="266">
        <v>127.0</v>
      </c>
      <c r="G1113" s="266">
        <v>52.0</v>
      </c>
      <c r="H1113" s="266">
        <v>2.0</v>
      </c>
      <c r="I1113" s="266">
        <v>1830.0</v>
      </c>
      <c r="J1113" s="266">
        <v>14.0</v>
      </c>
      <c r="K1113" s="266">
        <v>215.0</v>
      </c>
      <c r="L1113" s="266" t="s">
        <v>3361</v>
      </c>
      <c r="M1113" s="266">
        <v>2.0</v>
      </c>
      <c r="N1113" s="266">
        <v>3.0</v>
      </c>
      <c r="O1113" s="266">
        <v>1.0</v>
      </c>
      <c r="P1113" s="266" t="s">
        <v>166</v>
      </c>
      <c r="Q1113" s="266" t="s">
        <v>166</v>
      </c>
      <c r="R1113" s="497" t="s">
        <v>166</v>
      </c>
      <c r="S1113" s="497" t="s">
        <v>166</v>
      </c>
      <c r="T1113" s="496"/>
    </row>
    <row r="1114">
      <c r="A1114" s="494" t="s">
        <v>3401</v>
      </c>
      <c r="B1114" s="495" t="s">
        <v>3543</v>
      </c>
      <c r="C1114" s="174" t="s">
        <v>3456</v>
      </c>
      <c r="D1114" s="452" t="s">
        <v>4011</v>
      </c>
      <c r="E1114" s="266">
        <v>285.0</v>
      </c>
      <c r="F1114" s="266">
        <v>127.0</v>
      </c>
      <c r="G1114" s="266">
        <v>52.0</v>
      </c>
      <c r="H1114" s="266">
        <v>2.0</v>
      </c>
      <c r="I1114" s="266">
        <v>1830.0</v>
      </c>
      <c r="J1114" s="266">
        <v>14.0</v>
      </c>
      <c r="K1114" s="266">
        <v>215.0</v>
      </c>
      <c r="L1114" s="266" t="s">
        <v>3361</v>
      </c>
      <c r="M1114" s="266">
        <v>2.0</v>
      </c>
      <c r="N1114" s="266">
        <v>3.0</v>
      </c>
      <c r="O1114" s="266">
        <v>1.0</v>
      </c>
      <c r="P1114" s="266" t="s">
        <v>166</v>
      </c>
      <c r="Q1114" s="266" t="s">
        <v>166</v>
      </c>
      <c r="R1114" s="497" t="s">
        <v>166</v>
      </c>
      <c r="S1114" s="497" t="s">
        <v>166</v>
      </c>
      <c r="T1114" s="496"/>
    </row>
    <row r="1115">
      <c r="A1115" s="494" t="s">
        <v>3401</v>
      </c>
      <c r="B1115" s="495" t="s">
        <v>3543</v>
      </c>
      <c r="C1115" s="174" t="s">
        <v>3456</v>
      </c>
      <c r="D1115" s="452" t="s">
        <v>3956</v>
      </c>
      <c r="E1115" s="266">
        <v>285.0</v>
      </c>
      <c r="F1115" s="266">
        <v>127.0</v>
      </c>
      <c r="G1115" s="266">
        <v>52.0</v>
      </c>
      <c r="H1115" s="266">
        <v>2.0</v>
      </c>
      <c r="I1115" s="266">
        <v>1830.0</v>
      </c>
      <c r="J1115" s="266">
        <v>14.0</v>
      </c>
      <c r="K1115" s="266">
        <v>215.0</v>
      </c>
      <c r="L1115" s="266" t="s">
        <v>3361</v>
      </c>
      <c r="M1115" s="266">
        <v>2.0</v>
      </c>
      <c r="N1115" s="266">
        <v>3.0</v>
      </c>
      <c r="O1115" s="266">
        <v>1.0</v>
      </c>
      <c r="P1115" s="266" t="s">
        <v>166</v>
      </c>
      <c r="Q1115" s="266" t="s">
        <v>166</v>
      </c>
      <c r="R1115" s="497" t="s">
        <v>166</v>
      </c>
      <c r="S1115" s="497" t="s">
        <v>166</v>
      </c>
      <c r="T1115" s="496"/>
    </row>
    <row r="1116">
      <c r="A1116" s="494" t="s">
        <v>3401</v>
      </c>
      <c r="B1116" s="495" t="s">
        <v>3543</v>
      </c>
      <c r="C1116" s="174" t="s">
        <v>3456</v>
      </c>
      <c r="D1116" s="452" t="s">
        <v>3983</v>
      </c>
      <c r="E1116" s="266">
        <v>294.0</v>
      </c>
      <c r="F1116" s="266">
        <v>129.0</v>
      </c>
      <c r="G1116" s="266">
        <v>51.0</v>
      </c>
      <c r="H1116" s="266">
        <v>2.0</v>
      </c>
      <c r="I1116" s="266">
        <v>1830.0</v>
      </c>
      <c r="J1116" s="266">
        <v>14.0</v>
      </c>
      <c r="K1116" s="266">
        <v>215.0</v>
      </c>
      <c r="L1116" s="266" t="s">
        <v>3361</v>
      </c>
      <c r="M1116" s="266">
        <v>3.0</v>
      </c>
      <c r="N1116" s="266">
        <v>3.0</v>
      </c>
      <c r="O1116" s="266">
        <v>1.0</v>
      </c>
      <c r="P1116" s="266" t="s">
        <v>166</v>
      </c>
      <c r="Q1116" s="266" t="s">
        <v>166</v>
      </c>
      <c r="R1116" s="497" t="s">
        <v>166</v>
      </c>
      <c r="S1116" s="497" t="s">
        <v>166</v>
      </c>
      <c r="T1116" s="496"/>
    </row>
    <row r="1117">
      <c r="A1117" s="494" t="s">
        <v>3401</v>
      </c>
      <c r="B1117" s="495" t="s">
        <v>3543</v>
      </c>
      <c r="C1117" s="174" t="s">
        <v>3456</v>
      </c>
      <c r="D1117" s="452" t="s">
        <v>4012</v>
      </c>
      <c r="E1117" s="266">
        <v>294.0</v>
      </c>
      <c r="F1117" s="266">
        <v>129.0</v>
      </c>
      <c r="G1117" s="266">
        <v>51.0</v>
      </c>
      <c r="H1117" s="266">
        <v>2.0</v>
      </c>
      <c r="I1117" s="266">
        <v>1830.0</v>
      </c>
      <c r="J1117" s="266">
        <v>14.0</v>
      </c>
      <c r="K1117" s="266">
        <v>215.0</v>
      </c>
      <c r="L1117" s="266" t="s">
        <v>3361</v>
      </c>
      <c r="M1117" s="266">
        <v>3.0</v>
      </c>
      <c r="N1117" s="266">
        <v>3.0</v>
      </c>
      <c r="O1117" s="266">
        <v>1.0</v>
      </c>
      <c r="P1117" s="266" t="s">
        <v>166</v>
      </c>
      <c r="Q1117" s="266" t="s">
        <v>166</v>
      </c>
      <c r="R1117" s="497" t="s">
        <v>166</v>
      </c>
      <c r="S1117" s="497" t="s">
        <v>166</v>
      </c>
      <c r="T1117" s="496"/>
    </row>
    <row r="1118">
      <c r="A1118" s="494" t="s">
        <v>3401</v>
      </c>
      <c r="B1118" s="495" t="s">
        <v>3543</v>
      </c>
      <c r="C1118" s="174" t="s">
        <v>3456</v>
      </c>
      <c r="D1118" s="452" t="s">
        <v>4013</v>
      </c>
      <c r="E1118" s="266">
        <v>314.0</v>
      </c>
      <c r="F1118" s="266">
        <v>132.0</v>
      </c>
      <c r="G1118" s="266">
        <v>53.0</v>
      </c>
      <c r="H1118" s="266">
        <v>2.0</v>
      </c>
      <c r="I1118" s="266">
        <v>1830.0</v>
      </c>
      <c r="J1118" s="266">
        <v>14.0</v>
      </c>
      <c r="K1118" s="266">
        <v>215.0</v>
      </c>
      <c r="L1118" s="266" t="s">
        <v>3361</v>
      </c>
      <c r="M1118" s="266">
        <v>3.0</v>
      </c>
      <c r="N1118" s="266">
        <v>3.0</v>
      </c>
      <c r="O1118" s="266">
        <v>1.0</v>
      </c>
      <c r="P1118" s="266" t="s">
        <v>166</v>
      </c>
      <c r="Q1118" s="266" t="s">
        <v>166</v>
      </c>
      <c r="R1118" s="497" t="s">
        <v>166</v>
      </c>
      <c r="S1118" s="497" t="s">
        <v>166</v>
      </c>
      <c r="T1118" s="496"/>
    </row>
    <row r="1119">
      <c r="A1119" s="494" t="s">
        <v>3401</v>
      </c>
      <c r="B1119" s="495" t="s">
        <v>3543</v>
      </c>
      <c r="C1119" s="174" t="s">
        <v>3456</v>
      </c>
      <c r="D1119" s="452" t="s">
        <v>4014</v>
      </c>
      <c r="E1119" s="266">
        <v>320.0</v>
      </c>
      <c r="F1119" s="266">
        <v>139.0</v>
      </c>
      <c r="G1119" s="266">
        <v>60.0</v>
      </c>
      <c r="H1119" s="266">
        <v>2.0</v>
      </c>
      <c r="I1119" s="266">
        <v>1905.0</v>
      </c>
      <c r="J1119" s="266">
        <v>15.5</v>
      </c>
      <c r="K1119" s="266">
        <v>215.0</v>
      </c>
      <c r="L1119" s="266" t="s">
        <v>3460</v>
      </c>
      <c r="M1119" s="266">
        <v>3.0</v>
      </c>
      <c r="N1119" s="266">
        <v>3.0</v>
      </c>
      <c r="O1119" s="266">
        <v>1.0</v>
      </c>
      <c r="P1119" s="266">
        <v>1.0</v>
      </c>
      <c r="Q1119" s="266" t="s">
        <v>166</v>
      </c>
      <c r="R1119" s="497" t="s">
        <v>166</v>
      </c>
      <c r="S1119" s="497" t="s">
        <v>166</v>
      </c>
      <c r="T1119" s="496"/>
    </row>
    <row r="1120">
      <c r="A1120" s="494" t="s">
        <v>3401</v>
      </c>
      <c r="B1120" s="495" t="s">
        <v>3543</v>
      </c>
      <c r="C1120" s="174" t="s">
        <v>3456</v>
      </c>
      <c r="D1120" s="452" t="s">
        <v>4015</v>
      </c>
      <c r="E1120" s="266">
        <v>320.0</v>
      </c>
      <c r="F1120" s="266">
        <v>139.0</v>
      </c>
      <c r="G1120" s="266">
        <v>60.0</v>
      </c>
      <c r="H1120" s="266">
        <v>2.0</v>
      </c>
      <c r="I1120" s="266">
        <v>1905.0</v>
      </c>
      <c r="J1120" s="266">
        <v>15.5</v>
      </c>
      <c r="K1120" s="266">
        <v>215.0</v>
      </c>
      <c r="L1120" s="266" t="s">
        <v>3460</v>
      </c>
      <c r="M1120" s="266">
        <v>3.0</v>
      </c>
      <c r="N1120" s="266">
        <v>3.0</v>
      </c>
      <c r="O1120" s="266">
        <v>1.0</v>
      </c>
      <c r="P1120" s="266">
        <v>1.0</v>
      </c>
      <c r="Q1120" s="266" t="s">
        <v>166</v>
      </c>
      <c r="R1120" s="497" t="s">
        <v>166</v>
      </c>
      <c r="S1120" s="497" t="s">
        <v>166</v>
      </c>
      <c r="T1120" s="496"/>
    </row>
    <row r="1121">
      <c r="A1121" s="494" t="s">
        <v>3401</v>
      </c>
      <c r="B1121" s="495" t="s">
        <v>3543</v>
      </c>
      <c r="C1121" s="174" t="s">
        <v>3456</v>
      </c>
      <c r="D1121" s="452" t="s">
        <v>4016</v>
      </c>
      <c r="E1121" s="266">
        <v>319.0</v>
      </c>
      <c r="F1121" s="266">
        <v>155.0</v>
      </c>
      <c r="G1121" s="266">
        <v>60.0</v>
      </c>
      <c r="H1121" s="266">
        <v>2.0</v>
      </c>
      <c r="I1121" s="266">
        <v>1920.0</v>
      </c>
      <c r="J1121" s="266">
        <v>15.5</v>
      </c>
      <c r="K1121" s="266">
        <v>215.0</v>
      </c>
      <c r="L1121" s="266" t="s">
        <v>3460</v>
      </c>
      <c r="M1121" s="266">
        <v>3.0</v>
      </c>
      <c r="N1121" s="266">
        <v>3.0</v>
      </c>
      <c r="O1121" s="266">
        <v>1.0</v>
      </c>
      <c r="P1121" s="266">
        <v>1.0</v>
      </c>
      <c r="Q1121" s="266" t="s">
        <v>166</v>
      </c>
      <c r="R1121" s="497" t="s">
        <v>166</v>
      </c>
      <c r="S1121" s="497" t="s">
        <v>166</v>
      </c>
      <c r="T1121" s="496"/>
    </row>
    <row r="1122">
      <c r="A1122" s="494" t="s">
        <v>3401</v>
      </c>
      <c r="B1122" s="495" t="s">
        <v>3543</v>
      </c>
      <c r="C1122" s="174" t="str">
        <f t="shared" ref="C1122:C1128" si="197">HYPERLINK("https://www.gigabyte.com/","Gigabyte")</f>
        <v>Gigabyte</v>
      </c>
      <c r="D1122" s="452" t="s">
        <v>3597</v>
      </c>
      <c r="E1122" s="266">
        <v>280.35</v>
      </c>
      <c r="F1122" s="266">
        <v>116.45</v>
      </c>
      <c r="G1122" s="266">
        <v>40.24</v>
      </c>
      <c r="H1122" s="266">
        <v>2.0</v>
      </c>
      <c r="I1122" s="266">
        <v>1770.0</v>
      </c>
      <c r="J1122" s="266">
        <v>14.0</v>
      </c>
      <c r="K1122" s="266">
        <v>215.0</v>
      </c>
      <c r="L1122" s="266" t="s">
        <v>3361</v>
      </c>
      <c r="M1122" s="266">
        <v>3.0</v>
      </c>
      <c r="N1122" s="266">
        <v>3.0</v>
      </c>
      <c r="O1122" s="266">
        <v>1.0</v>
      </c>
      <c r="P1122" s="266">
        <v>1.0</v>
      </c>
      <c r="Q1122" s="266" t="s">
        <v>166</v>
      </c>
      <c r="R1122" s="497" t="s">
        <v>166</v>
      </c>
      <c r="S1122" s="497" t="s">
        <v>166</v>
      </c>
      <c r="T1122" s="496"/>
    </row>
    <row r="1123">
      <c r="A1123" s="494" t="s">
        <v>3401</v>
      </c>
      <c r="B1123" s="495" t="s">
        <v>3543</v>
      </c>
      <c r="C1123" s="174" t="str">
        <f t="shared" si="197"/>
        <v>Gigabyte</v>
      </c>
      <c r="D1123" s="452" t="s">
        <v>3578</v>
      </c>
      <c r="E1123" s="266">
        <v>280.35</v>
      </c>
      <c r="F1123" s="266">
        <v>116.45</v>
      </c>
      <c r="G1123" s="266">
        <v>40.24</v>
      </c>
      <c r="H1123" s="266">
        <v>2.0</v>
      </c>
      <c r="I1123" s="266">
        <v>1785.0</v>
      </c>
      <c r="J1123" s="266">
        <v>14.0</v>
      </c>
      <c r="K1123" s="266">
        <v>215.0</v>
      </c>
      <c r="L1123" s="266" t="s">
        <v>3361</v>
      </c>
      <c r="M1123" s="266">
        <v>3.0</v>
      </c>
      <c r="N1123" s="266">
        <v>3.0</v>
      </c>
      <c r="O1123" s="266">
        <v>1.0</v>
      </c>
      <c r="P1123" s="266">
        <v>1.0</v>
      </c>
      <c r="Q1123" s="266" t="s">
        <v>166</v>
      </c>
      <c r="R1123" s="497" t="s">
        <v>166</v>
      </c>
      <c r="S1123" s="497" t="s">
        <v>166</v>
      </c>
      <c r="T1123" s="496"/>
    </row>
    <row r="1124">
      <c r="A1124" s="494" t="s">
        <v>3401</v>
      </c>
      <c r="B1124" s="495" t="s">
        <v>3543</v>
      </c>
      <c r="C1124" s="174" t="str">
        <f t="shared" si="197"/>
        <v>Gigabyte</v>
      </c>
      <c r="D1124" s="452" t="s">
        <v>3630</v>
      </c>
      <c r="E1124" s="266">
        <v>286.5</v>
      </c>
      <c r="F1124" s="266">
        <v>114.5</v>
      </c>
      <c r="G1124" s="266">
        <v>50.2</v>
      </c>
      <c r="H1124" s="266">
        <v>2.0</v>
      </c>
      <c r="I1124" s="266">
        <v>1815.0</v>
      </c>
      <c r="J1124" s="266">
        <v>14.0</v>
      </c>
      <c r="K1124" s="266">
        <v>215.0</v>
      </c>
      <c r="L1124" s="266" t="s">
        <v>3361</v>
      </c>
      <c r="M1124" s="266">
        <v>3.0</v>
      </c>
      <c r="N1124" s="266">
        <v>3.0</v>
      </c>
      <c r="O1124" s="266">
        <v>1.0</v>
      </c>
      <c r="P1124" s="266">
        <v>1.0</v>
      </c>
      <c r="Q1124" s="266" t="s">
        <v>166</v>
      </c>
      <c r="R1124" s="497" t="s">
        <v>166</v>
      </c>
      <c r="S1124" s="497" t="s">
        <v>166</v>
      </c>
      <c r="T1124" s="496"/>
    </row>
    <row r="1125">
      <c r="A1125" s="494" t="s">
        <v>3401</v>
      </c>
      <c r="B1125" s="495" t="s">
        <v>3543</v>
      </c>
      <c r="C1125" s="174" t="str">
        <f t="shared" si="197"/>
        <v>Gigabyte</v>
      </c>
      <c r="D1125" s="452" t="s">
        <v>3957</v>
      </c>
      <c r="E1125" s="266">
        <v>286.5</v>
      </c>
      <c r="F1125" s="266">
        <v>114.5</v>
      </c>
      <c r="G1125" s="266">
        <v>50.2</v>
      </c>
      <c r="H1125" s="266">
        <v>2.0</v>
      </c>
      <c r="I1125" s="266">
        <v>1815.0</v>
      </c>
      <c r="J1125" s="266">
        <v>14.0</v>
      </c>
      <c r="K1125" s="266">
        <v>215.0</v>
      </c>
      <c r="L1125" s="266" t="s">
        <v>3361</v>
      </c>
      <c r="M1125" s="266">
        <v>3.0</v>
      </c>
      <c r="N1125" s="266">
        <v>3.0</v>
      </c>
      <c r="O1125" s="266">
        <v>1.0</v>
      </c>
      <c r="P1125" s="266">
        <v>1.0</v>
      </c>
      <c r="Q1125" s="266" t="s">
        <v>166</v>
      </c>
      <c r="R1125" s="497" t="s">
        <v>166</v>
      </c>
      <c r="S1125" s="497" t="s">
        <v>166</v>
      </c>
      <c r="T1125" s="496"/>
    </row>
    <row r="1126">
      <c r="A1126" s="494" t="s">
        <v>3401</v>
      </c>
      <c r="B1126" s="495" t="s">
        <v>3543</v>
      </c>
      <c r="C1126" s="174" t="str">
        <f t="shared" si="197"/>
        <v>Gigabyte</v>
      </c>
      <c r="D1126" s="452" t="s">
        <v>3959</v>
      </c>
      <c r="E1126" s="608">
        <v>286.5</v>
      </c>
      <c r="F1126" s="609">
        <v>114.5</v>
      </c>
      <c r="G1126" s="610">
        <v>50.2</v>
      </c>
      <c r="H1126" s="266">
        <v>2.0</v>
      </c>
      <c r="I1126" s="266">
        <v>1815.0</v>
      </c>
      <c r="J1126" s="266">
        <v>14.0</v>
      </c>
      <c r="K1126" s="266">
        <v>215.0</v>
      </c>
      <c r="L1126" s="266" t="s">
        <v>3361</v>
      </c>
      <c r="M1126" s="266">
        <v>3.0</v>
      </c>
      <c r="N1126" s="266">
        <v>3.0</v>
      </c>
      <c r="O1126" s="266">
        <v>1.0</v>
      </c>
      <c r="P1126" s="266" t="s">
        <v>166</v>
      </c>
      <c r="Q1126" s="266" t="s">
        <v>166</v>
      </c>
      <c r="R1126" s="497" t="s">
        <v>166</v>
      </c>
      <c r="S1126" s="497" t="s">
        <v>166</v>
      </c>
      <c r="T1126" s="496"/>
    </row>
    <row r="1127">
      <c r="A1127" s="494" t="s">
        <v>3401</v>
      </c>
      <c r="B1127" s="495" t="s">
        <v>3543</v>
      </c>
      <c r="C1127" s="174" t="str">
        <f t="shared" si="197"/>
        <v>Gigabyte</v>
      </c>
      <c r="D1127" s="452" t="s">
        <v>3960</v>
      </c>
      <c r="E1127" s="608">
        <v>286.5</v>
      </c>
      <c r="F1127" s="609">
        <v>114.5</v>
      </c>
      <c r="G1127" s="610">
        <v>50.2</v>
      </c>
      <c r="H1127" s="266">
        <v>2.0</v>
      </c>
      <c r="I1127" s="266">
        <v>1815.0</v>
      </c>
      <c r="J1127" s="266">
        <v>14.0</v>
      </c>
      <c r="K1127" s="266">
        <v>215.0</v>
      </c>
      <c r="L1127" s="266" t="s">
        <v>3361</v>
      </c>
      <c r="M1127" s="266">
        <v>3.0</v>
      </c>
      <c r="N1127" s="266">
        <v>3.0</v>
      </c>
      <c r="O1127" s="266">
        <v>1.0</v>
      </c>
      <c r="P1127" s="266" t="s">
        <v>166</v>
      </c>
      <c r="Q1127" s="266" t="s">
        <v>166</v>
      </c>
      <c r="R1127" s="497" t="s">
        <v>166</v>
      </c>
      <c r="S1127" s="497" t="s">
        <v>166</v>
      </c>
      <c r="T1127" s="496"/>
    </row>
    <row r="1128">
      <c r="A1128" s="494" t="s">
        <v>3401</v>
      </c>
      <c r="B1128" s="495" t="s">
        <v>3543</v>
      </c>
      <c r="C1128" s="174" t="str">
        <f t="shared" si="197"/>
        <v>Gigabyte</v>
      </c>
      <c r="D1128" s="452" t="s">
        <v>3677</v>
      </c>
      <c r="E1128" s="266">
        <v>290.0</v>
      </c>
      <c r="F1128" s="266">
        <v>134.31</v>
      </c>
      <c r="G1128" s="266">
        <v>59.9</v>
      </c>
      <c r="H1128" s="266">
        <v>2.0</v>
      </c>
      <c r="I1128" s="266">
        <v>1800.0</v>
      </c>
      <c r="J1128" s="266">
        <v>14.0</v>
      </c>
      <c r="K1128" s="266">
        <v>215.0</v>
      </c>
      <c r="L1128" s="266" t="s">
        <v>3460</v>
      </c>
      <c r="M1128" s="266">
        <v>3.0</v>
      </c>
      <c r="N1128" s="266">
        <v>3.0</v>
      </c>
      <c r="O1128" s="266">
        <v>3.0</v>
      </c>
      <c r="P1128" s="266">
        <v>1.0</v>
      </c>
      <c r="Q1128" s="266" t="s">
        <v>166</v>
      </c>
      <c r="R1128" s="497" t="s">
        <v>166</v>
      </c>
      <c r="S1128" s="497" t="s">
        <v>166</v>
      </c>
      <c r="T1128" s="496"/>
    </row>
    <row r="1129">
      <c r="A1129" s="494" t="s">
        <v>3401</v>
      </c>
      <c r="B1129" s="495" t="s">
        <v>3543</v>
      </c>
      <c r="C1129" s="452" t="str">
        <f t="shared" ref="C1129:C1136" si="198">HYPERLINK("http://www.inno3d.com/","Inno3D")</f>
        <v>Inno3D</v>
      </c>
      <c r="D1129" s="452" t="s">
        <v>4017</v>
      </c>
      <c r="E1129" s="266">
        <v>268.0</v>
      </c>
      <c r="F1129" s="266">
        <v>113.0</v>
      </c>
      <c r="G1129" s="266">
        <v>40.0</v>
      </c>
      <c r="H1129" s="266">
        <v>2.0</v>
      </c>
      <c r="I1129" s="266">
        <v>1770.0</v>
      </c>
      <c r="J1129" s="266">
        <v>14.0</v>
      </c>
      <c r="K1129" s="266">
        <v>215.0</v>
      </c>
      <c r="L1129" s="266" t="s">
        <v>3361</v>
      </c>
      <c r="M1129" s="266">
        <v>1.0</v>
      </c>
      <c r="N1129" s="266">
        <v>3.0</v>
      </c>
      <c r="O1129" s="266">
        <v>1.0</v>
      </c>
      <c r="P1129" s="266" t="s">
        <v>166</v>
      </c>
      <c r="Q1129" s="266" t="s">
        <v>166</v>
      </c>
      <c r="R1129" s="266" t="s">
        <v>166</v>
      </c>
      <c r="S1129" s="266" t="s">
        <v>174</v>
      </c>
      <c r="T1129" s="494"/>
    </row>
    <row r="1130">
      <c r="A1130" s="494" t="s">
        <v>3401</v>
      </c>
      <c r="B1130" s="495" t="s">
        <v>3543</v>
      </c>
      <c r="C1130" s="452" t="str">
        <f t="shared" si="198"/>
        <v>Inno3D</v>
      </c>
      <c r="D1130" s="452" t="s">
        <v>3882</v>
      </c>
      <c r="E1130" s="266">
        <v>268.0</v>
      </c>
      <c r="F1130" s="266">
        <v>113.0</v>
      </c>
      <c r="G1130" s="266">
        <v>40.0</v>
      </c>
      <c r="H1130" s="266">
        <v>2.0</v>
      </c>
      <c r="I1130" s="266">
        <v>1785.0</v>
      </c>
      <c r="J1130" s="266">
        <v>14.0</v>
      </c>
      <c r="K1130" s="266">
        <v>215.0</v>
      </c>
      <c r="L1130" s="266" t="s">
        <v>3361</v>
      </c>
      <c r="M1130" s="266">
        <v>2.0</v>
      </c>
      <c r="N1130" s="266">
        <v>3.0</v>
      </c>
      <c r="O1130" s="266">
        <v>1.0</v>
      </c>
      <c r="P1130" s="266" t="s">
        <v>166</v>
      </c>
      <c r="Q1130" s="266" t="s">
        <v>166</v>
      </c>
      <c r="R1130" s="497" t="s">
        <v>166</v>
      </c>
      <c r="S1130" s="497" t="s">
        <v>166</v>
      </c>
      <c r="T1130" s="496"/>
    </row>
    <row r="1131">
      <c r="A1131" s="494" t="s">
        <v>3401</v>
      </c>
      <c r="B1131" s="495" t="s">
        <v>3543</v>
      </c>
      <c r="C1131" s="452" t="str">
        <f t="shared" si="198"/>
        <v>Inno3D</v>
      </c>
      <c r="D1131" s="452" t="s">
        <v>3920</v>
      </c>
      <c r="E1131" s="266">
        <v>300.0</v>
      </c>
      <c r="F1131" s="266">
        <v>140.0</v>
      </c>
      <c r="G1131" s="266">
        <v>60.0</v>
      </c>
      <c r="H1131" s="266">
        <v>2.0</v>
      </c>
      <c r="I1131" s="266">
        <v>1815.0</v>
      </c>
      <c r="J1131" s="266">
        <v>14.0</v>
      </c>
      <c r="K1131" s="266">
        <v>215.0</v>
      </c>
      <c r="L1131" s="266" t="s">
        <v>3460</v>
      </c>
      <c r="M1131" s="266">
        <v>2.0</v>
      </c>
      <c r="N1131" s="266">
        <v>3.0</v>
      </c>
      <c r="O1131" s="266">
        <v>1.0</v>
      </c>
      <c r="P1131" s="266" t="s">
        <v>166</v>
      </c>
      <c r="Q1131" s="266" t="s">
        <v>166</v>
      </c>
      <c r="R1131" s="497" t="s">
        <v>166</v>
      </c>
      <c r="S1131" s="497" t="s">
        <v>166</v>
      </c>
      <c r="T1131" s="496"/>
    </row>
    <row r="1132">
      <c r="A1132" s="494" t="s">
        <v>3401</v>
      </c>
      <c r="B1132" s="495" t="s">
        <v>3543</v>
      </c>
      <c r="C1132" s="452" t="str">
        <f t="shared" si="198"/>
        <v>Inno3D</v>
      </c>
      <c r="D1132" s="452" t="s">
        <v>4018</v>
      </c>
      <c r="E1132" s="266">
        <v>272.0</v>
      </c>
      <c r="F1132" s="266">
        <v>118.0</v>
      </c>
      <c r="G1132" s="266">
        <v>40.0</v>
      </c>
      <c r="H1132" s="266">
        <v>2.0</v>
      </c>
      <c r="I1132" s="266">
        <v>1815.0</v>
      </c>
      <c r="J1132" s="266">
        <v>14.0</v>
      </c>
      <c r="K1132" s="266">
        <v>215.0</v>
      </c>
      <c r="L1132" s="266" t="s">
        <v>3361</v>
      </c>
      <c r="M1132" s="266">
        <v>3.0</v>
      </c>
      <c r="N1132" s="266">
        <v>3.0</v>
      </c>
      <c r="O1132" s="266">
        <v>1.0</v>
      </c>
      <c r="P1132" s="266" t="s">
        <v>166</v>
      </c>
      <c r="Q1132" s="266" t="s">
        <v>166</v>
      </c>
      <c r="R1132" s="497" t="s">
        <v>166</v>
      </c>
      <c r="S1132" s="497" t="s">
        <v>166</v>
      </c>
      <c r="T1132" s="496"/>
    </row>
    <row r="1133">
      <c r="A1133" s="494" t="s">
        <v>3401</v>
      </c>
      <c r="B1133" s="495" t="s">
        <v>3543</v>
      </c>
      <c r="C1133" s="452" t="str">
        <f t="shared" si="198"/>
        <v>Inno3D</v>
      </c>
      <c r="D1133" s="452" t="s">
        <v>3921</v>
      </c>
      <c r="E1133" s="266">
        <v>302.0</v>
      </c>
      <c r="F1133" s="266">
        <v>123.0</v>
      </c>
      <c r="G1133" s="266">
        <v>60.0</v>
      </c>
      <c r="H1133" s="266">
        <v>2.0</v>
      </c>
      <c r="I1133" s="266">
        <v>1815.0</v>
      </c>
      <c r="J1133" s="266">
        <v>14.0</v>
      </c>
      <c r="K1133" s="266">
        <v>215.0</v>
      </c>
      <c r="L1133" s="266" t="s">
        <v>3361</v>
      </c>
      <c r="M1133" s="266">
        <v>3.0</v>
      </c>
      <c r="N1133" s="266">
        <v>3.0</v>
      </c>
      <c r="O1133" s="266">
        <v>1.0</v>
      </c>
      <c r="P1133" s="266" t="s">
        <v>166</v>
      </c>
      <c r="Q1133" s="266" t="s">
        <v>166</v>
      </c>
      <c r="R1133" s="497" t="s">
        <v>166</v>
      </c>
      <c r="S1133" s="497" t="s">
        <v>166</v>
      </c>
      <c r="T1133" s="496"/>
    </row>
    <row r="1134">
      <c r="A1134" s="494" t="s">
        <v>3401</v>
      </c>
      <c r="B1134" s="495" t="s">
        <v>3543</v>
      </c>
      <c r="C1134" s="452" t="str">
        <f t="shared" si="198"/>
        <v>Inno3D</v>
      </c>
      <c r="D1134" s="452" t="s">
        <v>3961</v>
      </c>
      <c r="E1134" s="266">
        <v>300.0</v>
      </c>
      <c r="F1134" s="266">
        <v>140.0</v>
      </c>
      <c r="G1134" s="266">
        <v>60.0</v>
      </c>
      <c r="H1134" s="266">
        <v>2.0</v>
      </c>
      <c r="I1134" s="266">
        <v>1815.0</v>
      </c>
      <c r="J1134" s="266">
        <v>14.0</v>
      </c>
      <c r="K1134" s="266">
        <v>215.0</v>
      </c>
      <c r="L1134" s="266" t="s">
        <v>3460</v>
      </c>
      <c r="M1134" s="266">
        <v>3.0</v>
      </c>
      <c r="N1134" s="266">
        <v>3.0</v>
      </c>
      <c r="O1134" s="266">
        <v>1.0</v>
      </c>
      <c r="P1134" s="266" t="s">
        <v>166</v>
      </c>
      <c r="Q1134" s="266" t="s">
        <v>166</v>
      </c>
      <c r="R1134" s="497" t="s">
        <v>166</v>
      </c>
      <c r="S1134" s="497" t="s">
        <v>166</v>
      </c>
      <c r="T1134" s="496"/>
    </row>
    <row r="1135">
      <c r="A1135" s="494" t="s">
        <v>3401</v>
      </c>
      <c r="B1135" s="495" t="s">
        <v>3543</v>
      </c>
      <c r="C1135" s="452" t="str">
        <f t="shared" si="198"/>
        <v>Inno3D</v>
      </c>
      <c r="D1135" s="452" t="s">
        <v>3992</v>
      </c>
      <c r="E1135" s="266">
        <v>272.0</v>
      </c>
      <c r="F1135" s="266">
        <v>112.0</v>
      </c>
      <c r="G1135" s="266">
        <v>40.0</v>
      </c>
      <c r="H1135" s="266">
        <v>2.0</v>
      </c>
      <c r="I1135" s="266">
        <v>1815.0</v>
      </c>
      <c r="J1135" s="266">
        <v>14.0</v>
      </c>
      <c r="K1135" s="266">
        <v>215.0</v>
      </c>
      <c r="L1135" s="266" t="s">
        <v>3361</v>
      </c>
      <c r="M1135" s="266" t="s">
        <v>166</v>
      </c>
      <c r="N1135" s="266">
        <v>3.0</v>
      </c>
      <c r="O1135" s="266">
        <v>1.0</v>
      </c>
      <c r="P1135" s="266" t="s">
        <v>166</v>
      </c>
      <c r="Q1135" s="266" t="s">
        <v>166</v>
      </c>
      <c r="R1135" s="266" t="s">
        <v>174</v>
      </c>
      <c r="S1135" s="497" t="s">
        <v>166</v>
      </c>
      <c r="T1135" s="494"/>
    </row>
    <row r="1136">
      <c r="A1136" s="494" t="s">
        <v>3401</v>
      </c>
      <c r="B1136" s="495" t="s">
        <v>3543</v>
      </c>
      <c r="C1136" s="452" t="str">
        <f t="shared" si="198"/>
        <v>Inno3D</v>
      </c>
      <c r="D1136" s="452" t="s">
        <v>3618</v>
      </c>
      <c r="E1136" s="266">
        <v>265.0</v>
      </c>
      <c r="F1136" s="266">
        <v>135.0</v>
      </c>
      <c r="G1136" s="266">
        <v>40.0</v>
      </c>
      <c r="H1136" s="266">
        <v>2.0</v>
      </c>
      <c r="I1136" s="266">
        <v>1815.0</v>
      </c>
      <c r="J1136" s="266">
        <v>14.0</v>
      </c>
      <c r="K1136" s="266">
        <v>215.0</v>
      </c>
      <c r="L1136" s="266" t="s">
        <v>3361</v>
      </c>
      <c r="M1136" s="266" t="s">
        <v>166</v>
      </c>
      <c r="N1136" s="266">
        <v>3.0</v>
      </c>
      <c r="O1136" s="266">
        <v>1.0</v>
      </c>
      <c r="P1136" s="266" t="s">
        <v>166</v>
      </c>
      <c r="Q1136" s="266" t="s">
        <v>166</v>
      </c>
      <c r="R1136" s="266" t="s">
        <v>174</v>
      </c>
      <c r="S1136" s="497" t="s">
        <v>166</v>
      </c>
      <c r="T1136" s="494"/>
    </row>
    <row r="1137">
      <c r="A1137" s="494" t="s">
        <v>3401</v>
      </c>
      <c r="B1137" s="495" t="s">
        <v>3543</v>
      </c>
      <c r="C1137" s="452" t="str">
        <f t="shared" ref="C1137:C1140" si="199">HYPERLINK("http://manli.com/en","Manli")</f>
        <v>Manli</v>
      </c>
      <c r="D1137" s="452" t="str">
        <f>HYPERLINK("https://manli.com/en/product-detail-MANLI_GeForce_RTX_2070_Super_Heatsink_with_Blower_Fan_(M1451+N502-00)-37.html","Blower (M1451+N502-00)")</f>
        <v>Blower (M1451+N502-00)</v>
      </c>
      <c r="E1137" s="266">
        <v>281.0</v>
      </c>
      <c r="F1137" s="266">
        <v>128.0</v>
      </c>
      <c r="G1137" s="266">
        <v>42.0</v>
      </c>
      <c r="H1137" s="266">
        <v>2.0</v>
      </c>
      <c r="I1137" s="266">
        <v>1770.0</v>
      </c>
      <c r="J1137" s="266">
        <v>14.0</v>
      </c>
      <c r="K1137" s="266">
        <v>215.0</v>
      </c>
      <c r="L1137" s="266" t="s">
        <v>3361</v>
      </c>
      <c r="M1137" s="266">
        <v>1.0</v>
      </c>
      <c r="N1137" s="266">
        <v>3.0</v>
      </c>
      <c r="O1137" s="266">
        <v>1.0</v>
      </c>
      <c r="P1137" s="266" t="s">
        <v>166</v>
      </c>
      <c r="Q1137" s="266" t="s">
        <v>166</v>
      </c>
      <c r="R1137" s="266" t="s">
        <v>166</v>
      </c>
      <c r="S1137" s="266" t="s">
        <v>174</v>
      </c>
      <c r="T1137" s="494"/>
    </row>
    <row r="1138">
      <c r="A1138" s="494" t="s">
        <v>3401</v>
      </c>
      <c r="B1138" s="495" t="s">
        <v>3543</v>
      </c>
      <c r="C1138" s="452" t="str">
        <f t="shared" si="199"/>
        <v>Manli</v>
      </c>
      <c r="D1138" s="452" t="str">
        <f>HYPERLINK("https://manli.com/en/product-detail-MANLI_GeForce_RTX_2070_Super_(F385-1G+N532)-36.html","(F385-1G+N532)")</f>
        <v>(F385-1G+N532)</v>
      </c>
      <c r="E1138" s="266">
        <v>240.0</v>
      </c>
      <c r="F1138" s="266">
        <v>140.0</v>
      </c>
      <c r="G1138" s="266">
        <v>42.0</v>
      </c>
      <c r="H1138" s="266">
        <v>2.0</v>
      </c>
      <c r="I1138" s="266">
        <v>1770.0</v>
      </c>
      <c r="J1138" s="266">
        <v>14.0</v>
      </c>
      <c r="K1138" s="266">
        <v>215.0</v>
      </c>
      <c r="L1138" s="266" t="s">
        <v>3361</v>
      </c>
      <c r="M1138" s="266">
        <v>2.0</v>
      </c>
      <c r="N1138" s="266">
        <v>3.0</v>
      </c>
      <c r="O1138" s="266">
        <v>1.0</v>
      </c>
      <c r="P1138" s="266" t="s">
        <v>166</v>
      </c>
      <c r="Q1138" s="266" t="s">
        <v>166</v>
      </c>
      <c r="R1138" s="497" t="s">
        <v>166</v>
      </c>
      <c r="S1138" s="497" t="s">
        <v>166</v>
      </c>
      <c r="T1138" s="496"/>
    </row>
    <row r="1139">
      <c r="A1139" s="494" t="s">
        <v>3401</v>
      </c>
      <c r="B1139" s="495" t="s">
        <v>3543</v>
      </c>
      <c r="C1139" s="452" t="str">
        <f t="shared" si="199"/>
        <v>Manli</v>
      </c>
      <c r="D1139" s="452" t="str">
        <f>HYPERLINK("https://manli.com/en/product-detail-MANLI_GeForce_RTX_2070_Super_(M3423+N502)-38.html","(M3423+N502)")</f>
        <v>(M3423+N502)</v>
      </c>
      <c r="E1139" s="266">
        <v>314.0</v>
      </c>
      <c r="F1139" s="266">
        <v>128.0</v>
      </c>
      <c r="G1139" s="266">
        <v>44.0</v>
      </c>
      <c r="H1139" s="266">
        <v>2.0</v>
      </c>
      <c r="I1139" s="266">
        <v>1770.0</v>
      </c>
      <c r="J1139" s="266">
        <v>14.0</v>
      </c>
      <c r="K1139" s="266">
        <v>215.0</v>
      </c>
      <c r="L1139" s="266" t="s">
        <v>3361</v>
      </c>
      <c r="M1139" s="266">
        <v>3.0</v>
      </c>
      <c r="N1139" s="266">
        <v>3.0</v>
      </c>
      <c r="O1139" s="266">
        <v>1.0</v>
      </c>
      <c r="P1139" s="266" t="s">
        <v>166</v>
      </c>
      <c r="Q1139" s="266" t="s">
        <v>166</v>
      </c>
      <c r="R1139" s="497" t="s">
        <v>166</v>
      </c>
      <c r="S1139" s="497" t="s">
        <v>166</v>
      </c>
      <c r="T1139" s="496"/>
    </row>
    <row r="1140">
      <c r="A1140" s="494" t="s">
        <v>3401</v>
      </c>
      <c r="B1140" s="495" t="s">
        <v>3543</v>
      </c>
      <c r="C1140" s="452" t="str">
        <f t="shared" si="199"/>
        <v>Manli</v>
      </c>
      <c r="D1140" s="452" t="str">
        <f>HYPERLINK("https://manli.com/en/product-detail-MANLI_GeForce_RTX_2070_Super_Gallardo_with_RGB_Lights(M3445+N502-00)-39.html","Gallardo RGB (M3445+N502-00)")</f>
        <v>Gallardo RGB (M3445+N502-00)</v>
      </c>
      <c r="E1140" s="266">
        <v>314.0</v>
      </c>
      <c r="F1140" s="266">
        <v>128.0</v>
      </c>
      <c r="G1140" s="266">
        <v>44.0</v>
      </c>
      <c r="H1140" s="266">
        <v>2.0</v>
      </c>
      <c r="I1140" s="266">
        <v>1770.0</v>
      </c>
      <c r="J1140" s="266">
        <v>14.0</v>
      </c>
      <c r="K1140" s="266">
        <v>215.0</v>
      </c>
      <c r="L1140" s="266" t="s">
        <v>3361</v>
      </c>
      <c r="M1140" s="266">
        <v>3.0</v>
      </c>
      <c r="N1140" s="266">
        <v>3.0</v>
      </c>
      <c r="O1140" s="266">
        <v>1.0</v>
      </c>
      <c r="P1140" s="266" t="s">
        <v>166</v>
      </c>
      <c r="Q1140" s="266" t="s">
        <v>166</v>
      </c>
      <c r="R1140" s="497" t="s">
        <v>166</v>
      </c>
      <c r="S1140" s="497" t="s">
        <v>166</v>
      </c>
      <c r="T1140" s="496"/>
    </row>
    <row r="1141">
      <c r="A1141" s="494" t="s">
        <v>3401</v>
      </c>
      <c r="B1141" s="495" t="s">
        <v>3543</v>
      </c>
      <c r="C1141" s="174" t="str">
        <f t="shared" ref="C1141:C1151" si="200">HYPERLINK("https://www.msi.com/index.php","MSI")</f>
        <v>MSI</v>
      </c>
      <c r="D1141" s="452" t="s">
        <v>3904</v>
      </c>
      <c r="E1141" s="266">
        <v>257.0</v>
      </c>
      <c r="F1141" s="266">
        <v>127.0</v>
      </c>
      <c r="G1141" s="266">
        <v>41.0</v>
      </c>
      <c r="H1141" s="266">
        <v>2.0</v>
      </c>
      <c r="I1141" s="266">
        <v>1770.0</v>
      </c>
      <c r="J1141" s="266">
        <v>14.0</v>
      </c>
      <c r="K1141" s="266">
        <v>215.0</v>
      </c>
      <c r="L1141" s="266" t="s">
        <v>3361</v>
      </c>
      <c r="M1141" s="266">
        <v>2.0</v>
      </c>
      <c r="N1141" s="266">
        <v>3.0</v>
      </c>
      <c r="O1141" s="266">
        <v>1.0</v>
      </c>
      <c r="P1141" s="266" t="s">
        <v>166</v>
      </c>
      <c r="Q1141" s="266" t="s">
        <v>166</v>
      </c>
      <c r="R1141" s="497" t="s">
        <v>166</v>
      </c>
      <c r="S1141" s="497" t="s">
        <v>166</v>
      </c>
      <c r="T1141" s="496"/>
    </row>
    <row r="1142">
      <c r="A1142" s="494" t="s">
        <v>3401</v>
      </c>
      <c r="B1142" s="495" t="s">
        <v>3543</v>
      </c>
      <c r="C1142" s="174" t="str">
        <f t="shared" si="200"/>
        <v>MSI</v>
      </c>
      <c r="D1142" s="452" t="s">
        <v>3905</v>
      </c>
      <c r="E1142" s="266">
        <v>257.0</v>
      </c>
      <c r="F1142" s="266">
        <v>127.0</v>
      </c>
      <c r="G1142" s="266">
        <v>41.0</v>
      </c>
      <c r="H1142" s="266">
        <v>2.0</v>
      </c>
      <c r="I1142" s="266">
        <v>1785.0</v>
      </c>
      <c r="J1142" s="266">
        <v>14.0</v>
      </c>
      <c r="K1142" s="266">
        <v>215.0</v>
      </c>
      <c r="L1142" s="266" t="s">
        <v>3361</v>
      </c>
      <c r="M1142" s="266">
        <v>2.0</v>
      </c>
      <c r="N1142" s="266">
        <v>3.0</v>
      </c>
      <c r="O1142" s="266">
        <v>1.0</v>
      </c>
      <c r="P1142" s="266" t="s">
        <v>166</v>
      </c>
      <c r="Q1142" s="266" t="s">
        <v>166</v>
      </c>
      <c r="R1142" s="497" t="s">
        <v>166</v>
      </c>
      <c r="S1142" s="497" t="s">
        <v>166</v>
      </c>
      <c r="T1142" s="496"/>
    </row>
    <row r="1143">
      <c r="A1143" s="494" t="s">
        <v>3401</v>
      </c>
      <c r="B1143" s="495" t="s">
        <v>3543</v>
      </c>
      <c r="C1143" s="174" t="str">
        <f t="shared" si="200"/>
        <v>MSI</v>
      </c>
      <c r="D1143" s="452" t="s">
        <v>3923</v>
      </c>
      <c r="E1143" s="266">
        <v>258.0</v>
      </c>
      <c r="F1143" s="266">
        <v>127.0</v>
      </c>
      <c r="G1143" s="266">
        <v>43.0</v>
      </c>
      <c r="H1143" s="266">
        <v>2.0</v>
      </c>
      <c r="I1143" s="266">
        <v>1770.0</v>
      </c>
      <c r="J1143" s="266">
        <v>14.0</v>
      </c>
      <c r="K1143" s="266">
        <v>215.0</v>
      </c>
      <c r="L1143" s="266" t="s">
        <v>3361</v>
      </c>
      <c r="M1143" s="266">
        <v>2.0</v>
      </c>
      <c r="N1143" s="266">
        <v>3.0</v>
      </c>
      <c r="O1143" s="266">
        <v>1.0</v>
      </c>
      <c r="P1143" s="266" t="s">
        <v>166</v>
      </c>
      <c r="Q1143" s="266" t="s">
        <v>166</v>
      </c>
      <c r="R1143" s="497" t="s">
        <v>166</v>
      </c>
      <c r="S1143" s="497" t="s">
        <v>166</v>
      </c>
      <c r="T1143" s="496"/>
    </row>
    <row r="1144">
      <c r="A1144" s="494" t="s">
        <v>3401</v>
      </c>
      <c r="B1144" s="495" t="s">
        <v>3543</v>
      </c>
      <c r="C1144" s="174" t="str">
        <f t="shared" si="200"/>
        <v>MSI</v>
      </c>
      <c r="D1144" s="452" t="s">
        <v>3924</v>
      </c>
      <c r="E1144" s="266">
        <v>258.0</v>
      </c>
      <c r="F1144" s="266">
        <v>127.0</v>
      </c>
      <c r="G1144" s="266">
        <v>43.0</v>
      </c>
      <c r="H1144" s="266">
        <v>2.0</v>
      </c>
      <c r="I1144" s="266">
        <v>1785.0</v>
      </c>
      <c r="J1144" s="266">
        <v>14.0</v>
      </c>
      <c r="K1144" s="266">
        <v>215.0</v>
      </c>
      <c r="L1144" s="266" t="s">
        <v>3361</v>
      </c>
      <c r="M1144" s="266">
        <v>2.0</v>
      </c>
      <c r="N1144" s="266">
        <v>3.0</v>
      </c>
      <c r="O1144" s="266">
        <v>1.0</v>
      </c>
      <c r="P1144" s="266" t="s">
        <v>166</v>
      </c>
      <c r="Q1144" s="266" t="s">
        <v>166</v>
      </c>
      <c r="R1144" s="497" t="s">
        <v>166</v>
      </c>
      <c r="S1144" s="497" t="s">
        <v>166</v>
      </c>
      <c r="T1144" s="496"/>
    </row>
    <row r="1145">
      <c r="A1145" s="494" t="s">
        <v>3401</v>
      </c>
      <c r="B1145" s="495" t="s">
        <v>3543</v>
      </c>
      <c r="C1145" s="174" t="str">
        <f t="shared" si="200"/>
        <v>MSI</v>
      </c>
      <c r="D1145" s="452" t="s">
        <v>3693</v>
      </c>
      <c r="E1145" s="266">
        <v>297.0</v>
      </c>
      <c r="F1145" s="266">
        <v>143.0</v>
      </c>
      <c r="G1145" s="266">
        <v>51.0</v>
      </c>
      <c r="H1145" s="266">
        <v>2.0</v>
      </c>
      <c r="I1145" s="266">
        <v>1770.0</v>
      </c>
      <c r="J1145" s="266">
        <v>14.0</v>
      </c>
      <c r="K1145" s="266">
        <v>215.0</v>
      </c>
      <c r="L1145" s="266" t="s">
        <v>3361</v>
      </c>
      <c r="M1145" s="266">
        <v>2.0</v>
      </c>
      <c r="N1145" s="266">
        <v>3.0</v>
      </c>
      <c r="O1145" s="266">
        <v>1.0</v>
      </c>
      <c r="P1145" s="266" t="s">
        <v>166</v>
      </c>
      <c r="Q1145" s="266" t="s">
        <v>166</v>
      </c>
      <c r="R1145" s="497" t="s">
        <v>166</v>
      </c>
      <c r="S1145" s="497" t="s">
        <v>166</v>
      </c>
      <c r="T1145" s="496"/>
    </row>
    <row r="1146">
      <c r="A1146" s="494" t="s">
        <v>3401</v>
      </c>
      <c r="B1146" s="495" t="s">
        <v>3543</v>
      </c>
      <c r="C1146" s="174" t="str">
        <f t="shared" si="200"/>
        <v>MSI</v>
      </c>
      <c r="D1146" s="452" t="s">
        <v>3852</v>
      </c>
      <c r="E1146" s="266">
        <v>297.0</v>
      </c>
      <c r="F1146" s="266">
        <v>143.0</v>
      </c>
      <c r="G1146" s="266">
        <v>51.0</v>
      </c>
      <c r="H1146" s="266">
        <v>2.0</v>
      </c>
      <c r="I1146" s="266">
        <v>1785.0</v>
      </c>
      <c r="J1146" s="266">
        <v>14.0</v>
      </c>
      <c r="K1146" s="266">
        <v>215.0</v>
      </c>
      <c r="L1146" s="266" t="s">
        <v>3361</v>
      </c>
      <c r="M1146" s="266">
        <v>2.0</v>
      </c>
      <c r="N1146" s="266">
        <v>3.0</v>
      </c>
      <c r="O1146" s="266">
        <v>1.0</v>
      </c>
      <c r="P1146" s="266" t="s">
        <v>166</v>
      </c>
      <c r="Q1146" s="266" t="s">
        <v>166</v>
      </c>
      <c r="R1146" s="497" t="s">
        <v>166</v>
      </c>
      <c r="S1146" s="497" t="s">
        <v>166</v>
      </c>
      <c r="T1146" s="496"/>
    </row>
    <row r="1147">
      <c r="A1147" s="494" t="s">
        <v>3401</v>
      </c>
      <c r="B1147" s="495" t="s">
        <v>3543</v>
      </c>
      <c r="C1147" s="174" t="str">
        <f t="shared" si="200"/>
        <v>MSI</v>
      </c>
      <c r="D1147" s="452" t="s">
        <v>3409</v>
      </c>
      <c r="E1147" s="266">
        <v>297.0</v>
      </c>
      <c r="F1147" s="266">
        <v>143.0</v>
      </c>
      <c r="G1147" s="266">
        <v>56.0</v>
      </c>
      <c r="H1147" s="266">
        <v>2.0</v>
      </c>
      <c r="I1147" s="266">
        <v>1770.0</v>
      </c>
      <c r="J1147" s="266">
        <v>14.0</v>
      </c>
      <c r="K1147" s="266">
        <v>215.0</v>
      </c>
      <c r="L1147" s="266" t="s">
        <v>3361</v>
      </c>
      <c r="M1147" s="266">
        <v>2.0</v>
      </c>
      <c r="N1147" s="266">
        <v>3.0</v>
      </c>
      <c r="O1147" s="266">
        <v>1.0</v>
      </c>
      <c r="P1147" s="266" t="s">
        <v>166</v>
      </c>
      <c r="Q1147" s="266" t="s">
        <v>166</v>
      </c>
      <c r="R1147" s="497" t="s">
        <v>166</v>
      </c>
      <c r="S1147" s="497" t="s">
        <v>166</v>
      </c>
      <c r="T1147" s="496"/>
    </row>
    <row r="1148">
      <c r="A1148" s="494" t="s">
        <v>3401</v>
      </c>
      <c r="B1148" s="495" t="s">
        <v>3543</v>
      </c>
      <c r="C1148" s="174" t="str">
        <f t="shared" si="200"/>
        <v>MSI</v>
      </c>
      <c r="D1148" s="452" t="s">
        <v>3557</v>
      </c>
      <c r="E1148" s="266">
        <v>297.0</v>
      </c>
      <c r="F1148" s="266">
        <v>143.0</v>
      </c>
      <c r="G1148" s="266">
        <v>56.0</v>
      </c>
      <c r="H1148" s="266">
        <v>2.0</v>
      </c>
      <c r="I1148" s="266">
        <v>1800.0</v>
      </c>
      <c r="J1148" s="266">
        <v>14.0</v>
      </c>
      <c r="K1148" s="266">
        <v>215.0</v>
      </c>
      <c r="L1148" s="266" t="s">
        <v>3361</v>
      </c>
      <c r="M1148" s="266">
        <v>2.0</v>
      </c>
      <c r="N1148" s="266">
        <v>3.0</v>
      </c>
      <c r="O1148" s="266">
        <v>1.0</v>
      </c>
      <c r="P1148" s="266" t="s">
        <v>166</v>
      </c>
      <c r="Q1148" s="266" t="s">
        <v>166</v>
      </c>
      <c r="R1148" s="497" t="s">
        <v>166</v>
      </c>
      <c r="S1148" s="497" t="s">
        <v>166</v>
      </c>
      <c r="T1148" s="496"/>
    </row>
    <row r="1149">
      <c r="A1149" s="494" t="s">
        <v>3401</v>
      </c>
      <c r="B1149" s="495" t="s">
        <v>3543</v>
      </c>
      <c r="C1149" s="174" t="str">
        <f t="shared" si="200"/>
        <v>MSI</v>
      </c>
      <c r="D1149" s="452" t="s">
        <v>3720</v>
      </c>
      <c r="E1149" s="266">
        <v>328.0</v>
      </c>
      <c r="F1149" s="266">
        <v>140.0</v>
      </c>
      <c r="G1149" s="266">
        <v>56.5</v>
      </c>
      <c r="H1149" s="266">
        <v>2.0</v>
      </c>
      <c r="I1149" s="266">
        <v>1770.0</v>
      </c>
      <c r="J1149" s="266">
        <v>14.0</v>
      </c>
      <c r="K1149" s="266">
        <v>215.0</v>
      </c>
      <c r="L1149" s="266" t="s">
        <v>3460</v>
      </c>
      <c r="M1149" s="266">
        <v>3.0</v>
      </c>
      <c r="N1149" s="266">
        <v>3.0</v>
      </c>
      <c r="O1149" s="266">
        <v>1.0</v>
      </c>
      <c r="P1149" s="266" t="s">
        <v>166</v>
      </c>
      <c r="Q1149" s="266" t="s">
        <v>166</v>
      </c>
      <c r="R1149" s="497" t="s">
        <v>166</v>
      </c>
      <c r="S1149" s="497" t="s">
        <v>166</v>
      </c>
      <c r="T1149" s="496"/>
    </row>
    <row r="1150">
      <c r="A1150" s="494" t="s">
        <v>3401</v>
      </c>
      <c r="B1150" s="495" t="s">
        <v>3543</v>
      </c>
      <c r="C1150" s="174" t="str">
        <f t="shared" si="200"/>
        <v>MSI</v>
      </c>
      <c r="D1150" s="452" t="s">
        <v>3721</v>
      </c>
      <c r="E1150" s="266">
        <v>328.0</v>
      </c>
      <c r="F1150" s="266">
        <v>140.0</v>
      </c>
      <c r="G1150" s="266">
        <v>56.5</v>
      </c>
      <c r="H1150" s="266">
        <v>2.0</v>
      </c>
      <c r="I1150" s="266">
        <v>1800.0</v>
      </c>
      <c r="J1150" s="266">
        <v>14.0</v>
      </c>
      <c r="K1150" s="266">
        <v>215.0</v>
      </c>
      <c r="L1150" s="266" t="s">
        <v>3460</v>
      </c>
      <c r="M1150" s="266">
        <v>3.0</v>
      </c>
      <c r="N1150" s="266">
        <v>3.0</v>
      </c>
      <c r="O1150" s="266">
        <v>1.0</v>
      </c>
      <c r="P1150" s="266" t="s">
        <v>166</v>
      </c>
      <c r="Q1150" s="266" t="s">
        <v>166</v>
      </c>
      <c r="R1150" s="497" t="s">
        <v>166</v>
      </c>
      <c r="S1150" s="497" t="s">
        <v>166</v>
      </c>
      <c r="T1150" s="496"/>
    </row>
    <row r="1151">
      <c r="A1151" s="494" t="s">
        <v>3401</v>
      </c>
      <c r="B1151" s="495" t="s">
        <v>3543</v>
      </c>
      <c r="C1151" s="174" t="str">
        <f t="shared" si="200"/>
        <v>MSI</v>
      </c>
      <c r="D1151" s="452" t="s">
        <v>3727</v>
      </c>
      <c r="E1151" s="611">
        <v>328.0</v>
      </c>
      <c r="F1151" s="600">
        <v>140.0</v>
      </c>
      <c r="G1151" s="612">
        <v>56.5</v>
      </c>
      <c r="H1151" s="266">
        <v>2.0</v>
      </c>
      <c r="I1151" s="266">
        <v>1815.0</v>
      </c>
      <c r="J1151" s="266">
        <v>15.5</v>
      </c>
      <c r="K1151" s="266">
        <v>215.0</v>
      </c>
      <c r="L1151" s="266" t="s">
        <v>3460</v>
      </c>
      <c r="M1151" s="266">
        <v>3.0</v>
      </c>
      <c r="N1151" s="266">
        <v>3.0</v>
      </c>
      <c r="O1151" s="266">
        <v>1.0</v>
      </c>
      <c r="P1151" s="266" t="s">
        <v>166</v>
      </c>
      <c r="Q1151" s="266" t="s">
        <v>166</v>
      </c>
      <c r="R1151" s="497" t="s">
        <v>166</v>
      </c>
      <c r="S1151" s="497" t="s">
        <v>166</v>
      </c>
      <c r="T1151" s="496"/>
    </row>
    <row r="1152">
      <c r="A1152" s="494" t="s">
        <v>3401</v>
      </c>
      <c r="B1152" s="495" t="s">
        <v>3543</v>
      </c>
      <c r="C1152" s="452" t="str">
        <f>HYPERLINK("https://www.nvidia.com/en-us/","Nvidia")</f>
        <v>Nvidia</v>
      </c>
      <c r="D1152" s="452" t="str">
        <f>HYPERLINK("https://www.nvidia.com/en-us/geforce/graphics-cards/rtx-2070-super/","Founders Edition")</f>
        <v>Founders Edition</v>
      </c>
      <c r="E1152" s="266">
        <v>266.74</v>
      </c>
      <c r="F1152" s="266">
        <v>115.7</v>
      </c>
      <c r="G1152" s="266">
        <v>40.0</v>
      </c>
      <c r="H1152" s="266">
        <v>2.0</v>
      </c>
      <c r="I1152" s="266">
        <v>1770.0</v>
      </c>
      <c r="J1152" s="266">
        <v>14.0</v>
      </c>
      <c r="K1152" s="266">
        <v>215.0</v>
      </c>
      <c r="L1152" s="266" t="s">
        <v>3361</v>
      </c>
      <c r="M1152" s="266">
        <v>2.0</v>
      </c>
      <c r="N1152" s="266">
        <v>3.0</v>
      </c>
      <c r="O1152" s="266">
        <v>1.0</v>
      </c>
      <c r="P1152" s="266">
        <v>1.0</v>
      </c>
      <c r="Q1152" s="266" t="s">
        <v>166</v>
      </c>
      <c r="R1152" s="497" t="s">
        <v>166</v>
      </c>
      <c r="S1152" s="497" t="s">
        <v>166</v>
      </c>
      <c r="T1152" s="496"/>
    </row>
    <row r="1153">
      <c r="A1153" s="494" t="s">
        <v>3401</v>
      </c>
      <c r="B1153" s="495" t="s">
        <v>3543</v>
      </c>
      <c r="C1153" s="452" t="str">
        <f t="shared" ref="C1153:C1160" si="201">HYPERLINK("http://www.palit.com/palit/index.php?lang=en","Palit")</f>
        <v>Palit</v>
      </c>
      <c r="D1153" s="452" t="str">
        <f>HYPERLINK("http://www.palit.com/palit/vgapro.php?id=3310&amp;lang=en","X")</f>
        <v>X</v>
      </c>
      <c r="E1153" s="266">
        <v>269.0</v>
      </c>
      <c r="F1153" s="266">
        <v>112.0</v>
      </c>
      <c r="G1153" s="266">
        <v>40.0</v>
      </c>
      <c r="H1153" s="266">
        <v>2.0</v>
      </c>
      <c r="I1153" s="266">
        <v>1770.0</v>
      </c>
      <c r="J1153" s="266">
        <v>14.0</v>
      </c>
      <c r="K1153" s="266">
        <v>215.0</v>
      </c>
      <c r="L1153" s="266" t="s">
        <v>3361</v>
      </c>
      <c r="M1153" s="266">
        <v>1.0</v>
      </c>
      <c r="N1153" s="266">
        <v>3.0</v>
      </c>
      <c r="O1153" s="266">
        <v>1.0</v>
      </c>
      <c r="P1153" s="266" t="s">
        <v>166</v>
      </c>
      <c r="Q1153" s="266" t="s">
        <v>166</v>
      </c>
      <c r="R1153" s="266" t="s">
        <v>166</v>
      </c>
      <c r="S1153" s="266" t="s">
        <v>174</v>
      </c>
      <c r="T1153" s="494"/>
    </row>
    <row r="1154">
      <c r="A1154" s="494" t="s">
        <v>3401</v>
      </c>
      <c r="B1154" s="495" t="s">
        <v>3543</v>
      </c>
      <c r="C1154" s="452" t="str">
        <f t="shared" si="201"/>
        <v>Palit</v>
      </c>
      <c r="D1154" s="452" t="s">
        <v>4019</v>
      </c>
      <c r="E1154" s="266">
        <v>288.0</v>
      </c>
      <c r="F1154" s="266">
        <v>112.0</v>
      </c>
      <c r="G1154" s="266">
        <v>50.0</v>
      </c>
      <c r="H1154" s="266">
        <v>2.0</v>
      </c>
      <c r="I1154" s="266">
        <v>1770.0</v>
      </c>
      <c r="J1154" s="266">
        <v>14.0</v>
      </c>
      <c r="K1154" s="266">
        <v>215.0</v>
      </c>
      <c r="L1154" s="266" t="s">
        <v>3361</v>
      </c>
      <c r="M1154" s="266">
        <v>3.0</v>
      </c>
      <c r="N1154" s="266">
        <v>3.0</v>
      </c>
      <c r="O1154" s="266">
        <v>1.0</v>
      </c>
      <c r="P1154" s="266" t="s">
        <v>166</v>
      </c>
      <c r="Q1154" s="266" t="s">
        <v>166</v>
      </c>
      <c r="R1154" s="497" t="s">
        <v>166</v>
      </c>
      <c r="S1154" s="497" t="s">
        <v>166</v>
      </c>
      <c r="T1154" s="496"/>
    </row>
    <row r="1155">
      <c r="A1155" s="494" t="s">
        <v>3401</v>
      </c>
      <c r="B1155" s="495" t="s">
        <v>3543</v>
      </c>
      <c r="C1155" s="452" t="str">
        <f t="shared" si="201"/>
        <v>Palit</v>
      </c>
      <c r="D1155" s="452" t="s">
        <v>3503</v>
      </c>
      <c r="E1155" s="266">
        <v>288.0</v>
      </c>
      <c r="F1155" s="266">
        <v>112.0</v>
      </c>
      <c r="G1155" s="266">
        <v>50.0</v>
      </c>
      <c r="H1155" s="266">
        <v>2.0</v>
      </c>
      <c r="I1155" s="266">
        <v>1800.0</v>
      </c>
      <c r="J1155" s="266">
        <v>14.0</v>
      </c>
      <c r="K1155" s="266">
        <v>215.0</v>
      </c>
      <c r="L1155" s="266" t="s">
        <v>3361</v>
      </c>
      <c r="M1155" s="266">
        <v>3.0</v>
      </c>
      <c r="N1155" s="266">
        <v>3.0</v>
      </c>
      <c r="O1155" s="266">
        <v>1.0</v>
      </c>
      <c r="P1155" s="266" t="s">
        <v>166</v>
      </c>
      <c r="Q1155" s="266" t="s">
        <v>166</v>
      </c>
      <c r="R1155" s="497" t="s">
        <v>166</v>
      </c>
      <c r="S1155" s="497" t="s">
        <v>166</v>
      </c>
      <c r="T1155" s="496"/>
    </row>
    <row r="1156">
      <c r="A1156" s="494" t="s">
        <v>3401</v>
      </c>
      <c r="B1156" s="495" t="s">
        <v>3543</v>
      </c>
      <c r="C1156" s="452" t="str">
        <f t="shared" si="201"/>
        <v>Palit</v>
      </c>
      <c r="D1156" s="452" t="s">
        <v>4020</v>
      </c>
      <c r="E1156" s="266">
        <v>288.0</v>
      </c>
      <c r="F1156" s="266">
        <v>112.0</v>
      </c>
      <c r="G1156" s="266">
        <v>50.0</v>
      </c>
      <c r="H1156" s="266">
        <v>2.0</v>
      </c>
      <c r="I1156" s="266">
        <v>1815.0</v>
      </c>
      <c r="J1156" s="266">
        <v>14.0</v>
      </c>
      <c r="K1156" s="266">
        <v>215.0</v>
      </c>
      <c r="L1156" s="266" t="s">
        <v>3361</v>
      </c>
      <c r="M1156" s="266">
        <v>3.0</v>
      </c>
      <c r="N1156" s="266">
        <v>3.0</v>
      </c>
      <c r="O1156" s="266">
        <v>1.0</v>
      </c>
      <c r="P1156" s="266" t="s">
        <v>166</v>
      </c>
      <c r="Q1156" s="266" t="s">
        <v>166</v>
      </c>
      <c r="R1156" s="497" t="s">
        <v>166</v>
      </c>
      <c r="S1156" s="497" t="s">
        <v>166</v>
      </c>
      <c r="T1156" s="496"/>
    </row>
    <row r="1157">
      <c r="A1157" s="494" t="s">
        <v>3401</v>
      </c>
      <c r="B1157" s="495" t="s">
        <v>3543</v>
      </c>
      <c r="C1157" s="452" t="str">
        <f t="shared" si="201"/>
        <v>Palit</v>
      </c>
      <c r="D1157" s="452" t="s">
        <v>4021</v>
      </c>
      <c r="E1157" s="266">
        <v>292.0</v>
      </c>
      <c r="F1157" s="266">
        <v>130.0</v>
      </c>
      <c r="G1157" s="266">
        <v>59.6</v>
      </c>
      <c r="H1157" s="266">
        <v>2.0</v>
      </c>
      <c r="I1157" s="266">
        <v>1770.0</v>
      </c>
      <c r="J1157" s="266">
        <v>14.0</v>
      </c>
      <c r="K1157" s="266">
        <v>215.0</v>
      </c>
      <c r="L1157" s="266" t="s">
        <v>3460</v>
      </c>
      <c r="M1157" s="266">
        <v>2.0</v>
      </c>
      <c r="N1157" s="266">
        <v>3.0</v>
      </c>
      <c r="O1157" s="266">
        <v>1.0</v>
      </c>
      <c r="P1157" s="266" t="s">
        <v>166</v>
      </c>
      <c r="Q1157" s="266" t="s">
        <v>166</v>
      </c>
      <c r="R1157" s="497" t="s">
        <v>166</v>
      </c>
      <c r="S1157" s="497" t="s">
        <v>166</v>
      </c>
      <c r="T1157" s="496"/>
    </row>
    <row r="1158">
      <c r="A1158" s="494" t="s">
        <v>3401</v>
      </c>
      <c r="B1158" s="495" t="s">
        <v>3543</v>
      </c>
      <c r="C1158" s="452" t="str">
        <f t="shared" si="201"/>
        <v>Palit</v>
      </c>
      <c r="D1158" s="452" t="s">
        <v>3966</v>
      </c>
      <c r="E1158" s="266">
        <v>292.0</v>
      </c>
      <c r="F1158" s="266">
        <v>130.0</v>
      </c>
      <c r="G1158" s="266">
        <v>59.6</v>
      </c>
      <c r="H1158" s="266">
        <v>2.0</v>
      </c>
      <c r="I1158" s="266">
        <v>1815.0</v>
      </c>
      <c r="J1158" s="266">
        <v>14.0</v>
      </c>
      <c r="K1158" s="266">
        <v>215.0</v>
      </c>
      <c r="L1158" s="266" t="s">
        <v>3460</v>
      </c>
      <c r="M1158" s="266">
        <v>2.0</v>
      </c>
      <c r="N1158" s="266">
        <v>3.0</v>
      </c>
      <c r="O1158" s="266">
        <v>1.0</v>
      </c>
      <c r="P1158" s="266" t="s">
        <v>166</v>
      </c>
      <c r="Q1158" s="266" t="s">
        <v>166</v>
      </c>
      <c r="R1158" s="497" t="s">
        <v>166</v>
      </c>
      <c r="S1158" s="497" t="s">
        <v>166</v>
      </c>
      <c r="T1158" s="496"/>
    </row>
    <row r="1159">
      <c r="A1159" s="494" t="s">
        <v>3401</v>
      </c>
      <c r="B1159" s="495" t="s">
        <v>3543</v>
      </c>
      <c r="C1159" s="452" t="str">
        <f t="shared" si="201"/>
        <v>Palit</v>
      </c>
      <c r="D1159" s="452" t="s">
        <v>4022</v>
      </c>
      <c r="E1159" s="266">
        <v>292.0</v>
      </c>
      <c r="F1159" s="266">
        <v>130.0</v>
      </c>
      <c r="G1159" s="266">
        <v>59.6</v>
      </c>
      <c r="H1159" s="266">
        <v>2.0</v>
      </c>
      <c r="I1159" s="266">
        <v>1770.0</v>
      </c>
      <c r="J1159" s="266">
        <v>14.0</v>
      </c>
      <c r="K1159" s="266">
        <v>215.0</v>
      </c>
      <c r="L1159" s="266" t="s">
        <v>3460</v>
      </c>
      <c r="M1159" s="266">
        <v>2.0</v>
      </c>
      <c r="N1159" s="266">
        <v>3.0</v>
      </c>
      <c r="O1159" s="266">
        <v>1.0</v>
      </c>
      <c r="P1159" s="266">
        <v>1.0</v>
      </c>
      <c r="Q1159" s="266" t="s">
        <v>166</v>
      </c>
      <c r="R1159" s="497" t="s">
        <v>166</v>
      </c>
      <c r="S1159" s="497" t="s">
        <v>166</v>
      </c>
      <c r="T1159" s="496"/>
    </row>
    <row r="1160">
      <c r="A1160" s="494" t="s">
        <v>3401</v>
      </c>
      <c r="B1160" s="495" t="s">
        <v>3543</v>
      </c>
      <c r="C1160" s="452" t="str">
        <f t="shared" si="201"/>
        <v>Palit</v>
      </c>
      <c r="D1160" s="452" t="s">
        <v>4023</v>
      </c>
      <c r="E1160" s="266">
        <v>292.0</v>
      </c>
      <c r="F1160" s="266">
        <v>130.0</v>
      </c>
      <c r="G1160" s="266">
        <v>59.6</v>
      </c>
      <c r="H1160" s="266">
        <v>2.0</v>
      </c>
      <c r="I1160" s="266">
        <v>1830.0</v>
      </c>
      <c r="J1160" s="266">
        <v>14.0</v>
      </c>
      <c r="K1160" s="266">
        <v>215.0</v>
      </c>
      <c r="L1160" s="266" t="s">
        <v>3460</v>
      </c>
      <c r="M1160" s="266">
        <v>2.0</v>
      </c>
      <c r="N1160" s="266">
        <v>3.0</v>
      </c>
      <c r="O1160" s="266">
        <v>1.0</v>
      </c>
      <c r="P1160" s="266">
        <v>1.0</v>
      </c>
      <c r="Q1160" s="266" t="s">
        <v>166</v>
      </c>
      <c r="R1160" s="497" t="s">
        <v>166</v>
      </c>
      <c r="S1160" s="497" t="s">
        <v>166</v>
      </c>
      <c r="T1160" s="496"/>
    </row>
    <row r="1161">
      <c r="A1161" s="494" t="s">
        <v>3401</v>
      </c>
      <c r="B1161" s="495" t="s">
        <v>3543</v>
      </c>
      <c r="C1161" s="452" t="str">
        <f t="shared" ref="C1161:C1164" si="202">HYPERLINK("https://pny.com/","PNY")</f>
        <v>PNY</v>
      </c>
      <c r="D1161" s="452" t="str">
        <f>HYPERLINK("https://pny.com/geforce-rtx-2070-super-8gb-blower","Blower")</f>
        <v>Blower</v>
      </c>
      <c r="E1161" s="266">
        <v>281.0</v>
      </c>
      <c r="F1161" s="266">
        <v>125.0</v>
      </c>
      <c r="G1161" s="266">
        <v>42.0</v>
      </c>
      <c r="H1161" s="266">
        <v>2.0</v>
      </c>
      <c r="I1161" s="266">
        <v>1770.0</v>
      </c>
      <c r="J1161" s="266">
        <v>14.0</v>
      </c>
      <c r="K1161" s="266">
        <v>215.0</v>
      </c>
      <c r="L1161" s="266" t="s">
        <v>3361</v>
      </c>
      <c r="M1161" s="266">
        <v>1.0</v>
      </c>
      <c r="N1161" s="266">
        <v>3.0</v>
      </c>
      <c r="O1161" s="266">
        <v>1.0</v>
      </c>
      <c r="P1161" s="266" t="s">
        <v>166</v>
      </c>
      <c r="Q1161" s="266" t="s">
        <v>166</v>
      </c>
      <c r="R1161" s="266" t="s">
        <v>166</v>
      </c>
      <c r="S1161" s="266" t="s">
        <v>174</v>
      </c>
      <c r="T1161" s="494"/>
    </row>
    <row r="1162">
      <c r="A1162" s="494" t="s">
        <v>3401</v>
      </c>
      <c r="B1162" s="495" t="s">
        <v>3543</v>
      </c>
      <c r="C1162" s="452" t="str">
        <f t="shared" si="202"/>
        <v>PNY</v>
      </c>
      <c r="D1162" s="452" t="str">
        <f>HYPERLINK("https://pny.com/pny-geforce-RTX-2070-super-8GB-df","Dual Fan")</f>
        <v>Dual Fan</v>
      </c>
      <c r="E1162" s="266">
        <v>235.0</v>
      </c>
      <c r="F1162" s="266">
        <v>112.0</v>
      </c>
      <c r="G1162" s="266">
        <v>40.0</v>
      </c>
      <c r="H1162" s="266">
        <v>2.0</v>
      </c>
      <c r="I1162" s="266">
        <v>1770.0</v>
      </c>
      <c r="J1162" s="266">
        <v>14.0</v>
      </c>
      <c r="K1162" s="266">
        <v>215.0</v>
      </c>
      <c r="L1162" s="266" t="s">
        <v>3361</v>
      </c>
      <c r="M1162" s="266">
        <v>2.0</v>
      </c>
      <c r="N1162" s="266">
        <v>1.0</v>
      </c>
      <c r="O1162" s="266">
        <v>1.0</v>
      </c>
      <c r="P1162" s="266" t="s">
        <v>166</v>
      </c>
      <c r="Q1162" s="266">
        <v>1.0</v>
      </c>
      <c r="R1162" s="497" t="s">
        <v>166</v>
      </c>
      <c r="S1162" s="497" t="s">
        <v>166</v>
      </c>
      <c r="T1162" s="496"/>
    </row>
    <row r="1163">
      <c r="A1163" s="494" t="s">
        <v>3401</v>
      </c>
      <c r="B1163" s="495" t="s">
        <v>3543</v>
      </c>
      <c r="C1163" s="452" t="str">
        <f t="shared" si="202"/>
        <v>PNY</v>
      </c>
      <c r="D1163" s="452" t="str">
        <f>HYPERLINK("https://pny.com/geforce-rtx-2070-super-8gb-xlr8-gaming-overclocked-edition","XLR8 Gaming OC")</f>
        <v>XLR8 Gaming OC</v>
      </c>
      <c r="E1163" s="266">
        <v>314.0</v>
      </c>
      <c r="F1163" s="266">
        <v>128.0</v>
      </c>
      <c r="G1163" s="266">
        <v>44.0</v>
      </c>
      <c r="H1163" s="266">
        <v>2.0</v>
      </c>
      <c r="I1163" s="266">
        <v>1815.0</v>
      </c>
      <c r="J1163" s="266">
        <v>14.0</v>
      </c>
      <c r="K1163" s="266">
        <v>215.0</v>
      </c>
      <c r="L1163" s="266" t="s">
        <v>3361</v>
      </c>
      <c r="M1163" s="266">
        <v>3.0</v>
      </c>
      <c r="N1163" s="266">
        <v>3.0</v>
      </c>
      <c r="O1163" s="266">
        <v>1.0</v>
      </c>
      <c r="P1163" s="266" t="s">
        <v>166</v>
      </c>
      <c r="Q1163" s="266" t="s">
        <v>166</v>
      </c>
      <c r="R1163" s="497" t="s">
        <v>166</v>
      </c>
      <c r="S1163" s="497" t="s">
        <v>166</v>
      </c>
      <c r="T1163" s="496"/>
    </row>
    <row r="1164">
      <c r="A1164" s="494" t="s">
        <v>3401</v>
      </c>
      <c r="B1164" s="495" t="s">
        <v>3543</v>
      </c>
      <c r="C1164" s="452" t="str">
        <f t="shared" si="202"/>
        <v>PNY</v>
      </c>
      <c r="D1164" s="452" t="str">
        <f>HYPERLINK("https://pny.com/geforce-rtx-2070-super-8gb-xlr8-gaming-ocv2","XLR8 Gaming OC Dual Fan")</f>
        <v>XLR8 Gaming OC Dual Fan</v>
      </c>
      <c r="E1164" s="266">
        <v>292.0</v>
      </c>
      <c r="F1164" s="266">
        <v>112.0</v>
      </c>
      <c r="G1164" s="266">
        <v>40.0</v>
      </c>
      <c r="H1164" s="266">
        <v>2.0</v>
      </c>
      <c r="I1164" s="266">
        <v>1815.0</v>
      </c>
      <c r="J1164" s="266">
        <v>14.0</v>
      </c>
      <c r="K1164" s="266">
        <v>215.0</v>
      </c>
      <c r="L1164" s="266" t="s">
        <v>3361</v>
      </c>
      <c r="M1164" s="266">
        <v>2.0</v>
      </c>
      <c r="N1164" s="266">
        <v>3.0</v>
      </c>
      <c r="O1164" s="266">
        <v>1.0</v>
      </c>
      <c r="P1164" s="266" t="s">
        <v>166</v>
      </c>
      <c r="Q1164" s="266" t="s">
        <v>166</v>
      </c>
      <c r="R1164" s="497" t="s">
        <v>166</v>
      </c>
      <c r="S1164" s="497" t="s">
        <v>166</v>
      </c>
      <c r="T1164" s="496"/>
    </row>
    <row r="1165">
      <c r="A1165" s="494" t="s">
        <v>3401</v>
      </c>
      <c r="B1165" s="495" t="s">
        <v>3543</v>
      </c>
      <c r="C1165" s="452" t="str">
        <f t="shared" ref="C1165:C1167" si="203">HYPERLINK("http://zotac.com/","ZOTAC")</f>
        <v>ZOTAC</v>
      </c>
      <c r="D1165" s="452" t="str">
        <f>HYPERLINK("https://www.zotac.com/product/graphics_card/zotac-gaming-geforce-rtx-2070-super-twin-fan","Twin Fan")</f>
        <v>Twin Fan</v>
      </c>
      <c r="E1165" s="266">
        <v>268.0</v>
      </c>
      <c r="F1165" s="266">
        <v>113.0</v>
      </c>
      <c r="G1165" s="266">
        <v>38.0</v>
      </c>
      <c r="H1165" s="266">
        <v>2.0</v>
      </c>
      <c r="I1165" s="266">
        <v>1770.0</v>
      </c>
      <c r="J1165" s="266">
        <v>14.0</v>
      </c>
      <c r="K1165" s="266">
        <v>215.0</v>
      </c>
      <c r="L1165" s="266" t="s">
        <v>3361</v>
      </c>
      <c r="M1165" s="266">
        <v>2.0</v>
      </c>
      <c r="N1165" s="266">
        <v>3.0</v>
      </c>
      <c r="O1165" s="266">
        <v>1.0</v>
      </c>
      <c r="P1165" s="266" t="s">
        <v>166</v>
      </c>
      <c r="Q1165" s="266" t="s">
        <v>166</v>
      </c>
      <c r="R1165" s="497" t="s">
        <v>166</v>
      </c>
      <c r="S1165" s="497" t="s">
        <v>166</v>
      </c>
      <c r="T1165" s="496"/>
    </row>
    <row r="1166">
      <c r="A1166" s="494" t="s">
        <v>3401</v>
      </c>
      <c r="B1166" s="495" t="s">
        <v>3543</v>
      </c>
      <c r="C1166" s="452" t="str">
        <f t="shared" si="203"/>
        <v>ZOTAC</v>
      </c>
      <c r="D1166" s="452" t="str">
        <f>HYPERLINK("https://www.zotac.com/product/graphics_card/zotac-gaming-geforce-rtx-2070-super-amp","AMP")</f>
        <v>AMP</v>
      </c>
      <c r="E1166" s="266">
        <v>268.0</v>
      </c>
      <c r="F1166" s="266">
        <v>113.0</v>
      </c>
      <c r="G1166" s="266">
        <v>38.0</v>
      </c>
      <c r="H1166" s="266">
        <v>2.0</v>
      </c>
      <c r="I1166" s="266">
        <v>1800.0</v>
      </c>
      <c r="J1166" s="266">
        <v>14.0</v>
      </c>
      <c r="K1166" s="266">
        <v>215.0</v>
      </c>
      <c r="L1166" s="266" t="s">
        <v>3361</v>
      </c>
      <c r="M1166" s="266">
        <v>2.0</v>
      </c>
      <c r="N1166" s="266">
        <v>3.0</v>
      </c>
      <c r="O1166" s="266">
        <v>1.0</v>
      </c>
      <c r="P1166" s="266" t="s">
        <v>166</v>
      </c>
      <c r="Q1166" s="266" t="s">
        <v>166</v>
      </c>
      <c r="R1166" s="497" t="s">
        <v>166</v>
      </c>
      <c r="S1166" s="497" t="s">
        <v>166</v>
      </c>
      <c r="T1166" s="496"/>
    </row>
    <row r="1167">
      <c r="A1167" s="498" t="s">
        <v>3401</v>
      </c>
      <c r="B1167" s="499" t="s">
        <v>3543</v>
      </c>
      <c r="C1167" s="500" t="str">
        <f t="shared" si="203"/>
        <v>ZOTAC</v>
      </c>
      <c r="D1167" s="500" t="s">
        <v>3867</v>
      </c>
      <c r="E1167" s="501">
        <v>308.0</v>
      </c>
      <c r="F1167" s="501">
        <v>113.0</v>
      </c>
      <c r="G1167" s="501">
        <v>57.0</v>
      </c>
      <c r="H1167" s="501">
        <v>2.0</v>
      </c>
      <c r="I1167" s="501">
        <v>1830.0</v>
      </c>
      <c r="J1167" s="501">
        <v>14.0</v>
      </c>
      <c r="K1167" s="501">
        <v>215.0</v>
      </c>
      <c r="L1167" s="501" t="s">
        <v>3361</v>
      </c>
      <c r="M1167" s="501">
        <v>3.0</v>
      </c>
      <c r="N1167" s="501">
        <v>3.0</v>
      </c>
      <c r="O1167" s="501">
        <v>1.0</v>
      </c>
      <c r="P1167" s="501" t="s">
        <v>166</v>
      </c>
      <c r="Q1167" s="501" t="s">
        <v>166</v>
      </c>
      <c r="R1167" s="502" t="s">
        <v>166</v>
      </c>
      <c r="S1167" s="502" t="s">
        <v>166</v>
      </c>
      <c r="T1167" s="503"/>
    </row>
    <row r="1168">
      <c r="A1168" s="494" t="s">
        <v>3401</v>
      </c>
      <c r="B1168" s="495" t="s">
        <v>4024</v>
      </c>
      <c r="C1168" s="174" t="s">
        <v>3467</v>
      </c>
      <c r="D1168" s="452" t="s">
        <v>4025</v>
      </c>
      <c r="E1168" s="266">
        <v>281.0</v>
      </c>
      <c r="F1168" s="266">
        <v>128.0</v>
      </c>
      <c r="G1168" s="266">
        <v>44.0</v>
      </c>
      <c r="H1168" s="266">
        <v>2.0</v>
      </c>
      <c r="I1168" s="266">
        <v>1710.0</v>
      </c>
      <c r="J1168" s="266">
        <v>14.0</v>
      </c>
      <c r="K1168" s="266">
        <v>215.0</v>
      </c>
      <c r="L1168" s="507" t="s">
        <v>3361</v>
      </c>
      <c r="M1168" s="266">
        <v>1.0</v>
      </c>
      <c r="N1168" s="266">
        <v>3.0</v>
      </c>
      <c r="O1168" s="266">
        <v>1.0</v>
      </c>
      <c r="P1168" s="266">
        <v>1.0</v>
      </c>
      <c r="Q1168" s="266" t="s">
        <v>166</v>
      </c>
      <c r="R1168" s="266" t="s">
        <v>166</v>
      </c>
      <c r="S1168" s="266" t="s">
        <v>174</v>
      </c>
      <c r="T1168" s="494"/>
    </row>
    <row r="1169">
      <c r="A1169" s="494" t="s">
        <v>3401</v>
      </c>
      <c r="B1169" s="495" t="s">
        <v>4024</v>
      </c>
      <c r="C1169" s="174" t="s">
        <v>3467</v>
      </c>
      <c r="D1169" s="452" t="s">
        <v>3884</v>
      </c>
      <c r="E1169" s="266">
        <v>314.0</v>
      </c>
      <c r="F1169" s="266">
        <v>128.0</v>
      </c>
      <c r="G1169" s="266">
        <v>44.0</v>
      </c>
      <c r="H1169" s="266">
        <v>2.0</v>
      </c>
      <c r="I1169" s="266">
        <v>1800.0</v>
      </c>
      <c r="J1169" s="266">
        <v>14.0</v>
      </c>
      <c r="K1169" s="266">
        <v>215.0</v>
      </c>
      <c r="L1169" s="507" t="s">
        <v>3361</v>
      </c>
      <c r="M1169" s="266">
        <v>3.0</v>
      </c>
      <c r="N1169" s="266">
        <v>3.0</v>
      </c>
      <c r="O1169" s="266">
        <v>1.0</v>
      </c>
      <c r="P1169" s="266">
        <v>1.0</v>
      </c>
      <c r="Q1169" s="266" t="s">
        <v>166</v>
      </c>
      <c r="R1169" s="266" t="s">
        <v>166</v>
      </c>
      <c r="S1169" s="497" t="s">
        <v>166</v>
      </c>
      <c r="T1169" s="494"/>
    </row>
    <row r="1170">
      <c r="A1170" s="504" t="s">
        <v>3401</v>
      </c>
      <c r="B1170" s="505" t="s">
        <v>4024</v>
      </c>
      <c r="C1170" s="282" t="str">
        <f t="shared" ref="C1170:C1180" si="204">HYPERLINK("https://www.asus.com/","Asus")</f>
        <v>Asus</v>
      </c>
      <c r="D1170" s="506" t="s">
        <v>3810</v>
      </c>
      <c r="E1170" s="507">
        <v>268.0</v>
      </c>
      <c r="F1170" s="507">
        <v>113.0</v>
      </c>
      <c r="G1170" s="507">
        <v>40.0</v>
      </c>
      <c r="H1170" s="507">
        <v>2.0</v>
      </c>
      <c r="I1170" s="507">
        <v>1740.0</v>
      </c>
      <c r="J1170" s="507">
        <v>14.0</v>
      </c>
      <c r="K1170" s="507">
        <v>215.0</v>
      </c>
      <c r="L1170" s="507" t="s">
        <v>3361</v>
      </c>
      <c r="M1170" s="507">
        <v>1.0</v>
      </c>
      <c r="N1170" s="507">
        <v>2.0</v>
      </c>
      <c r="O1170" s="507">
        <v>1.0</v>
      </c>
      <c r="P1170" s="507">
        <v>1.0</v>
      </c>
      <c r="Q1170" s="507" t="s">
        <v>166</v>
      </c>
      <c r="R1170" s="507" t="s">
        <v>166</v>
      </c>
      <c r="S1170" s="507" t="s">
        <v>174</v>
      </c>
      <c r="T1170" s="494"/>
    </row>
    <row r="1171">
      <c r="A1171" s="494" t="s">
        <v>3401</v>
      </c>
      <c r="B1171" s="495" t="s">
        <v>4024</v>
      </c>
      <c r="C1171" s="174" t="str">
        <f t="shared" si="204"/>
        <v>Asus</v>
      </c>
      <c r="D1171" s="452" t="s">
        <v>3935</v>
      </c>
      <c r="E1171" s="266">
        <v>268.0</v>
      </c>
      <c r="F1171" s="266">
        <v>113.0</v>
      </c>
      <c r="G1171" s="266">
        <v>40.0</v>
      </c>
      <c r="H1171" s="266">
        <v>2.0</v>
      </c>
      <c r="I1171" s="266">
        <v>1740.0</v>
      </c>
      <c r="J1171" s="266">
        <v>14.0</v>
      </c>
      <c r="K1171" s="266">
        <v>215.0</v>
      </c>
      <c r="L1171" s="266" t="s">
        <v>3361</v>
      </c>
      <c r="M1171" s="266">
        <v>1.0</v>
      </c>
      <c r="N1171" s="266">
        <v>2.0</v>
      </c>
      <c r="O1171" s="266">
        <v>1.0</v>
      </c>
      <c r="P1171" s="266">
        <v>1.0</v>
      </c>
      <c r="Q1171" s="266" t="s">
        <v>166</v>
      </c>
      <c r="R1171" s="266" t="s">
        <v>166</v>
      </c>
      <c r="S1171" s="266" t="s">
        <v>174</v>
      </c>
      <c r="T1171" s="494"/>
    </row>
    <row r="1172">
      <c r="A1172" s="494" t="s">
        <v>3401</v>
      </c>
      <c r="B1172" s="495" t="s">
        <v>4024</v>
      </c>
      <c r="C1172" s="174" t="str">
        <f t="shared" si="204"/>
        <v>Asus</v>
      </c>
      <c r="D1172" s="452" t="s">
        <v>3372</v>
      </c>
      <c r="E1172" s="266">
        <v>268.0</v>
      </c>
      <c r="F1172" s="266">
        <v>114.0</v>
      </c>
      <c r="G1172" s="266">
        <v>58.0</v>
      </c>
      <c r="H1172" s="266">
        <v>2.0</v>
      </c>
      <c r="I1172" s="266">
        <v>1730.0</v>
      </c>
      <c r="J1172" s="266">
        <v>14.0</v>
      </c>
      <c r="K1172" s="266">
        <v>215.0</v>
      </c>
      <c r="L1172" s="266" t="s">
        <v>3361</v>
      </c>
      <c r="M1172" s="266">
        <v>2.0</v>
      </c>
      <c r="N1172" s="266">
        <v>3.0</v>
      </c>
      <c r="O1172" s="266">
        <v>1.0</v>
      </c>
      <c r="P1172" s="266">
        <v>1.0</v>
      </c>
      <c r="Q1172" s="266" t="s">
        <v>166</v>
      </c>
      <c r="R1172" s="497" t="s">
        <v>166</v>
      </c>
      <c r="S1172" s="497" t="s">
        <v>166</v>
      </c>
      <c r="T1172" s="496"/>
    </row>
    <row r="1173">
      <c r="A1173" s="494" t="s">
        <v>3401</v>
      </c>
      <c r="B1173" s="495" t="s">
        <v>4024</v>
      </c>
      <c r="C1173" s="174" t="str">
        <f t="shared" si="204"/>
        <v>Asus</v>
      </c>
      <c r="D1173" s="452" t="s">
        <v>3909</v>
      </c>
      <c r="E1173" s="266">
        <v>268.0</v>
      </c>
      <c r="F1173" s="266">
        <v>114.0</v>
      </c>
      <c r="G1173" s="266">
        <v>58.0</v>
      </c>
      <c r="H1173" s="266">
        <v>2.0</v>
      </c>
      <c r="I1173" s="266">
        <v>1755.0</v>
      </c>
      <c r="J1173" s="266">
        <v>14.0</v>
      </c>
      <c r="K1173" s="266">
        <v>215.0</v>
      </c>
      <c r="L1173" s="266" t="s">
        <v>3361</v>
      </c>
      <c r="M1173" s="266">
        <v>2.0</v>
      </c>
      <c r="N1173" s="266">
        <v>3.0</v>
      </c>
      <c r="O1173" s="266">
        <v>1.0</v>
      </c>
      <c r="P1173" s="266">
        <v>1.0</v>
      </c>
      <c r="Q1173" s="266" t="s">
        <v>166</v>
      </c>
      <c r="R1173" s="497" t="s">
        <v>166</v>
      </c>
      <c r="S1173" s="497" t="s">
        <v>166</v>
      </c>
      <c r="T1173" s="496"/>
    </row>
    <row r="1174">
      <c r="A1174" s="494" t="s">
        <v>3401</v>
      </c>
      <c r="B1174" s="495" t="s">
        <v>4024</v>
      </c>
      <c r="C1174" s="174" t="str">
        <f t="shared" si="204"/>
        <v>Asus</v>
      </c>
      <c r="D1174" s="452" t="s">
        <v>3381</v>
      </c>
      <c r="E1174" s="582">
        <v>268.0</v>
      </c>
      <c r="F1174" s="583">
        <v>114.0</v>
      </c>
      <c r="G1174" s="602">
        <v>58.0</v>
      </c>
      <c r="H1174" s="266">
        <v>2.0</v>
      </c>
      <c r="I1174" s="266">
        <v>1830.0</v>
      </c>
      <c r="J1174" s="266">
        <v>14.0</v>
      </c>
      <c r="K1174" s="266">
        <v>215.0</v>
      </c>
      <c r="L1174" s="266" t="s">
        <v>3361</v>
      </c>
      <c r="M1174" s="266">
        <v>2.0</v>
      </c>
      <c r="N1174" s="266">
        <v>3.0</v>
      </c>
      <c r="O1174" s="266">
        <v>1.0</v>
      </c>
      <c r="P1174" s="266">
        <v>1.0</v>
      </c>
      <c r="Q1174" s="266" t="s">
        <v>166</v>
      </c>
      <c r="R1174" s="497" t="s">
        <v>166</v>
      </c>
      <c r="S1174" s="497" t="s">
        <v>166</v>
      </c>
      <c r="T1174" s="496"/>
    </row>
    <row r="1175">
      <c r="A1175" s="494" t="s">
        <v>3401</v>
      </c>
      <c r="B1175" s="495" t="s">
        <v>4024</v>
      </c>
      <c r="C1175" s="174" t="str">
        <f t="shared" si="204"/>
        <v>Asus</v>
      </c>
      <c r="D1175" s="452" t="s">
        <v>3629</v>
      </c>
      <c r="E1175" s="266">
        <v>267.0</v>
      </c>
      <c r="F1175" s="266">
        <v>118.0</v>
      </c>
      <c r="G1175" s="266">
        <v>58.0</v>
      </c>
      <c r="H1175" s="266">
        <v>2.0</v>
      </c>
      <c r="I1175" s="266">
        <v>1740.0</v>
      </c>
      <c r="J1175" s="266">
        <v>14.0</v>
      </c>
      <c r="K1175" s="266">
        <v>215.0</v>
      </c>
      <c r="L1175" s="266" t="s">
        <v>3361</v>
      </c>
      <c r="M1175" s="266">
        <v>2.0</v>
      </c>
      <c r="N1175" s="266">
        <v>3.0</v>
      </c>
      <c r="O1175" s="266">
        <v>1.0</v>
      </c>
      <c r="P1175" s="266">
        <v>1.0</v>
      </c>
      <c r="Q1175" s="266" t="s">
        <v>166</v>
      </c>
      <c r="R1175" s="497" t="s">
        <v>166</v>
      </c>
      <c r="S1175" s="497" t="s">
        <v>166</v>
      </c>
      <c r="T1175" s="496"/>
    </row>
    <row r="1176">
      <c r="A1176" s="494" t="s">
        <v>3401</v>
      </c>
      <c r="B1176" s="495" t="s">
        <v>4024</v>
      </c>
      <c r="C1176" s="174" t="str">
        <f t="shared" si="204"/>
        <v>Asus</v>
      </c>
      <c r="D1176" s="452" t="s">
        <v>3640</v>
      </c>
      <c r="E1176" s="266">
        <v>267.0</v>
      </c>
      <c r="F1176" s="266">
        <v>118.0</v>
      </c>
      <c r="G1176" s="266">
        <v>58.0</v>
      </c>
      <c r="H1176" s="266">
        <v>2.0</v>
      </c>
      <c r="I1176" s="266">
        <v>1755.0</v>
      </c>
      <c r="J1176" s="266">
        <v>14.0</v>
      </c>
      <c r="K1176" s="266">
        <v>215.0</v>
      </c>
      <c r="L1176" s="266" t="s">
        <v>3361</v>
      </c>
      <c r="M1176" s="266">
        <v>2.0</v>
      </c>
      <c r="N1176" s="266">
        <v>3.0</v>
      </c>
      <c r="O1176" s="266">
        <v>1.0</v>
      </c>
      <c r="P1176" s="266">
        <v>1.0</v>
      </c>
      <c r="Q1176" s="266" t="s">
        <v>166</v>
      </c>
      <c r="R1176" s="497" t="s">
        <v>166</v>
      </c>
      <c r="S1176" s="497" t="s">
        <v>166</v>
      </c>
      <c r="T1176" s="496"/>
    </row>
    <row r="1177">
      <c r="A1177" s="494" t="s">
        <v>3401</v>
      </c>
      <c r="B1177" s="495" t="s">
        <v>4024</v>
      </c>
      <c r="C1177" s="174" t="str">
        <f t="shared" si="204"/>
        <v>Asus</v>
      </c>
      <c r="D1177" s="452" t="s">
        <v>3659</v>
      </c>
      <c r="E1177" s="575">
        <v>267.0</v>
      </c>
      <c r="F1177" s="576">
        <v>118.0</v>
      </c>
      <c r="G1177" s="602">
        <v>58.0</v>
      </c>
      <c r="H1177" s="266">
        <v>2.0</v>
      </c>
      <c r="I1177" s="266">
        <v>1830.0</v>
      </c>
      <c r="J1177" s="266">
        <v>14.0</v>
      </c>
      <c r="K1177" s="266">
        <v>215.0</v>
      </c>
      <c r="L1177" s="266" t="s">
        <v>3361</v>
      </c>
      <c r="M1177" s="266">
        <v>2.0</v>
      </c>
      <c r="N1177" s="266">
        <v>3.0</v>
      </c>
      <c r="O1177" s="266">
        <v>1.0</v>
      </c>
      <c r="P1177" s="266">
        <v>1.0</v>
      </c>
      <c r="Q1177" s="266" t="s">
        <v>166</v>
      </c>
      <c r="R1177" s="497" t="s">
        <v>166</v>
      </c>
      <c r="S1177" s="497" t="s">
        <v>166</v>
      </c>
      <c r="T1177" s="496"/>
    </row>
    <row r="1178">
      <c r="A1178" s="494" t="s">
        <v>3401</v>
      </c>
      <c r="B1178" s="495" t="s">
        <v>4024</v>
      </c>
      <c r="C1178" s="174" t="str">
        <f t="shared" si="204"/>
        <v>Asus</v>
      </c>
      <c r="D1178" s="452" t="s">
        <v>3631</v>
      </c>
      <c r="E1178" s="266">
        <v>299.7</v>
      </c>
      <c r="F1178" s="518">
        <v>130.4</v>
      </c>
      <c r="G1178" s="518">
        <v>54.1</v>
      </c>
      <c r="H1178" s="266">
        <v>2.0</v>
      </c>
      <c r="I1178" s="266">
        <v>1740.0</v>
      </c>
      <c r="J1178" s="266">
        <v>14.0</v>
      </c>
      <c r="K1178" s="266">
        <v>215.0</v>
      </c>
      <c r="L1178" s="266" t="s">
        <v>3460</v>
      </c>
      <c r="M1178" s="266">
        <v>3.0</v>
      </c>
      <c r="N1178" s="266">
        <v>2.0</v>
      </c>
      <c r="O1178" s="266">
        <v>2.0</v>
      </c>
      <c r="P1178" s="266">
        <v>1.0</v>
      </c>
      <c r="Q1178" s="266" t="s">
        <v>166</v>
      </c>
      <c r="R1178" s="497" t="s">
        <v>166</v>
      </c>
      <c r="S1178" s="497" t="s">
        <v>166</v>
      </c>
      <c r="T1178" s="496"/>
    </row>
    <row r="1179">
      <c r="A1179" s="494" t="s">
        <v>3401</v>
      </c>
      <c r="B1179" s="495" t="s">
        <v>4024</v>
      </c>
      <c r="C1179" s="174" t="str">
        <f t="shared" si="204"/>
        <v>Asus</v>
      </c>
      <c r="D1179" s="452" t="s">
        <v>3642</v>
      </c>
      <c r="E1179" s="266">
        <v>299.7</v>
      </c>
      <c r="F1179" s="518">
        <v>130.4</v>
      </c>
      <c r="G1179" s="518">
        <v>54.1</v>
      </c>
      <c r="H1179" s="266">
        <v>2.0</v>
      </c>
      <c r="I1179" s="266">
        <v>1770.0</v>
      </c>
      <c r="J1179" s="266">
        <v>14.0</v>
      </c>
      <c r="K1179" s="266">
        <v>215.0</v>
      </c>
      <c r="L1179" s="266" t="s">
        <v>3460</v>
      </c>
      <c r="M1179" s="266">
        <v>3.0</v>
      </c>
      <c r="N1179" s="266">
        <v>2.0</v>
      </c>
      <c r="O1179" s="266">
        <v>2.0</v>
      </c>
      <c r="P1179" s="266">
        <v>1.0</v>
      </c>
      <c r="Q1179" s="266" t="s">
        <v>166</v>
      </c>
      <c r="R1179" s="497" t="s">
        <v>166</v>
      </c>
      <c r="S1179" s="497" t="s">
        <v>166</v>
      </c>
      <c r="T1179" s="496"/>
    </row>
    <row r="1180">
      <c r="A1180" s="494" t="s">
        <v>3401</v>
      </c>
      <c r="B1180" s="495" t="s">
        <v>4024</v>
      </c>
      <c r="C1180" s="174" t="str">
        <f t="shared" si="204"/>
        <v>Asus</v>
      </c>
      <c r="D1180" s="452" t="s">
        <v>3643</v>
      </c>
      <c r="E1180" s="586">
        <v>299.7</v>
      </c>
      <c r="F1180" s="603">
        <v>130.4</v>
      </c>
      <c r="G1180" s="561">
        <v>54.1</v>
      </c>
      <c r="H1180" s="266">
        <v>2.0</v>
      </c>
      <c r="I1180" s="266">
        <v>1890.0</v>
      </c>
      <c r="J1180" s="266">
        <v>14.0</v>
      </c>
      <c r="K1180" s="266">
        <v>215.0</v>
      </c>
      <c r="L1180" s="266" t="s">
        <v>3460</v>
      </c>
      <c r="M1180" s="266">
        <v>3.0</v>
      </c>
      <c r="N1180" s="266">
        <v>2.0</v>
      </c>
      <c r="O1180" s="266">
        <v>2.0</v>
      </c>
      <c r="P1180" s="266">
        <v>1.0</v>
      </c>
      <c r="Q1180" s="266" t="s">
        <v>166</v>
      </c>
      <c r="R1180" s="497" t="s">
        <v>166</v>
      </c>
      <c r="S1180" s="497" t="s">
        <v>166</v>
      </c>
      <c r="T1180" s="496"/>
    </row>
    <row r="1181">
      <c r="A1181" s="494" t="s">
        <v>3401</v>
      </c>
      <c r="B1181" s="495" t="s">
        <v>4024</v>
      </c>
      <c r="C1181" s="452" t="s">
        <v>3575</v>
      </c>
      <c r="D1181" s="452" t="s">
        <v>4026</v>
      </c>
      <c r="E1181" s="266">
        <v>296.0</v>
      </c>
      <c r="F1181" s="266">
        <v>140.0</v>
      </c>
      <c r="G1181" s="266">
        <v>46.0</v>
      </c>
      <c r="H1181" s="266">
        <v>2.0</v>
      </c>
      <c r="I1181" s="266">
        <v>1710.0</v>
      </c>
      <c r="J1181" s="266">
        <v>14.0</v>
      </c>
      <c r="K1181" s="266">
        <v>215.0</v>
      </c>
      <c r="L1181" s="266" t="s">
        <v>3361</v>
      </c>
      <c r="M1181" s="266">
        <v>2.0</v>
      </c>
      <c r="N1181" s="266">
        <v>3.0</v>
      </c>
      <c r="O1181" s="266">
        <v>1.0</v>
      </c>
      <c r="P1181" s="266">
        <v>1.0</v>
      </c>
      <c r="Q1181" s="266" t="s">
        <v>166</v>
      </c>
      <c r="R1181" s="266" t="s">
        <v>166</v>
      </c>
      <c r="S1181" s="497" t="s">
        <v>166</v>
      </c>
      <c r="T1181" s="494"/>
    </row>
    <row r="1182">
      <c r="A1182" s="494" t="s">
        <v>3401</v>
      </c>
      <c r="B1182" s="495" t="s">
        <v>4024</v>
      </c>
      <c r="C1182" s="452" t="s">
        <v>3575</v>
      </c>
      <c r="D1182" s="452" t="s">
        <v>4027</v>
      </c>
      <c r="E1182" s="266">
        <v>315.0</v>
      </c>
      <c r="F1182" s="266">
        <v>136.0</v>
      </c>
      <c r="G1182" s="266">
        <v>53.0</v>
      </c>
      <c r="H1182" s="266">
        <v>2.0</v>
      </c>
      <c r="I1182" s="266">
        <v>1710.0</v>
      </c>
      <c r="J1182" s="266">
        <v>14.0</v>
      </c>
      <c r="K1182" s="266">
        <v>215.0</v>
      </c>
      <c r="L1182" s="266" t="s">
        <v>3361</v>
      </c>
      <c r="M1182" s="266">
        <v>3.0</v>
      </c>
      <c r="N1182" s="266">
        <v>3.0</v>
      </c>
      <c r="O1182" s="266">
        <v>1.0</v>
      </c>
      <c r="P1182" s="266">
        <v>1.0</v>
      </c>
      <c r="Q1182" s="266" t="s">
        <v>166</v>
      </c>
      <c r="R1182" s="266" t="s">
        <v>166</v>
      </c>
      <c r="S1182" s="497" t="s">
        <v>166</v>
      </c>
      <c r="T1182" s="494"/>
    </row>
    <row r="1183">
      <c r="A1183" s="494" t="s">
        <v>3401</v>
      </c>
      <c r="B1183" s="495" t="s">
        <v>4024</v>
      </c>
      <c r="C1183" s="452" t="s">
        <v>3575</v>
      </c>
      <c r="D1183" s="452" t="s">
        <v>3889</v>
      </c>
      <c r="E1183" s="266">
        <v>315.0</v>
      </c>
      <c r="F1183" s="266">
        <v>136.0</v>
      </c>
      <c r="G1183" s="266">
        <v>53.0</v>
      </c>
      <c r="H1183" s="266">
        <v>2.0</v>
      </c>
      <c r="I1183" s="266">
        <v>1800.0</v>
      </c>
      <c r="J1183" s="266">
        <v>14.0</v>
      </c>
      <c r="K1183" s="266">
        <v>215.0</v>
      </c>
      <c r="L1183" s="266" t="s">
        <v>3361</v>
      </c>
      <c r="M1183" s="266">
        <v>3.0</v>
      </c>
      <c r="N1183" s="266">
        <v>3.0</v>
      </c>
      <c r="O1183" s="266">
        <v>1.0</v>
      </c>
      <c r="P1183" s="266">
        <v>1.0</v>
      </c>
      <c r="Q1183" s="266" t="s">
        <v>166</v>
      </c>
      <c r="R1183" s="266" t="s">
        <v>166</v>
      </c>
      <c r="S1183" s="497" t="s">
        <v>166</v>
      </c>
      <c r="T1183" s="494"/>
    </row>
    <row r="1184">
      <c r="A1184" s="494" t="s">
        <v>3401</v>
      </c>
      <c r="B1184" s="495" t="s">
        <v>4024</v>
      </c>
      <c r="C1184" s="452" t="s">
        <v>3575</v>
      </c>
      <c r="D1184" s="452" t="s">
        <v>4028</v>
      </c>
      <c r="E1184" s="266">
        <v>315.0</v>
      </c>
      <c r="F1184" s="266">
        <v>136.0</v>
      </c>
      <c r="G1184" s="266">
        <v>53.0</v>
      </c>
      <c r="H1184" s="266">
        <v>2.0</v>
      </c>
      <c r="I1184" s="266">
        <v>1845.0</v>
      </c>
      <c r="J1184" s="266">
        <v>14.0</v>
      </c>
      <c r="K1184" s="266">
        <v>215.0</v>
      </c>
      <c r="L1184" s="266" t="s">
        <v>3460</v>
      </c>
      <c r="M1184" s="266">
        <v>3.0</v>
      </c>
      <c r="N1184" s="266">
        <v>3.0</v>
      </c>
      <c r="O1184" s="266">
        <v>1.0</v>
      </c>
      <c r="P1184" s="266">
        <v>1.0</v>
      </c>
      <c r="Q1184" s="266" t="s">
        <v>166</v>
      </c>
      <c r="R1184" s="266" t="s">
        <v>166</v>
      </c>
      <c r="S1184" s="497" t="s">
        <v>166</v>
      </c>
      <c r="T1184" s="494"/>
    </row>
    <row r="1185">
      <c r="A1185" s="494" t="s">
        <v>3401</v>
      </c>
      <c r="B1185" s="495" t="s">
        <v>4024</v>
      </c>
      <c r="C1185" s="452" t="s">
        <v>3575</v>
      </c>
      <c r="D1185" s="452" t="s">
        <v>3814</v>
      </c>
      <c r="E1185" s="266">
        <v>318.0</v>
      </c>
      <c r="F1185" s="266">
        <v>147.0</v>
      </c>
      <c r="G1185" s="266">
        <v>59.0</v>
      </c>
      <c r="H1185" s="266">
        <v>2.0</v>
      </c>
      <c r="I1185" s="266">
        <v>1875.0</v>
      </c>
      <c r="J1185" s="266">
        <v>14.0</v>
      </c>
      <c r="K1185" s="266">
        <v>215.0</v>
      </c>
      <c r="L1185" s="266" t="s">
        <v>3460</v>
      </c>
      <c r="M1185" s="266">
        <v>3.0</v>
      </c>
      <c r="N1185" s="266">
        <v>3.0</v>
      </c>
      <c r="O1185" s="266">
        <v>1.0</v>
      </c>
      <c r="P1185" s="266">
        <v>1.0</v>
      </c>
      <c r="Q1185" s="266" t="s">
        <v>166</v>
      </c>
      <c r="R1185" s="266" t="s">
        <v>166</v>
      </c>
      <c r="S1185" s="497" t="s">
        <v>166</v>
      </c>
      <c r="T1185" s="494"/>
    </row>
    <row r="1186">
      <c r="A1186" s="494" t="s">
        <v>3401</v>
      </c>
      <c r="B1186" s="495" t="s">
        <v>4024</v>
      </c>
      <c r="C1186" s="452" t="s">
        <v>3575</v>
      </c>
      <c r="D1186" s="452" t="s">
        <v>3970</v>
      </c>
      <c r="E1186" s="266">
        <v>293.4</v>
      </c>
      <c r="F1186" s="266">
        <v>147.0</v>
      </c>
      <c r="G1186" s="266">
        <v>45.0</v>
      </c>
      <c r="H1186" s="266">
        <v>2.0</v>
      </c>
      <c r="I1186" s="266">
        <v>1875.0</v>
      </c>
      <c r="J1186" s="266">
        <v>14.0</v>
      </c>
      <c r="K1186" s="266">
        <v>215.0</v>
      </c>
      <c r="L1186" s="266" t="s">
        <v>3460</v>
      </c>
      <c r="M1186" s="266">
        <v>1.0</v>
      </c>
      <c r="N1186" s="266">
        <v>3.0</v>
      </c>
      <c r="O1186" s="266">
        <v>1.0</v>
      </c>
      <c r="P1186" s="266">
        <v>1.0</v>
      </c>
      <c r="Q1186" s="266" t="s">
        <v>166</v>
      </c>
      <c r="R1186" s="266" t="s">
        <v>174</v>
      </c>
      <c r="S1186" s="266" t="s">
        <v>174</v>
      </c>
      <c r="T1186" s="494"/>
    </row>
    <row r="1187">
      <c r="A1187" s="494" t="s">
        <v>3401</v>
      </c>
      <c r="B1187" s="495" t="s">
        <v>4024</v>
      </c>
      <c r="C1187" s="174" t="s">
        <v>3405</v>
      </c>
      <c r="D1187" s="452" t="s">
        <v>3974</v>
      </c>
      <c r="E1187" s="266">
        <v>292.0</v>
      </c>
      <c r="F1187" s="266">
        <v>112.0</v>
      </c>
      <c r="G1187" s="266">
        <v>40.0</v>
      </c>
      <c r="H1187" s="266">
        <v>2.0</v>
      </c>
      <c r="I1187" s="266">
        <v>1815.0</v>
      </c>
      <c r="J1187" s="266">
        <v>14.0</v>
      </c>
      <c r="K1187" s="266">
        <v>215.0</v>
      </c>
      <c r="L1187" s="266" t="s">
        <v>3361</v>
      </c>
      <c r="M1187" s="266">
        <v>3.0</v>
      </c>
      <c r="N1187" s="266">
        <v>3.0</v>
      </c>
      <c r="O1187" s="266">
        <v>1.0</v>
      </c>
      <c r="P1187" s="266">
        <v>1.0</v>
      </c>
      <c r="Q1187" s="266" t="s">
        <v>166</v>
      </c>
      <c r="R1187" s="497" t="s">
        <v>166</v>
      </c>
      <c r="S1187" s="497" t="s">
        <v>166</v>
      </c>
      <c r="T1187" s="496"/>
    </row>
    <row r="1188">
      <c r="A1188" s="494" t="s">
        <v>3401</v>
      </c>
      <c r="B1188" s="495" t="s">
        <v>4024</v>
      </c>
      <c r="C1188" s="174" t="s">
        <v>3405</v>
      </c>
      <c r="D1188" s="452" t="s">
        <v>3975</v>
      </c>
      <c r="E1188" s="266">
        <v>292.0</v>
      </c>
      <c r="F1188" s="266">
        <v>130.0</v>
      </c>
      <c r="G1188" s="266">
        <v>59.6</v>
      </c>
      <c r="H1188" s="266">
        <v>2.0</v>
      </c>
      <c r="I1188" s="266">
        <v>1740.0</v>
      </c>
      <c r="J1188" s="266">
        <v>14.0</v>
      </c>
      <c r="K1188" s="266">
        <v>215.0</v>
      </c>
      <c r="L1188" s="266" t="s">
        <v>3460</v>
      </c>
      <c r="M1188" s="266">
        <v>3.0</v>
      </c>
      <c r="N1188" s="266">
        <v>3.0</v>
      </c>
      <c r="O1188" s="266">
        <v>1.0</v>
      </c>
      <c r="P1188" s="266">
        <v>1.0</v>
      </c>
      <c r="Q1188" s="266" t="s">
        <v>166</v>
      </c>
      <c r="R1188" s="497" t="s">
        <v>166</v>
      </c>
      <c r="S1188" s="497" t="s">
        <v>166</v>
      </c>
      <c r="T1188" s="496"/>
    </row>
    <row r="1189">
      <c r="A1189" s="494" t="s">
        <v>3401</v>
      </c>
      <c r="B1189" s="495" t="s">
        <v>4024</v>
      </c>
      <c r="C1189" s="174" t="s">
        <v>3405</v>
      </c>
      <c r="D1189" s="452" t="s">
        <v>3947</v>
      </c>
      <c r="E1189" s="266">
        <v>292.0</v>
      </c>
      <c r="F1189" s="266">
        <v>130.0</v>
      </c>
      <c r="G1189" s="266">
        <v>59.6</v>
      </c>
      <c r="H1189" s="266">
        <v>2.0</v>
      </c>
      <c r="I1189" s="266">
        <v>1815.0</v>
      </c>
      <c r="J1189" s="266">
        <v>14.0</v>
      </c>
      <c r="K1189" s="266">
        <v>215.0</v>
      </c>
      <c r="L1189" s="266" t="s">
        <v>3460</v>
      </c>
      <c r="M1189" s="266">
        <v>3.0</v>
      </c>
      <c r="N1189" s="266">
        <v>3.0</v>
      </c>
      <c r="O1189" s="266">
        <v>1.0</v>
      </c>
      <c r="P1189" s="266">
        <v>1.0</v>
      </c>
      <c r="Q1189" s="266" t="s">
        <v>166</v>
      </c>
      <c r="R1189" s="497" t="s">
        <v>166</v>
      </c>
      <c r="S1189" s="497" t="s">
        <v>166</v>
      </c>
      <c r="T1189" s="496"/>
    </row>
    <row r="1190">
      <c r="A1190" s="494" t="s">
        <v>3401</v>
      </c>
      <c r="B1190" s="495" t="s">
        <v>4024</v>
      </c>
      <c r="C1190" s="174" t="s">
        <v>3405</v>
      </c>
      <c r="D1190" s="452" t="s">
        <v>3951</v>
      </c>
      <c r="E1190" s="266">
        <v>292.0</v>
      </c>
      <c r="F1190" s="266">
        <v>130.0</v>
      </c>
      <c r="G1190" s="266">
        <v>59.6</v>
      </c>
      <c r="H1190" s="266">
        <v>2.0</v>
      </c>
      <c r="I1190" s="266">
        <v>1815.0</v>
      </c>
      <c r="J1190" s="266">
        <v>14.0</v>
      </c>
      <c r="K1190" s="266">
        <v>215.0</v>
      </c>
      <c r="L1190" s="266" t="s">
        <v>3460</v>
      </c>
      <c r="M1190" s="266">
        <v>2.0</v>
      </c>
      <c r="N1190" s="266">
        <v>3.0</v>
      </c>
      <c r="O1190" s="266">
        <v>1.0</v>
      </c>
      <c r="P1190" s="266">
        <v>1.0</v>
      </c>
      <c r="Q1190" s="266" t="s">
        <v>166</v>
      </c>
      <c r="R1190" s="497" t="s">
        <v>166</v>
      </c>
      <c r="S1190" s="497" t="s">
        <v>166</v>
      </c>
      <c r="T1190" s="496"/>
    </row>
    <row r="1191">
      <c r="A1191" s="494" t="s">
        <v>3401</v>
      </c>
      <c r="B1191" s="495" t="s">
        <v>4024</v>
      </c>
      <c r="C1191" s="174" t="str">
        <f t="shared" ref="C1191:C1202" si="205">HYPERLINK("https://www.evga.com/","EVGA")</f>
        <v>EVGA</v>
      </c>
      <c r="D1191" s="452" t="s">
        <v>3409</v>
      </c>
      <c r="E1191" s="266">
        <v>265.63</v>
      </c>
      <c r="F1191" s="266">
        <v>111.15</v>
      </c>
      <c r="G1191" s="266">
        <v>40.0</v>
      </c>
      <c r="H1191" s="266">
        <v>2.0</v>
      </c>
      <c r="I1191" s="266">
        <v>1710.0</v>
      </c>
      <c r="J1191" s="266">
        <v>14.0</v>
      </c>
      <c r="K1191" s="266">
        <v>215.0</v>
      </c>
      <c r="L1191" s="266" t="s">
        <v>3361</v>
      </c>
      <c r="M1191" s="266">
        <v>1.0</v>
      </c>
      <c r="N1191" s="266">
        <v>3.0</v>
      </c>
      <c r="O1191" s="266">
        <v>1.0</v>
      </c>
      <c r="P1191" s="266">
        <v>1.0</v>
      </c>
      <c r="Q1191" s="266" t="s">
        <v>166</v>
      </c>
      <c r="R1191" s="497" t="s">
        <v>166</v>
      </c>
      <c r="S1191" s="266" t="s">
        <v>174</v>
      </c>
      <c r="T1191" s="494"/>
    </row>
    <row r="1192">
      <c r="A1192" s="494" t="s">
        <v>3401</v>
      </c>
      <c r="B1192" s="495" t="s">
        <v>4024</v>
      </c>
      <c r="C1192" s="174" t="str">
        <f t="shared" si="205"/>
        <v>EVGA</v>
      </c>
      <c r="D1192" s="452" t="s">
        <v>3512</v>
      </c>
      <c r="E1192" s="266">
        <v>269.83</v>
      </c>
      <c r="F1192" s="266">
        <v>111.15</v>
      </c>
      <c r="G1192" s="266">
        <v>40.0</v>
      </c>
      <c r="H1192" s="266">
        <v>2.0</v>
      </c>
      <c r="I1192" s="266">
        <v>1710.0</v>
      </c>
      <c r="J1192" s="266">
        <v>14.0</v>
      </c>
      <c r="K1192" s="266">
        <v>215.0</v>
      </c>
      <c r="L1192" s="266" t="s">
        <v>3361</v>
      </c>
      <c r="M1192" s="266">
        <v>2.0</v>
      </c>
      <c r="N1192" s="266">
        <v>3.0</v>
      </c>
      <c r="O1192" s="266">
        <v>1.0</v>
      </c>
      <c r="P1192" s="266">
        <v>1.0</v>
      </c>
      <c r="Q1192" s="266" t="s">
        <v>166</v>
      </c>
      <c r="R1192" s="497" t="s">
        <v>166</v>
      </c>
      <c r="S1192" s="497" t="s">
        <v>166</v>
      </c>
      <c r="T1192" s="496"/>
    </row>
    <row r="1193">
      <c r="A1193" s="494" t="s">
        <v>3401</v>
      </c>
      <c r="B1193" s="495" t="s">
        <v>4024</v>
      </c>
      <c r="C1193" s="174" t="str">
        <f t="shared" si="205"/>
        <v>EVGA</v>
      </c>
      <c r="D1193" s="452" t="s">
        <v>3506</v>
      </c>
      <c r="E1193" s="266">
        <v>269.83</v>
      </c>
      <c r="F1193" s="266">
        <v>111.15</v>
      </c>
      <c r="G1193" s="266">
        <v>40.0</v>
      </c>
      <c r="H1193" s="266">
        <v>2.0</v>
      </c>
      <c r="I1193" s="266">
        <v>1740.0</v>
      </c>
      <c r="J1193" s="266">
        <v>14.0</v>
      </c>
      <c r="K1193" s="266">
        <v>215.0</v>
      </c>
      <c r="L1193" s="266" t="s">
        <v>3361</v>
      </c>
      <c r="M1193" s="266">
        <v>2.0</v>
      </c>
      <c r="N1193" s="266">
        <v>3.0</v>
      </c>
      <c r="O1193" s="266">
        <v>1.0</v>
      </c>
      <c r="P1193" s="266">
        <v>1.0</v>
      </c>
      <c r="Q1193" s="266" t="s">
        <v>166</v>
      </c>
      <c r="R1193" s="497" t="s">
        <v>166</v>
      </c>
      <c r="S1193" s="497" t="s">
        <v>166</v>
      </c>
      <c r="T1193" s="494"/>
    </row>
    <row r="1194">
      <c r="A1194" s="494" t="s">
        <v>3401</v>
      </c>
      <c r="B1194" s="495" t="s">
        <v>4024</v>
      </c>
      <c r="C1194" s="174" t="str">
        <f t="shared" si="205"/>
        <v>EVGA</v>
      </c>
      <c r="D1194" s="452" t="s">
        <v>3513</v>
      </c>
      <c r="E1194" s="266">
        <v>269.83</v>
      </c>
      <c r="F1194" s="266">
        <v>111.15</v>
      </c>
      <c r="G1194" s="266">
        <v>40.0</v>
      </c>
      <c r="H1194" s="266">
        <v>2.0</v>
      </c>
      <c r="I1194" s="266">
        <v>1800.0</v>
      </c>
      <c r="J1194" s="266">
        <v>14.0</v>
      </c>
      <c r="K1194" s="266">
        <v>215.0</v>
      </c>
      <c r="L1194" s="266" t="s">
        <v>3361</v>
      </c>
      <c r="M1194" s="266">
        <v>2.0</v>
      </c>
      <c r="N1194" s="266">
        <v>3.0</v>
      </c>
      <c r="O1194" s="266">
        <v>1.0</v>
      </c>
      <c r="P1194" s="266">
        <v>1.0</v>
      </c>
      <c r="Q1194" s="266" t="s">
        <v>166</v>
      </c>
      <c r="R1194" s="497" t="s">
        <v>166</v>
      </c>
      <c r="S1194" s="497" t="s">
        <v>166</v>
      </c>
      <c r="T1194" s="494"/>
    </row>
    <row r="1195">
      <c r="A1195" s="494" t="s">
        <v>3401</v>
      </c>
      <c r="B1195" s="495" t="s">
        <v>4024</v>
      </c>
      <c r="C1195" s="174" t="str">
        <f t="shared" si="205"/>
        <v>EVGA</v>
      </c>
      <c r="D1195" s="452" t="s">
        <v>3895</v>
      </c>
      <c r="E1195" s="266">
        <v>269.83</v>
      </c>
      <c r="F1195" s="266">
        <v>111.15</v>
      </c>
      <c r="G1195" s="266">
        <v>55.0</v>
      </c>
      <c r="H1195" s="266">
        <v>3.0</v>
      </c>
      <c r="I1195" s="266">
        <v>1815.0</v>
      </c>
      <c r="J1195" s="266">
        <v>14.0</v>
      </c>
      <c r="K1195" s="266">
        <v>215.0</v>
      </c>
      <c r="L1195" s="266" t="s">
        <v>3361</v>
      </c>
      <c r="M1195" s="266">
        <v>2.0</v>
      </c>
      <c r="N1195" s="266">
        <v>3.0</v>
      </c>
      <c r="O1195" s="266">
        <v>1.0</v>
      </c>
      <c r="P1195" s="266">
        <v>1.0</v>
      </c>
      <c r="Q1195" s="266" t="s">
        <v>166</v>
      </c>
      <c r="R1195" s="497" t="s">
        <v>166</v>
      </c>
      <c r="S1195" s="497" t="s">
        <v>166</v>
      </c>
      <c r="T1195" s="494"/>
    </row>
    <row r="1196">
      <c r="A1196" s="494" t="s">
        <v>3401</v>
      </c>
      <c r="B1196" s="495" t="s">
        <v>4024</v>
      </c>
      <c r="C1196" s="174" t="str">
        <f t="shared" si="205"/>
        <v>EVGA</v>
      </c>
      <c r="D1196" s="452" t="s">
        <v>4029</v>
      </c>
      <c r="E1196" s="266">
        <v>269.83</v>
      </c>
      <c r="F1196" s="266">
        <v>111.15</v>
      </c>
      <c r="G1196" s="266">
        <v>55.0</v>
      </c>
      <c r="H1196" s="266">
        <v>3.0</v>
      </c>
      <c r="I1196" s="266">
        <v>1710.0</v>
      </c>
      <c r="J1196" s="266">
        <v>14.0</v>
      </c>
      <c r="K1196" s="266">
        <v>215.0</v>
      </c>
      <c r="L1196" s="266" t="s">
        <v>3361</v>
      </c>
      <c r="M1196" s="266">
        <v>2.0</v>
      </c>
      <c r="N1196" s="266">
        <v>3.0</v>
      </c>
      <c r="O1196" s="266">
        <v>1.0</v>
      </c>
      <c r="P1196" s="266">
        <v>1.0</v>
      </c>
      <c r="Q1196" s="266" t="s">
        <v>166</v>
      </c>
      <c r="R1196" s="497" t="s">
        <v>166</v>
      </c>
      <c r="S1196" s="497" t="s">
        <v>166</v>
      </c>
      <c r="T1196" s="494"/>
    </row>
    <row r="1197">
      <c r="A1197" s="494" t="s">
        <v>3401</v>
      </c>
      <c r="B1197" s="495" t="s">
        <v>4024</v>
      </c>
      <c r="C1197" s="174" t="str">
        <f t="shared" si="205"/>
        <v>EVGA</v>
      </c>
      <c r="D1197" s="452" t="s">
        <v>4030</v>
      </c>
      <c r="E1197" s="266">
        <v>269.83</v>
      </c>
      <c r="F1197" s="266">
        <v>113.65</v>
      </c>
      <c r="G1197" s="266">
        <v>55.0</v>
      </c>
      <c r="H1197" s="266">
        <v>3.0</v>
      </c>
      <c r="I1197" s="266">
        <v>1815.0</v>
      </c>
      <c r="J1197" s="266">
        <v>14.0</v>
      </c>
      <c r="K1197" s="266">
        <v>215.0</v>
      </c>
      <c r="L1197" s="266" t="s">
        <v>3361</v>
      </c>
      <c r="M1197" s="266">
        <v>2.0</v>
      </c>
      <c r="N1197" s="266">
        <v>3.0</v>
      </c>
      <c r="O1197" s="266">
        <v>1.0</v>
      </c>
      <c r="P1197" s="266">
        <v>1.0</v>
      </c>
      <c r="Q1197" s="266" t="s">
        <v>166</v>
      </c>
      <c r="R1197" s="497" t="s">
        <v>166</v>
      </c>
      <c r="S1197" s="497" t="s">
        <v>166</v>
      </c>
      <c r="T1197" s="494"/>
    </row>
    <row r="1198">
      <c r="A1198" s="494" t="s">
        <v>3401</v>
      </c>
      <c r="B1198" s="495" t="s">
        <v>4024</v>
      </c>
      <c r="C1198" s="174" t="str">
        <f t="shared" si="205"/>
        <v>EVGA</v>
      </c>
      <c r="D1198" s="452" t="s">
        <v>3823</v>
      </c>
      <c r="E1198" s="266">
        <v>301.93</v>
      </c>
      <c r="F1198" s="266">
        <v>139.3</v>
      </c>
      <c r="G1198" s="266">
        <v>55.0</v>
      </c>
      <c r="H1198" s="266">
        <v>3.0</v>
      </c>
      <c r="I1198" s="266">
        <v>1710.0</v>
      </c>
      <c r="J1198" s="266">
        <v>14.0</v>
      </c>
      <c r="K1198" s="266">
        <v>215.0</v>
      </c>
      <c r="L1198" s="266" t="s">
        <v>3460</v>
      </c>
      <c r="M1198" s="266">
        <v>3.0</v>
      </c>
      <c r="N1198" s="266">
        <v>3.0</v>
      </c>
      <c r="O1198" s="266">
        <v>1.0</v>
      </c>
      <c r="P1198" s="266">
        <v>1.0</v>
      </c>
      <c r="Q1198" s="266" t="s">
        <v>166</v>
      </c>
      <c r="R1198" s="497" t="s">
        <v>166</v>
      </c>
      <c r="S1198" s="497" t="s">
        <v>166</v>
      </c>
      <c r="T1198" s="494"/>
    </row>
    <row r="1199">
      <c r="A1199" s="494" t="s">
        <v>3401</v>
      </c>
      <c r="B1199" s="495" t="s">
        <v>4024</v>
      </c>
      <c r="C1199" s="174" t="str">
        <f t="shared" si="205"/>
        <v>EVGA</v>
      </c>
      <c r="D1199" s="452" t="s">
        <v>3979</v>
      </c>
      <c r="E1199" s="266">
        <v>301.93</v>
      </c>
      <c r="F1199" s="266">
        <v>139.3</v>
      </c>
      <c r="G1199" s="266">
        <v>55.0</v>
      </c>
      <c r="H1199" s="266">
        <v>3.0</v>
      </c>
      <c r="I1199" s="266">
        <v>1860.0</v>
      </c>
      <c r="J1199" s="266">
        <v>14.0</v>
      </c>
      <c r="K1199" s="266">
        <v>215.0</v>
      </c>
      <c r="L1199" s="266" t="s">
        <v>3460</v>
      </c>
      <c r="M1199" s="266">
        <v>3.0</v>
      </c>
      <c r="N1199" s="266">
        <v>3.0</v>
      </c>
      <c r="O1199" s="266">
        <v>1.0</v>
      </c>
      <c r="P1199" s="266">
        <v>1.0</v>
      </c>
      <c r="Q1199" s="266" t="s">
        <v>166</v>
      </c>
      <c r="R1199" s="497" t="s">
        <v>166</v>
      </c>
      <c r="S1199" s="497" t="s">
        <v>166</v>
      </c>
      <c r="T1199" s="494"/>
    </row>
    <row r="1200">
      <c r="A1200" s="494" t="s">
        <v>3401</v>
      </c>
      <c r="B1200" s="495" t="s">
        <v>4024</v>
      </c>
      <c r="C1200" s="174" t="str">
        <f t="shared" si="205"/>
        <v>EVGA</v>
      </c>
      <c r="D1200" s="452" t="s">
        <v>4009</v>
      </c>
      <c r="E1200" s="266">
        <v>265.63</v>
      </c>
      <c r="F1200" s="266">
        <v>111.15</v>
      </c>
      <c r="G1200" s="266">
        <v>40.0</v>
      </c>
      <c r="H1200" s="266">
        <v>2.0</v>
      </c>
      <c r="I1200" s="266">
        <v>1800.0</v>
      </c>
      <c r="J1200" s="266">
        <v>14.0</v>
      </c>
      <c r="K1200" s="266">
        <v>215.0</v>
      </c>
      <c r="L1200" s="266" t="s">
        <v>3361</v>
      </c>
      <c r="M1200" s="266">
        <v>1.0</v>
      </c>
      <c r="N1200" s="266">
        <v>3.0</v>
      </c>
      <c r="O1200" s="266">
        <v>1.0</v>
      </c>
      <c r="P1200" s="266">
        <v>1.0</v>
      </c>
      <c r="Q1200" s="266" t="s">
        <v>166</v>
      </c>
      <c r="R1200" s="266" t="s">
        <v>174</v>
      </c>
      <c r="S1200" s="497" t="s">
        <v>166</v>
      </c>
      <c r="T1200" s="494"/>
    </row>
    <row r="1201">
      <c r="A1201" s="494" t="s">
        <v>3401</v>
      </c>
      <c r="B1201" s="495" t="s">
        <v>4024</v>
      </c>
      <c r="C1201" s="174" t="str">
        <f t="shared" si="205"/>
        <v>EVGA</v>
      </c>
      <c r="D1201" s="452" t="s">
        <v>4031</v>
      </c>
      <c r="E1201" s="266">
        <v>290.83</v>
      </c>
      <c r="F1201" s="266">
        <v>139.3</v>
      </c>
      <c r="G1201" s="266">
        <v>40.0</v>
      </c>
      <c r="H1201" s="266">
        <v>2.0</v>
      </c>
      <c r="I1201" s="266">
        <v>1845.0</v>
      </c>
      <c r="J1201" s="266">
        <v>14.0</v>
      </c>
      <c r="K1201" s="266">
        <v>215.0</v>
      </c>
      <c r="L1201" s="266" t="s">
        <v>3460</v>
      </c>
      <c r="M1201" s="266">
        <v>1.0</v>
      </c>
      <c r="N1201" s="266">
        <v>3.0</v>
      </c>
      <c r="O1201" s="266">
        <v>1.0</v>
      </c>
      <c r="P1201" s="266">
        <v>1.0</v>
      </c>
      <c r="Q1201" s="266" t="s">
        <v>166</v>
      </c>
      <c r="R1201" s="266" t="s">
        <v>174</v>
      </c>
      <c r="S1201" s="497" t="s">
        <v>166</v>
      </c>
      <c r="T1201" s="494"/>
    </row>
    <row r="1202">
      <c r="A1202" s="494" t="s">
        <v>3401</v>
      </c>
      <c r="B1202" s="495" t="s">
        <v>4024</v>
      </c>
      <c r="C1202" s="174" t="str">
        <f t="shared" si="205"/>
        <v>EVGA</v>
      </c>
      <c r="D1202" s="452" t="s">
        <v>4032</v>
      </c>
      <c r="E1202" s="266">
        <v>290.87</v>
      </c>
      <c r="F1202" s="266">
        <v>158.55</v>
      </c>
      <c r="G1202" s="266">
        <v>40.0</v>
      </c>
      <c r="H1202" s="266">
        <v>2.0</v>
      </c>
      <c r="I1202" s="266">
        <v>1860.0</v>
      </c>
      <c r="J1202" s="266">
        <v>14.0</v>
      </c>
      <c r="K1202" s="266">
        <v>215.0</v>
      </c>
      <c r="L1202" s="266" t="s">
        <v>3460</v>
      </c>
      <c r="M1202" s="266" t="s">
        <v>166</v>
      </c>
      <c r="N1202" s="266">
        <v>3.0</v>
      </c>
      <c r="O1202" s="266">
        <v>1.0</v>
      </c>
      <c r="P1202" s="266">
        <v>1.0</v>
      </c>
      <c r="Q1202" s="266" t="s">
        <v>166</v>
      </c>
      <c r="R1202" s="266" t="s">
        <v>174</v>
      </c>
      <c r="S1202" s="497" t="s">
        <v>166</v>
      </c>
      <c r="T1202" s="494"/>
    </row>
    <row r="1203">
      <c r="A1203" s="494" t="s">
        <v>3401</v>
      </c>
      <c r="B1203" s="495" t="s">
        <v>4024</v>
      </c>
      <c r="C1203" s="452" t="str">
        <f t="shared" ref="C1203:C1209" si="206">HYPERLINK("http://www.gainward.com/main/index.php?lang=en","Gainward")</f>
        <v>Gainward</v>
      </c>
      <c r="D1203" s="452" t="str">
        <f>HYPERLINK("http://www.gainward.com/main/vgapro.php?id=1035&amp;lang=en","RTX 2080")</f>
        <v>RTX 2080</v>
      </c>
      <c r="E1203" s="266">
        <v>268.0</v>
      </c>
      <c r="F1203" s="266">
        <v>112.0</v>
      </c>
      <c r="G1203" s="266">
        <v>40.0</v>
      </c>
      <c r="H1203" s="266">
        <v>2.0</v>
      </c>
      <c r="I1203" s="266">
        <v>1710.0</v>
      </c>
      <c r="J1203" s="266">
        <v>14.0</v>
      </c>
      <c r="K1203" s="266">
        <v>215.0</v>
      </c>
      <c r="L1203" s="266" t="s">
        <v>3361</v>
      </c>
      <c r="M1203" s="266">
        <v>1.0</v>
      </c>
      <c r="N1203" s="266">
        <v>3.0</v>
      </c>
      <c r="O1203" s="266">
        <v>1.0</v>
      </c>
      <c r="P1203" s="266">
        <v>1.0</v>
      </c>
      <c r="Q1203" s="266" t="s">
        <v>166</v>
      </c>
      <c r="R1203" s="266" t="s">
        <v>166</v>
      </c>
      <c r="S1203" s="266" t="s">
        <v>174</v>
      </c>
      <c r="T1203" s="494"/>
    </row>
    <row r="1204">
      <c r="A1204" s="494" t="s">
        <v>3401</v>
      </c>
      <c r="B1204" s="495" t="s">
        <v>4024</v>
      </c>
      <c r="C1204" s="452" t="str">
        <f t="shared" si="206"/>
        <v>Gainward</v>
      </c>
      <c r="D1204" s="452" t="str">
        <f>HYPERLINK("http://www.gainward.com/main/vgapro.php?id=1019&amp;lang=en","Phoenix")</f>
        <v>Phoenix</v>
      </c>
      <c r="E1204" s="266">
        <v>292.0</v>
      </c>
      <c r="F1204" s="266">
        <v>112.0</v>
      </c>
      <c r="G1204" s="266">
        <v>40.0</v>
      </c>
      <c r="H1204" s="266">
        <v>2.0</v>
      </c>
      <c r="I1204" s="266">
        <v>1740.0</v>
      </c>
      <c r="J1204" s="266">
        <v>14.0</v>
      </c>
      <c r="K1204" s="266">
        <v>215.0</v>
      </c>
      <c r="L1204" s="266" t="s">
        <v>3361</v>
      </c>
      <c r="M1204" s="266">
        <v>3.0</v>
      </c>
      <c r="N1204" s="266">
        <v>3.0</v>
      </c>
      <c r="O1204" s="266">
        <v>1.0</v>
      </c>
      <c r="P1204" s="266">
        <v>1.0</v>
      </c>
      <c r="Q1204" s="266" t="s">
        <v>166</v>
      </c>
      <c r="R1204" s="497" t="s">
        <v>166</v>
      </c>
      <c r="S1204" s="497" t="s">
        <v>166</v>
      </c>
      <c r="T1204" s="496"/>
    </row>
    <row r="1205">
      <c r="A1205" s="494" t="s">
        <v>3401</v>
      </c>
      <c r="B1205" s="495" t="s">
        <v>4024</v>
      </c>
      <c r="C1205" s="452" t="str">
        <f t="shared" si="206"/>
        <v>Gainward</v>
      </c>
      <c r="D1205" s="452" t="s">
        <v>3917</v>
      </c>
      <c r="E1205" s="266">
        <v>292.0</v>
      </c>
      <c r="F1205" s="266">
        <v>112.0</v>
      </c>
      <c r="G1205" s="266">
        <v>40.0</v>
      </c>
      <c r="H1205" s="266">
        <v>2.0</v>
      </c>
      <c r="I1205" s="266">
        <v>1815.0</v>
      </c>
      <c r="J1205" s="266">
        <v>14.0</v>
      </c>
      <c r="K1205" s="266">
        <v>215.0</v>
      </c>
      <c r="L1205" s="266" t="s">
        <v>3361</v>
      </c>
      <c r="M1205" s="266">
        <v>3.0</v>
      </c>
      <c r="N1205" s="266">
        <v>3.0</v>
      </c>
      <c r="O1205" s="266">
        <v>1.0</v>
      </c>
      <c r="P1205" s="266">
        <v>1.0</v>
      </c>
      <c r="Q1205" s="266" t="s">
        <v>166</v>
      </c>
      <c r="R1205" s="497" t="s">
        <v>166</v>
      </c>
      <c r="S1205" s="497" t="s">
        <v>166</v>
      </c>
      <c r="T1205" s="496"/>
    </row>
    <row r="1206">
      <c r="A1206" s="494" t="s">
        <v>3401</v>
      </c>
      <c r="B1206" s="495" t="s">
        <v>4024</v>
      </c>
      <c r="C1206" s="452" t="str">
        <f t="shared" si="206"/>
        <v>Gainward</v>
      </c>
      <c r="D1206" s="452" t="s">
        <v>4033</v>
      </c>
      <c r="E1206" s="613">
        <v>292.0</v>
      </c>
      <c r="F1206" s="511">
        <v>130.0</v>
      </c>
      <c r="G1206" s="266">
        <v>54.0</v>
      </c>
      <c r="H1206" s="266">
        <v>2.0</v>
      </c>
      <c r="I1206" s="266">
        <v>1710.0</v>
      </c>
      <c r="J1206" s="266">
        <v>14.0</v>
      </c>
      <c r="K1206" s="266">
        <v>215.0</v>
      </c>
      <c r="L1206" s="266" t="s">
        <v>3460</v>
      </c>
      <c r="M1206" s="266">
        <v>3.0</v>
      </c>
      <c r="N1206" s="266">
        <v>3.0</v>
      </c>
      <c r="O1206" s="266">
        <v>1.0</v>
      </c>
      <c r="P1206" s="266">
        <v>1.0</v>
      </c>
      <c r="Q1206" s="266" t="s">
        <v>166</v>
      </c>
      <c r="R1206" s="497" t="s">
        <v>166</v>
      </c>
      <c r="S1206" s="497" t="s">
        <v>166</v>
      </c>
      <c r="T1206" s="496"/>
    </row>
    <row r="1207">
      <c r="A1207" s="494" t="s">
        <v>3401</v>
      </c>
      <c r="B1207" s="495" t="s">
        <v>4024</v>
      </c>
      <c r="C1207" s="452" t="str">
        <f t="shared" si="206"/>
        <v>Gainward</v>
      </c>
      <c r="D1207" s="452" t="s">
        <v>3953</v>
      </c>
      <c r="E1207" s="266">
        <v>292.0</v>
      </c>
      <c r="F1207" s="266">
        <v>130.0</v>
      </c>
      <c r="G1207" s="266">
        <v>54.0</v>
      </c>
      <c r="H1207" s="266">
        <v>2.0</v>
      </c>
      <c r="I1207" s="266">
        <v>1740.0</v>
      </c>
      <c r="J1207" s="266">
        <v>14.0</v>
      </c>
      <c r="K1207" s="266">
        <v>215.0</v>
      </c>
      <c r="L1207" s="266" t="s">
        <v>3460</v>
      </c>
      <c r="M1207" s="266">
        <v>3.0</v>
      </c>
      <c r="N1207" s="266">
        <v>3.0</v>
      </c>
      <c r="O1207" s="266">
        <v>1.0</v>
      </c>
      <c r="P1207" s="266">
        <v>1.0</v>
      </c>
      <c r="Q1207" s="266" t="s">
        <v>166</v>
      </c>
      <c r="R1207" s="497" t="s">
        <v>166</v>
      </c>
      <c r="S1207" s="497" t="s">
        <v>166</v>
      </c>
      <c r="T1207" s="496"/>
    </row>
    <row r="1208">
      <c r="A1208" s="494" t="s">
        <v>3401</v>
      </c>
      <c r="B1208" s="495" t="s">
        <v>4024</v>
      </c>
      <c r="C1208" s="452" t="str">
        <f t="shared" si="206"/>
        <v>Gainward</v>
      </c>
      <c r="D1208" s="452" t="s">
        <v>3954</v>
      </c>
      <c r="E1208" s="266">
        <v>292.0</v>
      </c>
      <c r="F1208" s="266">
        <v>130.0</v>
      </c>
      <c r="G1208" s="266">
        <v>54.0</v>
      </c>
      <c r="H1208" s="266">
        <v>2.0</v>
      </c>
      <c r="I1208" s="266">
        <v>1815.0</v>
      </c>
      <c r="J1208" s="266">
        <v>14.0</v>
      </c>
      <c r="K1208" s="266">
        <v>215.0</v>
      </c>
      <c r="L1208" s="266" t="s">
        <v>3460</v>
      </c>
      <c r="M1208" s="266">
        <v>3.0</v>
      </c>
      <c r="N1208" s="266">
        <v>3.0</v>
      </c>
      <c r="O1208" s="266">
        <v>1.0</v>
      </c>
      <c r="P1208" s="266">
        <v>1.0</v>
      </c>
      <c r="Q1208" s="266" t="s">
        <v>166</v>
      </c>
      <c r="R1208" s="497" t="s">
        <v>166</v>
      </c>
      <c r="S1208" s="497" t="s">
        <v>166</v>
      </c>
      <c r="T1208" s="496"/>
    </row>
    <row r="1209">
      <c r="A1209" s="494" t="s">
        <v>3401</v>
      </c>
      <c r="B1209" s="495" t="s">
        <v>4024</v>
      </c>
      <c r="C1209" s="452" t="str">
        <f t="shared" si="206"/>
        <v>Gainward</v>
      </c>
      <c r="D1209" s="452" t="s">
        <v>3982</v>
      </c>
      <c r="E1209" s="613">
        <v>292.0</v>
      </c>
      <c r="F1209" s="511">
        <v>130.0</v>
      </c>
      <c r="G1209" s="266">
        <v>54.0</v>
      </c>
      <c r="H1209" s="266">
        <v>2.0</v>
      </c>
      <c r="I1209" s="266">
        <v>1875.0</v>
      </c>
      <c r="J1209" s="266">
        <v>14.0</v>
      </c>
      <c r="K1209" s="266">
        <v>215.0</v>
      </c>
      <c r="L1209" s="266" t="s">
        <v>3460</v>
      </c>
      <c r="M1209" s="266">
        <v>3.0</v>
      </c>
      <c r="N1209" s="266">
        <v>3.0</v>
      </c>
      <c r="O1209" s="266">
        <v>1.0</v>
      </c>
      <c r="P1209" s="266">
        <v>1.0</v>
      </c>
      <c r="Q1209" s="266" t="s">
        <v>166</v>
      </c>
      <c r="R1209" s="497" t="s">
        <v>166</v>
      </c>
      <c r="S1209" s="497" t="s">
        <v>166</v>
      </c>
      <c r="T1209" s="496"/>
    </row>
    <row r="1210">
      <c r="A1210" s="494" t="s">
        <v>3401</v>
      </c>
      <c r="B1210" s="495" t="s">
        <v>4024</v>
      </c>
      <c r="C1210" s="174" t="s">
        <v>3456</v>
      </c>
      <c r="D1210" s="452" t="str">
        <f>HYPERLINK("http://www.galax.com/en/graphics-card/20-series/galax-geforce-rtx-2080-vt.html","RTX 2080")</f>
        <v>RTX 2080</v>
      </c>
      <c r="E1210" s="266">
        <v>268.0</v>
      </c>
      <c r="F1210" s="266">
        <v>123.0</v>
      </c>
      <c r="G1210" s="266">
        <v>38.0</v>
      </c>
      <c r="H1210" s="266">
        <v>2.0</v>
      </c>
      <c r="I1210" s="266">
        <v>1710.0</v>
      </c>
      <c r="J1210" s="266">
        <v>14.0</v>
      </c>
      <c r="K1210" s="266">
        <v>215.0</v>
      </c>
      <c r="L1210" s="266" t="s">
        <v>3361</v>
      </c>
      <c r="M1210" s="266">
        <v>1.0</v>
      </c>
      <c r="N1210" s="266">
        <v>3.0</v>
      </c>
      <c r="O1210" s="266">
        <v>1.0</v>
      </c>
      <c r="P1210" s="266">
        <v>1.0</v>
      </c>
      <c r="Q1210" s="266" t="s">
        <v>166</v>
      </c>
      <c r="R1210" s="266" t="s">
        <v>166</v>
      </c>
      <c r="S1210" s="266" t="s">
        <v>174</v>
      </c>
      <c r="T1210" s="494"/>
    </row>
    <row r="1211">
      <c r="A1211" s="494" t="s">
        <v>3401</v>
      </c>
      <c r="B1211" s="495" t="s">
        <v>4024</v>
      </c>
      <c r="C1211" s="174" t="s">
        <v>3456</v>
      </c>
      <c r="D1211" s="452" t="str">
        <f>HYPERLINK("http://www.galax.com/en/graphics-card/20-series/galax-geforce-rtx-2080-oc-sd.html","Dual Black")</f>
        <v>Dual Black</v>
      </c>
      <c r="E1211" s="266">
        <v>268.0</v>
      </c>
      <c r="F1211" s="266">
        <v>123.0</v>
      </c>
      <c r="G1211" s="266">
        <v>38.0</v>
      </c>
      <c r="H1211" s="266">
        <v>2.0</v>
      </c>
      <c r="I1211" s="266">
        <v>1710.0</v>
      </c>
      <c r="J1211" s="266">
        <v>14.0</v>
      </c>
      <c r="K1211" s="266">
        <v>215.0</v>
      </c>
      <c r="L1211" s="266" t="s">
        <v>3361</v>
      </c>
      <c r="M1211" s="266">
        <v>2.0</v>
      </c>
      <c r="N1211" s="266">
        <v>3.0</v>
      </c>
      <c r="O1211" s="266">
        <v>1.0</v>
      </c>
      <c r="P1211" s="266">
        <v>1.0</v>
      </c>
      <c r="Q1211" s="266" t="s">
        <v>166</v>
      </c>
      <c r="R1211" s="497" t="s">
        <v>166</v>
      </c>
      <c r="S1211" s="497" t="s">
        <v>166</v>
      </c>
      <c r="T1211" s="496"/>
    </row>
    <row r="1212">
      <c r="A1212" s="494" t="s">
        <v>3401</v>
      </c>
      <c r="B1212" s="495" t="s">
        <v>4024</v>
      </c>
      <c r="C1212" s="174" t="s">
        <v>3456</v>
      </c>
      <c r="D1212" s="452" t="str">
        <f>HYPERLINK("http://www.galax.com/en/graphics-card/20-series/galax-geforce-rtx-2080-oc-black.html","OC")</f>
        <v>OC</v>
      </c>
      <c r="E1212" s="266">
        <v>268.0</v>
      </c>
      <c r="F1212" s="266">
        <v>123.0</v>
      </c>
      <c r="G1212" s="266">
        <v>38.0</v>
      </c>
      <c r="H1212" s="266">
        <v>2.0</v>
      </c>
      <c r="I1212" s="266">
        <v>1785.0</v>
      </c>
      <c r="J1212" s="266">
        <v>14.0</v>
      </c>
      <c r="K1212" s="266">
        <v>215.0</v>
      </c>
      <c r="L1212" s="266" t="s">
        <v>3361</v>
      </c>
      <c r="M1212" s="266">
        <v>2.0</v>
      </c>
      <c r="N1212" s="266">
        <v>3.0</v>
      </c>
      <c r="O1212" s="266">
        <v>1.0</v>
      </c>
      <c r="P1212" s="266">
        <v>1.0</v>
      </c>
      <c r="Q1212" s="266" t="s">
        <v>166</v>
      </c>
      <c r="R1212" s="497" t="s">
        <v>166</v>
      </c>
      <c r="S1212" s="497" t="s">
        <v>166</v>
      </c>
      <c r="T1212" s="496"/>
    </row>
    <row r="1213">
      <c r="A1213" s="494" t="s">
        <v>3401</v>
      </c>
      <c r="B1213" s="495" t="s">
        <v>4024</v>
      </c>
      <c r="C1213" s="174" t="s">
        <v>3456</v>
      </c>
      <c r="D1213" s="452" t="str">
        <f>HYPERLINK("http://www.galax.com/en/graphics-card/20-series/galax-geforce-rtx-2080-oc-white.html","OC White")</f>
        <v>OC White</v>
      </c>
      <c r="E1213" s="266">
        <v>268.0</v>
      </c>
      <c r="F1213" s="266">
        <v>123.0</v>
      </c>
      <c r="G1213" s="266">
        <v>38.0</v>
      </c>
      <c r="H1213" s="266">
        <v>2.0</v>
      </c>
      <c r="I1213" s="266">
        <v>1800.0</v>
      </c>
      <c r="J1213" s="266">
        <v>14.0</v>
      </c>
      <c r="K1213" s="266">
        <v>215.0</v>
      </c>
      <c r="L1213" s="266" t="s">
        <v>3361</v>
      </c>
      <c r="M1213" s="266">
        <v>2.0</v>
      </c>
      <c r="N1213" s="266">
        <v>3.0</v>
      </c>
      <c r="O1213" s="266">
        <v>1.0</v>
      </c>
      <c r="P1213" s="266">
        <v>1.0</v>
      </c>
      <c r="Q1213" s="266" t="s">
        <v>166</v>
      </c>
      <c r="R1213" s="497" t="s">
        <v>166</v>
      </c>
      <c r="S1213" s="497" t="s">
        <v>166</v>
      </c>
      <c r="T1213" s="496"/>
    </row>
    <row r="1214">
      <c r="A1214" s="494" t="s">
        <v>3401</v>
      </c>
      <c r="B1214" s="495" t="s">
        <v>4024</v>
      </c>
      <c r="C1214" s="174" t="s">
        <v>3456</v>
      </c>
      <c r="D1214" s="452" t="s">
        <v>3489</v>
      </c>
      <c r="E1214" s="266">
        <v>285.0</v>
      </c>
      <c r="F1214" s="266">
        <v>127.0</v>
      </c>
      <c r="G1214" s="266">
        <v>52.0</v>
      </c>
      <c r="H1214" s="266">
        <v>2.0</v>
      </c>
      <c r="I1214" s="266">
        <v>1755.0</v>
      </c>
      <c r="J1214" s="266">
        <v>14.0</v>
      </c>
      <c r="K1214" s="266">
        <v>215.0</v>
      </c>
      <c r="L1214" s="266" t="s">
        <v>3361</v>
      </c>
      <c r="M1214" s="266">
        <v>2.0</v>
      </c>
      <c r="N1214" s="266">
        <v>3.0</v>
      </c>
      <c r="O1214" s="266">
        <v>1.0</v>
      </c>
      <c r="P1214" s="266" t="s">
        <v>166</v>
      </c>
      <c r="Q1214" s="266" t="s">
        <v>166</v>
      </c>
      <c r="R1214" s="497" t="s">
        <v>166</v>
      </c>
      <c r="S1214" s="497" t="s">
        <v>166</v>
      </c>
      <c r="T1214" s="496"/>
    </row>
    <row r="1215">
      <c r="A1215" s="494" t="s">
        <v>3401</v>
      </c>
      <c r="B1215" s="495" t="s">
        <v>4024</v>
      </c>
      <c r="C1215" s="174" t="s">
        <v>3456</v>
      </c>
      <c r="D1215" s="452" t="s">
        <v>3955</v>
      </c>
      <c r="E1215" s="266">
        <v>285.0</v>
      </c>
      <c r="F1215" s="266">
        <v>127.0</v>
      </c>
      <c r="G1215" s="266">
        <v>52.0</v>
      </c>
      <c r="H1215" s="266">
        <v>2.0</v>
      </c>
      <c r="I1215" s="266">
        <v>1755.0</v>
      </c>
      <c r="J1215" s="266">
        <v>14.0</v>
      </c>
      <c r="K1215" s="266">
        <v>215.0</v>
      </c>
      <c r="L1215" s="266" t="s">
        <v>3361</v>
      </c>
      <c r="M1215" s="266">
        <v>2.0</v>
      </c>
      <c r="N1215" s="266">
        <v>3.0</v>
      </c>
      <c r="O1215" s="266">
        <v>1.0</v>
      </c>
      <c r="P1215" s="266" t="s">
        <v>166</v>
      </c>
      <c r="Q1215" s="266" t="s">
        <v>166</v>
      </c>
      <c r="R1215" s="497" t="s">
        <v>166</v>
      </c>
      <c r="S1215" s="497" t="s">
        <v>166</v>
      </c>
      <c r="T1215" s="496"/>
    </row>
    <row r="1216">
      <c r="A1216" s="494" t="s">
        <v>3401</v>
      </c>
      <c r="B1216" s="495" t="s">
        <v>4024</v>
      </c>
      <c r="C1216" s="174" t="s">
        <v>3456</v>
      </c>
      <c r="D1216" s="452" t="s">
        <v>3984</v>
      </c>
      <c r="E1216" s="266">
        <v>285.0</v>
      </c>
      <c r="F1216" s="266">
        <v>127.0</v>
      </c>
      <c r="G1216" s="266">
        <v>52.0</v>
      </c>
      <c r="H1216" s="266">
        <v>2.0</v>
      </c>
      <c r="I1216" s="266">
        <v>1845.0</v>
      </c>
      <c r="J1216" s="266">
        <v>14.0</v>
      </c>
      <c r="K1216" s="266">
        <v>215.0</v>
      </c>
      <c r="L1216" s="266" t="s">
        <v>3361</v>
      </c>
      <c r="M1216" s="266">
        <v>2.0</v>
      </c>
      <c r="N1216" s="266">
        <v>3.0</v>
      </c>
      <c r="O1216" s="266">
        <v>1.0</v>
      </c>
      <c r="P1216" s="266">
        <v>1.0</v>
      </c>
      <c r="Q1216" s="266" t="s">
        <v>166</v>
      </c>
      <c r="R1216" s="497" t="s">
        <v>166</v>
      </c>
      <c r="S1216" s="497" t="s">
        <v>166</v>
      </c>
      <c r="T1216" s="496"/>
    </row>
    <row r="1217">
      <c r="A1217" s="494" t="s">
        <v>3401</v>
      </c>
      <c r="B1217" s="495" t="s">
        <v>4024</v>
      </c>
      <c r="C1217" s="174" t="s">
        <v>3456</v>
      </c>
      <c r="D1217" s="452" t="s">
        <v>3986</v>
      </c>
      <c r="E1217" s="266">
        <v>285.0</v>
      </c>
      <c r="F1217" s="266">
        <v>127.0</v>
      </c>
      <c r="G1217" s="266">
        <v>52.0</v>
      </c>
      <c r="H1217" s="266">
        <v>2.0</v>
      </c>
      <c r="I1217" s="266">
        <v>1860.0</v>
      </c>
      <c r="J1217" s="266">
        <v>14.0</v>
      </c>
      <c r="K1217" s="266">
        <v>215.0</v>
      </c>
      <c r="L1217" s="266" t="s">
        <v>3361</v>
      </c>
      <c r="M1217" s="266">
        <v>2.0</v>
      </c>
      <c r="N1217" s="266">
        <v>3.0</v>
      </c>
      <c r="O1217" s="266">
        <v>1.0</v>
      </c>
      <c r="P1217" s="266">
        <v>1.0</v>
      </c>
      <c r="Q1217" s="266" t="s">
        <v>166</v>
      </c>
      <c r="R1217" s="497" t="s">
        <v>166</v>
      </c>
      <c r="S1217" s="497" t="s">
        <v>166</v>
      </c>
      <c r="T1217" s="496"/>
    </row>
    <row r="1218">
      <c r="A1218" s="494" t="s">
        <v>3401</v>
      </c>
      <c r="B1218" s="495" t="s">
        <v>4024</v>
      </c>
      <c r="C1218" s="174" t="s">
        <v>3456</v>
      </c>
      <c r="D1218" s="452" t="s">
        <v>3956</v>
      </c>
      <c r="E1218" s="266">
        <v>285.0</v>
      </c>
      <c r="F1218" s="266">
        <v>127.0</v>
      </c>
      <c r="G1218" s="266">
        <v>52.0</v>
      </c>
      <c r="H1218" s="266">
        <v>2.0</v>
      </c>
      <c r="I1218" s="266">
        <v>1755.0</v>
      </c>
      <c r="J1218" s="266">
        <v>14.0</v>
      </c>
      <c r="K1218" s="266">
        <v>215.0</v>
      </c>
      <c r="L1218" s="266" t="s">
        <v>3361</v>
      </c>
      <c r="M1218" s="266">
        <v>2.0</v>
      </c>
      <c r="N1218" s="266">
        <v>3.0</v>
      </c>
      <c r="O1218" s="266">
        <v>1.0</v>
      </c>
      <c r="P1218" s="266">
        <v>1.0</v>
      </c>
      <c r="Q1218" s="266" t="s">
        <v>166</v>
      </c>
      <c r="R1218" s="497" t="s">
        <v>166</v>
      </c>
      <c r="S1218" s="497" t="s">
        <v>166</v>
      </c>
      <c r="T1218" s="496"/>
    </row>
    <row r="1219">
      <c r="A1219" s="494" t="s">
        <v>3401</v>
      </c>
      <c r="B1219" s="495" t="s">
        <v>4024</v>
      </c>
      <c r="C1219" s="174" t="s">
        <v>3456</v>
      </c>
      <c r="D1219" s="452" t="s">
        <v>4034</v>
      </c>
      <c r="E1219" s="614">
        <v>285.0</v>
      </c>
      <c r="F1219" s="615">
        <v>127.0</v>
      </c>
      <c r="G1219" s="561">
        <v>52.0</v>
      </c>
      <c r="H1219" s="266">
        <v>2.0</v>
      </c>
      <c r="I1219" s="266">
        <v>1755.0</v>
      </c>
      <c r="J1219" s="266">
        <v>14.0</v>
      </c>
      <c r="K1219" s="266">
        <v>215.0</v>
      </c>
      <c r="L1219" s="266" t="s">
        <v>3361</v>
      </c>
      <c r="M1219" s="266">
        <v>2.0</v>
      </c>
      <c r="N1219" s="266">
        <v>3.0</v>
      </c>
      <c r="O1219" s="266">
        <v>1.0</v>
      </c>
      <c r="P1219" s="266" t="s">
        <v>166</v>
      </c>
      <c r="Q1219" s="266" t="s">
        <v>166</v>
      </c>
      <c r="R1219" s="497" t="s">
        <v>166</v>
      </c>
      <c r="S1219" s="497" t="s">
        <v>166</v>
      </c>
      <c r="T1219" s="496"/>
    </row>
    <row r="1220">
      <c r="A1220" s="494" t="s">
        <v>3401</v>
      </c>
      <c r="B1220" s="495" t="s">
        <v>4024</v>
      </c>
      <c r="C1220" s="174" t="s">
        <v>3456</v>
      </c>
      <c r="D1220" s="452" t="s">
        <v>3983</v>
      </c>
      <c r="E1220" s="266">
        <v>294.0</v>
      </c>
      <c r="F1220" s="266">
        <v>129.0</v>
      </c>
      <c r="G1220" s="266">
        <v>51.0</v>
      </c>
      <c r="H1220" s="266">
        <v>2.0</v>
      </c>
      <c r="I1220" s="266">
        <v>1755.0</v>
      </c>
      <c r="J1220" s="266">
        <v>14.0</v>
      </c>
      <c r="K1220" s="266">
        <v>215.0</v>
      </c>
      <c r="L1220" s="266" t="s">
        <v>3361</v>
      </c>
      <c r="M1220" s="266">
        <v>3.0</v>
      </c>
      <c r="N1220" s="266">
        <v>3.0</v>
      </c>
      <c r="O1220" s="266">
        <v>1.0</v>
      </c>
      <c r="P1220" s="266">
        <v>1.0</v>
      </c>
      <c r="Q1220" s="266" t="s">
        <v>166</v>
      </c>
      <c r="R1220" s="497" t="s">
        <v>166</v>
      </c>
      <c r="S1220" s="497" t="s">
        <v>166</v>
      </c>
      <c r="T1220" s="496"/>
    </row>
    <row r="1221">
      <c r="A1221" s="494" t="s">
        <v>3401</v>
      </c>
      <c r="B1221" s="495" t="s">
        <v>4024</v>
      </c>
      <c r="C1221" s="174" t="s">
        <v>3456</v>
      </c>
      <c r="D1221" s="452" t="s">
        <v>4035</v>
      </c>
      <c r="E1221" s="266">
        <v>294.0</v>
      </c>
      <c r="F1221" s="266">
        <v>129.0</v>
      </c>
      <c r="G1221" s="266">
        <v>51.0</v>
      </c>
      <c r="H1221" s="266">
        <v>2.0</v>
      </c>
      <c r="I1221" s="266">
        <v>1755.0</v>
      </c>
      <c r="J1221" s="266">
        <v>14.0</v>
      </c>
      <c r="K1221" s="266">
        <v>215.0</v>
      </c>
      <c r="L1221" s="266" t="s">
        <v>3361</v>
      </c>
      <c r="M1221" s="266">
        <v>3.0</v>
      </c>
      <c r="N1221" s="266">
        <v>3.0</v>
      </c>
      <c r="O1221" s="266">
        <v>1.0</v>
      </c>
      <c r="P1221" s="266" t="s">
        <v>166</v>
      </c>
      <c r="Q1221" s="266" t="s">
        <v>166</v>
      </c>
      <c r="R1221" s="497" t="s">
        <v>166</v>
      </c>
      <c r="S1221" s="497" t="s">
        <v>166</v>
      </c>
      <c r="T1221" s="496"/>
    </row>
    <row r="1222">
      <c r="A1222" s="494" t="s">
        <v>3401</v>
      </c>
      <c r="B1222" s="495" t="s">
        <v>4024</v>
      </c>
      <c r="C1222" s="174" t="s">
        <v>3456</v>
      </c>
      <c r="D1222" s="452" t="s">
        <v>3985</v>
      </c>
      <c r="E1222" s="266">
        <v>294.0</v>
      </c>
      <c r="F1222" s="266">
        <v>129.0</v>
      </c>
      <c r="G1222" s="266">
        <v>51.0</v>
      </c>
      <c r="H1222" s="266">
        <v>2.0</v>
      </c>
      <c r="I1222" s="266">
        <v>1860.0</v>
      </c>
      <c r="J1222" s="266">
        <v>14.0</v>
      </c>
      <c r="K1222" s="266">
        <v>215.0</v>
      </c>
      <c r="L1222" s="266" t="s">
        <v>3361</v>
      </c>
      <c r="M1222" s="266">
        <v>3.0</v>
      </c>
      <c r="N1222" s="266">
        <v>3.0</v>
      </c>
      <c r="O1222" s="266">
        <v>1.0</v>
      </c>
      <c r="P1222" s="266">
        <v>1.0</v>
      </c>
      <c r="Q1222" s="266" t="s">
        <v>166</v>
      </c>
      <c r="R1222" s="497" t="s">
        <v>166</v>
      </c>
      <c r="S1222" s="497" t="s">
        <v>166</v>
      </c>
      <c r="T1222" s="496"/>
    </row>
    <row r="1223">
      <c r="A1223" s="494" t="s">
        <v>3401</v>
      </c>
      <c r="B1223" s="495" t="s">
        <v>4024</v>
      </c>
      <c r="C1223" s="174" t="s">
        <v>3456</v>
      </c>
      <c r="D1223" s="452" t="s">
        <v>4003</v>
      </c>
      <c r="E1223" s="266">
        <v>298.4</v>
      </c>
      <c r="F1223" s="518">
        <v>138.0</v>
      </c>
      <c r="G1223" s="518">
        <v>54.0</v>
      </c>
      <c r="H1223" s="266">
        <v>2.0</v>
      </c>
      <c r="I1223" s="266">
        <v>1845.0</v>
      </c>
      <c r="J1223" s="266">
        <v>14.0</v>
      </c>
      <c r="K1223" s="266">
        <v>215.0</v>
      </c>
      <c r="L1223" s="266" t="s">
        <v>3361</v>
      </c>
      <c r="M1223" s="266">
        <v>3.0</v>
      </c>
      <c r="N1223" s="266">
        <v>3.0</v>
      </c>
      <c r="O1223" s="266">
        <v>1.0</v>
      </c>
      <c r="P1223" s="266">
        <v>1.0</v>
      </c>
      <c r="Q1223" s="266" t="s">
        <v>166</v>
      </c>
      <c r="R1223" s="497" t="s">
        <v>166</v>
      </c>
      <c r="S1223" s="497" t="s">
        <v>166</v>
      </c>
      <c r="T1223" s="496"/>
    </row>
    <row r="1224">
      <c r="A1224" s="494" t="s">
        <v>3401</v>
      </c>
      <c r="B1224" s="495" t="s">
        <v>4024</v>
      </c>
      <c r="C1224" s="174" t="s">
        <v>3456</v>
      </c>
      <c r="D1224" s="452" t="s">
        <v>4036</v>
      </c>
      <c r="E1224" s="266">
        <v>308.0</v>
      </c>
      <c r="F1224" s="266">
        <v>110.0</v>
      </c>
      <c r="G1224" s="266">
        <v>47.0</v>
      </c>
      <c r="H1224" s="266">
        <v>2.0</v>
      </c>
      <c r="I1224" s="266">
        <v>1755.0</v>
      </c>
      <c r="J1224" s="266">
        <v>14.0</v>
      </c>
      <c r="K1224" s="266">
        <v>215.0</v>
      </c>
      <c r="L1224" s="266" t="s">
        <v>3361</v>
      </c>
      <c r="M1224" s="266">
        <v>3.0</v>
      </c>
      <c r="N1224" s="266">
        <v>3.0</v>
      </c>
      <c r="O1224" s="266">
        <v>1.0</v>
      </c>
      <c r="P1224" s="266">
        <v>1.0</v>
      </c>
      <c r="Q1224" s="266" t="s">
        <v>166</v>
      </c>
      <c r="R1224" s="497" t="s">
        <v>166</v>
      </c>
      <c r="S1224" s="497" t="s">
        <v>166</v>
      </c>
      <c r="T1224" s="496"/>
    </row>
    <row r="1225">
      <c r="A1225" s="494" t="s">
        <v>3401</v>
      </c>
      <c r="B1225" s="495" t="s">
        <v>4024</v>
      </c>
      <c r="C1225" s="174" t="s">
        <v>3456</v>
      </c>
      <c r="D1225" s="452" t="s">
        <v>3987</v>
      </c>
      <c r="E1225" s="266">
        <v>308.0</v>
      </c>
      <c r="F1225" s="266">
        <v>110.0</v>
      </c>
      <c r="G1225" s="266">
        <v>47.0</v>
      </c>
      <c r="H1225" s="266">
        <v>2.0</v>
      </c>
      <c r="I1225" s="266">
        <v>1800.0</v>
      </c>
      <c r="J1225" s="266">
        <v>14.0</v>
      </c>
      <c r="K1225" s="266">
        <v>215.0</v>
      </c>
      <c r="L1225" s="266" t="s">
        <v>3361</v>
      </c>
      <c r="M1225" s="266">
        <v>3.0</v>
      </c>
      <c r="N1225" s="266">
        <v>3.0</v>
      </c>
      <c r="O1225" s="266">
        <v>1.0</v>
      </c>
      <c r="P1225" s="266">
        <v>1.0</v>
      </c>
      <c r="Q1225" s="266" t="s">
        <v>166</v>
      </c>
      <c r="R1225" s="497" t="s">
        <v>166</v>
      </c>
      <c r="S1225" s="497" t="s">
        <v>166</v>
      </c>
      <c r="T1225" s="496"/>
    </row>
    <row r="1226">
      <c r="A1226" s="494" t="s">
        <v>3401</v>
      </c>
      <c r="B1226" s="495" t="s">
        <v>4024</v>
      </c>
      <c r="C1226" s="174" t="s">
        <v>3456</v>
      </c>
      <c r="D1226" s="452" t="str">
        <f>HYPERLINK("http://www.galax.com/en/graphics-card/20-series/galax-geforce-rtx-2080-white-1clickoc.html","White (1-Click OC)")</f>
        <v>White (1-Click OC)</v>
      </c>
      <c r="E1226" s="266">
        <v>268.0</v>
      </c>
      <c r="F1226" s="266">
        <v>123.0</v>
      </c>
      <c r="G1226" s="266">
        <v>38.0</v>
      </c>
      <c r="H1226" s="266">
        <v>2.0</v>
      </c>
      <c r="I1226" s="266">
        <v>1755.0</v>
      </c>
      <c r="J1226" s="266">
        <v>14.0</v>
      </c>
      <c r="K1226" s="266">
        <v>215.0</v>
      </c>
      <c r="L1226" s="266" t="s">
        <v>3361</v>
      </c>
      <c r="M1226" s="266">
        <v>2.0</v>
      </c>
      <c r="N1226" s="266">
        <v>3.0</v>
      </c>
      <c r="O1226" s="266">
        <v>1.0</v>
      </c>
      <c r="P1226" s="266">
        <v>1.0</v>
      </c>
      <c r="Q1226" s="266" t="s">
        <v>166</v>
      </c>
      <c r="R1226" s="497" t="s">
        <v>166</v>
      </c>
      <c r="S1226" s="497" t="s">
        <v>166</v>
      </c>
      <c r="T1226" s="496"/>
    </row>
    <row r="1227">
      <c r="A1227" s="494" t="s">
        <v>3401</v>
      </c>
      <c r="B1227" s="495" t="s">
        <v>4024</v>
      </c>
      <c r="C1227" s="174" t="str">
        <f t="shared" ref="C1227:C1237" si="207">HYPERLINK("https://www.gigabyte.com/","Gigabyte")</f>
        <v>Gigabyte</v>
      </c>
      <c r="D1227" s="452" t="s">
        <v>4037</v>
      </c>
      <c r="E1227" s="266">
        <v>272.0</v>
      </c>
      <c r="F1227" s="266">
        <v>113.65</v>
      </c>
      <c r="G1227" s="266">
        <v>35.1</v>
      </c>
      <c r="H1227" s="266">
        <v>2.0</v>
      </c>
      <c r="I1227" s="266">
        <v>1710.0</v>
      </c>
      <c r="J1227" s="266">
        <v>14.0</v>
      </c>
      <c r="K1227" s="266">
        <v>215.0</v>
      </c>
      <c r="L1227" s="266" t="s">
        <v>3361</v>
      </c>
      <c r="M1227" s="266">
        <v>1.0</v>
      </c>
      <c r="N1227" s="266">
        <v>3.0</v>
      </c>
      <c r="O1227" s="266">
        <v>1.0</v>
      </c>
      <c r="P1227" s="266">
        <v>1.0</v>
      </c>
      <c r="Q1227" s="266" t="s">
        <v>166</v>
      </c>
      <c r="R1227" s="266" t="s">
        <v>166</v>
      </c>
      <c r="S1227" s="266" t="s">
        <v>174</v>
      </c>
      <c r="T1227" s="494"/>
    </row>
    <row r="1228">
      <c r="A1228" s="494" t="s">
        <v>3401</v>
      </c>
      <c r="B1228" s="495" t="s">
        <v>4024</v>
      </c>
      <c r="C1228" s="174" t="str">
        <f t="shared" si="207"/>
        <v>Gigabyte</v>
      </c>
      <c r="D1228" s="452" t="s">
        <v>4038</v>
      </c>
      <c r="E1228" s="266">
        <v>272.0</v>
      </c>
      <c r="F1228" s="266">
        <v>113.65</v>
      </c>
      <c r="G1228" s="266">
        <v>35.1</v>
      </c>
      <c r="H1228" s="266">
        <v>2.0</v>
      </c>
      <c r="I1228" s="266">
        <v>1785.0</v>
      </c>
      <c r="J1228" s="266">
        <v>14.0</v>
      </c>
      <c r="K1228" s="266">
        <v>215.0</v>
      </c>
      <c r="L1228" s="266" t="s">
        <v>3361</v>
      </c>
      <c r="M1228" s="266">
        <v>1.0</v>
      </c>
      <c r="N1228" s="266">
        <v>3.0</v>
      </c>
      <c r="O1228" s="266">
        <v>1.0</v>
      </c>
      <c r="P1228" s="266">
        <v>1.0</v>
      </c>
      <c r="Q1228" s="266" t="s">
        <v>166</v>
      </c>
      <c r="R1228" s="266" t="s">
        <v>166</v>
      </c>
      <c r="S1228" s="266" t="s">
        <v>174</v>
      </c>
      <c r="T1228" s="494"/>
    </row>
    <row r="1229">
      <c r="A1229" s="494" t="s">
        <v>3401</v>
      </c>
      <c r="B1229" s="495" t="s">
        <v>4024</v>
      </c>
      <c r="C1229" s="174" t="str">
        <f t="shared" si="207"/>
        <v>Gigabyte</v>
      </c>
      <c r="D1229" s="452" t="s">
        <v>3597</v>
      </c>
      <c r="E1229" s="266">
        <v>280.35</v>
      </c>
      <c r="F1229" s="266">
        <v>116.45</v>
      </c>
      <c r="G1229" s="266">
        <v>40.24</v>
      </c>
      <c r="H1229" s="266">
        <v>2.0</v>
      </c>
      <c r="I1229" s="266">
        <v>1710.0</v>
      </c>
      <c r="J1229" s="266">
        <v>14.0</v>
      </c>
      <c r="K1229" s="266">
        <v>215.0</v>
      </c>
      <c r="L1229" s="266" t="s">
        <v>3361</v>
      </c>
      <c r="M1229" s="266">
        <v>3.0</v>
      </c>
      <c r="N1229" s="266">
        <v>3.0</v>
      </c>
      <c r="O1229" s="266">
        <v>1.0</v>
      </c>
      <c r="P1229" s="266">
        <v>1.0</v>
      </c>
      <c r="Q1229" s="266" t="s">
        <v>166</v>
      </c>
      <c r="R1229" s="497" t="s">
        <v>166</v>
      </c>
      <c r="S1229" s="497" t="s">
        <v>166</v>
      </c>
      <c r="T1229" s="496"/>
    </row>
    <row r="1230">
      <c r="A1230" s="494" t="s">
        <v>3401</v>
      </c>
      <c r="B1230" s="495" t="s">
        <v>4024</v>
      </c>
      <c r="C1230" s="174" t="str">
        <f t="shared" si="207"/>
        <v>Gigabyte</v>
      </c>
      <c r="D1230" s="452" t="s">
        <v>3578</v>
      </c>
      <c r="E1230" s="266">
        <v>280.35</v>
      </c>
      <c r="F1230" s="266">
        <v>116.45</v>
      </c>
      <c r="G1230" s="266">
        <v>40.24</v>
      </c>
      <c r="H1230" s="266">
        <v>2.0</v>
      </c>
      <c r="I1230" s="266">
        <v>1800.0</v>
      </c>
      <c r="J1230" s="266">
        <v>14.0</v>
      </c>
      <c r="K1230" s="266">
        <v>215.0</v>
      </c>
      <c r="L1230" s="266" t="s">
        <v>3361</v>
      </c>
      <c r="M1230" s="266">
        <v>3.0</v>
      </c>
      <c r="N1230" s="266">
        <v>3.0</v>
      </c>
      <c r="O1230" s="266">
        <v>1.0</v>
      </c>
      <c r="P1230" s="266">
        <v>1.0</v>
      </c>
      <c r="Q1230" s="266" t="s">
        <v>166</v>
      </c>
      <c r="R1230" s="497" t="s">
        <v>166</v>
      </c>
      <c r="S1230" s="497" t="s">
        <v>166</v>
      </c>
      <c r="T1230" s="496"/>
    </row>
    <row r="1231">
      <c r="A1231" s="494" t="s">
        <v>3401</v>
      </c>
      <c r="B1231" s="495" t="s">
        <v>4024</v>
      </c>
      <c r="C1231" s="174" t="str">
        <f t="shared" si="207"/>
        <v>Gigabyte</v>
      </c>
      <c r="D1231" s="452" t="s">
        <v>3409</v>
      </c>
      <c r="E1231" s="266">
        <v>286.5</v>
      </c>
      <c r="F1231" s="266">
        <v>114.5</v>
      </c>
      <c r="G1231" s="266">
        <v>50.2</v>
      </c>
      <c r="H1231" s="266">
        <v>2.0</v>
      </c>
      <c r="I1231" s="266">
        <v>1710.0</v>
      </c>
      <c r="J1231" s="266">
        <v>14.0</v>
      </c>
      <c r="K1231" s="266">
        <v>215.0</v>
      </c>
      <c r="L1231" s="266" t="s">
        <v>3361</v>
      </c>
      <c r="M1231" s="266">
        <v>3.0</v>
      </c>
      <c r="N1231" s="266">
        <v>3.0</v>
      </c>
      <c r="O1231" s="266">
        <v>1.0</v>
      </c>
      <c r="P1231" s="266">
        <v>1.0</v>
      </c>
      <c r="Q1231" s="266" t="s">
        <v>166</v>
      </c>
      <c r="R1231" s="497" t="s">
        <v>166</v>
      </c>
      <c r="S1231" s="497" t="s">
        <v>166</v>
      </c>
      <c r="T1231" s="496"/>
    </row>
    <row r="1232">
      <c r="A1232" s="494" t="s">
        <v>3401</v>
      </c>
      <c r="B1232" s="495" t="s">
        <v>4024</v>
      </c>
      <c r="C1232" s="174" t="str">
        <f t="shared" si="207"/>
        <v>Gigabyte</v>
      </c>
      <c r="D1232" s="452" t="s">
        <v>3630</v>
      </c>
      <c r="E1232" s="266">
        <v>286.5</v>
      </c>
      <c r="F1232" s="266">
        <v>114.5</v>
      </c>
      <c r="G1232" s="266">
        <v>50.2</v>
      </c>
      <c r="H1232" s="266">
        <v>2.0</v>
      </c>
      <c r="I1232" s="266">
        <v>1830.0</v>
      </c>
      <c r="J1232" s="266">
        <v>14.0</v>
      </c>
      <c r="K1232" s="266">
        <v>215.0</v>
      </c>
      <c r="L1232" s="266" t="s">
        <v>3361</v>
      </c>
      <c r="M1232" s="266">
        <v>3.0</v>
      </c>
      <c r="N1232" s="266">
        <v>3.0</v>
      </c>
      <c r="O1232" s="266">
        <v>1.0</v>
      </c>
      <c r="P1232" s="266">
        <v>1.0</v>
      </c>
      <c r="Q1232" s="266" t="s">
        <v>166</v>
      </c>
      <c r="R1232" s="497" t="s">
        <v>166</v>
      </c>
      <c r="S1232" s="497" t="s">
        <v>166</v>
      </c>
      <c r="T1232" s="496"/>
    </row>
    <row r="1233">
      <c r="A1233" s="494" t="s">
        <v>3401</v>
      </c>
      <c r="B1233" s="495" t="s">
        <v>4024</v>
      </c>
      <c r="C1233" s="174" t="str">
        <f t="shared" si="207"/>
        <v>Gigabyte</v>
      </c>
      <c r="D1233" s="452" t="s">
        <v>3957</v>
      </c>
      <c r="E1233" s="608">
        <v>286.5</v>
      </c>
      <c r="F1233" s="609">
        <v>114.5</v>
      </c>
      <c r="G1233" s="616">
        <v>50.2</v>
      </c>
      <c r="H1233" s="266">
        <v>2.0</v>
      </c>
      <c r="I1233" s="266">
        <v>1830.0</v>
      </c>
      <c r="J1233" s="266">
        <v>14.0</v>
      </c>
      <c r="K1233" s="266">
        <v>215.0</v>
      </c>
      <c r="L1233" s="266" t="s">
        <v>3361</v>
      </c>
      <c r="M1233" s="266">
        <v>3.0</v>
      </c>
      <c r="N1233" s="266">
        <v>3.0</v>
      </c>
      <c r="O1233" s="266">
        <v>1.0</v>
      </c>
      <c r="P1233" s="266">
        <v>1.0</v>
      </c>
      <c r="Q1233" s="266" t="s">
        <v>166</v>
      </c>
      <c r="R1233" s="497" t="s">
        <v>166</v>
      </c>
      <c r="S1233" s="497" t="s">
        <v>166</v>
      </c>
      <c r="T1233" s="496"/>
    </row>
    <row r="1234">
      <c r="A1234" s="494" t="s">
        <v>3401</v>
      </c>
      <c r="B1234" s="495" t="s">
        <v>4024</v>
      </c>
      <c r="C1234" s="174" t="str">
        <f t="shared" si="207"/>
        <v>Gigabyte</v>
      </c>
      <c r="D1234" s="452" t="s">
        <v>3677</v>
      </c>
      <c r="E1234" s="266">
        <v>290.0</v>
      </c>
      <c r="F1234" s="266">
        <v>134.31</v>
      </c>
      <c r="G1234" s="266">
        <v>59.9</v>
      </c>
      <c r="H1234" s="266">
        <v>2.0</v>
      </c>
      <c r="I1234" s="266">
        <v>1845.0</v>
      </c>
      <c r="J1234" s="266">
        <v>14.0</v>
      </c>
      <c r="K1234" s="266">
        <v>215.0</v>
      </c>
      <c r="L1234" s="266" t="s">
        <v>3460</v>
      </c>
      <c r="M1234" s="266">
        <v>3.0</v>
      </c>
      <c r="N1234" s="266">
        <v>3.0</v>
      </c>
      <c r="O1234" s="266">
        <v>3.0</v>
      </c>
      <c r="P1234" s="266">
        <v>1.0</v>
      </c>
      <c r="Q1234" s="266" t="s">
        <v>166</v>
      </c>
      <c r="R1234" s="266" t="s">
        <v>166</v>
      </c>
      <c r="S1234" s="497" t="s">
        <v>166</v>
      </c>
      <c r="T1234" s="494"/>
    </row>
    <row r="1235">
      <c r="A1235" s="494" t="s">
        <v>3401</v>
      </c>
      <c r="B1235" s="495" t="s">
        <v>4024</v>
      </c>
      <c r="C1235" s="174" t="str">
        <f t="shared" si="207"/>
        <v>Gigabyte</v>
      </c>
      <c r="D1235" s="452" t="s">
        <v>3919</v>
      </c>
      <c r="E1235" s="266">
        <v>290.0</v>
      </c>
      <c r="F1235" s="266">
        <v>134.31</v>
      </c>
      <c r="G1235" s="266">
        <v>59.9</v>
      </c>
      <c r="H1235" s="266">
        <v>2.0</v>
      </c>
      <c r="I1235" s="266">
        <v>1890.0</v>
      </c>
      <c r="J1235" s="266">
        <v>14.14</v>
      </c>
      <c r="K1235" s="266">
        <v>215.0</v>
      </c>
      <c r="L1235" s="266" t="s">
        <v>3460</v>
      </c>
      <c r="M1235" s="266">
        <v>3.0</v>
      </c>
      <c r="N1235" s="266">
        <v>3.0</v>
      </c>
      <c r="O1235" s="266">
        <v>3.0</v>
      </c>
      <c r="P1235" s="266">
        <v>1.0</v>
      </c>
      <c r="Q1235" s="266" t="s">
        <v>166</v>
      </c>
      <c r="R1235" s="266" t="s">
        <v>166</v>
      </c>
      <c r="S1235" s="497" t="s">
        <v>166</v>
      </c>
      <c r="T1235" s="494"/>
    </row>
    <row r="1236">
      <c r="A1236" s="494" t="s">
        <v>3401</v>
      </c>
      <c r="B1236" s="495" t="s">
        <v>4024</v>
      </c>
      <c r="C1236" s="174" t="str">
        <f t="shared" si="207"/>
        <v>Gigabyte</v>
      </c>
      <c r="D1236" s="452" t="s">
        <v>4039</v>
      </c>
      <c r="E1236" s="266">
        <v>290.0</v>
      </c>
      <c r="F1236" s="266">
        <v>131.05</v>
      </c>
      <c r="G1236" s="266">
        <v>40.41</v>
      </c>
      <c r="H1236" s="266">
        <v>2.0</v>
      </c>
      <c r="I1236" s="266">
        <v>1890.0</v>
      </c>
      <c r="J1236" s="266">
        <v>14.14</v>
      </c>
      <c r="K1236" s="266">
        <v>215.0</v>
      </c>
      <c r="L1236" s="266" t="s">
        <v>3460</v>
      </c>
      <c r="M1236" s="266" t="s">
        <v>166</v>
      </c>
      <c r="N1236" s="266">
        <v>3.0</v>
      </c>
      <c r="O1236" s="266">
        <v>3.0</v>
      </c>
      <c r="P1236" s="266">
        <v>1.0</v>
      </c>
      <c r="Q1236" s="266" t="s">
        <v>166</v>
      </c>
      <c r="R1236" s="266" t="s">
        <v>174</v>
      </c>
      <c r="S1236" s="497" t="s">
        <v>166</v>
      </c>
      <c r="T1236" s="494"/>
    </row>
    <row r="1237">
      <c r="A1237" s="494" t="s">
        <v>3401</v>
      </c>
      <c r="B1237" s="495" t="s">
        <v>4024</v>
      </c>
      <c r="C1237" s="174" t="str">
        <f t="shared" si="207"/>
        <v>Gigabyte</v>
      </c>
      <c r="D1237" s="452" t="s">
        <v>3748</v>
      </c>
      <c r="E1237" s="266">
        <v>291.29</v>
      </c>
      <c r="F1237" s="266">
        <v>159.05</v>
      </c>
      <c r="G1237" s="266">
        <v>28.7</v>
      </c>
      <c r="H1237" s="266">
        <v>2.0</v>
      </c>
      <c r="I1237" s="266">
        <v>1890.0</v>
      </c>
      <c r="J1237" s="266">
        <v>14.14</v>
      </c>
      <c r="K1237" s="266">
        <v>215.0</v>
      </c>
      <c r="L1237" s="266" t="s">
        <v>3460</v>
      </c>
      <c r="M1237" s="266" t="s">
        <v>166</v>
      </c>
      <c r="N1237" s="266">
        <v>3.0</v>
      </c>
      <c r="O1237" s="266">
        <v>3.0</v>
      </c>
      <c r="P1237" s="266">
        <v>1.0</v>
      </c>
      <c r="Q1237" s="266" t="s">
        <v>166</v>
      </c>
      <c r="R1237" s="266" t="s">
        <v>174</v>
      </c>
      <c r="S1237" s="497" t="s">
        <v>166</v>
      </c>
      <c r="T1237" s="494"/>
    </row>
    <row r="1238">
      <c r="A1238" s="494" t="s">
        <v>3401</v>
      </c>
      <c r="B1238" s="495" t="s">
        <v>4024</v>
      </c>
      <c r="C1238" s="452" t="str">
        <f t="shared" ref="C1238:C1243" si="208">HYPERLINK("http://www.inno3d.com/","Inno3D")</f>
        <v>Inno3D</v>
      </c>
      <c r="D1238" s="452" t="s">
        <v>4017</v>
      </c>
      <c r="E1238" s="266">
        <v>268.0</v>
      </c>
      <c r="F1238" s="266">
        <v>113.0</v>
      </c>
      <c r="G1238" s="266">
        <v>40.0</v>
      </c>
      <c r="H1238" s="266">
        <v>2.0</v>
      </c>
      <c r="I1238" s="266">
        <v>1710.0</v>
      </c>
      <c r="J1238" s="266">
        <v>14.0</v>
      </c>
      <c r="K1238" s="266">
        <v>215.0</v>
      </c>
      <c r="L1238" s="266" t="s">
        <v>3361</v>
      </c>
      <c r="M1238" s="266">
        <v>1.0</v>
      </c>
      <c r="N1238" s="266">
        <v>3.0</v>
      </c>
      <c r="O1238" s="266">
        <v>1.0</v>
      </c>
      <c r="P1238" s="266">
        <v>1.0</v>
      </c>
      <c r="Q1238" s="266" t="s">
        <v>166</v>
      </c>
      <c r="R1238" s="266" t="s">
        <v>166</v>
      </c>
      <c r="S1238" s="266" t="s">
        <v>174</v>
      </c>
      <c r="T1238" s="494"/>
    </row>
    <row r="1239">
      <c r="A1239" s="494" t="s">
        <v>3401</v>
      </c>
      <c r="B1239" s="495" t="s">
        <v>4024</v>
      </c>
      <c r="C1239" s="452" t="str">
        <f t="shared" si="208"/>
        <v>Inno3D</v>
      </c>
      <c r="D1239" s="452" t="s">
        <v>3896</v>
      </c>
      <c r="E1239" s="266">
        <v>268.0</v>
      </c>
      <c r="F1239" s="266">
        <v>113.0</v>
      </c>
      <c r="G1239" s="266">
        <v>40.0</v>
      </c>
      <c r="H1239" s="266">
        <v>2.0</v>
      </c>
      <c r="I1239" s="266">
        <v>1710.0</v>
      </c>
      <c r="J1239" s="266">
        <v>14.0</v>
      </c>
      <c r="K1239" s="266">
        <v>215.0</v>
      </c>
      <c r="L1239" s="266" t="s">
        <v>3361</v>
      </c>
      <c r="M1239" s="266">
        <v>2.0</v>
      </c>
      <c r="N1239" s="266">
        <v>3.0</v>
      </c>
      <c r="O1239" s="266">
        <v>1.0</v>
      </c>
      <c r="P1239" s="266">
        <v>1.0</v>
      </c>
      <c r="Q1239" s="266" t="s">
        <v>166</v>
      </c>
      <c r="R1239" s="497" t="s">
        <v>166</v>
      </c>
      <c r="S1239" s="497" t="s">
        <v>166</v>
      </c>
      <c r="T1239" s="496"/>
    </row>
    <row r="1240">
      <c r="A1240" s="494" t="s">
        <v>3401</v>
      </c>
      <c r="B1240" s="495" t="s">
        <v>4024</v>
      </c>
      <c r="C1240" s="452" t="str">
        <f t="shared" si="208"/>
        <v>Inno3D</v>
      </c>
      <c r="D1240" s="452" t="s">
        <v>3882</v>
      </c>
      <c r="E1240" s="266">
        <v>268.0</v>
      </c>
      <c r="F1240" s="266">
        <v>113.0</v>
      </c>
      <c r="G1240" s="266">
        <v>40.0</v>
      </c>
      <c r="H1240" s="266">
        <v>2.0</v>
      </c>
      <c r="I1240" s="266">
        <v>1755.0</v>
      </c>
      <c r="J1240" s="266">
        <v>14.0</v>
      </c>
      <c r="K1240" s="266">
        <v>215.0</v>
      </c>
      <c r="L1240" s="266" t="s">
        <v>3361</v>
      </c>
      <c r="M1240" s="266">
        <v>2.0</v>
      </c>
      <c r="N1240" s="266">
        <v>3.0</v>
      </c>
      <c r="O1240" s="266">
        <v>1.0</v>
      </c>
      <c r="P1240" s="266">
        <v>1.0</v>
      </c>
      <c r="Q1240" s="266" t="s">
        <v>166</v>
      </c>
      <c r="R1240" s="497" t="s">
        <v>166</v>
      </c>
      <c r="S1240" s="497" t="s">
        <v>166</v>
      </c>
      <c r="T1240" s="496"/>
    </row>
    <row r="1241">
      <c r="A1241" s="494" t="s">
        <v>3401</v>
      </c>
      <c r="B1241" s="495" t="s">
        <v>4024</v>
      </c>
      <c r="C1241" s="452" t="str">
        <f t="shared" si="208"/>
        <v>Inno3D</v>
      </c>
      <c r="D1241" s="452" t="s">
        <v>4018</v>
      </c>
      <c r="E1241" s="266">
        <v>272.0</v>
      </c>
      <c r="F1241" s="266">
        <v>118.0</v>
      </c>
      <c r="G1241" s="266">
        <v>40.0</v>
      </c>
      <c r="H1241" s="266">
        <v>2.0</v>
      </c>
      <c r="I1241" s="266">
        <v>1830.0</v>
      </c>
      <c r="J1241" s="266">
        <v>14.0</v>
      </c>
      <c r="K1241" s="266">
        <v>215.0</v>
      </c>
      <c r="L1241" s="266" t="s">
        <v>3361</v>
      </c>
      <c r="M1241" s="266">
        <v>3.0</v>
      </c>
      <c r="N1241" s="266">
        <v>3.0</v>
      </c>
      <c r="O1241" s="266">
        <v>1.0</v>
      </c>
      <c r="P1241" s="266">
        <v>1.0</v>
      </c>
      <c r="Q1241" s="266" t="s">
        <v>166</v>
      </c>
      <c r="R1241" s="497" t="s">
        <v>166</v>
      </c>
      <c r="S1241" s="497" t="s">
        <v>166</v>
      </c>
      <c r="T1241" s="496"/>
    </row>
    <row r="1242">
      <c r="A1242" s="494" t="s">
        <v>3401</v>
      </c>
      <c r="B1242" s="495" t="s">
        <v>4024</v>
      </c>
      <c r="C1242" s="452" t="str">
        <f t="shared" si="208"/>
        <v>Inno3D</v>
      </c>
      <c r="D1242" s="452" t="s">
        <v>3991</v>
      </c>
      <c r="E1242" s="266">
        <v>300.0</v>
      </c>
      <c r="F1242" s="266">
        <v>140.0</v>
      </c>
      <c r="G1242" s="266">
        <v>60.0</v>
      </c>
      <c r="H1242" s="266">
        <v>2.0</v>
      </c>
      <c r="I1242" s="266">
        <v>1845.0</v>
      </c>
      <c r="J1242" s="266">
        <v>14.0</v>
      </c>
      <c r="K1242" s="266">
        <v>215.0</v>
      </c>
      <c r="L1242" s="266" t="s">
        <v>3460</v>
      </c>
      <c r="M1242" s="266">
        <v>3.0</v>
      </c>
      <c r="N1242" s="266">
        <v>3.0</v>
      </c>
      <c r="O1242" s="266">
        <v>1.0</v>
      </c>
      <c r="P1242" s="266">
        <v>1.0</v>
      </c>
      <c r="Q1242" s="266" t="s">
        <v>166</v>
      </c>
      <c r="R1242" s="497" t="s">
        <v>166</v>
      </c>
      <c r="S1242" s="497" t="s">
        <v>166</v>
      </c>
      <c r="T1242" s="496"/>
    </row>
    <row r="1243">
      <c r="A1243" s="494" t="s">
        <v>3401</v>
      </c>
      <c r="B1243" s="495" t="s">
        <v>4024</v>
      </c>
      <c r="C1243" s="452" t="str">
        <f t="shared" si="208"/>
        <v>Inno3D</v>
      </c>
      <c r="D1243" s="452" t="s">
        <v>3618</v>
      </c>
      <c r="E1243" s="266">
        <v>265.0</v>
      </c>
      <c r="F1243" s="266">
        <v>135.0</v>
      </c>
      <c r="G1243" s="266">
        <v>40.0</v>
      </c>
      <c r="H1243" s="266">
        <v>2.0</v>
      </c>
      <c r="I1243" s="266">
        <v>1860.0</v>
      </c>
      <c r="J1243" s="266">
        <v>14.0</v>
      </c>
      <c r="K1243" s="266">
        <v>215.0</v>
      </c>
      <c r="L1243" s="266" t="s">
        <v>3361</v>
      </c>
      <c r="M1243" s="266" t="s">
        <v>166</v>
      </c>
      <c r="N1243" s="266">
        <v>3.0</v>
      </c>
      <c r="O1243" s="266">
        <v>1.0</v>
      </c>
      <c r="P1243" s="266">
        <v>1.0</v>
      </c>
      <c r="Q1243" s="266" t="s">
        <v>166</v>
      </c>
      <c r="R1243" s="266" t="s">
        <v>174</v>
      </c>
      <c r="S1243" s="497" t="s">
        <v>166</v>
      </c>
      <c r="T1243" s="494"/>
    </row>
    <row r="1244">
      <c r="A1244" s="494" t="s">
        <v>3401</v>
      </c>
      <c r="B1244" s="495" t="s">
        <v>4024</v>
      </c>
      <c r="C1244" s="452" t="str">
        <f t="shared" ref="C1244:C1247" si="209">HYPERLINK("http://manli.com/en","Manli")</f>
        <v>Manli</v>
      </c>
      <c r="D1244" s="452" t="str">
        <f>HYPERLINK("https://manli.com/en/product-detail-Manli_GeForce_RTX2080(F393G+N502-00)-112.html","(F393G+N502-00)")</f>
        <v>(F393G+N502-00)</v>
      </c>
      <c r="E1244" s="266">
        <v>281.0</v>
      </c>
      <c r="F1244" s="266">
        <v>128.0</v>
      </c>
      <c r="G1244" s="266">
        <v>42.0</v>
      </c>
      <c r="H1244" s="266">
        <v>2.0</v>
      </c>
      <c r="I1244" s="266">
        <v>1710.0</v>
      </c>
      <c r="J1244" s="266">
        <v>14.0</v>
      </c>
      <c r="K1244" s="266">
        <v>215.0</v>
      </c>
      <c r="L1244" s="266" t="s">
        <v>3361</v>
      </c>
      <c r="M1244" s="266">
        <v>1.0</v>
      </c>
      <c r="N1244" s="266">
        <v>3.0</v>
      </c>
      <c r="O1244" s="266">
        <v>1.0</v>
      </c>
      <c r="P1244" s="266" t="s">
        <v>166</v>
      </c>
      <c r="Q1244" s="266" t="s">
        <v>166</v>
      </c>
      <c r="R1244" s="266" t="s">
        <v>166</v>
      </c>
      <c r="S1244" s="266" t="s">
        <v>174</v>
      </c>
      <c r="T1244" s="494"/>
    </row>
    <row r="1245">
      <c r="A1245" s="494" t="s">
        <v>3401</v>
      </c>
      <c r="B1245" s="495" t="s">
        <v>4024</v>
      </c>
      <c r="C1245" s="452" t="str">
        <f t="shared" si="209"/>
        <v>Manli</v>
      </c>
      <c r="D1245" s="452" t="str">
        <f>HYPERLINK("https://manli.com/en/product-detail-Manli_GeForce_RTX_2080_(F385-1G+N532-00)-101.html","(F385-1G+N532-00)")</f>
        <v>(F385-1G+N532-00)</v>
      </c>
      <c r="E1245" s="266">
        <v>240.0</v>
      </c>
      <c r="F1245" s="266">
        <v>140.0</v>
      </c>
      <c r="G1245" s="266">
        <v>42.0</v>
      </c>
      <c r="H1245" s="266">
        <v>2.0</v>
      </c>
      <c r="I1245" s="266">
        <v>1710.0</v>
      </c>
      <c r="J1245" s="266">
        <v>14.0</v>
      </c>
      <c r="K1245" s="266">
        <v>215.0</v>
      </c>
      <c r="L1245" s="266" t="s">
        <v>3361</v>
      </c>
      <c r="M1245" s="266">
        <v>2.0</v>
      </c>
      <c r="N1245" s="266">
        <v>3.0</v>
      </c>
      <c r="O1245" s="266">
        <v>1.0</v>
      </c>
      <c r="P1245" s="266" t="s">
        <v>166</v>
      </c>
      <c r="Q1245" s="266" t="s">
        <v>166</v>
      </c>
      <c r="R1245" s="497" t="s">
        <v>166</v>
      </c>
      <c r="S1245" s="497" t="s">
        <v>166</v>
      </c>
      <c r="T1245" s="496"/>
    </row>
    <row r="1246">
      <c r="A1246" s="494" t="s">
        <v>3401</v>
      </c>
      <c r="B1246" s="495" t="s">
        <v>4024</v>
      </c>
      <c r="C1246" s="452" t="str">
        <f t="shared" si="209"/>
        <v>Manli</v>
      </c>
      <c r="D1246" s="452" t="str">
        <f>HYPERLINK("https://manli.com/en/product-detail-Manli_GeForce_RTX2080(M3423+N502-00)-113.html","(M3423+N502-00)")</f>
        <v>(M3423+N502-00)</v>
      </c>
      <c r="E1246" s="266">
        <v>314.0</v>
      </c>
      <c r="F1246" s="266">
        <v>128.0</v>
      </c>
      <c r="G1246" s="266">
        <v>44.0</v>
      </c>
      <c r="H1246" s="266">
        <v>2.0</v>
      </c>
      <c r="I1246" s="266">
        <v>1710.0</v>
      </c>
      <c r="J1246" s="266">
        <v>14.0</v>
      </c>
      <c r="K1246" s="266">
        <v>215.0</v>
      </c>
      <c r="L1246" s="266" t="s">
        <v>3361</v>
      </c>
      <c r="M1246" s="266">
        <v>3.0</v>
      </c>
      <c r="N1246" s="266">
        <v>3.0</v>
      </c>
      <c r="O1246" s="266">
        <v>1.0</v>
      </c>
      <c r="P1246" s="266" t="s">
        <v>166</v>
      </c>
      <c r="Q1246" s="266" t="s">
        <v>166</v>
      </c>
      <c r="R1246" s="497" t="s">
        <v>166</v>
      </c>
      <c r="S1246" s="497" t="s">
        <v>166</v>
      </c>
      <c r="T1246" s="496"/>
    </row>
    <row r="1247">
      <c r="A1247" s="494" t="s">
        <v>3401</v>
      </c>
      <c r="B1247" s="495" t="s">
        <v>4024</v>
      </c>
      <c r="C1247" s="452" t="str">
        <f t="shared" si="209"/>
        <v>Manli</v>
      </c>
      <c r="D1247" s="452" t="str">
        <f>HYPERLINK("https://manli.com/en/product-detail-Manli_GeForce_RTX2080_Gallardo_(M3445+N502-00)-114.html","Gallardo (M3445+N502-00)")</f>
        <v>Gallardo (M3445+N502-00)</v>
      </c>
      <c r="E1247" s="266">
        <v>314.0</v>
      </c>
      <c r="F1247" s="266">
        <v>128.0</v>
      </c>
      <c r="G1247" s="266">
        <v>44.0</v>
      </c>
      <c r="H1247" s="266">
        <v>2.0</v>
      </c>
      <c r="I1247" s="266">
        <v>1800.0</v>
      </c>
      <c r="J1247" s="266">
        <v>14.0</v>
      </c>
      <c r="K1247" s="266">
        <v>215.0</v>
      </c>
      <c r="L1247" s="266" t="s">
        <v>3361</v>
      </c>
      <c r="M1247" s="266">
        <v>3.0</v>
      </c>
      <c r="N1247" s="266">
        <v>3.0</v>
      </c>
      <c r="O1247" s="266">
        <v>1.0</v>
      </c>
      <c r="P1247" s="266">
        <v>1.0</v>
      </c>
      <c r="Q1247" s="266" t="s">
        <v>166</v>
      </c>
      <c r="R1247" s="497" t="s">
        <v>166</v>
      </c>
      <c r="S1247" s="497" t="s">
        <v>166</v>
      </c>
      <c r="T1247" s="496"/>
    </row>
    <row r="1248">
      <c r="A1248" s="494" t="s">
        <v>3401</v>
      </c>
      <c r="B1248" s="495" t="s">
        <v>4024</v>
      </c>
      <c r="C1248" s="174" t="str">
        <f t="shared" ref="C1248:C1259" si="210">HYPERLINK("https://www.msi.com/index.php","MSI")</f>
        <v>MSI</v>
      </c>
      <c r="D1248" s="452" t="s">
        <v>3850</v>
      </c>
      <c r="E1248" s="266">
        <v>268.0</v>
      </c>
      <c r="F1248" s="266">
        <v>114.0</v>
      </c>
      <c r="G1248" s="266">
        <v>41.0</v>
      </c>
      <c r="H1248" s="266">
        <v>2.0</v>
      </c>
      <c r="I1248" s="266">
        <v>1710.0</v>
      </c>
      <c r="J1248" s="266">
        <v>14.0</v>
      </c>
      <c r="K1248" s="266">
        <v>215.0</v>
      </c>
      <c r="L1248" s="266" t="s">
        <v>3361</v>
      </c>
      <c r="M1248" s="266">
        <v>1.0</v>
      </c>
      <c r="N1248" s="266">
        <v>3.0</v>
      </c>
      <c r="O1248" s="266">
        <v>1.0</v>
      </c>
      <c r="P1248" s="266">
        <v>1.0</v>
      </c>
      <c r="Q1248" s="266" t="s">
        <v>166</v>
      </c>
      <c r="R1248" s="266" t="s">
        <v>166</v>
      </c>
      <c r="S1248" s="266" t="s">
        <v>174</v>
      </c>
      <c r="T1248" s="494"/>
    </row>
    <row r="1249">
      <c r="A1249" s="494" t="s">
        <v>3401</v>
      </c>
      <c r="B1249" s="495" t="s">
        <v>4024</v>
      </c>
      <c r="C1249" s="174" t="str">
        <f t="shared" si="210"/>
        <v>MSI</v>
      </c>
      <c r="D1249" s="452" t="s">
        <v>3904</v>
      </c>
      <c r="E1249" s="266">
        <v>268.0</v>
      </c>
      <c r="F1249" s="266">
        <v>114.0</v>
      </c>
      <c r="G1249" s="266">
        <v>42.0</v>
      </c>
      <c r="H1249" s="266">
        <v>2.0</v>
      </c>
      <c r="I1249" s="266">
        <v>1710.0</v>
      </c>
      <c r="J1249" s="266">
        <v>14.0</v>
      </c>
      <c r="K1249" s="266">
        <v>215.0</v>
      </c>
      <c r="L1249" s="266" t="s">
        <v>3361</v>
      </c>
      <c r="M1249" s="266">
        <v>2.0</v>
      </c>
      <c r="N1249" s="266">
        <v>3.0</v>
      </c>
      <c r="O1249" s="266">
        <v>1.0</v>
      </c>
      <c r="P1249" s="266">
        <v>1.0</v>
      </c>
      <c r="Q1249" s="266" t="s">
        <v>166</v>
      </c>
      <c r="R1249" s="497" t="s">
        <v>166</v>
      </c>
      <c r="S1249" s="497" t="s">
        <v>166</v>
      </c>
      <c r="T1249" s="496"/>
    </row>
    <row r="1250">
      <c r="A1250" s="494" t="s">
        <v>3401</v>
      </c>
      <c r="B1250" s="495" t="s">
        <v>4024</v>
      </c>
      <c r="C1250" s="174" t="str">
        <f t="shared" si="210"/>
        <v>MSI</v>
      </c>
      <c r="D1250" s="452" t="s">
        <v>3905</v>
      </c>
      <c r="E1250" s="266">
        <v>268.0</v>
      </c>
      <c r="F1250" s="266">
        <v>114.0</v>
      </c>
      <c r="G1250" s="266">
        <v>50.0</v>
      </c>
      <c r="H1250" s="266">
        <v>2.0</v>
      </c>
      <c r="I1250" s="266">
        <v>1800.0</v>
      </c>
      <c r="J1250" s="266">
        <v>14.0</v>
      </c>
      <c r="K1250" s="266">
        <v>215.0</v>
      </c>
      <c r="L1250" s="266" t="s">
        <v>3361</v>
      </c>
      <c r="M1250" s="266">
        <v>2.0</v>
      </c>
      <c r="N1250" s="266">
        <v>3.0</v>
      </c>
      <c r="O1250" s="266">
        <v>1.0</v>
      </c>
      <c r="P1250" s="266">
        <v>1.0</v>
      </c>
      <c r="Q1250" s="266" t="s">
        <v>166</v>
      </c>
      <c r="R1250" s="497" t="s">
        <v>166</v>
      </c>
      <c r="S1250" s="497" t="s">
        <v>166</v>
      </c>
      <c r="T1250" s="496"/>
    </row>
    <row r="1251">
      <c r="A1251" s="494" t="s">
        <v>3401</v>
      </c>
      <c r="B1251" s="495" t="s">
        <v>4024</v>
      </c>
      <c r="C1251" s="174" t="str">
        <f t="shared" si="210"/>
        <v>MSI</v>
      </c>
      <c r="D1251" s="452" t="s">
        <v>3965</v>
      </c>
      <c r="E1251" s="266">
        <v>268.0</v>
      </c>
      <c r="F1251" s="266">
        <v>114.0</v>
      </c>
      <c r="G1251" s="266">
        <v>50.0</v>
      </c>
      <c r="H1251" s="266">
        <v>2.0</v>
      </c>
      <c r="I1251" s="266">
        <v>1740.0</v>
      </c>
      <c r="J1251" s="266">
        <v>14.0</v>
      </c>
      <c r="K1251" s="266">
        <v>215.0</v>
      </c>
      <c r="L1251" s="266" t="s">
        <v>3361</v>
      </c>
      <c r="M1251" s="266">
        <v>2.0</v>
      </c>
      <c r="N1251" s="266">
        <v>3.0</v>
      </c>
      <c r="O1251" s="266">
        <v>1.0</v>
      </c>
      <c r="P1251" s="266">
        <v>1.0</v>
      </c>
      <c r="Q1251" s="266" t="s">
        <v>166</v>
      </c>
      <c r="R1251" s="497" t="s">
        <v>166</v>
      </c>
      <c r="S1251" s="497" t="s">
        <v>166</v>
      </c>
      <c r="T1251" s="496"/>
    </row>
    <row r="1252">
      <c r="A1252" s="494" t="s">
        <v>3401</v>
      </c>
      <c r="B1252" s="495" t="s">
        <v>4024</v>
      </c>
      <c r="C1252" s="174" t="str">
        <f t="shared" si="210"/>
        <v>MSI</v>
      </c>
      <c r="D1252" s="452" t="s">
        <v>4040</v>
      </c>
      <c r="E1252" s="266">
        <v>255.0</v>
      </c>
      <c r="F1252" s="266">
        <v>127.0</v>
      </c>
      <c r="G1252" s="266">
        <v>42.0</v>
      </c>
      <c r="H1252" s="266">
        <v>2.0</v>
      </c>
      <c r="I1252" s="266">
        <v>1710.0</v>
      </c>
      <c r="J1252" s="266">
        <v>14.0</v>
      </c>
      <c r="K1252" s="266">
        <v>215.0</v>
      </c>
      <c r="L1252" s="266" t="s">
        <v>3361</v>
      </c>
      <c r="M1252" s="266">
        <v>2.0</v>
      </c>
      <c r="N1252" s="266">
        <v>3.0</v>
      </c>
      <c r="O1252" s="266">
        <v>1.0</v>
      </c>
      <c r="P1252" s="266" t="s">
        <v>166</v>
      </c>
      <c r="Q1252" s="266" t="s">
        <v>166</v>
      </c>
      <c r="R1252" s="497" t="s">
        <v>166</v>
      </c>
      <c r="S1252" s="497" t="s">
        <v>166</v>
      </c>
      <c r="T1252" s="496"/>
    </row>
    <row r="1253">
      <c r="A1253" s="494" t="s">
        <v>3401</v>
      </c>
      <c r="B1253" s="495" t="s">
        <v>4024</v>
      </c>
      <c r="C1253" s="174" t="str">
        <f t="shared" si="210"/>
        <v>MSI</v>
      </c>
      <c r="D1253" s="452" t="s">
        <v>3853</v>
      </c>
      <c r="E1253" s="266">
        <v>314.0</v>
      </c>
      <c r="F1253" s="266">
        <v>120.0</v>
      </c>
      <c r="G1253" s="266">
        <v>46.0</v>
      </c>
      <c r="H1253" s="266">
        <v>2.0</v>
      </c>
      <c r="I1253" s="266">
        <v>1710.0</v>
      </c>
      <c r="J1253" s="266">
        <v>14.0</v>
      </c>
      <c r="K1253" s="266">
        <v>215.0</v>
      </c>
      <c r="L1253" s="266" t="s">
        <v>3361</v>
      </c>
      <c r="M1253" s="266">
        <v>3.0</v>
      </c>
      <c r="N1253" s="266">
        <v>3.0</v>
      </c>
      <c r="O1253" s="266">
        <v>1.0</v>
      </c>
      <c r="P1253" s="266">
        <v>1.0</v>
      </c>
      <c r="Q1253" s="266" t="s">
        <v>166</v>
      </c>
      <c r="R1253" s="266" t="s">
        <v>166</v>
      </c>
      <c r="S1253" s="497" t="s">
        <v>166</v>
      </c>
      <c r="T1253" s="494"/>
    </row>
    <row r="1254">
      <c r="A1254" s="494" t="s">
        <v>3401</v>
      </c>
      <c r="B1254" s="495" t="s">
        <v>4024</v>
      </c>
      <c r="C1254" s="174" t="str">
        <f t="shared" si="210"/>
        <v>MSI</v>
      </c>
      <c r="D1254" s="452" t="s">
        <v>3854</v>
      </c>
      <c r="E1254" s="266">
        <v>314.0</v>
      </c>
      <c r="F1254" s="266">
        <v>120.0</v>
      </c>
      <c r="G1254" s="266">
        <v>46.0</v>
      </c>
      <c r="H1254" s="266">
        <v>2.0</v>
      </c>
      <c r="I1254" s="266">
        <v>1845.0</v>
      </c>
      <c r="J1254" s="266">
        <v>14.0</v>
      </c>
      <c r="K1254" s="266">
        <v>215.0</v>
      </c>
      <c r="L1254" s="266" t="s">
        <v>3361</v>
      </c>
      <c r="M1254" s="266">
        <v>3.0</v>
      </c>
      <c r="N1254" s="266">
        <v>3.0</v>
      </c>
      <c r="O1254" s="266">
        <v>1.0</v>
      </c>
      <c r="P1254" s="266">
        <v>1.0</v>
      </c>
      <c r="Q1254" s="266" t="s">
        <v>166</v>
      </c>
      <c r="R1254" s="266" t="s">
        <v>166</v>
      </c>
      <c r="S1254" s="497" t="s">
        <v>166</v>
      </c>
      <c r="T1254" s="494"/>
    </row>
    <row r="1255">
      <c r="A1255" s="494" t="s">
        <v>3401</v>
      </c>
      <c r="B1255" s="495" t="s">
        <v>4024</v>
      </c>
      <c r="C1255" s="174" t="str">
        <f t="shared" si="210"/>
        <v>MSI</v>
      </c>
      <c r="D1255" s="452" t="s">
        <v>3996</v>
      </c>
      <c r="E1255" s="617">
        <v>314.0</v>
      </c>
      <c r="F1255" s="597">
        <v>120.0</v>
      </c>
      <c r="G1255" s="581">
        <v>46.0</v>
      </c>
      <c r="H1255" s="266">
        <v>2.0</v>
      </c>
      <c r="I1255" s="266">
        <v>1800.0</v>
      </c>
      <c r="J1255" s="266">
        <v>14.0</v>
      </c>
      <c r="K1255" s="266">
        <v>215.0</v>
      </c>
      <c r="L1255" s="266" t="s">
        <v>3361</v>
      </c>
      <c r="M1255" s="266">
        <v>3.0</v>
      </c>
      <c r="N1255" s="266">
        <v>3.0</v>
      </c>
      <c r="O1255" s="266">
        <v>1.0</v>
      </c>
      <c r="P1255" s="266">
        <v>1.0</v>
      </c>
      <c r="Q1255" s="266" t="s">
        <v>166</v>
      </c>
      <c r="R1255" s="266" t="s">
        <v>166</v>
      </c>
      <c r="S1255" s="497" t="s">
        <v>166</v>
      </c>
      <c r="T1255" s="494"/>
    </row>
    <row r="1256">
      <c r="A1256" s="494" t="s">
        <v>3401</v>
      </c>
      <c r="B1256" s="495" t="s">
        <v>4024</v>
      </c>
      <c r="C1256" s="174" t="str">
        <f t="shared" si="210"/>
        <v>MSI</v>
      </c>
      <c r="D1256" s="452" t="s">
        <v>3720</v>
      </c>
      <c r="E1256" s="266">
        <v>327.0</v>
      </c>
      <c r="F1256" s="518">
        <v>140.0</v>
      </c>
      <c r="G1256" s="518">
        <v>55.6</v>
      </c>
      <c r="H1256" s="266">
        <v>2.0</v>
      </c>
      <c r="I1256" s="266">
        <v>1710.0</v>
      </c>
      <c r="J1256" s="266">
        <v>14.0</v>
      </c>
      <c r="K1256" s="266">
        <v>215.0</v>
      </c>
      <c r="L1256" s="266" t="s">
        <v>3460</v>
      </c>
      <c r="M1256" s="266">
        <v>3.0</v>
      </c>
      <c r="N1256" s="266">
        <v>3.0</v>
      </c>
      <c r="O1256" s="266">
        <v>1.0</v>
      </c>
      <c r="P1256" s="266">
        <v>1.0</v>
      </c>
      <c r="Q1256" s="266" t="s">
        <v>166</v>
      </c>
      <c r="R1256" s="266" t="s">
        <v>166</v>
      </c>
      <c r="S1256" s="497" t="s">
        <v>166</v>
      </c>
      <c r="T1256" s="494"/>
    </row>
    <row r="1257">
      <c r="A1257" s="494" t="s">
        <v>3401</v>
      </c>
      <c r="B1257" s="495" t="s">
        <v>4024</v>
      </c>
      <c r="C1257" s="174" t="str">
        <f t="shared" si="210"/>
        <v>MSI</v>
      </c>
      <c r="D1257" s="452" t="s">
        <v>3721</v>
      </c>
      <c r="E1257" s="266">
        <v>327.0</v>
      </c>
      <c r="F1257" s="518">
        <v>140.0</v>
      </c>
      <c r="G1257" s="518">
        <v>55.6</v>
      </c>
      <c r="H1257" s="266">
        <v>2.0</v>
      </c>
      <c r="I1257" s="266">
        <v>1860.0</v>
      </c>
      <c r="J1257" s="266">
        <v>14.0</v>
      </c>
      <c r="K1257" s="266">
        <v>215.0</v>
      </c>
      <c r="L1257" s="266" t="s">
        <v>3460</v>
      </c>
      <c r="M1257" s="266">
        <v>3.0</v>
      </c>
      <c r="N1257" s="266">
        <v>3.0</v>
      </c>
      <c r="O1257" s="266">
        <v>1.0</v>
      </c>
      <c r="P1257" s="266">
        <v>1.0</v>
      </c>
      <c r="Q1257" s="266" t="s">
        <v>166</v>
      </c>
      <c r="R1257" s="266" t="s">
        <v>166</v>
      </c>
      <c r="S1257" s="497" t="s">
        <v>166</v>
      </c>
      <c r="T1257" s="494"/>
    </row>
    <row r="1258">
      <c r="A1258" s="494" t="s">
        <v>3401</v>
      </c>
      <c r="B1258" s="495" t="s">
        <v>4024</v>
      </c>
      <c r="C1258" s="174" t="str">
        <f t="shared" si="210"/>
        <v>MSI</v>
      </c>
      <c r="D1258" s="452" t="s">
        <v>3859</v>
      </c>
      <c r="E1258" s="266">
        <v>268.0</v>
      </c>
      <c r="F1258" s="266">
        <v>114.0</v>
      </c>
      <c r="G1258" s="266">
        <v>41.0</v>
      </c>
      <c r="H1258" s="266">
        <v>2.0</v>
      </c>
      <c r="I1258" s="266">
        <v>1860.0</v>
      </c>
      <c r="J1258" s="266">
        <v>14.0</v>
      </c>
      <c r="K1258" s="266">
        <v>215.0</v>
      </c>
      <c r="L1258" s="266" t="s">
        <v>3361</v>
      </c>
      <c r="M1258" s="266">
        <v>1.0</v>
      </c>
      <c r="N1258" s="266">
        <v>3.0</v>
      </c>
      <c r="O1258" s="266">
        <v>1.0</v>
      </c>
      <c r="P1258" s="266">
        <v>1.0</v>
      </c>
      <c r="Q1258" s="266" t="s">
        <v>166</v>
      </c>
      <c r="R1258" s="266" t="s">
        <v>174</v>
      </c>
      <c r="S1258" s="266" t="s">
        <v>174</v>
      </c>
      <c r="T1258" s="494"/>
    </row>
    <row r="1259">
      <c r="A1259" s="494" t="s">
        <v>3401</v>
      </c>
      <c r="B1259" s="495" t="s">
        <v>4024</v>
      </c>
      <c r="C1259" s="174" t="str">
        <f t="shared" si="210"/>
        <v>MSI</v>
      </c>
      <c r="D1259" s="452" t="s">
        <v>3860</v>
      </c>
      <c r="E1259" s="266">
        <v>305.0</v>
      </c>
      <c r="F1259" s="266">
        <v>169.3</v>
      </c>
      <c r="G1259" s="266">
        <v>41.49</v>
      </c>
      <c r="H1259" s="266">
        <v>2.0</v>
      </c>
      <c r="I1259" s="266">
        <v>1860.0</v>
      </c>
      <c r="J1259" s="266">
        <v>14.0</v>
      </c>
      <c r="K1259" s="266">
        <v>215.0</v>
      </c>
      <c r="L1259" s="266" t="s">
        <v>3460</v>
      </c>
      <c r="M1259" s="266" t="s">
        <v>166</v>
      </c>
      <c r="N1259" s="266">
        <v>3.0</v>
      </c>
      <c r="O1259" s="266">
        <v>1.0</v>
      </c>
      <c r="P1259" s="266">
        <v>1.0</v>
      </c>
      <c r="Q1259" s="266" t="s">
        <v>166</v>
      </c>
      <c r="R1259" s="266" t="s">
        <v>174</v>
      </c>
      <c r="S1259" s="497" t="s">
        <v>166</v>
      </c>
      <c r="T1259" s="494"/>
    </row>
    <row r="1260">
      <c r="A1260" s="494" t="s">
        <v>3401</v>
      </c>
      <c r="B1260" s="495" t="s">
        <v>4024</v>
      </c>
      <c r="C1260" s="452" t="str">
        <f>HYPERLINK("https://www.nvidia.com/en-us/","Nvidia")</f>
        <v>Nvidia</v>
      </c>
      <c r="D1260" s="452" t="str">
        <f>HYPERLINK("https://www.nvidia.com/en-us/geforce/graphics-cards/rtx-2080/","Founders Edition")</f>
        <v>Founders Edition</v>
      </c>
      <c r="E1260" s="266">
        <v>266.74</v>
      </c>
      <c r="F1260" s="266">
        <v>115.7</v>
      </c>
      <c r="G1260" s="266">
        <v>40.0</v>
      </c>
      <c r="H1260" s="266">
        <v>2.0</v>
      </c>
      <c r="I1260" s="266">
        <v>1800.0</v>
      </c>
      <c r="J1260" s="266">
        <v>14.0</v>
      </c>
      <c r="K1260" s="266">
        <v>215.0</v>
      </c>
      <c r="L1260" s="266" t="s">
        <v>3361</v>
      </c>
      <c r="M1260" s="266">
        <v>2.0</v>
      </c>
      <c r="N1260" s="266">
        <v>3.0</v>
      </c>
      <c r="O1260" s="266">
        <v>1.0</v>
      </c>
      <c r="P1260" s="266">
        <v>1.0</v>
      </c>
      <c r="Q1260" s="266" t="s">
        <v>166</v>
      </c>
      <c r="R1260" s="497" t="s">
        <v>166</v>
      </c>
      <c r="S1260" s="497" t="s">
        <v>166</v>
      </c>
      <c r="T1260" s="496"/>
    </row>
    <row r="1261">
      <c r="A1261" s="494" t="s">
        <v>3401</v>
      </c>
      <c r="B1261" s="495" t="s">
        <v>4024</v>
      </c>
      <c r="C1261" s="452" t="str">
        <f t="shared" ref="C1261:C1268" si="211">HYPERLINK("http://www.palit.com/palit/index.php?lang=en","Palit")</f>
        <v>Palit</v>
      </c>
      <c r="D1261" s="452" t="str">
        <f>HYPERLINK("http://www.palit.com/palit/vgapro.php?id=3118&amp;lang=en","RTX 2080")</f>
        <v>RTX 2080</v>
      </c>
      <c r="E1261" s="266">
        <v>268.0</v>
      </c>
      <c r="F1261" s="266">
        <v>112.0</v>
      </c>
      <c r="G1261" s="266">
        <v>40.0</v>
      </c>
      <c r="H1261" s="266">
        <v>2.0</v>
      </c>
      <c r="I1261" s="266">
        <v>1710.0</v>
      </c>
      <c r="J1261" s="266">
        <v>14.0</v>
      </c>
      <c r="K1261" s="266">
        <v>215.0</v>
      </c>
      <c r="L1261" s="266" t="s">
        <v>3361</v>
      </c>
      <c r="M1261" s="266">
        <v>1.0</v>
      </c>
      <c r="N1261" s="266">
        <v>3.0</v>
      </c>
      <c r="O1261" s="266">
        <v>1.0</v>
      </c>
      <c r="P1261" s="266">
        <v>1.0</v>
      </c>
      <c r="Q1261" s="266" t="s">
        <v>166</v>
      </c>
      <c r="R1261" s="266" t="s">
        <v>166</v>
      </c>
      <c r="S1261" s="266" t="s">
        <v>174</v>
      </c>
      <c r="T1261" s="494"/>
    </row>
    <row r="1262">
      <c r="A1262" s="494" t="s">
        <v>3401</v>
      </c>
      <c r="B1262" s="495" t="s">
        <v>4024</v>
      </c>
      <c r="C1262" s="452" t="str">
        <f t="shared" si="211"/>
        <v>Palit</v>
      </c>
      <c r="D1262" s="452" t="str">
        <f>HYPERLINK("http://www.palit.com/palit/vgapro.php?id=3062&amp;lang=en","Dual")</f>
        <v>Dual</v>
      </c>
      <c r="E1262" s="266">
        <v>292.0</v>
      </c>
      <c r="F1262" s="266">
        <v>112.0</v>
      </c>
      <c r="G1262" s="266">
        <v>40.0</v>
      </c>
      <c r="H1262" s="266">
        <v>2.0</v>
      </c>
      <c r="I1262" s="266">
        <v>1710.0</v>
      </c>
      <c r="J1262" s="266">
        <v>14.0</v>
      </c>
      <c r="K1262" s="266">
        <v>215.0</v>
      </c>
      <c r="L1262" s="266" t="s">
        <v>3361</v>
      </c>
      <c r="M1262" s="266">
        <v>2.0</v>
      </c>
      <c r="N1262" s="266">
        <v>3.0</v>
      </c>
      <c r="O1262" s="266">
        <v>1.0</v>
      </c>
      <c r="P1262" s="266">
        <v>1.0</v>
      </c>
      <c r="Q1262" s="266" t="s">
        <v>166</v>
      </c>
      <c r="R1262" s="497" t="s">
        <v>166</v>
      </c>
      <c r="S1262" s="497" t="s">
        <v>166</v>
      </c>
      <c r="T1262" s="496"/>
    </row>
    <row r="1263">
      <c r="A1263" s="494" t="s">
        <v>3401</v>
      </c>
      <c r="B1263" s="495" t="s">
        <v>4024</v>
      </c>
      <c r="C1263" s="452" t="str">
        <f t="shared" si="211"/>
        <v>Palit</v>
      </c>
      <c r="D1263" s="452" t="str">
        <f>HYPERLINK("http://www.palit.com/palit/vgapro.php?id=2985&amp;lang=en","GamingPro")</f>
        <v>GamingPro</v>
      </c>
      <c r="E1263" s="266">
        <v>292.0</v>
      </c>
      <c r="F1263" s="266">
        <v>112.0</v>
      </c>
      <c r="G1263" s="266">
        <v>40.0</v>
      </c>
      <c r="H1263" s="266">
        <v>2.0</v>
      </c>
      <c r="I1263" s="266">
        <v>1740.0</v>
      </c>
      <c r="J1263" s="266">
        <v>14.0</v>
      </c>
      <c r="K1263" s="266">
        <v>215.0</v>
      </c>
      <c r="L1263" s="266" t="s">
        <v>3361</v>
      </c>
      <c r="M1263" s="266">
        <v>2.0</v>
      </c>
      <c r="N1263" s="266">
        <v>3.0</v>
      </c>
      <c r="O1263" s="266">
        <v>1.0</v>
      </c>
      <c r="P1263" s="266">
        <v>1.0</v>
      </c>
      <c r="Q1263" s="266" t="s">
        <v>166</v>
      </c>
      <c r="R1263" s="497" t="s">
        <v>166</v>
      </c>
      <c r="S1263" s="497" t="s">
        <v>166</v>
      </c>
      <c r="T1263" s="496"/>
    </row>
    <row r="1264">
      <c r="A1264" s="494" t="s">
        <v>3401</v>
      </c>
      <c r="B1264" s="495" t="s">
        <v>4024</v>
      </c>
      <c r="C1264" s="452" t="str">
        <f t="shared" si="211"/>
        <v>Palit</v>
      </c>
      <c r="D1264" s="452" t="str">
        <f>HYPERLINK("http://www.palit.com/palit/vgapro.php?id=2992&amp;lang=en","GamingPro OC")</f>
        <v>GamingPro OC</v>
      </c>
      <c r="E1264" s="266">
        <v>292.0</v>
      </c>
      <c r="F1264" s="266">
        <v>112.0</v>
      </c>
      <c r="G1264" s="266">
        <v>40.0</v>
      </c>
      <c r="H1264" s="266">
        <v>2.0</v>
      </c>
      <c r="I1264" s="266">
        <v>1815.0</v>
      </c>
      <c r="J1264" s="266">
        <v>14.0</v>
      </c>
      <c r="K1264" s="266">
        <v>225.0</v>
      </c>
      <c r="L1264" s="266" t="s">
        <v>3361</v>
      </c>
      <c r="M1264" s="266">
        <v>2.0</v>
      </c>
      <c r="N1264" s="266">
        <v>3.0</v>
      </c>
      <c r="O1264" s="266">
        <v>1.0</v>
      </c>
      <c r="P1264" s="266">
        <v>1.0</v>
      </c>
      <c r="Q1264" s="266" t="s">
        <v>166</v>
      </c>
      <c r="R1264" s="497" t="s">
        <v>166</v>
      </c>
      <c r="S1264" s="497" t="s">
        <v>166</v>
      </c>
      <c r="T1264" s="496"/>
    </row>
    <row r="1265">
      <c r="A1265" s="494" t="s">
        <v>3401</v>
      </c>
      <c r="B1265" s="495" t="s">
        <v>4024</v>
      </c>
      <c r="C1265" s="452" t="str">
        <f t="shared" si="211"/>
        <v>Palit</v>
      </c>
      <c r="D1265" s="452" t="s">
        <v>3998</v>
      </c>
      <c r="E1265" s="266">
        <v>292.0</v>
      </c>
      <c r="F1265" s="266">
        <v>130.0</v>
      </c>
      <c r="G1265" s="266">
        <v>59.6</v>
      </c>
      <c r="H1265" s="266">
        <v>2.0</v>
      </c>
      <c r="I1265" s="266">
        <v>1710.0</v>
      </c>
      <c r="J1265" s="266">
        <v>14.0</v>
      </c>
      <c r="K1265" s="266">
        <v>215.0</v>
      </c>
      <c r="L1265" s="266" t="s">
        <v>3460</v>
      </c>
      <c r="M1265" s="266">
        <v>2.0</v>
      </c>
      <c r="N1265" s="266">
        <v>3.0</v>
      </c>
      <c r="O1265" s="266">
        <v>1.0</v>
      </c>
      <c r="P1265" s="266">
        <v>1.0</v>
      </c>
      <c r="Q1265" s="266" t="s">
        <v>166</v>
      </c>
      <c r="R1265" s="497" t="s">
        <v>166</v>
      </c>
      <c r="S1265" s="497" t="s">
        <v>166</v>
      </c>
      <c r="T1265" s="496"/>
    </row>
    <row r="1266">
      <c r="A1266" s="494" t="s">
        <v>3401</v>
      </c>
      <c r="B1266" s="495" t="s">
        <v>4024</v>
      </c>
      <c r="C1266" s="452" t="str">
        <f t="shared" si="211"/>
        <v>Palit</v>
      </c>
      <c r="D1266" s="452" t="s">
        <v>3999</v>
      </c>
      <c r="E1266" s="266">
        <v>292.0</v>
      </c>
      <c r="F1266" s="266">
        <v>130.0</v>
      </c>
      <c r="G1266" s="266">
        <v>59.6</v>
      </c>
      <c r="H1266" s="266">
        <v>2.0</v>
      </c>
      <c r="I1266" s="266">
        <v>1860.0</v>
      </c>
      <c r="J1266" s="266">
        <v>14.0</v>
      </c>
      <c r="K1266" s="266">
        <v>245.0</v>
      </c>
      <c r="L1266" s="266" t="s">
        <v>3460</v>
      </c>
      <c r="M1266" s="266">
        <v>2.0</v>
      </c>
      <c r="N1266" s="266">
        <v>3.0</v>
      </c>
      <c r="O1266" s="266">
        <v>1.0</v>
      </c>
      <c r="P1266" s="266">
        <v>1.0</v>
      </c>
      <c r="Q1266" s="266" t="s">
        <v>166</v>
      </c>
      <c r="R1266" s="497" t="s">
        <v>166</v>
      </c>
      <c r="S1266" s="497" t="s">
        <v>166</v>
      </c>
      <c r="T1266" s="496"/>
    </row>
    <row r="1267">
      <c r="A1267" s="494" t="s">
        <v>3401</v>
      </c>
      <c r="B1267" s="495" t="s">
        <v>4024</v>
      </c>
      <c r="C1267" s="452" t="str">
        <f t="shared" si="211"/>
        <v>Palit</v>
      </c>
      <c r="D1267" s="452" t="s">
        <v>4000</v>
      </c>
      <c r="E1267" s="266">
        <v>292.0</v>
      </c>
      <c r="F1267" s="266">
        <v>130.0</v>
      </c>
      <c r="G1267" s="266">
        <v>59.6</v>
      </c>
      <c r="H1267" s="266">
        <v>2.0</v>
      </c>
      <c r="I1267" s="266">
        <v>1815.0</v>
      </c>
      <c r="J1267" s="266">
        <v>14.0</v>
      </c>
      <c r="K1267" s="266">
        <v>225.0</v>
      </c>
      <c r="L1267" s="266" t="s">
        <v>3460</v>
      </c>
      <c r="M1267" s="266">
        <v>2.0</v>
      </c>
      <c r="N1267" s="266">
        <v>3.0</v>
      </c>
      <c r="O1267" s="266">
        <v>1.0</v>
      </c>
      <c r="P1267" s="266">
        <v>1.0</v>
      </c>
      <c r="Q1267" s="266" t="s">
        <v>166</v>
      </c>
      <c r="R1267" s="497" t="s">
        <v>166</v>
      </c>
      <c r="S1267" s="497" t="s">
        <v>166</v>
      </c>
      <c r="T1267" s="496"/>
    </row>
    <row r="1268">
      <c r="A1268" s="494" t="s">
        <v>3401</v>
      </c>
      <c r="B1268" s="495" t="s">
        <v>4024</v>
      </c>
      <c r="C1268" s="452" t="str">
        <f t="shared" si="211"/>
        <v>Palit</v>
      </c>
      <c r="D1268" s="452" t="s">
        <v>4001</v>
      </c>
      <c r="E1268" s="266">
        <v>292.0</v>
      </c>
      <c r="F1268" s="266">
        <v>130.0</v>
      </c>
      <c r="G1268" s="266">
        <v>59.6</v>
      </c>
      <c r="H1268" s="266">
        <v>2.0</v>
      </c>
      <c r="I1268" s="266">
        <v>1875.0</v>
      </c>
      <c r="J1268" s="266">
        <v>14.0</v>
      </c>
      <c r="K1268" s="266">
        <v>245.0</v>
      </c>
      <c r="L1268" s="266" t="s">
        <v>3460</v>
      </c>
      <c r="M1268" s="266">
        <v>2.0</v>
      </c>
      <c r="N1268" s="266">
        <v>3.0</v>
      </c>
      <c r="O1268" s="266">
        <v>1.0</v>
      </c>
      <c r="P1268" s="266">
        <v>1.0</v>
      </c>
      <c r="Q1268" s="266" t="s">
        <v>166</v>
      </c>
      <c r="R1268" s="497" t="s">
        <v>166</v>
      </c>
      <c r="S1268" s="497" t="s">
        <v>166</v>
      </c>
      <c r="T1268" s="496"/>
    </row>
    <row r="1269">
      <c r="A1269" s="494" t="s">
        <v>3401</v>
      </c>
      <c r="B1269" s="495" t="s">
        <v>4024</v>
      </c>
      <c r="C1269" s="452" t="str">
        <f t="shared" ref="C1269:C1272" si="212">HYPERLINK("http://zotac.com/","ZOTAC")</f>
        <v>ZOTAC</v>
      </c>
      <c r="D1269" s="452" t="str">
        <f>HYPERLINK("https://www.zotac.com/product/graphics_card/zotac-gaming-geforce-rtx-2080-blower","Blower")</f>
        <v>Blower</v>
      </c>
      <c r="E1269" s="266">
        <v>268.0</v>
      </c>
      <c r="F1269" s="266">
        <v>113.0</v>
      </c>
      <c r="G1269" s="266">
        <v>38.0</v>
      </c>
      <c r="H1269" s="266">
        <v>2.0</v>
      </c>
      <c r="I1269" s="266">
        <v>1710.0</v>
      </c>
      <c r="J1269" s="266">
        <v>14.0</v>
      </c>
      <c r="K1269" s="266">
        <v>215.0</v>
      </c>
      <c r="L1269" s="266" t="s">
        <v>3361</v>
      </c>
      <c r="M1269" s="266">
        <v>1.0</v>
      </c>
      <c r="N1269" s="266">
        <v>3.0</v>
      </c>
      <c r="O1269" s="266">
        <v>1.0</v>
      </c>
      <c r="P1269" s="266">
        <v>1.0</v>
      </c>
      <c r="Q1269" s="266" t="s">
        <v>166</v>
      </c>
      <c r="R1269" s="266" t="s">
        <v>166</v>
      </c>
      <c r="S1269" s="266" t="s">
        <v>174</v>
      </c>
      <c r="T1269" s="494"/>
    </row>
    <row r="1270">
      <c r="A1270" s="494" t="s">
        <v>3401</v>
      </c>
      <c r="B1270" s="495" t="s">
        <v>4024</v>
      </c>
      <c r="C1270" s="452" t="str">
        <f t="shared" si="212"/>
        <v>ZOTAC</v>
      </c>
      <c r="D1270" s="452" t="str">
        <f>HYPERLINK("https://www.zotac.com/product/graphics_card/zotac-gaming-geforce-rtx-2080","RTX 2080 (ZT-T20800G-10P)")</f>
        <v>RTX 2080 (ZT-T20800G-10P)</v>
      </c>
      <c r="E1270" s="266">
        <v>268.0</v>
      </c>
      <c r="F1270" s="266">
        <v>113.0</v>
      </c>
      <c r="G1270" s="266">
        <v>38.0</v>
      </c>
      <c r="H1270" s="266">
        <v>2.0</v>
      </c>
      <c r="I1270" s="266">
        <v>1710.0</v>
      </c>
      <c r="J1270" s="266">
        <v>14.0</v>
      </c>
      <c r="K1270" s="266">
        <v>215.0</v>
      </c>
      <c r="L1270" s="266" t="s">
        <v>3361</v>
      </c>
      <c r="M1270" s="266">
        <v>2.0</v>
      </c>
      <c r="N1270" s="266">
        <v>3.0</v>
      </c>
      <c r="O1270" s="266">
        <v>1.0</v>
      </c>
      <c r="P1270" s="266">
        <v>1.0</v>
      </c>
      <c r="Q1270" s="266" t="s">
        <v>166</v>
      </c>
      <c r="R1270" s="497" t="s">
        <v>166</v>
      </c>
      <c r="S1270" s="497" t="s">
        <v>166</v>
      </c>
      <c r="T1270" s="496"/>
    </row>
    <row r="1271">
      <c r="A1271" s="494" t="s">
        <v>3401</v>
      </c>
      <c r="B1271" s="495" t="s">
        <v>4024</v>
      </c>
      <c r="C1271" s="452" t="str">
        <f t="shared" si="212"/>
        <v>ZOTAC</v>
      </c>
      <c r="D1271" s="452" t="str">
        <f>HYPERLINK("https://www.zotac.com/product/graphics_card/zotac-gaming-geforce-rtx-2080-twin-fan","Twin Fan")</f>
        <v>Twin Fan</v>
      </c>
      <c r="E1271" s="266">
        <v>268.0</v>
      </c>
      <c r="F1271" s="266">
        <v>113.0</v>
      </c>
      <c r="G1271" s="266">
        <v>38.0</v>
      </c>
      <c r="H1271" s="266">
        <v>2.0</v>
      </c>
      <c r="I1271" s="266">
        <v>1770.0</v>
      </c>
      <c r="J1271" s="266">
        <v>14.0</v>
      </c>
      <c r="K1271" s="266">
        <v>215.0</v>
      </c>
      <c r="L1271" s="266" t="s">
        <v>3361</v>
      </c>
      <c r="M1271" s="266">
        <v>2.0</v>
      </c>
      <c r="N1271" s="266">
        <v>3.0</v>
      </c>
      <c r="O1271" s="266">
        <v>1.0</v>
      </c>
      <c r="P1271" s="266">
        <v>1.0</v>
      </c>
      <c r="Q1271" s="266" t="s">
        <v>166</v>
      </c>
      <c r="R1271" s="497" t="s">
        <v>166</v>
      </c>
      <c r="S1271" s="497" t="s">
        <v>166</v>
      </c>
      <c r="T1271" s="496"/>
    </row>
    <row r="1272">
      <c r="A1272" s="498" t="s">
        <v>3401</v>
      </c>
      <c r="B1272" s="499" t="s">
        <v>4024</v>
      </c>
      <c r="C1272" s="500" t="str">
        <f t="shared" si="212"/>
        <v>ZOTAC</v>
      </c>
      <c r="D1272" s="500" t="str">
        <f>HYPERLINK("https://www.zotac.com/product/graphics_card/zotac-gaming-geforce-rtx-2080-amp-maxx","AMP MAXX")</f>
        <v>AMP MAXX</v>
      </c>
      <c r="E1272" s="501">
        <v>298.0</v>
      </c>
      <c r="F1272" s="501">
        <v>133.0</v>
      </c>
      <c r="G1272" s="501">
        <v>42.0</v>
      </c>
      <c r="H1272" s="501">
        <v>2.0</v>
      </c>
      <c r="I1272" s="501">
        <v>1830.0</v>
      </c>
      <c r="J1272" s="501">
        <v>14.0</v>
      </c>
      <c r="K1272" s="501">
        <v>245.0</v>
      </c>
      <c r="L1272" s="501" t="s">
        <v>3460</v>
      </c>
      <c r="M1272" s="501">
        <v>2.0</v>
      </c>
      <c r="N1272" s="501">
        <v>3.0</v>
      </c>
      <c r="O1272" s="501">
        <v>1.0</v>
      </c>
      <c r="P1272" s="501">
        <v>1.0</v>
      </c>
      <c r="Q1272" s="501" t="s">
        <v>166</v>
      </c>
      <c r="R1272" s="502" t="s">
        <v>166</v>
      </c>
      <c r="S1272" s="502" t="s">
        <v>166</v>
      </c>
      <c r="T1272" s="503"/>
    </row>
    <row r="1273">
      <c r="A1273" s="504" t="s">
        <v>3401</v>
      </c>
      <c r="B1273" s="505" t="s">
        <v>4041</v>
      </c>
      <c r="C1273" s="174" t="s">
        <v>3467</v>
      </c>
      <c r="D1273" s="452" t="s">
        <v>3884</v>
      </c>
      <c r="E1273" s="266">
        <v>314.0</v>
      </c>
      <c r="F1273" s="266">
        <v>128.0</v>
      </c>
      <c r="G1273" s="266">
        <v>44.0</v>
      </c>
      <c r="H1273" s="266">
        <v>2.0</v>
      </c>
      <c r="I1273" s="266">
        <v>1815.0</v>
      </c>
      <c r="J1273" s="266">
        <v>15.5</v>
      </c>
      <c r="K1273" s="266">
        <v>250.0</v>
      </c>
      <c r="L1273" s="266" t="s">
        <v>3361</v>
      </c>
      <c r="M1273" s="266">
        <v>3.0</v>
      </c>
      <c r="N1273" s="266">
        <v>3.0</v>
      </c>
      <c r="O1273" s="266">
        <v>1.0</v>
      </c>
      <c r="P1273" s="266" t="s">
        <v>166</v>
      </c>
      <c r="Q1273" s="266" t="s">
        <v>166</v>
      </c>
      <c r="R1273" s="497" t="s">
        <v>166</v>
      </c>
      <c r="S1273" s="497" t="s">
        <v>166</v>
      </c>
      <c r="T1273" s="496"/>
    </row>
    <row r="1274">
      <c r="A1274" s="504" t="s">
        <v>3401</v>
      </c>
      <c r="B1274" s="505" t="s">
        <v>4041</v>
      </c>
      <c r="C1274" s="282" t="str">
        <f t="shared" ref="C1274:C1282" si="213">HYPERLINK("https://www.asus.com/","Asus")</f>
        <v>Asus</v>
      </c>
      <c r="D1274" s="506" t="s">
        <v>3935</v>
      </c>
      <c r="E1274" s="507">
        <v>268.0</v>
      </c>
      <c r="F1274" s="507">
        <v>113.0</v>
      </c>
      <c r="G1274" s="507">
        <v>40.0</v>
      </c>
      <c r="H1274" s="507">
        <v>2.0</v>
      </c>
      <c r="I1274" s="507">
        <v>1845.0</v>
      </c>
      <c r="J1274" s="507">
        <v>15.5</v>
      </c>
      <c r="K1274" s="507">
        <v>250.0</v>
      </c>
      <c r="L1274" s="507" t="s">
        <v>3460</v>
      </c>
      <c r="M1274" s="507">
        <v>1.0</v>
      </c>
      <c r="N1274" s="507">
        <v>3.0</v>
      </c>
      <c r="O1274" s="507">
        <v>1.0</v>
      </c>
      <c r="P1274" s="507" t="s">
        <v>166</v>
      </c>
      <c r="Q1274" s="507" t="s">
        <v>166</v>
      </c>
      <c r="R1274" s="507" t="s">
        <v>166</v>
      </c>
      <c r="S1274" s="507" t="s">
        <v>174</v>
      </c>
      <c r="T1274" s="494"/>
    </row>
    <row r="1275">
      <c r="A1275" s="494" t="s">
        <v>3401</v>
      </c>
      <c r="B1275" s="495" t="s">
        <v>4041</v>
      </c>
      <c r="C1275" s="174" t="str">
        <f t="shared" si="213"/>
        <v>Asus</v>
      </c>
      <c r="D1275" s="452" t="s">
        <v>3629</v>
      </c>
      <c r="E1275" s="266">
        <v>267.0</v>
      </c>
      <c r="F1275" s="266">
        <v>118.0</v>
      </c>
      <c r="G1275" s="266">
        <v>56.0</v>
      </c>
      <c r="H1275" s="266">
        <v>2.0</v>
      </c>
      <c r="I1275" s="266">
        <v>1845.0</v>
      </c>
      <c r="J1275" s="266">
        <v>15.5</v>
      </c>
      <c r="K1275" s="266">
        <v>250.0</v>
      </c>
      <c r="L1275" s="266" t="s">
        <v>3361</v>
      </c>
      <c r="M1275" s="266">
        <v>2.0</v>
      </c>
      <c r="N1275" s="266">
        <v>3.0</v>
      </c>
      <c r="O1275" s="266">
        <v>1.0</v>
      </c>
      <c r="P1275" s="266" t="s">
        <v>166</v>
      </c>
      <c r="Q1275" s="266" t="s">
        <v>166</v>
      </c>
      <c r="R1275" s="497" t="s">
        <v>166</v>
      </c>
      <c r="S1275" s="497" t="s">
        <v>166</v>
      </c>
      <c r="T1275" s="496"/>
    </row>
    <row r="1276">
      <c r="A1276" s="494" t="s">
        <v>3401</v>
      </c>
      <c r="B1276" s="495" t="s">
        <v>4041</v>
      </c>
      <c r="C1276" s="174" t="str">
        <f t="shared" si="213"/>
        <v>Asus</v>
      </c>
      <c r="D1276" s="452" t="s">
        <v>3659</v>
      </c>
      <c r="E1276" s="266">
        <v>267.0</v>
      </c>
      <c r="F1276" s="266">
        <v>118.0</v>
      </c>
      <c r="G1276" s="266">
        <v>56.0</v>
      </c>
      <c r="H1276" s="266">
        <v>2.0</v>
      </c>
      <c r="I1276" s="266">
        <v>1860.0</v>
      </c>
      <c r="J1276" s="266">
        <v>15.5</v>
      </c>
      <c r="K1276" s="266">
        <v>250.0</v>
      </c>
      <c r="L1276" s="266" t="s">
        <v>3361</v>
      </c>
      <c r="M1276" s="266">
        <v>2.0</v>
      </c>
      <c r="N1276" s="266">
        <v>3.0</v>
      </c>
      <c r="O1276" s="266">
        <v>1.0</v>
      </c>
      <c r="P1276" s="266" t="s">
        <v>166</v>
      </c>
      <c r="Q1276" s="266" t="s">
        <v>166</v>
      </c>
      <c r="R1276" s="497" t="s">
        <v>166</v>
      </c>
      <c r="S1276" s="497" t="s">
        <v>166</v>
      </c>
      <c r="T1276" s="496"/>
    </row>
    <row r="1277">
      <c r="A1277" s="494" t="s">
        <v>3401</v>
      </c>
      <c r="B1277" s="495" t="s">
        <v>4041</v>
      </c>
      <c r="C1277" s="174" t="str">
        <f t="shared" si="213"/>
        <v>Asus</v>
      </c>
      <c r="D1277" s="452" t="s">
        <v>3936</v>
      </c>
      <c r="E1277" s="266">
        <v>267.0</v>
      </c>
      <c r="F1277" s="266">
        <v>118.0</v>
      </c>
      <c r="G1277" s="266">
        <v>58.0</v>
      </c>
      <c r="H1277" s="266">
        <v>2.0</v>
      </c>
      <c r="I1277" s="266">
        <v>1845.0</v>
      </c>
      <c r="J1277" s="266">
        <v>15.5</v>
      </c>
      <c r="K1277" s="266">
        <v>250.0</v>
      </c>
      <c r="L1277" s="266" t="s">
        <v>3460</v>
      </c>
      <c r="M1277" s="266">
        <v>2.0</v>
      </c>
      <c r="N1277" s="266">
        <v>3.0</v>
      </c>
      <c r="O1277" s="266">
        <v>1.0</v>
      </c>
      <c r="P1277" s="266" t="s">
        <v>166</v>
      </c>
      <c r="Q1277" s="266" t="s">
        <v>166</v>
      </c>
      <c r="R1277" s="497" t="s">
        <v>166</v>
      </c>
      <c r="S1277" s="497" t="s">
        <v>166</v>
      </c>
      <c r="T1277" s="496"/>
    </row>
    <row r="1278">
      <c r="A1278" s="494" t="s">
        <v>3401</v>
      </c>
      <c r="B1278" s="495" t="s">
        <v>4041</v>
      </c>
      <c r="C1278" s="174" t="str">
        <f t="shared" si="213"/>
        <v>Asus</v>
      </c>
      <c r="D1278" s="452" t="s">
        <v>3938</v>
      </c>
      <c r="E1278" s="266">
        <v>267.0</v>
      </c>
      <c r="F1278" s="266">
        <v>118.0</v>
      </c>
      <c r="G1278" s="266">
        <v>58.0</v>
      </c>
      <c r="H1278" s="266">
        <v>2.0</v>
      </c>
      <c r="I1278" s="266">
        <v>1860.0</v>
      </c>
      <c r="J1278" s="266">
        <v>15.5</v>
      </c>
      <c r="K1278" s="266">
        <v>250.0</v>
      </c>
      <c r="L1278" s="266" t="s">
        <v>3460</v>
      </c>
      <c r="M1278" s="266">
        <v>2.0</v>
      </c>
      <c r="N1278" s="266">
        <v>3.0</v>
      </c>
      <c r="O1278" s="266">
        <v>1.0</v>
      </c>
      <c r="P1278" s="266" t="s">
        <v>166</v>
      </c>
      <c r="Q1278" s="266" t="s">
        <v>166</v>
      </c>
      <c r="R1278" s="497" t="s">
        <v>166</v>
      </c>
      <c r="S1278" s="497" t="s">
        <v>166</v>
      </c>
      <c r="T1278" s="496"/>
    </row>
    <row r="1279">
      <c r="A1279" s="494" t="s">
        <v>3401</v>
      </c>
      <c r="B1279" s="495" t="s">
        <v>4041</v>
      </c>
      <c r="C1279" s="174" t="str">
        <f t="shared" si="213"/>
        <v>Asus</v>
      </c>
      <c r="D1279" s="452" t="s">
        <v>3631</v>
      </c>
      <c r="E1279" s="266">
        <v>299.7</v>
      </c>
      <c r="F1279" s="266">
        <v>130.4</v>
      </c>
      <c r="G1279" s="266">
        <v>54.1</v>
      </c>
      <c r="H1279" s="266">
        <v>2.0</v>
      </c>
      <c r="I1279" s="266">
        <v>1845.0</v>
      </c>
      <c r="J1279" s="266">
        <v>15.5</v>
      </c>
      <c r="K1279" s="266">
        <v>250.0</v>
      </c>
      <c r="L1279" s="266" t="s">
        <v>3460</v>
      </c>
      <c r="M1279" s="266">
        <v>3.0</v>
      </c>
      <c r="N1279" s="266">
        <v>2.0</v>
      </c>
      <c r="O1279" s="266">
        <v>2.0</v>
      </c>
      <c r="P1279" s="266">
        <v>1.0</v>
      </c>
      <c r="Q1279" s="266" t="s">
        <v>166</v>
      </c>
      <c r="R1279" s="497" t="s">
        <v>166</v>
      </c>
      <c r="S1279" s="497" t="s">
        <v>166</v>
      </c>
      <c r="T1279" s="496"/>
    </row>
    <row r="1280">
      <c r="A1280" s="494" t="s">
        <v>3401</v>
      </c>
      <c r="B1280" s="495" t="s">
        <v>4041</v>
      </c>
      <c r="C1280" s="174" t="str">
        <f t="shared" si="213"/>
        <v>Asus</v>
      </c>
      <c r="D1280" s="452" t="s">
        <v>3642</v>
      </c>
      <c r="E1280" s="266">
        <v>299.7</v>
      </c>
      <c r="F1280" s="266">
        <v>130.4</v>
      </c>
      <c r="G1280" s="266">
        <v>54.1</v>
      </c>
      <c r="H1280" s="266">
        <v>2.0</v>
      </c>
      <c r="I1280" s="266">
        <v>1860.0</v>
      </c>
      <c r="J1280" s="266">
        <v>15.5</v>
      </c>
      <c r="K1280" s="266">
        <v>250.0</v>
      </c>
      <c r="L1280" s="266" t="s">
        <v>3460</v>
      </c>
      <c r="M1280" s="266">
        <v>3.0</v>
      </c>
      <c r="N1280" s="266">
        <v>2.0</v>
      </c>
      <c r="O1280" s="266">
        <v>2.0</v>
      </c>
      <c r="P1280" s="266">
        <v>1.0</v>
      </c>
      <c r="Q1280" s="266" t="s">
        <v>166</v>
      </c>
      <c r="R1280" s="497" t="s">
        <v>166</v>
      </c>
      <c r="S1280" s="497" t="s">
        <v>166</v>
      </c>
      <c r="T1280" s="496"/>
    </row>
    <row r="1281">
      <c r="A1281" s="494" t="s">
        <v>3401</v>
      </c>
      <c r="B1281" s="495" t="s">
        <v>4041</v>
      </c>
      <c r="C1281" s="174" t="str">
        <f t="shared" si="213"/>
        <v>Asus</v>
      </c>
      <c r="D1281" s="452" t="s">
        <v>3643</v>
      </c>
      <c r="E1281" s="586">
        <v>299.7</v>
      </c>
      <c r="F1281" s="603">
        <v>130.4</v>
      </c>
      <c r="G1281" s="561">
        <v>54.1</v>
      </c>
      <c r="H1281" s="266">
        <v>2.0</v>
      </c>
      <c r="I1281" s="266">
        <v>1890.0</v>
      </c>
      <c r="J1281" s="266">
        <v>15.5</v>
      </c>
      <c r="K1281" s="266">
        <v>250.0</v>
      </c>
      <c r="L1281" s="266" t="s">
        <v>3460</v>
      </c>
      <c r="M1281" s="266">
        <v>3.0</v>
      </c>
      <c r="N1281" s="266">
        <v>2.0</v>
      </c>
      <c r="O1281" s="266">
        <v>2.0</v>
      </c>
      <c r="P1281" s="266">
        <v>1.0</v>
      </c>
      <c r="Q1281" s="266" t="s">
        <v>166</v>
      </c>
      <c r="R1281" s="497" t="s">
        <v>166</v>
      </c>
      <c r="S1281" s="497" t="s">
        <v>166</v>
      </c>
      <c r="T1281" s="496"/>
    </row>
    <row r="1282">
      <c r="A1282" s="494" t="s">
        <v>3401</v>
      </c>
      <c r="B1282" s="495" t="s">
        <v>4041</v>
      </c>
      <c r="C1282" s="174" t="str">
        <f t="shared" si="213"/>
        <v>Asus</v>
      </c>
      <c r="D1282" s="452" t="s">
        <v>4042</v>
      </c>
      <c r="E1282" s="266">
        <v>305.0</v>
      </c>
      <c r="F1282" s="266">
        <v>130.0</v>
      </c>
      <c r="G1282" s="266">
        <v>54.0</v>
      </c>
      <c r="H1282" s="266">
        <v>2.0</v>
      </c>
      <c r="I1282" s="266">
        <v>1890.0</v>
      </c>
      <c r="J1282" s="266">
        <v>15.5</v>
      </c>
      <c r="K1282" s="266">
        <v>250.0</v>
      </c>
      <c r="L1282" s="266" t="s">
        <v>3460</v>
      </c>
      <c r="M1282" s="266">
        <v>3.0</v>
      </c>
      <c r="N1282" s="266">
        <v>2.0</v>
      </c>
      <c r="O1282" s="266">
        <v>2.0</v>
      </c>
      <c r="P1282" s="266">
        <v>1.0</v>
      </c>
      <c r="Q1282" s="266" t="s">
        <v>166</v>
      </c>
      <c r="R1282" s="497" t="s">
        <v>166</v>
      </c>
      <c r="S1282" s="497" t="s">
        <v>166</v>
      </c>
      <c r="T1282" s="496"/>
    </row>
    <row r="1283">
      <c r="A1283" s="494" t="s">
        <v>3401</v>
      </c>
      <c r="B1283" s="495" t="s">
        <v>4041</v>
      </c>
      <c r="C1283" s="452" t="s">
        <v>3575</v>
      </c>
      <c r="D1283" s="452" t="s">
        <v>3940</v>
      </c>
      <c r="E1283" s="266">
        <v>310.0</v>
      </c>
      <c r="F1283" s="266">
        <v>126.0</v>
      </c>
      <c r="G1283" s="266">
        <v>53.0</v>
      </c>
      <c r="H1283" s="266">
        <v>2.0</v>
      </c>
      <c r="I1283" s="266">
        <v>1815.0</v>
      </c>
      <c r="J1283" s="266">
        <v>15.5</v>
      </c>
      <c r="K1283" s="266">
        <v>250.0</v>
      </c>
      <c r="L1283" s="266" t="s">
        <v>3460</v>
      </c>
      <c r="M1283" s="266">
        <v>3.0</v>
      </c>
      <c r="N1283" s="266">
        <v>3.0</v>
      </c>
      <c r="O1283" s="266">
        <v>1.0</v>
      </c>
      <c r="P1283" s="266" t="s">
        <v>166</v>
      </c>
      <c r="Q1283" s="266" t="s">
        <v>166</v>
      </c>
      <c r="R1283" s="497" t="s">
        <v>166</v>
      </c>
      <c r="S1283" s="497" t="s">
        <v>166</v>
      </c>
      <c r="T1283" s="496"/>
    </row>
    <row r="1284">
      <c r="A1284" s="494" t="s">
        <v>3401</v>
      </c>
      <c r="B1284" s="495" t="s">
        <v>4041</v>
      </c>
      <c r="C1284" s="452" t="s">
        <v>3575</v>
      </c>
      <c r="D1284" s="452" t="s">
        <v>3889</v>
      </c>
      <c r="E1284" s="266">
        <v>315.0</v>
      </c>
      <c r="F1284" s="266">
        <v>136.0</v>
      </c>
      <c r="G1284" s="266">
        <v>53.0</v>
      </c>
      <c r="H1284" s="266">
        <v>2.0</v>
      </c>
      <c r="I1284" s="266">
        <v>1845.0</v>
      </c>
      <c r="J1284" s="266">
        <v>15.5</v>
      </c>
      <c r="K1284" s="266">
        <v>250.0</v>
      </c>
      <c r="L1284" s="266" t="s">
        <v>3460</v>
      </c>
      <c r="M1284" s="266">
        <v>3.0</v>
      </c>
      <c r="N1284" s="266">
        <v>3.0</v>
      </c>
      <c r="O1284" s="266">
        <v>1.0</v>
      </c>
      <c r="P1284" s="266">
        <v>1.0</v>
      </c>
      <c r="Q1284" s="266" t="s">
        <v>166</v>
      </c>
      <c r="R1284" s="497" t="s">
        <v>166</v>
      </c>
      <c r="S1284" s="497" t="s">
        <v>166</v>
      </c>
      <c r="T1284" s="496"/>
    </row>
    <row r="1285">
      <c r="A1285" s="494" t="s">
        <v>3401</v>
      </c>
      <c r="B1285" s="495" t="s">
        <v>4041</v>
      </c>
      <c r="C1285" s="452" t="s">
        <v>3575</v>
      </c>
      <c r="D1285" s="452" t="s">
        <v>3814</v>
      </c>
      <c r="E1285" s="266">
        <v>318.0</v>
      </c>
      <c r="F1285" s="266">
        <v>147.0</v>
      </c>
      <c r="G1285" s="266">
        <v>59.0</v>
      </c>
      <c r="H1285" s="266">
        <v>2.0</v>
      </c>
      <c r="I1285" s="266">
        <v>1860.0</v>
      </c>
      <c r="J1285" s="266">
        <v>15.5</v>
      </c>
      <c r="K1285" s="266">
        <v>250.0</v>
      </c>
      <c r="L1285" s="266" t="s">
        <v>3460</v>
      </c>
      <c r="M1285" s="266">
        <v>3.0</v>
      </c>
      <c r="N1285" s="266">
        <v>3.0</v>
      </c>
      <c r="O1285" s="266">
        <v>1.0</v>
      </c>
      <c r="P1285" s="266">
        <v>1.0</v>
      </c>
      <c r="Q1285" s="266" t="s">
        <v>166</v>
      </c>
      <c r="R1285" s="497" t="s">
        <v>166</v>
      </c>
      <c r="S1285" s="497" t="s">
        <v>166</v>
      </c>
      <c r="T1285" s="496"/>
    </row>
    <row r="1286">
      <c r="A1286" s="494" t="s">
        <v>3401</v>
      </c>
      <c r="B1286" s="495" t="s">
        <v>4041</v>
      </c>
      <c r="C1286" s="174" t="s">
        <v>3405</v>
      </c>
      <c r="D1286" s="452" t="s">
        <v>3975</v>
      </c>
      <c r="E1286" s="618">
        <v>292.0</v>
      </c>
      <c r="F1286" s="619">
        <v>130.0</v>
      </c>
      <c r="G1286" s="620">
        <v>59.6</v>
      </c>
      <c r="H1286" s="266">
        <v>2.0</v>
      </c>
      <c r="I1286" s="266">
        <v>1815.0</v>
      </c>
      <c r="J1286" s="266">
        <v>15.5</v>
      </c>
      <c r="K1286" s="266">
        <v>250.0</v>
      </c>
      <c r="L1286" s="266" t="s">
        <v>3460</v>
      </c>
      <c r="M1286" s="266">
        <v>3.0</v>
      </c>
      <c r="N1286" s="266">
        <v>3.0</v>
      </c>
      <c r="O1286" s="266">
        <v>1.0</v>
      </c>
      <c r="P1286" s="266">
        <v>1.0</v>
      </c>
      <c r="Q1286" s="266" t="s">
        <v>166</v>
      </c>
      <c r="R1286" s="497" t="s">
        <v>166</v>
      </c>
      <c r="S1286" s="497" t="s">
        <v>166</v>
      </c>
      <c r="T1286" s="496"/>
    </row>
    <row r="1287">
      <c r="A1287" s="494" t="s">
        <v>3401</v>
      </c>
      <c r="B1287" s="495" t="s">
        <v>4041</v>
      </c>
      <c r="C1287" s="174" t="s">
        <v>3405</v>
      </c>
      <c r="D1287" s="452" t="s">
        <v>3947</v>
      </c>
      <c r="E1287" s="618">
        <v>292.0</v>
      </c>
      <c r="F1287" s="619">
        <v>130.0</v>
      </c>
      <c r="G1287" s="620">
        <v>59.6</v>
      </c>
      <c r="H1287" s="266">
        <v>2.0</v>
      </c>
      <c r="I1287" s="266">
        <v>1860.0</v>
      </c>
      <c r="J1287" s="266">
        <v>15.5</v>
      </c>
      <c r="K1287" s="266">
        <v>250.0</v>
      </c>
      <c r="L1287" s="266" t="s">
        <v>3460</v>
      </c>
      <c r="M1287" s="266">
        <v>3.0</v>
      </c>
      <c r="N1287" s="266">
        <v>3.0</v>
      </c>
      <c r="O1287" s="266">
        <v>1.0</v>
      </c>
      <c r="P1287" s="266">
        <v>1.0</v>
      </c>
      <c r="Q1287" s="266" t="s">
        <v>166</v>
      </c>
      <c r="R1287" s="497" t="s">
        <v>166</v>
      </c>
      <c r="S1287" s="497" t="s">
        <v>166</v>
      </c>
      <c r="T1287" s="496"/>
    </row>
    <row r="1288">
      <c r="A1288" s="494" t="s">
        <v>3401</v>
      </c>
      <c r="B1288" s="495" t="s">
        <v>4041</v>
      </c>
      <c r="C1288" s="174" t="s">
        <v>3405</v>
      </c>
      <c r="D1288" s="452" t="s">
        <v>3948</v>
      </c>
      <c r="E1288" s="618">
        <v>292.0</v>
      </c>
      <c r="F1288" s="619">
        <v>130.0</v>
      </c>
      <c r="G1288" s="620">
        <v>59.6</v>
      </c>
      <c r="H1288" s="266">
        <v>2.0</v>
      </c>
      <c r="I1288" s="266">
        <v>1815.0</v>
      </c>
      <c r="J1288" s="266">
        <v>15.5</v>
      </c>
      <c r="K1288" s="266">
        <v>250.0</v>
      </c>
      <c r="L1288" s="266" t="s">
        <v>3460</v>
      </c>
      <c r="M1288" s="266">
        <v>3.0</v>
      </c>
      <c r="N1288" s="266">
        <v>3.0</v>
      </c>
      <c r="O1288" s="266">
        <v>1.0</v>
      </c>
      <c r="P1288" s="266">
        <v>1.0</v>
      </c>
      <c r="Q1288" s="266" t="s">
        <v>166</v>
      </c>
      <c r="R1288" s="497" t="s">
        <v>166</v>
      </c>
      <c r="S1288" s="497" t="s">
        <v>166</v>
      </c>
      <c r="T1288" s="496"/>
    </row>
    <row r="1289">
      <c r="A1289" s="494" t="s">
        <v>3401</v>
      </c>
      <c r="B1289" s="495" t="s">
        <v>4041</v>
      </c>
      <c r="C1289" s="174" t="s">
        <v>3405</v>
      </c>
      <c r="D1289" s="452" t="s">
        <v>3949</v>
      </c>
      <c r="E1289" s="266">
        <v>292.0</v>
      </c>
      <c r="F1289" s="266">
        <v>130.0</v>
      </c>
      <c r="G1289" s="266">
        <v>59.6</v>
      </c>
      <c r="H1289" s="266">
        <v>2.0</v>
      </c>
      <c r="I1289" s="266">
        <v>1860.0</v>
      </c>
      <c r="J1289" s="266">
        <v>15.5</v>
      </c>
      <c r="K1289" s="266">
        <v>250.0</v>
      </c>
      <c r="L1289" s="266" t="s">
        <v>3460</v>
      </c>
      <c r="M1289" s="266">
        <v>3.0</v>
      </c>
      <c r="N1289" s="266">
        <v>3.0</v>
      </c>
      <c r="O1289" s="266">
        <v>1.0</v>
      </c>
      <c r="P1289" s="266">
        <v>1.0</v>
      </c>
      <c r="Q1289" s="266" t="s">
        <v>166</v>
      </c>
      <c r="R1289" s="497" t="s">
        <v>166</v>
      </c>
      <c r="S1289" s="497" t="s">
        <v>166</v>
      </c>
      <c r="T1289" s="496"/>
    </row>
    <row r="1290">
      <c r="A1290" s="494" t="s">
        <v>3401</v>
      </c>
      <c r="B1290" s="495" t="s">
        <v>4041</v>
      </c>
      <c r="C1290" s="174" t="s">
        <v>3405</v>
      </c>
      <c r="D1290" s="452" t="s">
        <v>3950</v>
      </c>
      <c r="E1290" s="266">
        <v>292.0</v>
      </c>
      <c r="F1290" s="266">
        <v>130.0</v>
      </c>
      <c r="G1290" s="266">
        <v>59.6</v>
      </c>
      <c r="H1290" s="266">
        <v>2.0</v>
      </c>
      <c r="I1290" s="266">
        <v>1815.0</v>
      </c>
      <c r="J1290" s="266">
        <v>15.5</v>
      </c>
      <c r="K1290" s="266">
        <v>250.0</v>
      </c>
      <c r="L1290" s="266" t="s">
        <v>3460</v>
      </c>
      <c r="M1290" s="266">
        <v>2.0</v>
      </c>
      <c r="N1290" s="266">
        <v>3.0</v>
      </c>
      <c r="O1290" s="266">
        <v>1.0</v>
      </c>
      <c r="P1290" s="266">
        <v>1.0</v>
      </c>
      <c r="Q1290" s="266" t="s">
        <v>166</v>
      </c>
      <c r="R1290" s="497" t="s">
        <v>166</v>
      </c>
      <c r="S1290" s="497" t="s">
        <v>166</v>
      </c>
      <c r="T1290" s="496"/>
    </row>
    <row r="1291">
      <c r="A1291" s="494" t="s">
        <v>3401</v>
      </c>
      <c r="B1291" s="495" t="s">
        <v>4041</v>
      </c>
      <c r="C1291" s="174" t="s">
        <v>3405</v>
      </c>
      <c r="D1291" s="452" t="s">
        <v>3951</v>
      </c>
      <c r="E1291" s="266">
        <v>292.0</v>
      </c>
      <c r="F1291" s="266">
        <v>130.0</v>
      </c>
      <c r="G1291" s="266">
        <v>59.6</v>
      </c>
      <c r="H1291" s="266">
        <v>2.0</v>
      </c>
      <c r="I1291" s="266">
        <v>1860.0</v>
      </c>
      <c r="J1291" s="266">
        <v>15.5</v>
      </c>
      <c r="K1291" s="266">
        <v>250.0</v>
      </c>
      <c r="L1291" s="266" t="s">
        <v>3460</v>
      </c>
      <c r="M1291" s="266">
        <v>2.0</v>
      </c>
      <c r="N1291" s="266">
        <v>3.0</v>
      </c>
      <c r="O1291" s="266">
        <v>1.0</v>
      </c>
      <c r="P1291" s="266">
        <v>1.0</v>
      </c>
      <c r="Q1291" s="266" t="s">
        <v>166</v>
      </c>
      <c r="R1291" s="497" t="s">
        <v>166</v>
      </c>
      <c r="S1291" s="497" t="s">
        <v>166</v>
      </c>
      <c r="T1291" s="496"/>
    </row>
    <row r="1292">
      <c r="A1292" s="494" t="s">
        <v>3401</v>
      </c>
      <c r="B1292" s="495" t="s">
        <v>4041</v>
      </c>
      <c r="C1292" s="174" t="s">
        <v>3405</v>
      </c>
      <c r="D1292" s="452" t="s">
        <v>4006</v>
      </c>
      <c r="E1292" s="266">
        <v>292.0</v>
      </c>
      <c r="F1292" s="266">
        <v>130.0</v>
      </c>
      <c r="G1292" s="266">
        <v>59.6</v>
      </c>
      <c r="H1292" s="266">
        <v>2.0</v>
      </c>
      <c r="I1292" s="266">
        <v>1860.0</v>
      </c>
      <c r="J1292" s="266">
        <v>15.5</v>
      </c>
      <c r="K1292" s="266">
        <v>250.0</v>
      </c>
      <c r="L1292" s="266" t="s">
        <v>3460</v>
      </c>
      <c r="M1292" s="266">
        <v>2.0</v>
      </c>
      <c r="N1292" s="266">
        <v>3.0</v>
      </c>
      <c r="O1292" s="266">
        <v>1.0</v>
      </c>
      <c r="P1292" s="266">
        <v>1.0</v>
      </c>
      <c r="Q1292" s="266" t="s">
        <v>166</v>
      </c>
      <c r="R1292" s="497" t="s">
        <v>166</v>
      </c>
      <c r="S1292" s="497" t="s">
        <v>166</v>
      </c>
      <c r="T1292" s="496"/>
    </row>
    <row r="1293">
      <c r="A1293" s="494" t="s">
        <v>3401</v>
      </c>
      <c r="B1293" s="495" t="s">
        <v>4041</v>
      </c>
      <c r="C1293" s="174" t="str">
        <f t="shared" ref="C1293:C1305" si="214">HYPERLINK("https://www.evga.com/","EVGA")</f>
        <v>EVGA</v>
      </c>
      <c r="D1293" s="452" t="s">
        <v>3409</v>
      </c>
      <c r="E1293" s="266">
        <v>265.63</v>
      </c>
      <c r="F1293" s="266">
        <v>111.15</v>
      </c>
      <c r="G1293" s="266">
        <v>40.0</v>
      </c>
      <c r="H1293" s="266">
        <v>2.0</v>
      </c>
      <c r="I1293" s="266">
        <v>1815.0</v>
      </c>
      <c r="J1293" s="266">
        <v>15.5</v>
      </c>
      <c r="K1293" s="266">
        <v>250.0</v>
      </c>
      <c r="L1293" s="266" t="s">
        <v>3361</v>
      </c>
      <c r="M1293" s="266">
        <v>1.0</v>
      </c>
      <c r="N1293" s="266">
        <v>2.0</v>
      </c>
      <c r="O1293" s="266">
        <v>1.0</v>
      </c>
      <c r="P1293" s="266">
        <v>1.0</v>
      </c>
      <c r="Q1293" s="266" t="s">
        <v>166</v>
      </c>
      <c r="R1293" s="266" t="s">
        <v>166</v>
      </c>
      <c r="S1293" s="266" t="s">
        <v>174</v>
      </c>
      <c r="T1293" s="494"/>
    </row>
    <row r="1294">
      <c r="A1294" s="494" t="s">
        <v>3401</v>
      </c>
      <c r="B1294" s="495" t="s">
        <v>4041</v>
      </c>
      <c r="C1294" s="174" t="str">
        <f t="shared" si="214"/>
        <v>EVGA</v>
      </c>
      <c r="D1294" s="452" t="s">
        <v>3484</v>
      </c>
      <c r="E1294" s="266">
        <v>269.83</v>
      </c>
      <c r="F1294" s="266">
        <v>111.15</v>
      </c>
      <c r="G1294" s="266">
        <v>40.0</v>
      </c>
      <c r="H1294" s="266">
        <v>2.0</v>
      </c>
      <c r="I1294" s="266">
        <v>1815.0</v>
      </c>
      <c r="J1294" s="266">
        <v>15.5</v>
      </c>
      <c r="K1294" s="266">
        <v>250.0</v>
      </c>
      <c r="L1294" s="266" t="s">
        <v>3361</v>
      </c>
      <c r="M1294" s="266">
        <v>2.0</v>
      </c>
      <c r="N1294" s="266">
        <v>3.0</v>
      </c>
      <c r="O1294" s="266">
        <v>1.0</v>
      </c>
      <c r="P1294" s="266" t="s">
        <v>166</v>
      </c>
      <c r="Q1294" s="266" t="s">
        <v>166</v>
      </c>
      <c r="R1294" s="266" t="s">
        <v>166</v>
      </c>
      <c r="S1294" s="497" t="s">
        <v>166</v>
      </c>
      <c r="T1294" s="494"/>
    </row>
    <row r="1295">
      <c r="A1295" s="494" t="s">
        <v>3401</v>
      </c>
      <c r="B1295" s="495" t="s">
        <v>4041</v>
      </c>
      <c r="C1295" s="174" t="str">
        <f t="shared" si="214"/>
        <v>EVGA</v>
      </c>
      <c r="D1295" s="452" t="s">
        <v>3512</v>
      </c>
      <c r="E1295" s="266">
        <v>269.83</v>
      </c>
      <c r="F1295" s="266">
        <v>111.15</v>
      </c>
      <c r="G1295" s="266">
        <v>40.0</v>
      </c>
      <c r="H1295" s="266">
        <v>2.0</v>
      </c>
      <c r="I1295" s="266">
        <v>1815.0</v>
      </c>
      <c r="J1295" s="266">
        <v>15.5</v>
      </c>
      <c r="K1295" s="266">
        <v>250.0</v>
      </c>
      <c r="L1295" s="266" t="s">
        <v>3361</v>
      </c>
      <c r="M1295" s="266">
        <v>2.0</v>
      </c>
      <c r="N1295" s="266">
        <v>3.0</v>
      </c>
      <c r="O1295" s="266">
        <v>1.0</v>
      </c>
      <c r="P1295" s="266">
        <v>1.0</v>
      </c>
      <c r="Q1295" s="266" t="s">
        <v>166</v>
      </c>
      <c r="R1295" s="497" t="s">
        <v>166</v>
      </c>
      <c r="S1295" s="497" t="s">
        <v>166</v>
      </c>
      <c r="T1295" s="496"/>
    </row>
    <row r="1296">
      <c r="A1296" s="494" t="s">
        <v>3401</v>
      </c>
      <c r="B1296" s="495" t="s">
        <v>4041</v>
      </c>
      <c r="C1296" s="174" t="str">
        <f t="shared" si="214"/>
        <v>EVGA</v>
      </c>
      <c r="D1296" s="452" t="s">
        <v>3513</v>
      </c>
      <c r="E1296" s="266">
        <v>269.83</v>
      </c>
      <c r="F1296" s="266">
        <v>111.15</v>
      </c>
      <c r="G1296" s="266">
        <v>40.0</v>
      </c>
      <c r="H1296" s="266">
        <v>2.0</v>
      </c>
      <c r="I1296" s="266">
        <v>1830.0</v>
      </c>
      <c r="J1296" s="266">
        <v>15.5</v>
      </c>
      <c r="K1296" s="266">
        <v>250.0</v>
      </c>
      <c r="L1296" s="266" t="s">
        <v>3361</v>
      </c>
      <c r="M1296" s="266">
        <v>2.0</v>
      </c>
      <c r="N1296" s="266">
        <v>3.0</v>
      </c>
      <c r="O1296" s="266">
        <v>1.0</v>
      </c>
      <c r="P1296" s="266">
        <v>1.0</v>
      </c>
      <c r="Q1296" s="266" t="s">
        <v>166</v>
      </c>
      <c r="R1296" s="266" t="s">
        <v>166</v>
      </c>
      <c r="S1296" s="497" t="s">
        <v>166</v>
      </c>
      <c r="T1296" s="494"/>
    </row>
    <row r="1297">
      <c r="A1297" s="494" t="s">
        <v>3401</v>
      </c>
      <c r="B1297" s="495" t="s">
        <v>4041</v>
      </c>
      <c r="C1297" s="174" t="str">
        <f t="shared" si="214"/>
        <v>EVGA</v>
      </c>
      <c r="D1297" s="452" t="s">
        <v>3895</v>
      </c>
      <c r="E1297" s="266">
        <v>269.83</v>
      </c>
      <c r="F1297" s="266">
        <v>111.15</v>
      </c>
      <c r="G1297" s="266">
        <v>55.0</v>
      </c>
      <c r="H1297" s="266">
        <v>3.0</v>
      </c>
      <c r="I1297" s="266">
        <v>1845.0</v>
      </c>
      <c r="J1297" s="266">
        <v>15.5</v>
      </c>
      <c r="K1297" s="266">
        <v>250.0</v>
      </c>
      <c r="L1297" s="266" t="s">
        <v>3361</v>
      </c>
      <c r="M1297" s="266">
        <v>2.0</v>
      </c>
      <c r="N1297" s="266">
        <v>3.0</v>
      </c>
      <c r="O1297" s="266">
        <v>1.0</v>
      </c>
      <c r="P1297" s="266">
        <v>1.0</v>
      </c>
      <c r="Q1297" s="266" t="s">
        <v>166</v>
      </c>
      <c r="R1297" s="497" t="s">
        <v>166</v>
      </c>
      <c r="S1297" s="497" t="s">
        <v>166</v>
      </c>
      <c r="T1297" s="496"/>
    </row>
    <row r="1298">
      <c r="A1298" s="494" t="s">
        <v>3401</v>
      </c>
      <c r="B1298" s="495" t="s">
        <v>4041</v>
      </c>
      <c r="C1298" s="174" t="str">
        <f t="shared" si="214"/>
        <v>EVGA</v>
      </c>
      <c r="D1298" s="452" t="s">
        <v>4029</v>
      </c>
      <c r="E1298" s="266">
        <v>269.83</v>
      </c>
      <c r="F1298" s="266">
        <v>111.15</v>
      </c>
      <c r="G1298" s="266">
        <v>55.0</v>
      </c>
      <c r="H1298" s="266">
        <v>3.0</v>
      </c>
      <c r="I1298" s="266">
        <v>1815.0</v>
      </c>
      <c r="J1298" s="266">
        <v>15.5</v>
      </c>
      <c r="K1298" s="266">
        <v>250.0</v>
      </c>
      <c r="L1298" s="266" t="s">
        <v>3361</v>
      </c>
      <c r="M1298" s="266">
        <v>2.0</v>
      </c>
      <c r="N1298" s="266">
        <v>3.0</v>
      </c>
      <c r="O1298" s="266">
        <v>1.0</v>
      </c>
      <c r="P1298" s="266">
        <v>1.0</v>
      </c>
      <c r="Q1298" s="266" t="s">
        <v>166</v>
      </c>
      <c r="R1298" s="266" t="s">
        <v>166</v>
      </c>
      <c r="S1298" s="497" t="s">
        <v>166</v>
      </c>
      <c r="T1298" s="494"/>
    </row>
    <row r="1299">
      <c r="A1299" s="494" t="s">
        <v>3401</v>
      </c>
      <c r="B1299" s="495" t="s">
        <v>4041</v>
      </c>
      <c r="C1299" s="174" t="str">
        <f t="shared" si="214"/>
        <v>EVGA</v>
      </c>
      <c r="D1299" s="452" t="s">
        <v>4030</v>
      </c>
      <c r="E1299" s="266">
        <v>269.83</v>
      </c>
      <c r="F1299" s="266">
        <v>111.15</v>
      </c>
      <c r="G1299" s="266">
        <v>55.0</v>
      </c>
      <c r="H1299" s="266">
        <v>3.0</v>
      </c>
      <c r="I1299" s="266">
        <v>1845.0</v>
      </c>
      <c r="J1299" s="266">
        <v>15.5</v>
      </c>
      <c r="K1299" s="266">
        <v>250.0</v>
      </c>
      <c r="L1299" s="266" t="s">
        <v>3361</v>
      </c>
      <c r="M1299" s="266">
        <v>2.0</v>
      </c>
      <c r="N1299" s="266">
        <v>3.0</v>
      </c>
      <c r="O1299" s="266">
        <v>1.0</v>
      </c>
      <c r="P1299" s="266">
        <v>1.0</v>
      </c>
      <c r="Q1299" s="266" t="s">
        <v>166</v>
      </c>
      <c r="R1299" s="266" t="s">
        <v>166</v>
      </c>
      <c r="S1299" s="497" t="s">
        <v>166</v>
      </c>
      <c r="T1299" s="494"/>
    </row>
    <row r="1300">
      <c r="A1300" s="494" t="s">
        <v>3401</v>
      </c>
      <c r="B1300" s="495" t="s">
        <v>4041</v>
      </c>
      <c r="C1300" s="174" t="str">
        <f t="shared" si="214"/>
        <v>EVGA</v>
      </c>
      <c r="D1300" s="452" t="s">
        <v>3823</v>
      </c>
      <c r="E1300" s="266">
        <v>301.92</v>
      </c>
      <c r="F1300" s="266">
        <v>139.3</v>
      </c>
      <c r="G1300" s="266">
        <v>55.0</v>
      </c>
      <c r="H1300" s="266">
        <v>3.0</v>
      </c>
      <c r="I1300" s="266">
        <v>1815.0</v>
      </c>
      <c r="J1300" s="266">
        <v>15.5</v>
      </c>
      <c r="K1300" s="266">
        <v>250.0</v>
      </c>
      <c r="L1300" s="266" t="s">
        <v>3460</v>
      </c>
      <c r="M1300" s="266">
        <v>3.0</v>
      </c>
      <c r="N1300" s="266">
        <v>3.0</v>
      </c>
      <c r="O1300" s="266">
        <v>1.0</v>
      </c>
      <c r="P1300" s="266">
        <v>1.0</v>
      </c>
      <c r="Q1300" s="266" t="s">
        <v>166</v>
      </c>
      <c r="R1300" s="266" t="s">
        <v>166</v>
      </c>
      <c r="S1300" s="497" t="s">
        <v>166</v>
      </c>
      <c r="T1300" s="494"/>
    </row>
    <row r="1301">
      <c r="A1301" s="494" t="s">
        <v>3401</v>
      </c>
      <c r="B1301" s="495" t="s">
        <v>4041</v>
      </c>
      <c r="C1301" s="174" t="str">
        <f t="shared" si="214"/>
        <v>EVGA</v>
      </c>
      <c r="D1301" s="452" t="s">
        <v>3979</v>
      </c>
      <c r="E1301" s="266">
        <v>301.92</v>
      </c>
      <c r="F1301" s="266">
        <v>139.3</v>
      </c>
      <c r="G1301" s="266">
        <v>55.0</v>
      </c>
      <c r="H1301" s="266">
        <v>3.0</v>
      </c>
      <c r="I1301" s="266">
        <v>1845.0</v>
      </c>
      <c r="J1301" s="266">
        <v>15.5</v>
      </c>
      <c r="K1301" s="266">
        <v>250.0</v>
      </c>
      <c r="L1301" s="266" t="s">
        <v>3460</v>
      </c>
      <c r="M1301" s="266">
        <v>3.0</v>
      </c>
      <c r="N1301" s="266">
        <v>3.0</v>
      </c>
      <c r="O1301" s="266">
        <v>1.0</v>
      </c>
      <c r="P1301" s="266">
        <v>1.0</v>
      </c>
      <c r="Q1301" s="266" t="s">
        <v>166</v>
      </c>
      <c r="R1301" s="497" t="s">
        <v>166</v>
      </c>
      <c r="S1301" s="497" t="s">
        <v>166</v>
      </c>
      <c r="T1301" s="496"/>
    </row>
    <row r="1302">
      <c r="A1302" s="494" t="s">
        <v>3401</v>
      </c>
      <c r="B1302" s="495" t="s">
        <v>4041</v>
      </c>
      <c r="C1302" s="174" t="str">
        <f t="shared" si="214"/>
        <v>EVGA</v>
      </c>
      <c r="D1302" s="452" t="s">
        <v>4009</v>
      </c>
      <c r="E1302" s="266">
        <v>265.63</v>
      </c>
      <c r="F1302" s="266">
        <v>111.15</v>
      </c>
      <c r="G1302" s="266">
        <v>40.0</v>
      </c>
      <c r="H1302" s="266">
        <v>2.0</v>
      </c>
      <c r="I1302" s="266">
        <v>1830.0</v>
      </c>
      <c r="J1302" s="266">
        <v>15.5</v>
      </c>
      <c r="K1302" s="266">
        <v>250.0</v>
      </c>
      <c r="L1302" s="266" t="s">
        <v>3361</v>
      </c>
      <c r="M1302" s="266">
        <v>1.0</v>
      </c>
      <c r="N1302" s="266">
        <v>3.0</v>
      </c>
      <c r="O1302" s="266">
        <v>1.0</v>
      </c>
      <c r="P1302" s="266">
        <v>1.0</v>
      </c>
      <c r="Q1302" s="266" t="s">
        <v>166</v>
      </c>
      <c r="R1302" s="266" t="s">
        <v>174</v>
      </c>
      <c r="S1302" s="497" t="s">
        <v>166</v>
      </c>
      <c r="T1302" s="494"/>
    </row>
    <row r="1303">
      <c r="A1303" s="494" t="s">
        <v>3401</v>
      </c>
      <c r="B1303" s="495" t="s">
        <v>4041</v>
      </c>
      <c r="C1303" s="174" t="str">
        <f t="shared" si="214"/>
        <v>EVGA</v>
      </c>
      <c r="D1303" s="452" t="s">
        <v>3828</v>
      </c>
      <c r="E1303" s="266">
        <v>290.83</v>
      </c>
      <c r="F1303" s="266">
        <v>139.3</v>
      </c>
      <c r="G1303" s="266">
        <v>40.0</v>
      </c>
      <c r="H1303" s="266">
        <v>2.0</v>
      </c>
      <c r="I1303" s="266">
        <v>1845.0</v>
      </c>
      <c r="J1303" s="266">
        <v>15.5</v>
      </c>
      <c r="K1303" s="266">
        <v>250.0</v>
      </c>
      <c r="L1303" s="266" t="s">
        <v>3460</v>
      </c>
      <c r="M1303" s="266">
        <v>1.0</v>
      </c>
      <c r="N1303" s="266">
        <v>3.0</v>
      </c>
      <c r="O1303" s="266">
        <v>1.0</v>
      </c>
      <c r="P1303" s="266">
        <v>1.0</v>
      </c>
      <c r="Q1303" s="266" t="s">
        <v>166</v>
      </c>
      <c r="R1303" s="266" t="s">
        <v>174</v>
      </c>
      <c r="S1303" s="497" t="s">
        <v>166</v>
      </c>
      <c r="T1303" s="494"/>
    </row>
    <row r="1304">
      <c r="A1304" s="494" t="s">
        <v>3401</v>
      </c>
      <c r="B1304" s="495" t="s">
        <v>4041</v>
      </c>
      <c r="C1304" s="174" t="str">
        <f t="shared" si="214"/>
        <v>EVGA</v>
      </c>
      <c r="D1304" s="452" t="s">
        <v>4043</v>
      </c>
      <c r="E1304" s="266">
        <v>266.1</v>
      </c>
      <c r="F1304" s="266">
        <v>115.5</v>
      </c>
      <c r="G1304" s="266">
        <v>40.0</v>
      </c>
      <c r="H1304" s="266">
        <v>2.0</v>
      </c>
      <c r="I1304" s="266">
        <v>1815.0</v>
      </c>
      <c r="J1304" s="266">
        <v>15.5</v>
      </c>
      <c r="K1304" s="266">
        <v>250.0</v>
      </c>
      <c r="L1304" s="266" t="s">
        <v>3361</v>
      </c>
      <c r="M1304" s="266" t="s">
        <v>166</v>
      </c>
      <c r="N1304" s="266">
        <v>3.0</v>
      </c>
      <c r="O1304" s="266">
        <v>1.0</v>
      </c>
      <c r="P1304" s="266">
        <v>1.0</v>
      </c>
      <c r="Q1304" s="266" t="s">
        <v>166</v>
      </c>
      <c r="R1304" s="266" t="s">
        <v>174</v>
      </c>
      <c r="S1304" s="497" t="s">
        <v>166</v>
      </c>
      <c r="T1304" s="494"/>
    </row>
    <row r="1305">
      <c r="A1305" s="494" t="s">
        <v>3401</v>
      </c>
      <c r="B1305" s="495" t="s">
        <v>4041</v>
      </c>
      <c r="C1305" s="174" t="str">
        <f t="shared" si="214"/>
        <v>EVGA</v>
      </c>
      <c r="D1305" s="452" t="s">
        <v>4044</v>
      </c>
      <c r="E1305" s="266">
        <v>290.87</v>
      </c>
      <c r="F1305" s="266">
        <v>158.55</v>
      </c>
      <c r="G1305" s="266">
        <v>40.0</v>
      </c>
      <c r="H1305" s="266">
        <v>2.0</v>
      </c>
      <c r="I1305" s="266">
        <v>1845.0</v>
      </c>
      <c r="J1305" s="266">
        <v>15.5</v>
      </c>
      <c r="K1305" s="266">
        <v>250.0</v>
      </c>
      <c r="L1305" s="266" t="s">
        <v>3460</v>
      </c>
      <c r="M1305" s="266" t="s">
        <v>166</v>
      </c>
      <c r="N1305" s="266">
        <v>3.0</v>
      </c>
      <c r="O1305" s="266">
        <v>1.0</v>
      </c>
      <c r="P1305" s="266">
        <v>1.0</v>
      </c>
      <c r="Q1305" s="266" t="s">
        <v>166</v>
      </c>
      <c r="R1305" s="266" t="s">
        <v>174</v>
      </c>
      <c r="S1305" s="497" t="s">
        <v>166</v>
      </c>
      <c r="T1305" s="494"/>
    </row>
    <row r="1306">
      <c r="A1306" s="494" t="s">
        <v>3401</v>
      </c>
      <c r="B1306" s="495" t="s">
        <v>4041</v>
      </c>
      <c r="C1306" s="452" t="str">
        <f t="shared" ref="C1306:C1309" si="215">HYPERLINK("http://www.gainward.com/main/index.php?lang=en","Gainward")</f>
        <v>Gainward</v>
      </c>
      <c r="D1306" s="452" t="s">
        <v>3371</v>
      </c>
      <c r="E1306" s="266">
        <v>288.0</v>
      </c>
      <c r="F1306" s="266">
        <v>112.0</v>
      </c>
      <c r="G1306" s="266">
        <v>50.0</v>
      </c>
      <c r="H1306" s="266">
        <v>2.0</v>
      </c>
      <c r="I1306" s="266">
        <v>1815.0</v>
      </c>
      <c r="J1306" s="266">
        <v>15.5</v>
      </c>
      <c r="K1306" s="266">
        <v>250.0</v>
      </c>
      <c r="L1306" s="266" t="s">
        <v>3361</v>
      </c>
      <c r="M1306" s="266">
        <v>3.0</v>
      </c>
      <c r="N1306" s="266">
        <v>3.0</v>
      </c>
      <c r="O1306" s="266">
        <v>1.0</v>
      </c>
      <c r="P1306" s="266" t="s">
        <v>166</v>
      </c>
      <c r="Q1306" s="266" t="s">
        <v>166</v>
      </c>
      <c r="R1306" s="497" t="s">
        <v>166</v>
      </c>
      <c r="S1306" s="497" t="s">
        <v>166</v>
      </c>
      <c r="T1306" s="496"/>
    </row>
    <row r="1307">
      <c r="A1307" s="494" t="s">
        <v>3401</v>
      </c>
      <c r="B1307" s="495" t="s">
        <v>4041</v>
      </c>
      <c r="C1307" s="452" t="str">
        <f t="shared" si="215"/>
        <v>Gainward</v>
      </c>
      <c r="D1307" s="452" t="s">
        <v>3917</v>
      </c>
      <c r="E1307" s="266">
        <v>288.0</v>
      </c>
      <c r="F1307" s="266">
        <v>112.0</v>
      </c>
      <c r="G1307" s="266">
        <v>50.0</v>
      </c>
      <c r="H1307" s="266">
        <v>2.0</v>
      </c>
      <c r="I1307" s="266">
        <v>1845.0</v>
      </c>
      <c r="J1307" s="266">
        <v>15.5</v>
      </c>
      <c r="K1307" s="266">
        <v>250.0</v>
      </c>
      <c r="L1307" s="266" t="s">
        <v>3361</v>
      </c>
      <c r="M1307" s="266">
        <v>3.0</v>
      </c>
      <c r="N1307" s="266">
        <v>3.0</v>
      </c>
      <c r="O1307" s="266">
        <v>1.0</v>
      </c>
      <c r="P1307" s="266" t="s">
        <v>166</v>
      </c>
      <c r="Q1307" s="266" t="s">
        <v>166</v>
      </c>
      <c r="R1307" s="497" t="s">
        <v>166</v>
      </c>
      <c r="S1307" s="497" t="s">
        <v>166</v>
      </c>
      <c r="T1307" s="496"/>
    </row>
    <row r="1308">
      <c r="A1308" s="494" t="s">
        <v>3401</v>
      </c>
      <c r="B1308" s="495" t="s">
        <v>4041</v>
      </c>
      <c r="C1308" s="452" t="str">
        <f t="shared" si="215"/>
        <v>Gainward</v>
      </c>
      <c r="D1308" s="452" t="s">
        <v>3953</v>
      </c>
      <c r="E1308" s="266">
        <v>292.0</v>
      </c>
      <c r="F1308" s="266">
        <v>130.0</v>
      </c>
      <c r="G1308" s="266">
        <v>54.0</v>
      </c>
      <c r="H1308" s="266">
        <v>2.0</v>
      </c>
      <c r="I1308" s="266">
        <v>1815.0</v>
      </c>
      <c r="J1308" s="266">
        <v>15.5</v>
      </c>
      <c r="K1308" s="266">
        <v>250.0</v>
      </c>
      <c r="L1308" s="266" t="s">
        <v>3460</v>
      </c>
      <c r="M1308" s="266">
        <v>3.0</v>
      </c>
      <c r="N1308" s="266">
        <v>3.0</v>
      </c>
      <c r="O1308" s="266">
        <v>1.0</v>
      </c>
      <c r="P1308" s="266">
        <v>1.0</v>
      </c>
      <c r="Q1308" s="266" t="s">
        <v>166</v>
      </c>
      <c r="R1308" s="497" t="s">
        <v>166</v>
      </c>
      <c r="S1308" s="497" t="s">
        <v>166</v>
      </c>
      <c r="T1308" s="496"/>
    </row>
    <row r="1309">
      <c r="A1309" s="494" t="s">
        <v>3401</v>
      </c>
      <c r="B1309" s="495" t="s">
        <v>4041</v>
      </c>
      <c r="C1309" s="452" t="str">
        <f t="shared" si="215"/>
        <v>Gainward</v>
      </c>
      <c r="D1309" s="452" t="s">
        <v>3982</v>
      </c>
      <c r="E1309" s="266">
        <v>292.0</v>
      </c>
      <c r="F1309" s="266">
        <v>130.0</v>
      </c>
      <c r="G1309" s="266">
        <v>54.0</v>
      </c>
      <c r="H1309" s="266">
        <v>2.0</v>
      </c>
      <c r="I1309" s="266">
        <v>1860.0</v>
      </c>
      <c r="J1309" s="266">
        <v>15.5</v>
      </c>
      <c r="K1309" s="266">
        <v>250.0</v>
      </c>
      <c r="L1309" s="266" t="s">
        <v>3460</v>
      </c>
      <c r="M1309" s="266">
        <v>3.0</v>
      </c>
      <c r="N1309" s="266">
        <v>3.0</v>
      </c>
      <c r="O1309" s="266">
        <v>1.0</v>
      </c>
      <c r="P1309" s="266">
        <v>1.0</v>
      </c>
      <c r="Q1309" s="266" t="s">
        <v>166</v>
      </c>
      <c r="R1309" s="497" t="s">
        <v>166</v>
      </c>
      <c r="S1309" s="497" t="s">
        <v>166</v>
      </c>
      <c r="T1309" s="496"/>
    </row>
    <row r="1310">
      <c r="A1310" s="494" t="s">
        <v>3401</v>
      </c>
      <c r="B1310" s="495" t="s">
        <v>4041</v>
      </c>
      <c r="C1310" s="174" t="s">
        <v>3456</v>
      </c>
      <c r="D1310" s="452" t="str">
        <f>HYPERLINK("http://www.galax.com/en/graphics-card/20-series/geforcer-rtx-super-series/geforcer-rtx-2080-super-series/galax-geforce-rtx-2080-super.html","RTX 2080 SUPER")</f>
        <v>RTX 2080 SUPER</v>
      </c>
      <c r="E1310" s="266">
        <v>268.0</v>
      </c>
      <c r="F1310" s="266">
        <v>123.0</v>
      </c>
      <c r="G1310" s="266">
        <v>38.0</v>
      </c>
      <c r="H1310" s="266">
        <v>2.0</v>
      </c>
      <c r="I1310" s="266">
        <v>1815.0</v>
      </c>
      <c r="J1310" s="266">
        <v>15.5</v>
      </c>
      <c r="K1310" s="266">
        <v>250.0</v>
      </c>
      <c r="L1310" s="266" t="s">
        <v>3361</v>
      </c>
      <c r="M1310" s="266">
        <v>1.0</v>
      </c>
      <c r="N1310" s="266">
        <v>3.0</v>
      </c>
      <c r="O1310" s="266">
        <v>1.0</v>
      </c>
      <c r="P1310" s="266" t="s">
        <v>166</v>
      </c>
      <c r="Q1310" s="266" t="s">
        <v>166</v>
      </c>
      <c r="R1310" s="266" t="s">
        <v>166</v>
      </c>
      <c r="S1310" s="266" t="s">
        <v>174</v>
      </c>
      <c r="T1310" s="494"/>
    </row>
    <row r="1311">
      <c r="A1311" s="494" t="s">
        <v>3401</v>
      </c>
      <c r="B1311" s="495" t="s">
        <v>4041</v>
      </c>
      <c r="C1311" s="174" t="s">
        <v>3456</v>
      </c>
      <c r="D1311" s="452" t="s">
        <v>3489</v>
      </c>
      <c r="E1311" s="266">
        <v>285.0</v>
      </c>
      <c r="F1311" s="266">
        <v>127.0</v>
      </c>
      <c r="G1311" s="266">
        <v>52.0</v>
      </c>
      <c r="H1311" s="266">
        <v>2.0</v>
      </c>
      <c r="I1311" s="266">
        <v>1860.0</v>
      </c>
      <c r="J1311" s="266">
        <v>15.5</v>
      </c>
      <c r="K1311" s="266">
        <v>250.0</v>
      </c>
      <c r="L1311" s="266" t="s">
        <v>3361</v>
      </c>
      <c r="M1311" s="266">
        <v>2.0</v>
      </c>
      <c r="N1311" s="266">
        <v>3.0</v>
      </c>
      <c r="O1311" s="266">
        <v>1.0</v>
      </c>
      <c r="P1311" s="266" t="s">
        <v>166</v>
      </c>
      <c r="Q1311" s="266" t="s">
        <v>166</v>
      </c>
      <c r="R1311" s="497" t="s">
        <v>166</v>
      </c>
      <c r="S1311" s="497" t="s">
        <v>166</v>
      </c>
      <c r="T1311" s="496"/>
    </row>
    <row r="1312">
      <c r="A1312" s="494" t="s">
        <v>3401</v>
      </c>
      <c r="B1312" s="495" t="s">
        <v>4041</v>
      </c>
      <c r="C1312" s="174" t="s">
        <v>3456</v>
      </c>
      <c r="D1312" s="452" t="s">
        <v>4011</v>
      </c>
      <c r="E1312" s="266">
        <v>285.0</v>
      </c>
      <c r="F1312" s="266">
        <v>127.0</v>
      </c>
      <c r="G1312" s="266">
        <v>52.0</v>
      </c>
      <c r="H1312" s="266">
        <v>2.0</v>
      </c>
      <c r="I1312" s="266">
        <v>1860.0</v>
      </c>
      <c r="J1312" s="266">
        <v>15.5</v>
      </c>
      <c r="K1312" s="266">
        <v>250.0</v>
      </c>
      <c r="L1312" s="266" t="s">
        <v>3361</v>
      </c>
      <c r="M1312" s="266">
        <v>2.0</v>
      </c>
      <c r="N1312" s="266">
        <v>3.0</v>
      </c>
      <c r="O1312" s="266">
        <v>1.0</v>
      </c>
      <c r="P1312" s="266" t="s">
        <v>166</v>
      </c>
      <c r="Q1312" s="266" t="s">
        <v>166</v>
      </c>
      <c r="R1312" s="497" t="s">
        <v>166</v>
      </c>
      <c r="S1312" s="497" t="s">
        <v>166</v>
      </c>
      <c r="T1312" s="496"/>
    </row>
    <row r="1313">
      <c r="A1313" s="494" t="s">
        <v>3401</v>
      </c>
      <c r="B1313" s="495" t="s">
        <v>4041</v>
      </c>
      <c r="C1313" s="174" t="s">
        <v>3456</v>
      </c>
      <c r="D1313" s="452" t="s">
        <v>3956</v>
      </c>
      <c r="E1313" s="266">
        <v>285.0</v>
      </c>
      <c r="F1313" s="266">
        <v>127.0</v>
      </c>
      <c r="G1313" s="266">
        <v>52.0</v>
      </c>
      <c r="H1313" s="266">
        <v>2.0</v>
      </c>
      <c r="I1313" s="266">
        <v>1860.0</v>
      </c>
      <c r="J1313" s="266">
        <v>15.5</v>
      </c>
      <c r="K1313" s="266">
        <v>250.0</v>
      </c>
      <c r="L1313" s="266" t="s">
        <v>3361</v>
      </c>
      <c r="M1313" s="266">
        <v>2.0</v>
      </c>
      <c r="N1313" s="266">
        <v>3.0</v>
      </c>
      <c r="O1313" s="266">
        <v>1.0</v>
      </c>
      <c r="P1313" s="266" t="s">
        <v>166</v>
      </c>
      <c r="Q1313" s="266" t="s">
        <v>166</v>
      </c>
      <c r="R1313" s="497" t="s">
        <v>166</v>
      </c>
      <c r="S1313" s="497" t="s">
        <v>166</v>
      </c>
      <c r="T1313" s="496"/>
    </row>
    <row r="1314">
      <c r="A1314" s="494" t="s">
        <v>3401</v>
      </c>
      <c r="B1314" s="495" t="s">
        <v>4041</v>
      </c>
      <c r="C1314" s="174" t="s">
        <v>3456</v>
      </c>
      <c r="D1314" s="452" t="s">
        <v>4045</v>
      </c>
      <c r="E1314" s="266">
        <v>294.0</v>
      </c>
      <c r="F1314" s="266">
        <v>129.0</v>
      </c>
      <c r="G1314" s="266">
        <v>51.0</v>
      </c>
      <c r="H1314" s="266">
        <v>2.0</v>
      </c>
      <c r="I1314" s="266">
        <v>1860.0</v>
      </c>
      <c r="J1314" s="266">
        <v>15.5</v>
      </c>
      <c r="K1314" s="266">
        <v>250.0</v>
      </c>
      <c r="L1314" s="266" t="s">
        <v>3361</v>
      </c>
      <c r="M1314" s="266">
        <v>3.0</v>
      </c>
      <c r="N1314" s="266">
        <v>3.0</v>
      </c>
      <c r="O1314" s="266">
        <v>1.0</v>
      </c>
      <c r="P1314" s="266" t="s">
        <v>166</v>
      </c>
      <c r="Q1314" s="266" t="s">
        <v>166</v>
      </c>
      <c r="R1314" s="497" t="s">
        <v>166</v>
      </c>
      <c r="S1314" s="497" t="s">
        <v>166</v>
      </c>
      <c r="T1314" s="496"/>
    </row>
    <row r="1315">
      <c r="A1315" s="494" t="s">
        <v>3401</v>
      </c>
      <c r="B1315" s="495" t="s">
        <v>4041</v>
      </c>
      <c r="C1315" s="174" t="s">
        <v>3456</v>
      </c>
      <c r="D1315" s="452" t="s">
        <v>4046</v>
      </c>
      <c r="E1315" s="266">
        <v>294.0</v>
      </c>
      <c r="F1315" s="266">
        <v>129.0</v>
      </c>
      <c r="G1315" s="266">
        <v>51.0</v>
      </c>
      <c r="H1315" s="266">
        <v>2.0</v>
      </c>
      <c r="I1315" s="266">
        <v>1860.0</v>
      </c>
      <c r="J1315" s="266">
        <v>15.5</v>
      </c>
      <c r="K1315" s="266">
        <v>250.0</v>
      </c>
      <c r="L1315" s="266" t="s">
        <v>3361</v>
      </c>
      <c r="M1315" s="266">
        <v>3.0</v>
      </c>
      <c r="N1315" s="266">
        <v>3.0</v>
      </c>
      <c r="O1315" s="266">
        <v>1.0</v>
      </c>
      <c r="P1315" s="266" t="s">
        <v>166</v>
      </c>
      <c r="Q1315" s="266" t="s">
        <v>166</v>
      </c>
      <c r="R1315" s="497" t="s">
        <v>166</v>
      </c>
      <c r="S1315" s="497" t="s">
        <v>166</v>
      </c>
      <c r="T1315" s="496"/>
    </row>
    <row r="1316">
      <c r="A1316" s="494" t="s">
        <v>3401</v>
      </c>
      <c r="B1316" s="495" t="s">
        <v>4041</v>
      </c>
      <c r="C1316" s="174" t="s">
        <v>3456</v>
      </c>
      <c r="D1316" s="452" t="s">
        <v>4013</v>
      </c>
      <c r="E1316" s="266">
        <v>314.0</v>
      </c>
      <c r="F1316" s="266">
        <v>132.0</v>
      </c>
      <c r="G1316" s="266">
        <v>53.0</v>
      </c>
      <c r="H1316" s="266">
        <v>2.0</v>
      </c>
      <c r="I1316" s="266">
        <v>1860.0</v>
      </c>
      <c r="J1316" s="266">
        <v>15.5</v>
      </c>
      <c r="K1316" s="266">
        <v>250.0</v>
      </c>
      <c r="L1316" s="266" t="s">
        <v>3361</v>
      </c>
      <c r="M1316" s="266">
        <v>3.0</v>
      </c>
      <c r="N1316" s="266">
        <v>3.0</v>
      </c>
      <c r="O1316" s="266">
        <v>1.0</v>
      </c>
      <c r="P1316" s="266" t="s">
        <v>166</v>
      </c>
      <c r="Q1316" s="266" t="s">
        <v>166</v>
      </c>
      <c r="R1316" s="266" t="s">
        <v>166</v>
      </c>
      <c r="S1316" s="497" t="s">
        <v>166</v>
      </c>
      <c r="T1316" s="494"/>
    </row>
    <row r="1317">
      <c r="A1317" s="494" t="s">
        <v>3401</v>
      </c>
      <c r="B1317" s="495" t="s">
        <v>4041</v>
      </c>
      <c r="C1317" s="174" t="s">
        <v>3456</v>
      </c>
      <c r="D1317" s="452" t="s">
        <v>4014</v>
      </c>
      <c r="E1317" s="266">
        <v>320.0</v>
      </c>
      <c r="F1317" s="266">
        <v>139.0</v>
      </c>
      <c r="G1317" s="266">
        <v>60.0</v>
      </c>
      <c r="H1317" s="266">
        <v>2.0</v>
      </c>
      <c r="I1317" s="266">
        <v>1845.0</v>
      </c>
      <c r="J1317" s="266">
        <v>15.5</v>
      </c>
      <c r="K1317" s="266">
        <v>250.0</v>
      </c>
      <c r="L1317" s="266" t="s">
        <v>3460</v>
      </c>
      <c r="M1317" s="266">
        <v>3.0</v>
      </c>
      <c r="N1317" s="266">
        <v>3.0</v>
      </c>
      <c r="O1317" s="266">
        <v>1.0</v>
      </c>
      <c r="P1317" s="266">
        <v>1.0</v>
      </c>
      <c r="Q1317" s="266" t="s">
        <v>166</v>
      </c>
      <c r="R1317" s="497" t="s">
        <v>166</v>
      </c>
      <c r="S1317" s="497" t="s">
        <v>166</v>
      </c>
      <c r="T1317" s="496"/>
    </row>
    <row r="1318">
      <c r="A1318" s="494" t="s">
        <v>3401</v>
      </c>
      <c r="B1318" s="495" t="s">
        <v>4041</v>
      </c>
      <c r="C1318" s="174" t="s">
        <v>3456</v>
      </c>
      <c r="D1318" s="452" t="s">
        <v>4015</v>
      </c>
      <c r="E1318" s="266">
        <v>320.0</v>
      </c>
      <c r="F1318" s="266">
        <v>139.0</v>
      </c>
      <c r="G1318" s="266">
        <v>60.0</v>
      </c>
      <c r="H1318" s="266">
        <v>2.0</v>
      </c>
      <c r="I1318" s="266">
        <v>1845.0</v>
      </c>
      <c r="J1318" s="266">
        <v>15.5</v>
      </c>
      <c r="K1318" s="266">
        <v>250.0</v>
      </c>
      <c r="L1318" s="266" t="s">
        <v>3460</v>
      </c>
      <c r="M1318" s="266">
        <v>3.0</v>
      </c>
      <c r="N1318" s="266">
        <v>3.0</v>
      </c>
      <c r="O1318" s="266">
        <v>1.0</v>
      </c>
      <c r="P1318" s="266">
        <v>1.0</v>
      </c>
      <c r="Q1318" s="266" t="s">
        <v>166</v>
      </c>
      <c r="R1318" s="497" t="s">
        <v>166</v>
      </c>
      <c r="S1318" s="497" t="s">
        <v>166</v>
      </c>
      <c r="T1318" s="496"/>
    </row>
    <row r="1319">
      <c r="A1319" s="494" t="s">
        <v>3401</v>
      </c>
      <c r="B1319" s="495" t="s">
        <v>4041</v>
      </c>
      <c r="C1319" s="174" t="s">
        <v>3456</v>
      </c>
      <c r="D1319" s="452" t="s">
        <v>4016</v>
      </c>
      <c r="E1319" s="266">
        <v>319.0</v>
      </c>
      <c r="F1319" s="266">
        <v>155.0</v>
      </c>
      <c r="G1319" s="266">
        <v>60.0</v>
      </c>
      <c r="H1319" s="266">
        <v>2.0</v>
      </c>
      <c r="I1319" s="266">
        <v>1860.0</v>
      </c>
      <c r="J1319" s="266">
        <v>15.5</v>
      </c>
      <c r="K1319" s="266">
        <v>250.0</v>
      </c>
      <c r="L1319" s="266" t="s">
        <v>3460</v>
      </c>
      <c r="M1319" s="266">
        <v>3.0</v>
      </c>
      <c r="N1319" s="266">
        <v>3.0</v>
      </c>
      <c r="O1319" s="266">
        <v>1.0</v>
      </c>
      <c r="P1319" s="266">
        <v>1.0</v>
      </c>
      <c r="Q1319" s="266" t="s">
        <v>166</v>
      </c>
      <c r="R1319" s="497" t="s">
        <v>166</v>
      </c>
      <c r="S1319" s="497" t="s">
        <v>166</v>
      </c>
      <c r="T1319" s="496"/>
    </row>
    <row r="1320">
      <c r="A1320" s="494" t="s">
        <v>3401</v>
      </c>
      <c r="B1320" s="495" t="s">
        <v>4041</v>
      </c>
      <c r="C1320" s="174" t="str">
        <f t="shared" ref="C1320:C1329" si="216">HYPERLINK("https://www.gigabyte.com/","Gigabyte")</f>
        <v>Gigabyte</v>
      </c>
      <c r="D1320" s="452" t="s">
        <v>4037</v>
      </c>
      <c r="E1320" s="266">
        <v>272.0</v>
      </c>
      <c r="F1320" s="266">
        <v>113.65</v>
      </c>
      <c r="G1320" s="266">
        <v>35.1</v>
      </c>
      <c r="H1320" s="266">
        <v>2.0</v>
      </c>
      <c r="I1320" s="266">
        <v>1815.0</v>
      </c>
      <c r="J1320" s="266">
        <v>15.5</v>
      </c>
      <c r="K1320" s="266">
        <v>250.0</v>
      </c>
      <c r="L1320" s="266" t="s">
        <v>3361</v>
      </c>
      <c r="M1320" s="266">
        <v>1.0</v>
      </c>
      <c r="N1320" s="266">
        <v>3.0</v>
      </c>
      <c r="O1320" s="266">
        <v>1.0</v>
      </c>
      <c r="P1320" s="266">
        <v>1.0</v>
      </c>
      <c r="Q1320" s="266" t="s">
        <v>166</v>
      </c>
      <c r="R1320" s="266" t="s">
        <v>166</v>
      </c>
      <c r="S1320" s="266" t="s">
        <v>174</v>
      </c>
      <c r="T1320" s="494"/>
    </row>
    <row r="1321">
      <c r="A1321" s="494" t="s">
        <v>3401</v>
      </c>
      <c r="B1321" s="495" t="s">
        <v>4041</v>
      </c>
      <c r="C1321" s="174" t="str">
        <f t="shared" si="216"/>
        <v>Gigabyte</v>
      </c>
      <c r="D1321" s="452" t="s">
        <v>3597</v>
      </c>
      <c r="E1321" s="266">
        <v>286.0</v>
      </c>
      <c r="F1321" s="266">
        <v>114.0</v>
      </c>
      <c r="G1321" s="266">
        <v>50.0</v>
      </c>
      <c r="H1321" s="266">
        <v>2.0</v>
      </c>
      <c r="I1321" s="266">
        <v>1815.0</v>
      </c>
      <c r="J1321" s="266">
        <v>15.5</v>
      </c>
      <c r="K1321" s="266">
        <v>250.0</v>
      </c>
      <c r="L1321" s="266" t="s">
        <v>3361</v>
      </c>
      <c r="M1321" s="266">
        <v>3.0</v>
      </c>
      <c r="N1321" s="266">
        <v>3.0</v>
      </c>
      <c r="O1321" s="266">
        <v>1.0</v>
      </c>
      <c r="P1321" s="266" t="s">
        <v>166</v>
      </c>
      <c r="Q1321" s="266" t="s">
        <v>166</v>
      </c>
      <c r="R1321" s="497" t="s">
        <v>166</v>
      </c>
      <c r="S1321" s="497" t="s">
        <v>166</v>
      </c>
      <c r="T1321" s="496"/>
    </row>
    <row r="1322">
      <c r="A1322" s="494" t="s">
        <v>3401</v>
      </c>
      <c r="B1322" s="495" t="s">
        <v>4041</v>
      </c>
      <c r="C1322" s="174" t="str">
        <f t="shared" si="216"/>
        <v>Gigabyte</v>
      </c>
      <c r="D1322" s="452" t="s">
        <v>3578</v>
      </c>
      <c r="E1322" s="266">
        <v>286.0</v>
      </c>
      <c r="F1322" s="266">
        <v>114.0</v>
      </c>
      <c r="G1322" s="266">
        <v>50.0</v>
      </c>
      <c r="H1322" s="266">
        <v>2.0</v>
      </c>
      <c r="I1322" s="266">
        <v>1830.0</v>
      </c>
      <c r="J1322" s="266">
        <v>15.5</v>
      </c>
      <c r="K1322" s="266">
        <v>250.0</v>
      </c>
      <c r="L1322" s="266" t="s">
        <v>3361</v>
      </c>
      <c r="M1322" s="266">
        <v>3.0</v>
      </c>
      <c r="N1322" s="266">
        <v>3.0</v>
      </c>
      <c r="O1322" s="266">
        <v>1.0</v>
      </c>
      <c r="P1322" s="266" t="s">
        <v>166</v>
      </c>
      <c r="Q1322" s="266" t="s">
        <v>166</v>
      </c>
      <c r="R1322" s="497" t="s">
        <v>166</v>
      </c>
      <c r="S1322" s="497" t="s">
        <v>166</v>
      </c>
      <c r="T1322" s="496"/>
    </row>
    <row r="1323">
      <c r="A1323" s="494" t="s">
        <v>3401</v>
      </c>
      <c r="B1323" s="495" t="s">
        <v>4041</v>
      </c>
      <c r="C1323" s="174" t="str">
        <f t="shared" si="216"/>
        <v>Gigabyte</v>
      </c>
      <c r="D1323" s="452" t="s">
        <v>3409</v>
      </c>
      <c r="E1323" s="266">
        <v>286.5</v>
      </c>
      <c r="F1323" s="266">
        <v>114.5</v>
      </c>
      <c r="G1323" s="266">
        <v>50.2</v>
      </c>
      <c r="H1323" s="266">
        <v>2.0</v>
      </c>
      <c r="I1323" s="266">
        <v>1815.0</v>
      </c>
      <c r="J1323" s="266">
        <v>15.5</v>
      </c>
      <c r="K1323" s="266">
        <v>250.0</v>
      </c>
      <c r="L1323" s="266" t="s">
        <v>3361</v>
      </c>
      <c r="M1323" s="266">
        <v>3.0</v>
      </c>
      <c r="N1323" s="266">
        <v>3.0</v>
      </c>
      <c r="O1323" s="266">
        <v>1.0</v>
      </c>
      <c r="P1323" s="266">
        <v>1.0</v>
      </c>
      <c r="Q1323" s="266" t="s">
        <v>166</v>
      </c>
      <c r="R1323" s="266" t="s">
        <v>166</v>
      </c>
      <c r="S1323" s="497" t="s">
        <v>166</v>
      </c>
      <c r="T1323" s="494"/>
    </row>
    <row r="1324">
      <c r="A1324" s="494" t="s">
        <v>3401</v>
      </c>
      <c r="B1324" s="495" t="s">
        <v>4041</v>
      </c>
      <c r="C1324" s="174" t="str">
        <f t="shared" si="216"/>
        <v>Gigabyte</v>
      </c>
      <c r="D1324" s="452" t="s">
        <v>3630</v>
      </c>
      <c r="E1324" s="266">
        <v>286.5</v>
      </c>
      <c r="F1324" s="266">
        <v>114.5</v>
      </c>
      <c r="G1324" s="266">
        <v>50.2</v>
      </c>
      <c r="H1324" s="266">
        <v>2.0</v>
      </c>
      <c r="I1324" s="266">
        <v>1845.0</v>
      </c>
      <c r="J1324" s="266">
        <v>15.5</v>
      </c>
      <c r="K1324" s="266">
        <v>250.0</v>
      </c>
      <c r="L1324" s="266" t="s">
        <v>3361</v>
      </c>
      <c r="M1324" s="266">
        <v>3.0</v>
      </c>
      <c r="N1324" s="266">
        <v>3.0</v>
      </c>
      <c r="O1324" s="266">
        <v>1.0</v>
      </c>
      <c r="P1324" s="266">
        <v>1.0</v>
      </c>
      <c r="Q1324" s="266" t="s">
        <v>166</v>
      </c>
      <c r="R1324" s="266" t="s">
        <v>166</v>
      </c>
      <c r="S1324" s="497" t="s">
        <v>166</v>
      </c>
      <c r="T1324" s="494"/>
    </row>
    <row r="1325">
      <c r="A1325" s="494" t="s">
        <v>3401</v>
      </c>
      <c r="B1325" s="495" t="s">
        <v>4041</v>
      </c>
      <c r="C1325" s="174" t="str">
        <f t="shared" si="216"/>
        <v>Gigabyte</v>
      </c>
      <c r="D1325" s="452" t="s">
        <v>3957</v>
      </c>
      <c r="E1325" s="608">
        <v>286.5</v>
      </c>
      <c r="F1325" s="609">
        <v>114.5</v>
      </c>
      <c r="G1325" s="616">
        <v>50.2</v>
      </c>
      <c r="H1325" s="266">
        <v>2.0</v>
      </c>
      <c r="I1325" s="266">
        <v>1845.0</v>
      </c>
      <c r="J1325" s="266">
        <v>15.5</v>
      </c>
      <c r="K1325" s="266">
        <v>250.0</v>
      </c>
      <c r="L1325" s="266" t="s">
        <v>3361</v>
      </c>
      <c r="M1325" s="266">
        <v>3.0</v>
      </c>
      <c r="N1325" s="266">
        <v>3.0</v>
      </c>
      <c r="O1325" s="266">
        <v>1.0</v>
      </c>
      <c r="P1325" s="266" t="s">
        <v>166</v>
      </c>
      <c r="Q1325" s="266" t="s">
        <v>166</v>
      </c>
      <c r="R1325" s="266" t="s">
        <v>166</v>
      </c>
      <c r="S1325" s="497" t="s">
        <v>166</v>
      </c>
      <c r="T1325" s="494"/>
    </row>
    <row r="1326">
      <c r="A1326" s="494" t="s">
        <v>3401</v>
      </c>
      <c r="B1326" s="495" t="s">
        <v>4041</v>
      </c>
      <c r="C1326" s="174" t="str">
        <f t="shared" si="216"/>
        <v>Gigabyte</v>
      </c>
      <c r="D1326" s="452" t="s">
        <v>3677</v>
      </c>
      <c r="E1326" s="266">
        <v>290.0</v>
      </c>
      <c r="F1326" s="266">
        <v>134.31</v>
      </c>
      <c r="G1326" s="266">
        <v>59.9</v>
      </c>
      <c r="H1326" s="266">
        <v>2.0</v>
      </c>
      <c r="I1326" s="266">
        <v>1860.0</v>
      </c>
      <c r="J1326" s="266">
        <v>15.5</v>
      </c>
      <c r="K1326" s="266">
        <v>250.0</v>
      </c>
      <c r="L1326" s="266" t="s">
        <v>3460</v>
      </c>
      <c r="M1326" s="266">
        <v>3.0</v>
      </c>
      <c r="N1326" s="266">
        <v>3.0</v>
      </c>
      <c r="O1326" s="266">
        <v>3.0</v>
      </c>
      <c r="P1326" s="266">
        <v>1.0</v>
      </c>
      <c r="Q1326" s="266" t="s">
        <v>166</v>
      </c>
      <c r="R1326" s="266" t="s">
        <v>166</v>
      </c>
      <c r="S1326" s="497" t="s">
        <v>166</v>
      </c>
      <c r="T1326" s="494"/>
    </row>
    <row r="1327">
      <c r="A1327" s="494" t="s">
        <v>3401</v>
      </c>
      <c r="B1327" s="495" t="s">
        <v>4041</v>
      </c>
      <c r="C1327" s="174" t="str">
        <f t="shared" si="216"/>
        <v>Gigabyte</v>
      </c>
      <c r="D1327" s="452" t="s">
        <v>4047</v>
      </c>
      <c r="E1327" s="266">
        <v>290.0</v>
      </c>
      <c r="F1327" s="266">
        <v>131.05</v>
      </c>
      <c r="G1327" s="266">
        <v>40.41</v>
      </c>
      <c r="H1327" s="266">
        <v>2.0</v>
      </c>
      <c r="I1327" s="266">
        <v>1860.0</v>
      </c>
      <c r="J1327" s="266">
        <v>15.5</v>
      </c>
      <c r="K1327" s="266">
        <v>250.0</v>
      </c>
      <c r="L1327" s="266" t="s">
        <v>3460</v>
      </c>
      <c r="M1327" s="266" t="s">
        <v>166</v>
      </c>
      <c r="N1327" s="266">
        <v>3.0</v>
      </c>
      <c r="O1327" s="266">
        <v>3.0</v>
      </c>
      <c r="P1327" s="266">
        <v>1.0</v>
      </c>
      <c r="Q1327" s="266" t="s">
        <v>166</v>
      </c>
      <c r="R1327" s="266" t="s">
        <v>174</v>
      </c>
      <c r="S1327" s="497" t="s">
        <v>166</v>
      </c>
      <c r="T1327" s="494"/>
    </row>
    <row r="1328">
      <c r="A1328" s="494" t="s">
        <v>3401</v>
      </c>
      <c r="B1328" s="495" t="s">
        <v>4041</v>
      </c>
      <c r="C1328" s="174" t="str">
        <f t="shared" si="216"/>
        <v>Gigabyte</v>
      </c>
      <c r="D1328" s="452" t="s">
        <v>4048</v>
      </c>
      <c r="E1328" s="266">
        <v>267.0</v>
      </c>
      <c r="F1328" s="266">
        <v>137.0</v>
      </c>
      <c r="G1328" s="266">
        <v>37.0</v>
      </c>
      <c r="H1328" s="266">
        <v>2.0</v>
      </c>
      <c r="I1328" s="266">
        <v>1845.0</v>
      </c>
      <c r="J1328" s="266">
        <v>15.5</v>
      </c>
      <c r="K1328" s="266">
        <v>250.0</v>
      </c>
      <c r="L1328" s="266" t="s">
        <v>3361</v>
      </c>
      <c r="M1328" s="266" t="s">
        <v>166</v>
      </c>
      <c r="N1328" s="266">
        <v>3.0</v>
      </c>
      <c r="O1328" s="266">
        <v>1.0</v>
      </c>
      <c r="P1328" s="266" t="s">
        <v>166</v>
      </c>
      <c r="Q1328" s="266" t="s">
        <v>166</v>
      </c>
      <c r="R1328" s="266" t="s">
        <v>174</v>
      </c>
      <c r="S1328" s="497" t="s">
        <v>166</v>
      </c>
      <c r="T1328" s="494"/>
    </row>
    <row r="1329">
      <c r="A1329" s="494" t="s">
        <v>3401</v>
      </c>
      <c r="B1329" s="495" t="s">
        <v>4041</v>
      </c>
      <c r="C1329" s="174" t="str">
        <f t="shared" si="216"/>
        <v>Gigabyte</v>
      </c>
      <c r="D1329" s="452" t="s">
        <v>4049</v>
      </c>
      <c r="E1329" s="266">
        <v>291.29</v>
      </c>
      <c r="F1329" s="266">
        <v>159.05</v>
      </c>
      <c r="G1329" s="266">
        <v>28.7</v>
      </c>
      <c r="H1329" s="266">
        <v>2.0</v>
      </c>
      <c r="I1329" s="266">
        <v>1860.0</v>
      </c>
      <c r="J1329" s="266">
        <v>15.5</v>
      </c>
      <c r="K1329" s="266">
        <v>250.0</v>
      </c>
      <c r="L1329" s="266" t="s">
        <v>3460</v>
      </c>
      <c r="M1329" s="266" t="s">
        <v>166</v>
      </c>
      <c r="N1329" s="266">
        <v>3.0</v>
      </c>
      <c r="O1329" s="266">
        <v>3.0</v>
      </c>
      <c r="P1329" s="266">
        <v>1.0</v>
      </c>
      <c r="Q1329" s="266" t="s">
        <v>166</v>
      </c>
      <c r="R1329" s="266" t="s">
        <v>174</v>
      </c>
      <c r="S1329" s="497" t="s">
        <v>166</v>
      </c>
      <c r="T1329" s="494"/>
    </row>
    <row r="1330">
      <c r="A1330" s="494" t="s">
        <v>3401</v>
      </c>
      <c r="B1330" s="495" t="s">
        <v>4041</v>
      </c>
      <c r="C1330" s="452" t="str">
        <f t="shared" ref="C1330:C1337" si="217">HYPERLINK("http://www.inno3d.com/","Inno3D")</f>
        <v>Inno3D</v>
      </c>
      <c r="D1330" s="452" t="s">
        <v>4017</v>
      </c>
      <c r="E1330" s="266">
        <v>268.0</v>
      </c>
      <c r="F1330" s="266">
        <v>113.0</v>
      </c>
      <c r="G1330" s="266">
        <v>40.0</v>
      </c>
      <c r="H1330" s="266">
        <v>2.0</v>
      </c>
      <c r="I1330" s="266">
        <v>1815.0</v>
      </c>
      <c r="J1330" s="266">
        <v>15.5</v>
      </c>
      <c r="K1330" s="266">
        <v>250.0</v>
      </c>
      <c r="L1330" s="266" t="s">
        <v>3361</v>
      </c>
      <c r="M1330" s="266">
        <v>1.0</v>
      </c>
      <c r="N1330" s="266">
        <v>3.0</v>
      </c>
      <c r="O1330" s="266">
        <v>1.0</v>
      </c>
      <c r="P1330" s="266" t="s">
        <v>166</v>
      </c>
      <c r="Q1330" s="266" t="s">
        <v>166</v>
      </c>
      <c r="R1330" s="266" t="s">
        <v>166</v>
      </c>
      <c r="S1330" s="266" t="s">
        <v>174</v>
      </c>
      <c r="T1330" s="494"/>
    </row>
    <row r="1331">
      <c r="A1331" s="494" t="s">
        <v>3401</v>
      </c>
      <c r="B1331" s="495" t="s">
        <v>4041</v>
      </c>
      <c r="C1331" s="452" t="str">
        <f t="shared" si="217"/>
        <v>Inno3D</v>
      </c>
      <c r="D1331" s="452" t="s">
        <v>3882</v>
      </c>
      <c r="E1331" s="266">
        <v>268.0</v>
      </c>
      <c r="F1331" s="266">
        <v>113.0</v>
      </c>
      <c r="G1331" s="266">
        <v>40.0</v>
      </c>
      <c r="H1331" s="266">
        <v>2.0</v>
      </c>
      <c r="I1331" s="266">
        <v>1830.0</v>
      </c>
      <c r="J1331" s="266">
        <v>15.5</v>
      </c>
      <c r="K1331" s="266">
        <v>250.0</v>
      </c>
      <c r="L1331" s="266" t="s">
        <v>3361</v>
      </c>
      <c r="M1331" s="266">
        <v>2.0</v>
      </c>
      <c r="N1331" s="266">
        <v>3.0</v>
      </c>
      <c r="O1331" s="266">
        <v>1.0</v>
      </c>
      <c r="P1331" s="266" t="s">
        <v>166</v>
      </c>
      <c r="Q1331" s="266" t="s">
        <v>166</v>
      </c>
      <c r="R1331" s="497" t="s">
        <v>166</v>
      </c>
      <c r="S1331" s="497" t="s">
        <v>166</v>
      </c>
      <c r="T1331" s="496"/>
    </row>
    <row r="1332">
      <c r="A1332" s="494" t="s">
        <v>3401</v>
      </c>
      <c r="B1332" s="495" t="s">
        <v>4041</v>
      </c>
      <c r="C1332" s="452" t="str">
        <f t="shared" si="217"/>
        <v>Inno3D</v>
      </c>
      <c r="D1332" s="452" t="s">
        <v>3920</v>
      </c>
      <c r="E1332" s="266">
        <v>300.0</v>
      </c>
      <c r="F1332" s="266">
        <v>140.0</v>
      </c>
      <c r="G1332" s="266">
        <v>60.0</v>
      </c>
      <c r="H1332" s="266">
        <v>2.0</v>
      </c>
      <c r="I1332" s="266">
        <v>1845.0</v>
      </c>
      <c r="J1332" s="266">
        <v>15.5</v>
      </c>
      <c r="K1332" s="266">
        <v>250.0</v>
      </c>
      <c r="L1332" s="266" t="s">
        <v>3460</v>
      </c>
      <c r="M1332" s="266">
        <v>2.0</v>
      </c>
      <c r="N1332" s="266">
        <v>3.0</v>
      </c>
      <c r="O1332" s="266">
        <v>1.0</v>
      </c>
      <c r="P1332" s="266" t="s">
        <v>166</v>
      </c>
      <c r="Q1332" s="266" t="s">
        <v>166</v>
      </c>
      <c r="R1332" s="497" t="s">
        <v>166</v>
      </c>
      <c r="S1332" s="497" t="s">
        <v>166</v>
      </c>
      <c r="T1332" s="496"/>
    </row>
    <row r="1333">
      <c r="A1333" s="494" t="s">
        <v>3401</v>
      </c>
      <c r="B1333" s="495" t="s">
        <v>4041</v>
      </c>
      <c r="C1333" s="452" t="str">
        <f t="shared" si="217"/>
        <v>Inno3D</v>
      </c>
      <c r="D1333" s="452" t="s">
        <v>4018</v>
      </c>
      <c r="E1333" s="266">
        <v>272.0</v>
      </c>
      <c r="F1333" s="266">
        <v>118.0</v>
      </c>
      <c r="G1333" s="266">
        <v>40.0</v>
      </c>
      <c r="H1333" s="266">
        <v>2.0</v>
      </c>
      <c r="I1333" s="266">
        <v>1845.0</v>
      </c>
      <c r="J1333" s="266">
        <v>15.5</v>
      </c>
      <c r="K1333" s="266">
        <v>250.0</v>
      </c>
      <c r="L1333" s="266" t="s">
        <v>3361</v>
      </c>
      <c r="M1333" s="266">
        <v>3.0</v>
      </c>
      <c r="N1333" s="266">
        <v>3.0</v>
      </c>
      <c r="O1333" s="266">
        <v>1.0</v>
      </c>
      <c r="P1333" s="266" t="s">
        <v>166</v>
      </c>
      <c r="Q1333" s="266" t="s">
        <v>166</v>
      </c>
      <c r="R1333" s="497" t="s">
        <v>166</v>
      </c>
      <c r="S1333" s="497" t="s">
        <v>166</v>
      </c>
      <c r="T1333" s="496"/>
    </row>
    <row r="1334">
      <c r="A1334" s="494" t="s">
        <v>3401</v>
      </c>
      <c r="B1334" s="495" t="s">
        <v>4041</v>
      </c>
      <c r="C1334" s="452" t="str">
        <f t="shared" si="217"/>
        <v>Inno3D</v>
      </c>
      <c r="D1334" s="452" t="s">
        <v>3921</v>
      </c>
      <c r="E1334" s="266">
        <v>302.0</v>
      </c>
      <c r="F1334" s="266">
        <v>123.0</v>
      </c>
      <c r="G1334" s="266">
        <v>60.0</v>
      </c>
      <c r="H1334" s="266">
        <v>2.0</v>
      </c>
      <c r="I1334" s="266">
        <v>1845.0</v>
      </c>
      <c r="J1334" s="266">
        <v>15.5</v>
      </c>
      <c r="K1334" s="266">
        <v>250.0</v>
      </c>
      <c r="L1334" s="266" t="s">
        <v>3361</v>
      </c>
      <c r="M1334" s="266">
        <v>3.0</v>
      </c>
      <c r="N1334" s="266">
        <v>3.0</v>
      </c>
      <c r="O1334" s="266">
        <v>1.0</v>
      </c>
      <c r="P1334" s="266" t="s">
        <v>166</v>
      </c>
      <c r="Q1334" s="266" t="s">
        <v>166</v>
      </c>
      <c r="R1334" s="497" t="s">
        <v>166</v>
      </c>
      <c r="S1334" s="497" t="s">
        <v>166</v>
      </c>
      <c r="T1334" s="496"/>
    </row>
    <row r="1335">
      <c r="A1335" s="494" t="s">
        <v>3401</v>
      </c>
      <c r="B1335" s="495" t="s">
        <v>4041</v>
      </c>
      <c r="C1335" s="452" t="str">
        <f t="shared" si="217"/>
        <v>Inno3D</v>
      </c>
      <c r="D1335" s="452" t="s">
        <v>3961</v>
      </c>
      <c r="E1335" s="266">
        <v>300.0</v>
      </c>
      <c r="F1335" s="266">
        <v>140.0</v>
      </c>
      <c r="G1335" s="266">
        <v>60.0</v>
      </c>
      <c r="H1335" s="266">
        <v>2.0</v>
      </c>
      <c r="I1335" s="266">
        <v>1845.0</v>
      </c>
      <c r="J1335" s="266">
        <v>15.5</v>
      </c>
      <c r="K1335" s="266">
        <v>250.0</v>
      </c>
      <c r="L1335" s="266" t="s">
        <v>3460</v>
      </c>
      <c r="M1335" s="266">
        <v>3.0</v>
      </c>
      <c r="N1335" s="266">
        <v>3.0</v>
      </c>
      <c r="O1335" s="266">
        <v>1.0</v>
      </c>
      <c r="P1335" s="266" t="s">
        <v>166</v>
      </c>
      <c r="Q1335" s="266" t="s">
        <v>166</v>
      </c>
      <c r="R1335" s="497" t="s">
        <v>166</v>
      </c>
      <c r="S1335" s="497" t="s">
        <v>166</v>
      </c>
      <c r="T1335" s="496"/>
    </row>
    <row r="1336">
      <c r="A1336" s="494" t="s">
        <v>3401</v>
      </c>
      <c r="B1336" s="495" t="s">
        <v>4041</v>
      </c>
      <c r="C1336" s="452" t="str">
        <f t="shared" si="217"/>
        <v>Inno3D</v>
      </c>
      <c r="D1336" s="452" t="s">
        <v>3992</v>
      </c>
      <c r="E1336" s="266">
        <v>272.0</v>
      </c>
      <c r="F1336" s="266">
        <v>112.0</v>
      </c>
      <c r="G1336" s="266">
        <v>40.0</v>
      </c>
      <c r="H1336" s="266">
        <v>2.0</v>
      </c>
      <c r="I1336" s="266">
        <v>1845.0</v>
      </c>
      <c r="J1336" s="266">
        <v>15.5</v>
      </c>
      <c r="K1336" s="266">
        <v>250.0</v>
      </c>
      <c r="L1336" s="266" t="s">
        <v>3361</v>
      </c>
      <c r="M1336" s="266" t="s">
        <v>166</v>
      </c>
      <c r="N1336" s="266">
        <v>3.0</v>
      </c>
      <c r="O1336" s="266">
        <v>1.0</v>
      </c>
      <c r="P1336" s="266" t="s">
        <v>166</v>
      </c>
      <c r="Q1336" s="266" t="s">
        <v>166</v>
      </c>
      <c r="R1336" s="266" t="s">
        <v>174</v>
      </c>
      <c r="S1336" s="497" t="s">
        <v>166</v>
      </c>
      <c r="T1336" s="494"/>
    </row>
    <row r="1337">
      <c r="A1337" s="494" t="s">
        <v>3401</v>
      </c>
      <c r="B1337" s="495" t="s">
        <v>4041</v>
      </c>
      <c r="C1337" s="452" t="str">
        <f t="shared" si="217"/>
        <v>Inno3D</v>
      </c>
      <c r="D1337" s="452" t="s">
        <v>3618</v>
      </c>
      <c r="E1337" s="266">
        <v>265.0</v>
      </c>
      <c r="F1337" s="266">
        <v>135.0</v>
      </c>
      <c r="G1337" s="266">
        <v>40.0</v>
      </c>
      <c r="H1337" s="266">
        <v>2.0</v>
      </c>
      <c r="I1337" s="266">
        <v>1845.0</v>
      </c>
      <c r="J1337" s="266">
        <v>15.5</v>
      </c>
      <c r="K1337" s="266">
        <v>250.0</v>
      </c>
      <c r="L1337" s="266" t="s">
        <v>3361</v>
      </c>
      <c r="M1337" s="266" t="s">
        <v>166</v>
      </c>
      <c r="N1337" s="266">
        <v>3.0</v>
      </c>
      <c r="O1337" s="266">
        <v>1.0</v>
      </c>
      <c r="P1337" s="266" t="s">
        <v>166</v>
      </c>
      <c r="Q1337" s="266" t="s">
        <v>166</v>
      </c>
      <c r="R1337" s="266" t="s">
        <v>174</v>
      </c>
      <c r="S1337" s="497" t="s">
        <v>166</v>
      </c>
      <c r="T1337" s="494"/>
    </row>
    <row r="1338">
      <c r="A1338" s="494" t="s">
        <v>3401</v>
      </c>
      <c r="B1338" s="495" t="s">
        <v>4041</v>
      </c>
      <c r="C1338" s="452" t="str">
        <f t="shared" ref="C1338:C1342" si="218">HYPERLINK("http://manli.com/en","Manli")</f>
        <v>Manli</v>
      </c>
      <c r="D1338" s="452" t="str">
        <f>HYPERLINK("https://manli.com/en/product-detail-MANLI_GeForce_RTX_2080_Super_(M1453+N502-00)-41.html","(M1453+N502-00)")</f>
        <v>(M1453+N502-00)</v>
      </c>
      <c r="E1338" s="266">
        <v>281.0</v>
      </c>
      <c r="F1338" s="266">
        <v>128.0</v>
      </c>
      <c r="G1338" s="266">
        <v>42.0</v>
      </c>
      <c r="H1338" s="266">
        <v>2.0</v>
      </c>
      <c r="I1338" s="266">
        <v>1815.0</v>
      </c>
      <c r="J1338" s="266">
        <v>15.5</v>
      </c>
      <c r="K1338" s="266">
        <v>250.0</v>
      </c>
      <c r="L1338" s="266" t="s">
        <v>3361</v>
      </c>
      <c r="M1338" s="266">
        <v>1.0</v>
      </c>
      <c r="N1338" s="266">
        <v>3.0</v>
      </c>
      <c r="O1338" s="266">
        <v>1.0</v>
      </c>
      <c r="P1338" s="266" t="s">
        <v>166</v>
      </c>
      <c r="Q1338" s="266" t="s">
        <v>166</v>
      </c>
      <c r="R1338" s="266" t="s">
        <v>166</v>
      </c>
      <c r="S1338" s="266" t="s">
        <v>174</v>
      </c>
      <c r="T1338" s="494"/>
    </row>
    <row r="1339">
      <c r="A1339" s="494" t="s">
        <v>3401</v>
      </c>
      <c r="B1339" s="495" t="s">
        <v>4041</v>
      </c>
      <c r="C1339" s="452" t="str">
        <f t="shared" si="218"/>
        <v>Manli</v>
      </c>
      <c r="D1339" s="452" t="s">
        <v>4050</v>
      </c>
      <c r="E1339" s="266">
        <v>281.0</v>
      </c>
      <c r="F1339" s="266">
        <v>128.0</v>
      </c>
      <c r="G1339" s="266">
        <v>42.0</v>
      </c>
      <c r="H1339" s="266">
        <v>2.0</v>
      </c>
      <c r="I1339" s="266">
        <v>1815.0</v>
      </c>
      <c r="J1339" s="266">
        <v>15.5</v>
      </c>
      <c r="K1339" s="266">
        <v>250.0</v>
      </c>
      <c r="L1339" s="266" t="s">
        <v>3361</v>
      </c>
      <c r="M1339" s="266">
        <v>1.0</v>
      </c>
      <c r="N1339" s="266">
        <v>3.0</v>
      </c>
      <c r="O1339" s="266">
        <v>1.0</v>
      </c>
      <c r="P1339" s="266" t="s">
        <v>166</v>
      </c>
      <c r="Q1339" s="266" t="s">
        <v>166</v>
      </c>
      <c r="R1339" s="266" t="s">
        <v>166</v>
      </c>
      <c r="S1339" s="266" t="s">
        <v>174</v>
      </c>
      <c r="T1339" s="494"/>
    </row>
    <row r="1340">
      <c r="A1340" s="494" t="s">
        <v>3401</v>
      </c>
      <c r="B1340" s="495" t="s">
        <v>4041</v>
      </c>
      <c r="C1340" s="452" t="str">
        <f t="shared" si="218"/>
        <v>Manli</v>
      </c>
      <c r="D1340" s="452" t="str">
        <f>HYPERLINK("https://manli.com/en/product-detail-MANLI_GeForce_RTX_2080_Super_(M3423+N502-00)-42.html","(M3423+N502-00)")</f>
        <v>(M3423+N502-00)</v>
      </c>
      <c r="E1340" s="266">
        <v>314.0</v>
      </c>
      <c r="F1340" s="266">
        <v>128.0</v>
      </c>
      <c r="G1340" s="266">
        <v>44.0</v>
      </c>
      <c r="H1340" s="266">
        <v>2.0</v>
      </c>
      <c r="I1340" s="266">
        <v>1815.0</v>
      </c>
      <c r="J1340" s="266">
        <v>15.5</v>
      </c>
      <c r="K1340" s="266">
        <v>250.0</v>
      </c>
      <c r="L1340" s="266" t="s">
        <v>3361</v>
      </c>
      <c r="M1340" s="266">
        <v>3.0</v>
      </c>
      <c r="N1340" s="266">
        <v>3.0</v>
      </c>
      <c r="O1340" s="266">
        <v>1.0</v>
      </c>
      <c r="P1340" s="266" t="s">
        <v>166</v>
      </c>
      <c r="Q1340" s="266" t="s">
        <v>166</v>
      </c>
      <c r="R1340" s="497" t="s">
        <v>166</v>
      </c>
      <c r="S1340" s="497" t="s">
        <v>166</v>
      </c>
      <c r="T1340" s="496"/>
    </row>
    <row r="1341">
      <c r="A1341" s="494" t="s">
        <v>3401</v>
      </c>
      <c r="B1341" s="495" t="s">
        <v>4041</v>
      </c>
      <c r="C1341" s="452" t="str">
        <f t="shared" si="218"/>
        <v>Manli</v>
      </c>
      <c r="D1341" s="452" t="s">
        <v>4051</v>
      </c>
      <c r="E1341" s="266">
        <v>330.0</v>
      </c>
      <c r="F1341" s="266">
        <v>135.0</v>
      </c>
      <c r="G1341" s="266">
        <v>58.0</v>
      </c>
      <c r="H1341" s="266">
        <v>2.0</v>
      </c>
      <c r="I1341" s="266">
        <v>1815.0</v>
      </c>
      <c r="J1341" s="266">
        <v>15.5</v>
      </c>
      <c r="K1341" s="266">
        <v>250.0</v>
      </c>
      <c r="L1341" s="266" t="s">
        <v>3361</v>
      </c>
      <c r="M1341" s="266">
        <v>3.0</v>
      </c>
      <c r="N1341" s="266">
        <v>3.0</v>
      </c>
      <c r="O1341" s="266">
        <v>1.0</v>
      </c>
      <c r="P1341" s="266" t="s">
        <v>166</v>
      </c>
      <c r="Q1341" s="266" t="s">
        <v>166</v>
      </c>
      <c r="R1341" s="497" t="s">
        <v>166</v>
      </c>
      <c r="S1341" s="497" t="s">
        <v>166</v>
      </c>
      <c r="T1341" s="496"/>
    </row>
    <row r="1342">
      <c r="A1342" s="494" t="s">
        <v>3401</v>
      </c>
      <c r="B1342" s="495" t="s">
        <v>4041</v>
      </c>
      <c r="C1342" s="452" t="str">
        <f t="shared" si="218"/>
        <v>Manli</v>
      </c>
      <c r="D1342" s="452" t="str">
        <f>HYPERLINK("https://manli.com/en/product-detail-MANLI_GeForce_RTX_2080_Super_Gallardo_with_RGB_Lights_(M3445+N502-00)-43.html","Gallardo RGB (M3445+N502-00)")</f>
        <v>Gallardo RGB (M3445+N502-00)</v>
      </c>
      <c r="E1342" s="266">
        <v>314.0</v>
      </c>
      <c r="F1342" s="266">
        <v>128.0</v>
      </c>
      <c r="G1342" s="266">
        <v>44.0</v>
      </c>
      <c r="H1342" s="266">
        <v>2.0</v>
      </c>
      <c r="I1342" s="266">
        <v>1815.0</v>
      </c>
      <c r="J1342" s="266">
        <v>15.5</v>
      </c>
      <c r="K1342" s="266">
        <v>250.0</v>
      </c>
      <c r="L1342" s="266" t="s">
        <v>3361</v>
      </c>
      <c r="M1342" s="266">
        <v>3.0</v>
      </c>
      <c r="N1342" s="266">
        <v>3.0</v>
      </c>
      <c r="O1342" s="266">
        <v>1.0</v>
      </c>
      <c r="P1342" s="266" t="s">
        <v>166</v>
      </c>
      <c r="Q1342" s="266" t="s">
        <v>166</v>
      </c>
      <c r="R1342" s="497" t="s">
        <v>166</v>
      </c>
      <c r="S1342" s="497" t="s">
        <v>166</v>
      </c>
      <c r="T1342" s="496"/>
    </row>
    <row r="1343">
      <c r="A1343" s="494" t="s">
        <v>3401</v>
      </c>
      <c r="B1343" s="495" t="s">
        <v>4041</v>
      </c>
      <c r="C1343" s="174" t="str">
        <f t="shared" ref="C1343:C1351" si="219">HYPERLINK("https://www.msi.com/index.php","MSI")</f>
        <v>MSI</v>
      </c>
      <c r="D1343" s="452" t="s">
        <v>3850</v>
      </c>
      <c r="E1343" s="266">
        <v>265.0</v>
      </c>
      <c r="F1343" s="266">
        <v>114.0</v>
      </c>
      <c r="G1343" s="266">
        <v>40.0</v>
      </c>
      <c r="H1343" s="266">
        <v>2.0</v>
      </c>
      <c r="I1343" s="266">
        <v>1815.0</v>
      </c>
      <c r="J1343" s="266">
        <v>15.5</v>
      </c>
      <c r="K1343" s="266">
        <v>250.0</v>
      </c>
      <c r="L1343" s="266" t="s">
        <v>3361</v>
      </c>
      <c r="M1343" s="266">
        <v>1.0</v>
      </c>
      <c r="N1343" s="266">
        <v>3.0</v>
      </c>
      <c r="O1343" s="266">
        <v>1.0</v>
      </c>
      <c r="P1343" s="266" t="s">
        <v>166</v>
      </c>
      <c r="Q1343" s="266" t="s">
        <v>166</v>
      </c>
      <c r="R1343" s="266" t="s">
        <v>166</v>
      </c>
      <c r="S1343" s="266" t="s">
        <v>174</v>
      </c>
      <c r="T1343" s="494"/>
    </row>
    <row r="1344">
      <c r="A1344" s="494" t="s">
        <v>3401</v>
      </c>
      <c r="B1344" s="495" t="s">
        <v>4041</v>
      </c>
      <c r="C1344" s="174" t="str">
        <f t="shared" si="219"/>
        <v>MSI</v>
      </c>
      <c r="D1344" s="452" t="s">
        <v>3904</v>
      </c>
      <c r="E1344" s="266">
        <v>268.0</v>
      </c>
      <c r="F1344" s="266">
        <v>114.0</v>
      </c>
      <c r="G1344" s="266">
        <v>50.0</v>
      </c>
      <c r="H1344" s="266">
        <v>2.0</v>
      </c>
      <c r="I1344" s="266">
        <v>1815.0</v>
      </c>
      <c r="J1344" s="266">
        <v>15.5</v>
      </c>
      <c r="K1344" s="266">
        <v>250.0</v>
      </c>
      <c r="L1344" s="266" t="s">
        <v>3361</v>
      </c>
      <c r="M1344" s="266">
        <v>2.0</v>
      </c>
      <c r="N1344" s="266">
        <v>3.0</v>
      </c>
      <c r="O1344" s="266">
        <v>1.0</v>
      </c>
      <c r="P1344" s="266" t="s">
        <v>166</v>
      </c>
      <c r="Q1344" s="266" t="s">
        <v>166</v>
      </c>
      <c r="R1344" s="497" t="s">
        <v>166</v>
      </c>
      <c r="S1344" s="497" t="s">
        <v>166</v>
      </c>
      <c r="T1344" s="496"/>
    </row>
    <row r="1345">
      <c r="A1345" s="494" t="s">
        <v>3401</v>
      </c>
      <c r="B1345" s="495" t="s">
        <v>4041</v>
      </c>
      <c r="C1345" s="174" t="str">
        <f t="shared" si="219"/>
        <v>MSI</v>
      </c>
      <c r="D1345" s="452" t="s">
        <v>3905</v>
      </c>
      <c r="E1345" s="266">
        <v>268.0</v>
      </c>
      <c r="F1345" s="266">
        <v>114.0</v>
      </c>
      <c r="G1345" s="266">
        <v>50.0</v>
      </c>
      <c r="H1345" s="266">
        <v>2.0</v>
      </c>
      <c r="I1345" s="266">
        <v>1830.0</v>
      </c>
      <c r="J1345" s="266">
        <v>15.5</v>
      </c>
      <c r="K1345" s="266">
        <v>250.0</v>
      </c>
      <c r="L1345" s="266" t="s">
        <v>3361</v>
      </c>
      <c r="M1345" s="266">
        <v>2.0</v>
      </c>
      <c r="N1345" s="266">
        <v>3.0</v>
      </c>
      <c r="O1345" s="266">
        <v>1.0</v>
      </c>
      <c r="P1345" s="266" t="s">
        <v>166</v>
      </c>
      <c r="Q1345" s="266" t="s">
        <v>166</v>
      </c>
      <c r="R1345" s="497" t="s">
        <v>166</v>
      </c>
      <c r="S1345" s="497" t="s">
        <v>166</v>
      </c>
      <c r="T1345" s="496"/>
    </row>
    <row r="1346">
      <c r="A1346" s="494" t="s">
        <v>3401</v>
      </c>
      <c r="B1346" s="495" t="s">
        <v>4041</v>
      </c>
      <c r="C1346" s="174" t="str">
        <f t="shared" si="219"/>
        <v>MSI</v>
      </c>
      <c r="D1346" s="452" t="s">
        <v>3497</v>
      </c>
      <c r="E1346" s="266">
        <v>257.0</v>
      </c>
      <c r="F1346" s="266">
        <v>127.0</v>
      </c>
      <c r="G1346" s="266">
        <v>51.0</v>
      </c>
      <c r="H1346" s="266">
        <v>2.0</v>
      </c>
      <c r="I1346" s="266">
        <v>1815.0</v>
      </c>
      <c r="J1346" s="266">
        <v>15.5</v>
      </c>
      <c r="K1346" s="266">
        <v>250.0</v>
      </c>
      <c r="L1346" s="266" t="s">
        <v>3361</v>
      </c>
      <c r="M1346" s="266">
        <v>2.0</v>
      </c>
      <c r="N1346" s="266">
        <v>3.0</v>
      </c>
      <c r="O1346" s="266">
        <v>1.0</v>
      </c>
      <c r="P1346" s="266" t="s">
        <v>166</v>
      </c>
      <c r="Q1346" s="266" t="s">
        <v>166</v>
      </c>
      <c r="R1346" s="497" t="s">
        <v>166</v>
      </c>
      <c r="S1346" s="497" t="s">
        <v>166</v>
      </c>
      <c r="T1346" s="496"/>
    </row>
    <row r="1347">
      <c r="A1347" s="494" t="s">
        <v>3401</v>
      </c>
      <c r="B1347" s="495" t="s">
        <v>4041</v>
      </c>
      <c r="C1347" s="174" t="str">
        <f t="shared" si="219"/>
        <v>MSI</v>
      </c>
      <c r="D1347" s="452" t="s">
        <v>3498</v>
      </c>
      <c r="E1347" s="266">
        <v>257.0</v>
      </c>
      <c r="F1347" s="266">
        <v>127.0</v>
      </c>
      <c r="G1347" s="266">
        <v>51.0</v>
      </c>
      <c r="H1347" s="266">
        <v>2.0</v>
      </c>
      <c r="I1347" s="266">
        <v>1830.0</v>
      </c>
      <c r="J1347" s="266">
        <v>15.5</v>
      </c>
      <c r="K1347" s="266">
        <v>250.0</v>
      </c>
      <c r="L1347" s="266" t="s">
        <v>3361</v>
      </c>
      <c r="M1347" s="266">
        <v>2.0</v>
      </c>
      <c r="N1347" s="266">
        <v>3.0</v>
      </c>
      <c r="O1347" s="266">
        <v>1.0</v>
      </c>
      <c r="P1347" s="266" t="s">
        <v>166</v>
      </c>
      <c r="Q1347" s="266" t="s">
        <v>166</v>
      </c>
      <c r="R1347" s="497" t="s">
        <v>166</v>
      </c>
      <c r="S1347" s="497" t="s">
        <v>166</v>
      </c>
      <c r="T1347" s="496"/>
    </row>
    <row r="1348">
      <c r="A1348" s="494" t="s">
        <v>3401</v>
      </c>
      <c r="B1348" s="495" t="s">
        <v>4041</v>
      </c>
      <c r="C1348" s="174" t="str">
        <f t="shared" si="219"/>
        <v>MSI</v>
      </c>
      <c r="D1348" s="452" t="s">
        <v>3720</v>
      </c>
      <c r="E1348" s="266">
        <v>328.0</v>
      </c>
      <c r="F1348" s="266">
        <v>140.0</v>
      </c>
      <c r="G1348" s="266">
        <v>56.5</v>
      </c>
      <c r="H1348" s="266">
        <v>2.0</v>
      </c>
      <c r="I1348" s="266">
        <v>1815.0</v>
      </c>
      <c r="J1348" s="266">
        <v>15.5</v>
      </c>
      <c r="K1348" s="266">
        <v>250.0</v>
      </c>
      <c r="L1348" s="266" t="s">
        <v>3460</v>
      </c>
      <c r="M1348" s="266">
        <v>3.0</v>
      </c>
      <c r="N1348" s="266">
        <v>3.0</v>
      </c>
      <c r="O1348" s="266">
        <v>1.0</v>
      </c>
      <c r="P1348" s="266">
        <v>1.0</v>
      </c>
      <c r="Q1348" s="266" t="s">
        <v>166</v>
      </c>
      <c r="R1348" s="266" t="s">
        <v>166</v>
      </c>
      <c r="S1348" s="497" t="s">
        <v>166</v>
      </c>
      <c r="T1348" s="494"/>
    </row>
    <row r="1349">
      <c r="A1349" s="494" t="s">
        <v>3401</v>
      </c>
      <c r="B1349" s="495" t="s">
        <v>4041</v>
      </c>
      <c r="C1349" s="174" t="str">
        <f t="shared" si="219"/>
        <v>MSI</v>
      </c>
      <c r="D1349" s="452" t="s">
        <v>3721</v>
      </c>
      <c r="E1349" s="266">
        <v>328.0</v>
      </c>
      <c r="F1349" s="266">
        <v>140.0</v>
      </c>
      <c r="G1349" s="266">
        <v>56.5</v>
      </c>
      <c r="H1349" s="266">
        <v>2.0</v>
      </c>
      <c r="I1349" s="266">
        <v>1845.0</v>
      </c>
      <c r="J1349" s="266">
        <v>15.5</v>
      </c>
      <c r="K1349" s="266">
        <v>250.0</v>
      </c>
      <c r="L1349" s="266" t="s">
        <v>3460</v>
      </c>
      <c r="M1349" s="266">
        <v>3.0</v>
      </c>
      <c r="N1349" s="266">
        <v>3.0</v>
      </c>
      <c r="O1349" s="266">
        <v>1.0</v>
      </c>
      <c r="P1349" s="266">
        <v>1.0</v>
      </c>
      <c r="Q1349" s="266" t="s">
        <v>166</v>
      </c>
      <c r="R1349" s="266" t="s">
        <v>166</v>
      </c>
      <c r="S1349" s="497" t="s">
        <v>166</v>
      </c>
      <c r="T1349" s="494"/>
    </row>
    <row r="1350">
      <c r="A1350" s="494" t="s">
        <v>3401</v>
      </c>
      <c r="B1350" s="495" t="s">
        <v>4041</v>
      </c>
      <c r="C1350" s="174" t="str">
        <f t="shared" si="219"/>
        <v>MSI</v>
      </c>
      <c r="D1350" s="452" t="s">
        <v>3859</v>
      </c>
      <c r="E1350" s="266">
        <v>268.0</v>
      </c>
      <c r="F1350" s="266">
        <v>114.0</v>
      </c>
      <c r="G1350" s="266">
        <v>41.0</v>
      </c>
      <c r="H1350" s="266">
        <v>2.0</v>
      </c>
      <c r="I1350" s="266">
        <v>1845.0</v>
      </c>
      <c r="J1350" s="266">
        <v>15.5</v>
      </c>
      <c r="K1350" s="266">
        <v>250.0</v>
      </c>
      <c r="L1350" s="266" t="s">
        <v>3361</v>
      </c>
      <c r="M1350" s="266">
        <v>1.0</v>
      </c>
      <c r="N1350" s="266">
        <v>3.0</v>
      </c>
      <c r="O1350" s="266">
        <v>1.0</v>
      </c>
      <c r="P1350" s="266">
        <v>1.0</v>
      </c>
      <c r="Q1350" s="266" t="s">
        <v>166</v>
      </c>
      <c r="R1350" s="266" t="s">
        <v>174</v>
      </c>
      <c r="S1350" s="266" t="s">
        <v>174</v>
      </c>
      <c r="T1350" s="494"/>
    </row>
    <row r="1351">
      <c r="A1351" s="494" t="s">
        <v>3401</v>
      </c>
      <c r="B1351" s="495" t="s">
        <v>4041</v>
      </c>
      <c r="C1351" s="174" t="str">
        <f t="shared" si="219"/>
        <v>MSI</v>
      </c>
      <c r="D1351" s="452" t="s">
        <v>3860</v>
      </c>
      <c r="E1351" s="266">
        <v>307.0</v>
      </c>
      <c r="F1351" s="266">
        <v>169.0</v>
      </c>
      <c r="G1351" s="266">
        <v>41.5</v>
      </c>
      <c r="H1351" s="266">
        <v>2.0</v>
      </c>
      <c r="I1351" s="266">
        <v>1845.0</v>
      </c>
      <c r="J1351" s="266">
        <v>15.5</v>
      </c>
      <c r="K1351" s="266">
        <v>250.0</v>
      </c>
      <c r="L1351" s="266" t="s">
        <v>3460</v>
      </c>
      <c r="M1351" s="266" t="s">
        <v>166</v>
      </c>
      <c r="N1351" s="266">
        <v>3.0</v>
      </c>
      <c r="O1351" s="266">
        <v>1.0</v>
      </c>
      <c r="P1351" s="266">
        <v>1.0</v>
      </c>
      <c r="Q1351" s="266" t="s">
        <v>166</v>
      </c>
      <c r="R1351" s="266" t="s">
        <v>174</v>
      </c>
      <c r="S1351" s="497" t="s">
        <v>166</v>
      </c>
      <c r="T1351" s="494"/>
    </row>
    <row r="1352">
      <c r="A1352" s="494" t="s">
        <v>3401</v>
      </c>
      <c r="B1352" s="495" t="s">
        <v>4041</v>
      </c>
      <c r="C1352" s="452" t="str">
        <f>HYPERLINK("https://www.nvidia.com/en-us/","Nvidia")</f>
        <v>Nvidia</v>
      </c>
      <c r="D1352" s="452" t="str">
        <f>HYPERLINK("https://www.nvidia.com/en-us/geforce/graphics-cards/rtx-2080-super/","Founders Edition")</f>
        <v>Founders Edition</v>
      </c>
      <c r="E1352" s="266">
        <v>266.74</v>
      </c>
      <c r="F1352" s="266">
        <v>115.7</v>
      </c>
      <c r="G1352" s="266">
        <v>40.0</v>
      </c>
      <c r="H1352" s="266">
        <v>2.0</v>
      </c>
      <c r="I1352" s="266">
        <v>1815.0</v>
      </c>
      <c r="J1352" s="266">
        <v>15.5</v>
      </c>
      <c r="K1352" s="266">
        <v>250.0</v>
      </c>
      <c r="L1352" s="266" t="s">
        <v>3361</v>
      </c>
      <c r="M1352" s="266">
        <v>2.0</v>
      </c>
      <c r="N1352" s="266">
        <v>3.0</v>
      </c>
      <c r="O1352" s="266">
        <v>1.0</v>
      </c>
      <c r="P1352" s="266">
        <v>1.0</v>
      </c>
      <c r="Q1352" s="266" t="s">
        <v>166</v>
      </c>
      <c r="R1352" s="497" t="s">
        <v>166</v>
      </c>
      <c r="S1352" s="497" t="s">
        <v>166</v>
      </c>
      <c r="T1352" s="496"/>
    </row>
    <row r="1353">
      <c r="A1353" s="494" t="s">
        <v>3401</v>
      </c>
      <c r="B1353" s="495" t="s">
        <v>4041</v>
      </c>
      <c r="C1353" s="452" t="str">
        <f t="shared" ref="C1353:C1359" si="220">HYPERLINK("http://www.palit.com/palit/index.php?lang=en","Palit")</f>
        <v>Palit</v>
      </c>
      <c r="D1353" s="452" t="str">
        <f>HYPERLINK("http://www.palit.com/palit/vgapro.php?id=3451&amp;lang=en","X")</f>
        <v>X</v>
      </c>
      <c r="E1353" s="266">
        <v>269.0</v>
      </c>
      <c r="F1353" s="266">
        <v>112.0</v>
      </c>
      <c r="G1353" s="266">
        <v>40.0</v>
      </c>
      <c r="H1353" s="266">
        <v>2.0</v>
      </c>
      <c r="I1353" s="266">
        <v>1815.0</v>
      </c>
      <c r="J1353" s="266">
        <v>15.5</v>
      </c>
      <c r="K1353" s="266">
        <v>250.0</v>
      </c>
      <c r="L1353" s="266" t="s">
        <v>3361</v>
      </c>
      <c r="M1353" s="266">
        <v>1.0</v>
      </c>
      <c r="N1353" s="266">
        <v>3.0</v>
      </c>
      <c r="O1353" s="266">
        <v>1.0</v>
      </c>
      <c r="P1353" s="266" t="s">
        <v>166</v>
      </c>
      <c r="Q1353" s="266" t="s">
        <v>166</v>
      </c>
      <c r="R1353" s="266" t="s">
        <v>166</v>
      </c>
      <c r="S1353" s="266" t="s">
        <v>174</v>
      </c>
      <c r="T1353" s="494"/>
    </row>
    <row r="1354">
      <c r="A1354" s="494" t="s">
        <v>3401</v>
      </c>
      <c r="B1354" s="495" t="s">
        <v>4041</v>
      </c>
      <c r="C1354" s="452" t="str">
        <f t="shared" si="220"/>
        <v>Palit</v>
      </c>
      <c r="D1354" s="452" t="s">
        <v>4019</v>
      </c>
      <c r="E1354" s="266">
        <v>288.0</v>
      </c>
      <c r="F1354" s="266">
        <v>112.0</v>
      </c>
      <c r="G1354" s="266">
        <v>50.0</v>
      </c>
      <c r="H1354" s="266">
        <v>2.0</v>
      </c>
      <c r="I1354" s="266">
        <v>1815.0</v>
      </c>
      <c r="J1354" s="266">
        <v>15.5</v>
      </c>
      <c r="K1354" s="266">
        <v>250.0</v>
      </c>
      <c r="L1354" s="266" t="s">
        <v>3361</v>
      </c>
      <c r="M1354" s="266">
        <v>3.0</v>
      </c>
      <c r="N1354" s="266">
        <v>3.0</v>
      </c>
      <c r="O1354" s="266">
        <v>1.0</v>
      </c>
      <c r="P1354" s="266" t="s">
        <v>166</v>
      </c>
      <c r="Q1354" s="266" t="s">
        <v>166</v>
      </c>
      <c r="R1354" s="497" t="s">
        <v>166</v>
      </c>
      <c r="S1354" s="497" t="s">
        <v>166</v>
      </c>
      <c r="T1354" s="496"/>
    </row>
    <row r="1355">
      <c r="A1355" s="494" t="s">
        <v>3401</v>
      </c>
      <c r="B1355" s="495" t="s">
        <v>4041</v>
      </c>
      <c r="C1355" s="452" t="str">
        <f t="shared" si="220"/>
        <v>Palit</v>
      </c>
      <c r="D1355" s="452" t="s">
        <v>3503</v>
      </c>
      <c r="E1355" s="266">
        <v>288.0</v>
      </c>
      <c r="F1355" s="266">
        <v>112.0</v>
      </c>
      <c r="G1355" s="266">
        <v>50.0</v>
      </c>
      <c r="H1355" s="266">
        <v>2.0</v>
      </c>
      <c r="I1355" s="266">
        <v>1845.0</v>
      </c>
      <c r="J1355" s="266">
        <v>15.5</v>
      </c>
      <c r="K1355" s="266">
        <v>250.0</v>
      </c>
      <c r="L1355" s="266" t="s">
        <v>3361</v>
      </c>
      <c r="M1355" s="266">
        <v>3.0</v>
      </c>
      <c r="N1355" s="266">
        <v>3.0</v>
      </c>
      <c r="O1355" s="266">
        <v>1.0</v>
      </c>
      <c r="P1355" s="266" t="s">
        <v>166</v>
      </c>
      <c r="Q1355" s="266" t="s">
        <v>166</v>
      </c>
      <c r="R1355" s="497" t="s">
        <v>166</v>
      </c>
      <c r="S1355" s="497" t="s">
        <v>166</v>
      </c>
      <c r="T1355" s="496"/>
    </row>
    <row r="1356">
      <c r="A1356" s="494" t="s">
        <v>3401</v>
      </c>
      <c r="B1356" s="495" t="s">
        <v>4041</v>
      </c>
      <c r="C1356" s="452" t="str">
        <f t="shared" si="220"/>
        <v>Palit</v>
      </c>
      <c r="D1356" s="452" t="s">
        <v>4022</v>
      </c>
      <c r="E1356" s="266">
        <v>292.0</v>
      </c>
      <c r="F1356" s="266">
        <v>130.0</v>
      </c>
      <c r="G1356" s="266">
        <v>59.6</v>
      </c>
      <c r="H1356" s="266">
        <v>2.0</v>
      </c>
      <c r="I1356" s="266">
        <v>1815.0</v>
      </c>
      <c r="J1356" s="266">
        <v>15.5</v>
      </c>
      <c r="K1356" s="266">
        <v>250.0</v>
      </c>
      <c r="L1356" s="266" t="s">
        <v>3460</v>
      </c>
      <c r="M1356" s="266">
        <v>2.0</v>
      </c>
      <c r="N1356" s="266">
        <v>3.0</v>
      </c>
      <c r="O1356" s="266">
        <v>1.0</v>
      </c>
      <c r="P1356" s="266">
        <v>1.0</v>
      </c>
      <c r="Q1356" s="266" t="s">
        <v>166</v>
      </c>
      <c r="R1356" s="497" t="s">
        <v>166</v>
      </c>
      <c r="S1356" s="497" t="s">
        <v>166</v>
      </c>
      <c r="T1356" s="496"/>
    </row>
    <row r="1357">
      <c r="A1357" s="494" t="s">
        <v>3401</v>
      </c>
      <c r="B1357" s="495" t="s">
        <v>4041</v>
      </c>
      <c r="C1357" s="452" t="str">
        <f t="shared" si="220"/>
        <v>Palit</v>
      </c>
      <c r="D1357" s="452" t="s">
        <v>4023</v>
      </c>
      <c r="E1357" s="266">
        <v>292.0</v>
      </c>
      <c r="F1357" s="266">
        <v>130.0</v>
      </c>
      <c r="G1357" s="266">
        <v>59.6</v>
      </c>
      <c r="H1357" s="266">
        <v>2.0</v>
      </c>
      <c r="I1357" s="266">
        <v>1860.0</v>
      </c>
      <c r="J1357" s="266">
        <v>15.5</v>
      </c>
      <c r="K1357" s="266">
        <v>250.0</v>
      </c>
      <c r="L1357" s="266" t="s">
        <v>3460</v>
      </c>
      <c r="M1357" s="266">
        <v>2.0</v>
      </c>
      <c r="N1357" s="266">
        <v>3.0</v>
      </c>
      <c r="O1357" s="266">
        <v>1.0</v>
      </c>
      <c r="P1357" s="266">
        <v>1.0</v>
      </c>
      <c r="Q1357" s="266" t="s">
        <v>166</v>
      </c>
      <c r="R1357" s="497" t="s">
        <v>166</v>
      </c>
      <c r="S1357" s="497" t="s">
        <v>166</v>
      </c>
      <c r="T1357" s="496"/>
    </row>
    <row r="1358">
      <c r="A1358" s="494" t="s">
        <v>3401</v>
      </c>
      <c r="B1358" s="495" t="s">
        <v>4041</v>
      </c>
      <c r="C1358" s="452" t="str">
        <f t="shared" si="220"/>
        <v>Palit</v>
      </c>
      <c r="D1358" s="452" t="s">
        <v>4052</v>
      </c>
      <c r="E1358" s="266">
        <v>292.0</v>
      </c>
      <c r="F1358" s="266">
        <v>130.0</v>
      </c>
      <c r="G1358" s="266">
        <v>59.6</v>
      </c>
      <c r="H1358" s="266">
        <v>2.0</v>
      </c>
      <c r="I1358" s="266">
        <v>1830.0</v>
      </c>
      <c r="J1358" s="266">
        <v>15.5</v>
      </c>
      <c r="K1358" s="266">
        <v>250.0</v>
      </c>
      <c r="L1358" s="266" t="s">
        <v>3460</v>
      </c>
      <c r="M1358" s="266">
        <v>2.0</v>
      </c>
      <c r="N1358" s="266">
        <v>3.0</v>
      </c>
      <c r="O1358" s="266">
        <v>1.0</v>
      </c>
      <c r="P1358" s="266">
        <v>1.0</v>
      </c>
      <c r="Q1358" s="266" t="s">
        <v>166</v>
      </c>
      <c r="R1358" s="497" t="s">
        <v>166</v>
      </c>
      <c r="S1358" s="497" t="s">
        <v>166</v>
      </c>
      <c r="T1358" s="496"/>
    </row>
    <row r="1359">
      <c r="A1359" s="494" t="s">
        <v>3401</v>
      </c>
      <c r="B1359" s="495" t="s">
        <v>4041</v>
      </c>
      <c r="C1359" s="452" t="str">
        <f t="shared" si="220"/>
        <v>Palit</v>
      </c>
      <c r="D1359" s="452" t="s">
        <v>4053</v>
      </c>
      <c r="E1359" s="266">
        <v>292.0</v>
      </c>
      <c r="F1359" s="266">
        <v>130.0</v>
      </c>
      <c r="G1359" s="266">
        <v>59.6</v>
      </c>
      <c r="H1359" s="266">
        <v>2.0</v>
      </c>
      <c r="I1359" s="266">
        <v>1860.0</v>
      </c>
      <c r="J1359" s="266">
        <v>15.5</v>
      </c>
      <c r="K1359" s="266">
        <v>250.0</v>
      </c>
      <c r="L1359" s="266" t="s">
        <v>3460</v>
      </c>
      <c r="M1359" s="266">
        <v>2.0</v>
      </c>
      <c r="N1359" s="266">
        <v>3.0</v>
      </c>
      <c r="O1359" s="266">
        <v>1.0</v>
      </c>
      <c r="P1359" s="266">
        <v>1.0</v>
      </c>
      <c r="Q1359" s="266" t="s">
        <v>166</v>
      </c>
      <c r="R1359" s="497" t="s">
        <v>166</v>
      </c>
      <c r="S1359" s="497" t="s">
        <v>166</v>
      </c>
      <c r="T1359" s="496"/>
    </row>
    <row r="1360">
      <c r="A1360" s="494" t="s">
        <v>3401</v>
      </c>
      <c r="B1360" s="495" t="s">
        <v>4041</v>
      </c>
      <c r="C1360" s="452" t="str">
        <f t="shared" ref="C1360:C1362" si="221">HYPERLINK("https://pny.com/","PNY")</f>
        <v>PNY</v>
      </c>
      <c r="D1360" s="452" t="str">
        <f>HYPERLINK("https://pny.com/geforce-rtx-2080-super-8gb-blower","Blower")</f>
        <v>Blower</v>
      </c>
      <c r="E1360" s="266">
        <v>267.0</v>
      </c>
      <c r="F1360" s="266">
        <v>114.0</v>
      </c>
      <c r="G1360" s="266">
        <v>35.0</v>
      </c>
      <c r="H1360" s="266">
        <v>2.0</v>
      </c>
      <c r="I1360" s="266">
        <v>1815.0</v>
      </c>
      <c r="J1360" s="266">
        <v>15.5</v>
      </c>
      <c r="K1360" s="266">
        <v>250.0</v>
      </c>
      <c r="L1360" s="266" t="s">
        <v>3361</v>
      </c>
      <c r="M1360" s="266">
        <v>1.0</v>
      </c>
      <c r="N1360" s="266">
        <v>3.0</v>
      </c>
      <c r="O1360" s="266">
        <v>1.0</v>
      </c>
      <c r="P1360" s="266" t="s">
        <v>166</v>
      </c>
      <c r="Q1360" s="266" t="s">
        <v>166</v>
      </c>
      <c r="R1360" s="266" t="s">
        <v>166</v>
      </c>
      <c r="S1360" s="266" t="s">
        <v>174</v>
      </c>
      <c r="T1360" s="494"/>
    </row>
    <row r="1361">
      <c r="A1361" s="494" t="s">
        <v>3401</v>
      </c>
      <c r="B1361" s="495" t="s">
        <v>4041</v>
      </c>
      <c r="C1361" s="452" t="str">
        <f t="shared" si="221"/>
        <v>PNY</v>
      </c>
      <c r="D1361" s="452" t="str">
        <f>HYPERLINK("https://pny.com/geforce-rtx-2080-super-8gb-xlr8-gaming-overclocked-edition","XLR8 Gaming OC")</f>
        <v>XLR8 Gaming OC</v>
      </c>
      <c r="E1361" s="266">
        <v>314.0</v>
      </c>
      <c r="F1361" s="266">
        <v>128.0</v>
      </c>
      <c r="G1361" s="266">
        <v>44.0</v>
      </c>
      <c r="H1361" s="266">
        <v>2.0</v>
      </c>
      <c r="I1361" s="266">
        <v>1860.0</v>
      </c>
      <c r="J1361" s="266">
        <v>15.5</v>
      </c>
      <c r="K1361" s="266">
        <v>250.0</v>
      </c>
      <c r="L1361" s="266" t="s">
        <v>3361</v>
      </c>
      <c r="M1361" s="266">
        <v>3.0</v>
      </c>
      <c r="N1361" s="266">
        <v>3.0</v>
      </c>
      <c r="O1361" s="266">
        <v>1.0</v>
      </c>
      <c r="P1361" s="266" t="s">
        <v>166</v>
      </c>
      <c r="Q1361" s="266" t="s">
        <v>166</v>
      </c>
      <c r="R1361" s="497" t="s">
        <v>166</v>
      </c>
      <c r="S1361" s="497" t="s">
        <v>166</v>
      </c>
      <c r="T1361" s="496"/>
    </row>
    <row r="1362">
      <c r="A1362" s="494" t="s">
        <v>3401</v>
      </c>
      <c r="B1362" s="495" t="s">
        <v>4041</v>
      </c>
      <c r="C1362" s="452" t="str">
        <f t="shared" si="221"/>
        <v>PNY</v>
      </c>
      <c r="D1362" s="452" t="str">
        <f>HYPERLINK("https://pny.com/geforce-rtx-2080-super-8gb-xlr8-gaming-ocv2","XLR8 Gaming OC Triple Fan")</f>
        <v>XLR8 Gaming OC Triple Fan</v>
      </c>
      <c r="E1362" s="266">
        <v>292.0</v>
      </c>
      <c r="F1362" s="266">
        <v>112.0</v>
      </c>
      <c r="G1362" s="266">
        <v>40.0</v>
      </c>
      <c r="H1362" s="266">
        <v>2.0</v>
      </c>
      <c r="I1362" s="266">
        <v>1845.0</v>
      </c>
      <c r="J1362" s="266">
        <v>15.5</v>
      </c>
      <c r="K1362" s="266">
        <v>250.0</v>
      </c>
      <c r="L1362" s="266" t="s">
        <v>3361</v>
      </c>
      <c r="M1362" s="266">
        <v>3.0</v>
      </c>
      <c r="N1362" s="266">
        <v>3.0</v>
      </c>
      <c r="O1362" s="266">
        <v>1.0</v>
      </c>
      <c r="P1362" s="266" t="s">
        <v>166</v>
      </c>
      <c r="Q1362" s="266" t="s">
        <v>166</v>
      </c>
      <c r="R1362" s="497" t="s">
        <v>166</v>
      </c>
      <c r="S1362" s="497" t="s">
        <v>166</v>
      </c>
      <c r="T1362" s="496"/>
    </row>
    <row r="1363">
      <c r="A1363" s="494" t="s">
        <v>3401</v>
      </c>
      <c r="B1363" s="495" t="s">
        <v>4041</v>
      </c>
      <c r="C1363" s="452" t="str">
        <f t="shared" ref="C1363:C1366" si="222">HYPERLINK("http://zotac.com/","ZOTAC")</f>
        <v>ZOTAC</v>
      </c>
      <c r="D1363" s="452" t="str">
        <f>HYPERLINK("https://www.zotac.com/product/graphics_card/zotac-gaming-geforce-rtx-2080-super-twin-fan","Twin Fan")</f>
        <v>Twin Fan</v>
      </c>
      <c r="E1363" s="266">
        <v>268.0</v>
      </c>
      <c r="F1363" s="266">
        <v>113.0</v>
      </c>
      <c r="G1363" s="266">
        <v>38.0</v>
      </c>
      <c r="H1363" s="266">
        <v>2.0</v>
      </c>
      <c r="I1363" s="266">
        <v>1815.0</v>
      </c>
      <c r="J1363" s="266">
        <v>15.5</v>
      </c>
      <c r="K1363" s="266">
        <v>250.0</v>
      </c>
      <c r="L1363" s="266" t="s">
        <v>3361</v>
      </c>
      <c r="M1363" s="266">
        <v>2.0</v>
      </c>
      <c r="N1363" s="266">
        <v>3.0</v>
      </c>
      <c r="O1363" s="266">
        <v>1.0</v>
      </c>
      <c r="P1363" s="266" t="s">
        <v>166</v>
      </c>
      <c r="Q1363" s="266" t="s">
        <v>166</v>
      </c>
      <c r="R1363" s="497" t="s">
        <v>166</v>
      </c>
      <c r="S1363" s="497" t="s">
        <v>166</v>
      </c>
      <c r="T1363" s="496"/>
    </row>
    <row r="1364">
      <c r="A1364" s="494" t="s">
        <v>3401</v>
      </c>
      <c r="B1364" s="495" t="s">
        <v>4041</v>
      </c>
      <c r="C1364" s="452" t="str">
        <f t="shared" si="222"/>
        <v>ZOTAC</v>
      </c>
      <c r="D1364" s="452" t="s">
        <v>4054</v>
      </c>
      <c r="E1364" s="266">
        <v>308.0</v>
      </c>
      <c r="F1364" s="266">
        <v>113.0</v>
      </c>
      <c r="G1364" s="266">
        <v>57.0</v>
      </c>
      <c r="H1364" s="266">
        <v>2.0</v>
      </c>
      <c r="I1364" s="266">
        <v>1815.0</v>
      </c>
      <c r="J1364" s="266">
        <v>15.5</v>
      </c>
      <c r="K1364" s="266">
        <v>250.0</v>
      </c>
      <c r="L1364" s="266" t="s">
        <v>3361</v>
      </c>
      <c r="M1364" s="266">
        <v>3.0</v>
      </c>
      <c r="N1364" s="266">
        <v>3.0</v>
      </c>
      <c r="O1364" s="266">
        <v>1.0</v>
      </c>
      <c r="P1364" s="266" t="s">
        <v>166</v>
      </c>
      <c r="Q1364" s="266" t="s">
        <v>166</v>
      </c>
      <c r="R1364" s="497" t="s">
        <v>166</v>
      </c>
      <c r="S1364" s="497" t="s">
        <v>166</v>
      </c>
      <c r="T1364" s="496"/>
    </row>
    <row r="1365">
      <c r="A1365" s="494" t="s">
        <v>3401</v>
      </c>
      <c r="B1365" s="495" t="s">
        <v>4041</v>
      </c>
      <c r="C1365" s="452" t="str">
        <f t="shared" si="222"/>
        <v>ZOTAC</v>
      </c>
      <c r="D1365" s="452" t="str">
        <f>HYPERLINK("https://www.zotac.com/product/graphics_card/zotac-gaming-geforce-rtx-2080-super-amp","AMP")</f>
        <v>AMP</v>
      </c>
      <c r="E1365" s="266">
        <v>298.0</v>
      </c>
      <c r="F1365" s="266">
        <v>133.0</v>
      </c>
      <c r="G1365" s="266">
        <v>42.0</v>
      </c>
      <c r="H1365" s="266">
        <v>2.0</v>
      </c>
      <c r="I1365" s="266">
        <v>1845.0</v>
      </c>
      <c r="J1365" s="266">
        <v>15.5</v>
      </c>
      <c r="K1365" s="266">
        <v>250.0</v>
      </c>
      <c r="L1365" s="266" t="s">
        <v>3460</v>
      </c>
      <c r="M1365" s="266">
        <v>2.0</v>
      </c>
      <c r="N1365" s="266">
        <v>3.0</v>
      </c>
      <c r="O1365" s="266">
        <v>1.0</v>
      </c>
      <c r="P1365" s="266" t="s">
        <v>166</v>
      </c>
      <c r="Q1365" s="266" t="s">
        <v>166</v>
      </c>
      <c r="R1365" s="497" t="s">
        <v>166</v>
      </c>
      <c r="S1365" s="497" t="s">
        <v>166</v>
      </c>
      <c r="T1365" s="496"/>
    </row>
    <row r="1366">
      <c r="A1366" s="498" t="s">
        <v>3401</v>
      </c>
      <c r="B1366" s="499" t="s">
        <v>4041</v>
      </c>
      <c r="C1366" s="500" t="str">
        <f t="shared" si="222"/>
        <v>ZOTAC</v>
      </c>
      <c r="D1366" s="500" t="s">
        <v>3867</v>
      </c>
      <c r="E1366" s="501">
        <v>324.0</v>
      </c>
      <c r="F1366" s="501">
        <v>136.0</v>
      </c>
      <c r="G1366" s="501">
        <v>59.0</v>
      </c>
      <c r="H1366" s="501">
        <v>2.0</v>
      </c>
      <c r="I1366" s="501">
        <v>1875.0</v>
      </c>
      <c r="J1366" s="501">
        <v>15.5</v>
      </c>
      <c r="K1366" s="501">
        <v>250.0</v>
      </c>
      <c r="L1366" s="501" t="s">
        <v>3460</v>
      </c>
      <c r="M1366" s="501">
        <v>3.0</v>
      </c>
      <c r="N1366" s="501">
        <v>3.0</v>
      </c>
      <c r="O1366" s="501">
        <v>1.0</v>
      </c>
      <c r="P1366" s="501" t="s">
        <v>166</v>
      </c>
      <c r="Q1366" s="501" t="s">
        <v>166</v>
      </c>
      <c r="R1366" s="502" t="s">
        <v>166</v>
      </c>
      <c r="S1366" s="502" t="s">
        <v>166</v>
      </c>
      <c r="T1366" s="503"/>
    </row>
    <row r="1367">
      <c r="A1367" s="504" t="s">
        <v>3401</v>
      </c>
      <c r="B1367" s="505" t="s">
        <v>4055</v>
      </c>
      <c r="C1367" s="282" t="str">
        <f t="shared" ref="C1367:C1375" si="223">HYPERLINK("https://www.asus.com/","Asus")</f>
        <v>Asus</v>
      </c>
      <c r="D1367" s="506" t="s">
        <v>3810</v>
      </c>
      <c r="E1367" s="507">
        <v>269.0</v>
      </c>
      <c r="F1367" s="507">
        <v>114.0</v>
      </c>
      <c r="G1367" s="507">
        <v>42.0</v>
      </c>
      <c r="H1367" s="507">
        <v>2.0</v>
      </c>
      <c r="I1367" s="507">
        <v>1560.0</v>
      </c>
      <c r="J1367" s="507">
        <v>14.0</v>
      </c>
      <c r="K1367" s="507">
        <v>250.0</v>
      </c>
      <c r="L1367" s="507" t="s">
        <v>3460</v>
      </c>
      <c r="M1367" s="507">
        <v>1.0</v>
      </c>
      <c r="N1367" s="507">
        <v>2.0</v>
      </c>
      <c r="O1367" s="507">
        <v>1.0</v>
      </c>
      <c r="P1367" s="507">
        <v>1.0</v>
      </c>
      <c r="Q1367" s="507" t="s">
        <v>166</v>
      </c>
      <c r="R1367" s="507" t="s">
        <v>166</v>
      </c>
      <c r="S1367" s="507" t="s">
        <v>174</v>
      </c>
      <c r="T1367" s="494"/>
    </row>
    <row r="1368">
      <c r="A1368" s="494" t="s">
        <v>3401</v>
      </c>
      <c r="B1368" s="495" t="s">
        <v>4055</v>
      </c>
      <c r="C1368" s="174" t="str">
        <f t="shared" si="223"/>
        <v>Asus</v>
      </c>
      <c r="D1368" s="452" t="s">
        <v>3372</v>
      </c>
      <c r="E1368" s="266">
        <v>268.0</v>
      </c>
      <c r="F1368" s="266">
        <v>114.0</v>
      </c>
      <c r="G1368" s="266">
        <v>58.0</v>
      </c>
      <c r="H1368" s="266">
        <v>2.0</v>
      </c>
      <c r="I1368" s="266">
        <v>1560.0</v>
      </c>
      <c r="J1368" s="266">
        <v>14.0</v>
      </c>
      <c r="K1368" s="266">
        <v>250.0</v>
      </c>
      <c r="L1368" s="266" t="s">
        <v>3460</v>
      </c>
      <c r="M1368" s="266">
        <v>2.0</v>
      </c>
      <c r="N1368" s="266">
        <v>3.0</v>
      </c>
      <c r="O1368" s="266">
        <v>1.0</v>
      </c>
      <c r="P1368" s="266">
        <v>1.0</v>
      </c>
      <c r="Q1368" s="266" t="s">
        <v>166</v>
      </c>
      <c r="R1368" s="497" t="s">
        <v>166</v>
      </c>
      <c r="S1368" s="497" t="s">
        <v>166</v>
      </c>
      <c r="T1368" s="496"/>
    </row>
    <row r="1369">
      <c r="A1369" s="494" t="s">
        <v>3401</v>
      </c>
      <c r="B1369" s="495" t="s">
        <v>4055</v>
      </c>
      <c r="C1369" s="174" t="str">
        <f t="shared" si="223"/>
        <v>Asus</v>
      </c>
      <c r="D1369" s="452" t="s">
        <v>3909</v>
      </c>
      <c r="E1369" s="266">
        <v>268.0</v>
      </c>
      <c r="F1369" s="266">
        <v>114.0</v>
      </c>
      <c r="G1369" s="266">
        <v>58.0</v>
      </c>
      <c r="H1369" s="266">
        <v>2.0</v>
      </c>
      <c r="I1369" s="266">
        <v>1575.0</v>
      </c>
      <c r="J1369" s="266">
        <v>14.0</v>
      </c>
      <c r="K1369" s="266">
        <v>260.0</v>
      </c>
      <c r="L1369" s="266" t="s">
        <v>3460</v>
      </c>
      <c r="M1369" s="266">
        <v>2.0</v>
      </c>
      <c r="N1369" s="266">
        <v>3.0</v>
      </c>
      <c r="O1369" s="266">
        <v>1.0</v>
      </c>
      <c r="P1369" s="266">
        <v>1.0</v>
      </c>
      <c r="Q1369" s="266" t="s">
        <v>166</v>
      </c>
      <c r="R1369" s="497" t="s">
        <v>166</v>
      </c>
      <c r="S1369" s="497" t="s">
        <v>166</v>
      </c>
      <c r="T1369" s="496"/>
    </row>
    <row r="1370">
      <c r="A1370" s="494" t="s">
        <v>3401</v>
      </c>
      <c r="B1370" s="495" t="s">
        <v>4055</v>
      </c>
      <c r="C1370" s="174" t="str">
        <f t="shared" si="223"/>
        <v>Asus</v>
      </c>
      <c r="D1370" s="452" t="s">
        <v>3381</v>
      </c>
      <c r="E1370" s="266">
        <v>268.0</v>
      </c>
      <c r="F1370" s="266">
        <v>114.0</v>
      </c>
      <c r="G1370" s="266">
        <v>58.0</v>
      </c>
      <c r="H1370" s="266">
        <v>2.0</v>
      </c>
      <c r="I1370" s="266">
        <v>1650.0</v>
      </c>
      <c r="J1370" s="266">
        <v>14.0</v>
      </c>
      <c r="K1370" s="266">
        <v>260.0</v>
      </c>
      <c r="L1370" s="266" t="s">
        <v>3460</v>
      </c>
      <c r="M1370" s="266">
        <v>2.0</v>
      </c>
      <c r="N1370" s="266">
        <v>3.0</v>
      </c>
      <c r="O1370" s="266">
        <v>1.0</v>
      </c>
      <c r="P1370" s="266">
        <v>1.0</v>
      </c>
      <c r="Q1370" s="266" t="s">
        <v>166</v>
      </c>
      <c r="R1370" s="497" t="s">
        <v>166</v>
      </c>
      <c r="S1370" s="497" t="s">
        <v>166</v>
      </c>
      <c r="T1370" s="496"/>
    </row>
    <row r="1371">
      <c r="A1371" s="494" t="s">
        <v>3401</v>
      </c>
      <c r="B1371" s="495" t="s">
        <v>4055</v>
      </c>
      <c r="C1371" s="174" t="str">
        <f t="shared" si="223"/>
        <v>Asus</v>
      </c>
      <c r="D1371" s="452" t="s">
        <v>3631</v>
      </c>
      <c r="E1371" s="266">
        <v>304.7</v>
      </c>
      <c r="F1371" s="266">
        <v>130.4</v>
      </c>
      <c r="G1371" s="266">
        <v>54.1</v>
      </c>
      <c r="H1371" s="266">
        <v>2.0</v>
      </c>
      <c r="I1371" s="266">
        <v>1560.0</v>
      </c>
      <c r="J1371" s="266">
        <v>14.0</v>
      </c>
      <c r="K1371" s="266">
        <v>250.0</v>
      </c>
      <c r="L1371" s="266" t="s">
        <v>3460</v>
      </c>
      <c r="M1371" s="266">
        <v>3.0</v>
      </c>
      <c r="N1371" s="266">
        <v>2.0</v>
      </c>
      <c r="O1371" s="266">
        <v>2.0</v>
      </c>
      <c r="P1371" s="266">
        <v>1.0</v>
      </c>
      <c r="Q1371" s="266" t="s">
        <v>166</v>
      </c>
      <c r="R1371" s="497" t="s">
        <v>166</v>
      </c>
      <c r="S1371" s="497" t="s">
        <v>166</v>
      </c>
      <c r="T1371" s="496"/>
    </row>
    <row r="1372">
      <c r="A1372" s="494" t="s">
        <v>3401</v>
      </c>
      <c r="B1372" s="495" t="s">
        <v>4055</v>
      </c>
      <c r="C1372" s="174" t="str">
        <f t="shared" si="223"/>
        <v>Asus</v>
      </c>
      <c r="D1372" s="452" t="s">
        <v>3642</v>
      </c>
      <c r="E1372" s="266">
        <v>304.7</v>
      </c>
      <c r="F1372" s="266">
        <v>130.4</v>
      </c>
      <c r="G1372" s="266">
        <v>54.1</v>
      </c>
      <c r="H1372" s="266">
        <v>2.0</v>
      </c>
      <c r="I1372" s="266">
        <v>1590.0</v>
      </c>
      <c r="J1372" s="266">
        <v>14.0</v>
      </c>
      <c r="K1372" s="266">
        <v>250.0</v>
      </c>
      <c r="L1372" s="266" t="s">
        <v>3460</v>
      </c>
      <c r="M1372" s="266">
        <v>3.0</v>
      </c>
      <c r="N1372" s="266">
        <v>2.0</v>
      </c>
      <c r="O1372" s="266">
        <v>2.0</v>
      </c>
      <c r="P1372" s="266">
        <v>1.0</v>
      </c>
      <c r="Q1372" s="266" t="s">
        <v>166</v>
      </c>
      <c r="R1372" s="497" t="s">
        <v>166</v>
      </c>
      <c r="S1372" s="497" t="s">
        <v>166</v>
      </c>
      <c r="T1372" s="496"/>
    </row>
    <row r="1373">
      <c r="A1373" s="494" t="s">
        <v>3401</v>
      </c>
      <c r="B1373" s="495" t="s">
        <v>4055</v>
      </c>
      <c r="C1373" s="174" t="str">
        <f t="shared" si="223"/>
        <v>Asus</v>
      </c>
      <c r="D1373" s="452" t="s">
        <v>3643</v>
      </c>
      <c r="E1373" s="621">
        <v>304.7</v>
      </c>
      <c r="F1373" s="622">
        <v>130.4</v>
      </c>
      <c r="G1373" s="623">
        <v>54.1</v>
      </c>
      <c r="H1373" s="518">
        <v>2.0</v>
      </c>
      <c r="I1373" s="266">
        <v>1665.0</v>
      </c>
      <c r="J1373" s="266">
        <v>14.0</v>
      </c>
      <c r="K1373" s="266">
        <v>260.0</v>
      </c>
      <c r="L1373" s="266" t="s">
        <v>3460</v>
      </c>
      <c r="M1373" s="266">
        <v>3.0</v>
      </c>
      <c r="N1373" s="266">
        <v>2.0</v>
      </c>
      <c r="O1373" s="266">
        <v>2.0</v>
      </c>
      <c r="P1373" s="266">
        <v>1.0</v>
      </c>
      <c r="Q1373" s="266" t="s">
        <v>166</v>
      </c>
      <c r="R1373" s="497" t="s">
        <v>166</v>
      </c>
      <c r="S1373" s="497" t="s">
        <v>166</v>
      </c>
      <c r="T1373" s="496"/>
    </row>
    <row r="1374">
      <c r="A1374" s="494" t="s">
        <v>3401</v>
      </c>
      <c r="B1374" s="495" t="s">
        <v>4055</v>
      </c>
      <c r="C1374" s="174" t="str">
        <f t="shared" si="223"/>
        <v>Asus</v>
      </c>
      <c r="D1374" s="452" t="s">
        <v>4042</v>
      </c>
      <c r="E1374" s="621">
        <v>304.7</v>
      </c>
      <c r="F1374" s="622">
        <v>130.4</v>
      </c>
      <c r="G1374" s="623">
        <v>54.1</v>
      </c>
      <c r="H1374" s="518">
        <v>2.0</v>
      </c>
      <c r="I1374" s="266">
        <v>1770.0</v>
      </c>
      <c r="J1374" s="266">
        <v>14.8</v>
      </c>
      <c r="K1374" s="266">
        <v>250.0</v>
      </c>
      <c r="L1374" s="266" t="s">
        <v>3460</v>
      </c>
      <c r="M1374" s="266">
        <v>3.0</v>
      </c>
      <c r="N1374" s="266">
        <v>2.0</v>
      </c>
      <c r="O1374" s="266">
        <v>2.0</v>
      </c>
      <c r="P1374" s="266">
        <v>1.0</v>
      </c>
      <c r="Q1374" s="266" t="s">
        <v>166</v>
      </c>
      <c r="R1374" s="497" t="s">
        <v>166</v>
      </c>
      <c r="S1374" s="497" t="s">
        <v>166</v>
      </c>
      <c r="T1374" s="496"/>
    </row>
    <row r="1375">
      <c r="A1375" s="494" t="s">
        <v>3401</v>
      </c>
      <c r="B1375" s="495" t="s">
        <v>4055</v>
      </c>
      <c r="C1375" s="174" t="str">
        <f t="shared" si="223"/>
        <v>Asus</v>
      </c>
      <c r="D1375" s="452" t="s">
        <v>4056</v>
      </c>
      <c r="E1375" s="266">
        <v>310.0</v>
      </c>
      <c r="F1375" s="266">
        <v>135.0</v>
      </c>
      <c r="G1375" s="266">
        <v>59.6</v>
      </c>
      <c r="H1375" s="266">
        <v>2.0</v>
      </c>
      <c r="I1375" s="266">
        <v>1815.0</v>
      </c>
      <c r="J1375" s="266">
        <v>14.8</v>
      </c>
      <c r="K1375" s="266">
        <v>300.0</v>
      </c>
      <c r="L1375" s="266" t="s">
        <v>3460</v>
      </c>
      <c r="M1375" s="266">
        <v>3.0</v>
      </c>
      <c r="N1375" s="266">
        <v>2.0</v>
      </c>
      <c r="O1375" s="266">
        <v>2.0</v>
      </c>
      <c r="P1375" s="266">
        <v>1.0</v>
      </c>
      <c r="Q1375" s="266" t="s">
        <v>166</v>
      </c>
      <c r="R1375" s="497" t="s">
        <v>166</v>
      </c>
      <c r="S1375" s="497" t="s">
        <v>166</v>
      </c>
      <c r="T1375" s="496"/>
    </row>
    <row r="1376">
      <c r="A1376" s="494" t="s">
        <v>3401</v>
      </c>
      <c r="B1376" s="495" t="s">
        <v>4055</v>
      </c>
      <c r="C1376" s="452" t="s">
        <v>3575</v>
      </c>
      <c r="D1376" s="452" t="s">
        <v>3810</v>
      </c>
      <c r="E1376" s="266">
        <v>280.0</v>
      </c>
      <c r="F1376" s="518">
        <v>127.0</v>
      </c>
      <c r="G1376" s="518">
        <v>42.0</v>
      </c>
      <c r="H1376" s="518">
        <v>2.0</v>
      </c>
      <c r="I1376" s="266">
        <v>1545.0</v>
      </c>
      <c r="J1376" s="266">
        <v>14.0</v>
      </c>
      <c r="K1376" s="266">
        <v>250.0</v>
      </c>
      <c r="L1376" s="266" t="s">
        <v>3460</v>
      </c>
      <c r="M1376" s="266">
        <v>1.0</v>
      </c>
      <c r="N1376" s="266">
        <v>3.0</v>
      </c>
      <c r="O1376" s="266">
        <v>1.0</v>
      </c>
      <c r="P1376" s="266" t="s">
        <v>166</v>
      </c>
      <c r="Q1376" s="266" t="s">
        <v>166</v>
      </c>
      <c r="R1376" s="266" t="s">
        <v>166</v>
      </c>
      <c r="S1376" s="266" t="s">
        <v>174</v>
      </c>
      <c r="T1376" s="494"/>
    </row>
    <row r="1377">
      <c r="A1377" s="494" t="s">
        <v>3401</v>
      </c>
      <c r="B1377" s="495" t="s">
        <v>4055</v>
      </c>
      <c r="C1377" s="452" t="s">
        <v>3575</v>
      </c>
      <c r="D1377" s="452" t="s">
        <v>4026</v>
      </c>
      <c r="E1377" s="266">
        <v>296.0</v>
      </c>
      <c r="F1377" s="518">
        <v>140.0</v>
      </c>
      <c r="G1377" s="518">
        <v>46.0</v>
      </c>
      <c r="H1377" s="518">
        <v>2.0</v>
      </c>
      <c r="I1377" s="266">
        <v>1545.0</v>
      </c>
      <c r="J1377" s="266">
        <v>14.0</v>
      </c>
      <c r="K1377" s="266">
        <v>250.0</v>
      </c>
      <c r="L1377" s="266" t="s">
        <v>3460</v>
      </c>
      <c r="M1377" s="266">
        <v>2.0</v>
      </c>
      <c r="N1377" s="266">
        <v>3.0</v>
      </c>
      <c r="O1377" s="266">
        <v>1.0</v>
      </c>
      <c r="P1377" s="266">
        <v>1.0</v>
      </c>
      <c r="Q1377" s="266" t="s">
        <v>166</v>
      </c>
      <c r="R1377" s="497" t="s">
        <v>166</v>
      </c>
      <c r="S1377" s="497" t="s">
        <v>166</v>
      </c>
      <c r="T1377" s="496"/>
    </row>
    <row r="1378">
      <c r="A1378" s="494" t="s">
        <v>3401</v>
      </c>
      <c r="B1378" s="495" t="s">
        <v>4055</v>
      </c>
      <c r="C1378" s="452" t="s">
        <v>3575</v>
      </c>
      <c r="D1378" s="452" t="s">
        <v>4027</v>
      </c>
      <c r="E1378" s="266">
        <v>315.0</v>
      </c>
      <c r="F1378" s="518">
        <v>136.0</v>
      </c>
      <c r="G1378" s="518">
        <v>53.0</v>
      </c>
      <c r="H1378" s="518">
        <v>2.0</v>
      </c>
      <c r="I1378" s="266">
        <v>1545.0</v>
      </c>
      <c r="J1378" s="266">
        <v>14.0</v>
      </c>
      <c r="K1378" s="266">
        <v>250.0</v>
      </c>
      <c r="L1378" s="266" t="s">
        <v>3460</v>
      </c>
      <c r="M1378" s="266">
        <v>3.0</v>
      </c>
      <c r="N1378" s="266">
        <v>3.0</v>
      </c>
      <c r="O1378" s="266">
        <v>1.0</v>
      </c>
      <c r="P1378" s="266">
        <v>1.0</v>
      </c>
      <c r="Q1378" s="266" t="s">
        <v>166</v>
      </c>
      <c r="R1378" s="497" t="s">
        <v>166</v>
      </c>
      <c r="S1378" s="497" t="s">
        <v>166</v>
      </c>
      <c r="T1378" s="496"/>
    </row>
    <row r="1379">
      <c r="A1379" s="494" t="s">
        <v>3401</v>
      </c>
      <c r="B1379" s="495" t="s">
        <v>4055</v>
      </c>
      <c r="C1379" s="452" t="s">
        <v>3575</v>
      </c>
      <c r="D1379" s="452" t="s">
        <v>3889</v>
      </c>
      <c r="E1379" s="266">
        <v>315.0</v>
      </c>
      <c r="F1379" s="518">
        <v>136.0</v>
      </c>
      <c r="G1379" s="518">
        <v>53.0</v>
      </c>
      <c r="H1379" s="518">
        <v>2.0</v>
      </c>
      <c r="I1379" s="266">
        <v>1635.0</v>
      </c>
      <c r="J1379" s="266">
        <v>14.0</v>
      </c>
      <c r="K1379" s="266">
        <v>250.0</v>
      </c>
      <c r="L1379" s="266" t="s">
        <v>3460</v>
      </c>
      <c r="M1379" s="266">
        <v>3.0</v>
      </c>
      <c r="N1379" s="266">
        <v>3.0</v>
      </c>
      <c r="O1379" s="266">
        <v>1.0</v>
      </c>
      <c r="P1379" s="266">
        <v>1.0</v>
      </c>
      <c r="Q1379" s="266" t="s">
        <v>166</v>
      </c>
      <c r="R1379" s="497" t="s">
        <v>166</v>
      </c>
      <c r="S1379" s="497" t="s">
        <v>166</v>
      </c>
      <c r="T1379" s="496"/>
    </row>
    <row r="1380">
      <c r="A1380" s="494" t="s">
        <v>3401</v>
      </c>
      <c r="B1380" s="495" t="s">
        <v>4055</v>
      </c>
      <c r="C1380" s="452" t="s">
        <v>3575</v>
      </c>
      <c r="D1380" s="452" t="s">
        <v>3814</v>
      </c>
      <c r="E1380" s="266">
        <v>318.0</v>
      </c>
      <c r="F1380" s="518">
        <v>147.0</v>
      </c>
      <c r="G1380" s="518">
        <v>59.0</v>
      </c>
      <c r="H1380" s="518">
        <v>2.0</v>
      </c>
      <c r="I1380" s="266">
        <v>1770.0</v>
      </c>
      <c r="J1380" s="266">
        <v>14.0</v>
      </c>
      <c r="K1380" s="266">
        <v>250.0</v>
      </c>
      <c r="L1380" s="266" t="s">
        <v>3734</v>
      </c>
      <c r="M1380" s="266">
        <v>3.0</v>
      </c>
      <c r="N1380" s="266">
        <v>3.0</v>
      </c>
      <c r="O1380" s="266">
        <v>1.0</v>
      </c>
      <c r="P1380" s="266">
        <v>1.0</v>
      </c>
      <c r="Q1380" s="266" t="s">
        <v>166</v>
      </c>
      <c r="R1380" s="497" t="s">
        <v>166</v>
      </c>
      <c r="S1380" s="497" t="s">
        <v>166</v>
      </c>
      <c r="T1380" s="496"/>
    </row>
    <row r="1381">
      <c r="A1381" s="494" t="s">
        <v>3401</v>
      </c>
      <c r="B1381" s="495" t="s">
        <v>4055</v>
      </c>
      <c r="C1381" s="452" t="s">
        <v>3575</v>
      </c>
      <c r="D1381" s="452" t="s">
        <v>4057</v>
      </c>
      <c r="E1381" s="266">
        <v>293.4</v>
      </c>
      <c r="F1381" s="518">
        <v>147.0</v>
      </c>
      <c r="G1381" s="518">
        <v>45.0</v>
      </c>
      <c r="H1381" s="518">
        <v>2.0</v>
      </c>
      <c r="I1381" s="266">
        <v>1740.0</v>
      </c>
      <c r="J1381" s="266">
        <v>14.0</v>
      </c>
      <c r="K1381" s="266">
        <v>250.0</v>
      </c>
      <c r="L1381" s="266" t="s">
        <v>3734</v>
      </c>
      <c r="M1381" s="266">
        <v>1.0</v>
      </c>
      <c r="N1381" s="266">
        <v>3.0</v>
      </c>
      <c r="O1381" s="266">
        <v>1.0</v>
      </c>
      <c r="P1381" s="266">
        <v>1.0</v>
      </c>
      <c r="Q1381" s="266" t="s">
        <v>166</v>
      </c>
      <c r="R1381" s="266" t="s">
        <v>174</v>
      </c>
      <c r="S1381" s="266" t="s">
        <v>174</v>
      </c>
      <c r="T1381" s="494"/>
    </row>
    <row r="1382">
      <c r="A1382" s="494" t="s">
        <v>3401</v>
      </c>
      <c r="B1382" s="495" t="s">
        <v>4055</v>
      </c>
      <c r="C1382" s="452" t="s">
        <v>3575</v>
      </c>
      <c r="D1382" s="452" t="s">
        <v>3816</v>
      </c>
      <c r="E1382" s="266">
        <v>317.0</v>
      </c>
      <c r="F1382" s="518">
        <v>166.2</v>
      </c>
      <c r="G1382" s="518">
        <v>62.0</v>
      </c>
      <c r="H1382" s="518">
        <v>3.0</v>
      </c>
      <c r="I1382" s="266">
        <v>1815.0</v>
      </c>
      <c r="J1382" s="266">
        <v>14.0</v>
      </c>
      <c r="K1382" s="266">
        <v>250.0</v>
      </c>
      <c r="L1382" s="266" t="s">
        <v>3734</v>
      </c>
      <c r="M1382" s="266">
        <v>3.0</v>
      </c>
      <c r="N1382" s="266">
        <v>3.0</v>
      </c>
      <c r="O1382" s="266">
        <v>1.0</v>
      </c>
      <c r="P1382" s="266">
        <v>1.0</v>
      </c>
      <c r="Q1382" s="266" t="s">
        <v>166</v>
      </c>
      <c r="R1382" s="266" t="s">
        <v>174</v>
      </c>
      <c r="S1382" s="497" t="s">
        <v>166</v>
      </c>
      <c r="T1382" s="494"/>
    </row>
    <row r="1383">
      <c r="A1383" s="494" t="s">
        <v>3401</v>
      </c>
      <c r="B1383" s="495" t="s">
        <v>4055</v>
      </c>
      <c r="C1383" s="174" t="s">
        <v>3405</v>
      </c>
      <c r="D1383" s="452" t="s">
        <v>4058</v>
      </c>
      <c r="E1383" s="266">
        <v>269.0</v>
      </c>
      <c r="F1383" s="518">
        <v>112.0</v>
      </c>
      <c r="G1383" s="518">
        <v>40.0</v>
      </c>
      <c r="H1383" s="518">
        <v>2.0</v>
      </c>
      <c r="I1383" s="266">
        <v>1545.0</v>
      </c>
      <c r="J1383" s="266">
        <v>14.0</v>
      </c>
      <c r="K1383" s="266">
        <v>250.0</v>
      </c>
      <c r="L1383" s="266" t="s">
        <v>3460</v>
      </c>
      <c r="M1383" s="266">
        <v>1.0</v>
      </c>
      <c r="N1383" s="266">
        <v>3.0</v>
      </c>
      <c r="O1383" s="266">
        <v>1.0</v>
      </c>
      <c r="P1383" s="266" t="s">
        <v>166</v>
      </c>
      <c r="Q1383" s="266" t="s">
        <v>166</v>
      </c>
      <c r="R1383" s="266" t="s">
        <v>166</v>
      </c>
      <c r="S1383" s="266" t="s">
        <v>174</v>
      </c>
      <c r="T1383" s="494"/>
    </row>
    <row r="1384">
      <c r="A1384" s="494" t="s">
        <v>3401</v>
      </c>
      <c r="B1384" s="495" t="s">
        <v>4055</v>
      </c>
      <c r="C1384" s="174" t="s">
        <v>3405</v>
      </c>
      <c r="D1384" s="452" t="s">
        <v>3974</v>
      </c>
      <c r="E1384" s="266">
        <v>292.0</v>
      </c>
      <c r="F1384" s="518">
        <v>112.0</v>
      </c>
      <c r="G1384" s="518">
        <v>58.0</v>
      </c>
      <c r="H1384" s="518">
        <v>2.0</v>
      </c>
      <c r="I1384" s="266">
        <v>1650.0</v>
      </c>
      <c r="J1384" s="266">
        <v>14.0</v>
      </c>
      <c r="K1384" s="266">
        <v>250.0</v>
      </c>
      <c r="L1384" s="266" t="s">
        <v>3460</v>
      </c>
      <c r="M1384" s="266">
        <v>3.0</v>
      </c>
      <c r="N1384" s="266">
        <v>3.0</v>
      </c>
      <c r="O1384" s="266">
        <v>1.0</v>
      </c>
      <c r="P1384" s="266">
        <v>1.0</v>
      </c>
      <c r="Q1384" s="266" t="s">
        <v>166</v>
      </c>
      <c r="R1384" s="266" t="s">
        <v>166</v>
      </c>
      <c r="S1384" s="497" t="s">
        <v>166</v>
      </c>
      <c r="T1384" s="496"/>
    </row>
    <row r="1385">
      <c r="A1385" s="494" t="s">
        <v>3401</v>
      </c>
      <c r="B1385" s="495" t="s">
        <v>4055</v>
      </c>
      <c r="C1385" s="174" t="s">
        <v>3405</v>
      </c>
      <c r="D1385" s="452" t="s">
        <v>4059</v>
      </c>
      <c r="E1385" s="266">
        <v>292.0</v>
      </c>
      <c r="F1385" s="518">
        <v>112.0</v>
      </c>
      <c r="G1385" s="518">
        <v>58.0</v>
      </c>
      <c r="H1385" s="518">
        <v>2.0</v>
      </c>
      <c r="I1385" s="266">
        <v>1650.0</v>
      </c>
      <c r="J1385" s="266">
        <v>14.0</v>
      </c>
      <c r="K1385" s="266">
        <v>250.0</v>
      </c>
      <c r="L1385" s="266" t="s">
        <v>3460</v>
      </c>
      <c r="M1385" s="266">
        <v>3.0</v>
      </c>
      <c r="N1385" s="266">
        <v>3.0</v>
      </c>
      <c r="O1385" s="266">
        <v>1.0</v>
      </c>
      <c r="P1385" s="266">
        <v>1.0</v>
      </c>
      <c r="Q1385" s="266" t="s">
        <v>166</v>
      </c>
      <c r="R1385" s="266" t="s">
        <v>166</v>
      </c>
      <c r="S1385" s="497" t="s">
        <v>166</v>
      </c>
      <c r="T1385" s="496"/>
    </row>
    <row r="1386">
      <c r="A1386" s="494" t="s">
        <v>3401</v>
      </c>
      <c r="B1386" s="495" t="s">
        <v>4055</v>
      </c>
      <c r="C1386" s="174" t="str">
        <f t="shared" ref="C1386:C1399" si="224">HYPERLINK("https://www.evga.com/","EVGA")</f>
        <v>EVGA</v>
      </c>
      <c r="D1386" s="452" t="s">
        <v>3409</v>
      </c>
      <c r="E1386" s="266">
        <v>265.63</v>
      </c>
      <c r="F1386" s="266">
        <v>111.15</v>
      </c>
      <c r="G1386" s="266">
        <v>40.0</v>
      </c>
      <c r="H1386" s="266">
        <v>2.0</v>
      </c>
      <c r="I1386" s="266">
        <v>1545.0</v>
      </c>
      <c r="J1386" s="266">
        <v>14.0</v>
      </c>
      <c r="K1386" s="266">
        <v>250.0</v>
      </c>
      <c r="L1386" s="266" t="s">
        <v>3460</v>
      </c>
      <c r="M1386" s="266">
        <v>1.0</v>
      </c>
      <c r="N1386" s="266">
        <v>2.0</v>
      </c>
      <c r="O1386" s="266">
        <v>1.0</v>
      </c>
      <c r="P1386" s="266">
        <v>1.0</v>
      </c>
      <c r="Q1386" s="266" t="s">
        <v>166</v>
      </c>
      <c r="R1386" s="266" t="s">
        <v>166</v>
      </c>
      <c r="S1386" s="266" t="s">
        <v>174</v>
      </c>
      <c r="T1386" s="494"/>
    </row>
    <row r="1387">
      <c r="A1387" s="494" t="s">
        <v>3401</v>
      </c>
      <c r="B1387" s="495" t="s">
        <v>4055</v>
      </c>
      <c r="C1387" s="174" t="str">
        <f t="shared" si="224"/>
        <v>EVGA</v>
      </c>
      <c r="D1387" s="452" t="s">
        <v>3512</v>
      </c>
      <c r="E1387" s="266">
        <v>269.83</v>
      </c>
      <c r="F1387" s="266">
        <v>111.15</v>
      </c>
      <c r="G1387" s="266">
        <v>40.0</v>
      </c>
      <c r="H1387" s="266">
        <v>2.0</v>
      </c>
      <c r="I1387" s="266">
        <v>1545.0</v>
      </c>
      <c r="J1387" s="266">
        <v>14.0</v>
      </c>
      <c r="K1387" s="266">
        <v>250.0</v>
      </c>
      <c r="L1387" s="266" t="s">
        <v>3460</v>
      </c>
      <c r="M1387" s="266">
        <v>2.0</v>
      </c>
      <c r="N1387" s="266">
        <v>3.0</v>
      </c>
      <c r="O1387" s="266">
        <v>1.0</v>
      </c>
      <c r="P1387" s="266">
        <v>1.0</v>
      </c>
      <c r="Q1387" s="266" t="s">
        <v>166</v>
      </c>
      <c r="R1387" s="266" t="s">
        <v>166</v>
      </c>
      <c r="S1387" s="497" t="s">
        <v>166</v>
      </c>
      <c r="T1387" s="496"/>
    </row>
    <row r="1388">
      <c r="A1388" s="494" t="s">
        <v>3401</v>
      </c>
      <c r="B1388" s="495" t="s">
        <v>4055</v>
      </c>
      <c r="C1388" s="174" t="str">
        <f t="shared" si="224"/>
        <v>EVGA</v>
      </c>
      <c r="D1388" s="452" t="s">
        <v>3506</v>
      </c>
      <c r="E1388" s="266">
        <v>269.83</v>
      </c>
      <c r="F1388" s="266">
        <v>111.15</v>
      </c>
      <c r="G1388" s="266">
        <v>40.0</v>
      </c>
      <c r="H1388" s="266">
        <v>2.0</v>
      </c>
      <c r="I1388" s="266">
        <v>1560.0</v>
      </c>
      <c r="J1388" s="266">
        <v>14.0</v>
      </c>
      <c r="K1388" s="266">
        <v>250.0</v>
      </c>
      <c r="L1388" s="266" t="s">
        <v>3460</v>
      </c>
      <c r="M1388" s="266">
        <v>2.0</v>
      </c>
      <c r="N1388" s="266">
        <v>3.0</v>
      </c>
      <c r="O1388" s="266">
        <v>1.0</v>
      </c>
      <c r="P1388" s="266">
        <v>1.0</v>
      </c>
      <c r="Q1388" s="266" t="s">
        <v>166</v>
      </c>
      <c r="R1388" s="266" t="s">
        <v>166</v>
      </c>
      <c r="S1388" s="497" t="s">
        <v>166</v>
      </c>
      <c r="T1388" s="494"/>
    </row>
    <row r="1389">
      <c r="A1389" s="494" t="s">
        <v>3401</v>
      </c>
      <c r="B1389" s="495" t="s">
        <v>4055</v>
      </c>
      <c r="C1389" s="174" t="str">
        <f t="shared" si="224"/>
        <v>EVGA</v>
      </c>
      <c r="D1389" s="452" t="s">
        <v>3513</v>
      </c>
      <c r="E1389" s="266">
        <v>269.83</v>
      </c>
      <c r="F1389" s="266">
        <v>111.15</v>
      </c>
      <c r="G1389" s="266">
        <v>40.0</v>
      </c>
      <c r="H1389" s="266">
        <v>2.0</v>
      </c>
      <c r="I1389" s="266">
        <v>1635.0</v>
      </c>
      <c r="J1389" s="266">
        <v>14.0</v>
      </c>
      <c r="K1389" s="266">
        <v>260.0</v>
      </c>
      <c r="L1389" s="266" t="s">
        <v>3460</v>
      </c>
      <c r="M1389" s="266">
        <v>2.0</v>
      </c>
      <c r="N1389" s="266">
        <v>3.0</v>
      </c>
      <c r="O1389" s="266">
        <v>1.0</v>
      </c>
      <c r="P1389" s="266">
        <v>1.0</v>
      </c>
      <c r="Q1389" s="266" t="s">
        <v>166</v>
      </c>
      <c r="R1389" s="266" t="s">
        <v>166</v>
      </c>
      <c r="S1389" s="497" t="s">
        <v>166</v>
      </c>
      <c r="T1389" s="496"/>
    </row>
    <row r="1390">
      <c r="A1390" s="494" t="s">
        <v>3401</v>
      </c>
      <c r="B1390" s="495" t="s">
        <v>4055</v>
      </c>
      <c r="C1390" s="174" t="str">
        <f t="shared" si="224"/>
        <v>EVGA</v>
      </c>
      <c r="D1390" s="452" t="s">
        <v>3895</v>
      </c>
      <c r="E1390" s="266">
        <v>269.83</v>
      </c>
      <c r="F1390" s="266">
        <v>111.15</v>
      </c>
      <c r="G1390" s="266">
        <v>55.0</v>
      </c>
      <c r="H1390" s="266">
        <v>3.0</v>
      </c>
      <c r="I1390" s="266">
        <v>1650.0</v>
      </c>
      <c r="J1390" s="266">
        <v>14.0</v>
      </c>
      <c r="K1390" s="266">
        <v>260.0</v>
      </c>
      <c r="L1390" s="266" t="s">
        <v>3460</v>
      </c>
      <c r="M1390" s="266">
        <v>2.0</v>
      </c>
      <c r="N1390" s="266">
        <v>3.0</v>
      </c>
      <c r="O1390" s="266">
        <v>1.0</v>
      </c>
      <c r="P1390" s="266">
        <v>1.0</v>
      </c>
      <c r="Q1390" s="266" t="s">
        <v>166</v>
      </c>
      <c r="R1390" s="266" t="s">
        <v>166</v>
      </c>
      <c r="S1390" s="497" t="s">
        <v>166</v>
      </c>
      <c r="T1390" s="496"/>
    </row>
    <row r="1391">
      <c r="A1391" s="494" t="s">
        <v>3401</v>
      </c>
      <c r="B1391" s="495" t="s">
        <v>4055</v>
      </c>
      <c r="C1391" s="174" t="str">
        <f t="shared" si="224"/>
        <v>EVGA</v>
      </c>
      <c r="D1391" s="452" t="s">
        <v>4029</v>
      </c>
      <c r="E1391" s="266">
        <v>269.83</v>
      </c>
      <c r="F1391" s="266">
        <v>111.15</v>
      </c>
      <c r="G1391" s="266">
        <v>55.0</v>
      </c>
      <c r="H1391" s="266">
        <v>3.0</v>
      </c>
      <c r="I1391" s="266">
        <v>1545.0</v>
      </c>
      <c r="J1391" s="266">
        <v>14.0</v>
      </c>
      <c r="K1391" s="266">
        <v>250.0</v>
      </c>
      <c r="L1391" s="266" t="s">
        <v>3460</v>
      </c>
      <c r="M1391" s="266">
        <v>2.0</v>
      </c>
      <c r="N1391" s="266">
        <v>3.0</v>
      </c>
      <c r="O1391" s="266">
        <v>1.0</v>
      </c>
      <c r="P1391" s="266">
        <v>1.0</v>
      </c>
      <c r="Q1391" s="266" t="s">
        <v>166</v>
      </c>
      <c r="R1391" s="266" t="s">
        <v>166</v>
      </c>
      <c r="S1391" s="497" t="s">
        <v>166</v>
      </c>
      <c r="T1391" s="494"/>
    </row>
    <row r="1392">
      <c r="A1392" s="494" t="s">
        <v>3401</v>
      </c>
      <c r="B1392" s="495" t="s">
        <v>4055</v>
      </c>
      <c r="C1392" s="174" t="str">
        <f t="shared" si="224"/>
        <v>EVGA</v>
      </c>
      <c r="D1392" s="452" t="s">
        <v>4030</v>
      </c>
      <c r="E1392" s="266">
        <v>269.83</v>
      </c>
      <c r="F1392" s="266">
        <v>111.15</v>
      </c>
      <c r="G1392" s="266">
        <v>55.0</v>
      </c>
      <c r="H1392" s="266">
        <v>3.0</v>
      </c>
      <c r="I1392" s="266">
        <v>1650.0</v>
      </c>
      <c r="J1392" s="266">
        <v>14.0</v>
      </c>
      <c r="K1392" s="266">
        <v>260.0</v>
      </c>
      <c r="L1392" s="266" t="s">
        <v>3460</v>
      </c>
      <c r="M1392" s="266">
        <v>2.0</v>
      </c>
      <c r="N1392" s="266">
        <v>3.0</v>
      </c>
      <c r="O1392" s="266">
        <v>1.0</v>
      </c>
      <c r="P1392" s="266">
        <v>1.0</v>
      </c>
      <c r="Q1392" s="266" t="s">
        <v>166</v>
      </c>
      <c r="R1392" s="266" t="s">
        <v>166</v>
      </c>
      <c r="S1392" s="497" t="s">
        <v>166</v>
      </c>
      <c r="T1392" s="494"/>
    </row>
    <row r="1393">
      <c r="A1393" s="494" t="s">
        <v>3401</v>
      </c>
      <c r="B1393" s="495" t="s">
        <v>4055</v>
      </c>
      <c r="C1393" s="174" t="str">
        <f t="shared" si="224"/>
        <v>EVGA</v>
      </c>
      <c r="D1393" s="452" t="s">
        <v>3823</v>
      </c>
      <c r="E1393" s="266">
        <v>301.92</v>
      </c>
      <c r="F1393" s="266">
        <v>139.3</v>
      </c>
      <c r="G1393" s="266">
        <v>55.0</v>
      </c>
      <c r="H1393" s="266">
        <v>3.0</v>
      </c>
      <c r="I1393" s="266">
        <v>1545.0</v>
      </c>
      <c r="J1393" s="266">
        <v>14.0</v>
      </c>
      <c r="K1393" s="266">
        <v>250.0</v>
      </c>
      <c r="L1393" s="266" t="s">
        <v>3460</v>
      </c>
      <c r="M1393" s="266">
        <v>3.0</v>
      </c>
      <c r="N1393" s="266">
        <v>3.0</v>
      </c>
      <c r="O1393" s="266">
        <v>1.0</v>
      </c>
      <c r="P1393" s="266">
        <v>1.0</v>
      </c>
      <c r="Q1393" s="266" t="s">
        <v>166</v>
      </c>
      <c r="R1393" s="266" t="s">
        <v>166</v>
      </c>
      <c r="S1393" s="497" t="s">
        <v>166</v>
      </c>
      <c r="T1393" s="494"/>
    </row>
    <row r="1394">
      <c r="A1394" s="494" t="s">
        <v>3401</v>
      </c>
      <c r="B1394" s="495" t="s">
        <v>4055</v>
      </c>
      <c r="C1394" s="174" t="str">
        <f t="shared" si="224"/>
        <v>EVGA</v>
      </c>
      <c r="D1394" s="452" t="s">
        <v>3979</v>
      </c>
      <c r="E1394" s="266">
        <v>301.92</v>
      </c>
      <c r="F1394" s="266">
        <v>139.3</v>
      </c>
      <c r="G1394" s="266">
        <v>55.0</v>
      </c>
      <c r="H1394" s="266">
        <v>3.0</v>
      </c>
      <c r="I1394" s="266">
        <v>1755.0</v>
      </c>
      <c r="J1394" s="266">
        <v>14.0</v>
      </c>
      <c r="K1394" s="266">
        <v>300.0</v>
      </c>
      <c r="L1394" s="266" t="s">
        <v>3460</v>
      </c>
      <c r="M1394" s="266">
        <v>3.0</v>
      </c>
      <c r="N1394" s="266">
        <v>3.0</v>
      </c>
      <c r="O1394" s="266">
        <v>1.0</v>
      </c>
      <c r="P1394" s="266">
        <v>1.0</v>
      </c>
      <c r="Q1394" s="266" t="s">
        <v>166</v>
      </c>
      <c r="R1394" s="266" t="s">
        <v>166</v>
      </c>
      <c r="S1394" s="497" t="s">
        <v>166</v>
      </c>
      <c r="T1394" s="494"/>
    </row>
    <row r="1395">
      <c r="A1395" s="494" t="s">
        <v>3401</v>
      </c>
      <c r="B1395" s="495" t="s">
        <v>4055</v>
      </c>
      <c r="C1395" s="174" t="str">
        <f t="shared" si="224"/>
        <v>EVGA</v>
      </c>
      <c r="D1395" s="452" t="s">
        <v>4009</v>
      </c>
      <c r="E1395" s="266">
        <v>265.63</v>
      </c>
      <c r="F1395" s="266">
        <v>113.65</v>
      </c>
      <c r="G1395" s="266">
        <v>40.0</v>
      </c>
      <c r="H1395" s="266">
        <v>2.0</v>
      </c>
      <c r="I1395" s="266">
        <v>1635.0</v>
      </c>
      <c r="J1395" s="266">
        <v>14.0</v>
      </c>
      <c r="K1395" s="266">
        <v>260.0</v>
      </c>
      <c r="L1395" s="266" t="s">
        <v>3460</v>
      </c>
      <c r="M1395" s="266">
        <v>1.0</v>
      </c>
      <c r="N1395" s="266">
        <v>3.0</v>
      </c>
      <c r="O1395" s="266">
        <v>1.0</v>
      </c>
      <c r="P1395" s="266">
        <v>1.0</v>
      </c>
      <c r="Q1395" s="266" t="s">
        <v>166</v>
      </c>
      <c r="R1395" s="266" t="s">
        <v>174</v>
      </c>
      <c r="S1395" s="497" t="s">
        <v>166</v>
      </c>
      <c r="T1395" s="494"/>
    </row>
    <row r="1396">
      <c r="A1396" s="494" t="s">
        <v>3401</v>
      </c>
      <c r="B1396" s="495" t="s">
        <v>4055</v>
      </c>
      <c r="C1396" s="174" t="str">
        <f t="shared" si="224"/>
        <v>EVGA</v>
      </c>
      <c r="D1396" s="452" t="s">
        <v>4031</v>
      </c>
      <c r="E1396" s="266">
        <v>290.83</v>
      </c>
      <c r="F1396" s="266">
        <v>139.3</v>
      </c>
      <c r="G1396" s="266">
        <v>40.0</v>
      </c>
      <c r="H1396" s="266">
        <v>2.0</v>
      </c>
      <c r="I1396" s="266">
        <v>1755.0</v>
      </c>
      <c r="J1396" s="266">
        <v>14.0</v>
      </c>
      <c r="K1396" s="266">
        <v>300.0</v>
      </c>
      <c r="L1396" s="266" t="s">
        <v>3460</v>
      </c>
      <c r="M1396" s="266">
        <v>1.0</v>
      </c>
      <c r="N1396" s="266">
        <v>3.0</v>
      </c>
      <c r="O1396" s="266">
        <v>1.0</v>
      </c>
      <c r="P1396" s="266">
        <v>1.0</v>
      </c>
      <c r="Q1396" s="266" t="s">
        <v>166</v>
      </c>
      <c r="R1396" s="266" t="s">
        <v>174</v>
      </c>
      <c r="S1396" s="497" t="s">
        <v>166</v>
      </c>
      <c r="T1396" s="494"/>
    </row>
    <row r="1397">
      <c r="A1397" s="494" t="s">
        <v>3401</v>
      </c>
      <c r="B1397" s="495" t="s">
        <v>4055</v>
      </c>
      <c r="C1397" s="174" t="str">
        <f t="shared" si="224"/>
        <v>EVGA</v>
      </c>
      <c r="D1397" s="452" t="s">
        <v>4043</v>
      </c>
      <c r="E1397" s="266">
        <v>266.1</v>
      </c>
      <c r="F1397" s="266">
        <v>115.5</v>
      </c>
      <c r="G1397" s="266">
        <v>40.0</v>
      </c>
      <c r="H1397" s="266">
        <v>2.0</v>
      </c>
      <c r="I1397" s="266">
        <v>1545.0</v>
      </c>
      <c r="J1397" s="266">
        <v>14.0</v>
      </c>
      <c r="K1397" s="266">
        <v>260.0</v>
      </c>
      <c r="L1397" s="266" t="s">
        <v>3460</v>
      </c>
      <c r="M1397" s="266" t="s">
        <v>166</v>
      </c>
      <c r="N1397" s="266">
        <v>3.0</v>
      </c>
      <c r="O1397" s="266">
        <v>1.0</v>
      </c>
      <c r="P1397" s="266">
        <v>1.0</v>
      </c>
      <c r="Q1397" s="266" t="s">
        <v>166</v>
      </c>
      <c r="R1397" s="266" t="s">
        <v>174</v>
      </c>
      <c r="S1397" s="497" t="s">
        <v>166</v>
      </c>
      <c r="T1397" s="494"/>
    </row>
    <row r="1398">
      <c r="A1398" s="494" t="s">
        <v>3401</v>
      </c>
      <c r="B1398" s="495" t="s">
        <v>4055</v>
      </c>
      <c r="C1398" s="174" t="str">
        <f t="shared" si="224"/>
        <v>EVGA</v>
      </c>
      <c r="D1398" s="452" t="s">
        <v>4032</v>
      </c>
      <c r="E1398" s="266">
        <v>290.87</v>
      </c>
      <c r="F1398" s="266">
        <v>158.55</v>
      </c>
      <c r="G1398" s="266">
        <v>40.0</v>
      </c>
      <c r="H1398" s="266">
        <v>2.0</v>
      </c>
      <c r="I1398" s="266">
        <v>1755.0</v>
      </c>
      <c r="J1398" s="266">
        <v>14.0</v>
      </c>
      <c r="K1398" s="266">
        <v>300.0</v>
      </c>
      <c r="L1398" s="266" t="s">
        <v>3460</v>
      </c>
      <c r="M1398" s="266" t="s">
        <v>166</v>
      </c>
      <c r="N1398" s="266">
        <v>3.0</v>
      </c>
      <c r="O1398" s="266">
        <v>1.0</v>
      </c>
      <c r="P1398" s="266">
        <v>1.0</v>
      </c>
      <c r="Q1398" s="266" t="s">
        <v>166</v>
      </c>
      <c r="R1398" s="266" t="s">
        <v>174</v>
      </c>
      <c r="S1398" s="497" t="s">
        <v>166</v>
      </c>
      <c r="T1398" s="494"/>
    </row>
    <row r="1399">
      <c r="A1399" s="494" t="s">
        <v>3401</v>
      </c>
      <c r="B1399" s="495" t="s">
        <v>4055</v>
      </c>
      <c r="C1399" s="174" t="str">
        <f t="shared" si="224"/>
        <v>EVGA</v>
      </c>
      <c r="D1399" s="452" t="s">
        <v>3830</v>
      </c>
      <c r="E1399" s="266">
        <v>290.83</v>
      </c>
      <c r="F1399" s="266">
        <v>139.3</v>
      </c>
      <c r="G1399" s="266">
        <v>40.0</v>
      </c>
      <c r="H1399" s="266">
        <v>2.0</v>
      </c>
      <c r="I1399" s="266">
        <v>1770.0</v>
      </c>
      <c r="J1399" s="266">
        <v>14.0</v>
      </c>
      <c r="K1399" s="266">
        <v>250.0</v>
      </c>
      <c r="L1399" s="266" t="s">
        <v>3734</v>
      </c>
      <c r="M1399" s="266">
        <v>1.0</v>
      </c>
      <c r="N1399" s="266">
        <v>3.0</v>
      </c>
      <c r="O1399" s="266">
        <v>1.0</v>
      </c>
      <c r="P1399" s="266">
        <v>1.0</v>
      </c>
      <c r="Q1399" s="266" t="s">
        <v>166</v>
      </c>
      <c r="R1399" s="266" t="s">
        <v>174</v>
      </c>
      <c r="S1399" s="497" t="s">
        <v>166</v>
      </c>
      <c r="T1399" s="494"/>
    </row>
    <row r="1400">
      <c r="A1400" s="494" t="s">
        <v>3401</v>
      </c>
      <c r="B1400" s="495" t="s">
        <v>4055</v>
      </c>
      <c r="C1400" s="452" t="str">
        <f t="shared" ref="C1400:C1401" si="225">HYPERLINK("http://www.gainward.com/main/index.php?lang=en","Gainward")</f>
        <v>Gainward</v>
      </c>
      <c r="D1400" s="452" t="s">
        <v>3371</v>
      </c>
      <c r="E1400" s="266">
        <v>292.0</v>
      </c>
      <c r="F1400" s="266">
        <v>112.0</v>
      </c>
      <c r="G1400" s="266">
        <v>50.0</v>
      </c>
      <c r="H1400" s="266">
        <v>2.0</v>
      </c>
      <c r="I1400" s="266">
        <v>1575.0</v>
      </c>
      <c r="J1400" s="266">
        <v>14.0</v>
      </c>
      <c r="K1400" s="266">
        <v>250.0</v>
      </c>
      <c r="L1400" s="266" t="s">
        <v>3460</v>
      </c>
      <c r="M1400" s="266">
        <v>3.0</v>
      </c>
      <c r="N1400" s="266">
        <v>3.0</v>
      </c>
      <c r="O1400" s="266">
        <v>1.0</v>
      </c>
      <c r="P1400" s="266">
        <v>1.0</v>
      </c>
      <c r="Q1400" s="266" t="s">
        <v>166</v>
      </c>
      <c r="R1400" s="497" t="s">
        <v>166</v>
      </c>
      <c r="S1400" s="497" t="s">
        <v>166</v>
      </c>
      <c r="T1400" s="496"/>
    </row>
    <row r="1401">
      <c r="A1401" s="494" t="s">
        <v>3401</v>
      </c>
      <c r="B1401" s="495" t="s">
        <v>4055</v>
      </c>
      <c r="C1401" s="452" t="str">
        <f t="shared" si="225"/>
        <v>Gainward</v>
      </c>
      <c r="D1401" s="452" t="s">
        <v>3917</v>
      </c>
      <c r="E1401" s="266">
        <v>292.0</v>
      </c>
      <c r="F1401" s="266">
        <v>112.0</v>
      </c>
      <c r="G1401" s="266">
        <v>50.0</v>
      </c>
      <c r="H1401" s="266">
        <v>2.0</v>
      </c>
      <c r="I1401" s="266">
        <v>1650.0</v>
      </c>
      <c r="J1401" s="266">
        <v>14.0</v>
      </c>
      <c r="K1401" s="266">
        <v>250.0</v>
      </c>
      <c r="L1401" s="266" t="s">
        <v>3460</v>
      </c>
      <c r="M1401" s="266">
        <v>3.0</v>
      </c>
      <c r="N1401" s="266">
        <v>3.0</v>
      </c>
      <c r="O1401" s="266">
        <v>1.0</v>
      </c>
      <c r="P1401" s="266">
        <v>1.0</v>
      </c>
      <c r="Q1401" s="266" t="s">
        <v>166</v>
      </c>
      <c r="R1401" s="497" t="s">
        <v>166</v>
      </c>
      <c r="S1401" s="497" t="s">
        <v>166</v>
      </c>
      <c r="T1401" s="496"/>
    </row>
    <row r="1402">
      <c r="A1402" s="494" t="s">
        <v>3401</v>
      </c>
      <c r="B1402" s="495" t="s">
        <v>4055</v>
      </c>
      <c r="C1402" s="174" t="s">
        <v>3456</v>
      </c>
      <c r="D1402" s="452" t="str">
        <f>HYPERLINK("http://www.galax.com/en/graphics-card/20-series/2080ti-series/galax-geforce-rtx-2080ti-vt-ti.html","RTX 2080 Ti")</f>
        <v>RTX 2080 Ti</v>
      </c>
      <c r="E1402" s="266">
        <v>268.0</v>
      </c>
      <c r="F1402" s="266">
        <v>113.0</v>
      </c>
      <c r="G1402" s="266">
        <v>40.0</v>
      </c>
      <c r="H1402" s="266">
        <v>2.0</v>
      </c>
      <c r="I1402" s="266">
        <v>1545.0</v>
      </c>
      <c r="J1402" s="266">
        <v>14.0</v>
      </c>
      <c r="K1402" s="266">
        <v>250.0</v>
      </c>
      <c r="L1402" s="266" t="s">
        <v>3460</v>
      </c>
      <c r="M1402" s="266">
        <v>1.0</v>
      </c>
      <c r="N1402" s="266">
        <v>3.0</v>
      </c>
      <c r="O1402" s="266">
        <v>1.0</v>
      </c>
      <c r="P1402" s="266">
        <v>1.0</v>
      </c>
      <c r="Q1402" s="266" t="s">
        <v>166</v>
      </c>
      <c r="R1402" s="266" t="s">
        <v>166</v>
      </c>
      <c r="S1402" s="266" t="s">
        <v>174</v>
      </c>
      <c r="T1402" s="494"/>
    </row>
    <row r="1403">
      <c r="A1403" s="494" t="s">
        <v>3401</v>
      </c>
      <c r="B1403" s="495" t="s">
        <v>4055</v>
      </c>
      <c r="C1403" s="174" t="s">
        <v>3456</v>
      </c>
      <c r="D1403" s="452" t="s">
        <v>4060</v>
      </c>
      <c r="E1403" s="266">
        <v>268.0</v>
      </c>
      <c r="F1403" s="266">
        <v>123.0</v>
      </c>
      <c r="G1403" s="266">
        <v>38.0</v>
      </c>
      <c r="H1403" s="266">
        <v>2.0</v>
      </c>
      <c r="I1403" s="266">
        <v>1590.0</v>
      </c>
      <c r="J1403" s="266">
        <v>14.0</v>
      </c>
      <c r="K1403" s="266">
        <v>250.0</v>
      </c>
      <c r="L1403" s="266" t="s">
        <v>3460</v>
      </c>
      <c r="M1403" s="266">
        <v>2.0</v>
      </c>
      <c r="N1403" s="266">
        <v>3.0</v>
      </c>
      <c r="O1403" s="266">
        <v>1.0</v>
      </c>
      <c r="P1403" s="266">
        <v>1.0</v>
      </c>
      <c r="Q1403" s="266" t="s">
        <v>166</v>
      </c>
      <c r="R1403" s="497" t="s">
        <v>166</v>
      </c>
      <c r="S1403" s="497" t="s">
        <v>166</v>
      </c>
      <c r="T1403" s="496"/>
    </row>
    <row r="1404">
      <c r="A1404" s="494" t="s">
        <v>3401</v>
      </c>
      <c r="B1404" s="495" t="s">
        <v>4055</v>
      </c>
      <c r="C1404" s="174" t="s">
        <v>3456</v>
      </c>
      <c r="D1404" s="452" t="s">
        <v>4061</v>
      </c>
      <c r="E1404" s="266">
        <v>268.0</v>
      </c>
      <c r="F1404" s="266">
        <v>123.0</v>
      </c>
      <c r="G1404" s="266">
        <v>38.0</v>
      </c>
      <c r="H1404" s="266">
        <v>2.0</v>
      </c>
      <c r="I1404" s="266">
        <v>1590.0</v>
      </c>
      <c r="J1404" s="266">
        <v>14.0</v>
      </c>
      <c r="K1404" s="266">
        <v>250.0</v>
      </c>
      <c r="L1404" s="266" t="s">
        <v>3460</v>
      </c>
      <c r="M1404" s="266">
        <v>2.0</v>
      </c>
      <c r="N1404" s="266">
        <v>3.0</v>
      </c>
      <c r="O1404" s="266">
        <v>1.0</v>
      </c>
      <c r="P1404" s="266" t="s">
        <v>166</v>
      </c>
      <c r="Q1404" s="266" t="s">
        <v>166</v>
      </c>
      <c r="R1404" s="497" t="s">
        <v>166</v>
      </c>
      <c r="S1404" s="497" t="s">
        <v>166</v>
      </c>
      <c r="T1404" s="496"/>
    </row>
    <row r="1405">
      <c r="A1405" s="494" t="s">
        <v>3401</v>
      </c>
      <c r="B1405" s="495" t="s">
        <v>4055</v>
      </c>
      <c r="C1405" s="174" t="s">
        <v>3456</v>
      </c>
      <c r="D1405" s="452" t="str">
        <f>HYPERLINK("http://www.galax.com/en/graphics-card/20-series/2080ti-series/galax-geforce-rtx-2080ti-dualwhite-1clickoc.html","White (1-Click OC)")</f>
        <v>White (1-Click OC)</v>
      </c>
      <c r="E1405" s="266">
        <v>268.0</v>
      </c>
      <c r="F1405" s="266">
        <v>123.0</v>
      </c>
      <c r="G1405" s="266">
        <v>38.0</v>
      </c>
      <c r="H1405" s="266">
        <v>2.0</v>
      </c>
      <c r="I1405" s="266">
        <v>1590.0</v>
      </c>
      <c r="J1405" s="266">
        <v>14.0</v>
      </c>
      <c r="K1405" s="266">
        <v>250.0</v>
      </c>
      <c r="L1405" s="266" t="s">
        <v>3460</v>
      </c>
      <c r="M1405" s="266">
        <v>2.0</v>
      </c>
      <c r="N1405" s="266">
        <v>3.0</v>
      </c>
      <c r="O1405" s="266">
        <v>1.0</v>
      </c>
      <c r="P1405" s="266">
        <v>1.0</v>
      </c>
      <c r="Q1405" s="266" t="s">
        <v>166</v>
      </c>
      <c r="R1405" s="497" t="s">
        <v>166</v>
      </c>
      <c r="S1405" s="497" t="s">
        <v>166</v>
      </c>
      <c r="T1405" s="496"/>
    </row>
    <row r="1406">
      <c r="A1406" s="494" t="s">
        <v>3401</v>
      </c>
      <c r="B1406" s="495" t="s">
        <v>4055</v>
      </c>
      <c r="C1406" s="174" t="s">
        <v>3456</v>
      </c>
      <c r="D1406" s="452" t="str">
        <f>HYPERLINK("http://www.galax.com/en/graphics-card/20-series/2080ti-series/galax-geforce-rtx-2080ti-oc-black.html","OC")</f>
        <v>OC</v>
      </c>
      <c r="E1406" s="266">
        <v>268.0</v>
      </c>
      <c r="F1406" s="266">
        <v>123.0</v>
      </c>
      <c r="G1406" s="266">
        <v>38.0</v>
      </c>
      <c r="H1406" s="266">
        <v>2.0</v>
      </c>
      <c r="I1406" s="266">
        <v>1620.0</v>
      </c>
      <c r="J1406" s="266">
        <v>14.0</v>
      </c>
      <c r="K1406" s="266">
        <v>250.0</v>
      </c>
      <c r="L1406" s="266" t="s">
        <v>3460</v>
      </c>
      <c r="M1406" s="266">
        <v>2.0</v>
      </c>
      <c r="N1406" s="266">
        <v>3.0</v>
      </c>
      <c r="O1406" s="266">
        <v>1.0</v>
      </c>
      <c r="P1406" s="266">
        <v>1.0</v>
      </c>
      <c r="Q1406" s="266" t="s">
        <v>166</v>
      </c>
      <c r="R1406" s="497" t="s">
        <v>166</v>
      </c>
      <c r="S1406" s="497" t="s">
        <v>166</v>
      </c>
      <c r="T1406" s="496"/>
    </row>
    <row r="1407">
      <c r="A1407" s="494" t="s">
        <v>3401</v>
      </c>
      <c r="B1407" s="495" t="s">
        <v>4055</v>
      </c>
      <c r="C1407" s="174" t="s">
        <v>3456</v>
      </c>
      <c r="D1407" s="452" t="str">
        <f>HYPERLINK("http://www.galax.com/en/graphics-card/20-series/2080ti-series/galax-geforce-rtx-2080ti-oc-white.html","OC White")</f>
        <v>OC White</v>
      </c>
      <c r="E1407" s="266">
        <v>268.0</v>
      </c>
      <c r="F1407" s="266">
        <v>123.0</v>
      </c>
      <c r="G1407" s="266">
        <v>38.0</v>
      </c>
      <c r="H1407" s="266">
        <v>2.0</v>
      </c>
      <c r="I1407" s="266">
        <v>1635.0</v>
      </c>
      <c r="J1407" s="266">
        <v>14.0</v>
      </c>
      <c r="K1407" s="266">
        <v>250.0</v>
      </c>
      <c r="L1407" s="266" t="s">
        <v>3460</v>
      </c>
      <c r="M1407" s="266">
        <v>2.0</v>
      </c>
      <c r="N1407" s="266">
        <v>3.0</v>
      </c>
      <c r="O1407" s="266">
        <v>1.0</v>
      </c>
      <c r="P1407" s="266">
        <v>1.0</v>
      </c>
      <c r="Q1407" s="266" t="s">
        <v>166</v>
      </c>
      <c r="R1407" s="497" t="s">
        <v>166</v>
      </c>
      <c r="S1407" s="497" t="s">
        <v>166</v>
      </c>
      <c r="T1407" s="496"/>
    </row>
    <row r="1408">
      <c r="A1408" s="494" t="s">
        <v>3401</v>
      </c>
      <c r="B1408" s="495" t="s">
        <v>4055</v>
      </c>
      <c r="C1408" s="174" t="s">
        <v>3456</v>
      </c>
      <c r="D1408" s="452" t="s">
        <v>4062</v>
      </c>
      <c r="E1408" s="266">
        <v>308.0</v>
      </c>
      <c r="F1408" s="266">
        <v>110.0</v>
      </c>
      <c r="G1408" s="266">
        <v>47.0</v>
      </c>
      <c r="H1408" s="266">
        <v>2.0</v>
      </c>
      <c r="I1408" s="266">
        <v>1590.0</v>
      </c>
      <c r="J1408" s="266">
        <v>14.0</v>
      </c>
      <c r="K1408" s="266">
        <v>250.0</v>
      </c>
      <c r="L1408" s="266" t="s">
        <v>3460</v>
      </c>
      <c r="M1408" s="266">
        <v>3.0</v>
      </c>
      <c r="N1408" s="266">
        <v>3.0</v>
      </c>
      <c r="O1408" s="266">
        <v>1.0</v>
      </c>
      <c r="P1408" s="266">
        <v>1.0</v>
      </c>
      <c r="Q1408" s="266" t="s">
        <v>166</v>
      </c>
      <c r="R1408" s="497" t="s">
        <v>166</v>
      </c>
      <c r="S1408" s="497" t="s">
        <v>166</v>
      </c>
      <c r="T1408" s="496"/>
    </row>
    <row r="1409">
      <c r="A1409" s="494" t="s">
        <v>3401</v>
      </c>
      <c r="B1409" s="495" t="s">
        <v>4055</v>
      </c>
      <c r="C1409" s="174" t="s">
        <v>3456</v>
      </c>
      <c r="D1409" s="452" t="s">
        <v>4063</v>
      </c>
      <c r="E1409" s="266">
        <v>308.0</v>
      </c>
      <c r="F1409" s="266">
        <v>110.0</v>
      </c>
      <c r="G1409" s="266">
        <v>47.0</v>
      </c>
      <c r="H1409" s="266">
        <v>2.0</v>
      </c>
      <c r="I1409" s="266">
        <v>1605.0</v>
      </c>
      <c r="J1409" s="266">
        <v>14.0</v>
      </c>
      <c r="K1409" s="266">
        <v>250.0</v>
      </c>
      <c r="L1409" s="266" t="s">
        <v>3460</v>
      </c>
      <c r="M1409" s="266">
        <v>3.0</v>
      </c>
      <c r="N1409" s="266">
        <v>3.0</v>
      </c>
      <c r="O1409" s="266">
        <v>1.0</v>
      </c>
      <c r="P1409" s="266" t="s">
        <v>166</v>
      </c>
      <c r="Q1409" s="266" t="s">
        <v>166</v>
      </c>
      <c r="R1409" s="497" t="s">
        <v>166</v>
      </c>
      <c r="S1409" s="497" t="s">
        <v>166</v>
      </c>
      <c r="T1409" s="496"/>
    </row>
    <row r="1410">
      <c r="A1410" s="494" t="s">
        <v>3401</v>
      </c>
      <c r="B1410" s="495" t="s">
        <v>4055</v>
      </c>
      <c r="C1410" s="174" t="s">
        <v>3456</v>
      </c>
      <c r="D1410" s="452" t="s">
        <v>3987</v>
      </c>
      <c r="E1410" s="266">
        <v>308.0</v>
      </c>
      <c r="F1410" s="266">
        <v>110.0</v>
      </c>
      <c r="G1410" s="266">
        <v>47.0</v>
      </c>
      <c r="H1410" s="266">
        <v>2.0</v>
      </c>
      <c r="I1410" s="266">
        <v>1635.0</v>
      </c>
      <c r="J1410" s="266">
        <v>14.0</v>
      </c>
      <c r="K1410" s="266">
        <v>250.0</v>
      </c>
      <c r="L1410" s="266" t="s">
        <v>3460</v>
      </c>
      <c r="M1410" s="266">
        <v>3.0</v>
      </c>
      <c r="N1410" s="266">
        <v>3.0</v>
      </c>
      <c r="O1410" s="266">
        <v>1.0</v>
      </c>
      <c r="P1410" s="266">
        <v>1.0</v>
      </c>
      <c r="Q1410" s="266" t="s">
        <v>166</v>
      </c>
      <c r="R1410" s="497" t="s">
        <v>166</v>
      </c>
      <c r="S1410" s="497" t="s">
        <v>166</v>
      </c>
      <c r="T1410" s="496"/>
    </row>
    <row r="1411">
      <c r="A1411" s="494" t="s">
        <v>3401</v>
      </c>
      <c r="B1411" s="495" t="s">
        <v>4055</v>
      </c>
      <c r="C1411" s="174" t="s">
        <v>3456</v>
      </c>
      <c r="D1411" s="452" t="s">
        <v>3837</v>
      </c>
      <c r="E1411" s="266">
        <v>330.0</v>
      </c>
      <c r="F1411" s="266">
        <v>145.0</v>
      </c>
      <c r="G1411" s="266">
        <v>57.0</v>
      </c>
      <c r="H1411" s="266">
        <v>2.0</v>
      </c>
      <c r="I1411" s="266">
        <v>1635.0</v>
      </c>
      <c r="J1411" s="266">
        <v>14.0</v>
      </c>
      <c r="K1411" s="266">
        <v>300.0</v>
      </c>
      <c r="L1411" s="266" t="s">
        <v>3734</v>
      </c>
      <c r="M1411" s="266">
        <v>3.0</v>
      </c>
      <c r="N1411" s="266">
        <v>3.0</v>
      </c>
      <c r="O1411" s="266">
        <v>1.0</v>
      </c>
      <c r="P1411" s="266">
        <v>1.0</v>
      </c>
      <c r="Q1411" s="266" t="s">
        <v>166</v>
      </c>
      <c r="R1411" s="497" t="s">
        <v>166</v>
      </c>
      <c r="S1411" s="497" t="s">
        <v>166</v>
      </c>
      <c r="T1411" s="496"/>
    </row>
    <row r="1412">
      <c r="A1412" s="494" t="s">
        <v>3401</v>
      </c>
      <c r="B1412" s="495" t="s">
        <v>4055</v>
      </c>
      <c r="C1412" s="174" t="s">
        <v>3456</v>
      </c>
      <c r="D1412" s="452" t="s">
        <v>4015</v>
      </c>
      <c r="E1412" s="266">
        <v>320.0</v>
      </c>
      <c r="F1412" s="266">
        <v>165.0</v>
      </c>
      <c r="G1412" s="266">
        <v>58.0</v>
      </c>
      <c r="H1412" s="266">
        <v>2.0</v>
      </c>
      <c r="I1412" s="266">
        <v>1740.0</v>
      </c>
      <c r="J1412" s="266">
        <v>14.0</v>
      </c>
      <c r="K1412" s="266">
        <v>300.0</v>
      </c>
      <c r="L1412" s="266" t="s">
        <v>3734</v>
      </c>
      <c r="M1412" s="266">
        <v>3.0</v>
      </c>
      <c r="N1412" s="266">
        <v>3.0</v>
      </c>
      <c r="O1412" s="266">
        <v>1.0</v>
      </c>
      <c r="P1412" s="266">
        <v>1.0</v>
      </c>
      <c r="Q1412" s="266" t="s">
        <v>166</v>
      </c>
      <c r="R1412" s="266" t="s">
        <v>174</v>
      </c>
      <c r="S1412" s="497" t="s">
        <v>166</v>
      </c>
      <c r="T1412" s="494"/>
    </row>
    <row r="1413">
      <c r="A1413" s="494" t="s">
        <v>3401</v>
      </c>
      <c r="B1413" s="495" t="s">
        <v>4055</v>
      </c>
      <c r="C1413" s="174" t="str">
        <f t="shared" ref="C1413:C1422" si="226">HYPERLINK("https://www.gigabyte.com/","Gigabyte")</f>
        <v>Gigabyte</v>
      </c>
      <c r="D1413" s="452" t="s">
        <v>4037</v>
      </c>
      <c r="E1413" s="266">
        <v>267.2</v>
      </c>
      <c r="F1413" s="266">
        <v>113.65</v>
      </c>
      <c r="G1413" s="266">
        <v>35.1</v>
      </c>
      <c r="H1413" s="266">
        <v>2.0</v>
      </c>
      <c r="I1413" s="266">
        <v>1545.0</v>
      </c>
      <c r="J1413" s="266">
        <v>14.0</v>
      </c>
      <c r="K1413" s="266">
        <v>250.0</v>
      </c>
      <c r="L1413" s="266" t="s">
        <v>3460</v>
      </c>
      <c r="M1413" s="266">
        <v>1.0</v>
      </c>
      <c r="N1413" s="266">
        <v>3.0</v>
      </c>
      <c r="O1413" s="266">
        <v>1.0</v>
      </c>
      <c r="P1413" s="266">
        <v>1.0</v>
      </c>
      <c r="Q1413" s="266" t="s">
        <v>166</v>
      </c>
      <c r="R1413" s="266" t="s">
        <v>166</v>
      </c>
      <c r="S1413" s="266" t="s">
        <v>174</v>
      </c>
      <c r="T1413" s="494"/>
    </row>
    <row r="1414">
      <c r="A1414" s="494" t="s">
        <v>3401</v>
      </c>
      <c r="B1414" s="495" t="s">
        <v>4055</v>
      </c>
      <c r="C1414" s="174" t="str">
        <f t="shared" si="226"/>
        <v>Gigabyte</v>
      </c>
      <c r="D1414" s="452" t="s">
        <v>4038</v>
      </c>
      <c r="E1414" s="266">
        <v>267.2</v>
      </c>
      <c r="F1414" s="266">
        <v>113.65</v>
      </c>
      <c r="G1414" s="266">
        <v>35.1</v>
      </c>
      <c r="H1414" s="266">
        <v>2.0</v>
      </c>
      <c r="I1414" s="266">
        <v>1620.0</v>
      </c>
      <c r="J1414" s="266">
        <v>14.0</v>
      </c>
      <c r="K1414" s="266">
        <v>250.0</v>
      </c>
      <c r="L1414" s="266" t="s">
        <v>3460</v>
      </c>
      <c r="M1414" s="266">
        <v>1.0</v>
      </c>
      <c r="N1414" s="266">
        <v>3.0</v>
      </c>
      <c r="O1414" s="266">
        <v>1.0</v>
      </c>
      <c r="P1414" s="266">
        <v>1.0</v>
      </c>
      <c r="Q1414" s="266" t="s">
        <v>166</v>
      </c>
      <c r="R1414" s="266" t="s">
        <v>166</v>
      </c>
      <c r="S1414" s="266" t="s">
        <v>174</v>
      </c>
      <c r="T1414" s="494"/>
    </row>
    <row r="1415">
      <c r="A1415" s="494" t="s">
        <v>3401</v>
      </c>
      <c r="B1415" s="495" t="s">
        <v>4055</v>
      </c>
      <c r="C1415" s="174" t="str">
        <f t="shared" si="226"/>
        <v>Gigabyte</v>
      </c>
      <c r="D1415" s="452" t="s">
        <v>4064</v>
      </c>
      <c r="E1415" s="266">
        <v>271.0</v>
      </c>
      <c r="F1415" s="266">
        <v>112.5</v>
      </c>
      <c r="G1415" s="266">
        <v>36.0</v>
      </c>
      <c r="H1415" s="266">
        <v>2.0</v>
      </c>
      <c r="I1415" s="266">
        <v>1650.0</v>
      </c>
      <c r="J1415" s="266">
        <v>14.0</v>
      </c>
      <c r="K1415" s="266">
        <v>250.0</v>
      </c>
      <c r="L1415" s="266" t="s">
        <v>3460</v>
      </c>
      <c r="M1415" s="266">
        <v>1.0</v>
      </c>
      <c r="N1415" s="266">
        <v>3.0</v>
      </c>
      <c r="O1415" s="266">
        <v>1.0</v>
      </c>
      <c r="P1415" s="266">
        <v>1.0</v>
      </c>
      <c r="Q1415" s="266" t="s">
        <v>166</v>
      </c>
      <c r="R1415" s="266" t="s">
        <v>166</v>
      </c>
      <c r="S1415" s="266" t="s">
        <v>174</v>
      </c>
      <c r="T1415" s="494"/>
    </row>
    <row r="1416">
      <c r="A1416" s="494" t="s">
        <v>3401</v>
      </c>
      <c r="B1416" s="495" t="s">
        <v>4055</v>
      </c>
      <c r="C1416" s="174" t="str">
        <f t="shared" si="226"/>
        <v>Gigabyte</v>
      </c>
      <c r="D1416" s="452" t="s">
        <v>3597</v>
      </c>
      <c r="E1416" s="266">
        <v>280.35</v>
      </c>
      <c r="F1416" s="266">
        <v>116.45</v>
      </c>
      <c r="G1416" s="266">
        <v>40.24</v>
      </c>
      <c r="H1416" s="266">
        <v>2.0</v>
      </c>
      <c r="I1416" s="266">
        <v>1545.0</v>
      </c>
      <c r="J1416" s="266">
        <v>14.0</v>
      </c>
      <c r="K1416" s="266">
        <v>250.0</v>
      </c>
      <c r="L1416" s="266" t="s">
        <v>3460</v>
      </c>
      <c r="M1416" s="266">
        <v>3.0</v>
      </c>
      <c r="N1416" s="266">
        <v>3.0</v>
      </c>
      <c r="O1416" s="266">
        <v>1.0</v>
      </c>
      <c r="P1416" s="266">
        <v>1.0</v>
      </c>
      <c r="Q1416" s="266" t="s">
        <v>166</v>
      </c>
      <c r="R1416" s="497" t="s">
        <v>166</v>
      </c>
      <c r="S1416" s="497" t="s">
        <v>166</v>
      </c>
      <c r="T1416" s="496"/>
    </row>
    <row r="1417">
      <c r="A1417" s="494" t="s">
        <v>3401</v>
      </c>
      <c r="B1417" s="495" t="s">
        <v>4055</v>
      </c>
      <c r="C1417" s="174" t="str">
        <f t="shared" si="226"/>
        <v>Gigabyte</v>
      </c>
      <c r="D1417" s="452" t="s">
        <v>3578</v>
      </c>
      <c r="E1417" s="266">
        <v>280.35</v>
      </c>
      <c r="F1417" s="266">
        <v>116.45</v>
      </c>
      <c r="G1417" s="266">
        <v>40.24</v>
      </c>
      <c r="H1417" s="266">
        <v>2.0</v>
      </c>
      <c r="I1417" s="266">
        <v>1635.0</v>
      </c>
      <c r="J1417" s="266">
        <v>14.0</v>
      </c>
      <c r="K1417" s="266">
        <v>260.0</v>
      </c>
      <c r="L1417" s="266" t="s">
        <v>3460</v>
      </c>
      <c r="M1417" s="266">
        <v>3.0</v>
      </c>
      <c r="N1417" s="266">
        <v>3.0</v>
      </c>
      <c r="O1417" s="266">
        <v>1.0</v>
      </c>
      <c r="P1417" s="266">
        <v>1.0</v>
      </c>
      <c r="Q1417" s="266" t="s">
        <v>166</v>
      </c>
      <c r="R1417" s="497" t="s">
        <v>166</v>
      </c>
      <c r="S1417" s="497" t="s">
        <v>166</v>
      </c>
      <c r="T1417" s="496"/>
    </row>
    <row r="1418">
      <c r="A1418" s="494" t="s">
        <v>3401</v>
      </c>
      <c r="B1418" s="495" t="s">
        <v>4055</v>
      </c>
      <c r="C1418" s="174" t="str">
        <f t="shared" si="226"/>
        <v>Gigabyte</v>
      </c>
      <c r="D1418" s="452" t="s">
        <v>3630</v>
      </c>
      <c r="E1418" s="266">
        <v>286.5</v>
      </c>
      <c r="F1418" s="266">
        <v>114.5</v>
      </c>
      <c r="G1418" s="266">
        <v>50.2</v>
      </c>
      <c r="H1418" s="266">
        <v>2.0</v>
      </c>
      <c r="I1418" s="266">
        <v>1665.0</v>
      </c>
      <c r="J1418" s="266">
        <v>14.0</v>
      </c>
      <c r="K1418" s="266">
        <v>300.0</v>
      </c>
      <c r="L1418" s="266" t="s">
        <v>3460</v>
      </c>
      <c r="M1418" s="266">
        <v>3.0</v>
      </c>
      <c r="N1418" s="266">
        <v>3.0</v>
      </c>
      <c r="O1418" s="266">
        <v>1.0</v>
      </c>
      <c r="P1418" s="266">
        <v>1.0</v>
      </c>
      <c r="Q1418" s="266" t="s">
        <v>166</v>
      </c>
      <c r="R1418" s="497" t="s">
        <v>166</v>
      </c>
      <c r="S1418" s="497" t="s">
        <v>166</v>
      </c>
      <c r="T1418" s="496"/>
    </row>
    <row r="1419">
      <c r="A1419" s="494" t="s">
        <v>3401</v>
      </c>
      <c r="B1419" s="495" t="s">
        <v>4055</v>
      </c>
      <c r="C1419" s="174" t="str">
        <f t="shared" si="226"/>
        <v>Gigabyte</v>
      </c>
      <c r="D1419" s="452" t="s">
        <v>3677</v>
      </c>
      <c r="E1419" s="266">
        <v>290.0</v>
      </c>
      <c r="F1419" s="266">
        <v>134.31</v>
      </c>
      <c r="G1419" s="266">
        <v>59.9</v>
      </c>
      <c r="H1419" s="266">
        <v>2.0</v>
      </c>
      <c r="I1419" s="266">
        <v>1695.0</v>
      </c>
      <c r="J1419" s="266">
        <v>14.0</v>
      </c>
      <c r="K1419" s="266">
        <v>275.0</v>
      </c>
      <c r="L1419" s="266" t="s">
        <v>3460</v>
      </c>
      <c r="M1419" s="266">
        <v>3.0</v>
      </c>
      <c r="N1419" s="266">
        <v>3.0</v>
      </c>
      <c r="O1419" s="266">
        <v>3.0</v>
      </c>
      <c r="P1419" s="266">
        <v>1.0</v>
      </c>
      <c r="Q1419" s="266" t="s">
        <v>166</v>
      </c>
      <c r="R1419" s="266" t="s">
        <v>166</v>
      </c>
      <c r="S1419" s="497" t="s">
        <v>166</v>
      </c>
      <c r="T1419" s="494"/>
    </row>
    <row r="1420">
      <c r="A1420" s="494" t="s">
        <v>3401</v>
      </c>
      <c r="B1420" s="495" t="s">
        <v>4055</v>
      </c>
      <c r="C1420" s="174" t="str">
        <f t="shared" si="226"/>
        <v>Gigabyte</v>
      </c>
      <c r="D1420" s="452" t="s">
        <v>3919</v>
      </c>
      <c r="E1420" s="266">
        <v>290.0</v>
      </c>
      <c r="F1420" s="266">
        <v>134.31</v>
      </c>
      <c r="G1420" s="266">
        <v>59.9</v>
      </c>
      <c r="H1420" s="266">
        <v>2.0</v>
      </c>
      <c r="I1420" s="266">
        <v>1770.0</v>
      </c>
      <c r="J1420" s="266">
        <v>14.14</v>
      </c>
      <c r="K1420" s="266">
        <v>300.0</v>
      </c>
      <c r="L1420" s="266" t="s">
        <v>3460</v>
      </c>
      <c r="M1420" s="266">
        <v>3.0</v>
      </c>
      <c r="N1420" s="266">
        <v>3.0</v>
      </c>
      <c r="O1420" s="266">
        <v>3.0</v>
      </c>
      <c r="P1420" s="266">
        <v>1.0</v>
      </c>
      <c r="Q1420" s="266" t="s">
        <v>166</v>
      </c>
      <c r="R1420" s="266" t="s">
        <v>166</v>
      </c>
      <c r="S1420" s="497" t="s">
        <v>166</v>
      </c>
      <c r="T1420" s="494"/>
    </row>
    <row r="1421">
      <c r="A1421" s="494" t="s">
        <v>3401</v>
      </c>
      <c r="B1421" s="495" t="s">
        <v>4055</v>
      </c>
      <c r="C1421" s="174" t="str">
        <f t="shared" si="226"/>
        <v>Gigabyte</v>
      </c>
      <c r="D1421" s="452" t="s">
        <v>4039</v>
      </c>
      <c r="E1421" s="266">
        <v>290.0</v>
      </c>
      <c r="F1421" s="266">
        <v>131.05</v>
      </c>
      <c r="G1421" s="266">
        <v>40.41</v>
      </c>
      <c r="H1421" s="266">
        <v>2.0</v>
      </c>
      <c r="I1421" s="266">
        <v>1770.0</v>
      </c>
      <c r="J1421" s="266">
        <v>14.14</v>
      </c>
      <c r="K1421" s="266">
        <v>300.0</v>
      </c>
      <c r="L1421" s="266" t="s">
        <v>3460</v>
      </c>
      <c r="M1421" s="266" t="s">
        <v>166</v>
      </c>
      <c r="N1421" s="266">
        <v>3.0</v>
      </c>
      <c r="O1421" s="266">
        <v>3.0</v>
      </c>
      <c r="P1421" s="266">
        <v>1.0</v>
      </c>
      <c r="Q1421" s="266" t="s">
        <v>166</v>
      </c>
      <c r="R1421" s="266" t="s">
        <v>174</v>
      </c>
      <c r="S1421" s="497" t="s">
        <v>166</v>
      </c>
      <c r="T1421" s="494"/>
    </row>
    <row r="1422">
      <c r="A1422" s="494" t="s">
        <v>3401</v>
      </c>
      <c r="B1422" s="495" t="s">
        <v>4055</v>
      </c>
      <c r="C1422" s="174" t="str">
        <f t="shared" si="226"/>
        <v>Gigabyte</v>
      </c>
      <c r="D1422" s="452" t="s">
        <v>3748</v>
      </c>
      <c r="E1422" s="266">
        <v>291.29</v>
      </c>
      <c r="F1422" s="266">
        <v>159.05</v>
      </c>
      <c r="G1422" s="266">
        <v>28.7</v>
      </c>
      <c r="H1422" s="266">
        <v>2.0</v>
      </c>
      <c r="I1422" s="266">
        <v>1770.0</v>
      </c>
      <c r="J1422" s="266">
        <v>14.14</v>
      </c>
      <c r="K1422" s="266">
        <v>300.0</v>
      </c>
      <c r="L1422" s="266" t="s">
        <v>3460</v>
      </c>
      <c r="M1422" s="266" t="s">
        <v>166</v>
      </c>
      <c r="N1422" s="266">
        <v>3.0</v>
      </c>
      <c r="O1422" s="266">
        <v>3.0</v>
      </c>
      <c r="P1422" s="266">
        <v>1.0</v>
      </c>
      <c r="Q1422" s="266" t="s">
        <v>166</v>
      </c>
      <c r="R1422" s="266" t="s">
        <v>174</v>
      </c>
      <c r="S1422" s="497" t="s">
        <v>166</v>
      </c>
      <c r="T1422" s="494"/>
    </row>
    <row r="1423">
      <c r="A1423" s="494" t="s">
        <v>3401</v>
      </c>
      <c r="B1423" s="495" t="s">
        <v>4055</v>
      </c>
      <c r="C1423" s="452" t="str">
        <f t="shared" ref="C1423:C1428" si="227">HYPERLINK("http://www.inno3d.com/","Inno3D")</f>
        <v>Inno3D</v>
      </c>
      <c r="D1423" s="452" t="s">
        <v>4017</v>
      </c>
      <c r="E1423" s="266">
        <v>268.0</v>
      </c>
      <c r="F1423" s="266">
        <v>113.0</v>
      </c>
      <c r="G1423" s="266">
        <v>40.0</v>
      </c>
      <c r="H1423" s="266">
        <v>2.0</v>
      </c>
      <c r="I1423" s="266">
        <v>1545.0</v>
      </c>
      <c r="J1423" s="266">
        <v>14.0</v>
      </c>
      <c r="K1423" s="266">
        <v>250.0</v>
      </c>
      <c r="L1423" s="266" t="s">
        <v>3460</v>
      </c>
      <c r="M1423" s="266">
        <v>1.0</v>
      </c>
      <c r="N1423" s="266">
        <v>3.0</v>
      </c>
      <c r="O1423" s="266">
        <v>1.0</v>
      </c>
      <c r="P1423" s="266" t="s">
        <v>166</v>
      </c>
      <c r="Q1423" s="266" t="s">
        <v>166</v>
      </c>
      <c r="R1423" s="266" t="s">
        <v>166</v>
      </c>
      <c r="S1423" s="266" t="s">
        <v>174</v>
      </c>
      <c r="T1423" s="494"/>
    </row>
    <row r="1424">
      <c r="A1424" s="494" t="s">
        <v>3401</v>
      </c>
      <c r="B1424" s="495" t="s">
        <v>4055</v>
      </c>
      <c r="C1424" s="452" t="str">
        <f t="shared" si="227"/>
        <v>Inno3D</v>
      </c>
      <c r="D1424" s="452" t="s">
        <v>3896</v>
      </c>
      <c r="E1424" s="266">
        <v>268.0</v>
      </c>
      <c r="F1424" s="266">
        <v>113.0</v>
      </c>
      <c r="G1424" s="266">
        <v>40.0</v>
      </c>
      <c r="H1424" s="266">
        <v>2.0</v>
      </c>
      <c r="I1424" s="266">
        <v>1545.0</v>
      </c>
      <c r="J1424" s="266">
        <v>14.0</v>
      </c>
      <c r="K1424" s="266">
        <v>250.0</v>
      </c>
      <c r="L1424" s="266" t="s">
        <v>3460</v>
      </c>
      <c r="M1424" s="266">
        <v>2.0</v>
      </c>
      <c r="N1424" s="266">
        <v>3.0</v>
      </c>
      <c r="O1424" s="266">
        <v>1.0</v>
      </c>
      <c r="P1424" s="266">
        <v>1.0</v>
      </c>
      <c r="Q1424" s="266" t="s">
        <v>166</v>
      </c>
      <c r="R1424" s="497" t="s">
        <v>166</v>
      </c>
      <c r="S1424" s="497" t="s">
        <v>166</v>
      </c>
      <c r="T1424" s="496"/>
    </row>
    <row r="1425">
      <c r="A1425" s="494" t="s">
        <v>3401</v>
      </c>
      <c r="B1425" s="495" t="s">
        <v>4055</v>
      </c>
      <c r="C1425" s="452" t="str">
        <f t="shared" si="227"/>
        <v>Inno3D</v>
      </c>
      <c r="D1425" s="452" t="s">
        <v>3882</v>
      </c>
      <c r="E1425" s="266">
        <v>268.0</v>
      </c>
      <c r="F1425" s="266">
        <v>113.0</v>
      </c>
      <c r="G1425" s="266">
        <v>40.0</v>
      </c>
      <c r="H1425" s="266">
        <v>2.0</v>
      </c>
      <c r="I1425" s="266">
        <v>1590.0</v>
      </c>
      <c r="J1425" s="266">
        <v>14.0</v>
      </c>
      <c r="K1425" s="266">
        <v>260.0</v>
      </c>
      <c r="L1425" s="266" t="s">
        <v>3460</v>
      </c>
      <c r="M1425" s="266">
        <v>2.0</v>
      </c>
      <c r="N1425" s="266">
        <v>3.0</v>
      </c>
      <c r="O1425" s="266">
        <v>1.0</v>
      </c>
      <c r="P1425" s="266">
        <v>1.0</v>
      </c>
      <c r="Q1425" s="266" t="s">
        <v>166</v>
      </c>
      <c r="R1425" s="497" t="s">
        <v>166</v>
      </c>
      <c r="S1425" s="497" t="s">
        <v>166</v>
      </c>
      <c r="T1425" s="496"/>
    </row>
    <row r="1426">
      <c r="A1426" s="494" t="s">
        <v>3401</v>
      </c>
      <c r="B1426" s="495" t="s">
        <v>4055</v>
      </c>
      <c r="C1426" s="452" t="str">
        <f t="shared" si="227"/>
        <v>Inno3D</v>
      </c>
      <c r="D1426" s="452" t="s">
        <v>4018</v>
      </c>
      <c r="E1426" s="266">
        <v>272.0</v>
      </c>
      <c r="F1426" s="266">
        <v>118.0</v>
      </c>
      <c r="G1426" s="266">
        <v>40.0</v>
      </c>
      <c r="H1426" s="266">
        <v>2.0</v>
      </c>
      <c r="I1426" s="266">
        <v>1665.0</v>
      </c>
      <c r="J1426" s="266">
        <v>14.0</v>
      </c>
      <c r="K1426" s="266">
        <v>260.0</v>
      </c>
      <c r="L1426" s="266" t="s">
        <v>3460</v>
      </c>
      <c r="M1426" s="266">
        <v>3.0</v>
      </c>
      <c r="N1426" s="266">
        <v>3.0</v>
      </c>
      <c r="O1426" s="266">
        <v>1.0</v>
      </c>
      <c r="P1426" s="266">
        <v>1.0</v>
      </c>
      <c r="Q1426" s="266" t="s">
        <v>166</v>
      </c>
      <c r="R1426" s="497" t="s">
        <v>166</v>
      </c>
      <c r="S1426" s="497" t="s">
        <v>166</v>
      </c>
      <c r="T1426" s="496"/>
    </row>
    <row r="1427">
      <c r="A1427" s="494" t="s">
        <v>3401</v>
      </c>
      <c r="B1427" s="495" t="s">
        <v>4055</v>
      </c>
      <c r="C1427" s="452" t="str">
        <f t="shared" si="227"/>
        <v>Inno3D</v>
      </c>
      <c r="D1427" s="452" t="s">
        <v>3992</v>
      </c>
      <c r="E1427" s="266">
        <v>272.0</v>
      </c>
      <c r="F1427" s="266">
        <v>112.0</v>
      </c>
      <c r="G1427" s="266">
        <v>40.0</v>
      </c>
      <c r="H1427" s="266">
        <v>2.0</v>
      </c>
      <c r="I1427" s="266">
        <v>1695.0</v>
      </c>
      <c r="J1427" s="266">
        <v>14.0</v>
      </c>
      <c r="K1427" s="266">
        <v>300.0</v>
      </c>
      <c r="L1427" s="266" t="s">
        <v>3460</v>
      </c>
      <c r="M1427" s="266" t="s">
        <v>166</v>
      </c>
      <c r="N1427" s="266">
        <v>3.0</v>
      </c>
      <c r="O1427" s="266">
        <v>1.0</v>
      </c>
      <c r="P1427" s="266">
        <v>1.0</v>
      </c>
      <c r="Q1427" s="266" t="s">
        <v>166</v>
      </c>
      <c r="R1427" s="266" t="s">
        <v>174</v>
      </c>
      <c r="S1427" s="497" t="s">
        <v>166</v>
      </c>
      <c r="T1427" s="494"/>
    </row>
    <row r="1428">
      <c r="A1428" s="494" t="s">
        <v>3401</v>
      </c>
      <c r="B1428" s="495" t="s">
        <v>4055</v>
      </c>
      <c r="C1428" s="452" t="str">
        <f t="shared" si="227"/>
        <v>Inno3D</v>
      </c>
      <c r="D1428" s="452" t="s">
        <v>3618</v>
      </c>
      <c r="E1428" s="266">
        <v>265.0</v>
      </c>
      <c r="F1428" s="266">
        <v>135.0</v>
      </c>
      <c r="G1428" s="266">
        <v>40.0</v>
      </c>
      <c r="H1428" s="266">
        <v>2.0</v>
      </c>
      <c r="I1428" s="266">
        <v>1695.0</v>
      </c>
      <c r="J1428" s="266">
        <v>14.0</v>
      </c>
      <c r="K1428" s="266">
        <v>300.0</v>
      </c>
      <c r="L1428" s="266" t="s">
        <v>3460</v>
      </c>
      <c r="M1428" s="266" t="s">
        <v>166</v>
      </c>
      <c r="N1428" s="266">
        <v>3.0</v>
      </c>
      <c r="O1428" s="266">
        <v>1.0</v>
      </c>
      <c r="P1428" s="266">
        <v>1.0</v>
      </c>
      <c r="Q1428" s="266" t="s">
        <v>166</v>
      </c>
      <c r="R1428" s="266" t="s">
        <v>174</v>
      </c>
      <c r="S1428" s="497" t="s">
        <v>166</v>
      </c>
      <c r="T1428" s="494"/>
    </row>
    <row r="1429">
      <c r="A1429" s="494" t="s">
        <v>3401</v>
      </c>
      <c r="B1429" s="495" t="s">
        <v>4055</v>
      </c>
      <c r="C1429" s="452" t="str">
        <f t="shared" ref="C1429:C1432" si="228">HYPERLINK("http://manli.com/en","Manli")</f>
        <v>Manli</v>
      </c>
      <c r="D1429" s="452" t="str">
        <f>HYPERLINK("https://manli.com/en/product-detail-MANLI_GeForce_RTX_2080Ti_(P1467+N504-00)-46.html","(P1467+N504-00)")</f>
        <v>(P1467+N504-00)</v>
      </c>
      <c r="E1429" s="266">
        <v>281.0</v>
      </c>
      <c r="F1429" s="266">
        <v>128.0</v>
      </c>
      <c r="G1429" s="266">
        <v>42.0</v>
      </c>
      <c r="H1429" s="266">
        <v>2.0</v>
      </c>
      <c r="I1429" s="266">
        <v>1545.0</v>
      </c>
      <c r="J1429" s="266">
        <v>14.0</v>
      </c>
      <c r="K1429" s="266">
        <v>250.0</v>
      </c>
      <c r="L1429" s="266" t="s">
        <v>3460</v>
      </c>
      <c r="M1429" s="266">
        <v>1.0</v>
      </c>
      <c r="N1429" s="266">
        <v>3.0</v>
      </c>
      <c r="O1429" s="266">
        <v>1.0</v>
      </c>
      <c r="P1429" s="266">
        <v>1.0</v>
      </c>
      <c r="Q1429" s="266" t="s">
        <v>166</v>
      </c>
      <c r="R1429" s="266" t="s">
        <v>166</v>
      </c>
      <c r="S1429" s="266" t="s">
        <v>174</v>
      </c>
      <c r="T1429" s="494"/>
    </row>
    <row r="1430">
      <c r="A1430" s="494" t="s">
        <v>3401</v>
      </c>
      <c r="B1430" s="495" t="s">
        <v>4055</v>
      </c>
      <c r="C1430" s="452" t="str">
        <f t="shared" si="228"/>
        <v>Manli</v>
      </c>
      <c r="D1430" s="452" t="str">
        <f>HYPERLINK("https://manli.com/en/product-detail-MANLI_GeForce_RTX_2080Ti_(M3423+N504)-45.html","(M3423+N504)")</f>
        <v>(M3423+N504)</v>
      </c>
      <c r="E1430" s="266">
        <v>314.0</v>
      </c>
      <c r="F1430" s="266">
        <v>128.0</v>
      </c>
      <c r="G1430" s="266">
        <v>44.0</v>
      </c>
      <c r="H1430" s="266">
        <v>2.0</v>
      </c>
      <c r="I1430" s="266">
        <v>1545.0</v>
      </c>
      <c r="J1430" s="266">
        <v>14.0</v>
      </c>
      <c r="K1430" s="266">
        <v>250.0</v>
      </c>
      <c r="L1430" s="266" t="s">
        <v>3460</v>
      </c>
      <c r="M1430" s="266">
        <v>3.0</v>
      </c>
      <c r="N1430" s="266">
        <v>3.0</v>
      </c>
      <c r="O1430" s="266">
        <v>1.0</v>
      </c>
      <c r="P1430" s="266" t="s">
        <v>166</v>
      </c>
      <c r="Q1430" s="266" t="s">
        <v>166</v>
      </c>
      <c r="R1430" s="497" t="s">
        <v>166</v>
      </c>
      <c r="S1430" s="497" t="s">
        <v>166</v>
      </c>
      <c r="T1430" s="496"/>
    </row>
    <row r="1431">
      <c r="A1431" s="494" t="s">
        <v>3401</v>
      </c>
      <c r="B1431" s="495" t="s">
        <v>4055</v>
      </c>
      <c r="C1431" s="452" t="str">
        <f t="shared" si="228"/>
        <v>Manli</v>
      </c>
      <c r="D1431" s="452" t="s">
        <v>4065</v>
      </c>
      <c r="E1431" s="266">
        <v>330.0</v>
      </c>
      <c r="F1431" s="266">
        <v>135.0</v>
      </c>
      <c r="G1431" s="266">
        <v>58.0</v>
      </c>
      <c r="H1431" s="266">
        <v>2.0</v>
      </c>
      <c r="I1431" s="266">
        <v>1635.0</v>
      </c>
      <c r="J1431" s="266">
        <v>14.0</v>
      </c>
      <c r="K1431" s="266">
        <v>260.0</v>
      </c>
      <c r="L1431" s="266" t="s">
        <v>3460</v>
      </c>
      <c r="M1431" s="266">
        <v>3.0</v>
      </c>
      <c r="N1431" s="266">
        <v>3.0</v>
      </c>
      <c r="O1431" s="266">
        <v>1.0</v>
      </c>
      <c r="P1431" s="266">
        <v>1.0</v>
      </c>
      <c r="Q1431" s="266" t="s">
        <v>166</v>
      </c>
      <c r="R1431" s="497" t="s">
        <v>166</v>
      </c>
      <c r="S1431" s="497" t="s">
        <v>166</v>
      </c>
      <c r="T1431" s="496"/>
    </row>
    <row r="1432">
      <c r="A1432" s="494" t="s">
        <v>3401</v>
      </c>
      <c r="B1432" s="495" t="s">
        <v>4055</v>
      </c>
      <c r="C1432" s="452" t="str">
        <f t="shared" si="228"/>
        <v>Manli</v>
      </c>
      <c r="D1432" s="452" t="str">
        <f>HYPERLINK("https://manli.com/en/product-detail-MANLI_GeForce_RTX_2080Ti_Gallardo_with_RGB_Lights_(F398G+N504-00)-47.html","Gallardo RGB (F398G+N504-00)")</f>
        <v>Gallardo RGB (F398G+N504-00)</v>
      </c>
      <c r="E1432" s="266">
        <v>314.0</v>
      </c>
      <c r="F1432" s="266">
        <v>128.0</v>
      </c>
      <c r="G1432" s="266">
        <v>44.0</v>
      </c>
      <c r="H1432" s="266">
        <v>2.0</v>
      </c>
      <c r="I1432" s="266">
        <v>1635.0</v>
      </c>
      <c r="J1432" s="266">
        <v>14.0</v>
      </c>
      <c r="K1432" s="266">
        <v>260.0</v>
      </c>
      <c r="L1432" s="266" t="s">
        <v>3460</v>
      </c>
      <c r="M1432" s="266">
        <v>3.0</v>
      </c>
      <c r="N1432" s="266">
        <v>3.0</v>
      </c>
      <c r="O1432" s="266">
        <v>1.0</v>
      </c>
      <c r="P1432" s="266">
        <v>1.0</v>
      </c>
      <c r="Q1432" s="266" t="s">
        <v>166</v>
      </c>
      <c r="R1432" s="497" t="s">
        <v>166</v>
      </c>
      <c r="S1432" s="497" t="s">
        <v>166</v>
      </c>
      <c r="T1432" s="496"/>
    </row>
    <row r="1433">
      <c r="A1433" s="494" t="s">
        <v>3401</v>
      </c>
      <c r="B1433" s="495" t="s">
        <v>4055</v>
      </c>
      <c r="C1433" s="174" t="str">
        <f t="shared" ref="C1433:C1448" si="229">HYPERLINK("https://www.msi.com/index.php","MSI")</f>
        <v>MSI</v>
      </c>
      <c r="D1433" s="452" t="s">
        <v>3904</v>
      </c>
      <c r="E1433" s="266">
        <v>268.0</v>
      </c>
      <c r="F1433" s="266">
        <v>112.0</v>
      </c>
      <c r="G1433" s="266">
        <v>50.0</v>
      </c>
      <c r="H1433" s="266">
        <v>2.0</v>
      </c>
      <c r="I1433" s="266">
        <v>1545.0</v>
      </c>
      <c r="J1433" s="266">
        <v>14.0</v>
      </c>
      <c r="K1433" s="266">
        <v>250.0</v>
      </c>
      <c r="L1433" s="266" t="s">
        <v>3460</v>
      </c>
      <c r="M1433" s="266">
        <v>2.0</v>
      </c>
      <c r="N1433" s="266">
        <v>3.0</v>
      </c>
      <c r="O1433" s="266">
        <v>1.0</v>
      </c>
      <c r="P1433" s="266">
        <v>1.0</v>
      </c>
      <c r="Q1433" s="266" t="s">
        <v>166</v>
      </c>
      <c r="R1433" s="497" t="s">
        <v>166</v>
      </c>
      <c r="S1433" s="497" t="s">
        <v>166</v>
      </c>
      <c r="T1433" s="496"/>
    </row>
    <row r="1434">
      <c r="A1434" s="494" t="s">
        <v>3401</v>
      </c>
      <c r="B1434" s="495" t="s">
        <v>4055</v>
      </c>
      <c r="C1434" s="174" t="str">
        <f t="shared" si="229"/>
        <v>MSI</v>
      </c>
      <c r="D1434" s="452" t="s">
        <v>3905</v>
      </c>
      <c r="E1434" s="624">
        <v>268.0</v>
      </c>
      <c r="F1434" s="625">
        <v>112.0</v>
      </c>
      <c r="G1434" s="626">
        <v>50.0</v>
      </c>
      <c r="H1434" s="266">
        <v>2.0</v>
      </c>
      <c r="I1434" s="266">
        <v>1635.0</v>
      </c>
      <c r="J1434" s="266">
        <v>14.0</v>
      </c>
      <c r="K1434" s="266">
        <v>260.0</v>
      </c>
      <c r="L1434" s="266" t="s">
        <v>3460</v>
      </c>
      <c r="M1434" s="266">
        <v>2.0</v>
      </c>
      <c r="N1434" s="266">
        <v>3.0</v>
      </c>
      <c r="O1434" s="266">
        <v>1.0</v>
      </c>
      <c r="P1434" s="266">
        <v>1.0</v>
      </c>
      <c r="Q1434" s="266" t="s">
        <v>166</v>
      </c>
      <c r="R1434" s="497" t="s">
        <v>166</v>
      </c>
      <c r="S1434" s="497" t="s">
        <v>166</v>
      </c>
      <c r="T1434" s="496"/>
    </row>
    <row r="1435">
      <c r="A1435" s="494" t="s">
        <v>3401</v>
      </c>
      <c r="B1435" s="495" t="s">
        <v>4055</v>
      </c>
      <c r="C1435" s="174" t="str">
        <f t="shared" si="229"/>
        <v>MSI</v>
      </c>
      <c r="D1435" s="452" t="s">
        <v>3965</v>
      </c>
      <c r="E1435" s="624">
        <v>268.0</v>
      </c>
      <c r="F1435" s="625">
        <v>112.0</v>
      </c>
      <c r="G1435" s="626">
        <v>50.0</v>
      </c>
      <c r="H1435" s="266">
        <v>2.0</v>
      </c>
      <c r="I1435" s="266">
        <v>1575.0</v>
      </c>
      <c r="J1435" s="266">
        <v>14.0</v>
      </c>
      <c r="K1435" s="266">
        <v>260.0</v>
      </c>
      <c r="L1435" s="266" t="s">
        <v>3460</v>
      </c>
      <c r="M1435" s="266">
        <v>2.0</v>
      </c>
      <c r="N1435" s="266">
        <v>3.0</v>
      </c>
      <c r="O1435" s="266">
        <v>1.0</v>
      </c>
      <c r="P1435" s="266">
        <v>1.0</v>
      </c>
      <c r="Q1435" s="266" t="s">
        <v>166</v>
      </c>
      <c r="R1435" s="497" t="s">
        <v>166</v>
      </c>
      <c r="S1435" s="497" t="s">
        <v>166</v>
      </c>
      <c r="T1435" s="496"/>
    </row>
    <row r="1436">
      <c r="A1436" s="494" t="s">
        <v>3401</v>
      </c>
      <c r="B1436" s="495" t="s">
        <v>4055</v>
      </c>
      <c r="C1436" s="174" t="str">
        <f t="shared" si="229"/>
        <v>MSI</v>
      </c>
      <c r="D1436" s="452" t="s">
        <v>3923</v>
      </c>
      <c r="E1436" s="266">
        <v>268.0</v>
      </c>
      <c r="F1436" s="266">
        <v>112.0</v>
      </c>
      <c r="G1436" s="266">
        <v>50.0</v>
      </c>
      <c r="H1436" s="266">
        <v>2.0</v>
      </c>
      <c r="I1436" s="266">
        <v>1545.0</v>
      </c>
      <c r="J1436" s="266">
        <v>14.0</v>
      </c>
      <c r="K1436" s="266">
        <v>250.0</v>
      </c>
      <c r="L1436" s="266" t="s">
        <v>3460</v>
      </c>
      <c r="M1436" s="266">
        <v>2.0</v>
      </c>
      <c r="N1436" s="266">
        <v>3.0</v>
      </c>
      <c r="O1436" s="266">
        <v>1.0</v>
      </c>
      <c r="P1436" s="266" t="s">
        <v>166</v>
      </c>
      <c r="Q1436" s="266" t="s">
        <v>166</v>
      </c>
      <c r="R1436" s="497" t="s">
        <v>166</v>
      </c>
      <c r="S1436" s="497" t="s">
        <v>166</v>
      </c>
      <c r="T1436" s="496"/>
    </row>
    <row r="1437">
      <c r="A1437" s="494" t="s">
        <v>3401</v>
      </c>
      <c r="B1437" s="495" t="s">
        <v>4055</v>
      </c>
      <c r="C1437" s="174" t="str">
        <f t="shared" si="229"/>
        <v>MSI</v>
      </c>
      <c r="D1437" s="452" t="s">
        <v>3924</v>
      </c>
      <c r="E1437" s="624">
        <v>268.0</v>
      </c>
      <c r="F1437" s="625">
        <v>112.0</v>
      </c>
      <c r="G1437" s="626">
        <v>50.0</v>
      </c>
      <c r="H1437" s="266">
        <v>2.0</v>
      </c>
      <c r="I1437" s="266">
        <v>1635.0</v>
      </c>
      <c r="J1437" s="266">
        <v>14.0</v>
      </c>
      <c r="K1437" s="266">
        <v>250.0</v>
      </c>
      <c r="L1437" s="266" t="s">
        <v>3460</v>
      </c>
      <c r="M1437" s="266">
        <v>2.0</v>
      </c>
      <c r="N1437" s="266">
        <v>3.0</v>
      </c>
      <c r="O1437" s="266">
        <v>1.0</v>
      </c>
      <c r="P1437" s="266" t="s">
        <v>166</v>
      </c>
      <c r="Q1437" s="266" t="s">
        <v>166</v>
      </c>
      <c r="R1437" s="497" t="s">
        <v>166</v>
      </c>
      <c r="S1437" s="497" t="s">
        <v>166</v>
      </c>
      <c r="T1437" s="496"/>
    </row>
    <row r="1438">
      <c r="A1438" s="494" t="s">
        <v>3401</v>
      </c>
      <c r="B1438" s="495" t="s">
        <v>4055</v>
      </c>
      <c r="C1438" s="174" t="str">
        <f t="shared" si="229"/>
        <v>MSI</v>
      </c>
      <c r="D1438" s="452" t="s">
        <v>3853</v>
      </c>
      <c r="E1438" s="266">
        <v>314.0</v>
      </c>
      <c r="F1438" s="266">
        <v>120.0</v>
      </c>
      <c r="G1438" s="266">
        <v>50.0</v>
      </c>
      <c r="H1438" s="266">
        <v>2.0</v>
      </c>
      <c r="I1438" s="266">
        <v>1545.0</v>
      </c>
      <c r="J1438" s="266">
        <v>14.0</v>
      </c>
      <c r="K1438" s="266">
        <v>260.0</v>
      </c>
      <c r="L1438" s="266" t="s">
        <v>3460</v>
      </c>
      <c r="M1438" s="266">
        <v>3.0</v>
      </c>
      <c r="N1438" s="266">
        <v>3.0</v>
      </c>
      <c r="O1438" s="266">
        <v>1.0</v>
      </c>
      <c r="P1438" s="266">
        <v>1.0</v>
      </c>
      <c r="Q1438" s="266" t="s">
        <v>166</v>
      </c>
      <c r="R1438" s="266" t="s">
        <v>166</v>
      </c>
      <c r="S1438" s="497" t="s">
        <v>166</v>
      </c>
      <c r="T1438" s="494"/>
    </row>
    <row r="1439">
      <c r="A1439" s="494" t="s">
        <v>3401</v>
      </c>
      <c r="B1439" s="495" t="s">
        <v>4055</v>
      </c>
      <c r="C1439" s="174" t="str">
        <f t="shared" si="229"/>
        <v>MSI</v>
      </c>
      <c r="D1439" s="452" t="s">
        <v>3854</v>
      </c>
      <c r="E1439" s="266">
        <v>314.0</v>
      </c>
      <c r="F1439" s="266">
        <v>120.0</v>
      </c>
      <c r="G1439" s="266">
        <v>50.0</v>
      </c>
      <c r="H1439" s="266">
        <v>2.0</v>
      </c>
      <c r="I1439" s="266">
        <v>1665.0</v>
      </c>
      <c r="J1439" s="266">
        <v>14.0</v>
      </c>
      <c r="K1439" s="266">
        <v>260.0</v>
      </c>
      <c r="L1439" s="266" t="s">
        <v>3460</v>
      </c>
      <c r="M1439" s="266">
        <v>3.0</v>
      </c>
      <c r="N1439" s="266">
        <v>3.0</v>
      </c>
      <c r="O1439" s="266">
        <v>1.0</v>
      </c>
      <c r="P1439" s="266">
        <v>1.0</v>
      </c>
      <c r="Q1439" s="266" t="s">
        <v>166</v>
      </c>
      <c r="R1439" s="266" t="s">
        <v>166</v>
      </c>
      <c r="S1439" s="497" t="s">
        <v>166</v>
      </c>
      <c r="T1439" s="494"/>
    </row>
    <row r="1440">
      <c r="A1440" s="494" t="s">
        <v>3401</v>
      </c>
      <c r="B1440" s="495" t="s">
        <v>4055</v>
      </c>
      <c r="C1440" s="174" t="str">
        <f t="shared" si="229"/>
        <v>MSI</v>
      </c>
      <c r="D1440" s="452" t="s">
        <v>3996</v>
      </c>
      <c r="E1440" s="617">
        <v>314.0</v>
      </c>
      <c r="F1440" s="597">
        <v>120.0</v>
      </c>
      <c r="G1440" s="626">
        <v>50.0</v>
      </c>
      <c r="H1440" s="266">
        <v>2.0</v>
      </c>
      <c r="I1440" s="266">
        <v>1635.0</v>
      </c>
      <c r="J1440" s="266">
        <v>14.0</v>
      </c>
      <c r="K1440" s="266">
        <v>260.0</v>
      </c>
      <c r="L1440" s="266" t="s">
        <v>3460</v>
      </c>
      <c r="M1440" s="266">
        <v>3.0</v>
      </c>
      <c r="N1440" s="266">
        <v>3.0</v>
      </c>
      <c r="O1440" s="266">
        <v>1.0</v>
      </c>
      <c r="P1440" s="266">
        <v>1.0</v>
      </c>
      <c r="Q1440" s="266" t="s">
        <v>166</v>
      </c>
      <c r="R1440" s="266" t="s">
        <v>166</v>
      </c>
      <c r="S1440" s="497" t="s">
        <v>166</v>
      </c>
      <c r="T1440" s="494"/>
    </row>
    <row r="1441">
      <c r="A1441" s="494" t="s">
        <v>3401</v>
      </c>
      <c r="B1441" s="495" t="s">
        <v>4055</v>
      </c>
      <c r="C1441" s="174" t="str">
        <f t="shared" si="229"/>
        <v>MSI</v>
      </c>
      <c r="D1441" s="452" t="s">
        <v>3720</v>
      </c>
      <c r="E1441" s="266">
        <v>327.0</v>
      </c>
      <c r="F1441" s="518">
        <v>140.0</v>
      </c>
      <c r="G1441" s="518">
        <v>55.6</v>
      </c>
      <c r="H1441" s="266">
        <v>2.0</v>
      </c>
      <c r="I1441" s="266">
        <v>1635.0</v>
      </c>
      <c r="J1441" s="266">
        <v>14.0</v>
      </c>
      <c r="K1441" s="266">
        <v>300.0</v>
      </c>
      <c r="L1441" s="266" t="s">
        <v>3751</v>
      </c>
      <c r="M1441" s="266">
        <v>3.0</v>
      </c>
      <c r="N1441" s="266">
        <v>3.0</v>
      </c>
      <c r="O1441" s="266">
        <v>1.0</v>
      </c>
      <c r="P1441" s="266">
        <v>1.0</v>
      </c>
      <c r="Q1441" s="266" t="s">
        <v>166</v>
      </c>
      <c r="R1441" s="266" t="s">
        <v>166</v>
      </c>
      <c r="S1441" s="497" t="s">
        <v>166</v>
      </c>
      <c r="T1441" s="494"/>
    </row>
    <row r="1442">
      <c r="A1442" s="494" t="s">
        <v>3401</v>
      </c>
      <c r="B1442" s="495" t="s">
        <v>4055</v>
      </c>
      <c r="C1442" s="174" t="str">
        <f t="shared" si="229"/>
        <v>MSI</v>
      </c>
      <c r="D1442" s="452" t="s">
        <v>3721</v>
      </c>
      <c r="E1442" s="266">
        <v>327.0</v>
      </c>
      <c r="F1442" s="518">
        <v>140.0</v>
      </c>
      <c r="G1442" s="518">
        <v>55.6</v>
      </c>
      <c r="H1442" s="266">
        <v>2.0</v>
      </c>
      <c r="I1442" s="266">
        <v>1755.0</v>
      </c>
      <c r="J1442" s="266">
        <v>14.0</v>
      </c>
      <c r="K1442" s="266">
        <v>300.0</v>
      </c>
      <c r="L1442" s="266" t="s">
        <v>3751</v>
      </c>
      <c r="M1442" s="266">
        <v>3.0</v>
      </c>
      <c r="N1442" s="266">
        <v>3.0</v>
      </c>
      <c r="O1442" s="266">
        <v>1.0</v>
      </c>
      <c r="P1442" s="266">
        <v>1.0</v>
      </c>
      <c r="Q1442" s="266" t="s">
        <v>166</v>
      </c>
      <c r="R1442" s="266" t="s">
        <v>166</v>
      </c>
      <c r="S1442" s="497" t="s">
        <v>166</v>
      </c>
      <c r="T1442" s="494"/>
    </row>
    <row r="1443">
      <c r="A1443" s="494" t="s">
        <v>3401</v>
      </c>
      <c r="B1443" s="495" t="s">
        <v>4055</v>
      </c>
      <c r="C1443" s="174" t="str">
        <f t="shared" si="229"/>
        <v>MSI</v>
      </c>
      <c r="D1443" s="452" t="s">
        <v>3727</v>
      </c>
      <c r="E1443" s="266">
        <v>328.0</v>
      </c>
      <c r="F1443" s="518">
        <v>140.0</v>
      </c>
      <c r="G1443" s="518">
        <v>57.0</v>
      </c>
      <c r="H1443" s="266">
        <v>2.0</v>
      </c>
      <c r="I1443" s="266">
        <v>1755.0</v>
      </c>
      <c r="J1443" s="266">
        <v>16.0</v>
      </c>
      <c r="K1443" s="266">
        <v>300.0</v>
      </c>
      <c r="L1443" s="266" t="s">
        <v>3751</v>
      </c>
      <c r="M1443" s="266">
        <v>3.0</v>
      </c>
      <c r="N1443" s="266">
        <v>3.0</v>
      </c>
      <c r="O1443" s="266">
        <v>1.0</v>
      </c>
      <c r="P1443" s="266">
        <v>1.0</v>
      </c>
      <c r="Q1443" s="266" t="s">
        <v>166</v>
      </c>
      <c r="R1443" s="266" t="s">
        <v>166</v>
      </c>
      <c r="S1443" s="497" t="s">
        <v>166</v>
      </c>
      <c r="T1443" s="494"/>
    </row>
    <row r="1444">
      <c r="A1444" s="494" t="s">
        <v>3401</v>
      </c>
      <c r="B1444" s="495" t="s">
        <v>4055</v>
      </c>
      <c r="C1444" s="174" t="str">
        <f t="shared" si="229"/>
        <v>MSI</v>
      </c>
      <c r="D1444" s="452" t="s">
        <v>3855</v>
      </c>
      <c r="E1444" s="266">
        <v>328.0</v>
      </c>
      <c r="F1444" s="518">
        <v>143.0</v>
      </c>
      <c r="G1444" s="518">
        <v>63.0</v>
      </c>
      <c r="H1444" s="266">
        <v>3.0</v>
      </c>
      <c r="I1444" s="266">
        <v>1575.0</v>
      </c>
      <c r="J1444" s="266">
        <v>14.0</v>
      </c>
      <c r="K1444" s="266">
        <v>350.0</v>
      </c>
      <c r="L1444" s="266" t="s">
        <v>3734</v>
      </c>
      <c r="M1444" s="266">
        <v>3.0</v>
      </c>
      <c r="N1444" s="266">
        <v>3.0</v>
      </c>
      <c r="O1444" s="266">
        <v>1.0</v>
      </c>
      <c r="P1444" s="266">
        <v>1.0</v>
      </c>
      <c r="Q1444" s="266" t="s">
        <v>166</v>
      </c>
      <c r="R1444" s="266" t="s">
        <v>166</v>
      </c>
      <c r="S1444" s="497" t="s">
        <v>166</v>
      </c>
      <c r="T1444" s="494"/>
    </row>
    <row r="1445">
      <c r="A1445" s="494" t="s">
        <v>3401</v>
      </c>
      <c r="B1445" s="495" t="s">
        <v>4055</v>
      </c>
      <c r="C1445" s="174" t="str">
        <f t="shared" si="229"/>
        <v>MSI</v>
      </c>
      <c r="D1445" s="452" t="s">
        <v>4066</v>
      </c>
      <c r="E1445" s="266">
        <v>328.0</v>
      </c>
      <c r="F1445" s="518">
        <v>143.0</v>
      </c>
      <c r="G1445" s="518">
        <v>63.0</v>
      </c>
      <c r="H1445" s="266">
        <v>3.0</v>
      </c>
      <c r="I1445" s="266">
        <v>1575.0</v>
      </c>
      <c r="J1445" s="266">
        <v>14.0</v>
      </c>
      <c r="K1445" s="266">
        <v>350.0</v>
      </c>
      <c r="L1445" s="266" t="s">
        <v>3734</v>
      </c>
      <c r="M1445" s="266">
        <v>3.0</v>
      </c>
      <c r="N1445" s="266">
        <v>3.0</v>
      </c>
      <c r="O1445" s="266">
        <v>1.0</v>
      </c>
      <c r="P1445" s="266">
        <v>1.0</v>
      </c>
      <c r="Q1445" s="266" t="s">
        <v>166</v>
      </c>
      <c r="R1445" s="266" t="s">
        <v>166</v>
      </c>
      <c r="S1445" s="497" t="s">
        <v>166</v>
      </c>
      <c r="T1445" s="494"/>
    </row>
    <row r="1446">
      <c r="A1446" s="494" t="s">
        <v>3401</v>
      </c>
      <c r="B1446" s="495" t="s">
        <v>4055</v>
      </c>
      <c r="C1446" s="174" t="str">
        <f t="shared" si="229"/>
        <v>MSI</v>
      </c>
      <c r="D1446" s="452" t="s">
        <v>3857</v>
      </c>
      <c r="E1446" s="611">
        <v>328.0</v>
      </c>
      <c r="F1446" s="616">
        <v>143.0</v>
      </c>
      <c r="G1446" s="627">
        <v>63.0</v>
      </c>
      <c r="H1446" s="266">
        <v>3.0</v>
      </c>
      <c r="I1446" s="266">
        <v>1755.0</v>
      </c>
      <c r="J1446" s="266">
        <v>14.0</v>
      </c>
      <c r="K1446" s="266">
        <v>350.0</v>
      </c>
      <c r="L1446" s="266" t="s">
        <v>3734</v>
      </c>
      <c r="M1446" s="266">
        <v>3.0</v>
      </c>
      <c r="N1446" s="266">
        <v>3.0</v>
      </c>
      <c r="O1446" s="266">
        <v>1.0</v>
      </c>
      <c r="P1446" s="266">
        <v>1.0</v>
      </c>
      <c r="Q1446" s="266" t="s">
        <v>166</v>
      </c>
      <c r="R1446" s="266" t="s">
        <v>166</v>
      </c>
      <c r="S1446" s="497" t="s">
        <v>166</v>
      </c>
      <c r="T1446" s="494"/>
    </row>
    <row r="1447">
      <c r="A1447" s="494" t="s">
        <v>3401</v>
      </c>
      <c r="B1447" s="495" t="s">
        <v>4055</v>
      </c>
      <c r="C1447" s="174" t="str">
        <f t="shared" si="229"/>
        <v>MSI</v>
      </c>
      <c r="D1447" s="452" t="s">
        <v>3859</v>
      </c>
      <c r="E1447" s="266">
        <v>268.0</v>
      </c>
      <c r="F1447" s="266">
        <v>114.0</v>
      </c>
      <c r="G1447" s="266">
        <v>41.0</v>
      </c>
      <c r="H1447" s="266">
        <v>2.0</v>
      </c>
      <c r="I1447" s="266">
        <v>1755.0</v>
      </c>
      <c r="J1447" s="266">
        <v>14.0</v>
      </c>
      <c r="K1447" s="266">
        <v>300.0</v>
      </c>
      <c r="L1447" s="266" t="s">
        <v>3460</v>
      </c>
      <c r="M1447" s="266">
        <v>1.0</v>
      </c>
      <c r="N1447" s="266">
        <v>3.0</v>
      </c>
      <c r="O1447" s="266">
        <v>1.0</v>
      </c>
      <c r="P1447" s="266">
        <v>1.0</v>
      </c>
      <c r="Q1447" s="266" t="s">
        <v>166</v>
      </c>
      <c r="R1447" s="266" t="s">
        <v>174</v>
      </c>
      <c r="S1447" s="266" t="s">
        <v>174</v>
      </c>
      <c r="T1447" s="494"/>
    </row>
    <row r="1448">
      <c r="A1448" s="494" t="s">
        <v>3401</v>
      </c>
      <c r="B1448" s="495" t="s">
        <v>4055</v>
      </c>
      <c r="C1448" s="174" t="str">
        <f t="shared" si="229"/>
        <v>MSI</v>
      </c>
      <c r="D1448" s="452" t="s">
        <v>3860</v>
      </c>
      <c r="E1448" s="266">
        <v>305.0</v>
      </c>
      <c r="F1448" s="266">
        <v>169.3</v>
      </c>
      <c r="G1448" s="266">
        <v>41.5</v>
      </c>
      <c r="H1448" s="266">
        <v>2.0</v>
      </c>
      <c r="I1448" s="266">
        <v>1755.0</v>
      </c>
      <c r="J1448" s="266">
        <v>14.0</v>
      </c>
      <c r="K1448" s="266">
        <v>300.0</v>
      </c>
      <c r="L1448" s="266" t="s">
        <v>3751</v>
      </c>
      <c r="M1448" s="266" t="s">
        <v>166</v>
      </c>
      <c r="N1448" s="266">
        <v>3.0</v>
      </c>
      <c r="O1448" s="266">
        <v>1.0</v>
      </c>
      <c r="P1448" s="266">
        <v>1.0</v>
      </c>
      <c r="Q1448" s="266" t="s">
        <v>166</v>
      </c>
      <c r="R1448" s="266" t="s">
        <v>174</v>
      </c>
      <c r="S1448" s="497" t="s">
        <v>166</v>
      </c>
      <c r="T1448" s="494"/>
    </row>
    <row r="1449">
      <c r="A1449" s="494" t="s">
        <v>3401</v>
      </c>
      <c r="B1449" s="495" t="s">
        <v>4055</v>
      </c>
      <c r="C1449" s="452" t="str">
        <f>HYPERLINK("https://www.nvidia.com/en-us/","Nvidia")</f>
        <v>Nvidia</v>
      </c>
      <c r="D1449" s="452" t="str">
        <f>HYPERLINK("https://www.nvidia.com/en-us/geforce/graphics-cards/rtx-2080-ti/","Founders Edition")</f>
        <v>Founders Edition</v>
      </c>
      <c r="E1449" s="266">
        <v>266.74</v>
      </c>
      <c r="F1449" s="266">
        <v>115.7</v>
      </c>
      <c r="G1449" s="266">
        <v>40.0</v>
      </c>
      <c r="H1449" s="266">
        <v>2.0</v>
      </c>
      <c r="I1449" s="266">
        <v>1635.0</v>
      </c>
      <c r="J1449" s="266">
        <v>14.0</v>
      </c>
      <c r="K1449" s="266">
        <v>250.0</v>
      </c>
      <c r="L1449" s="266" t="s">
        <v>3460</v>
      </c>
      <c r="M1449" s="266">
        <v>2.0</v>
      </c>
      <c r="N1449" s="266">
        <v>3.0</v>
      </c>
      <c r="O1449" s="266">
        <v>1.0</v>
      </c>
      <c r="P1449" s="266">
        <v>1.0</v>
      </c>
      <c r="Q1449" s="266" t="s">
        <v>166</v>
      </c>
      <c r="R1449" s="497" t="s">
        <v>166</v>
      </c>
      <c r="S1449" s="497" t="s">
        <v>166</v>
      </c>
      <c r="T1449" s="496"/>
    </row>
    <row r="1450">
      <c r="A1450" s="494" t="s">
        <v>3401</v>
      </c>
      <c r="B1450" s="495" t="s">
        <v>4055</v>
      </c>
      <c r="C1450" s="452" t="str">
        <f t="shared" ref="C1450:C1454" si="230">HYPERLINK("http://www.palit.com/palit/index.php?lang=en","Palit")</f>
        <v>Palit</v>
      </c>
      <c r="D1450" s="452" t="str">
        <f>HYPERLINK("http://www.palit.com/palit/vgapro.php?id=3282&amp;lang=en","X")</f>
        <v>X</v>
      </c>
      <c r="E1450" s="266">
        <v>269.0</v>
      </c>
      <c r="F1450" s="266">
        <v>112.0</v>
      </c>
      <c r="G1450" s="266">
        <v>40.0</v>
      </c>
      <c r="H1450" s="266">
        <v>2.0</v>
      </c>
      <c r="I1450" s="266">
        <v>1545.0</v>
      </c>
      <c r="J1450" s="266">
        <v>14.0</v>
      </c>
      <c r="K1450" s="266">
        <v>250.0</v>
      </c>
      <c r="L1450" s="266" t="s">
        <v>3460</v>
      </c>
      <c r="M1450" s="266">
        <v>1.0</v>
      </c>
      <c r="N1450" s="266">
        <v>3.0</v>
      </c>
      <c r="O1450" s="266">
        <v>1.0</v>
      </c>
      <c r="P1450" s="266" t="s">
        <v>166</v>
      </c>
      <c r="Q1450" s="266" t="s">
        <v>166</v>
      </c>
      <c r="R1450" s="266" t="s">
        <v>166</v>
      </c>
      <c r="S1450" s="266" t="s">
        <v>174</v>
      </c>
      <c r="T1450" s="494"/>
    </row>
    <row r="1451">
      <c r="A1451" s="494" t="s">
        <v>3401</v>
      </c>
      <c r="B1451" s="495" t="s">
        <v>4055</v>
      </c>
      <c r="C1451" s="452" t="str">
        <f t="shared" si="230"/>
        <v>Palit</v>
      </c>
      <c r="D1451" s="452" t="s">
        <v>3372</v>
      </c>
      <c r="E1451" s="266">
        <v>292.0</v>
      </c>
      <c r="F1451" s="266">
        <v>112.0</v>
      </c>
      <c r="G1451" s="266">
        <v>58.0</v>
      </c>
      <c r="H1451" s="266">
        <v>2.0</v>
      </c>
      <c r="I1451" s="266">
        <v>1545.0</v>
      </c>
      <c r="J1451" s="266">
        <v>14.0</v>
      </c>
      <c r="K1451" s="266">
        <v>250.0</v>
      </c>
      <c r="L1451" s="266" t="s">
        <v>3460</v>
      </c>
      <c r="M1451" s="266">
        <v>2.0</v>
      </c>
      <c r="N1451" s="266">
        <v>3.0</v>
      </c>
      <c r="O1451" s="266">
        <v>1.0</v>
      </c>
      <c r="P1451" s="266">
        <v>1.0</v>
      </c>
      <c r="Q1451" s="266" t="s">
        <v>166</v>
      </c>
      <c r="R1451" s="497" t="s">
        <v>166</v>
      </c>
      <c r="S1451" s="497" t="s">
        <v>166</v>
      </c>
      <c r="T1451" s="496"/>
    </row>
    <row r="1452">
      <c r="A1452" s="494" t="s">
        <v>3401</v>
      </c>
      <c r="B1452" s="495" t="s">
        <v>4055</v>
      </c>
      <c r="C1452" s="452" t="str">
        <f t="shared" si="230"/>
        <v>Palit</v>
      </c>
      <c r="D1452" s="452" t="s">
        <v>3381</v>
      </c>
      <c r="E1452" s="266">
        <v>292.0</v>
      </c>
      <c r="F1452" s="266">
        <v>112.0</v>
      </c>
      <c r="G1452" s="266">
        <v>58.0</v>
      </c>
      <c r="H1452" s="266">
        <v>2.0</v>
      </c>
      <c r="I1452" s="266">
        <v>1575.0</v>
      </c>
      <c r="J1452" s="266">
        <v>14.0</v>
      </c>
      <c r="K1452" s="266">
        <v>250.0</v>
      </c>
      <c r="L1452" s="266" t="s">
        <v>3460</v>
      </c>
      <c r="M1452" s="266">
        <v>2.0</v>
      </c>
      <c r="N1452" s="266">
        <v>3.0</v>
      </c>
      <c r="O1452" s="266">
        <v>1.0</v>
      </c>
      <c r="P1452" s="266" t="s">
        <v>166</v>
      </c>
      <c r="Q1452" s="266" t="s">
        <v>166</v>
      </c>
      <c r="R1452" s="497" t="s">
        <v>166</v>
      </c>
      <c r="S1452" s="497" t="s">
        <v>166</v>
      </c>
      <c r="T1452" s="496"/>
    </row>
    <row r="1453">
      <c r="A1453" s="494" t="s">
        <v>3401</v>
      </c>
      <c r="B1453" s="495" t="s">
        <v>4055</v>
      </c>
      <c r="C1453" s="452" t="str">
        <f t="shared" si="230"/>
        <v>Palit</v>
      </c>
      <c r="D1453" s="452" t="s">
        <v>4067</v>
      </c>
      <c r="E1453" s="266">
        <v>292.0</v>
      </c>
      <c r="F1453" s="266">
        <v>112.0</v>
      </c>
      <c r="G1453" s="266">
        <v>58.0</v>
      </c>
      <c r="H1453" s="266">
        <v>2.0</v>
      </c>
      <c r="I1453" s="266">
        <v>1575.0</v>
      </c>
      <c r="J1453" s="266">
        <v>14.0</v>
      </c>
      <c r="K1453" s="266">
        <v>250.0</v>
      </c>
      <c r="L1453" s="266" t="s">
        <v>3460</v>
      </c>
      <c r="M1453" s="266">
        <v>2.0</v>
      </c>
      <c r="N1453" s="266">
        <v>3.0</v>
      </c>
      <c r="O1453" s="266">
        <v>1.0</v>
      </c>
      <c r="P1453" s="266">
        <v>1.0</v>
      </c>
      <c r="Q1453" s="266" t="s">
        <v>166</v>
      </c>
      <c r="R1453" s="497" t="s">
        <v>166</v>
      </c>
      <c r="S1453" s="497" t="s">
        <v>166</v>
      </c>
      <c r="T1453" s="496"/>
    </row>
    <row r="1454">
      <c r="A1454" s="494" t="s">
        <v>3401</v>
      </c>
      <c r="B1454" s="495" t="s">
        <v>4055</v>
      </c>
      <c r="C1454" s="452" t="str">
        <f t="shared" si="230"/>
        <v>Palit</v>
      </c>
      <c r="D1454" s="452" t="s">
        <v>4068</v>
      </c>
      <c r="E1454" s="266">
        <v>292.0</v>
      </c>
      <c r="F1454" s="266">
        <v>112.0</v>
      </c>
      <c r="G1454" s="266">
        <v>58.0</v>
      </c>
      <c r="H1454" s="266">
        <v>2.0</v>
      </c>
      <c r="I1454" s="266">
        <v>1650.0</v>
      </c>
      <c r="J1454" s="266">
        <v>14.0</v>
      </c>
      <c r="K1454" s="266">
        <v>260.0</v>
      </c>
      <c r="L1454" s="266" t="s">
        <v>3460</v>
      </c>
      <c r="M1454" s="266">
        <v>2.0</v>
      </c>
      <c r="N1454" s="266">
        <v>3.0</v>
      </c>
      <c r="O1454" s="266">
        <v>1.0</v>
      </c>
      <c r="P1454" s="266">
        <v>1.0</v>
      </c>
      <c r="Q1454" s="266" t="s">
        <v>166</v>
      </c>
      <c r="R1454" s="497" t="s">
        <v>166</v>
      </c>
      <c r="S1454" s="497" t="s">
        <v>166</v>
      </c>
      <c r="T1454" s="496"/>
    </row>
    <row r="1455">
      <c r="A1455" s="494" t="s">
        <v>3401</v>
      </c>
      <c r="B1455" s="495" t="s">
        <v>4055</v>
      </c>
      <c r="C1455" s="452" t="str">
        <f t="shared" ref="C1455:C1456" si="231">HYPERLINK("https://pny.com/","PNY")</f>
        <v>PNY</v>
      </c>
      <c r="D1455" s="452" t="str">
        <f>HYPERLINK("https://pny.com/GeForce-RTX-2080-Ti-11GB-Blower2","Blower")</f>
        <v>Blower</v>
      </c>
      <c r="E1455" s="266">
        <v>266.7</v>
      </c>
      <c r="F1455" s="266">
        <v>114.3</v>
      </c>
      <c r="G1455" s="266">
        <v>35.0</v>
      </c>
      <c r="H1455" s="266">
        <v>2.0</v>
      </c>
      <c r="I1455" s="266">
        <v>1545.0</v>
      </c>
      <c r="J1455" s="266">
        <v>14.0</v>
      </c>
      <c r="K1455" s="266">
        <v>250.0</v>
      </c>
      <c r="L1455" s="266" t="s">
        <v>3460</v>
      </c>
      <c r="M1455" s="266">
        <v>1.0</v>
      </c>
      <c r="N1455" s="266">
        <v>3.0</v>
      </c>
      <c r="O1455" s="266">
        <v>1.0</v>
      </c>
      <c r="P1455" s="266" t="s">
        <v>166</v>
      </c>
      <c r="Q1455" s="266" t="s">
        <v>166</v>
      </c>
      <c r="R1455" s="266" t="s">
        <v>166</v>
      </c>
      <c r="S1455" s="266" t="s">
        <v>174</v>
      </c>
      <c r="T1455" s="494"/>
    </row>
    <row r="1456">
      <c r="A1456" s="494" t="s">
        <v>3401</v>
      </c>
      <c r="B1456" s="495" t="s">
        <v>4055</v>
      </c>
      <c r="C1456" s="452" t="str">
        <f t="shared" si="231"/>
        <v>PNY</v>
      </c>
      <c r="D1456" s="452" t="str">
        <f>HYPERLINK("https://pny.com/RTX-2080-Ti-Overclocked-XLR8-Edition","XLR8 Gaming OC")</f>
        <v>XLR8 Gaming OC</v>
      </c>
      <c r="E1456" s="266">
        <v>314.0</v>
      </c>
      <c r="F1456" s="266">
        <v>128.0</v>
      </c>
      <c r="G1456" s="266">
        <v>44.0</v>
      </c>
      <c r="H1456" s="266">
        <v>2.0</v>
      </c>
      <c r="I1456" s="266">
        <v>1635.0</v>
      </c>
      <c r="J1456" s="266">
        <v>14.0</v>
      </c>
      <c r="K1456" s="266">
        <v>260.0</v>
      </c>
      <c r="L1456" s="266" t="s">
        <v>3460</v>
      </c>
      <c r="M1456" s="266">
        <v>3.0</v>
      </c>
      <c r="N1456" s="266">
        <v>3.0</v>
      </c>
      <c r="O1456" s="266">
        <v>1.0</v>
      </c>
      <c r="P1456" s="266">
        <v>1.0</v>
      </c>
      <c r="Q1456" s="266" t="s">
        <v>166</v>
      </c>
      <c r="R1456" s="497" t="s">
        <v>166</v>
      </c>
      <c r="S1456" s="497" t="s">
        <v>166</v>
      </c>
      <c r="T1456" s="496"/>
    </row>
    <row r="1457">
      <c r="A1457" s="494" t="s">
        <v>3401</v>
      </c>
      <c r="B1457" s="495" t="s">
        <v>4055</v>
      </c>
      <c r="C1457" s="452" t="str">
        <f t="shared" ref="C1457:C1464" si="232">HYPERLINK("http://zotac.com/","ZOTAC")</f>
        <v>ZOTAC</v>
      </c>
      <c r="D1457" s="452" t="str">
        <f>HYPERLINK("https://www.zotac.com/product/graphics_card/zotac-gaming-geforce-rtx-2080-ti-blower","Blower")</f>
        <v>Blower</v>
      </c>
      <c r="E1457" s="266">
        <v>268.0</v>
      </c>
      <c r="F1457" s="266">
        <v>113.0</v>
      </c>
      <c r="G1457" s="266">
        <v>38.0</v>
      </c>
      <c r="H1457" s="266">
        <v>2.0</v>
      </c>
      <c r="I1457" s="266">
        <v>1545.0</v>
      </c>
      <c r="J1457" s="266">
        <v>14.0</v>
      </c>
      <c r="K1457" s="266">
        <v>250.0</v>
      </c>
      <c r="L1457" s="266" t="s">
        <v>3460</v>
      </c>
      <c r="M1457" s="266">
        <v>1.0</v>
      </c>
      <c r="N1457" s="266">
        <v>3.0</v>
      </c>
      <c r="O1457" s="266">
        <v>1.0</v>
      </c>
      <c r="P1457" s="266">
        <v>1.0</v>
      </c>
      <c r="Q1457" s="266" t="s">
        <v>166</v>
      </c>
      <c r="R1457" s="266" t="s">
        <v>166</v>
      </c>
      <c r="S1457" s="266" t="s">
        <v>174</v>
      </c>
      <c r="T1457" s="494"/>
    </row>
    <row r="1458">
      <c r="A1458" s="494" t="s">
        <v>3401</v>
      </c>
      <c r="B1458" s="495" t="s">
        <v>4055</v>
      </c>
      <c r="C1458" s="452" t="str">
        <f t="shared" si="232"/>
        <v>ZOTAC</v>
      </c>
      <c r="D1458" s="452" t="str">
        <f>HYPERLINK("https://www.zotac.com/product/graphics_card/zotac-gaming-geforce-rtx-2080-ti-twin-fan","Twin Fan")</f>
        <v>Twin Fan</v>
      </c>
      <c r="E1458" s="266">
        <v>268.0</v>
      </c>
      <c r="F1458" s="266">
        <v>113.0</v>
      </c>
      <c r="G1458" s="266">
        <v>38.0</v>
      </c>
      <c r="H1458" s="266">
        <v>2.0</v>
      </c>
      <c r="I1458" s="266">
        <v>1545.0</v>
      </c>
      <c r="J1458" s="266">
        <v>14.0</v>
      </c>
      <c r="K1458" s="266">
        <v>250.0</v>
      </c>
      <c r="L1458" s="266" t="s">
        <v>3460</v>
      </c>
      <c r="M1458" s="266">
        <v>2.0</v>
      </c>
      <c r="N1458" s="266">
        <v>3.0</v>
      </c>
      <c r="O1458" s="266">
        <v>1.0</v>
      </c>
      <c r="P1458" s="266">
        <v>1.0</v>
      </c>
      <c r="Q1458" s="266" t="s">
        <v>166</v>
      </c>
      <c r="R1458" s="497" t="s">
        <v>166</v>
      </c>
      <c r="S1458" s="497" t="s">
        <v>166</v>
      </c>
      <c r="T1458" s="496"/>
    </row>
    <row r="1459">
      <c r="A1459" s="494" t="s">
        <v>3401</v>
      </c>
      <c r="B1459" s="495" t="s">
        <v>4055</v>
      </c>
      <c r="C1459" s="452" t="str">
        <f t="shared" si="232"/>
        <v>ZOTAC</v>
      </c>
      <c r="D1459" s="452" t="s">
        <v>4054</v>
      </c>
      <c r="E1459" s="266">
        <v>308.0</v>
      </c>
      <c r="F1459" s="266">
        <v>113.0</v>
      </c>
      <c r="G1459" s="266">
        <v>57.0</v>
      </c>
      <c r="H1459" s="266">
        <v>2.0</v>
      </c>
      <c r="I1459" s="266">
        <v>1605.0</v>
      </c>
      <c r="J1459" s="266">
        <v>14.0</v>
      </c>
      <c r="K1459" s="266">
        <v>250.0</v>
      </c>
      <c r="L1459" s="266" t="s">
        <v>3460</v>
      </c>
      <c r="M1459" s="266">
        <v>3.0</v>
      </c>
      <c r="N1459" s="266">
        <v>3.0</v>
      </c>
      <c r="O1459" s="266">
        <v>1.0</v>
      </c>
      <c r="P1459" s="266">
        <v>1.0</v>
      </c>
      <c r="Q1459" s="266" t="s">
        <v>166</v>
      </c>
      <c r="R1459" s="497" t="s">
        <v>166</v>
      </c>
      <c r="S1459" s="497" t="s">
        <v>166</v>
      </c>
      <c r="T1459" s="496"/>
    </row>
    <row r="1460">
      <c r="A1460" s="494" t="s">
        <v>3401</v>
      </c>
      <c r="B1460" s="495" t="s">
        <v>4055</v>
      </c>
      <c r="C1460" s="452" t="str">
        <f t="shared" si="232"/>
        <v>ZOTAC</v>
      </c>
      <c r="D1460" s="452" t="s">
        <v>3536</v>
      </c>
      <c r="E1460" s="266">
        <v>308.0</v>
      </c>
      <c r="F1460" s="266">
        <v>113.0</v>
      </c>
      <c r="G1460" s="266">
        <v>57.0</v>
      </c>
      <c r="H1460" s="266">
        <v>2.0</v>
      </c>
      <c r="I1460" s="266">
        <v>1665.0</v>
      </c>
      <c r="J1460" s="266">
        <v>14.0</v>
      </c>
      <c r="K1460" s="266">
        <v>260.0</v>
      </c>
      <c r="L1460" s="266" t="s">
        <v>3460</v>
      </c>
      <c r="M1460" s="266">
        <v>3.0</v>
      </c>
      <c r="N1460" s="266">
        <v>3.0</v>
      </c>
      <c r="O1460" s="266">
        <v>1.0</v>
      </c>
      <c r="P1460" s="266">
        <v>1.0</v>
      </c>
      <c r="Q1460" s="266" t="s">
        <v>166</v>
      </c>
      <c r="R1460" s="497" t="s">
        <v>166</v>
      </c>
      <c r="S1460" s="497" t="s">
        <v>166</v>
      </c>
      <c r="T1460" s="496"/>
    </row>
    <row r="1461">
      <c r="A1461" s="494" t="s">
        <v>3401</v>
      </c>
      <c r="B1461" s="495" t="s">
        <v>4055</v>
      </c>
      <c r="C1461" s="452" t="str">
        <f t="shared" si="232"/>
        <v>ZOTAC</v>
      </c>
      <c r="D1461" s="452" t="str">
        <f>HYPERLINK("https://www.zotac.com/product/graphics_card/zotac-gaming-geforce-rtx-2080-ti-amp-maxx","AMP MAXX")</f>
        <v>AMP MAXX</v>
      </c>
      <c r="E1461" s="266">
        <v>298.0</v>
      </c>
      <c r="F1461" s="266">
        <v>133.0</v>
      </c>
      <c r="G1461" s="266">
        <v>42.0</v>
      </c>
      <c r="H1461" s="266">
        <v>2.0</v>
      </c>
      <c r="I1461" s="266">
        <v>1665.0</v>
      </c>
      <c r="J1461" s="266">
        <v>14.0</v>
      </c>
      <c r="K1461" s="266">
        <v>300.0</v>
      </c>
      <c r="L1461" s="266" t="s">
        <v>3460</v>
      </c>
      <c r="M1461" s="266">
        <v>2.0</v>
      </c>
      <c r="N1461" s="266">
        <v>3.0</v>
      </c>
      <c r="O1461" s="266">
        <v>1.0</v>
      </c>
      <c r="P1461" s="266">
        <v>1.0</v>
      </c>
      <c r="Q1461" s="266" t="s">
        <v>166</v>
      </c>
      <c r="R1461" s="497" t="s">
        <v>166</v>
      </c>
      <c r="S1461" s="497" t="s">
        <v>166</v>
      </c>
      <c r="T1461" s="496"/>
    </row>
    <row r="1462">
      <c r="A1462" s="494" t="s">
        <v>3401</v>
      </c>
      <c r="B1462" s="495" t="s">
        <v>4055</v>
      </c>
      <c r="C1462" s="452" t="str">
        <f t="shared" si="232"/>
        <v>ZOTAC</v>
      </c>
      <c r="D1462" s="452" t="s">
        <v>4069</v>
      </c>
      <c r="E1462" s="266">
        <v>324.0</v>
      </c>
      <c r="F1462" s="266">
        <v>136.0</v>
      </c>
      <c r="G1462" s="266">
        <v>59.0</v>
      </c>
      <c r="H1462" s="266">
        <v>2.0</v>
      </c>
      <c r="I1462" s="266">
        <v>1755.0</v>
      </c>
      <c r="J1462" s="266">
        <v>14.4</v>
      </c>
      <c r="K1462" s="266">
        <v>300.0</v>
      </c>
      <c r="L1462" s="266" t="s">
        <v>3460</v>
      </c>
      <c r="M1462" s="266">
        <v>3.0</v>
      </c>
      <c r="N1462" s="266">
        <v>3.0</v>
      </c>
      <c r="O1462" s="266">
        <v>1.0</v>
      </c>
      <c r="P1462" s="266">
        <v>1.0</v>
      </c>
      <c r="Q1462" s="266" t="s">
        <v>166</v>
      </c>
      <c r="R1462" s="497" t="s">
        <v>166</v>
      </c>
      <c r="S1462" s="497" t="s">
        <v>166</v>
      </c>
      <c r="T1462" s="496"/>
    </row>
    <row r="1463">
      <c r="A1463" s="494" t="s">
        <v>3401</v>
      </c>
      <c r="B1463" s="495" t="s">
        <v>4055</v>
      </c>
      <c r="C1463" s="452" t="str">
        <f t="shared" si="232"/>
        <v>ZOTAC</v>
      </c>
      <c r="D1463" s="452" t="s">
        <v>3867</v>
      </c>
      <c r="E1463" s="266">
        <v>324.0</v>
      </c>
      <c r="F1463" s="266">
        <v>136.0</v>
      </c>
      <c r="G1463" s="266">
        <v>59.0</v>
      </c>
      <c r="H1463" s="266">
        <v>2.0</v>
      </c>
      <c r="I1463" s="266">
        <v>1815.0</v>
      </c>
      <c r="J1463" s="266">
        <v>14.4</v>
      </c>
      <c r="K1463" s="266">
        <v>300.0</v>
      </c>
      <c r="L1463" s="266" t="s">
        <v>3460</v>
      </c>
      <c r="M1463" s="266">
        <v>3.0</v>
      </c>
      <c r="N1463" s="266">
        <v>3.0</v>
      </c>
      <c r="O1463" s="266">
        <v>1.0</v>
      </c>
      <c r="P1463" s="266">
        <v>1.0</v>
      </c>
      <c r="Q1463" s="266" t="s">
        <v>166</v>
      </c>
      <c r="R1463" s="497" t="s">
        <v>166</v>
      </c>
      <c r="S1463" s="497" t="s">
        <v>166</v>
      </c>
      <c r="T1463" s="496"/>
    </row>
    <row r="1464">
      <c r="A1464" s="498" t="s">
        <v>3401</v>
      </c>
      <c r="B1464" s="499" t="s">
        <v>4055</v>
      </c>
      <c r="C1464" s="500" t="str">
        <f t="shared" si="232"/>
        <v>ZOTAC</v>
      </c>
      <c r="D1464" s="500" t="str">
        <f>HYPERLINK("https://www.zotac.com/product/graphics_card/zotac-gaming-geforce-rtx-2080-ti-arcticstorm","ArcticStorm")</f>
        <v>ArcticStorm</v>
      </c>
      <c r="E1464" s="501">
        <v>295.0</v>
      </c>
      <c r="F1464" s="501">
        <v>158.0</v>
      </c>
      <c r="G1464" s="501">
        <v>29.9</v>
      </c>
      <c r="H1464" s="501">
        <v>2.0</v>
      </c>
      <c r="I1464" s="501">
        <v>1575.0</v>
      </c>
      <c r="J1464" s="501">
        <v>14.0</v>
      </c>
      <c r="K1464" s="501">
        <v>300.0</v>
      </c>
      <c r="L1464" s="501" t="s">
        <v>3460</v>
      </c>
      <c r="M1464" s="501" t="s">
        <v>166</v>
      </c>
      <c r="N1464" s="501">
        <v>3.0</v>
      </c>
      <c r="O1464" s="501">
        <v>1.0</v>
      </c>
      <c r="P1464" s="501">
        <v>1.0</v>
      </c>
      <c r="Q1464" s="501" t="s">
        <v>166</v>
      </c>
      <c r="R1464" s="501" t="s">
        <v>174</v>
      </c>
      <c r="S1464" s="501" t="s">
        <v>166</v>
      </c>
      <c r="T1464" s="498"/>
    </row>
    <row r="1465">
      <c r="A1465" s="538" t="s">
        <v>3401</v>
      </c>
      <c r="B1465" s="539" t="s">
        <v>3544</v>
      </c>
      <c r="C1465" s="500" t="str">
        <f>HYPERLINK("http://www.inno3d.com/","Inno3D")</f>
        <v>Inno3D</v>
      </c>
      <c r="D1465" s="549" t="s">
        <v>3896</v>
      </c>
      <c r="E1465" s="519">
        <v>222.0</v>
      </c>
      <c r="F1465" s="519">
        <v>120.0</v>
      </c>
      <c r="G1465" s="519">
        <v>40.0</v>
      </c>
      <c r="H1465" s="519">
        <v>2.0</v>
      </c>
      <c r="I1465" s="519">
        <v>1470.0</v>
      </c>
      <c r="J1465" s="519">
        <v>14.0</v>
      </c>
      <c r="K1465" s="519">
        <v>70.0</v>
      </c>
      <c r="L1465" s="519" t="s">
        <v>166</v>
      </c>
      <c r="M1465" s="519">
        <v>2.0</v>
      </c>
      <c r="N1465" s="519">
        <v>1.0</v>
      </c>
      <c r="O1465" s="519">
        <v>1.0</v>
      </c>
      <c r="P1465" s="519" t="s">
        <v>166</v>
      </c>
      <c r="Q1465" s="519">
        <v>1.0</v>
      </c>
      <c r="R1465" s="501" t="s">
        <v>166</v>
      </c>
      <c r="S1465" s="519" t="s">
        <v>166</v>
      </c>
      <c r="T1465" s="541"/>
    </row>
    <row r="1466">
      <c r="A1466" s="504" t="s">
        <v>3401</v>
      </c>
      <c r="B1466" s="505" t="s">
        <v>3561</v>
      </c>
      <c r="C1466" s="282" t="str">
        <f t="shared" ref="C1466:C1469" si="233">HYPERLINK("https://www.asus.com/","Asus")</f>
        <v>Asus</v>
      </c>
      <c r="D1466" s="544" t="s">
        <v>3477</v>
      </c>
      <c r="E1466" s="507">
        <v>272.0</v>
      </c>
      <c r="F1466" s="507">
        <v>139.0</v>
      </c>
      <c r="G1466" s="507">
        <v>56.0</v>
      </c>
      <c r="H1466" s="507">
        <v>2.0</v>
      </c>
      <c r="I1466" s="507">
        <v>1807.0</v>
      </c>
      <c r="J1466" s="507">
        <v>14.0</v>
      </c>
      <c r="K1466" s="507">
        <v>130.0</v>
      </c>
      <c r="L1466" s="507">
        <v>8.0</v>
      </c>
      <c r="M1466" s="507">
        <v>3.0</v>
      </c>
      <c r="N1466" s="507">
        <v>3.0</v>
      </c>
      <c r="O1466" s="507">
        <v>2.0</v>
      </c>
      <c r="P1466" s="507" t="s">
        <v>166</v>
      </c>
      <c r="Q1466" s="507" t="s">
        <v>166</v>
      </c>
      <c r="R1466" s="507" t="s">
        <v>166</v>
      </c>
      <c r="S1466" s="507" t="s">
        <v>166</v>
      </c>
      <c r="T1466" s="509"/>
    </row>
    <row r="1467">
      <c r="A1467" s="504" t="s">
        <v>3401</v>
      </c>
      <c r="B1467" s="505" t="s">
        <v>3561</v>
      </c>
      <c r="C1467" s="282" t="str">
        <f t="shared" si="233"/>
        <v>Asus</v>
      </c>
      <c r="D1467" s="544" t="s">
        <v>3478</v>
      </c>
      <c r="E1467" s="507">
        <v>272.0</v>
      </c>
      <c r="F1467" s="507">
        <v>139.0</v>
      </c>
      <c r="G1467" s="507">
        <v>56.0</v>
      </c>
      <c r="H1467" s="507">
        <v>2.0</v>
      </c>
      <c r="I1467" s="507">
        <v>1875.0</v>
      </c>
      <c r="J1467" s="507">
        <v>14.0</v>
      </c>
      <c r="K1467" s="507">
        <v>130.0</v>
      </c>
      <c r="L1467" s="507">
        <v>8.0</v>
      </c>
      <c r="M1467" s="507">
        <v>3.0</v>
      </c>
      <c r="N1467" s="507">
        <v>3.0</v>
      </c>
      <c r="O1467" s="507">
        <v>2.0</v>
      </c>
      <c r="P1467" s="507" t="s">
        <v>166</v>
      </c>
      <c r="Q1467" s="507" t="s">
        <v>166</v>
      </c>
      <c r="R1467" s="266" t="s">
        <v>166</v>
      </c>
      <c r="S1467" s="507" t="s">
        <v>166</v>
      </c>
      <c r="T1467" s="509"/>
    </row>
    <row r="1468">
      <c r="A1468" s="504" t="s">
        <v>3401</v>
      </c>
      <c r="B1468" s="505" t="s">
        <v>3561</v>
      </c>
      <c r="C1468" s="282" t="str">
        <f t="shared" si="233"/>
        <v>Asus</v>
      </c>
      <c r="D1468" s="544" t="s">
        <v>3631</v>
      </c>
      <c r="E1468" s="507">
        <v>300.0</v>
      </c>
      <c r="F1468" s="507">
        <v>133.6</v>
      </c>
      <c r="G1468" s="507">
        <v>53.5</v>
      </c>
      <c r="H1468" s="507">
        <v>2.0</v>
      </c>
      <c r="I1468" s="507">
        <v>1807.0</v>
      </c>
      <c r="J1468" s="507">
        <v>14.0</v>
      </c>
      <c r="K1468" s="507">
        <v>130.0</v>
      </c>
      <c r="L1468" s="507">
        <v>8.0</v>
      </c>
      <c r="M1468" s="507">
        <v>3.0</v>
      </c>
      <c r="N1468" s="507">
        <v>3.0</v>
      </c>
      <c r="O1468" s="507">
        <v>2.0</v>
      </c>
      <c r="P1468" s="507" t="s">
        <v>166</v>
      </c>
      <c r="Q1468" s="507" t="s">
        <v>166</v>
      </c>
      <c r="R1468" s="497" t="s">
        <v>166</v>
      </c>
      <c r="S1468" s="508" t="s">
        <v>166</v>
      </c>
      <c r="T1468" s="509"/>
    </row>
    <row r="1469">
      <c r="A1469" s="504" t="s">
        <v>3401</v>
      </c>
      <c r="B1469" s="505" t="s">
        <v>3561</v>
      </c>
      <c r="C1469" s="282" t="str">
        <f t="shared" si="233"/>
        <v>Asus</v>
      </c>
      <c r="D1469" s="544" t="s">
        <v>3643</v>
      </c>
      <c r="E1469" s="507">
        <v>300.0</v>
      </c>
      <c r="F1469" s="507">
        <v>133.6</v>
      </c>
      <c r="G1469" s="507">
        <v>53.5</v>
      </c>
      <c r="H1469" s="507">
        <v>2.0</v>
      </c>
      <c r="I1469" s="507">
        <v>1890.0</v>
      </c>
      <c r="J1469" s="507">
        <v>14.0</v>
      </c>
      <c r="K1469" s="507">
        <v>150.0</v>
      </c>
      <c r="L1469" s="507">
        <v>8.0</v>
      </c>
      <c r="M1469" s="507">
        <v>3.0</v>
      </c>
      <c r="N1469" s="507">
        <v>3.0</v>
      </c>
      <c r="O1469" s="507">
        <v>2.0</v>
      </c>
      <c r="P1469" s="507" t="s">
        <v>166</v>
      </c>
      <c r="Q1469" s="507" t="s">
        <v>166</v>
      </c>
      <c r="R1469" s="497" t="s">
        <v>166</v>
      </c>
      <c r="S1469" s="508" t="s">
        <v>166</v>
      </c>
      <c r="T1469" s="509"/>
    </row>
    <row r="1470">
      <c r="A1470" s="504" t="s">
        <v>3401</v>
      </c>
      <c r="B1470" s="505" t="s">
        <v>3561</v>
      </c>
      <c r="C1470" s="452" t="s">
        <v>3575</v>
      </c>
      <c r="D1470" s="544" t="s">
        <v>4070</v>
      </c>
      <c r="E1470" s="507">
        <f>253.4-12</f>
        <v>241.4</v>
      </c>
      <c r="F1470" s="507">
        <f>132.5-15</f>
        <v>117.5</v>
      </c>
      <c r="G1470" s="507">
        <v>41.0</v>
      </c>
      <c r="H1470" s="507">
        <v>2.0</v>
      </c>
      <c r="I1470" s="507">
        <v>1777.0</v>
      </c>
      <c r="J1470" s="507">
        <v>14.0</v>
      </c>
      <c r="K1470" s="507">
        <v>130.0</v>
      </c>
      <c r="L1470" s="507">
        <v>8.0</v>
      </c>
      <c r="M1470" s="507">
        <v>2.0</v>
      </c>
      <c r="N1470" s="507">
        <v>3.0</v>
      </c>
      <c r="O1470" s="507">
        <v>1.0</v>
      </c>
      <c r="P1470" s="507" t="s">
        <v>166</v>
      </c>
      <c r="Q1470" s="507" t="s">
        <v>166</v>
      </c>
      <c r="R1470" s="497" t="s">
        <v>166</v>
      </c>
      <c r="S1470" s="508" t="s">
        <v>166</v>
      </c>
      <c r="T1470" s="509"/>
    </row>
    <row r="1471">
      <c r="A1471" s="504" t="s">
        <v>3401</v>
      </c>
      <c r="B1471" s="505" t="s">
        <v>3561</v>
      </c>
      <c r="C1471" s="452" t="s">
        <v>3575</v>
      </c>
      <c r="D1471" s="544" t="s">
        <v>4071</v>
      </c>
      <c r="E1471" s="507">
        <f>316.5-12</f>
        <v>304.5</v>
      </c>
      <c r="F1471" s="507">
        <f>135-15</f>
        <v>120</v>
      </c>
      <c r="G1471" s="507">
        <v>53.1</v>
      </c>
      <c r="H1471" s="507">
        <v>2.0</v>
      </c>
      <c r="I1471" s="507">
        <v>1777.0</v>
      </c>
      <c r="J1471" s="507">
        <v>14.0</v>
      </c>
      <c r="K1471" s="507">
        <v>130.0</v>
      </c>
      <c r="L1471" s="507">
        <v>8.0</v>
      </c>
      <c r="M1471" s="507">
        <v>3.0</v>
      </c>
      <c r="N1471" s="507">
        <v>3.0</v>
      </c>
      <c r="O1471" s="507">
        <v>1.0</v>
      </c>
      <c r="P1471" s="507" t="s">
        <v>166</v>
      </c>
      <c r="Q1471" s="507" t="s">
        <v>166</v>
      </c>
      <c r="R1471" s="497" t="s">
        <v>166</v>
      </c>
      <c r="S1471" s="508" t="s">
        <v>166</v>
      </c>
      <c r="T1471" s="509"/>
    </row>
    <row r="1472">
      <c r="A1472" s="504" t="s">
        <v>3401</v>
      </c>
      <c r="B1472" s="505" t="s">
        <v>3561</v>
      </c>
      <c r="C1472" s="452" t="s">
        <v>3575</v>
      </c>
      <c r="D1472" s="544" t="s">
        <v>4072</v>
      </c>
      <c r="E1472" s="507">
        <f>253-12</f>
        <v>241</v>
      </c>
      <c r="F1472" s="507">
        <f>129.2-15</f>
        <v>114.2</v>
      </c>
      <c r="G1472" s="507">
        <v>45.6</v>
      </c>
      <c r="H1472" s="507">
        <v>2.0</v>
      </c>
      <c r="I1472" s="507">
        <v>1822.0</v>
      </c>
      <c r="J1472" s="507">
        <v>14.0</v>
      </c>
      <c r="K1472" s="507">
        <v>130.0</v>
      </c>
      <c r="L1472" s="507">
        <v>8.0</v>
      </c>
      <c r="M1472" s="507">
        <v>2.0</v>
      </c>
      <c r="N1472" s="507">
        <v>3.0</v>
      </c>
      <c r="O1472" s="507">
        <v>1.0</v>
      </c>
      <c r="P1472" s="507" t="s">
        <v>166</v>
      </c>
      <c r="Q1472" s="507" t="s">
        <v>166</v>
      </c>
      <c r="R1472" s="266" t="s">
        <v>166</v>
      </c>
      <c r="S1472" s="507" t="s">
        <v>166</v>
      </c>
      <c r="T1472" s="509"/>
    </row>
    <row r="1473">
      <c r="A1473" s="504" t="s">
        <v>3401</v>
      </c>
      <c r="B1473" s="505" t="s">
        <v>3561</v>
      </c>
      <c r="C1473" s="452" t="s">
        <v>3575</v>
      </c>
      <c r="D1473" s="544" t="s">
        <v>4073</v>
      </c>
      <c r="E1473" s="507">
        <f>310-12</f>
        <v>298</v>
      </c>
      <c r="F1473" s="507">
        <f>131.5-15</f>
        <v>116.5</v>
      </c>
      <c r="G1473" s="507">
        <v>56.0</v>
      </c>
      <c r="H1473" s="507">
        <v>2.0</v>
      </c>
      <c r="I1473" s="507">
        <v>1860.0</v>
      </c>
      <c r="J1473" s="507">
        <v>14.0</v>
      </c>
      <c r="K1473" s="507">
        <v>130.0</v>
      </c>
      <c r="L1473" s="507" t="s">
        <v>3460</v>
      </c>
      <c r="M1473" s="507">
        <v>3.0</v>
      </c>
      <c r="N1473" s="507">
        <v>3.0</v>
      </c>
      <c r="O1473" s="507">
        <v>1.0</v>
      </c>
      <c r="P1473" s="507" t="s">
        <v>166</v>
      </c>
      <c r="Q1473" s="507" t="s">
        <v>166</v>
      </c>
      <c r="R1473" s="497" t="s">
        <v>166</v>
      </c>
      <c r="S1473" s="508" t="s">
        <v>166</v>
      </c>
      <c r="T1473" s="509"/>
    </row>
    <row r="1474">
      <c r="A1474" s="504" t="s">
        <v>3401</v>
      </c>
      <c r="B1474" s="505" t="s">
        <v>3561</v>
      </c>
      <c r="C1474" s="452" t="str">
        <f t="shared" ref="C1474:C1476" si="234">HYPERLINK("http://www.gainward.com/main/index.php?lang=en","Gainward")</f>
        <v>Gainward</v>
      </c>
      <c r="D1474" s="537" t="s">
        <v>3592</v>
      </c>
      <c r="E1474" s="507">
        <v>242.0</v>
      </c>
      <c r="F1474" s="507">
        <v>132.0</v>
      </c>
      <c r="G1474" s="507">
        <v>42.0</v>
      </c>
      <c r="H1474" s="507">
        <v>2.0</v>
      </c>
      <c r="I1474" s="507">
        <v>1807.0</v>
      </c>
      <c r="J1474" s="507">
        <v>14.0</v>
      </c>
      <c r="K1474" s="507">
        <v>130.0</v>
      </c>
      <c r="L1474" s="507">
        <v>8.0</v>
      </c>
      <c r="M1474" s="507">
        <v>2.0</v>
      </c>
      <c r="N1474" s="507">
        <v>3.0</v>
      </c>
      <c r="O1474" s="507">
        <v>1.0</v>
      </c>
      <c r="P1474" s="507" t="s">
        <v>166</v>
      </c>
      <c r="Q1474" s="507" t="s">
        <v>166</v>
      </c>
      <c r="R1474" s="266" t="s">
        <v>166</v>
      </c>
      <c r="S1474" s="507" t="s">
        <v>166</v>
      </c>
      <c r="T1474" s="509"/>
    </row>
    <row r="1475">
      <c r="A1475" s="504" t="s">
        <v>3401</v>
      </c>
      <c r="B1475" s="505" t="s">
        <v>3561</v>
      </c>
      <c r="C1475" s="452" t="str">
        <f t="shared" si="234"/>
        <v>Gainward</v>
      </c>
      <c r="D1475" s="544" t="s">
        <v>3926</v>
      </c>
      <c r="E1475" s="507">
        <v>245.0</v>
      </c>
      <c r="F1475" s="507">
        <v>119.0</v>
      </c>
      <c r="G1475" s="507">
        <v>40.0</v>
      </c>
      <c r="H1475" s="507">
        <v>2.0</v>
      </c>
      <c r="I1475" s="507">
        <v>1777.0</v>
      </c>
      <c r="J1475" s="507">
        <v>14.0</v>
      </c>
      <c r="K1475" s="507">
        <v>130.0</v>
      </c>
      <c r="L1475" s="507">
        <v>8.0</v>
      </c>
      <c r="M1475" s="507">
        <v>2.0</v>
      </c>
      <c r="N1475" s="507">
        <v>3.0</v>
      </c>
      <c r="O1475" s="507">
        <v>1.0</v>
      </c>
      <c r="P1475" s="507" t="s">
        <v>166</v>
      </c>
      <c r="Q1475" s="507" t="s">
        <v>166</v>
      </c>
      <c r="R1475" s="497" t="s">
        <v>166</v>
      </c>
      <c r="S1475" s="508" t="s">
        <v>166</v>
      </c>
      <c r="T1475" s="509"/>
    </row>
    <row r="1476">
      <c r="A1476" s="504" t="s">
        <v>3401</v>
      </c>
      <c r="B1476" s="505" t="s">
        <v>3561</v>
      </c>
      <c r="C1476" s="452" t="str">
        <f t="shared" si="234"/>
        <v>Gainward</v>
      </c>
      <c r="D1476" s="544" t="s">
        <v>3488</v>
      </c>
      <c r="E1476" s="507">
        <v>245.0</v>
      </c>
      <c r="F1476" s="507">
        <v>119.0</v>
      </c>
      <c r="G1476" s="507">
        <v>40.0</v>
      </c>
      <c r="H1476" s="507">
        <v>2.0</v>
      </c>
      <c r="I1476" s="507">
        <v>1822.0</v>
      </c>
      <c r="J1476" s="507">
        <v>14.0</v>
      </c>
      <c r="K1476" s="507">
        <v>130.0</v>
      </c>
      <c r="L1476" s="507">
        <v>8.0</v>
      </c>
      <c r="M1476" s="507">
        <v>2.0</v>
      </c>
      <c r="N1476" s="507">
        <v>3.0</v>
      </c>
      <c r="O1476" s="507">
        <v>1.0</v>
      </c>
      <c r="P1476" s="507" t="s">
        <v>166</v>
      </c>
      <c r="Q1476" s="507" t="s">
        <v>166</v>
      </c>
      <c r="R1476" s="497" t="s">
        <v>166</v>
      </c>
      <c r="S1476" s="508" t="s">
        <v>166</v>
      </c>
      <c r="T1476" s="509"/>
    </row>
    <row r="1477">
      <c r="A1477" s="504" t="s">
        <v>3401</v>
      </c>
      <c r="B1477" s="505" t="s">
        <v>3561</v>
      </c>
      <c r="C1477" s="174" t="s">
        <v>3456</v>
      </c>
      <c r="D1477" s="537" t="s">
        <v>4074</v>
      </c>
      <c r="E1477" s="507">
        <v>241.0</v>
      </c>
      <c r="F1477" s="507">
        <v>120.0</v>
      </c>
      <c r="G1477" s="507">
        <v>41.0</v>
      </c>
      <c r="H1477" s="507">
        <v>2.0</v>
      </c>
      <c r="I1477" s="507">
        <v>1777.0</v>
      </c>
      <c r="J1477" s="507">
        <v>14.0</v>
      </c>
      <c r="K1477" s="507">
        <v>130.0</v>
      </c>
      <c r="L1477" s="507">
        <v>8.0</v>
      </c>
      <c r="M1477" s="507">
        <v>2.0</v>
      </c>
      <c r="N1477" s="507">
        <v>3.0</v>
      </c>
      <c r="O1477" s="507">
        <v>1.0</v>
      </c>
      <c r="P1477" s="507" t="s">
        <v>166</v>
      </c>
      <c r="Q1477" s="507" t="s">
        <v>166</v>
      </c>
      <c r="R1477" s="266" t="s">
        <v>166</v>
      </c>
      <c r="S1477" s="507" t="s">
        <v>166</v>
      </c>
      <c r="T1477" s="509"/>
    </row>
    <row r="1478">
      <c r="A1478" s="504" t="s">
        <v>3401</v>
      </c>
      <c r="B1478" s="505" t="s">
        <v>3561</v>
      </c>
      <c r="C1478" s="174" t="s">
        <v>3456</v>
      </c>
      <c r="D1478" s="537" t="s">
        <v>3594</v>
      </c>
      <c r="E1478" s="507">
        <v>267.0</v>
      </c>
      <c r="F1478" s="507">
        <v>120.0</v>
      </c>
      <c r="G1478" s="507">
        <v>45.0</v>
      </c>
      <c r="H1478" s="507">
        <v>2.0</v>
      </c>
      <c r="I1478" s="507">
        <v>1777.0</v>
      </c>
      <c r="J1478" s="507">
        <v>14.0</v>
      </c>
      <c r="K1478" s="507">
        <v>130.0</v>
      </c>
      <c r="L1478" s="507">
        <v>8.0</v>
      </c>
      <c r="M1478" s="507">
        <v>2.0</v>
      </c>
      <c r="N1478" s="507">
        <v>3.0</v>
      </c>
      <c r="O1478" s="507">
        <v>1.0</v>
      </c>
      <c r="P1478" s="507" t="s">
        <v>166</v>
      </c>
      <c r="Q1478" s="507" t="s">
        <v>166</v>
      </c>
      <c r="R1478" s="266" t="s">
        <v>166</v>
      </c>
      <c r="S1478" s="507" t="s">
        <v>166</v>
      </c>
      <c r="T1478" s="509"/>
    </row>
    <row r="1479">
      <c r="A1479" s="504" t="s">
        <v>3401</v>
      </c>
      <c r="B1479" s="505" t="s">
        <v>3561</v>
      </c>
      <c r="C1479" s="174" t="s">
        <v>3456</v>
      </c>
      <c r="D1479" s="537" t="s">
        <v>4075</v>
      </c>
      <c r="E1479" s="507">
        <v>267.0</v>
      </c>
      <c r="F1479" s="507">
        <v>120.0</v>
      </c>
      <c r="G1479" s="507">
        <v>45.0</v>
      </c>
      <c r="H1479" s="507">
        <v>2.0</v>
      </c>
      <c r="I1479" s="507">
        <v>1822.0</v>
      </c>
      <c r="J1479" s="507">
        <v>14.0</v>
      </c>
      <c r="K1479" s="507">
        <v>130.0</v>
      </c>
      <c r="L1479" s="507">
        <v>8.0</v>
      </c>
      <c r="M1479" s="507">
        <v>2.0</v>
      </c>
      <c r="N1479" s="507">
        <v>3.0</v>
      </c>
      <c r="O1479" s="507">
        <v>1.0</v>
      </c>
      <c r="P1479" s="507" t="s">
        <v>166</v>
      </c>
      <c r="Q1479" s="507" t="s">
        <v>166</v>
      </c>
      <c r="R1479" s="266" t="s">
        <v>166</v>
      </c>
      <c r="S1479" s="507" t="s">
        <v>166</v>
      </c>
      <c r="T1479" s="509"/>
    </row>
    <row r="1480">
      <c r="A1480" s="504" t="s">
        <v>3401</v>
      </c>
      <c r="B1480" s="505" t="s">
        <v>3561</v>
      </c>
      <c r="C1480" s="174" t="str">
        <f>HYPERLINK("https://www.gigabyte.com/","Gigabyte")</f>
        <v>Gigabyte</v>
      </c>
      <c r="D1480" s="544" t="s">
        <v>3630</v>
      </c>
      <c r="E1480" s="507">
        <v>282.0</v>
      </c>
      <c r="F1480" s="507">
        <v>117.0</v>
      </c>
      <c r="G1480" s="507">
        <v>41.0</v>
      </c>
      <c r="H1480" s="507">
        <v>2.0</v>
      </c>
      <c r="I1480" s="507">
        <v>1822.0</v>
      </c>
      <c r="J1480" s="507">
        <v>14.0</v>
      </c>
      <c r="K1480" s="507">
        <v>130.0</v>
      </c>
      <c r="L1480" s="507">
        <v>8.0</v>
      </c>
      <c r="M1480" s="507">
        <v>3.0</v>
      </c>
      <c r="N1480" s="507">
        <v>2.0</v>
      </c>
      <c r="O1480" s="507">
        <v>2.0</v>
      </c>
      <c r="P1480" s="507" t="s">
        <v>166</v>
      </c>
      <c r="Q1480" s="507" t="s">
        <v>166</v>
      </c>
      <c r="R1480" s="497" t="s">
        <v>166</v>
      </c>
      <c r="S1480" s="508" t="s">
        <v>166</v>
      </c>
      <c r="T1480" s="509"/>
    </row>
    <row r="1481">
      <c r="A1481" s="504" t="s">
        <v>3401</v>
      </c>
      <c r="B1481" s="505" t="s">
        <v>3561</v>
      </c>
      <c r="C1481" s="452" t="str">
        <f t="shared" ref="C1481:C1482" si="235">HYPERLINK("http://www.inno3d.com/","Inno3D")</f>
        <v>Inno3D</v>
      </c>
      <c r="D1481" s="544" t="s">
        <v>3896</v>
      </c>
      <c r="E1481" s="507">
        <v>240.0</v>
      </c>
      <c r="F1481" s="507">
        <v>120.0</v>
      </c>
      <c r="G1481" s="507">
        <v>40.0</v>
      </c>
      <c r="H1481" s="507">
        <v>2.0</v>
      </c>
      <c r="I1481" s="507">
        <v>1777.0</v>
      </c>
      <c r="J1481" s="507">
        <v>14.0</v>
      </c>
      <c r="K1481" s="507">
        <v>130.0</v>
      </c>
      <c r="L1481" s="507">
        <v>8.0</v>
      </c>
      <c r="M1481" s="507">
        <v>2.0</v>
      </c>
      <c r="N1481" s="507">
        <v>3.0</v>
      </c>
      <c r="O1481" s="507">
        <v>1.0</v>
      </c>
      <c r="P1481" s="507" t="s">
        <v>166</v>
      </c>
      <c r="Q1481" s="507" t="s">
        <v>166</v>
      </c>
      <c r="R1481" s="497" t="s">
        <v>166</v>
      </c>
      <c r="S1481" s="508" t="s">
        <v>166</v>
      </c>
      <c r="T1481" s="509"/>
    </row>
    <row r="1482">
      <c r="A1482" s="504" t="s">
        <v>3401</v>
      </c>
      <c r="B1482" s="505" t="s">
        <v>3561</v>
      </c>
      <c r="C1482" s="452" t="str">
        <f t="shared" si="235"/>
        <v>Inno3D</v>
      </c>
      <c r="D1482" s="544" t="s">
        <v>3882</v>
      </c>
      <c r="E1482" s="507">
        <v>240.0</v>
      </c>
      <c r="F1482" s="507">
        <v>120.0</v>
      </c>
      <c r="G1482" s="507">
        <v>40.0</v>
      </c>
      <c r="H1482" s="507">
        <v>2.0</v>
      </c>
      <c r="I1482" s="507">
        <v>1822.0</v>
      </c>
      <c r="J1482" s="507">
        <v>14.0</v>
      </c>
      <c r="K1482" s="507">
        <v>130.0</v>
      </c>
      <c r="L1482" s="507">
        <v>8.0</v>
      </c>
      <c r="M1482" s="507">
        <v>2.0</v>
      </c>
      <c r="N1482" s="507">
        <v>3.0</v>
      </c>
      <c r="O1482" s="507">
        <v>1.0</v>
      </c>
      <c r="P1482" s="507" t="s">
        <v>166</v>
      </c>
      <c r="Q1482" s="507" t="s">
        <v>166</v>
      </c>
      <c r="R1482" s="497" t="s">
        <v>166</v>
      </c>
      <c r="S1482" s="508" t="s">
        <v>166</v>
      </c>
      <c r="T1482" s="509"/>
    </row>
    <row r="1483">
      <c r="A1483" s="504" t="s">
        <v>3401</v>
      </c>
      <c r="B1483" s="505" t="s">
        <v>3561</v>
      </c>
      <c r="C1483" s="452" t="s">
        <v>3538</v>
      </c>
      <c r="D1483" s="544" t="s">
        <v>3898</v>
      </c>
      <c r="E1483" s="507">
        <v>253.0</v>
      </c>
      <c r="F1483" s="507">
        <v>111.0</v>
      </c>
      <c r="G1483" s="507">
        <v>35.0</v>
      </c>
      <c r="H1483" s="507">
        <v>2.0</v>
      </c>
      <c r="I1483" s="507">
        <v>1777.0</v>
      </c>
      <c r="J1483" s="507">
        <v>14.0</v>
      </c>
      <c r="K1483" s="507">
        <v>130.0</v>
      </c>
      <c r="L1483" s="507">
        <v>8.0</v>
      </c>
      <c r="M1483" s="507">
        <v>1.0</v>
      </c>
      <c r="N1483" s="507">
        <v>3.0</v>
      </c>
      <c r="O1483" s="507">
        <v>1.0</v>
      </c>
      <c r="P1483" s="507" t="s">
        <v>166</v>
      </c>
      <c r="Q1483" s="507" t="s">
        <v>166</v>
      </c>
      <c r="R1483" s="266" t="s">
        <v>166</v>
      </c>
      <c r="S1483" s="507" t="s">
        <v>174</v>
      </c>
      <c r="T1483" s="509"/>
    </row>
    <row r="1484">
      <c r="A1484" s="504" t="s">
        <v>3401</v>
      </c>
      <c r="B1484" s="505" t="s">
        <v>3561</v>
      </c>
      <c r="C1484" s="452" t="s">
        <v>3538</v>
      </c>
      <c r="D1484" s="544" t="s">
        <v>4076</v>
      </c>
      <c r="E1484" s="507">
        <v>253.0</v>
      </c>
      <c r="F1484" s="507">
        <v>113.0</v>
      </c>
      <c r="G1484" s="507">
        <v>46.0</v>
      </c>
      <c r="H1484" s="507">
        <v>2.0</v>
      </c>
      <c r="I1484" s="507">
        <v>1777.0</v>
      </c>
      <c r="J1484" s="507">
        <v>14.0</v>
      </c>
      <c r="K1484" s="507">
        <v>130.0</v>
      </c>
      <c r="L1484" s="507">
        <v>8.0</v>
      </c>
      <c r="M1484" s="507">
        <v>2.0</v>
      </c>
      <c r="N1484" s="507">
        <v>3.0</v>
      </c>
      <c r="O1484" s="507">
        <v>1.0</v>
      </c>
      <c r="P1484" s="507" t="s">
        <v>166</v>
      </c>
      <c r="Q1484" s="507" t="s">
        <v>166</v>
      </c>
      <c r="R1484" s="266" t="s">
        <v>166</v>
      </c>
      <c r="S1484" s="507" t="s">
        <v>166</v>
      </c>
      <c r="T1484" s="509"/>
    </row>
    <row r="1485">
      <c r="A1485" s="504" t="s">
        <v>3401</v>
      </c>
      <c r="B1485" s="505" t="s">
        <v>3561</v>
      </c>
      <c r="C1485" s="452" t="str">
        <f t="shared" ref="C1485:C1486" si="236">HYPERLINK("http://manli.com/en","Manli")</f>
        <v>Manli</v>
      </c>
      <c r="D1485" s="544" t="s">
        <v>4077</v>
      </c>
      <c r="E1485" s="507">
        <v>250.0</v>
      </c>
      <c r="F1485" s="507">
        <v>112.0</v>
      </c>
      <c r="G1485" s="507">
        <v>42.0</v>
      </c>
      <c r="H1485" s="507">
        <v>2.0</v>
      </c>
      <c r="I1485" s="507">
        <v>1777.0</v>
      </c>
      <c r="J1485" s="507">
        <v>14.0</v>
      </c>
      <c r="K1485" s="507">
        <v>130.0</v>
      </c>
      <c r="L1485" s="507">
        <v>8.0</v>
      </c>
      <c r="M1485" s="507">
        <v>2.0</v>
      </c>
      <c r="N1485" s="507">
        <v>3.0</v>
      </c>
      <c r="O1485" s="507">
        <v>1.0</v>
      </c>
      <c r="P1485" s="507" t="s">
        <v>166</v>
      </c>
      <c r="Q1485" s="507" t="s">
        <v>166</v>
      </c>
      <c r="R1485" s="266" t="s">
        <v>166</v>
      </c>
      <c r="S1485" s="507" t="s">
        <v>166</v>
      </c>
      <c r="T1485" s="509"/>
    </row>
    <row r="1486">
      <c r="A1486" s="504" t="s">
        <v>3401</v>
      </c>
      <c r="B1486" s="505" t="s">
        <v>3561</v>
      </c>
      <c r="C1486" s="452" t="str">
        <f t="shared" si="236"/>
        <v>Manli</v>
      </c>
      <c r="D1486" s="544" t="s">
        <v>4078</v>
      </c>
      <c r="E1486" s="507">
        <v>245.0</v>
      </c>
      <c r="F1486" s="507">
        <v>112.0</v>
      </c>
      <c r="G1486" s="507">
        <v>42.0</v>
      </c>
      <c r="H1486" s="507">
        <v>2.0</v>
      </c>
      <c r="I1486" s="507">
        <v>1792.0</v>
      </c>
      <c r="J1486" s="507">
        <v>14.0</v>
      </c>
      <c r="K1486" s="507">
        <v>130.0</v>
      </c>
      <c r="L1486" s="507">
        <v>8.0</v>
      </c>
      <c r="M1486" s="507">
        <v>2.0</v>
      </c>
      <c r="N1486" s="507">
        <v>3.0</v>
      </c>
      <c r="O1486" s="507">
        <v>1.0</v>
      </c>
      <c r="P1486" s="507" t="s">
        <v>166</v>
      </c>
      <c r="Q1486" s="507" t="s">
        <v>166</v>
      </c>
      <c r="R1486" s="266" t="s">
        <v>166</v>
      </c>
      <c r="S1486" s="507" t="s">
        <v>166</v>
      </c>
      <c r="T1486" s="509"/>
    </row>
    <row r="1487">
      <c r="A1487" s="504" t="s">
        <v>3401</v>
      </c>
      <c r="B1487" s="505" t="s">
        <v>3561</v>
      </c>
      <c r="C1487" s="174" t="s">
        <v>3565</v>
      </c>
      <c r="D1487" s="544" t="s">
        <v>4079</v>
      </c>
      <c r="E1487" s="507">
        <v>317.0</v>
      </c>
      <c r="F1487" s="507">
        <v>124.0</v>
      </c>
      <c r="G1487" s="507">
        <v>49.0</v>
      </c>
      <c r="H1487" s="507">
        <v>2.0</v>
      </c>
      <c r="I1487" s="507">
        <v>1777.0</v>
      </c>
      <c r="J1487" s="507">
        <v>14.0</v>
      </c>
      <c r="K1487" s="507">
        <v>130.0</v>
      </c>
      <c r="L1487" s="507">
        <v>8.0</v>
      </c>
      <c r="M1487" s="507">
        <v>3.0</v>
      </c>
      <c r="N1487" s="507">
        <v>3.0</v>
      </c>
      <c r="O1487" s="507">
        <v>1.0</v>
      </c>
      <c r="P1487" s="507" t="s">
        <v>166</v>
      </c>
      <c r="Q1487" s="507" t="s">
        <v>166</v>
      </c>
      <c r="R1487" s="266" t="s">
        <v>166</v>
      </c>
      <c r="S1487" s="507" t="s">
        <v>166</v>
      </c>
      <c r="T1487" s="509"/>
    </row>
    <row r="1488">
      <c r="A1488" s="504" t="s">
        <v>3401</v>
      </c>
      <c r="B1488" s="505" t="s">
        <v>3561</v>
      </c>
      <c r="C1488" s="174" t="str">
        <f t="shared" ref="C1488:C1493" si="237">HYPERLINK("https://www.msi.com/index.php","MSI")</f>
        <v>MSI</v>
      </c>
      <c r="D1488" s="544" t="s">
        <v>3555</v>
      </c>
      <c r="E1488" s="507">
        <v>235.0</v>
      </c>
      <c r="F1488" s="507">
        <v>124.0</v>
      </c>
      <c r="G1488" s="507">
        <v>42.0</v>
      </c>
      <c r="H1488" s="507">
        <v>2.0</v>
      </c>
      <c r="I1488" s="507">
        <v>1777.0</v>
      </c>
      <c r="J1488" s="507">
        <v>14.0</v>
      </c>
      <c r="K1488" s="507">
        <v>130.0</v>
      </c>
      <c r="L1488" s="507">
        <v>8.0</v>
      </c>
      <c r="M1488" s="507">
        <v>2.0</v>
      </c>
      <c r="N1488" s="507">
        <v>3.0</v>
      </c>
      <c r="O1488" s="507">
        <v>1.0</v>
      </c>
      <c r="P1488" s="507" t="s">
        <v>166</v>
      </c>
      <c r="Q1488" s="507" t="s">
        <v>166</v>
      </c>
      <c r="R1488" s="497" t="s">
        <v>166</v>
      </c>
      <c r="S1488" s="508" t="s">
        <v>166</v>
      </c>
      <c r="T1488" s="509"/>
    </row>
    <row r="1489">
      <c r="A1489" s="504" t="s">
        <v>3401</v>
      </c>
      <c r="B1489" s="505" t="s">
        <v>3561</v>
      </c>
      <c r="C1489" s="174" t="str">
        <f t="shared" si="237"/>
        <v>MSI</v>
      </c>
      <c r="D1489" s="544" t="s">
        <v>3556</v>
      </c>
      <c r="E1489" s="507">
        <v>235.0</v>
      </c>
      <c r="F1489" s="507">
        <v>124.0</v>
      </c>
      <c r="G1489" s="507">
        <v>42.0</v>
      </c>
      <c r="H1489" s="507">
        <v>2.0</v>
      </c>
      <c r="I1489" s="507">
        <v>1807.0</v>
      </c>
      <c r="J1489" s="507">
        <v>14.0</v>
      </c>
      <c r="K1489" s="507">
        <v>130.0</v>
      </c>
      <c r="L1489" s="507">
        <v>8.0</v>
      </c>
      <c r="M1489" s="507">
        <v>2.0</v>
      </c>
      <c r="N1489" s="507">
        <v>3.0</v>
      </c>
      <c r="O1489" s="507">
        <v>1.0</v>
      </c>
      <c r="P1489" s="507" t="s">
        <v>166</v>
      </c>
      <c r="Q1489" s="507" t="s">
        <v>166</v>
      </c>
      <c r="R1489" s="497" t="s">
        <v>166</v>
      </c>
      <c r="S1489" s="508" t="s">
        <v>166</v>
      </c>
      <c r="T1489" s="509"/>
    </row>
    <row r="1490">
      <c r="A1490" s="504" t="s">
        <v>3401</v>
      </c>
      <c r="B1490" s="505" t="s">
        <v>3561</v>
      </c>
      <c r="C1490" s="174" t="str">
        <f t="shared" si="237"/>
        <v>MSI</v>
      </c>
      <c r="D1490" s="544" t="s">
        <v>4080</v>
      </c>
      <c r="E1490" s="507">
        <v>236.0</v>
      </c>
      <c r="F1490" s="507">
        <v>126.0</v>
      </c>
      <c r="G1490" s="507">
        <v>43.0</v>
      </c>
      <c r="H1490" s="507">
        <v>2.0</v>
      </c>
      <c r="I1490" s="507">
        <v>1777.0</v>
      </c>
      <c r="J1490" s="507">
        <v>14.0</v>
      </c>
      <c r="K1490" s="507">
        <v>115.0</v>
      </c>
      <c r="L1490" s="507">
        <v>6.0</v>
      </c>
      <c r="M1490" s="507">
        <v>2.0</v>
      </c>
      <c r="N1490" s="507">
        <v>2.0</v>
      </c>
      <c r="O1490" s="507">
        <v>2.0</v>
      </c>
      <c r="P1490" s="507" t="s">
        <v>166</v>
      </c>
      <c r="Q1490" s="507" t="s">
        <v>166</v>
      </c>
      <c r="R1490" s="266" t="s">
        <v>166</v>
      </c>
      <c r="S1490" s="507" t="s">
        <v>166</v>
      </c>
      <c r="T1490" s="509"/>
    </row>
    <row r="1491">
      <c r="A1491" s="504" t="s">
        <v>3401</v>
      </c>
      <c r="B1491" s="505" t="s">
        <v>3561</v>
      </c>
      <c r="C1491" s="174" t="str">
        <f t="shared" si="237"/>
        <v>MSI</v>
      </c>
      <c r="D1491" s="544" t="s">
        <v>4081</v>
      </c>
      <c r="E1491" s="507">
        <v>236.0</v>
      </c>
      <c r="F1491" s="507">
        <v>126.0</v>
      </c>
      <c r="G1491" s="507">
        <v>43.0</v>
      </c>
      <c r="H1491" s="507">
        <v>2.0</v>
      </c>
      <c r="I1491" s="507">
        <v>1807.0</v>
      </c>
      <c r="J1491" s="507">
        <v>14.0</v>
      </c>
      <c r="K1491" s="507">
        <v>115.0</v>
      </c>
      <c r="L1491" s="507">
        <v>6.0</v>
      </c>
      <c r="M1491" s="507">
        <v>2.0</v>
      </c>
      <c r="N1491" s="507">
        <v>2.0</v>
      </c>
      <c r="O1491" s="507">
        <v>2.0</v>
      </c>
      <c r="P1491" s="507" t="s">
        <v>166</v>
      </c>
      <c r="Q1491" s="507" t="s">
        <v>166</v>
      </c>
      <c r="R1491" s="266" t="s">
        <v>166</v>
      </c>
      <c r="S1491" s="507" t="s">
        <v>166</v>
      </c>
      <c r="T1491" s="509"/>
    </row>
    <row r="1492">
      <c r="A1492" s="504" t="s">
        <v>3401</v>
      </c>
      <c r="B1492" s="505" t="s">
        <v>3561</v>
      </c>
      <c r="C1492" s="174" t="str">
        <f t="shared" si="237"/>
        <v>MSI</v>
      </c>
      <c r="D1492" s="544" t="s">
        <v>3409</v>
      </c>
      <c r="E1492" s="507">
        <v>278.0</v>
      </c>
      <c r="F1492" s="507">
        <v>130.0</v>
      </c>
      <c r="G1492" s="507">
        <v>49.0</v>
      </c>
      <c r="H1492" s="507">
        <v>2.0</v>
      </c>
      <c r="I1492" s="507">
        <v>1807.0</v>
      </c>
      <c r="J1492" s="507">
        <v>14.0</v>
      </c>
      <c r="K1492" s="507">
        <v>130.0</v>
      </c>
      <c r="L1492" s="507">
        <v>8.0</v>
      </c>
      <c r="M1492" s="507">
        <v>2.0</v>
      </c>
      <c r="N1492" s="507">
        <v>3.0</v>
      </c>
      <c r="O1492" s="507">
        <v>1.0</v>
      </c>
      <c r="P1492" s="507" t="s">
        <v>166</v>
      </c>
      <c r="Q1492" s="507" t="s">
        <v>166</v>
      </c>
      <c r="R1492" s="497" t="s">
        <v>166</v>
      </c>
      <c r="S1492" s="508" t="s">
        <v>166</v>
      </c>
      <c r="T1492" s="509"/>
    </row>
    <row r="1493">
      <c r="A1493" s="504" t="s">
        <v>3401</v>
      </c>
      <c r="B1493" s="505" t="s">
        <v>3561</v>
      </c>
      <c r="C1493" s="174" t="str">
        <f t="shared" si="237"/>
        <v>MSI</v>
      </c>
      <c r="D1493" s="544" t="s">
        <v>3557</v>
      </c>
      <c r="E1493" s="507">
        <v>278.0</v>
      </c>
      <c r="F1493" s="507">
        <v>130.0</v>
      </c>
      <c r="G1493" s="507">
        <v>49.0</v>
      </c>
      <c r="H1493" s="507">
        <v>2.0</v>
      </c>
      <c r="I1493" s="507">
        <v>1845.0</v>
      </c>
      <c r="J1493" s="507">
        <v>14.0</v>
      </c>
      <c r="K1493" s="507">
        <v>130.0</v>
      </c>
      <c r="L1493" s="507">
        <v>8.0</v>
      </c>
      <c r="M1493" s="507">
        <v>2.0</v>
      </c>
      <c r="N1493" s="507">
        <v>3.0</v>
      </c>
      <c r="O1493" s="507">
        <v>1.0</v>
      </c>
      <c r="P1493" s="507" t="s">
        <v>166</v>
      </c>
      <c r="Q1493" s="507" t="s">
        <v>166</v>
      </c>
      <c r="R1493" s="497" t="s">
        <v>166</v>
      </c>
      <c r="S1493" s="508" t="s">
        <v>166</v>
      </c>
      <c r="T1493" s="509"/>
    </row>
    <row r="1494">
      <c r="A1494" s="504" t="s">
        <v>3401</v>
      </c>
      <c r="B1494" s="505" t="s">
        <v>3561</v>
      </c>
      <c r="C1494" s="452" t="str">
        <f t="shared" ref="C1494:C1495" si="238">HYPERLINK("http://www.palit.com/palit/index.php?lang=en","Palit")</f>
        <v>Palit</v>
      </c>
      <c r="D1494" s="544" t="s">
        <v>3372</v>
      </c>
      <c r="E1494" s="507">
        <v>245.0</v>
      </c>
      <c r="F1494" s="507">
        <v>119.0</v>
      </c>
      <c r="G1494" s="507">
        <v>40.0</v>
      </c>
      <c r="H1494" s="507">
        <v>2.0</v>
      </c>
      <c r="I1494" s="507">
        <v>1777.0</v>
      </c>
      <c r="J1494" s="507">
        <v>14.0</v>
      </c>
      <c r="K1494" s="507">
        <v>130.0</v>
      </c>
      <c r="L1494" s="507">
        <v>8.0</v>
      </c>
      <c r="M1494" s="507">
        <v>2.0</v>
      </c>
      <c r="N1494" s="507">
        <v>3.0</v>
      </c>
      <c r="O1494" s="507">
        <v>1.0</v>
      </c>
      <c r="P1494" s="507" t="s">
        <v>166</v>
      </c>
      <c r="Q1494" s="507" t="s">
        <v>166</v>
      </c>
      <c r="R1494" s="497" t="s">
        <v>166</v>
      </c>
      <c r="S1494" s="508" t="s">
        <v>166</v>
      </c>
      <c r="T1494" s="509"/>
    </row>
    <row r="1495">
      <c r="A1495" s="504" t="s">
        <v>3401</v>
      </c>
      <c r="B1495" s="505" t="s">
        <v>3561</v>
      </c>
      <c r="C1495" s="452" t="str">
        <f t="shared" si="238"/>
        <v>Palit</v>
      </c>
      <c r="D1495" s="544" t="s">
        <v>3381</v>
      </c>
      <c r="E1495" s="507">
        <v>245.0</v>
      </c>
      <c r="F1495" s="507">
        <v>119.0</v>
      </c>
      <c r="G1495" s="507">
        <v>40.0</v>
      </c>
      <c r="H1495" s="507">
        <v>2.0</v>
      </c>
      <c r="I1495" s="507">
        <v>1822.0</v>
      </c>
      <c r="J1495" s="507">
        <v>14.0</v>
      </c>
      <c r="K1495" s="507">
        <v>140.0</v>
      </c>
      <c r="L1495" s="507">
        <v>8.0</v>
      </c>
      <c r="M1495" s="507">
        <v>2.0</v>
      </c>
      <c r="N1495" s="507">
        <v>3.0</v>
      </c>
      <c r="O1495" s="507">
        <v>1.0</v>
      </c>
      <c r="P1495" s="507" t="s">
        <v>166</v>
      </c>
      <c r="Q1495" s="507" t="s">
        <v>166</v>
      </c>
      <c r="R1495" s="497" t="s">
        <v>166</v>
      </c>
      <c r="S1495" s="508" t="s">
        <v>166</v>
      </c>
      <c r="T1495" s="509"/>
    </row>
    <row r="1496">
      <c r="A1496" s="504" t="s">
        <v>3401</v>
      </c>
      <c r="B1496" s="505" t="s">
        <v>3561</v>
      </c>
      <c r="C1496" s="452" t="str">
        <f t="shared" ref="C1496:C1498" si="239">HYPERLINK("https://pny.com/","PNY")</f>
        <v>PNY</v>
      </c>
      <c r="D1496" s="544" t="s">
        <v>3607</v>
      </c>
      <c r="E1496" s="507">
        <v>228.35</v>
      </c>
      <c r="F1496" s="507">
        <v>114.0</v>
      </c>
      <c r="G1496" s="507">
        <v>43.43</v>
      </c>
      <c r="H1496" s="507">
        <v>2.0</v>
      </c>
      <c r="I1496" s="507">
        <v>1777.0</v>
      </c>
      <c r="J1496" s="507">
        <v>14.0</v>
      </c>
      <c r="K1496" s="507">
        <v>130.0</v>
      </c>
      <c r="L1496" s="507">
        <v>8.0</v>
      </c>
      <c r="M1496" s="507">
        <v>2.0</v>
      </c>
      <c r="N1496" s="507">
        <v>3.0</v>
      </c>
      <c r="O1496" s="507">
        <v>1.0</v>
      </c>
      <c r="P1496" s="507" t="s">
        <v>166</v>
      </c>
      <c r="Q1496" s="507" t="s">
        <v>166</v>
      </c>
      <c r="R1496" s="266" t="s">
        <v>166</v>
      </c>
      <c r="S1496" s="507" t="s">
        <v>166</v>
      </c>
      <c r="T1496" s="509"/>
    </row>
    <row r="1497">
      <c r="A1497" s="504" t="s">
        <v>3401</v>
      </c>
      <c r="B1497" s="505" t="s">
        <v>3561</v>
      </c>
      <c r="C1497" s="452" t="str">
        <f t="shared" si="239"/>
        <v>PNY</v>
      </c>
      <c r="D1497" s="544" t="s">
        <v>4082</v>
      </c>
      <c r="E1497" s="507">
        <v>245.0</v>
      </c>
      <c r="F1497" s="507">
        <v>119.0</v>
      </c>
      <c r="G1497" s="507">
        <v>40.0</v>
      </c>
      <c r="H1497" s="507">
        <v>2.0</v>
      </c>
      <c r="I1497" s="507">
        <v>1777.0</v>
      </c>
      <c r="J1497" s="507">
        <v>14.0</v>
      </c>
      <c r="K1497" s="507">
        <v>130.0</v>
      </c>
      <c r="L1497" s="507">
        <v>8.0</v>
      </c>
      <c r="M1497" s="507">
        <v>2.0</v>
      </c>
      <c r="N1497" s="507">
        <v>3.0</v>
      </c>
      <c r="O1497" s="507">
        <v>1.0</v>
      </c>
      <c r="P1497" s="507" t="s">
        <v>166</v>
      </c>
      <c r="Q1497" s="507" t="s">
        <v>166</v>
      </c>
      <c r="R1497" s="497" t="s">
        <v>166</v>
      </c>
      <c r="S1497" s="508" t="s">
        <v>166</v>
      </c>
      <c r="T1497" s="509"/>
    </row>
    <row r="1498">
      <c r="A1498" s="504" t="s">
        <v>3401</v>
      </c>
      <c r="B1498" s="505" t="s">
        <v>3561</v>
      </c>
      <c r="C1498" s="452" t="str">
        <f t="shared" si="239"/>
        <v>PNY</v>
      </c>
      <c r="D1498" s="544" t="s">
        <v>3933</v>
      </c>
      <c r="E1498" s="507">
        <v>258.8</v>
      </c>
      <c r="F1498" s="507">
        <v>127.0</v>
      </c>
      <c r="G1498" s="507">
        <v>42.0</v>
      </c>
      <c r="H1498" s="507">
        <v>2.0</v>
      </c>
      <c r="I1498" s="507">
        <v>1777.0</v>
      </c>
      <c r="J1498" s="507">
        <v>14.0</v>
      </c>
      <c r="K1498" s="507">
        <v>130.0</v>
      </c>
      <c r="L1498" s="507">
        <v>8.0</v>
      </c>
      <c r="M1498" s="507">
        <v>2.0</v>
      </c>
      <c r="N1498" s="507">
        <v>3.0</v>
      </c>
      <c r="O1498" s="507">
        <v>1.0</v>
      </c>
      <c r="P1498" s="507" t="s">
        <v>166</v>
      </c>
      <c r="Q1498" s="507" t="s">
        <v>166</v>
      </c>
      <c r="R1498" s="497" t="s">
        <v>166</v>
      </c>
      <c r="S1498" s="508" t="s">
        <v>166</v>
      </c>
      <c r="T1498" s="509"/>
    </row>
    <row r="1499">
      <c r="A1499" s="504" t="s">
        <v>3401</v>
      </c>
      <c r="B1499" s="505" t="s">
        <v>3561</v>
      </c>
      <c r="C1499" s="452" t="s">
        <v>3378</v>
      </c>
      <c r="D1499" s="537" t="s">
        <v>3559</v>
      </c>
      <c r="E1499" s="507">
        <v>240.0</v>
      </c>
      <c r="F1499" s="507">
        <v>110.0</v>
      </c>
      <c r="G1499" s="507">
        <v>42.0</v>
      </c>
      <c r="H1499" s="507">
        <v>2.0</v>
      </c>
      <c r="I1499" s="507">
        <v>1777.0</v>
      </c>
      <c r="J1499" s="507">
        <v>14.0</v>
      </c>
      <c r="K1499" s="507">
        <v>130.0</v>
      </c>
      <c r="L1499" s="507">
        <v>8.0</v>
      </c>
      <c r="M1499" s="507">
        <v>2.0</v>
      </c>
      <c r="N1499" s="507">
        <v>3.0</v>
      </c>
      <c r="O1499" s="507">
        <v>1.0</v>
      </c>
      <c r="P1499" s="507" t="s">
        <v>166</v>
      </c>
      <c r="Q1499" s="507" t="s">
        <v>166</v>
      </c>
      <c r="R1499" s="266" t="s">
        <v>166</v>
      </c>
      <c r="S1499" s="507" t="s">
        <v>166</v>
      </c>
      <c r="T1499" s="509"/>
    </row>
    <row r="1500">
      <c r="A1500" s="504" t="s">
        <v>3401</v>
      </c>
      <c r="B1500" s="505" t="s">
        <v>3561</v>
      </c>
      <c r="C1500" s="452" t="str">
        <f t="shared" ref="C1500:C1504" si="240">HYPERLINK("http://zotac.com/","ZOTAC")</f>
        <v>ZOTAC</v>
      </c>
      <c r="D1500" s="537" t="s">
        <v>3934</v>
      </c>
      <c r="E1500" s="507">
        <v>220.0</v>
      </c>
      <c r="F1500" s="507">
        <v>118.0</v>
      </c>
      <c r="G1500" s="507">
        <v>43.0</v>
      </c>
      <c r="H1500" s="507">
        <v>2.0</v>
      </c>
      <c r="I1500" s="507">
        <v>1777.0</v>
      </c>
      <c r="J1500" s="507">
        <v>14.0</v>
      </c>
      <c r="K1500" s="507">
        <v>130.0</v>
      </c>
      <c r="L1500" s="507">
        <v>8.0</v>
      </c>
      <c r="M1500" s="507">
        <v>2.0</v>
      </c>
      <c r="N1500" s="507">
        <v>3.0</v>
      </c>
      <c r="O1500" s="507">
        <v>1.0</v>
      </c>
      <c r="P1500" s="507" t="s">
        <v>166</v>
      </c>
      <c r="Q1500" s="507" t="s">
        <v>166</v>
      </c>
      <c r="R1500" s="497" t="s">
        <v>166</v>
      </c>
      <c r="S1500" s="508" t="s">
        <v>166</v>
      </c>
      <c r="T1500" s="509"/>
    </row>
    <row r="1501">
      <c r="A1501" s="504" t="s">
        <v>3401</v>
      </c>
      <c r="B1501" s="505" t="s">
        <v>3561</v>
      </c>
      <c r="C1501" s="452" t="str">
        <f t="shared" si="240"/>
        <v>ZOTAC</v>
      </c>
      <c r="D1501" s="537" t="s">
        <v>4083</v>
      </c>
      <c r="E1501" s="507">
        <v>220.0</v>
      </c>
      <c r="F1501" s="507">
        <v>118.0</v>
      </c>
      <c r="G1501" s="507">
        <v>43.0</v>
      </c>
      <c r="H1501" s="507">
        <v>2.0</v>
      </c>
      <c r="I1501" s="507">
        <v>1777.0</v>
      </c>
      <c r="J1501" s="507">
        <v>14.0</v>
      </c>
      <c r="K1501" s="507">
        <v>130.0</v>
      </c>
      <c r="L1501" s="507">
        <v>8.0</v>
      </c>
      <c r="M1501" s="507">
        <v>2.0</v>
      </c>
      <c r="N1501" s="507">
        <v>3.0</v>
      </c>
      <c r="O1501" s="507">
        <v>1.0</v>
      </c>
      <c r="P1501" s="507" t="s">
        <v>166</v>
      </c>
      <c r="Q1501" s="507" t="s">
        <v>166</v>
      </c>
      <c r="R1501" s="497" t="s">
        <v>166</v>
      </c>
      <c r="S1501" s="508" t="s">
        <v>166</v>
      </c>
      <c r="T1501" s="509"/>
    </row>
    <row r="1502">
      <c r="A1502" s="504" t="s">
        <v>3401</v>
      </c>
      <c r="B1502" s="505" t="s">
        <v>3561</v>
      </c>
      <c r="C1502" s="452" t="str">
        <f t="shared" si="240"/>
        <v>ZOTAC</v>
      </c>
      <c r="D1502" s="544" t="s">
        <v>4084</v>
      </c>
      <c r="E1502" s="507">
        <v>279.0</v>
      </c>
      <c r="F1502" s="507">
        <v>117.0</v>
      </c>
      <c r="G1502" s="507">
        <v>43.0</v>
      </c>
      <c r="H1502" s="507">
        <v>2.0</v>
      </c>
      <c r="I1502" s="507">
        <v>1807.0</v>
      </c>
      <c r="J1502" s="507">
        <v>14.0</v>
      </c>
      <c r="K1502" s="507">
        <v>130.0</v>
      </c>
      <c r="L1502" s="507">
        <v>8.0</v>
      </c>
      <c r="M1502" s="507">
        <v>3.0</v>
      </c>
      <c r="N1502" s="507">
        <v>3.0</v>
      </c>
      <c r="O1502" s="507">
        <v>1.0</v>
      </c>
      <c r="P1502" s="507" t="s">
        <v>166</v>
      </c>
      <c r="Q1502" s="507" t="s">
        <v>166</v>
      </c>
      <c r="R1502" s="497" t="s">
        <v>166</v>
      </c>
      <c r="S1502" s="508" t="s">
        <v>166</v>
      </c>
      <c r="T1502" s="509"/>
    </row>
    <row r="1503">
      <c r="A1503" s="504" t="s">
        <v>3401</v>
      </c>
      <c r="B1503" s="505" t="s">
        <v>3561</v>
      </c>
      <c r="C1503" s="452" t="str">
        <f t="shared" si="240"/>
        <v>ZOTAC</v>
      </c>
      <c r="D1503" s="544" t="s">
        <v>4085</v>
      </c>
      <c r="E1503" s="507">
        <v>224.1</v>
      </c>
      <c r="F1503" s="507">
        <v>116.3</v>
      </c>
      <c r="G1503" s="507">
        <v>39.2</v>
      </c>
      <c r="H1503" s="507">
        <v>2.0</v>
      </c>
      <c r="I1503" s="507">
        <v>1777.0</v>
      </c>
      <c r="J1503" s="507">
        <v>14.0</v>
      </c>
      <c r="K1503" s="507">
        <v>130.0</v>
      </c>
      <c r="L1503" s="507">
        <v>8.0</v>
      </c>
      <c r="M1503" s="507">
        <v>2.0</v>
      </c>
      <c r="N1503" s="507">
        <v>3.0</v>
      </c>
      <c r="O1503" s="507">
        <v>1.0</v>
      </c>
      <c r="P1503" s="507" t="s">
        <v>166</v>
      </c>
      <c r="Q1503" s="507" t="s">
        <v>166</v>
      </c>
      <c r="R1503" s="497" t="s">
        <v>166</v>
      </c>
      <c r="S1503" s="508" t="s">
        <v>166</v>
      </c>
      <c r="T1503" s="509"/>
    </row>
    <row r="1504">
      <c r="A1504" s="538" t="s">
        <v>3401</v>
      </c>
      <c r="B1504" s="539" t="s">
        <v>3561</v>
      </c>
      <c r="C1504" s="500" t="str">
        <f t="shared" si="240"/>
        <v>ZOTAC</v>
      </c>
      <c r="D1504" s="549" t="s">
        <v>4086</v>
      </c>
      <c r="E1504" s="519">
        <v>224.1</v>
      </c>
      <c r="F1504" s="519">
        <v>116.3</v>
      </c>
      <c r="G1504" s="519">
        <v>39.2</v>
      </c>
      <c r="H1504" s="519">
        <v>2.0</v>
      </c>
      <c r="I1504" s="519">
        <v>1807.0</v>
      </c>
      <c r="J1504" s="519">
        <v>14.0</v>
      </c>
      <c r="K1504" s="519">
        <v>130.0</v>
      </c>
      <c r="L1504" s="519">
        <v>8.0</v>
      </c>
      <c r="M1504" s="519">
        <v>2.0</v>
      </c>
      <c r="N1504" s="519">
        <v>3.0</v>
      </c>
      <c r="O1504" s="519">
        <v>1.0</v>
      </c>
      <c r="P1504" s="519" t="s">
        <v>166</v>
      </c>
      <c r="Q1504" s="519" t="s">
        <v>166</v>
      </c>
      <c r="R1504" s="540" t="s">
        <v>166</v>
      </c>
      <c r="S1504" s="540" t="s">
        <v>166</v>
      </c>
      <c r="T1504" s="541"/>
    </row>
    <row r="1505">
      <c r="A1505" s="504" t="s">
        <v>3401</v>
      </c>
      <c r="B1505" s="505" t="s">
        <v>3570</v>
      </c>
      <c r="C1505" s="452" t="s">
        <v>3575</v>
      </c>
      <c r="D1505" s="544" t="s">
        <v>4070</v>
      </c>
      <c r="E1505" s="507">
        <f>253.4-12</f>
        <v>241.4</v>
      </c>
      <c r="F1505" s="507">
        <f>132.5-15</f>
        <v>117.5</v>
      </c>
      <c r="G1505" s="507">
        <v>41.0</v>
      </c>
      <c r="H1505" s="507">
        <v>2.0</v>
      </c>
      <c r="I1505" s="507">
        <v>1777.0</v>
      </c>
      <c r="J1505" s="507">
        <v>15.0</v>
      </c>
      <c r="K1505" s="507">
        <v>170.0</v>
      </c>
      <c r="L1505" s="507">
        <v>8.0</v>
      </c>
      <c r="M1505" s="507">
        <v>2.0</v>
      </c>
      <c r="N1505" s="507">
        <v>3.0</v>
      </c>
      <c r="O1505" s="507">
        <v>1.0</v>
      </c>
      <c r="P1505" s="507" t="s">
        <v>166</v>
      </c>
      <c r="Q1505" s="507" t="s">
        <v>166</v>
      </c>
      <c r="R1505" s="507" t="s">
        <v>166</v>
      </c>
      <c r="S1505" s="507" t="s">
        <v>166</v>
      </c>
      <c r="T1505" s="509"/>
    </row>
    <row r="1506">
      <c r="A1506" s="504" t="s">
        <v>3401</v>
      </c>
      <c r="B1506" s="505" t="s">
        <v>3570</v>
      </c>
      <c r="C1506" s="452" t="s">
        <v>3575</v>
      </c>
      <c r="D1506" s="544" t="s">
        <v>4087</v>
      </c>
      <c r="E1506" s="507">
        <f>310-12</f>
        <v>298</v>
      </c>
      <c r="F1506" s="507">
        <f>131.5-15</f>
        <v>116.5</v>
      </c>
      <c r="G1506" s="507">
        <v>56.0</v>
      </c>
      <c r="H1506" s="507">
        <v>2.0</v>
      </c>
      <c r="I1506" s="507">
        <v>1822.0</v>
      </c>
      <c r="J1506" s="507">
        <v>15.0</v>
      </c>
      <c r="K1506" s="507">
        <v>200.0</v>
      </c>
      <c r="L1506" s="507" t="s">
        <v>3460</v>
      </c>
      <c r="M1506" s="507">
        <v>3.0</v>
      </c>
      <c r="N1506" s="507">
        <v>3.0</v>
      </c>
      <c r="O1506" s="507">
        <v>1.0</v>
      </c>
      <c r="P1506" s="507" t="s">
        <v>166</v>
      </c>
      <c r="Q1506" s="507" t="s">
        <v>166</v>
      </c>
      <c r="R1506" s="507" t="s">
        <v>166</v>
      </c>
      <c r="S1506" s="507" t="s">
        <v>166</v>
      </c>
      <c r="T1506" s="509"/>
    </row>
    <row r="1507">
      <c r="A1507" s="504" t="s">
        <v>3401</v>
      </c>
      <c r="B1507" s="505" t="s">
        <v>3570</v>
      </c>
      <c r="C1507" s="174" t="s">
        <v>3456</v>
      </c>
      <c r="D1507" s="544" t="s">
        <v>4088</v>
      </c>
      <c r="E1507" s="507">
        <v>245.0</v>
      </c>
      <c r="F1507" s="507">
        <v>112.0</v>
      </c>
      <c r="G1507" s="507">
        <v>41.5</v>
      </c>
      <c r="H1507" s="507">
        <v>2.0</v>
      </c>
      <c r="I1507" s="507">
        <v>1792.0</v>
      </c>
      <c r="J1507" s="507">
        <v>15.0</v>
      </c>
      <c r="K1507" s="507">
        <v>170.0</v>
      </c>
      <c r="L1507" s="507">
        <v>8.0</v>
      </c>
      <c r="M1507" s="507">
        <v>2.0</v>
      </c>
      <c r="N1507" s="507">
        <v>3.0</v>
      </c>
      <c r="O1507" s="507">
        <v>1.0</v>
      </c>
      <c r="P1507" s="507" t="s">
        <v>166</v>
      </c>
      <c r="Q1507" s="507" t="s">
        <v>166</v>
      </c>
      <c r="R1507" s="507" t="s">
        <v>166</v>
      </c>
      <c r="S1507" s="507" t="s">
        <v>166</v>
      </c>
      <c r="T1507" s="509"/>
    </row>
    <row r="1508">
      <c r="A1508" s="504" t="s">
        <v>3401</v>
      </c>
      <c r="B1508" s="505" t="s">
        <v>3570</v>
      </c>
      <c r="C1508" s="452" t="str">
        <f>HYPERLINK("http://www.inno3d.com/","Inno3D")</f>
        <v>Inno3D</v>
      </c>
      <c r="D1508" s="544" t="s">
        <v>3896</v>
      </c>
      <c r="E1508" s="507">
        <v>240.0</v>
      </c>
      <c r="F1508" s="507">
        <v>120.0</v>
      </c>
      <c r="G1508" s="507">
        <v>40.0</v>
      </c>
      <c r="H1508" s="507">
        <v>2.0</v>
      </c>
      <c r="I1508" s="507">
        <v>1777.0</v>
      </c>
      <c r="J1508" s="507">
        <v>15.0</v>
      </c>
      <c r="K1508" s="507">
        <v>170.0</v>
      </c>
      <c r="L1508" s="507">
        <v>8.0</v>
      </c>
      <c r="M1508" s="507">
        <v>2.0</v>
      </c>
      <c r="N1508" s="507">
        <v>3.0</v>
      </c>
      <c r="O1508" s="507">
        <v>1.0</v>
      </c>
      <c r="P1508" s="507" t="s">
        <v>166</v>
      </c>
      <c r="Q1508" s="507" t="s">
        <v>166</v>
      </c>
      <c r="R1508" s="507" t="s">
        <v>166</v>
      </c>
      <c r="S1508" s="507" t="s">
        <v>166</v>
      </c>
      <c r="T1508" s="509"/>
    </row>
    <row r="1509">
      <c r="A1509" s="504" t="s">
        <v>3401</v>
      </c>
      <c r="B1509" s="505" t="s">
        <v>3570</v>
      </c>
      <c r="C1509" s="282" t="str">
        <f>HYPERLINK("http://manli.com/en","Manli")</f>
        <v>Manli</v>
      </c>
      <c r="D1509" s="544" t="s">
        <v>4089</v>
      </c>
      <c r="E1509" s="507">
        <v>245.0</v>
      </c>
      <c r="F1509" s="507">
        <v>112.0</v>
      </c>
      <c r="G1509" s="507">
        <v>42.0</v>
      </c>
      <c r="H1509" s="507">
        <v>2.0</v>
      </c>
      <c r="I1509" s="507">
        <v>1777.0</v>
      </c>
      <c r="J1509" s="507">
        <v>15.0</v>
      </c>
      <c r="K1509" s="507">
        <v>170.0</v>
      </c>
      <c r="L1509" s="507">
        <v>8.0</v>
      </c>
      <c r="M1509" s="507">
        <v>2.0</v>
      </c>
      <c r="N1509" s="507">
        <v>3.0</v>
      </c>
      <c r="O1509" s="507">
        <v>1.0</v>
      </c>
      <c r="P1509" s="507" t="s">
        <v>166</v>
      </c>
      <c r="Q1509" s="507" t="s">
        <v>166</v>
      </c>
      <c r="R1509" s="497" t="s">
        <v>166</v>
      </c>
      <c r="S1509" s="508" t="s">
        <v>166</v>
      </c>
      <c r="T1509" s="509"/>
    </row>
    <row r="1510">
      <c r="A1510" s="504" t="s">
        <v>3401</v>
      </c>
      <c r="B1510" s="505" t="s">
        <v>3570</v>
      </c>
      <c r="C1510" s="174" t="str">
        <f t="shared" ref="C1510:C1511" si="241">HYPERLINK("https://www.msi.com/index.php","MSI")</f>
        <v>MSI</v>
      </c>
      <c r="D1510" s="544" t="s">
        <v>3555</v>
      </c>
      <c r="E1510" s="507">
        <v>235.0</v>
      </c>
      <c r="F1510" s="507">
        <v>124.0</v>
      </c>
      <c r="G1510" s="507">
        <v>42.0</v>
      </c>
      <c r="H1510" s="507">
        <v>2.0</v>
      </c>
      <c r="I1510" s="507">
        <v>1777.0</v>
      </c>
      <c r="J1510" s="507">
        <v>15.0</v>
      </c>
      <c r="K1510" s="507">
        <v>170.0</v>
      </c>
      <c r="L1510" s="507">
        <v>8.0</v>
      </c>
      <c r="M1510" s="507">
        <v>2.0</v>
      </c>
      <c r="N1510" s="507">
        <v>3.0</v>
      </c>
      <c r="O1510" s="507">
        <v>1.0</v>
      </c>
      <c r="P1510" s="507" t="s">
        <v>166</v>
      </c>
      <c r="Q1510" s="507" t="s">
        <v>166</v>
      </c>
      <c r="R1510" s="266" t="s">
        <v>166</v>
      </c>
      <c r="S1510" s="507" t="s">
        <v>166</v>
      </c>
      <c r="T1510" s="509"/>
    </row>
    <row r="1511">
      <c r="A1511" s="504" t="s">
        <v>3401</v>
      </c>
      <c r="B1511" s="505" t="s">
        <v>3570</v>
      </c>
      <c r="C1511" s="282" t="str">
        <f t="shared" si="241"/>
        <v>MSI</v>
      </c>
      <c r="D1511" s="544" t="s">
        <v>3556</v>
      </c>
      <c r="E1511" s="507">
        <v>235.0</v>
      </c>
      <c r="F1511" s="507">
        <v>124.0</v>
      </c>
      <c r="G1511" s="507">
        <v>42.0</v>
      </c>
      <c r="H1511" s="507">
        <v>2.0</v>
      </c>
      <c r="I1511" s="507">
        <v>1807.0</v>
      </c>
      <c r="J1511" s="507">
        <v>15.0</v>
      </c>
      <c r="K1511" s="507">
        <v>170.0</v>
      </c>
      <c r="L1511" s="507">
        <v>8.0</v>
      </c>
      <c r="M1511" s="507">
        <v>2.0</v>
      </c>
      <c r="N1511" s="507">
        <v>3.0</v>
      </c>
      <c r="O1511" s="507">
        <v>1.0</v>
      </c>
      <c r="P1511" s="507" t="s">
        <v>166</v>
      </c>
      <c r="Q1511" s="507" t="s">
        <v>166</v>
      </c>
      <c r="R1511" s="497" t="s">
        <v>166</v>
      </c>
      <c r="S1511" s="508" t="s">
        <v>166</v>
      </c>
      <c r="T1511" s="509"/>
    </row>
    <row r="1512">
      <c r="A1512" s="538" t="s">
        <v>3401</v>
      </c>
      <c r="B1512" s="539" t="s">
        <v>3570</v>
      </c>
      <c r="C1512" s="500" t="str">
        <f>HYPERLINK("http://zotac.com/","ZOTAC")</f>
        <v>ZOTAC</v>
      </c>
      <c r="D1512" s="549" t="s">
        <v>4085</v>
      </c>
      <c r="E1512" s="519">
        <v>224.1</v>
      </c>
      <c r="F1512" s="519">
        <v>116.3</v>
      </c>
      <c r="G1512" s="519">
        <v>39.2</v>
      </c>
      <c r="H1512" s="519">
        <v>2.0</v>
      </c>
      <c r="I1512" s="519">
        <v>1777.0</v>
      </c>
      <c r="J1512" s="519">
        <v>15.0</v>
      </c>
      <c r="K1512" s="519">
        <v>170.0</v>
      </c>
      <c r="L1512" s="519">
        <v>8.0</v>
      </c>
      <c r="M1512" s="519">
        <v>2.0</v>
      </c>
      <c r="N1512" s="519">
        <v>3.0</v>
      </c>
      <c r="O1512" s="519">
        <v>1.0</v>
      </c>
      <c r="P1512" s="519" t="s">
        <v>166</v>
      </c>
      <c r="Q1512" s="519" t="s">
        <v>166</v>
      </c>
      <c r="R1512" s="501" t="s">
        <v>166</v>
      </c>
      <c r="S1512" s="519" t="s">
        <v>166</v>
      </c>
      <c r="T1512" s="541"/>
    </row>
    <row r="1513">
      <c r="A1513" s="504" t="s">
        <v>3401</v>
      </c>
      <c r="B1513" s="505" t="s">
        <v>3573</v>
      </c>
      <c r="C1513" s="282" t="s">
        <v>3467</v>
      </c>
      <c r="D1513" s="544" t="s">
        <v>3884</v>
      </c>
      <c r="E1513" s="507">
        <v>260.0</v>
      </c>
      <c r="F1513" s="507">
        <v>135.0</v>
      </c>
      <c r="G1513" s="507">
        <v>44.0</v>
      </c>
      <c r="H1513" s="507">
        <v>2.0</v>
      </c>
      <c r="I1513" s="507">
        <v>1777.0</v>
      </c>
      <c r="J1513" s="507">
        <v>15.0</v>
      </c>
      <c r="K1513" s="507">
        <v>170.0</v>
      </c>
      <c r="L1513" s="507">
        <v>8.0</v>
      </c>
      <c r="M1513" s="507">
        <v>2.0</v>
      </c>
      <c r="N1513" s="507">
        <v>3.0</v>
      </c>
      <c r="O1513" s="507">
        <v>1.0</v>
      </c>
      <c r="P1513" s="507" t="s">
        <v>166</v>
      </c>
      <c r="Q1513" s="507" t="s">
        <v>166</v>
      </c>
      <c r="R1513" s="508" t="s">
        <v>166</v>
      </c>
      <c r="S1513" s="508" t="s">
        <v>166</v>
      </c>
      <c r="T1513" s="509"/>
    </row>
    <row r="1514">
      <c r="A1514" s="504" t="s">
        <v>3401</v>
      </c>
      <c r="B1514" s="505" t="s">
        <v>3573</v>
      </c>
      <c r="C1514" s="282" t="str">
        <f t="shared" ref="C1514:C1525" si="242">HYPERLINK("https://www.asus.com/","Asus")</f>
        <v>Asus</v>
      </c>
      <c r="D1514" s="544" t="s">
        <v>4090</v>
      </c>
      <c r="E1514" s="507">
        <v>275.0</v>
      </c>
      <c r="F1514" s="507">
        <v>135.0</v>
      </c>
      <c r="G1514" s="507">
        <v>54.0</v>
      </c>
      <c r="H1514" s="507">
        <v>2.0</v>
      </c>
      <c r="I1514" s="507">
        <v>1807.0</v>
      </c>
      <c r="J1514" s="507">
        <v>15.0</v>
      </c>
      <c r="K1514" s="507">
        <v>170.0</v>
      </c>
      <c r="L1514" s="507">
        <v>8.0</v>
      </c>
      <c r="M1514" s="507">
        <v>2.0</v>
      </c>
      <c r="N1514" s="507">
        <v>3.0</v>
      </c>
      <c r="O1514" s="507">
        <v>2.0</v>
      </c>
      <c r="P1514" s="507" t="s">
        <v>166</v>
      </c>
      <c r="Q1514" s="507" t="s">
        <v>166</v>
      </c>
      <c r="R1514" s="497" t="s">
        <v>166</v>
      </c>
      <c r="S1514" s="508" t="s">
        <v>166</v>
      </c>
      <c r="T1514" s="509"/>
    </row>
    <row r="1515">
      <c r="A1515" s="504" t="s">
        <v>3401</v>
      </c>
      <c r="B1515" s="505" t="s">
        <v>3573</v>
      </c>
      <c r="C1515" s="282" t="str">
        <f t="shared" si="242"/>
        <v>Asus</v>
      </c>
      <c r="D1515" s="544" t="s">
        <v>4091</v>
      </c>
      <c r="E1515" s="507">
        <v>275.0</v>
      </c>
      <c r="F1515" s="507">
        <v>135.0</v>
      </c>
      <c r="G1515" s="507">
        <v>54.0</v>
      </c>
      <c r="H1515" s="507">
        <v>2.0</v>
      </c>
      <c r="I1515" s="507">
        <v>1807.0</v>
      </c>
      <c r="J1515" s="507">
        <v>15.0</v>
      </c>
      <c r="K1515" s="507">
        <v>170.0</v>
      </c>
      <c r="L1515" s="507">
        <v>8.0</v>
      </c>
      <c r="M1515" s="507">
        <v>2.0</v>
      </c>
      <c r="N1515" s="507">
        <v>3.0</v>
      </c>
      <c r="O1515" s="507">
        <v>2.0</v>
      </c>
      <c r="P1515" s="507" t="s">
        <v>166</v>
      </c>
      <c r="Q1515" s="507" t="s">
        <v>166</v>
      </c>
      <c r="R1515" s="497" t="s">
        <v>166</v>
      </c>
      <c r="S1515" s="508" t="s">
        <v>166</v>
      </c>
      <c r="T1515" s="509"/>
    </row>
    <row r="1516">
      <c r="A1516" s="504" t="s">
        <v>3401</v>
      </c>
      <c r="B1516" s="505" t="s">
        <v>3573</v>
      </c>
      <c r="C1516" s="282" t="str">
        <f t="shared" si="242"/>
        <v>Asus</v>
      </c>
      <c r="D1516" s="544" t="s">
        <v>4092</v>
      </c>
      <c r="E1516" s="507">
        <v>275.0</v>
      </c>
      <c r="F1516" s="507">
        <v>135.0</v>
      </c>
      <c r="G1516" s="507">
        <v>54.0</v>
      </c>
      <c r="H1516" s="507">
        <v>2.0</v>
      </c>
      <c r="I1516" s="507">
        <v>1882.0</v>
      </c>
      <c r="J1516" s="507">
        <v>15.0</v>
      </c>
      <c r="K1516" s="507">
        <v>170.0</v>
      </c>
      <c r="L1516" s="507">
        <v>8.0</v>
      </c>
      <c r="M1516" s="507">
        <v>2.0</v>
      </c>
      <c r="N1516" s="507">
        <v>3.0</v>
      </c>
      <c r="O1516" s="507">
        <v>2.0</v>
      </c>
      <c r="P1516" s="507" t="s">
        <v>166</v>
      </c>
      <c r="Q1516" s="507" t="s">
        <v>166</v>
      </c>
      <c r="R1516" s="497" t="s">
        <v>166</v>
      </c>
      <c r="S1516" s="508" t="s">
        <v>166</v>
      </c>
      <c r="T1516" s="509"/>
    </row>
    <row r="1517">
      <c r="A1517" s="504" t="s">
        <v>3401</v>
      </c>
      <c r="B1517" s="505" t="s">
        <v>3573</v>
      </c>
      <c r="C1517" s="282" t="str">
        <f t="shared" si="242"/>
        <v>Asus</v>
      </c>
      <c r="D1517" s="544" t="s">
        <v>4093</v>
      </c>
      <c r="E1517" s="507">
        <v>275.0</v>
      </c>
      <c r="F1517" s="507">
        <v>135.0</v>
      </c>
      <c r="G1517" s="507">
        <v>54.0</v>
      </c>
      <c r="H1517" s="507">
        <v>2.0</v>
      </c>
      <c r="I1517" s="507">
        <v>1882.0</v>
      </c>
      <c r="J1517" s="507">
        <v>15.0</v>
      </c>
      <c r="K1517" s="507">
        <v>170.0</v>
      </c>
      <c r="L1517" s="507">
        <v>8.0</v>
      </c>
      <c r="M1517" s="507">
        <v>2.0</v>
      </c>
      <c r="N1517" s="507">
        <v>3.0</v>
      </c>
      <c r="O1517" s="507">
        <v>2.0</v>
      </c>
      <c r="P1517" s="507" t="s">
        <v>166</v>
      </c>
      <c r="Q1517" s="507" t="s">
        <v>166</v>
      </c>
      <c r="R1517" s="497" t="s">
        <v>166</v>
      </c>
      <c r="S1517" s="508" t="s">
        <v>166</v>
      </c>
      <c r="T1517" s="509"/>
    </row>
    <row r="1518">
      <c r="A1518" s="504" t="s">
        <v>3401</v>
      </c>
      <c r="B1518" s="505" t="s">
        <v>3573</v>
      </c>
      <c r="C1518" s="282" t="str">
        <f t="shared" si="242"/>
        <v>Asus</v>
      </c>
      <c r="D1518" s="544" t="s">
        <v>3477</v>
      </c>
      <c r="E1518" s="507">
        <v>301.0</v>
      </c>
      <c r="F1518" s="507">
        <v>143.0</v>
      </c>
      <c r="G1518" s="507">
        <v>54.0</v>
      </c>
      <c r="H1518" s="507">
        <v>2.0</v>
      </c>
      <c r="I1518" s="507">
        <v>1807.0</v>
      </c>
      <c r="J1518" s="507">
        <v>15.0</v>
      </c>
      <c r="K1518" s="507">
        <v>170.0</v>
      </c>
      <c r="L1518" s="507">
        <v>8.0</v>
      </c>
      <c r="M1518" s="507">
        <v>3.0</v>
      </c>
      <c r="N1518" s="507">
        <v>3.0</v>
      </c>
      <c r="O1518" s="507">
        <v>2.0</v>
      </c>
      <c r="P1518" s="507" t="s">
        <v>166</v>
      </c>
      <c r="Q1518" s="507" t="s">
        <v>166</v>
      </c>
      <c r="R1518" s="497" t="s">
        <v>166</v>
      </c>
      <c r="S1518" s="508" t="s">
        <v>166</v>
      </c>
      <c r="T1518" s="509"/>
    </row>
    <row r="1519">
      <c r="A1519" s="504" t="s">
        <v>3401</v>
      </c>
      <c r="B1519" s="505" t="s">
        <v>3573</v>
      </c>
      <c r="C1519" s="282" t="str">
        <f t="shared" si="242"/>
        <v>Asus</v>
      </c>
      <c r="D1519" s="544" t="s">
        <v>3479</v>
      </c>
      <c r="E1519" s="507">
        <v>301.0</v>
      </c>
      <c r="F1519" s="507">
        <v>143.0</v>
      </c>
      <c r="G1519" s="507">
        <v>54.0</v>
      </c>
      <c r="H1519" s="507">
        <v>2.0</v>
      </c>
      <c r="I1519" s="507">
        <v>1807.0</v>
      </c>
      <c r="J1519" s="507">
        <v>15.0</v>
      </c>
      <c r="K1519" s="507">
        <v>170.0</v>
      </c>
      <c r="L1519" s="507">
        <v>8.0</v>
      </c>
      <c r="M1519" s="507">
        <v>3.0</v>
      </c>
      <c r="N1519" s="507">
        <v>3.0</v>
      </c>
      <c r="O1519" s="507">
        <v>2.0</v>
      </c>
      <c r="P1519" s="507" t="s">
        <v>166</v>
      </c>
      <c r="Q1519" s="507" t="s">
        <v>166</v>
      </c>
      <c r="R1519" s="497" t="s">
        <v>166</v>
      </c>
      <c r="S1519" s="508" t="s">
        <v>166</v>
      </c>
      <c r="T1519" s="509"/>
    </row>
    <row r="1520">
      <c r="A1520" s="494" t="s">
        <v>3401</v>
      </c>
      <c r="B1520" s="495" t="s">
        <v>3573</v>
      </c>
      <c r="C1520" s="174" t="str">
        <f t="shared" si="242"/>
        <v>Asus</v>
      </c>
      <c r="D1520" s="537" t="s">
        <v>3478</v>
      </c>
      <c r="E1520" s="266">
        <v>301.0</v>
      </c>
      <c r="F1520" s="266">
        <v>143.0</v>
      </c>
      <c r="G1520" s="266">
        <v>54.0</v>
      </c>
      <c r="H1520" s="266">
        <v>2.0</v>
      </c>
      <c r="I1520" s="266">
        <v>1882.0</v>
      </c>
      <c r="J1520" s="266">
        <v>15.0</v>
      </c>
      <c r="K1520" s="266">
        <v>170.0</v>
      </c>
      <c r="L1520" s="266">
        <v>8.0</v>
      </c>
      <c r="M1520" s="266">
        <v>3.0</v>
      </c>
      <c r="N1520" s="266">
        <v>3.0</v>
      </c>
      <c r="O1520" s="266">
        <v>2.0</v>
      </c>
      <c r="P1520" s="266" t="s">
        <v>166</v>
      </c>
      <c r="Q1520" s="266" t="s">
        <v>166</v>
      </c>
      <c r="R1520" s="497" t="s">
        <v>166</v>
      </c>
      <c r="S1520" s="497" t="s">
        <v>166</v>
      </c>
      <c r="T1520" s="496"/>
    </row>
    <row r="1521">
      <c r="A1521" s="494" t="s">
        <v>3401</v>
      </c>
      <c r="B1521" s="495" t="s">
        <v>3573</v>
      </c>
      <c r="C1521" s="174" t="str">
        <f t="shared" si="242"/>
        <v>Asus</v>
      </c>
      <c r="D1521" s="537" t="s">
        <v>4094</v>
      </c>
      <c r="E1521" s="266">
        <v>301.0</v>
      </c>
      <c r="F1521" s="266">
        <v>143.0</v>
      </c>
      <c r="G1521" s="266">
        <v>54.0</v>
      </c>
      <c r="H1521" s="266">
        <v>2.0</v>
      </c>
      <c r="I1521" s="266">
        <v>1882.0</v>
      </c>
      <c r="J1521" s="266">
        <v>15.0</v>
      </c>
      <c r="K1521" s="266">
        <v>170.0</v>
      </c>
      <c r="L1521" s="266">
        <v>8.0</v>
      </c>
      <c r="M1521" s="266">
        <v>3.0</v>
      </c>
      <c r="N1521" s="266">
        <v>3.0</v>
      </c>
      <c r="O1521" s="266">
        <v>2.0</v>
      </c>
      <c r="P1521" s="266" t="s">
        <v>166</v>
      </c>
      <c r="Q1521" s="266" t="s">
        <v>166</v>
      </c>
      <c r="R1521" s="497" t="s">
        <v>166</v>
      </c>
      <c r="S1521" s="497" t="s">
        <v>166</v>
      </c>
      <c r="T1521" s="496"/>
    </row>
    <row r="1522">
      <c r="A1522" s="494" t="s">
        <v>3401</v>
      </c>
      <c r="B1522" s="495" t="s">
        <v>3573</v>
      </c>
      <c r="C1522" s="174" t="str">
        <f t="shared" si="242"/>
        <v>Asus</v>
      </c>
      <c r="D1522" s="537" t="s">
        <v>3631</v>
      </c>
      <c r="E1522" s="266">
        <v>300.0</v>
      </c>
      <c r="F1522" s="266">
        <v>133.6</v>
      </c>
      <c r="G1522" s="266">
        <v>53.5</v>
      </c>
      <c r="H1522" s="266">
        <v>2.0</v>
      </c>
      <c r="I1522" s="266">
        <v>1807.0</v>
      </c>
      <c r="J1522" s="266">
        <v>15.0</v>
      </c>
      <c r="K1522" s="266">
        <v>170.0</v>
      </c>
      <c r="L1522" s="266">
        <v>8.0</v>
      </c>
      <c r="M1522" s="266">
        <v>3.0</v>
      </c>
      <c r="N1522" s="266">
        <v>3.0</v>
      </c>
      <c r="O1522" s="266">
        <v>2.0</v>
      </c>
      <c r="P1522" s="266" t="s">
        <v>166</v>
      </c>
      <c r="Q1522" s="266" t="s">
        <v>166</v>
      </c>
      <c r="R1522" s="497" t="s">
        <v>166</v>
      </c>
      <c r="S1522" s="497" t="s">
        <v>166</v>
      </c>
      <c r="T1522" s="496"/>
    </row>
    <row r="1523">
      <c r="A1523" s="494" t="s">
        <v>3401</v>
      </c>
      <c r="B1523" s="495" t="s">
        <v>3573</v>
      </c>
      <c r="C1523" s="174" t="str">
        <f t="shared" si="242"/>
        <v>Asus</v>
      </c>
      <c r="D1523" s="537" t="s">
        <v>4095</v>
      </c>
      <c r="E1523" s="266">
        <v>300.0</v>
      </c>
      <c r="F1523" s="266">
        <v>133.6</v>
      </c>
      <c r="G1523" s="266">
        <v>53.5</v>
      </c>
      <c r="H1523" s="266">
        <v>2.0</v>
      </c>
      <c r="I1523" s="266">
        <v>1807.0</v>
      </c>
      <c r="J1523" s="266">
        <v>15.0</v>
      </c>
      <c r="K1523" s="266">
        <v>170.0</v>
      </c>
      <c r="L1523" s="266">
        <v>8.0</v>
      </c>
      <c r="M1523" s="266">
        <v>3.0</v>
      </c>
      <c r="N1523" s="266">
        <v>3.0</v>
      </c>
      <c r="O1523" s="266">
        <v>2.0</v>
      </c>
      <c r="P1523" s="266" t="s">
        <v>166</v>
      </c>
      <c r="Q1523" s="266" t="s">
        <v>166</v>
      </c>
      <c r="R1523" s="497" t="s">
        <v>166</v>
      </c>
      <c r="S1523" s="497" t="s">
        <v>166</v>
      </c>
      <c r="T1523" s="496"/>
    </row>
    <row r="1524">
      <c r="A1524" s="494" t="s">
        <v>3401</v>
      </c>
      <c r="B1524" s="495" t="s">
        <v>3573</v>
      </c>
      <c r="C1524" s="174" t="str">
        <f t="shared" si="242"/>
        <v>Asus</v>
      </c>
      <c r="D1524" s="537" t="s">
        <v>3643</v>
      </c>
      <c r="E1524" s="266">
        <v>300.0</v>
      </c>
      <c r="F1524" s="266">
        <v>133.6</v>
      </c>
      <c r="G1524" s="266">
        <v>53.5</v>
      </c>
      <c r="H1524" s="266">
        <v>2.0</v>
      </c>
      <c r="I1524" s="266">
        <v>1912.0</v>
      </c>
      <c r="J1524" s="266">
        <v>15.0</v>
      </c>
      <c r="K1524" s="266">
        <v>170.0</v>
      </c>
      <c r="L1524" s="266">
        <v>8.0</v>
      </c>
      <c r="M1524" s="266">
        <v>3.0</v>
      </c>
      <c r="N1524" s="266">
        <v>3.0</v>
      </c>
      <c r="O1524" s="266">
        <v>2.0</v>
      </c>
      <c r="P1524" s="266" t="s">
        <v>166</v>
      </c>
      <c r="Q1524" s="266" t="s">
        <v>166</v>
      </c>
      <c r="R1524" s="497" t="s">
        <v>166</v>
      </c>
      <c r="S1524" s="497" t="s">
        <v>166</v>
      </c>
      <c r="T1524" s="496"/>
    </row>
    <row r="1525">
      <c r="A1525" s="494" t="s">
        <v>3401</v>
      </c>
      <c r="B1525" s="495" t="s">
        <v>3573</v>
      </c>
      <c r="C1525" s="174" t="str">
        <f t="shared" si="242"/>
        <v>Asus</v>
      </c>
      <c r="D1525" s="537" t="s">
        <v>3702</v>
      </c>
      <c r="E1525" s="266">
        <v>300.0</v>
      </c>
      <c r="F1525" s="266">
        <v>133.6</v>
      </c>
      <c r="G1525" s="266">
        <v>53.5</v>
      </c>
      <c r="H1525" s="266">
        <v>2.0</v>
      </c>
      <c r="I1525" s="266">
        <v>1912.0</v>
      </c>
      <c r="J1525" s="266">
        <v>15.0</v>
      </c>
      <c r="K1525" s="266">
        <v>170.0</v>
      </c>
      <c r="L1525" s="266">
        <v>8.0</v>
      </c>
      <c r="M1525" s="266">
        <v>3.0</v>
      </c>
      <c r="N1525" s="266">
        <v>3.0</v>
      </c>
      <c r="O1525" s="266">
        <v>2.0</v>
      </c>
      <c r="P1525" s="266" t="s">
        <v>166</v>
      </c>
      <c r="Q1525" s="266" t="s">
        <v>166</v>
      </c>
      <c r="R1525" s="497" t="s">
        <v>166</v>
      </c>
      <c r="S1525" s="497" t="s">
        <v>166</v>
      </c>
      <c r="T1525" s="496"/>
    </row>
    <row r="1526">
      <c r="A1526" s="494" t="s">
        <v>3401</v>
      </c>
      <c r="B1526" s="495" t="s">
        <v>3573</v>
      </c>
      <c r="C1526" s="452" t="s">
        <v>3575</v>
      </c>
      <c r="D1526" s="537" t="s">
        <v>4096</v>
      </c>
      <c r="E1526" s="266">
        <f t="shared" ref="E1526:E1527" si="243">253-12</f>
        <v>241</v>
      </c>
      <c r="F1526" s="266">
        <f t="shared" ref="F1526:F1527" si="244">129-15</f>
        <v>114</v>
      </c>
      <c r="G1526" s="266">
        <v>41.0</v>
      </c>
      <c r="H1526" s="266">
        <v>2.0</v>
      </c>
      <c r="I1526" s="266">
        <v>1777.0</v>
      </c>
      <c r="J1526" s="266">
        <v>15.0</v>
      </c>
      <c r="K1526" s="266">
        <v>170.0</v>
      </c>
      <c r="L1526" s="266">
        <v>8.0</v>
      </c>
      <c r="M1526" s="266">
        <v>2.0</v>
      </c>
      <c r="N1526" s="266">
        <v>3.0</v>
      </c>
      <c r="O1526" s="266">
        <v>1.0</v>
      </c>
      <c r="P1526" s="266" t="s">
        <v>166</v>
      </c>
      <c r="Q1526" s="266" t="s">
        <v>166</v>
      </c>
      <c r="R1526" s="497" t="s">
        <v>166</v>
      </c>
      <c r="S1526" s="497" t="s">
        <v>166</v>
      </c>
      <c r="T1526" s="496"/>
    </row>
    <row r="1527">
      <c r="A1527" s="494" t="s">
        <v>3401</v>
      </c>
      <c r="B1527" s="495" t="s">
        <v>3573</v>
      </c>
      <c r="C1527" s="452" t="s">
        <v>3575</v>
      </c>
      <c r="D1527" s="537" t="s">
        <v>4097</v>
      </c>
      <c r="E1527" s="266">
        <f t="shared" si="243"/>
        <v>241</v>
      </c>
      <c r="F1527" s="266">
        <f t="shared" si="244"/>
        <v>114</v>
      </c>
      <c r="G1527" s="266">
        <v>41.0</v>
      </c>
      <c r="H1527" s="266">
        <v>2.0</v>
      </c>
      <c r="I1527" s="266">
        <v>1777.0</v>
      </c>
      <c r="J1527" s="266">
        <v>15.0</v>
      </c>
      <c r="K1527" s="266">
        <v>170.0</v>
      </c>
      <c r="L1527" s="266">
        <v>8.0</v>
      </c>
      <c r="M1527" s="266">
        <v>2.0</v>
      </c>
      <c r="N1527" s="266">
        <v>3.0</v>
      </c>
      <c r="O1527" s="266">
        <v>1.0</v>
      </c>
      <c r="P1527" s="266" t="s">
        <v>166</v>
      </c>
      <c r="Q1527" s="266" t="s">
        <v>166</v>
      </c>
      <c r="R1527" s="497" t="s">
        <v>166</v>
      </c>
      <c r="S1527" s="266" t="s">
        <v>166</v>
      </c>
      <c r="T1527" s="494"/>
    </row>
    <row r="1528">
      <c r="A1528" s="494" t="s">
        <v>3401</v>
      </c>
      <c r="B1528" s="495" t="s">
        <v>3573</v>
      </c>
      <c r="C1528" s="452" t="s">
        <v>3575</v>
      </c>
      <c r="D1528" s="537" t="s">
        <v>4070</v>
      </c>
      <c r="E1528" s="266">
        <f t="shared" ref="E1528:E1530" si="245">253.4-12</f>
        <v>241.4</v>
      </c>
      <c r="F1528" s="266">
        <f t="shared" ref="F1528:F1530" si="246">132.5-15</f>
        <v>117.5</v>
      </c>
      <c r="G1528" s="266">
        <v>41.0</v>
      </c>
      <c r="H1528" s="266">
        <v>2.0</v>
      </c>
      <c r="I1528" s="266">
        <v>1777.0</v>
      </c>
      <c r="J1528" s="266">
        <v>15.0</v>
      </c>
      <c r="K1528" s="266">
        <v>170.0</v>
      </c>
      <c r="L1528" s="266">
        <v>8.0</v>
      </c>
      <c r="M1528" s="266">
        <v>2.0</v>
      </c>
      <c r="N1528" s="266">
        <v>3.0</v>
      </c>
      <c r="O1528" s="266">
        <v>1.0</v>
      </c>
      <c r="P1528" s="266" t="s">
        <v>166</v>
      </c>
      <c r="Q1528" s="266" t="s">
        <v>166</v>
      </c>
      <c r="R1528" s="497" t="s">
        <v>166</v>
      </c>
      <c r="S1528" s="497" t="s">
        <v>166</v>
      </c>
      <c r="T1528" s="496"/>
    </row>
    <row r="1529">
      <c r="A1529" s="494" t="s">
        <v>3401</v>
      </c>
      <c r="B1529" s="495" t="s">
        <v>3573</v>
      </c>
      <c r="C1529" s="452" t="s">
        <v>3575</v>
      </c>
      <c r="D1529" s="537" t="s">
        <v>4098</v>
      </c>
      <c r="E1529" s="266">
        <f t="shared" si="245"/>
        <v>241.4</v>
      </c>
      <c r="F1529" s="266">
        <f t="shared" si="246"/>
        <v>117.5</v>
      </c>
      <c r="G1529" s="266">
        <v>41.0</v>
      </c>
      <c r="H1529" s="266">
        <v>2.0</v>
      </c>
      <c r="I1529" s="266">
        <v>1777.0</v>
      </c>
      <c r="J1529" s="266">
        <v>15.0</v>
      </c>
      <c r="K1529" s="266">
        <v>170.0</v>
      </c>
      <c r="L1529" s="266">
        <v>8.0</v>
      </c>
      <c r="M1529" s="266">
        <v>2.0</v>
      </c>
      <c r="N1529" s="266">
        <v>3.0</v>
      </c>
      <c r="O1529" s="266">
        <v>1.0</v>
      </c>
      <c r="P1529" s="266" t="s">
        <v>166</v>
      </c>
      <c r="Q1529" s="266" t="s">
        <v>166</v>
      </c>
      <c r="R1529" s="497" t="s">
        <v>166</v>
      </c>
      <c r="S1529" s="266" t="s">
        <v>166</v>
      </c>
      <c r="T1529" s="494"/>
    </row>
    <row r="1530">
      <c r="A1530" s="494" t="s">
        <v>3401</v>
      </c>
      <c r="B1530" s="495" t="s">
        <v>3573</v>
      </c>
      <c r="C1530" s="452" t="s">
        <v>3575</v>
      </c>
      <c r="D1530" s="537" t="s">
        <v>4099</v>
      </c>
      <c r="E1530" s="266">
        <f t="shared" si="245"/>
        <v>241.4</v>
      </c>
      <c r="F1530" s="266">
        <f t="shared" si="246"/>
        <v>117.5</v>
      </c>
      <c r="G1530" s="266">
        <v>41.0</v>
      </c>
      <c r="H1530" s="266">
        <v>2.0</v>
      </c>
      <c r="I1530" s="266">
        <v>1777.0</v>
      </c>
      <c r="J1530" s="266">
        <v>15.0</v>
      </c>
      <c r="K1530" s="266">
        <v>170.0</v>
      </c>
      <c r="L1530" s="266">
        <v>8.0</v>
      </c>
      <c r="M1530" s="266">
        <v>2.0</v>
      </c>
      <c r="N1530" s="266">
        <v>3.0</v>
      </c>
      <c r="O1530" s="266">
        <v>1.0</v>
      </c>
      <c r="P1530" s="266" t="s">
        <v>166</v>
      </c>
      <c r="Q1530" s="266" t="s">
        <v>166</v>
      </c>
      <c r="R1530" s="497" t="s">
        <v>166</v>
      </c>
      <c r="S1530" s="497" t="s">
        <v>166</v>
      </c>
      <c r="T1530" s="496"/>
    </row>
    <row r="1531">
      <c r="A1531" s="494" t="s">
        <v>3401</v>
      </c>
      <c r="B1531" s="495" t="s">
        <v>3573</v>
      </c>
      <c r="C1531" s="452" t="s">
        <v>3575</v>
      </c>
      <c r="D1531" s="537" t="s">
        <v>3870</v>
      </c>
      <c r="E1531" s="266">
        <f t="shared" ref="E1531:E1532" si="247">310-12</f>
        <v>298</v>
      </c>
      <c r="F1531" s="266">
        <f t="shared" ref="F1531:F1532" si="248">130-15</f>
        <v>115</v>
      </c>
      <c r="G1531" s="266">
        <v>53.0</v>
      </c>
      <c r="H1531" s="266">
        <v>2.0</v>
      </c>
      <c r="I1531" s="266">
        <v>1777.0</v>
      </c>
      <c r="J1531" s="266">
        <v>15.0</v>
      </c>
      <c r="K1531" s="266">
        <v>170.0</v>
      </c>
      <c r="L1531" s="266">
        <v>8.0</v>
      </c>
      <c r="M1531" s="266">
        <v>3.0</v>
      </c>
      <c r="N1531" s="266">
        <v>3.0</v>
      </c>
      <c r="O1531" s="266">
        <v>1.0</v>
      </c>
      <c r="P1531" s="266" t="s">
        <v>166</v>
      </c>
      <c r="Q1531" s="266" t="s">
        <v>166</v>
      </c>
      <c r="R1531" s="497" t="s">
        <v>166</v>
      </c>
      <c r="S1531" s="497" t="s">
        <v>166</v>
      </c>
      <c r="T1531" s="496"/>
    </row>
    <row r="1532">
      <c r="A1532" s="494" t="s">
        <v>3401</v>
      </c>
      <c r="B1532" s="495" t="s">
        <v>3573</v>
      </c>
      <c r="C1532" s="452" t="s">
        <v>3575</v>
      </c>
      <c r="D1532" s="537" t="s">
        <v>4100</v>
      </c>
      <c r="E1532" s="266">
        <f t="shared" si="247"/>
        <v>298</v>
      </c>
      <c r="F1532" s="266">
        <f t="shared" si="248"/>
        <v>115</v>
      </c>
      <c r="G1532" s="266">
        <v>53.0</v>
      </c>
      <c r="H1532" s="266">
        <v>2.0</v>
      </c>
      <c r="I1532" s="266">
        <v>1777.0</v>
      </c>
      <c r="J1532" s="266">
        <v>15.0</v>
      </c>
      <c r="K1532" s="266">
        <v>170.0</v>
      </c>
      <c r="L1532" s="266">
        <v>8.0</v>
      </c>
      <c r="M1532" s="266">
        <v>3.0</v>
      </c>
      <c r="N1532" s="266">
        <v>3.0</v>
      </c>
      <c r="O1532" s="266">
        <v>1.0</v>
      </c>
      <c r="P1532" s="266" t="s">
        <v>166</v>
      </c>
      <c r="Q1532" s="266" t="s">
        <v>166</v>
      </c>
      <c r="R1532" s="497" t="s">
        <v>166</v>
      </c>
      <c r="S1532" s="266" t="s">
        <v>166</v>
      </c>
      <c r="T1532" s="494"/>
    </row>
    <row r="1533">
      <c r="A1533" s="494" t="s">
        <v>3401</v>
      </c>
      <c r="B1533" s="495" t="s">
        <v>3573</v>
      </c>
      <c r="C1533" s="452" t="s">
        <v>3575</v>
      </c>
      <c r="D1533" s="537" t="s">
        <v>4101</v>
      </c>
      <c r="E1533" s="266">
        <f t="shared" ref="E1533:E1534" si="249">300-12</f>
        <v>288</v>
      </c>
      <c r="F1533" s="266">
        <f t="shared" ref="F1533:F1534" si="250">134-15</f>
        <v>119</v>
      </c>
      <c r="G1533" s="266">
        <v>45.0</v>
      </c>
      <c r="H1533" s="266">
        <v>2.0</v>
      </c>
      <c r="I1533" s="266">
        <v>1777.0</v>
      </c>
      <c r="J1533" s="266">
        <v>15.0</v>
      </c>
      <c r="K1533" s="266">
        <v>170.0</v>
      </c>
      <c r="L1533" s="266">
        <v>8.0</v>
      </c>
      <c r="M1533" s="266">
        <v>2.0</v>
      </c>
      <c r="N1533" s="266">
        <v>3.0</v>
      </c>
      <c r="O1533" s="266">
        <v>1.0</v>
      </c>
      <c r="P1533" s="266" t="s">
        <v>166</v>
      </c>
      <c r="Q1533" s="266" t="s">
        <v>166</v>
      </c>
      <c r="R1533" s="497" t="s">
        <v>166</v>
      </c>
      <c r="S1533" s="497" t="s">
        <v>166</v>
      </c>
      <c r="T1533" s="496"/>
    </row>
    <row r="1534">
      <c r="A1534" s="494" t="s">
        <v>3401</v>
      </c>
      <c r="B1534" s="495" t="s">
        <v>3573</v>
      </c>
      <c r="C1534" s="452" t="s">
        <v>3575</v>
      </c>
      <c r="D1534" s="537" t="s">
        <v>4102</v>
      </c>
      <c r="E1534" s="266">
        <f t="shared" si="249"/>
        <v>288</v>
      </c>
      <c r="F1534" s="266">
        <f t="shared" si="250"/>
        <v>119</v>
      </c>
      <c r="G1534" s="266">
        <v>45.0</v>
      </c>
      <c r="H1534" s="266">
        <v>2.0</v>
      </c>
      <c r="I1534" s="266">
        <v>1822.0</v>
      </c>
      <c r="J1534" s="266">
        <v>15.0</v>
      </c>
      <c r="K1534" s="266">
        <v>170.0</v>
      </c>
      <c r="L1534" s="266">
        <v>8.0</v>
      </c>
      <c r="M1534" s="266">
        <v>2.0</v>
      </c>
      <c r="N1534" s="266">
        <v>3.0</v>
      </c>
      <c r="O1534" s="266">
        <v>1.0</v>
      </c>
      <c r="P1534" s="266" t="s">
        <v>166</v>
      </c>
      <c r="Q1534" s="266" t="s">
        <v>166</v>
      </c>
      <c r="R1534" s="497" t="s">
        <v>166</v>
      </c>
      <c r="S1534" s="497" t="s">
        <v>166</v>
      </c>
      <c r="T1534" s="496"/>
    </row>
    <row r="1535">
      <c r="A1535" s="494" t="s">
        <v>3401</v>
      </c>
      <c r="B1535" s="495" t="s">
        <v>3573</v>
      </c>
      <c r="C1535" s="452" t="s">
        <v>3575</v>
      </c>
      <c r="D1535" s="537" t="s">
        <v>4103</v>
      </c>
      <c r="E1535" s="266">
        <f t="shared" ref="E1535:E1538" si="251">310-12</f>
        <v>298</v>
      </c>
      <c r="F1535" s="266">
        <f t="shared" ref="F1535:F1538" si="252">131.5-15</f>
        <v>116.5</v>
      </c>
      <c r="G1535" s="266">
        <v>56.0</v>
      </c>
      <c r="H1535" s="266">
        <v>2.0</v>
      </c>
      <c r="I1535" s="266">
        <v>1777.0</v>
      </c>
      <c r="J1535" s="266">
        <v>15.0</v>
      </c>
      <c r="K1535" s="266">
        <v>170.0</v>
      </c>
      <c r="L1535" s="266" t="s">
        <v>3460</v>
      </c>
      <c r="M1535" s="266">
        <v>3.0</v>
      </c>
      <c r="N1535" s="266">
        <v>3.0</v>
      </c>
      <c r="O1535" s="266">
        <v>1.0</v>
      </c>
      <c r="P1535" s="266" t="s">
        <v>166</v>
      </c>
      <c r="Q1535" s="266" t="s">
        <v>166</v>
      </c>
      <c r="R1535" s="497" t="s">
        <v>166</v>
      </c>
      <c r="S1535" s="497" t="s">
        <v>166</v>
      </c>
      <c r="T1535" s="496"/>
    </row>
    <row r="1536">
      <c r="A1536" s="494" t="s">
        <v>3401</v>
      </c>
      <c r="B1536" s="495" t="s">
        <v>3573</v>
      </c>
      <c r="C1536" s="452" t="s">
        <v>3575</v>
      </c>
      <c r="D1536" s="537" t="s">
        <v>4104</v>
      </c>
      <c r="E1536" s="266">
        <f t="shared" si="251"/>
        <v>298</v>
      </c>
      <c r="F1536" s="266">
        <f t="shared" si="252"/>
        <v>116.5</v>
      </c>
      <c r="G1536" s="266">
        <v>56.0</v>
      </c>
      <c r="H1536" s="266">
        <v>2.0</v>
      </c>
      <c r="I1536" s="266">
        <v>1777.0</v>
      </c>
      <c r="J1536" s="266">
        <v>15.0</v>
      </c>
      <c r="K1536" s="266">
        <v>170.0</v>
      </c>
      <c r="L1536" s="266" t="s">
        <v>3460</v>
      </c>
      <c r="M1536" s="266">
        <v>3.0</v>
      </c>
      <c r="N1536" s="266">
        <v>3.0</v>
      </c>
      <c r="O1536" s="266">
        <v>1.0</v>
      </c>
      <c r="P1536" s="266" t="s">
        <v>166</v>
      </c>
      <c r="Q1536" s="266" t="s">
        <v>166</v>
      </c>
      <c r="R1536" s="497" t="s">
        <v>166</v>
      </c>
      <c r="S1536" s="266" t="s">
        <v>166</v>
      </c>
      <c r="T1536" s="494"/>
    </row>
    <row r="1537">
      <c r="A1537" s="494" t="s">
        <v>3401</v>
      </c>
      <c r="B1537" s="495" t="s">
        <v>3573</v>
      </c>
      <c r="C1537" s="452" t="s">
        <v>3575</v>
      </c>
      <c r="D1537" s="537" t="s">
        <v>4087</v>
      </c>
      <c r="E1537" s="266">
        <f t="shared" si="251"/>
        <v>298</v>
      </c>
      <c r="F1537" s="266">
        <f t="shared" si="252"/>
        <v>116.5</v>
      </c>
      <c r="G1537" s="266">
        <v>56.0</v>
      </c>
      <c r="H1537" s="266">
        <v>2.0</v>
      </c>
      <c r="I1537" s="266">
        <v>1822.0</v>
      </c>
      <c r="J1537" s="266">
        <v>15.0</v>
      </c>
      <c r="K1537" s="266">
        <v>200.0</v>
      </c>
      <c r="L1537" s="266" t="s">
        <v>3460</v>
      </c>
      <c r="M1537" s="266">
        <v>3.0</v>
      </c>
      <c r="N1537" s="266">
        <v>3.0</v>
      </c>
      <c r="O1537" s="266">
        <v>1.0</v>
      </c>
      <c r="P1537" s="266" t="s">
        <v>166</v>
      </c>
      <c r="Q1537" s="266" t="s">
        <v>166</v>
      </c>
      <c r="R1537" s="497" t="s">
        <v>166</v>
      </c>
      <c r="S1537" s="497" t="s">
        <v>166</v>
      </c>
      <c r="T1537" s="496"/>
    </row>
    <row r="1538">
      <c r="A1538" s="494" t="s">
        <v>3401</v>
      </c>
      <c r="B1538" s="495" t="s">
        <v>3573</v>
      </c>
      <c r="C1538" s="452" t="s">
        <v>3575</v>
      </c>
      <c r="D1538" s="537" t="s">
        <v>4105</v>
      </c>
      <c r="E1538" s="266">
        <f t="shared" si="251"/>
        <v>298</v>
      </c>
      <c r="F1538" s="266">
        <f t="shared" si="252"/>
        <v>116.5</v>
      </c>
      <c r="G1538" s="266">
        <v>56.0</v>
      </c>
      <c r="H1538" s="266">
        <v>2.0</v>
      </c>
      <c r="I1538" s="266">
        <v>1822.0</v>
      </c>
      <c r="J1538" s="266">
        <v>15.0</v>
      </c>
      <c r="K1538" s="266">
        <v>200.0</v>
      </c>
      <c r="L1538" s="266" t="s">
        <v>3460</v>
      </c>
      <c r="M1538" s="266">
        <v>3.0</v>
      </c>
      <c r="N1538" s="266">
        <v>3.0</v>
      </c>
      <c r="O1538" s="266">
        <v>1.0</v>
      </c>
      <c r="P1538" s="266" t="s">
        <v>166</v>
      </c>
      <c r="Q1538" s="266" t="s">
        <v>166</v>
      </c>
      <c r="R1538" s="497" t="s">
        <v>166</v>
      </c>
      <c r="S1538" s="266" t="s">
        <v>166</v>
      </c>
      <c r="T1538" s="494"/>
    </row>
    <row r="1539">
      <c r="A1539" s="494" t="s">
        <v>3401</v>
      </c>
      <c r="B1539" s="495" t="s">
        <v>3573</v>
      </c>
      <c r="C1539" s="452" t="s">
        <v>3575</v>
      </c>
      <c r="D1539" s="537" t="s">
        <v>4027</v>
      </c>
      <c r="E1539" s="266">
        <f t="shared" ref="E1539:E1542" si="253">315.5-12</f>
        <v>303.5</v>
      </c>
      <c r="F1539" s="266">
        <f t="shared" ref="F1539:F1542" si="254">131-15</f>
        <v>116</v>
      </c>
      <c r="G1539" s="266">
        <v>53.0</v>
      </c>
      <c r="H1539" s="266">
        <v>2.0</v>
      </c>
      <c r="I1539" s="266">
        <v>1777.0</v>
      </c>
      <c r="J1539" s="266">
        <v>15.0</v>
      </c>
      <c r="K1539" s="266">
        <v>170.0</v>
      </c>
      <c r="L1539" s="266" t="s">
        <v>3460</v>
      </c>
      <c r="M1539" s="266">
        <v>3.0</v>
      </c>
      <c r="N1539" s="266">
        <v>3.0</v>
      </c>
      <c r="O1539" s="266">
        <v>1.0</v>
      </c>
      <c r="P1539" s="266" t="s">
        <v>166</v>
      </c>
      <c r="Q1539" s="266" t="s">
        <v>166</v>
      </c>
      <c r="R1539" s="497" t="s">
        <v>166</v>
      </c>
      <c r="S1539" s="497" t="s">
        <v>166</v>
      </c>
      <c r="T1539" s="496"/>
    </row>
    <row r="1540">
      <c r="A1540" s="494" t="s">
        <v>3401</v>
      </c>
      <c r="B1540" s="495" t="s">
        <v>3573</v>
      </c>
      <c r="C1540" s="452" t="s">
        <v>3575</v>
      </c>
      <c r="D1540" s="537" t="s">
        <v>4106</v>
      </c>
      <c r="E1540" s="266">
        <f t="shared" si="253"/>
        <v>303.5</v>
      </c>
      <c r="F1540" s="266">
        <f t="shared" si="254"/>
        <v>116</v>
      </c>
      <c r="G1540" s="266">
        <v>53.0</v>
      </c>
      <c r="H1540" s="266">
        <v>2.0</v>
      </c>
      <c r="I1540" s="266">
        <v>1777.0</v>
      </c>
      <c r="J1540" s="266">
        <v>15.0</v>
      </c>
      <c r="K1540" s="266">
        <v>170.0</v>
      </c>
      <c r="L1540" s="266" t="s">
        <v>3460</v>
      </c>
      <c r="M1540" s="266">
        <v>3.0</v>
      </c>
      <c r="N1540" s="266">
        <v>3.0</v>
      </c>
      <c r="O1540" s="266">
        <v>1.0</v>
      </c>
      <c r="P1540" s="266" t="s">
        <v>166</v>
      </c>
      <c r="Q1540" s="266" t="s">
        <v>166</v>
      </c>
      <c r="R1540" s="497" t="s">
        <v>166</v>
      </c>
      <c r="S1540" s="266" t="s">
        <v>166</v>
      </c>
      <c r="T1540" s="494"/>
    </row>
    <row r="1541">
      <c r="A1541" s="494" t="s">
        <v>3401</v>
      </c>
      <c r="B1541" s="495" t="s">
        <v>3573</v>
      </c>
      <c r="C1541" s="452" t="s">
        <v>3575</v>
      </c>
      <c r="D1541" s="537" t="s">
        <v>3889</v>
      </c>
      <c r="E1541" s="266">
        <f t="shared" si="253"/>
        <v>303.5</v>
      </c>
      <c r="F1541" s="266">
        <f t="shared" si="254"/>
        <v>116</v>
      </c>
      <c r="G1541" s="266">
        <v>53.0</v>
      </c>
      <c r="H1541" s="266">
        <v>2.0</v>
      </c>
      <c r="I1541" s="266">
        <v>1867.0</v>
      </c>
      <c r="J1541" s="266">
        <v>15.0</v>
      </c>
      <c r="K1541" s="266">
        <v>220.0</v>
      </c>
      <c r="L1541" s="266" t="s">
        <v>3460</v>
      </c>
      <c r="M1541" s="266">
        <v>3.0</v>
      </c>
      <c r="N1541" s="266">
        <v>3.0</v>
      </c>
      <c r="O1541" s="266">
        <v>1.0</v>
      </c>
      <c r="P1541" s="266" t="s">
        <v>166</v>
      </c>
      <c r="Q1541" s="266" t="s">
        <v>166</v>
      </c>
      <c r="R1541" s="497" t="s">
        <v>166</v>
      </c>
      <c r="S1541" s="497" t="s">
        <v>166</v>
      </c>
      <c r="T1541" s="496"/>
    </row>
    <row r="1542">
      <c r="A1542" s="494" t="s">
        <v>3401</v>
      </c>
      <c r="B1542" s="495" t="s">
        <v>3573</v>
      </c>
      <c r="C1542" s="452" t="s">
        <v>3575</v>
      </c>
      <c r="D1542" s="537" t="s">
        <v>4107</v>
      </c>
      <c r="E1542" s="266">
        <f t="shared" si="253"/>
        <v>303.5</v>
      </c>
      <c r="F1542" s="266">
        <f t="shared" si="254"/>
        <v>116</v>
      </c>
      <c r="G1542" s="266">
        <v>53.0</v>
      </c>
      <c r="H1542" s="266">
        <v>2.0</v>
      </c>
      <c r="I1542" s="266">
        <v>1867.0</v>
      </c>
      <c r="J1542" s="266">
        <v>15.0</v>
      </c>
      <c r="K1542" s="266">
        <v>220.0</v>
      </c>
      <c r="L1542" s="266" t="s">
        <v>3460</v>
      </c>
      <c r="M1542" s="266">
        <v>3.0</v>
      </c>
      <c r="N1542" s="266">
        <v>3.0</v>
      </c>
      <c r="O1542" s="266">
        <v>1.0</v>
      </c>
      <c r="P1542" s="266" t="s">
        <v>166</v>
      </c>
      <c r="Q1542" s="266" t="s">
        <v>166</v>
      </c>
      <c r="R1542" s="497" t="s">
        <v>166</v>
      </c>
      <c r="S1542" s="266" t="s">
        <v>166</v>
      </c>
      <c r="T1542" s="494"/>
    </row>
    <row r="1543">
      <c r="A1543" s="494" t="s">
        <v>3401</v>
      </c>
      <c r="B1543" s="495" t="s">
        <v>3573</v>
      </c>
      <c r="C1543" s="174" t="s">
        <v>3405</v>
      </c>
      <c r="D1543" s="537" t="s">
        <v>4108</v>
      </c>
      <c r="E1543" s="266">
        <v>245.0</v>
      </c>
      <c r="F1543" s="266">
        <v>119.0</v>
      </c>
      <c r="G1543" s="266">
        <v>40.0</v>
      </c>
      <c r="H1543" s="266">
        <v>2.0</v>
      </c>
      <c r="I1543" s="266">
        <v>1837.0</v>
      </c>
      <c r="J1543" s="266">
        <v>15.0</v>
      </c>
      <c r="K1543" s="266">
        <v>170.0</v>
      </c>
      <c r="L1543" s="266">
        <v>8.0</v>
      </c>
      <c r="M1543" s="266">
        <v>2.0</v>
      </c>
      <c r="N1543" s="266">
        <v>3.0</v>
      </c>
      <c r="O1543" s="266">
        <v>1.0</v>
      </c>
      <c r="P1543" s="266" t="s">
        <v>166</v>
      </c>
      <c r="Q1543" s="266" t="s">
        <v>166</v>
      </c>
      <c r="R1543" s="497" t="s">
        <v>166</v>
      </c>
      <c r="S1543" s="497" t="s">
        <v>166</v>
      </c>
      <c r="T1543" s="496"/>
    </row>
    <row r="1544">
      <c r="A1544" s="494" t="s">
        <v>3401</v>
      </c>
      <c r="B1544" s="495" t="s">
        <v>3573</v>
      </c>
      <c r="C1544" s="174" t="s">
        <v>3405</v>
      </c>
      <c r="D1544" s="537" t="s">
        <v>4109</v>
      </c>
      <c r="E1544" s="266">
        <v>245.0</v>
      </c>
      <c r="F1544" s="266">
        <v>119.0</v>
      </c>
      <c r="G1544" s="266">
        <v>40.0</v>
      </c>
      <c r="H1544" s="266">
        <v>2.0</v>
      </c>
      <c r="I1544" s="266">
        <v>1837.0</v>
      </c>
      <c r="J1544" s="266">
        <v>15.0</v>
      </c>
      <c r="K1544" s="266">
        <v>170.0</v>
      </c>
      <c r="L1544" s="266">
        <v>8.0</v>
      </c>
      <c r="M1544" s="266">
        <v>2.0</v>
      </c>
      <c r="N1544" s="266">
        <v>3.0</v>
      </c>
      <c r="O1544" s="266">
        <v>1.0</v>
      </c>
      <c r="P1544" s="266" t="s">
        <v>166</v>
      </c>
      <c r="Q1544" s="266" t="s">
        <v>166</v>
      </c>
      <c r="R1544" s="497" t="s">
        <v>166</v>
      </c>
      <c r="S1544" s="497" t="s">
        <v>166</v>
      </c>
      <c r="T1544" s="496"/>
    </row>
    <row r="1545">
      <c r="A1545" s="494" t="s">
        <v>3401</v>
      </c>
      <c r="B1545" s="495" t="s">
        <v>3573</v>
      </c>
      <c r="C1545" s="174" t="s">
        <v>3405</v>
      </c>
      <c r="D1545" s="537" t="s">
        <v>3481</v>
      </c>
      <c r="E1545" s="266">
        <v>245.0</v>
      </c>
      <c r="F1545" s="266">
        <v>138.0</v>
      </c>
      <c r="G1545" s="266">
        <v>48.0</v>
      </c>
      <c r="H1545" s="266">
        <v>2.0</v>
      </c>
      <c r="I1545" s="266">
        <v>1777.0</v>
      </c>
      <c r="J1545" s="266">
        <v>15.0</v>
      </c>
      <c r="K1545" s="266">
        <v>170.0</v>
      </c>
      <c r="L1545" s="266">
        <v>8.0</v>
      </c>
      <c r="M1545" s="266">
        <v>2.0</v>
      </c>
      <c r="N1545" s="266">
        <v>3.0</v>
      </c>
      <c r="O1545" s="266">
        <v>1.0</v>
      </c>
      <c r="P1545" s="266" t="s">
        <v>166</v>
      </c>
      <c r="Q1545" s="266" t="s">
        <v>166</v>
      </c>
      <c r="R1545" s="497" t="s">
        <v>166</v>
      </c>
      <c r="S1545" s="497" t="s">
        <v>166</v>
      </c>
      <c r="T1545" s="496"/>
    </row>
    <row r="1546">
      <c r="A1546" s="494" t="s">
        <v>3401</v>
      </c>
      <c r="B1546" s="495" t="s">
        <v>3573</v>
      </c>
      <c r="C1546" s="452" t="str">
        <f t="shared" ref="C1546:C1550" si="255">HYPERLINK("http://www.gainward.com/main/index.php?lang=en","Gainward")</f>
        <v>Gainward</v>
      </c>
      <c r="D1546" s="537" t="s">
        <v>4110</v>
      </c>
      <c r="E1546" s="266">
        <v>259.0</v>
      </c>
      <c r="F1546" s="266">
        <v>127.0</v>
      </c>
      <c r="G1546" s="266">
        <v>42.0</v>
      </c>
      <c r="H1546" s="266">
        <v>2.0</v>
      </c>
      <c r="I1546" s="266">
        <v>1777.0</v>
      </c>
      <c r="J1546" s="266">
        <v>15.0</v>
      </c>
      <c r="K1546" s="266">
        <v>170.0</v>
      </c>
      <c r="L1546" s="266">
        <v>8.0</v>
      </c>
      <c r="M1546" s="266">
        <v>2.0</v>
      </c>
      <c r="N1546" s="266">
        <v>3.0</v>
      </c>
      <c r="O1546" s="266">
        <v>1.0</v>
      </c>
      <c r="P1546" s="266" t="s">
        <v>166</v>
      </c>
      <c r="Q1546" s="266" t="s">
        <v>166</v>
      </c>
      <c r="R1546" s="497" t="s">
        <v>166</v>
      </c>
      <c r="S1546" s="497" t="s">
        <v>166</v>
      </c>
      <c r="T1546" s="496"/>
    </row>
    <row r="1547">
      <c r="A1547" s="494" t="s">
        <v>3401</v>
      </c>
      <c r="B1547" s="495" t="s">
        <v>3573</v>
      </c>
      <c r="C1547" s="452" t="str">
        <f t="shared" si="255"/>
        <v>Gainward</v>
      </c>
      <c r="D1547" s="537" t="s">
        <v>4111</v>
      </c>
      <c r="E1547" s="266">
        <v>256.0</v>
      </c>
      <c r="F1547" s="266">
        <v>154.0</v>
      </c>
      <c r="G1547" s="266">
        <v>48.0</v>
      </c>
      <c r="H1547" s="266">
        <v>2.0</v>
      </c>
      <c r="I1547" s="266">
        <v>1777.0</v>
      </c>
      <c r="J1547" s="266">
        <v>15.0</v>
      </c>
      <c r="K1547" s="266">
        <v>170.0</v>
      </c>
      <c r="L1547" s="266">
        <v>8.0</v>
      </c>
      <c r="M1547" s="266">
        <v>2.0</v>
      </c>
      <c r="N1547" s="266">
        <v>3.0</v>
      </c>
      <c r="O1547" s="266">
        <v>1.0</v>
      </c>
      <c r="P1547" s="266" t="s">
        <v>166</v>
      </c>
      <c r="Q1547" s="266" t="s">
        <v>166</v>
      </c>
      <c r="R1547" s="497" t="s">
        <v>166</v>
      </c>
      <c r="S1547" s="497" t="s">
        <v>166</v>
      </c>
      <c r="T1547" s="496"/>
    </row>
    <row r="1548">
      <c r="A1548" s="494" t="s">
        <v>3401</v>
      </c>
      <c r="B1548" s="495" t="s">
        <v>3573</v>
      </c>
      <c r="C1548" s="452" t="str">
        <f t="shared" si="255"/>
        <v>Gainward</v>
      </c>
      <c r="D1548" s="537" t="s">
        <v>4112</v>
      </c>
      <c r="E1548" s="266">
        <v>287.0</v>
      </c>
      <c r="F1548" s="266">
        <v>136.5</v>
      </c>
      <c r="G1548" s="266">
        <v>57.3</v>
      </c>
      <c r="H1548" s="266">
        <v>2.0</v>
      </c>
      <c r="I1548" s="266">
        <v>1822.0</v>
      </c>
      <c r="J1548" s="266">
        <v>15.0</v>
      </c>
      <c r="K1548" s="266">
        <v>170.0</v>
      </c>
      <c r="L1548" s="266">
        <v>8.0</v>
      </c>
      <c r="M1548" s="266">
        <v>3.0</v>
      </c>
      <c r="N1548" s="266">
        <v>3.0</v>
      </c>
      <c r="O1548" s="266">
        <v>1.0</v>
      </c>
      <c r="P1548" s="266" t="s">
        <v>166</v>
      </c>
      <c r="Q1548" s="266" t="s">
        <v>166</v>
      </c>
      <c r="R1548" s="497" t="s">
        <v>166</v>
      </c>
      <c r="S1548" s="497" t="s">
        <v>166</v>
      </c>
      <c r="T1548" s="496"/>
    </row>
    <row r="1549">
      <c r="A1549" s="494" t="s">
        <v>3401</v>
      </c>
      <c r="B1549" s="495" t="s">
        <v>3573</v>
      </c>
      <c r="C1549" s="452" t="str">
        <f t="shared" si="255"/>
        <v>Gainward</v>
      </c>
      <c r="D1549" s="537" t="s">
        <v>3926</v>
      </c>
      <c r="E1549" s="266">
        <v>245.0</v>
      </c>
      <c r="F1549" s="266">
        <v>119.0</v>
      </c>
      <c r="G1549" s="266">
        <v>40.0</v>
      </c>
      <c r="H1549" s="266">
        <v>2.0</v>
      </c>
      <c r="I1549" s="266">
        <v>1777.0</v>
      </c>
      <c r="J1549" s="266">
        <v>15.0</v>
      </c>
      <c r="K1549" s="266">
        <v>170.0</v>
      </c>
      <c r="L1549" s="266">
        <v>8.0</v>
      </c>
      <c r="M1549" s="266">
        <v>2.0</v>
      </c>
      <c r="N1549" s="266">
        <v>3.0</v>
      </c>
      <c r="O1549" s="266">
        <v>1.0</v>
      </c>
      <c r="P1549" s="266" t="s">
        <v>166</v>
      </c>
      <c r="Q1549" s="266" t="s">
        <v>166</v>
      </c>
      <c r="R1549" s="497" t="s">
        <v>166</v>
      </c>
      <c r="S1549" s="497" t="s">
        <v>166</v>
      </c>
      <c r="T1549" s="496"/>
    </row>
    <row r="1550">
      <c r="A1550" s="494" t="s">
        <v>3401</v>
      </c>
      <c r="B1550" s="495" t="s">
        <v>3573</v>
      </c>
      <c r="C1550" s="452" t="str">
        <f t="shared" si="255"/>
        <v>Gainward</v>
      </c>
      <c r="D1550" s="537" t="s">
        <v>3488</v>
      </c>
      <c r="E1550" s="266">
        <v>245.0</v>
      </c>
      <c r="F1550" s="266">
        <v>119.0</v>
      </c>
      <c r="G1550" s="266">
        <v>40.0</v>
      </c>
      <c r="H1550" s="266">
        <v>2.0</v>
      </c>
      <c r="I1550" s="266">
        <v>1837.0</v>
      </c>
      <c r="J1550" s="266">
        <v>15.0</v>
      </c>
      <c r="K1550" s="266">
        <v>170.0</v>
      </c>
      <c r="L1550" s="266">
        <v>8.0</v>
      </c>
      <c r="M1550" s="266">
        <v>2.0</v>
      </c>
      <c r="N1550" s="266">
        <v>3.0</v>
      </c>
      <c r="O1550" s="266">
        <v>1.0</v>
      </c>
      <c r="P1550" s="266" t="s">
        <v>166</v>
      </c>
      <c r="Q1550" s="266" t="s">
        <v>166</v>
      </c>
      <c r="R1550" s="497" t="s">
        <v>166</v>
      </c>
      <c r="S1550" s="497" t="s">
        <v>166</v>
      </c>
      <c r="T1550" s="496"/>
    </row>
    <row r="1551">
      <c r="A1551" s="494" t="s">
        <v>3401</v>
      </c>
      <c r="B1551" s="495" t="s">
        <v>3573</v>
      </c>
      <c r="C1551" s="174" t="s">
        <v>3456</v>
      </c>
      <c r="D1551" s="537" t="s">
        <v>4074</v>
      </c>
      <c r="E1551" s="266">
        <v>261.0</v>
      </c>
      <c r="F1551" s="266">
        <v>125.0</v>
      </c>
      <c r="G1551" s="266">
        <v>44.0</v>
      </c>
      <c r="H1551" s="266">
        <v>2.0</v>
      </c>
      <c r="I1551" s="266">
        <v>1777.0</v>
      </c>
      <c r="J1551" s="266">
        <v>15.0</v>
      </c>
      <c r="K1551" s="266">
        <v>170.0</v>
      </c>
      <c r="L1551" s="266">
        <v>8.0</v>
      </c>
      <c r="M1551" s="266">
        <v>2.0</v>
      </c>
      <c r="N1551" s="266">
        <v>3.0</v>
      </c>
      <c r="O1551" s="266">
        <v>1.0</v>
      </c>
      <c r="P1551" s="266" t="s">
        <v>166</v>
      </c>
      <c r="Q1551" s="266" t="s">
        <v>166</v>
      </c>
      <c r="R1551" s="497" t="s">
        <v>166</v>
      </c>
      <c r="S1551" s="497" t="s">
        <v>166</v>
      </c>
      <c r="T1551" s="496"/>
    </row>
    <row r="1552">
      <c r="A1552" s="494" t="s">
        <v>3401</v>
      </c>
      <c r="B1552" s="495" t="s">
        <v>3573</v>
      </c>
      <c r="C1552" s="174" t="s">
        <v>3456</v>
      </c>
      <c r="D1552" s="537" t="s">
        <v>4113</v>
      </c>
      <c r="E1552" s="266">
        <v>261.0</v>
      </c>
      <c r="F1552" s="266">
        <v>125.0</v>
      </c>
      <c r="G1552" s="266">
        <v>44.0</v>
      </c>
      <c r="H1552" s="266">
        <v>2.0</v>
      </c>
      <c r="I1552" s="266">
        <v>1777.0</v>
      </c>
      <c r="J1552" s="266">
        <v>15.0</v>
      </c>
      <c r="K1552" s="266">
        <v>170.0</v>
      </c>
      <c r="L1552" s="266">
        <v>8.0</v>
      </c>
      <c r="M1552" s="266">
        <v>2.0</v>
      </c>
      <c r="N1552" s="266">
        <v>3.0</v>
      </c>
      <c r="O1552" s="266">
        <v>1.0</v>
      </c>
      <c r="P1552" s="266" t="s">
        <v>166</v>
      </c>
      <c r="Q1552" s="266" t="s">
        <v>166</v>
      </c>
      <c r="R1552" s="497" t="s">
        <v>166</v>
      </c>
      <c r="S1552" s="266" t="s">
        <v>166</v>
      </c>
      <c r="T1552" s="494"/>
    </row>
    <row r="1553">
      <c r="A1553" s="494" t="s">
        <v>3401</v>
      </c>
      <c r="B1553" s="495" t="s">
        <v>3573</v>
      </c>
      <c r="C1553" s="174" t="s">
        <v>3456</v>
      </c>
      <c r="D1553" s="537" t="s">
        <v>3594</v>
      </c>
      <c r="E1553" s="266">
        <v>291.0</v>
      </c>
      <c r="F1553" s="266">
        <v>125.0</v>
      </c>
      <c r="G1553" s="266">
        <v>42.0</v>
      </c>
      <c r="H1553" s="266">
        <v>2.0</v>
      </c>
      <c r="I1553" s="266">
        <v>1777.0</v>
      </c>
      <c r="J1553" s="266">
        <v>15.0</v>
      </c>
      <c r="K1553" s="266">
        <v>170.0</v>
      </c>
      <c r="L1553" s="266">
        <v>8.0</v>
      </c>
      <c r="M1553" s="266">
        <v>3.0</v>
      </c>
      <c r="N1553" s="266">
        <v>3.0</v>
      </c>
      <c r="O1553" s="266">
        <v>1.0</v>
      </c>
      <c r="P1553" s="266" t="s">
        <v>166</v>
      </c>
      <c r="Q1553" s="266" t="s">
        <v>166</v>
      </c>
      <c r="R1553" s="497" t="s">
        <v>166</v>
      </c>
      <c r="S1553" s="497" t="s">
        <v>166</v>
      </c>
      <c r="T1553" s="496"/>
    </row>
    <row r="1554">
      <c r="A1554" s="494" t="s">
        <v>3401</v>
      </c>
      <c r="B1554" s="495" t="s">
        <v>3573</v>
      </c>
      <c r="C1554" s="174" t="s">
        <v>3456</v>
      </c>
      <c r="D1554" s="537" t="s">
        <v>4114</v>
      </c>
      <c r="E1554" s="266">
        <v>291.0</v>
      </c>
      <c r="F1554" s="266">
        <v>125.0</v>
      </c>
      <c r="G1554" s="266">
        <v>42.0</v>
      </c>
      <c r="H1554" s="266">
        <v>2.0</v>
      </c>
      <c r="I1554" s="266">
        <v>1777.0</v>
      </c>
      <c r="J1554" s="266">
        <v>15.0</v>
      </c>
      <c r="K1554" s="266">
        <v>170.0</v>
      </c>
      <c r="L1554" s="266">
        <v>8.0</v>
      </c>
      <c r="M1554" s="266">
        <v>3.0</v>
      </c>
      <c r="N1554" s="266">
        <v>3.0</v>
      </c>
      <c r="O1554" s="266">
        <v>1.0</v>
      </c>
      <c r="P1554" s="266" t="s">
        <v>166</v>
      </c>
      <c r="Q1554" s="266" t="s">
        <v>166</v>
      </c>
      <c r="R1554" s="497" t="s">
        <v>166</v>
      </c>
      <c r="S1554" s="266" t="s">
        <v>166</v>
      </c>
      <c r="T1554" s="494"/>
    </row>
    <row r="1555">
      <c r="A1555" s="494" t="s">
        <v>3401</v>
      </c>
      <c r="B1555" s="495" t="s">
        <v>3573</v>
      </c>
      <c r="C1555" s="174" t="s">
        <v>3456</v>
      </c>
      <c r="D1555" s="537" t="s">
        <v>4075</v>
      </c>
      <c r="E1555" s="266">
        <v>291.0</v>
      </c>
      <c r="F1555" s="266">
        <v>125.0</v>
      </c>
      <c r="G1555" s="266">
        <v>42.0</v>
      </c>
      <c r="H1555" s="266">
        <v>2.0</v>
      </c>
      <c r="I1555" s="266">
        <v>1807.0</v>
      </c>
      <c r="J1555" s="266">
        <v>15.0</v>
      </c>
      <c r="K1555" s="266">
        <v>170.0</v>
      </c>
      <c r="L1555" s="266">
        <v>8.0</v>
      </c>
      <c r="M1555" s="266">
        <v>3.0</v>
      </c>
      <c r="N1555" s="266">
        <v>3.0</v>
      </c>
      <c r="O1555" s="266">
        <v>1.0</v>
      </c>
      <c r="P1555" s="266" t="s">
        <v>166</v>
      </c>
      <c r="Q1555" s="266" t="s">
        <v>166</v>
      </c>
      <c r="R1555" s="497" t="s">
        <v>166</v>
      </c>
      <c r="S1555" s="497" t="s">
        <v>166</v>
      </c>
      <c r="T1555" s="496"/>
    </row>
    <row r="1556">
      <c r="A1556" s="494" t="s">
        <v>3401</v>
      </c>
      <c r="B1556" s="495" t="s">
        <v>3573</v>
      </c>
      <c r="C1556" s="174" t="s">
        <v>3456</v>
      </c>
      <c r="D1556" s="537" t="s">
        <v>4115</v>
      </c>
      <c r="E1556" s="266">
        <v>291.0</v>
      </c>
      <c r="F1556" s="266">
        <v>125.0</v>
      </c>
      <c r="G1556" s="266">
        <v>42.0</v>
      </c>
      <c r="H1556" s="266">
        <v>2.0</v>
      </c>
      <c r="I1556" s="266">
        <v>1807.0</v>
      </c>
      <c r="J1556" s="266">
        <v>15.0</v>
      </c>
      <c r="K1556" s="266">
        <v>170.0</v>
      </c>
      <c r="L1556" s="266">
        <v>8.0</v>
      </c>
      <c r="M1556" s="266">
        <v>3.0</v>
      </c>
      <c r="N1556" s="266">
        <v>3.0</v>
      </c>
      <c r="O1556" s="266">
        <v>1.0</v>
      </c>
      <c r="P1556" s="266" t="s">
        <v>166</v>
      </c>
      <c r="Q1556" s="266" t="s">
        <v>166</v>
      </c>
      <c r="R1556" s="497" t="s">
        <v>166</v>
      </c>
      <c r="S1556" s="497" t="s">
        <v>166</v>
      </c>
      <c r="T1556" s="494"/>
    </row>
    <row r="1557">
      <c r="A1557" s="494" t="s">
        <v>3401</v>
      </c>
      <c r="B1557" s="495" t="s">
        <v>3573</v>
      </c>
      <c r="C1557" s="174" t="s">
        <v>3456</v>
      </c>
      <c r="D1557" s="537" t="s">
        <v>4116</v>
      </c>
      <c r="E1557" s="266">
        <v>316.0</v>
      </c>
      <c r="F1557" s="266">
        <v>113.0</v>
      </c>
      <c r="G1557" s="266">
        <v>48.5</v>
      </c>
      <c r="H1557" s="266">
        <v>2.0</v>
      </c>
      <c r="I1557" s="266">
        <v>1777.0</v>
      </c>
      <c r="J1557" s="266">
        <v>15.0</v>
      </c>
      <c r="K1557" s="266">
        <v>170.0</v>
      </c>
      <c r="L1557" s="266">
        <v>8.0</v>
      </c>
      <c r="M1557" s="266">
        <v>3.0</v>
      </c>
      <c r="N1557" s="266">
        <v>3.0</v>
      </c>
      <c r="O1557" s="266">
        <v>1.0</v>
      </c>
      <c r="P1557" s="266" t="s">
        <v>166</v>
      </c>
      <c r="Q1557" s="266" t="s">
        <v>166</v>
      </c>
      <c r="R1557" s="497" t="s">
        <v>166</v>
      </c>
      <c r="S1557" s="497" t="s">
        <v>166</v>
      </c>
      <c r="T1557" s="496"/>
    </row>
    <row r="1558">
      <c r="A1558" s="494" t="s">
        <v>3401</v>
      </c>
      <c r="B1558" s="495" t="s">
        <v>3573</v>
      </c>
      <c r="C1558" s="174" t="s">
        <v>3456</v>
      </c>
      <c r="D1558" s="537" t="s">
        <v>4117</v>
      </c>
      <c r="E1558" s="266">
        <v>316.0</v>
      </c>
      <c r="F1558" s="266">
        <v>113.0</v>
      </c>
      <c r="G1558" s="266">
        <v>48.5</v>
      </c>
      <c r="H1558" s="266">
        <v>2.0</v>
      </c>
      <c r="I1558" s="266">
        <v>1777.0</v>
      </c>
      <c r="J1558" s="266">
        <v>15.0</v>
      </c>
      <c r="K1558" s="266">
        <v>170.0</v>
      </c>
      <c r="L1558" s="266">
        <v>8.0</v>
      </c>
      <c r="M1558" s="266">
        <v>3.0</v>
      </c>
      <c r="N1558" s="266">
        <v>3.0</v>
      </c>
      <c r="O1558" s="266">
        <v>1.0</v>
      </c>
      <c r="P1558" s="266" t="s">
        <v>166</v>
      </c>
      <c r="Q1558" s="266" t="s">
        <v>166</v>
      </c>
      <c r="R1558" s="497" t="s">
        <v>166</v>
      </c>
      <c r="S1558" s="497" t="s">
        <v>166</v>
      </c>
      <c r="T1558" s="494"/>
    </row>
    <row r="1559">
      <c r="A1559" s="494" t="s">
        <v>3401</v>
      </c>
      <c r="B1559" s="495" t="s">
        <v>3573</v>
      </c>
      <c r="C1559" s="174" t="s">
        <v>3456</v>
      </c>
      <c r="D1559" s="537" t="s">
        <v>4118</v>
      </c>
      <c r="E1559" s="266">
        <v>316.0</v>
      </c>
      <c r="F1559" s="266">
        <v>113.0</v>
      </c>
      <c r="G1559" s="266">
        <v>48.5</v>
      </c>
      <c r="H1559" s="266">
        <v>2.0</v>
      </c>
      <c r="I1559" s="266">
        <v>1807.0</v>
      </c>
      <c r="J1559" s="266">
        <v>15.0</v>
      </c>
      <c r="K1559" s="266">
        <v>170.0</v>
      </c>
      <c r="L1559" s="266">
        <v>8.0</v>
      </c>
      <c r="M1559" s="266">
        <v>3.0</v>
      </c>
      <c r="N1559" s="266">
        <v>3.0</v>
      </c>
      <c r="O1559" s="266">
        <v>1.0</v>
      </c>
      <c r="P1559" s="266" t="s">
        <v>166</v>
      </c>
      <c r="Q1559" s="266" t="s">
        <v>166</v>
      </c>
      <c r="R1559" s="497" t="s">
        <v>166</v>
      </c>
      <c r="S1559" s="497" t="s">
        <v>166</v>
      </c>
      <c r="T1559" s="496"/>
    </row>
    <row r="1560">
      <c r="A1560" s="494" t="s">
        <v>3401</v>
      </c>
      <c r="B1560" s="495" t="s">
        <v>3573</v>
      </c>
      <c r="C1560" s="174" t="s">
        <v>3456</v>
      </c>
      <c r="D1560" s="537" t="s">
        <v>4119</v>
      </c>
      <c r="E1560" s="266">
        <v>316.0</v>
      </c>
      <c r="F1560" s="266">
        <v>113.0</v>
      </c>
      <c r="G1560" s="266">
        <v>48.5</v>
      </c>
      <c r="H1560" s="266">
        <v>2.0</v>
      </c>
      <c r="I1560" s="266">
        <v>1807.0</v>
      </c>
      <c r="J1560" s="266">
        <v>15.0</v>
      </c>
      <c r="K1560" s="266">
        <v>170.0</v>
      </c>
      <c r="L1560" s="266">
        <v>8.0</v>
      </c>
      <c r="M1560" s="266">
        <v>3.0</v>
      </c>
      <c r="N1560" s="266">
        <v>3.0</v>
      </c>
      <c r="O1560" s="266">
        <v>1.0</v>
      </c>
      <c r="P1560" s="266" t="s">
        <v>166</v>
      </c>
      <c r="Q1560" s="266" t="s">
        <v>166</v>
      </c>
      <c r="R1560" s="497" t="s">
        <v>166</v>
      </c>
      <c r="S1560" s="497" t="s">
        <v>166</v>
      </c>
      <c r="T1560" s="494"/>
    </row>
    <row r="1561">
      <c r="A1561" s="494" t="s">
        <v>3401</v>
      </c>
      <c r="B1561" s="495" t="s">
        <v>3573</v>
      </c>
      <c r="C1561" s="174" t="s">
        <v>3456</v>
      </c>
      <c r="D1561" s="452" t="s">
        <v>4120</v>
      </c>
      <c r="E1561" s="266">
        <v>315.0</v>
      </c>
      <c r="F1561" s="266">
        <v>133.0</v>
      </c>
      <c r="G1561" s="266">
        <v>52.0</v>
      </c>
      <c r="H1561" s="266">
        <v>2.0</v>
      </c>
      <c r="I1561" s="266">
        <v>1777.0</v>
      </c>
      <c r="J1561" s="266">
        <v>15.0</v>
      </c>
      <c r="K1561" s="266">
        <v>170.0</v>
      </c>
      <c r="L1561" s="266" t="s">
        <v>3460</v>
      </c>
      <c r="M1561" s="266">
        <v>3.0</v>
      </c>
      <c r="N1561" s="266">
        <v>3.0</v>
      </c>
      <c r="O1561" s="266">
        <v>1.0</v>
      </c>
      <c r="P1561" s="266" t="s">
        <v>166</v>
      </c>
      <c r="Q1561" s="266" t="s">
        <v>166</v>
      </c>
      <c r="R1561" s="497" t="s">
        <v>166</v>
      </c>
      <c r="S1561" s="497" t="s">
        <v>166</v>
      </c>
      <c r="T1561" s="496"/>
    </row>
    <row r="1562">
      <c r="A1562" s="494" t="s">
        <v>3401</v>
      </c>
      <c r="B1562" s="495" t="s">
        <v>3573</v>
      </c>
      <c r="C1562" s="174" t="s">
        <v>3456</v>
      </c>
      <c r="D1562" s="452" t="s">
        <v>4121</v>
      </c>
      <c r="E1562" s="266">
        <v>315.0</v>
      </c>
      <c r="F1562" s="266">
        <v>133.0</v>
      </c>
      <c r="G1562" s="266">
        <v>52.0</v>
      </c>
      <c r="H1562" s="266">
        <v>2.0</v>
      </c>
      <c r="I1562" s="266">
        <v>1777.0</v>
      </c>
      <c r="J1562" s="266">
        <v>15.0</v>
      </c>
      <c r="K1562" s="266">
        <v>170.0</v>
      </c>
      <c r="L1562" s="266" t="s">
        <v>3460</v>
      </c>
      <c r="M1562" s="266">
        <v>3.0</v>
      </c>
      <c r="N1562" s="266">
        <v>3.0</v>
      </c>
      <c r="O1562" s="266">
        <v>1.0</v>
      </c>
      <c r="P1562" s="266" t="s">
        <v>166</v>
      </c>
      <c r="Q1562" s="266" t="s">
        <v>166</v>
      </c>
      <c r="R1562" s="497" t="s">
        <v>166</v>
      </c>
      <c r="S1562" s="497" t="s">
        <v>166</v>
      </c>
      <c r="T1562" s="494"/>
    </row>
    <row r="1563">
      <c r="A1563" s="494" t="s">
        <v>3401</v>
      </c>
      <c r="B1563" s="495" t="s">
        <v>3573</v>
      </c>
      <c r="C1563" s="174" t="s">
        <v>3456</v>
      </c>
      <c r="D1563" s="174" t="s">
        <v>4122</v>
      </c>
      <c r="E1563" s="266">
        <v>315.0</v>
      </c>
      <c r="F1563" s="266">
        <v>133.0</v>
      </c>
      <c r="G1563" s="266">
        <v>52.0</v>
      </c>
      <c r="H1563" s="266">
        <v>2.0</v>
      </c>
      <c r="I1563" s="266">
        <v>1777.0</v>
      </c>
      <c r="J1563" s="266">
        <v>15.0</v>
      </c>
      <c r="K1563" s="266">
        <v>170.0</v>
      </c>
      <c r="L1563" s="266" t="s">
        <v>3460</v>
      </c>
      <c r="M1563" s="266">
        <v>3.0</v>
      </c>
      <c r="N1563" s="266">
        <v>3.0</v>
      </c>
      <c r="O1563" s="266">
        <v>1.0</v>
      </c>
      <c r="P1563" s="266" t="s">
        <v>166</v>
      </c>
      <c r="Q1563" s="266" t="s">
        <v>166</v>
      </c>
      <c r="R1563" s="497" t="s">
        <v>166</v>
      </c>
      <c r="S1563" s="497" t="s">
        <v>166</v>
      </c>
      <c r="T1563" s="496"/>
    </row>
    <row r="1564">
      <c r="A1564" s="494" t="s">
        <v>3401</v>
      </c>
      <c r="B1564" s="495" t="s">
        <v>3573</v>
      </c>
      <c r="C1564" s="174" t="s">
        <v>3456</v>
      </c>
      <c r="D1564" s="452" t="s">
        <v>4123</v>
      </c>
      <c r="E1564" s="266">
        <v>315.0</v>
      </c>
      <c r="F1564" s="266">
        <v>133.0</v>
      </c>
      <c r="G1564" s="266">
        <v>52.0</v>
      </c>
      <c r="H1564" s="266">
        <v>2.0</v>
      </c>
      <c r="I1564" s="266">
        <v>1837.0</v>
      </c>
      <c r="J1564" s="266">
        <v>15.0</v>
      </c>
      <c r="K1564" s="266">
        <v>170.0</v>
      </c>
      <c r="L1564" s="266" t="s">
        <v>3460</v>
      </c>
      <c r="M1564" s="266">
        <v>3.0</v>
      </c>
      <c r="N1564" s="266">
        <v>3.0</v>
      </c>
      <c r="O1564" s="266">
        <v>1.0</v>
      </c>
      <c r="P1564" s="266" t="s">
        <v>166</v>
      </c>
      <c r="Q1564" s="266" t="s">
        <v>166</v>
      </c>
      <c r="R1564" s="497" t="s">
        <v>166</v>
      </c>
      <c r="S1564" s="497" t="s">
        <v>166</v>
      </c>
      <c r="T1564" s="496"/>
    </row>
    <row r="1565">
      <c r="A1565" s="494" t="s">
        <v>3401</v>
      </c>
      <c r="B1565" s="495" t="s">
        <v>3573</v>
      </c>
      <c r="C1565" s="174" t="s">
        <v>3456</v>
      </c>
      <c r="D1565" s="452" t="s">
        <v>4124</v>
      </c>
      <c r="E1565" s="266">
        <v>315.0</v>
      </c>
      <c r="F1565" s="266">
        <v>133.0</v>
      </c>
      <c r="G1565" s="266">
        <v>52.0</v>
      </c>
      <c r="H1565" s="266">
        <v>2.0</v>
      </c>
      <c r="I1565" s="266">
        <v>1837.0</v>
      </c>
      <c r="J1565" s="266">
        <v>15.0</v>
      </c>
      <c r="K1565" s="266">
        <v>170.0</v>
      </c>
      <c r="L1565" s="266" t="s">
        <v>3460</v>
      </c>
      <c r="M1565" s="266">
        <v>3.0</v>
      </c>
      <c r="N1565" s="266">
        <v>3.0</v>
      </c>
      <c r="O1565" s="266">
        <v>1.0</v>
      </c>
      <c r="P1565" s="266" t="s">
        <v>166</v>
      </c>
      <c r="Q1565" s="266" t="s">
        <v>166</v>
      </c>
      <c r="R1565" s="497" t="s">
        <v>166</v>
      </c>
      <c r="S1565" s="497" t="s">
        <v>166</v>
      </c>
      <c r="T1565" s="494"/>
    </row>
    <row r="1566">
      <c r="A1566" s="494" t="s">
        <v>3401</v>
      </c>
      <c r="B1566" s="495" t="s">
        <v>3573</v>
      </c>
      <c r="C1566" s="174" t="s">
        <v>3456</v>
      </c>
      <c r="D1566" s="174" t="s">
        <v>4125</v>
      </c>
      <c r="E1566" s="266">
        <v>315.0</v>
      </c>
      <c r="F1566" s="266">
        <v>133.0</v>
      </c>
      <c r="G1566" s="266">
        <v>52.0</v>
      </c>
      <c r="H1566" s="266">
        <v>2.0</v>
      </c>
      <c r="I1566" s="266">
        <v>1837.0</v>
      </c>
      <c r="J1566" s="266">
        <v>15.0</v>
      </c>
      <c r="K1566" s="266">
        <v>170.0</v>
      </c>
      <c r="L1566" s="266" t="s">
        <v>3460</v>
      </c>
      <c r="M1566" s="266">
        <v>3.0</v>
      </c>
      <c r="N1566" s="266">
        <v>3.0</v>
      </c>
      <c r="O1566" s="266">
        <v>1.0</v>
      </c>
      <c r="P1566" s="266" t="s">
        <v>166</v>
      </c>
      <c r="Q1566" s="266" t="s">
        <v>166</v>
      </c>
      <c r="R1566" s="497" t="s">
        <v>166</v>
      </c>
      <c r="S1566" s="497" t="s">
        <v>166</v>
      </c>
      <c r="T1566" s="496"/>
    </row>
    <row r="1567">
      <c r="A1567" s="494" t="s">
        <v>3401</v>
      </c>
      <c r="B1567" s="495" t="s">
        <v>3573</v>
      </c>
      <c r="C1567" s="174" t="s">
        <v>3456</v>
      </c>
      <c r="D1567" s="537" t="s">
        <v>4126</v>
      </c>
      <c r="E1567" s="266">
        <v>322.0</v>
      </c>
      <c r="F1567" s="266">
        <v>133.0</v>
      </c>
      <c r="G1567" s="266">
        <v>53.0</v>
      </c>
      <c r="H1567" s="266">
        <v>2.0</v>
      </c>
      <c r="I1567" s="266">
        <v>1777.0</v>
      </c>
      <c r="J1567" s="266">
        <v>15.0</v>
      </c>
      <c r="K1567" s="266">
        <v>170.0</v>
      </c>
      <c r="L1567" s="266" t="s">
        <v>3460</v>
      </c>
      <c r="M1567" s="266">
        <v>3.0</v>
      </c>
      <c r="N1567" s="266">
        <v>3.0</v>
      </c>
      <c r="O1567" s="266">
        <v>1.0</v>
      </c>
      <c r="P1567" s="266" t="s">
        <v>166</v>
      </c>
      <c r="Q1567" s="266" t="s">
        <v>166</v>
      </c>
      <c r="R1567" s="497" t="s">
        <v>166</v>
      </c>
      <c r="S1567" s="497" t="s">
        <v>166</v>
      </c>
      <c r="T1567" s="496"/>
    </row>
    <row r="1568">
      <c r="A1568" s="494" t="s">
        <v>3401</v>
      </c>
      <c r="B1568" s="495" t="s">
        <v>3573</v>
      </c>
      <c r="C1568" s="174" t="s">
        <v>3456</v>
      </c>
      <c r="D1568" s="537" t="s">
        <v>4127</v>
      </c>
      <c r="E1568" s="266">
        <v>322.0</v>
      </c>
      <c r="F1568" s="266">
        <v>133.0</v>
      </c>
      <c r="G1568" s="266">
        <v>53.0</v>
      </c>
      <c r="H1568" s="266">
        <v>2.0</v>
      </c>
      <c r="I1568" s="266">
        <v>1777.0</v>
      </c>
      <c r="J1568" s="266">
        <v>15.0</v>
      </c>
      <c r="K1568" s="266">
        <v>170.0</v>
      </c>
      <c r="L1568" s="266" t="s">
        <v>3460</v>
      </c>
      <c r="M1568" s="266">
        <v>3.0</v>
      </c>
      <c r="N1568" s="266">
        <v>3.0</v>
      </c>
      <c r="O1568" s="266">
        <v>1.0</v>
      </c>
      <c r="P1568" s="266" t="s">
        <v>166</v>
      </c>
      <c r="Q1568" s="266" t="s">
        <v>166</v>
      </c>
      <c r="R1568" s="497" t="s">
        <v>166</v>
      </c>
      <c r="S1568" s="497" t="s">
        <v>166</v>
      </c>
      <c r="T1568" s="494"/>
    </row>
    <row r="1569">
      <c r="A1569" s="494" t="s">
        <v>3401</v>
      </c>
      <c r="B1569" s="495" t="s">
        <v>3573</v>
      </c>
      <c r="C1569" s="174" t="s">
        <v>3456</v>
      </c>
      <c r="D1569" s="537" t="s">
        <v>4128</v>
      </c>
      <c r="E1569" s="266">
        <v>322.0</v>
      </c>
      <c r="F1569" s="266">
        <v>133.0</v>
      </c>
      <c r="G1569" s="266">
        <v>53.0</v>
      </c>
      <c r="H1569" s="266">
        <v>2.0</v>
      </c>
      <c r="I1569" s="266">
        <v>1837.0</v>
      </c>
      <c r="J1569" s="266">
        <v>15.0</v>
      </c>
      <c r="K1569" s="266">
        <v>170.0</v>
      </c>
      <c r="L1569" s="266" t="s">
        <v>3460</v>
      </c>
      <c r="M1569" s="266">
        <v>3.0</v>
      </c>
      <c r="N1569" s="266">
        <v>3.0</v>
      </c>
      <c r="O1569" s="266">
        <v>1.0</v>
      </c>
      <c r="P1569" s="266" t="s">
        <v>166</v>
      </c>
      <c r="Q1569" s="266" t="s">
        <v>166</v>
      </c>
      <c r="R1569" s="497" t="s">
        <v>166</v>
      </c>
      <c r="S1569" s="497" t="s">
        <v>166</v>
      </c>
      <c r="T1569" s="496"/>
    </row>
    <row r="1570">
      <c r="A1570" s="494" t="s">
        <v>3401</v>
      </c>
      <c r="B1570" s="495" t="s">
        <v>3573</v>
      </c>
      <c r="C1570" s="174" t="s">
        <v>3456</v>
      </c>
      <c r="D1570" s="537" t="s">
        <v>4129</v>
      </c>
      <c r="E1570" s="266">
        <v>322.0</v>
      </c>
      <c r="F1570" s="266">
        <v>133.0</v>
      </c>
      <c r="G1570" s="266">
        <v>53.0</v>
      </c>
      <c r="H1570" s="266">
        <v>2.0</v>
      </c>
      <c r="I1570" s="266">
        <v>1837.0</v>
      </c>
      <c r="J1570" s="266">
        <v>15.0</v>
      </c>
      <c r="K1570" s="266">
        <v>170.0</v>
      </c>
      <c r="L1570" s="266" t="s">
        <v>3460</v>
      </c>
      <c r="M1570" s="266">
        <v>3.0</v>
      </c>
      <c r="N1570" s="266">
        <v>3.0</v>
      </c>
      <c r="O1570" s="266">
        <v>1.0</v>
      </c>
      <c r="P1570" s="266" t="s">
        <v>166</v>
      </c>
      <c r="Q1570" s="266" t="s">
        <v>166</v>
      </c>
      <c r="R1570" s="497" t="s">
        <v>166</v>
      </c>
      <c r="S1570" s="497" t="s">
        <v>166</v>
      </c>
      <c r="T1570" s="494"/>
    </row>
    <row r="1571">
      <c r="A1571" s="494" t="s">
        <v>3401</v>
      </c>
      <c r="B1571" s="495" t="s">
        <v>3573</v>
      </c>
      <c r="C1571" s="174" t="s">
        <v>3456</v>
      </c>
      <c r="D1571" s="537" t="s">
        <v>4088</v>
      </c>
      <c r="E1571" s="266">
        <v>245.0</v>
      </c>
      <c r="F1571" s="266">
        <v>112.0</v>
      </c>
      <c r="G1571" s="266">
        <v>41.5</v>
      </c>
      <c r="H1571" s="266">
        <v>2.0</v>
      </c>
      <c r="I1571" s="266">
        <v>1792.0</v>
      </c>
      <c r="J1571" s="266">
        <v>15.0</v>
      </c>
      <c r="K1571" s="266">
        <v>170.0</v>
      </c>
      <c r="L1571" s="266">
        <v>8.0</v>
      </c>
      <c r="M1571" s="266">
        <v>2.0</v>
      </c>
      <c r="N1571" s="266">
        <v>3.0</v>
      </c>
      <c r="O1571" s="266">
        <v>1.0</v>
      </c>
      <c r="P1571" s="266" t="s">
        <v>166</v>
      </c>
      <c r="Q1571" s="266" t="s">
        <v>166</v>
      </c>
      <c r="R1571" s="497" t="s">
        <v>166</v>
      </c>
      <c r="S1571" s="497" t="s">
        <v>166</v>
      </c>
      <c r="T1571" s="496"/>
    </row>
    <row r="1572">
      <c r="A1572" s="494" t="s">
        <v>3401</v>
      </c>
      <c r="B1572" s="495" t="s">
        <v>3573</v>
      </c>
      <c r="C1572" s="174" t="s">
        <v>3456</v>
      </c>
      <c r="D1572" s="537" t="s">
        <v>3489</v>
      </c>
      <c r="E1572" s="266">
        <v>285.0</v>
      </c>
      <c r="F1572" s="266">
        <v>124.0</v>
      </c>
      <c r="G1572" s="266">
        <v>50.0</v>
      </c>
      <c r="H1572" s="266">
        <v>2.0</v>
      </c>
      <c r="I1572" s="266">
        <v>1822.0</v>
      </c>
      <c r="J1572" s="266">
        <v>15.0</v>
      </c>
      <c r="K1572" s="266">
        <v>170.0</v>
      </c>
      <c r="L1572" s="266">
        <v>8.0</v>
      </c>
      <c r="M1572" s="266">
        <v>2.0</v>
      </c>
      <c r="N1572" s="266">
        <v>3.0</v>
      </c>
      <c r="O1572" s="266">
        <v>1.0</v>
      </c>
      <c r="P1572" s="266" t="s">
        <v>166</v>
      </c>
      <c r="Q1572" s="266" t="s">
        <v>166</v>
      </c>
      <c r="R1572" s="497" t="s">
        <v>166</v>
      </c>
      <c r="S1572" s="497" t="s">
        <v>166</v>
      </c>
      <c r="T1572" s="496"/>
    </row>
    <row r="1573">
      <c r="A1573" s="494" t="s">
        <v>3401</v>
      </c>
      <c r="B1573" s="495" t="s">
        <v>3573</v>
      </c>
      <c r="C1573" s="174" t="s">
        <v>3456</v>
      </c>
      <c r="D1573" s="537" t="s">
        <v>4130</v>
      </c>
      <c r="E1573" s="266">
        <v>285.0</v>
      </c>
      <c r="F1573" s="266">
        <v>124.0</v>
      </c>
      <c r="G1573" s="266">
        <v>50.0</v>
      </c>
      <c r="H1573" s="266">
        <v>2.0</v>
      </c>
      <c r="I1573" s="266">
        <v>1822.0</v>
      </c>
      <c r="J1573" s="266">
        <v>15.0</v>
      </c>
      <c r="K1573" s="266">
        <v>170.0</v>
      </c>
      <c r="L1573" s="266">
        <v>8.0</v>
      </c>
      <c r="M1573" s="266">
        <v>2.0</v>
      </c>
      <c r="N1573" s="266">
        <v>3.0</v>
      </c>
      <c r="O1573" s="266">
        <v>1.0</v>
      </c>
      <c r="P1573" s="266" t="s">
        <v>166</v>
      </c>
      <c r="Q1573" s="266" t="s">
        <v>166</v>
      </c>
      <c r="R1573" s="497" t="s">
        <v>166</v>
      </c>
      <c r="S1573" s="497" t="s">
        <v>166</v>
      </c>
      <c r="T1573" s="496"/>
    </row>
    <row r="1574">
      <c r="A1574" s="494" t="s">
        <v>3401</v>
      </c>
      <c r="B1574" s="495" t="s">
        <v>3573</v>
      </c>
      <c r="C1574" s="174" t="str">
        <f t="shared" ref="C1574:C1583" si="256">HYPERLINK("https://www.gigabyte.com/","Gigabyte")</f>
        <v>Gigabyte</v>
      </c>
      <c r="D1574" s="537" t="s">
        <v>3374</v>
      </c>
      <c r="E1574" s="266">
        <v>242.0</v>
      </c>
      <c r="F1574" s="266">
        <v>124.0</v>
      </c>
      <c r="G1574" s="266">
        <v>41.0</v>
      </c>
      <c r="H1574" s="266">
        <v>2.0</v>
      </c>
      <c r="I1574" s="266">
        <v>1777.0</v>
      </c>
      <c r="J1574" s="266">
        <v>15.0</v>
      </c>
      <c r="K1574" s="266">
        <v>170.0</v>
      </c>
      <c r="L1574" s="266">
        <v>8.0</v>
      </c>
      <c r="M1574" s="266">
        <v>2.0</v>
      </c>
      <c r="N1574" s="266">
        <v>2.0</v>
      </c>
      <c r="O1574" s="266">
        <v>2.0</v>
      </c>
      <c r="P1574" s="266" t="s">
        <v>166</v>
      </c>
      <c r="Q1574" s="266" t="s">
        <v>166</v>
      </c>
      <c r="R1574" s="497" t="s">
        <v>166</v>
      </c>
      <c r="S1574" s="497" t="s">
        <v>166</v>
      </c>
      <c r="T1574" s="496"/>
    </row>
    <row r="1575">
      <c r="A1575" s="494" t="s">
        <v>3401</v>
      </c>
      <c r="B1575" s="495" t="s">
        <v>3573</v>
      </c>
      <c r="C1575" s="174" t="str">
        <f t="shared" si="256"/>
        <v>Gigabyte</v>
      </c>
      <c r="D1575" s="537" t="s">
        <v>4131</v>
      </c>
      <c r="E1575" s="266">
        <v>242.0</v>
      </c>
      <c r="F1575" s="266">
        <v>124.0</v>
      </c>
      <c r="G1575" s="266">
        <v>41.0</v>
      </c>
      <c r="H1575" s="266">
        <v>2.0</v>
      </c>
      <c r="I1575" s="266">
        <v>1777.0</v>
      </c>
      <c r="J1575" s="266">
        <v>15.0</v>
      </c>
      <c r="K1575" s="266">
        <v>170.0</v>
      </c>
      <c r="L1575" s="266">
        <v>8.0</v>
      </c>
      <c r="M1575" s="266">
        <v>2.0</v>
      </c>
      <c r="N1575" s="266">
        <v>2.0</v>
      </c>
      <c r="O1575" s="266">
        <v>2.0</v>
      </c>
      <c r="P1575" s="266" t="s">
        <v>166</v>
      </c>
      <c r="Q1575" s="266" t="s">
        <v>166</v>
      </c>
      <c r="R1575" s="497" t="s">
        <v>166</v>
      </c>
      <c r="S1575" s="497" t="s">
        <v>166</v>
      </c>
      <c r="T1575" s="494"/>
    </row>
    <row r="1576">
      <c r="A1576" s="494" t="s">
        <v>3401</v>
      </c>
      <c r="B1576" s="495" t="s">
        <v>3573</v>
      </c>
      <c r="C1576" s="174" t="str">
        <f t="shared" si="256"/>
        <v>Gigabyte</v>
      </c>
      <c r="D1576" s="537" t="s">
        <v>3551</v>
      </c>
      <c r="E1576" s="266">
        <v>242.0</v>
      </c>
      <c r="F1576" s="266">
        <v>124.0</v>
      </c>
      <c r="G1576" s="266">
        <v>41.0</v>
      </c>
      <c r="H1576" s="266">
        <v>2.0</v>
      </c>
      <c r="I1576" s="266">
        <v>1807.0</v>
      </c>
      <c r="J1576" s="266">
        <v>15.0</v>
      </c>
      <c r="K1576" s="266">
        <v>170.0</v>
      </c>
      <c r="L1576" s="266">
        <v>8.0</v>
      </c>
      <c r="M1576" s="266">
        <v>2.0</v>
      </c>
      <c r="N1576" s="266">
        <v>2.0</v>
      </c>
      <c r="O1576" s="266">
        <v>2.0</v>
      </c>
      <c r="P1576" s="266" t="s">
        <v>166</v>
      </c>
      <c r="Q1576" s="266" t="s">
        <v>166</v>
      </c>
      <c r="R1576" s="497" t="s">
        <v>166</v>
      </c>
      <c r="S1576" s="497" t="s">
        <v>166</v>
      </c>
      <c r="T1576" s="496"/>
    </row>
    <row r="1577">
      <c r="A1577" s="494" t="s">
        <v>3401</v>
      </c>
      <c r="B1577" s="495" t="s">
        <v>3573</v>
      </c>
      <c r="C1577" s="174" t="str">
        <f t="shared" si="256"/>
        <v>Gigabyte</v>
      </c>
      <c r="D1577" s="537" t="s">
        <v>4132</v>
      </c>
      <c r="E1577" s="266">
        <v>242.0</v>
      </c>
      <c r="F1577" s="266">
        <v>124.0</v>
      </c>
      <c r="G1577" s="266">
        <v>41.0</v>
      </c>
      <c r="H1577" s="266">
        <v>2.0</v>
      </c>
      <c r="I1577" s="266">
        <v>1807.0</v>
      </c>
      <c r="J1577" s="266">
        <v>15.0</v>
      </c>
      <c r="K1577" s="266">
        <v>170.0</v>
      </c>
      <c r="L1577" s="266">
        <v>8.0</v>
      </c>
      <c r="M1577" s="266">
        <v>2.0</v>
      </c>
      <c r="N1577" s="266">
        <v>2.0</v>
      </c>
      <c r="O1577" s="266">
        <v>2.0</v>
      </c>
      <c r="P1577" s="266" t="s">
        <v>166</v>
      </c>
      <c r="Q1577" s="266" t="s">
        <v>166</v>
      </c>
      <c r="R1577" s="497" t="s">
        <v>166</v>
      </c>
      <c r="S1577" s="497" t="s">
        <v>166</v>
      </c>
      <c r="T1577" s="494"/>
    </row>
    <row r="1578">
      <c r="A1578" s="494" t="s">
        <v>3401</v>
      </c>
      <c r="B1578" s="495" t="s">
        <v>3573</v>
      </c>
      <c r="C1578" s="174" t="str">
        <f t="shared" si="256"/>
        <v>Gigabyte</v>
      </c>
      <c r="D1578" s="537" t="s">
        <v>3630</v>
      </c>
      <c r="E1578" s="266">
        <v>282.0</v>
      </c>
      <c r="F1578" s="266">
        <v>117.0</v>
      </c>
      <c r="G1578" s="266">
        <v>41.0</v>
      </c>
      <c r="H1578" s="266">
        <v>2.0</v>
      </c>
      <c r="I1578" s="266">
        <v>1837.0</v>
      </c>
      <c r="J1578" s="266">
        <v>15.0</v>
      </c>
      <c r="K1578" s="266">
        <v>170.0</v>
      </c>
      <c r="L1578" s="266">
        <v>8.0</v>
      </c>
      <c r="M1578" s="266">
        <v>3.0</v>
      </c>
      <c r="N1578" s="266">
        <v>2.0</v>
      </c>
      <c r="O1578" s="266">
        <v>2.0</v>
      </c>
      <c r="P1578" s="266" t="s">
        <v>166</v>
      </c>
      <c r="Q1578" s="266" t="s">
        <v>166</v>
      </c>
      <c r="R1578" s="497" t="s">
        <v>166</v>
      </c>
      <c r="S1578" s="497" t="s">
        <v>166</v>
      </c>
      <c r="T1578" s="496"/>
    </row>
    <row r="1579">
      <c r="A1579" s="494" t="s">
        <v>3401</v>
      </c>
      <c r="B1579" s="495" t="s">
        <v>3573</v>
      </c>
      <c r="C1579" s="174" t="str">
        <f t="shared" si="256"/>
        <v>Gigabyte</v>
      </c>
      <c r="D1579" s="537" t="s">
        <v>4133</v>
      </c>
      <c r="E1579" s="266">
        <v>282.0</v>
      </c>
      <c r="F1579" s="266">
        <v>117.0</v>
      </c>
      <c r="G1579" s="266">
        <v>41.0</v>
      </c>
      <c r="H1579" s="266">
        <v>2.0</v>
      </c>
      <c r="I1579" s="266">
        <v>1837.0</v>
      </c>
      <c r="J1579" s="266">
        <v>15.0</v>
      </c>
      <c r="K1579" s="266">
        <v>170.0</v>
      </c>
      <c r="L1579" s="266">
        <v>8.0</v>
      </c>
      <c r="M1579" s="266">
        <v>3.0</v>
      </c>
      <c r="N1579" s="266">
        <v>2.0</v>
      </c>
      <c r="O1579" s="266">
        <v>2.0</v>
      </c>
      <c r="P1579" s="266" t="s">
        <v>166</v>
      </c>
      <c r="Q1579" s="266" t="s">
        <v>166</v>
      </c>
      <c r="R1579" s="497" t="s">
        <v>166</v>
      </c>
      <c r="S1579" s="497" t="s">
        <v>166</v>
      </c>
      <c r="T1579" s="494"/>
    </row>
    <row r="1580">
      <c r="A1580" s="494" t="s">
        <v>3401</v>
      </c>
      <c r="B1580" s="495" t="s">
        <v>3573</v>
      </c>
      <c r="C1580" s="174" t="str">
        <f t="shared" si="256"/>
        <v>Gigabyte</v>
      </c>
      <c r="D1580" s="537" t="s">
        <v>4134</v>
      </c>
      <c r="E1580" s="266">
        <v>281.0</v>
      </c>
      <c r="F1580" s="266">
        <v>115.0</v>
      </c>
      <c r="G1580" s="266">
        <v>40.0</v>
      </c>
      <c r="H1580" s="266">
        <v>2.0</v>
      </c>
      <c r="I1580" s="266">
        <v>1837.0</v>
      </c>
      <c r="J1580" s="266">
        <v>15.0</v>
      </c>
      <c r="K1580" s="266">
        <v>170.0</v>
      </c>
      <c r="L1580" s="266">
        <v>8.0</v>
      </c>
      <c r="M1580" s="266">
        <v>3.0</v>
      </c>
      <c r="N1580" s="266">
        <v>2.0</v>
      </c>
      <c r="O1580" s="266">
        <v>2.0</v>
      </c>
      <c r="P1580" s="266" t="s">
        <v>166</v>
      </c>
      <c r="Q1580" s="266" t="s">
        <v>166</v>
      </c>
      <c r="R1580" s="497" t="s">
        <v>166</v>
      </c>
      <c r="S1580" s="497" t="s">
        <v>166</v>
      </c>
      <c r="T1580" s="496"/>
    </row>
    <row r="1581">
      <c r="A1581" s="494" t="s">
        <v>3401</v>
      </c>
      <c r="B1581" s="495" t="s">
        <v>3573</v>
      </c>
      <c r="C1581" s="174" t="str">
        <f t="shared" si="256"/>
        <v>Gigabyte</v>
      </c>
      <c r="D1581" s="537" t="s">
        <v>4135</v>
      </c>
      <c r="E1581" s="266">
        <v>281.0</v>
      </c>
      <c r="F1581" s="266">
        <v>115.0</v>
      </c>
      <c r="G1581" s="266">
        <v>40.0</v>
      </c>
      <c r="H1581" s="266">
        <v>2.0</v>
      </c>
      <c r="I1581" s="266">
        <v>1837.0</v>
      </c>
      <c r="J1581" s="266">
        <v>15.0</v>
      </c>
      <c r="K1581" s="266">
        <v>170.0</v>
      </c>
      <c r="L1581" s="266">
        <v>8.0</v>
      </c>
      <c r="M1581" s="266">
        <v>3.0</v>
      </c>
      <c r="N1581" s="266">
        <v>2.0</v>
      </c>
      <c r="O1581" s="266">
        <v>2.0</v>
      </c>
      <c r="P1581" s="266" t="s">
        <v>166</v>
      </c>
      <c r="Q1581" s="266" t="s">
        <v>166</v>
      </c>
      <c r="R1581" s="497" t="s">
        <v>166</v>
      </c>
      <c r="S1581" s="497" t="s">
        <v>166</v>
      </c>
      <c r="T1581" s="494"/>
    </row>
    <row r="1582">
      <c r="A1582" s="494" t="s">
        <v>3401</v>
      </c>
      <c r="B1582" s="495" t="s">
        <v>3573</v>
      </c>
      <c r="C1582" s="174" t="str">
        <f t="shared" si="256"/>
        <v>Gigabyte</v>
      </c>
      <c r="D1582" s="537" t="s">
        <v>3711</v>
      </c>
      <c r="E1582" s="266">
        <v>296.0</v>
      </c>
      <c r="F1582" s="266">
        <v>117.0</v>
      </c>
      <c r="G1582" s="266">
        <v>56.0</v>
      </c>
      <c r="H1582" s="266">
        <v>2.0</v>
      </c>
      <c r="I1582" s="266">
        <v>1867.0</v>
      </c>
      <c r="J1582" s="266">
        <v>15.0</v>
      </c>
      <c r="K1582" s="266">
        <v>170.0</v>
      </c>
      <c r="L1582" s="266" t="s">
        <v>3361</v>
      </c>
      <c r="M1582" s="266">
        <v>3.0</v>
      </c>
      <c r="N1582" s="266">
        <v>2.0</v>
      </c>
      <c r="O1582" s="266">
        <v>2.0</v>
      </c>
      <c r="P1582" s="266" t="s">
        <v>166</v>
      </c>
      <c r="Q1582" s="266" t="s">
        <v>166</v>
      </c>
      <c r="R1582" s="497" t="s">
        <v>166</v>
      </c>
      <c r="S1582" s="497" t="s">
        <v>166</v>
      </c>
      <c r="T1582" s="496"/>
    </row>
    <row r="1583">
      <c r="A1583" s="494" t="s">
        <v>3401</v>
      </c>
      <c r="B1583" s="495" t="s">
        <v>3573</v>
      </c>
      <c r="C1583" s="174" t="str">
        <f t="shared" si="256"/>
        <v>Gigabyte</v>
      </c>
      <c r="D1583" s="537" t="s">
        <v>4136</v>
      </c>
      <c r="E1583" s="266">
        <v>296.0</v>
      </c>
      <c r="F1583" s="266">
        <v>117.0</v>
      </c>
      <c r="G1583" s="266">
        <v>56.0</v>
      </c>
      <c r="H1583" s="266">
        <v>2.0</v>
      </c>
      <c r="I1583" s="266">
        <v>1867.0</v>
      </c>
      <c r="J1583" s="266">
        <v>15.0</v>
      </c>
      <c r="K1583" s="266">
        <v>170.0</v>
      </c>
      <c r="L1583" s="266" t="s">
        <v>3361</v>
      </c>
      <c r="M1583" s="266">
        <v>3.0</v>
      </c>
      <c r="N1583" s="266">
        <v>2.0</v>
      </c>
      <c r="O1583" s="266">
        <v>2.0</v>
      </c>
      <c r="P1583" s="266" t="s">
        <v>166</v>
      </c>
      <c r="Q1583" s="266" t="s">
        <v>166</v>
      </c>
      <c r="R1583" s="497" t="s">
        <v>166</v>
      </c>
      <c r="S1583" s="497" t="s">
        <v>166</v>
      </c>
      <c r="T1583" s="494"/>
    </row>
    <row r="1584">
      <c r="A1584" s="494" t="s">
        <v>3401</v>
      </c>
      <c r="B1584" s="495" t="s">
        <v>3573</v>
      </c>
      <c r="C1584" s="452" t="str">
        <f t="shared" ref="C1584:C1586" si="257">HYPERLINK("http://www.inno3d.com/","Inno3D")</f>
        <v>Inno3D</v>
      </c>
      <c r="D1584" s="537" t="s">
        <v>3896</v>
      </c>
      <c r="E1584" s="266">
        <v>240.0</v>
      </c>
      <c r="F1584" s="266">
        <v>120.0</v>
      </c>
      <c r="G1584" s="266">
        <v>40.0</v>
      </c>
      <c r="H1584" s="266">
        <v>2.0</v>
      </c>
      <c r="I1584" s="266">
        <v>1777.0</v>
      </c>
      <c r="J1584" s="266">
        <v>15.0</v>
      </c>
      <c r="K1584" s="266">
        <v>170.0</v>
      </c>
      <c r="L1584" s="266">
        <v>8.0</v>
      </c>
      <c r="M1584" s="266">
        <v>2.0</v>
      </c>
      <c r="N1584" s="266">
        <v>3.0</v>
      </c>
      <c r="O1584" s="266">
        <v>1.0</v>
      </c>
      <c r="P1584" s="266" t="s">
        <v>166</v>
      </c>
      <c r="Q1584" s="266" t="s">
        <v>166</v>
      </c>
      <c r="R1584" s="497" t="s">
        <v>166</v>
      </c>
      <c r="S1584" s="497" t="s">
        <v>166</v>
      </c>
      <c r="T1584" s="496"/>
    </row>
    <row r="1585">
      <c r="A1585" s="494" t="s">
        <v>3401</v>
      </c>
      <c r="B1585" s="495" t="s">
        <v>3573</v>
      </c>
      <c r="C1585" s="452" t="str">
        <f t="shared" si="257"/>
        <v>Inno3D</v>
      </c>
      <c r="D1585" s="537" t="s">
        <v>3882</v>
      </c>
      <c r="E1585" s="266">
        <v>240.0</v>
      </c>
      <c r="F1585" s="266">
        <v>120.0</v>
      </c>
      <c r="G1585" s="266">
        <v>40.0</v>
      </c>
      <c r="H1585" s="266">
        <v>2.0</v>
      </c>
      <c r="I1585" s="266">
        <v>1792.0</v>
      </c>
      <c r="J1585" s="266">
        <v>15.0</v>
      </c>
      <c r="K1585" s="266">
        <v>170.0</v>
      </c>
      <c r="L1585" s="266">
        <v>8.0</v>
      </c>
      <c r="M1585" s="266">
        <v>2.0</v>
      </c>
      <c r="N1585" s="266">
        <v>3.0</v>
      </c>
      <c r="O1585" s="266">
        <v>1.0</v>
      </c>
      <c r="P1585" s="266" t="s">
        <v>166</v>
      </c>
      <c r="Q1585" s="266" t="s">
        <v>166</v>
      </c>
      <c r="R1585" s="497" t="s">
        <v>166</v>
      </c>
      <c r="S1585" s="497" t="s">
        <v>166</v>
      </c>
      <c r="T1585" s="496"/>
    </row>
    <row r="1586">
      <c r="A1586" s="494" t="s">
        <v>3401</v>
      </c>
      <c r="B1586" s="495" t="s">
        <v>3573</v>
      </c>
      <c r="C1586" s="452" t="str">
        <f t="shared" si="257"/>
        <v>Inno3D</v>
      </c>
      <c r="D1586" s="537" t="s">
        <v>4137</v>
      </c>
      <c r="E1586" s="266">
        <v>300.0</v>
      </c>
      <c r="F1586" s="266">
        <v>135.0</v>
      </c>
      <c r="G1586" s="266">
        <v>60.0</v>
      </c>
      <c r="H1586" s="266">
        <v>2.0</v>
      </c>
      <c r="I1586" s="266">
        <v>1837.0</v>
      </c>
      <c r="J1586" s="266">
        <v>15.0</v>
      </c>
      <c r="K1586" s="266">
        <v>170.0</v>
      </c>
      <c r="L1586" s="266">
        <v>8.0</v>
      </c>
      <c r="M1586" s="266">
        <v>3.0</v>
      </c>
      <c r="N1586" s="266">
        <v>3.0</v>
      </c>
      <c r="O1586" s="266">
        <v>1.0</v>
      </c>
      <c r="P1586" s="266" t="s">
        <v>166</v>
      </c>
      <c r="Q1586" s="266" t="s">
        <v>166</v>
      </c>
      <c r="R1586" s="497" t="s">
        <v>166</v>
      </c>
      <c r="S1586" s="497" t="s">
        <v>166</v>
      </c>
      <c r="T1586" s="496"/>
    </row>
    <row r="1587">
      <c r="A1587" s="494" t="s">
        <v>3401</v>
      </c>
      <c r="B1587" s="495" t="s">
        <v>3573</v>
      </c>
      <c r="C1587" s="452" t="s">
        <v>3538</v>
      </c>
      <c r="D1587" s="537" t="s">
        <v>3898</v>
      </c>
      <c r="E1587" s="266">
        <v>267.0</v>
      </c>
      <c r="F1587" s="266">
        <v>111.0</v>
      </c>
      <c r="G1587" s="266">
        <v>39.0</v>
      </c>
      <c r="H1587" s="266">
        <v>2.0</v>
      </c>
      <c r="I1587" s="266">
        <v>1777.0</v>
      </c>
      <c r="J1587" s="266">
        <v>15.0</v>
      </c>
      <c r="K1587" s="266">
        <v>170.0</v>
      </c>
      <c r="L1587" s="266">
        <v>8.0</v>
      </c>
      <c r="M1587" s="266">
        <v>1.0</v>
      </c>
      <c r="N1587" s="266">
        <v>3.0</v>
      </c>
      <c r="O1587" s="266">
        <v>1.0</v>
      </c>
      <c r="P1587" s="266" t="s">
        <v>166</v>
      </c>
      <c r="Q1587" s="266" t="s">
        <v>166</v>
      </c>
      <c r="R1587" s="497" t="s">
        <v>166</v>
      </c>
      <c r="S1587" s="266" t="s">
        <v>174</v>
      </c>
      <c r="T1587" s="494"/>
    </row>
    <row r="1588">
      <c r="A1588" s="494" t="s">
        <v>3401</v>
      </c>
      <c r="B1588" s="495" t="s">
        <v>3573</v>
      </c>
      <c r="C1588" s="452" t="s">
        <v>3538</v>
      </c>
      <c r="D1588" s="537" t="s">
        <v>4138</v>
      </c>
      <c r="E1588" s="266">
        <v>253.0</v>
      </c>
      <c r="F1588" s="266">
        <v>111.0</v>
      </c>
      <c r="G1588" s="266">
        <v>35.0</v>
      </c>
      <c r="H1588" s="266">
        <v>2.0</v>
      </c>
      <c r="I1588" s="266">
        <v>1777.0</v>
      </c>
      <c r="J1588" s="266">
        <v>15.0</v>
      </c>
      <c r="K1588" s="266">
        <v>170.0</v>
      </c>
      <c r="L1588" s="266">
        <v>8.0</v>
      </c>
      <c r="M1588" s="266">
        <v>1.0</v>
      </c>
      <c r="N1588" s="266">
        <v>3.0</v>
      </c>
      <c r="O1588" s="266">
        <v>1.0</v>
      </c>
      <c r="P1588" s="266" t="s">
        <v>166</v>
      </c>
      <c r="Q1588" s="266" t="s">
        <v>166</v>
      </c>
      <c r="R1588" s="497" t="s">
        <v>166</v>
      </c>
      <c r="S1588" s="266" t="s">
        <v>174</v>
      </c>
      <c r="T1588" s="494"/>
    </row>
    <row r="1589">
      <c r="A1589" s="494" t="s">
        <v>3401</v>
      </c>
      <c r="B1589" s="495" t="s">
        <v>3573</v>
      </c>
      <c r="C1589" s="452" t="s">
        <v>3538</v>
      </c>
      <c r="D1589" s="537" t="s">
        <v>4076</v>
      </c>
      <c r="E1589" s="266">
        <v>253.0</v>
      </c>
      <c r="F1589" s="266">
        <v>113.0</v>
      </c>
      <c r="G1589" s="266">
        <v>46.0</v>
      </c>
      <c r="H1589" s="266">
        <v>2.0</v>
      </c>
      <c r="I1589" s="266">
        <v>1777.0</v>
      </c>
      <c r="J1589" s="266">
        <v>15.0</v>
      </c>
      <c r="K1589" s="266">
        <v>170.0</v>
      </c>
      <c r="L1589" s="266">
        <v>8.0</v>
      </c>
      <c r="M1589" s="266">
        <v>2.0</v>
      </c>
      <c r="N1589" s="266">
        <v>3.0</v>
      </c>
      <c r="O1589" s="266">
        <v>1.0</v>
      </c>
      <c r="P1589" s="266" t="s">
        <v>166</v>
      </c>
      <c r="Q1589" s="266" t="s">
        <v>166</v>
      </c>
      <c r="R1589" s="497" t="s">
        <v>166</v>
      </c>
      <c r="S1589" s="497" t="s">
        <v>166</v>
      </c>
      <c r="T1589" s="496"/>
    </row>
    <row r="1590">
      <c r="A1590" s="494" t="s">
        <v>3401</v>
      </c>
      <c r="B1590" s="495" t="s">
        <v>3573</v>
      </c>
      <c r="C1590" s="452" t="str">
        <f t="shared" ref="C1590:C1594" si="258">HYPERLINK("http://manli.com/en","Manli")</f>
        <v>Manli</v>
      </c>
      <c r="D1590" s="537" t="s">
        <v>4139</v>
      </c>
      <c r="E1590" s="266">
        <v>245.0</v>
      </c>
      <c r="F1590" s="266">
        <v>112.0</v>
      </c>
      <c r="G1590" s="266">
        <v>42.0</v>
      </c>
      <c r="H1590" s="266">
        <v>2.0</v>
      </c>
      <c r="I1590" s="266">
        <v>1777.0</v>
      </c>
      <c r="J1590" s="266">
        <v>15.0</v>
      </c>
      <c r="K1590" s="266">
        <v>170.0</v>
      </c>
      <c r="L1590" s="266">
        <v>8.0</v>
      </c>
      <c r="M1590" s="266">
        <v>1.0</v>
      </c>
      <c r="N1590" s="266">
        <v>3.0</v>
      </c>
      <c r="O1590" s="266">
        <v>1.0</v>
      </c>
      <c r="P1590" s="266" t="s">
        <v>166</v>
      </c>
      <c r="Q1590" s="266" t="s">
        <v>166</v>
      </c>
      <c r="R1590" s="497" t="s">
        <v>166</v>
      </c>
      <c r="S1590" s="266" t="s">
        <v>174</v>
      </c>
      <c r="T1590" s="494"/>
    </row>
    <row r="1591">
      <c r="A1591" s="494" t="s">
        <v>3401</v>
      </c>
      <c r="B1591" s="495" t="s">
        <v>3573</v>
      </c>
      <c r="C1591" s="452" t="str">
        <f t="shared" si="258"/>
        <v>Manli</v>
      </c>
      <c r="D1591" s="537" t="s">
        <v>4140</v>
      </c>
      <c r="E1591" s="266">
        <v>245.0</v>
      </c>
      <c r="F1591" s="266">
        <v>112.0</v>
      </c>
      <c r="G1591" s="266">
        <v>42.0</v>
      </c>
      <c r="H1591" s="266">
        <v>2.0</v>
      </c>
      <c r="I1591" s="266">
        <v>1777.0</v>
      </c>
      <c r="J1591" s="266">
        <v>15.0</v>
      </c>
      <c r="K1591" s="266">
        <v>170.0</v>
      </c>
      <c r="L1591" s="266">
        <v>8.0</v>
      </c>
      <c r="M1591" s="266">
        <v>2.0</v>
      </c>
      <c r="N1591" s="266">
        <v>3.0</v>
      </c>
      <c r="O1591" s="266">
        <v>1.0</v>
      </c>
      <c r="P1591" s="266" t="s">
        <v>166</v>
      </c>
      <c r="Q1591" s="266" t="s">
        <v>166</v>
      </c>
      <c r="R1591" s="497" t="s">
        <v>166</v>
      </c>
      <c r="S1591" s="497" t="s">
        <v>166</v>
      </c>
      <c r="T1591" s="496"/>
    </row>
    <row r="1592">
      <c r="A1592" s="494" t="s">
        <v>3401</v>
      </c>
      <c r="B1592" s="495" t="s">
        <v>3573</v>
      </c>
      <c r="C1592" s="452" t="str">
        <f t="shared" si="258"/>
        <v>Manli</v>
      </c>
      <c r="D1592" s="537" t="s">
        <v>4141</v>
      </c>
      <c r="E1592" s="266">
        <v>245.0</v>
      </c>
      <c r="F1592" s="266">
        <v>112.0</v>
      </c>
      <c r="G1592" s="266">
        <v>42.0</v>
      </c>
      <c r="H1592" s="266">
        <v>2.0</v>
      </c>
      <c r="I1592" s="266">
        <v>1777.0</v>
      </c>
      <c r="J1592" s="266">
        <v>15.0</v>
      </c>
      <c r="K1592" s="266">
        <v>170.0</v>
      </c>
      <c r="L1592" s="266">
        <v>8.0</v>
      </c>
      <c r="M1592" s="266">
        <v>2.0</v>
      </c>
      <c r="N1592" s="266">
        <v>3.0</v>
      </c>
      <c r="O1592" s="266">
        <v>1.0</v>
      </c>
      <c r="P1592" s="266" t="s">
        <v>166</v>
      </c>
      <c r="Q1592" s="266" t="s">
        <v>166</v>
      </c>
      <c r="R1592" s="497" t="s">
        <v>166</v>
      </c>
      <c r="S1592" s="497" t="s">
        <v>166</v>
      </c>
      <c r="T1592" s="496"/>
    </row>
    <row r="1593">
      <c r="A1593" s="494" t="s">
        <v>3401</v>
      </c>
      <c r="B1593" s="495" t="s">
        <v>3573</v>
      </c>
      <c r="C1593" s="452" t="str">
        <f t="shared" si="258"/>
        <v>Manli</v>
      </c>
      <c r="D1593" s="537" t="s">
        <v>4142</v>
      </c>
      <c r="E1593" s="266">
        <v>245.0</v>
      </c>
      <c r="F1593" s="266">
        <v>112.0</v>
      </c>
      <c r="G1593" s="266">
        <v>42.0</v>
      </c>
      <c r="H1593" s="266">
        <v>2.0</v>
      </c>
      <c r="I1593" s="266">
        <v>1792.0</v>
      </c>
      <c r="J1593" s="266">
        <v>15.0</v>
      </c>
      <c r="K1593" s="266">
        <v>170.0</v>
      </c>
      <c r="L1593" s="266">
        <v>8.0</v>
      </c>
      <c r="M1593" s="266">
        <v>2.0</v>
      </c>
      <c r="N1593" s="266">
        <v>3.0</v>
      </c>
      <c r="O1593" s="266">
        <v>1.0</v>
      </c>
      <c r="P1593" s="266" t="s">
        <v>166</v>
      </c>
      <c r="Q1593" s="266" t="s">
        <v>166</v>
      </c>
      <c r="R1593" s="497" t="s">
        <v>166</v>
      </c>
      <c r="S1593" s="497" t="s">
        <v>166</v>
      </c>
      <c r="T1593" s="496"/>
    </row>
    <row r="1594">
      <c r="A1594" s="494" t="s">
        <v>3401</v>
      </c>
      <c r="B1594" s="495" t="s">
        <v>3573</v>
      </c>
      <c r="C1594" s="452" t="str">
        <f t="shared" si="258"/>
        <v>Manli</v>
      </c>
      <c r="D1594" s="537" t="s">
        <v>4143</v>
      </c>
      <c r="E1594" s="266">
        <v>245.0</v>
      </c>
      <c r="F1594" s="266">
        <v>112.0</v>
      </c>
      <c r="G1594" s="266">
        <v>42.0</v>
      </c>
      <c r="H1594" s="266">
        <v>2.0</v>
      </c>
      <c r="I1594" s="266">
        <v>1792.0</v>
      </c>
      <c r="J1594" s="266">
        <v>15.0</v>
      </c>
      <c r="K1594" s="266">
        <v>170.0</v>
      </c>
      <c r="L1594" s="266">
        <v>8.0</v>
      </c>
      <c r="M1594" s="266">
        <v>2.0</v>
      </c>
      <c r="N1594" s="266">
        <v>3.0</v>
      </c>
      <c r="O1594" s="266">
        <v>1.0</v>
      </c>
      <c r="P1594" s="266" t="s">
        <v>166</v>
      </c>
      <c r="Q1594" s="266" t="s">
        <v>166</v>
      </c>
      <c r="R1594" s="497" t="s">
        <v>166</v>
      </c>
      <c r="S1594" s="497" t="s">
        <v>166</v>
      </c>
      <c r="T1594" s="496"/>
    </row>
    <row r="1595">
      <c r="A1595" s="494" t="s">
        <v>3401</v>
      </c>
      <c r="B1595" s="495" t="s">
        <v>3573</v>
      </c>
      <c r="C1595" s="174" t="s">
        <v>3565</v>
      </c>
      <c r="D1595" s="537" t="s">
        <v>4144</v>
      </c>
      <c r="E1595" s="266">
        <v>317.0</v>
      </c>
      <c r="F1595" s="266">
        <v>124.0</v>
      </c>
      <c r="G1595" s="266">
        <v>49.0</v>
      </c>
      <c r="H1595" s="266">
        <v>2.0</v>
      </c>
      <c r="I1595" s="266">
        <v>1807.0</v>
      </c>
      <c r="J1595" s="266">
        <v>15.0</v>
      </c>
      <c r="K1595" s="266">
        <v>170.0</v>
      </c>
      <c r="L1595" s="266">
        <v>8.0</v>
      </c>
      <c r="M1595" s="266">
        <v>3.0</v>
      </c>
      <c r="N1595" s="266">
        <v>3.0</v>
      </c>
      <c r="O1595" s="266">
        <v>1.0</v>
      </c>
      <c r="P1595" s="266" t="s">
        <v>166</v>
      </c>
      <c r="Q1595" s="266" t="s">
        <v>166</v>
      </c>
      <c r="R1595" s="497" t="s">
        <v>166</v>
      </c>
      <c r="S1595" s="497" t="s">
        <v>166</v>
      </c>
      <c r="T1595" s="496"/>
    </row>
    <row r="1596">
      <c r="A1596" s="494" t="s">
        <v>3401</v>
      </c>
      <c r="B1596" s="495" t="s">
        <v>3573</v>
      </c>
      <c r="C1596" s="174" t="s">
        <v>3565</v>
      </c>
      <c r="D1596" s="537" t="s">
        <v>4145</v>
      </c>
      <c r="E1596" s="266">
        <v>317.0</v>
      </c>
      <c r="F1596" s="266">
        <v>124.0</v>
      </c>
      <c r="G1596" s="266">
        <v>49.0</v>
      </c>
      <c r="H1596" s="266">
        <v>2.0</v>
      </c>
      <c r="I1596" s="266">
        <v>1807.0</v>
      </c>
      <c r="J1596" s="266">
        <v>15.0</v>
      </c>
      <c r="K1596" s="266">
        <v>170.0</v>
      </c>
      <c r="L1596" s="266">
        <v>8.0</v>
      </c>
      <c r="M1596" s="266">
        <v>3.0</v>
      </c>
      <c r="N1596" s="266">
        <v>3.0</v>
      </c>
      <c r="O1596" s="266">
        <v>1.0</v>
      </c>
      <c r="P1596" s="266" t="s">
        <v>166</v>
      </c>
      <c r="Q1596" s="266" t="s">
        <v>166</v>
      </c>
      <c r="R1596" s="497" t="s">
        <v>166</v>
      </c>
      <c r="S1596" s="497" t="s">
        <v>166</v>
      </c>
      <c r="T1596" s="494"/>
    </row>
    <row r="1597">
      <c r="A1597" s="494" t="s">
        <v>3401</v>
      </c>
      <c r="B1597" s="495" t="s">
        <v>3573</v>
      </c>
      <c r="C1597" s="174" t="str">
        <f t="shared" ref="C1597:C1606" si="259">HYPERLINK("https://www.msi.com/index.php","MSI")</f>
        <v>MSI</v>
      </c>
      <c r="D1597" s="537" t="s">
        <v>3555</v>
      </c>
      <c r="E1597" s="266">
        <v>235.0</v>
      </c>
      <c r="F1597" s="266">
        <v>124.0</v>
      </c>
      <c r="G1597" s="266">
        <v>42.0</v>
      </c>
      <c r="H1597" s="266">
        <v>2.0</v>
      </c>
      <c r="I1597" s="266">
        <v>1777.0</v>
      </c>
      <c r="J1597" s="266">
        <v>15.0</v>
      </c>
      <c r="K1597" s="266">
        <v>170.0</v>
      </c>
      <c r="L1597" s="266">
        <v>8.0</v>
      </c>
      <c r="M1597" s="266">
        <v>2.0</v>
      </c>
      <c r="N1597" s="266">
        <v>3.0</v>
      </c>
      <c r="O1597" s="266">
        <v>1.0</v>
      </c>
      <c r="P1597" s="266" t="s">
        <v>166</v>
      </c>
      <c r="Q1597" s="266" t="s">
        <v>166</v>
      </c>
      <c r="R1597" s="497" t="s">
        <v>166</v>
      </c>
      <c r="S1597" s="497" t="s">
        <v>166</v>
      </c>
      <c r="T1597" s="496"/>
    </row>
    <row r="1598">
      <c r="A1598" s="494" t="s">
        <v>3401</v>
      </c>
      <c r="B1598" s="495" t="s">
        <v>3573</v>
      </c>
      <c r="C1598" s="174" t="str">
        <f t="shared" si="259"/>
        <v>MSI</v>
      </c>
      <c r="D1598" s="537" t="s">
        <v>3556</v>
      </c>
      <c r="E1598" s="266">
        <v>235.0</v>
      </c>
      <c r="F1598" s="266">
        <v>124.0</v>
      </c>
      <c r="G1598" s="266">
        <v>42.0</v>
      </c>
      <c r="H1598" s="266">
        <v>2.0</v>
      </c>
      <c r="I1598" s="266">
        <v>1807.0</v>
      </c>
      <c r="J1598" s="266">
        <v>15.0</v>
      </c>
      <c r="K1598" s="266">
        <v>170.0</v>
      </c>
      <c r="L1598" s="266">
        <v>8.0</v>
      </c>
      <c r="M1598" s="266">
        <v>2.0</v>
      </c>
      <c r="N1598" s="266">
        <v>3.0</v>
      </c>
      <c r="O1598" s="266">
        <v>1.0</v>
      </c>
      <c r="P1598" s="266" t="s">
        <v>166</v>
      </c>
      <c r="Q1598" s="266" t="s">
        <v>166</v>
      </c>
      <c r="R1598" s="497" t="s">
        <v>166</v>
      </c>
      <c r="S1598" s="497" t="s">
        <v>166</v>
      </c>
      <c r="T1598" s="496"/>
    </row>
    <row r="1599">
      <c r="A1599" s="494" t="s">
        <v>3401</v>
      </c>
      <c r="B1599" s="495" t="s">
        <v>3573</v>
      </c>
      <c r="C1599" s="174" t="str">
        <f t="shared" si="259"/>
        <v>MSI</v>
      </c>
      <c r="D1599" s="537" t="s">
        <v>4146</v>
      </c>
      <c r="E1599" s="266">
        <v>316.0</v>
      </c>
      <c r="F1599" s="266">
        <v>120.0</v>
      </c>
      <c r="G1599" s="266">
        <v>42.0</v>
      </c>
      <c r="H1599" s="266">
        <v>2.0</v>
      </c>
      <c r="I1599" s="266">
        <v>1777.0</v>
      </c>
      <c r="J1599" s="266">
        <v>15.0</v>
      </c>
      <c r="K1599" s="266">
        <v>170.0</v>
      </c>
      <c r="L1599" s="266">
        <v>8.0</v>
      </c>
      <c r="M1599" s="266">
        <v>3.0</v>
      </c>
      <c r="N1599" s="266">
        <v>3.0</v>
      </c>
      <c r="O1599" s="266">
        <v>1.0</v>
      </c>
      <c r="P1599" s="266" t="s">
        <v>166</v>
      </c>
      <c r="Q1599" s="266" t="s">
        <v>166</v>
      </c>
      <c r="R1599" s="497" t="s">
        <v>166</v>
      </c>
      <c r="S1599" s="497" t="s">
        <v>166</v>
      </c>
      <c r="T1599" s="496"/>
    </row>
    <row r="1600">
      <c r="A1600" s="494" t="s">
        <v>3401</v>
      </c>
      <c r="B1600" s="495" t="s">
        <v>3573</v>
      </c>
      <c r="C1600" s="174" t="str">
        <f t="shared" si="259"/>
        <v>MSI</v>
      </c>
      <c r="D1600" s="537" t="s">
        <v>4147</v>
      </c>
      <c r="E1600" s="266">
        <v>316.0</v>
      </c>
      <c r="F1600" s="266">
        <v>120.0</v>
      </c>
      <c r="G1600" s="266">
        <v>42.0</v>
      </c>
      <c r="H1600" s="266">
        <v>2.0</v>
      </c>
      <c r="I1600" s="266">
        <v>1807.0</v>
      </c>
      <c r="J1600" s="266">
        <v>15.0</v>
      </c>
      <c r="K1600" s="266">
        <v>170.0</v>
      </c>
      <c r="L1600" s="266">
        <v>8.0</v>
      </c>
      <c r="M1600" s="266">
        <v>3.0</v>
      </c>
      <c r="N1600" s="266">
        <v>3.0</v>
      </c>
      <c r="O1600" s="266">
        <v>1.0</v>
      </c>
      <c r="P1600" s="266" t="s">
        <v>166</v>
      </c>
      <c r="Q1600" s="266" t="s">
        <v>166</v>
      </c>
      <c r="R1600" s="497" t="s">
        <v>166</v>
      </c>
      <c r="S1600" s="497" t="s">
        <v>166</v>
      </c>
      <c r="T1600" s="496"/>
    </row>
    <row r="1601">
      <c r="A1601" s="494" t="s">
        <v>3401</v>
      </c>
      <c r="B1601" s="495" t="s">
        <v>3573</v>
      </c>
      <c r="C1601" s="174" t="str">
        <f t="shared" si="259"/>
        <v>MSI</v>
      </c>
      <c r="D1601" s="537" t="s">
        <v>3409</v>
      </c>
      <c r="E1601" s="266">
        <v>276.0</v>
      </c>
      <c r="F1601" s="266">
        <v>131.0</v>
      </c>
      <c r="G1601" s="266">
        <v>51.0</v>
      </c>
      <c r="H1601" s="266">
        <v>2.0</v>
      </c>
      <c r="I1601" s="266">
        <v>1777.0</v>
      </c>
      <c r="J1601" s="266">
        <v>15.0</v>
      </c>
      <c r="K1601" s="266">
        <v>170.0</v>
      </c>
      <c r="L1601" s="266" t="s">
        <v>3361</v>
      </c>
      <c r="M1601" s="266">
        <v>2.0</v>
      </c>
      <c r="N1601" s="266">
        <v>3.0</v>
      </c>
      <c r="O1601" s="266">
        <v>1.0</v>
      </c>
      <c r="P1601" s="266" t="s">
        <v>166</v>
      </c>
      <c r="Q1601" s="266" t="s">
        <v>166</v>
      </c>
      <c r="R1601" s="497" t="s">
        <v>166</v>
      </c>
      <c r="S1601" s="497" t="s">
        <v>166</v>
      </c>
      <c r="T1601" s="496"/>
    </row>
    <row r="1602">
      <c r="A1602" s="494" t="s">
        <v>3401</v>
      </c>
      <c r="B1602" s="495" t="s">
        <v>3573</v>
      </c>
      <c r="C1602" s="174" t="str">
        <f t="shared" si="259"/>
        <v>MSI</v>
      </c>
      <c r="D1602" s="537" t="s">
        <v>3557</v>
      </c>
      <c r="E1602" s="266">
        <v>276.0</v>
      </c>
      <c r="F1602" s="266">
        <v>131.0</v>
      </c>
      <c r="G1602" s="266">
        <v>51.0</v>
      </c>
      <c r="H1602" s="266">
        <v>2.0</v>
      </c>
      <c r="I1602" s="266">
        <v>1837.0</v>
      </c>
      <c r="J1602" s="266">
        <v>15.0</v>
      </c>
      <c r="K1602" s="266">
        <v>170.0</v>
      </c>
      <c r="L1602" s="266" t="s">
        <v>3361</v>
      </c>
      <c r="M1602" s="266">
        <v>2.0</v>
      </c>
      <c r="N1602" s="266">
        <v>3.0</v>
      </c>
      <c r="O1602" s="266">
        <v>1.0</v>
      </c>
      <c r="P1602" s="266" t="s">
        <v>166</v>
      </c>
      <c r="Q1602" s="266" t="s">
        <v>166</v>
      </c>
      <c r="R1602" s="497" t="s">
        <v>166</v>
      </c>
      <c r="S1602" s="497" t="s">
        <v>166</v>
      </c>
      <c r="T1602" s="496"/>
    </row>
    <row r="1603">
      <c r="A1603" s="494" t="s">
        <v>3401</v>
      </c>
      <c r="B1603" s="495" t="s">
        <v>3573</v>
      </c>
      <c r="C1603" s="174" t="str">
        <f t="shared" si="259"/>
        <v>MSI</v>
      </c>
      <c r="D1603" s="537" t="s">
        <v>3720</v>
      </c>
      <c r="E1603" s="266">
        <v>323.0</v>
      </c>
      <c r="F1603" s="266">
        <v>140.0</v>
      </c>
      <c r="G1603" s="266">
        <v>56.0</v>
      </c>
      <c r="H1603" s="266">
        <v>2.0</v>
      </c>
      <c r="I1603" s="266">
        <v>1777.0</v>
      </c>
      <c r="J1603" s="266">
        <v>15.0</v>
      </c>
      <c r="K1603" s="266">
        <v>170.0</v>
      </c>
      <c r="L1603" s="266" t="s">
        <v>3460</v>
      </c>
      <c r="M1603" s="266">
        <v>3.0</v>
      </c>
      <c r="N1603" s="266">
        <v>3.0</v>
      </c>
      <c r="O1603" s="266">
        <v>1.0</v>
      </c>
      <c r="P1603" s="266" t="s">
        <v>166</v>
      </c>
      <c r="Q1603" s="266" t="s">
        <v>166</v>
      </c>
      <c r="R1603" s="497" t="s">
        <v>166</v>
      </c>
      <c r="S1603" s="497" t="s">
        <v>166</v>
      </c>
      <c r="T1603" s="496"/>
    </row>
    <row r="1604">
      <c r="A1604" s="494" t="s">
        <v>3401</v>
      </c>
      <c r="B1604" s="495" t="s">
        <v>3573</v>
      </c>
      <c r="C1604" s="174" t="str">
        <f t="shared" si="259"/>
        <v>MSI</v>
      </c>
      <c r="D1604" s="537" t="s">
        <v>3726</v>
      </c>
      <c r="E1604" s="266">
        <v>324.0</v>
      </c>
      <c r="F1604" s="266">
        <v>140.0</v>
      </c>
      <c r="G1604" s="266">
        <v>57.0</v>
      </c>
      <c r="H1604" s="266">
        <v>2.0</v>
      </c>
      <c r="I1604" s="266">
        <v>1777.0</v>
      </c>
      <c r="J1604" s="266">
        <v>15.0</v>
      </c>
      <c r="K1604" s="266">
        <v>170.0</v>
      </c>
      <c r="L1604" s="266" t="s">
        <v>3460</v>
      </c>
      <c r="M1604" s="266">
        <v>3.0</v>
      </c>
      <c r="N1604" s="266">
        <v>3.0</v>
      </c>
      <c r="O1604" s="266">
        <v>1.0</v>
      </c>
      <c r="P1604" s="266" t="s">
        <v>166</v>
      </c>
      <c r="Q1604" s="266" t="s">
        <v>166</v>
      </c>
      <c r="R1604" s="497" t="s">
        <v>166</v>
      </c>
      <c r="S1604" s="497" t="s">
        <v>166</v>
      </c>
      <c r="T1604" s="496"/>
    </row>
    <row r="1605">
      <c r="A1605" s="494" t="s">
        <v>3401</v>
      </c>
      <c r="B1605" s="495" t="s">
        <v>3573</v>
      </c>
      <c r="C1605" s="174" t="str">
        <f t="shared" si="259"/>
        <v>MSI</v>
      </c>
      <c r="D1605" s="537" t="s">
        <v>3721</v>
      </c>
      <c r="E1605" s="266">
        <v>323.0</v>
      </c>
      <c r="F1605" s="266">
        <v>140.0</v>
      </c>
      <c r="G1605" s="266">
        <v>56.0</v>
      </c>
      <c r="H1605" s="266">
        <v>2.0</v>
      </c>
      <c r="I1605" s="266">
        <v>1852.0</v>
      </c>
      <c r="J1605" s="266">
        <v>15.0</v>
      </c>
      <c r="K1605" s="266">
        <v>170.0</v>
      </c>
      <c r="L1605" s="266" t="s">
        <v>3460</v>
      </c>
      <c r="M1605" s="266">
        <v>3.0</v>
      </c>
      <c r="N1605" s="266">
        <v>3.0</v>
      </c>
      <c r="O1605" s="266">
        <v>1.0</v>
      </c>
      <c r="P1605" s="266" t="s">
        <v>166</v>
      </c>
      <c r="Q1605" s="266" t="s">
        <v>166</v>
      </c>
      <c r="R1605" s="497" t="s">
        <v>166</v>
      </c>
      <c r="S1605" s="497" t="s">
        <v>166</v>
      </c>
      <c r="T1605" s="496"/>
    </row>
    <row r="1606">
      <c r="A1606" s="494" t="s">
        <v>3401</v>
      </c>
      <c r="B1606" s="495" t="s">
        <v>3573</v>
      </c>
      <c r="C1606" s="174" t="str">
        <f t="shared" si="259"/>
        <v>MSI</v>
      </c>
      <c r="D1606" s="537" t="s">
        <v>3727</v>
      </c>
      <c r="E1606" s="266">
        <v>324.0</v>
      </c>
      <c r="F1606" s="266">
        <v>140.0</v>
      </c>
      <c r="G1606" s="266">
        <v>57.0</v>
      </c>
      <c r="H1606" s="266">
        <v>2.0</v>
      </c>
      <c r="I1606" s="266">
        <v>1867.0</v>
      </c>
      <c r="J1606" s="266">
        <v>15.0</v>
      </c>
      <c r="K1606" s="266">
        <v>170.0</v>
      </c>
      <c r="L1606" s="266" t="s">
        <v>3460</v>
      </c>
      <c r="M1606" s="266">
        <v>3.0</v>
      </c>
      <c r="N1606" s="266">
        <v>3.0</v>
      </c>
      <c r="O1606" s="266">
        <v>1.0</v>
      </c>
      <c r="P1606" s="266" t="s">
        <v>166</v>
      </c>
      <c r="Q1606" s="266" t="s">
        <v>166</v>
      </c>
      <c r="R1606" s="497" t="s">
        <v>166</v>
      </c>
      <c r="S1606" s="497" t="s">
        <v>166</v>
      </c>
      <c r="T1606" s="496"/>
    </row>
    <row r="1607">
      <c r="A1607" s="494" t="s">
        <v>3401</v>
      </c>
      <c r="B1607" s="495" t="s">
        <v>3573</v>
      </c>
      <c r="C1607" s="452" t="str">
        <f t="shared" ref="C1607:C1608" si="260">HYPERLINK("http://www.palit.com/palit/index.php?lang=en","Palit")</f>
        <v>Palit</v>
      </c>
      <c r="D1607" s="537" t="s">
        <v>3372</v>
      </c>
      <c r="E1607" s="266">
        <v>245.0</v>
      </c>
      <c r="F1607" s="266">
        <v>119.0</v>
      </c>
      <c r="G1607" s="266">
        <v>40.0</v>
      </c>
      <c r="H1607" s="266">
        <v>2.0</v>
      </c>
      <c r="I1607" s="266">
        <v>1777.0</v>
      </c>
      <c r="J1607" s="266">
        <v>15.0</v>
      </c>
      <c r="K1607" s="266">
        <v>170.0</v>
      </c>
      <c r="L1607" s="266">
        <v>8.0</v>
      </c>
      <c r="M1607" s="266">
        <v>2.0</v>
      </c>
      <c r="N1607" s="266">
        <v>3.0</v>
      </c>
      <c r="O1607" s="266">
        <v>1.0</v>
      </c>
      <c r="P1607" s="266" t="s">
        <v>166</v>
      </c>
      <c r="Q1607" s="266" t="s">
        <v>166</v>
      </c>
      <c r="R1607" s="497" t="s">
        <v>166</v>
      </c>
      <c r="S1607" s="497" t="s">
        <v>166</v>
      </c>
      <c r="T1607" s="496"/>
    </row>
    <row r="1608">
      <c r="A1608" s="494" t="s">
        <v>3401</v>
      </c>
      <c r="B1608" s="495" t="s">
        <v>3573</v>
      </c>
      <c r="C1608" s="452" t="str">
        <f t="shared" si="260"/>
        <v>Palit</v>
      </c>
      <c r="D1608" s="537" t="s">
        <v>3381</v>
      </c>
      <c r="E1608" s="266">
        <v>245.0</v>
      </c>
      <c r="F1608" s="266">
        <v>119.0</v>
      </c>
      <c r="G1608" s="266">
        <v>40.0</v>
      </c>
      <c r="H1608" s="266">
        <v>2.0</v>
      </c>
      <c r="I1608" s="266">
        <v>1837.0</v>
      </c>
      <c r="J1608" s="266">
        <v>15.0</v>
      </c>
      <c r="K1608" s="266">
        <v>180.0</v>
      </c>
      <c r="L1608" s="266">
        <v>8.0</v>
      </c>
      <c r="M1608" s="266">
        <v>2.0</v>
      </c>
      <c r="N1608" s="266">
        <v>3.0</v>
      </c>
      <c r="O1608" s="266">
        <v>1.0</v>
      </c>
      <c r="P1608" s="266" t="s">
        <v>166</v>
      </c>
      <c r="Q1608" s="266" t="s">
        <v>166</v>
      </c>
      <c r="R1608" s="497" t="s">
        <v>166</v>
      </c>
      <c r="S1608" s="497" t="s">
        <v>166</v>
      </c>
      <c r="T1608" s="496"/>
    </row>
    <row r="1609">
      <c r="A1609" s="494" t="s">
        <v>3401</v>
      </c>
      <c r="B1609" s="495" t="s">
        <v>3573</v>
      </c>
      <c r="C1609" s="452" t="str">
        <f t="shared" ref="C1609:C1611" si="261">HYPERLINK("https://pny.com/","PNY")</f>
        <v>PNY</v>
      </c>
      <c r="D1609" s="537" t="s">
        <v>3607</v>
      </c>
      <c r="E1609" s="266">
        <v>247.4</v>
      </c>
      <c r="F1609" s="266">
        <v>118.36</v>
      </c>
      <c r="G1609" s="266">
        <v>40.64</v>
      </c>
      <c r="H1609" s="266">
        <v>2.0</v>
      </c>
      <c r="I1609" s="266">
        <v>1777.0</v>
      </c>
      <c r="J1609" s="266">
        <v>15.0</v>
      </c>
      <c r="K1609" s="266">
        <v>170.0</v>
      </c>
      <c r="L1609" s="266">
        <v>8.0</v>
      </c>
      <c r="M1609" s="266">
        <v>2.0</v>
      </c>
      <c r="N1609" s="266">
        <v>3.0</v>
      </c>
      <c r="O1609" s="266">
        <v>1.0</v>
      </c>
      <c r="P1609" s="266" t="s">
        <v>166</v>
      </c>
      <c r="Q1609" s="266" t="s">
        <v>166</v>
      </c>
      <c r="R1609" s="266" t="s">
        <v>166</v>
      </c>
      <c r="S1609" s="266" t="s">
        <v>166</v>
      </c>
      <c r="T1609" s="496"/>
    </row>
    <row r="1610">
      <c r="A1610" s="494" t="s">
        <v>3401</v>
      </c>
      <c r="B1610" s="495" t="s">
        <v>3573</v>
      </c>
      <c r="C1610" s="452" t="str">
        <f t="shared" si="261"/>
        <v>PNY</v>
      </c>
      <c r="D1610" s="537" t="s">
        <v>3933</v>
      </c>
      <c r="E1610" s="266">
        <v>259.0</v>
      </c>
      <c r="F1610" s="266">
        <v>127.0</v>
      </c>
      <c r="G1610" s="266">
        <v>42.0</v>
      </c>
      <c r="H1610" s="266">
        <v>2.0</v>
      </c>
      <c r="I1610" s="266">
        <v>1852.0</v>
      </c>
      <c r="J1610" s="266">
        <v>15.0</v>
      </c>
      <c r="K1610" s="266">
        <v>170.0</v>
      </c>
      <c r="L1610" s="266">
        <v>8.0</v>
      </c>
      <c r="M1610" s="266">
        <v>2.0</v>
      </c>
      <c r="N1610" s="266">
        <v>3.0</v>
      </c>
      <c r="O1610" s="266">
        <v>1.0</v>
      </c>
      <c r="P1610" s="266" t="s">
        <v>166</v>
      </c>
      <c r="Q1610" s="266" t="s">
        <v>166</v>
      </c>
      <c r="R1610" s="497" t="s">
        <v>166</v>
      </c>
      <c r="S1610" s="497" t="s">
        <v>166</v>
      </c>
      <c r="T1610" s="496"/>
    </row>
    <row r="1611">
      <c r="A1611" s="494" t="s">
        <v>3401</v>
      </c>
      <c r="B1611" s="495" t="s">
        <v>3573</v>
      </c>
      <c r="C1611" s="452" t="str">
        <f t="shared" si="261"/>
        <v>PNY</v>
      </c>
      <c r="D1611" s="537" t="s">
        <v>4148</v>
      </c>
      <c r="E1611" s="266">
        <v>247.0</v>
      </c>
      <c r="F1611" s="266">
        <v>120.0</v>
      </c>
      <c r="G1611" s="266">
        <v>40.0</v>
      </c>
      <c r="H1611" s="266">
        <v>2.0</v>
      </c>
      <c r="I1611" s="266">
        <v>1852.0</v>
      </c>
      <c r="J1611" s="266">
        <v>15.0</v>
      </c>
      <c r="K1611" s="266">
        <v>170.0</v>
      </c>
      <c r="L1611" s="266">
        <v>8.0</v>
      </c>
      <c r="M1611" s="266">
        <v>2.0</v>
      </c>
      <c r="N1611" s="266">
        <v>3.0</v>
      </c>
      <c r="O1611" s="266">
        <v>1.0</v>
      </c>
      <c r="P1611" s="266" t="s">
        <v>166</v>
      </c>
      <c r="Q1611" s="266" t="s">
        <v>166</v>
      </c>
      <c r="R1611" s="497" t="s">
        <v>166</v>
      </c>
      <c r="S1611" s="497" t="s">
        <v>166</v>
      </c>
      <c r="T1611" s="496"/>
    </row>
    <row r="1612">
      <c r="A1612" s="494" t="s">
        <v>3401</v>
      </c>
      <c r="B1612" s="495" t="s">
        <v>3573</v>
      </c>
      <c r="C1612" s="452" t="s">
        <v>3378</v>
      </c>
      <c r="D1612" s="537" t="s">
        <v>3559</v>
      </c>
      <c r="E1612" s="266">
        <v>240.0</v>
      </c>
      <c r="F1612" s="266">
        <v>109.0</v>
      </c>
      <c r="G1612" s="266">
        <v>42.0</v>
      </c>
      <c r="H1612" s="266">
        <v>2.0</v>
      </c>
      <c r="I1612" s="266">
        <v>1777.0</v>
      </c>
      <c r="J1612" s="266">
        <v>15.0</v>
      </c>
      <c r="K1612" s="266">
        <v>170.0</v>
      </c>
      <c r="L1612" s="266">
        <v>8.0</v>
      </c>
      <c r="M1612" s="266">
        <v>2.0</v>
      </c>
      <c r="N1612" s="266">
        <v>3.0</v>
      </c>
      <c r="O1612" s="266">
        <v>1.0</v>
      </c>
      <c r="P1612" s="266" t="s">
        <v>166</v>
      </c>
      <c r="Q1612" s="266" t="s">
        <v>166</v>
      </c>
      <c r="R1612" s="266" t="s">
        <v>166</v>
      </c>
      <c r="S1612" s="266" t="s">
        <v>166</v>
      </c>
      <c r="T1612" s="496"/>
    </row>
    <row r="1613">
      <c r="A1613" s="494" t="s">
        <v>3401</v>
      </c>
      <c r="B1613" s="495" t="s">
        <v>3573</v>
      </c>
      <c r="C1613" s="452" t="s">
        <v>3378</v>
      </c>
      <c r="D1613" s="537" t="s">
        <v>4149</v>
      </c>
      <c r="E1613" s="266">
        <v>303.0</v>
      </c>
      <c r="F1613" s="266">
        <v>132.0</v>
      </c>
      <c r="G1613" s="266">
        <v>49.0</v>
      </c>
      <c r="H1613" s="266">
        <v>2.0</v>
      </c>
      <c r="I1613" s="266">
        <v>1777.0</v>
      </c>
      <c r="J1613" s="266">
        <v>15.0</v>
      </c>
      <c r="K1613" s="266">
        <v>170.0</v>
      </c>
      <c r="L1613" s="266">
        <v>8.0</v>
      </c>
      <c r="M1613" s="266">
        <v>3.0</v>
      </c>
      <c r="N1613" s="266">
        <v>3.0</v>
      </c>
      <c r="O1613" s="266">
        <v>1.0</v>
      </c>
      <c r="P1613" s="266" t="s">
        <v>166</v>
      </c>
      <c r="Q1613" s="266" t="s">
        <v>166</v>
      </c>
      <c r="R1613" s="266" t="s">
        <v>166</v>
      </c>
      <c r="S1613" s="266" t="s">
        <v>166</v>
      </c>
      <c r="T1613" s="496"/>
    </row>
    <row r="1614">
      <c r="A1614" s="494" t="s">
        <v>3401</v>
      </c>
      <c r="B1614" s="495" t="s">
        <v>3573</v>
      </c>
      <c r="C1614" s="452" t="s">
        <v>3378</v>
      </c>
      <c r="D1614" s="537" t="s">
        <v>3717</v>
      </c>
      <c r="E1614" s="266">
        <v>303.0</v>
      </c>
      <c r="F1614" s="266">
        <v>132.0</v>
      </c>
      <c r="G1614" s="266">
        <v>49.0</v>
      </c>
      <c r="H1614" s="266">
        <v>2.0</v>
      </c>
      <c r="I1614" s="266">
        <v>1777.0</v>
      </c>
      <c r="J1614" s="266">
        <v>15.0</v>
      </c>
      <c r="K1614" s="266">
        <v>170.0</v>
      </c>
      <c r="L1614" s="266">
        <v>8.0</v>
      </c>
      <c r="M1614" s="266">
        <v>3.0</v>
      </c>
      <c r="N1614" s="266">
        <v>3.0</v>
      </c>
      <c r="O1614" s="266">
        <v>1.0</v>
      </c>
      <c r="P1614" s="266" t="s">
        <v>166</v>
      </c>
      <c r="Q1614" s="266" t="s">
        <v>166</v>
      </c>
      <c r="R1614" s="266" t="s">
        <v>166</v>
      </c>
      <c r="S1614" s="266" t="s">
        <v>166</v>
      </c>
      <c r="T1614" s="496"/>
    </row>
    <row r="1615">
      <c r="A1615" s="494" t="s">
        <v>3401</v>
      </c>
      <c r="B1615" s="495" t="s">
        <v>3573</v>
      </c>
      <c r="C1615" s="452" t="str">
        <f t="shared" ref="C1615:C1632" si="262">HYPERLINK("http://zotac.com/","ZOTAC")</f>
        <v>ZOTAC</v>
      </c>
      <c r="D1615" s="537" t="s">
        <v>3934</v>
      </c>
      <c r="E1615" s="266">
        <v>220.0</v>
      </c>
      <c r="F1615" s="266">
        <v>118.0</v>
      </c>
      <c r="G1615" s="266">
        <v>43.0</v>
      </c>
      <c r="H1615" s="266">
        <v>2.0</v>
      </c>
      <c r="I1615" s="266">
        <v>1777.0</v>
      </c>
      <c r="J1615" s="266">
        <v>15.0</v>
      </c>
      <c r="K1615" s="266">
        <v>170.0</v>
      </c>
      <c r="L1615" s="266">
        <v>8.0</v>
      </c>
      <c r="M1615" s="266">
        <v>2.0</v>
      </c>
      <c r="N1615" s="266">
        <v>3.0</v>
      </c>
      <c r="O1615" s="266">
        <v>1.0</v>
      </c>
      <c r="P1615" s="266" t="s">
        <v>166</v>
      </c>
      <c r="Q1615" s="266" t="s">
        <v>166</v>
      </c>
      <c r="R1615" s="497" t="s">
        <v>166</v>
      </c>
      <c r="S1615" s="497" t="s">
        <v>166</v>
      </c>
      <c r="T1615" s="496"/>
    </row>
    <row r="1616">
      <c r="A1616" s="494" t="s">
        <v>3401</v>
      </c>
      <c r="B1616" s="495" t="s">
        <v>3573</v>
      </c>
      <c r="C1616" s="452" t="str">
        <f t="shared" si="262"/>
        <v>ZOTAC</v>
      </c>
      <c r="D1616" s="537" t="s">
        <v>4150</v>
      </c>
      <c r="E1616" s="266">
        <v>220.0</v>
      </c>
      <c r="F1616" s="266">
        <v>118.0</v>
      </c>
      <c r="G1616" s="266">
        <v>43.0</v>
      </c>
      <c r="H1616" s="266">
        <v>2.0</v>
      </c>
      <c r="I1616" s="266">
        <v>1777.0</v>
      </c>
      <c r="J1616" s="266">
        <v>15.0</v>
      </c>
      <c r="K1616" s="266">
        <v>170.0</v>
      </c>
      <c r="L1616" s="266">
        <v>8.0</v>
      </c>
      <c r="M1616" s="266">
        <v>2.0</v>
      </c>
      <c r="N1616" s="266">
        <v>3.0</v>
      </c>
      <c r="O1616" s="266">
        <v>1.0</v>
      </c>
      <c r="P1616" s="266" t="s">
        <v>166</v>
      </c>
      <c r="Q1616" s="266" t="s">
        <v>166</v>
      </c>
      <c r="R1616" s="497" t="s">
        <v>166</v>
      </c>
      <c r="S1616" s="497" t="s">
        <v>166</v>
      </c>
      <c r="T1616" s="494"/>
    </row>
    <row r="1617">
      <c r="A1617" s="494" t="s">
        <v>3401</v>
      </c>
      <c r="B1617" s="495" t="s">
        <v>3573</v>
      </c>
      <c r="C1617" s="452" t="str">
        <f t="shared" si="262"/>
        <v>ZOTAC</v>
      </c>
      <c r="D1617" s="537" t="s">
        <v>4151</v>
      </c>
      <c r="E1617" s="266">
        <v>220.0</v>
      </c>
      <c r="F1617" s="266">
        <v>118.0</v>
      </c>
      <c r="G1617" s="266">
        <v>43.0</v>
      </c>
      <c r="H1617" s="266">
        <v>2.0</v>
      </c>
      <c r="I1617" s="266">
        <v>1777.0</v>
      </c>
      <c r="J1617" s="266">
        <v>15.0</v>
      </c>
      <c r="K1617" s="266">
        <v>170.0</v>
      </c>
      <c r="L1617" s="266">
        <v>8.0</v>
      </c>
      <c r="M1617" s="266">
        <v>2.0</v>
      </c>
      <c r="N1617" s="266">
        <v>3.0</v>
      </c>
      <c r="O1617" s="266">
        <v>1.0</v>
      </c>
      <c r="P1617" s="266" t="s">
        <v>166</v>
      </c>
      <c r="Q1617" s="266" t="s">
        <v>166</v>
      </c>
      <c r="R1617" s="497" t="s">
        <v>166</v>
      </c>
      <c r="S1617" s="497" t="s">
        <v>166</v>
      </c>
      <c r="T1617" s="494"/>
    </row>
    <row r="1618">
      <c r="A1618" s="494" t="s">
        <v>3401</v>
      </c>
      <c r="B1618" s="495" t="s">
        <v>3573</v>
      </c>
      <c r="C1618" s="452" t="str">
        <f t="shared" si="262"/>
        <v>ZOTAC</v>
      </c>
      <c r="D1618" s="537" t="s">
        <v>4152</v>
      </c>
      <c r="E1618" s="266">
        <v>220.0</v>
      </c>
      <c r="F1618" s="266">
        <v>118.0</v>
      </c>
      <c r="G1618" s="266">
        <v>43.0</v>
      </c>
      <c r="H1618" s="266">
        <v>2.0</v>
      </c>
      <c r="I1618" s="266">
        <v>1777.0</v>
      </c>
      <c r="J1618" s="266">
        <v>15.0</v>
      </c>
      <c r="K1618" s="266">
        <v>170.0</v>
      </c>
      <c r="L1618" s="266">
        <v>8.0</v>
      </c>
      <c r="M1618" s="266">
        <v>2.0</v>
      </c>
      <c r="N1618" s="266">
        <v>3.0</v>
      </c>
      <c r="O1618" s="266">
        <v>1.0</v>
      </c>
      <c r="P1618" s="266" t="s">
        <v>166</v>
      </c>
      <c r="Q1618" s="266" t="s">
        <v>166</v>
      </c>
      <c r="R1618" s="497" t="s">
        <v>166</v>
      </c>
      <c r="S1618" s="497" t="s">
        <v>166</v>
      </c>
      <c r="T1618" s="496"/>
    </row>
    <row r="1619">
      <c r="A1619" s="494" t="s">
        <v>3401</v>
      </c>
      <c r="B1619" s="495" t="s">
        <v>3573</v>
      </c>
      <c r="C1619" s="452" t="str">
        <f t="shared" si="262"/>
        <v>ZOTAC</v>
      </c>
      <c r="D1619" s="537" t="s">
        <v>4153</v>
      </c>
      <c r="E1619" s="266">
        <v>220.0</v>
      </c>
      <c r="F1619" s="266">
        <v>118.0</v>
      </c>
      <c r="G1619" s="266">
        <v>43.0</v>
      </c>
      <c r="H1619" s="266">
        <v>2.0</v>
      </c>
      <c r="I1619" s="266">
        <v>1777.0</v>
      </c>
      <c r="J1619" s="266">
        <v>15.0</v>
      </c>
      <c r="K1619" s="266">
        <v>170.0</v>
      </c>
      <c r="L1619" s="266">
        <v>8.0</v>
      </c>
      <c r="M1619" s="266">
        <v>2.0</v>
      </c>
      <c r="N1619" s="266">
        <v>3.0</v>
      </c>
      <c r="O1619" s="266">
        <v>1.0</v>
      </c>
      <c r="P1619" s="266" t="s">
        <v>166</v>
      </c>
      <c r="Q1619" s="266" t="s">
        <v>166</v>
      </c>
      <c r="R1619" s="497" t="s">
        <v>166</v>
      </c>
      <c r="S1619" s="497" t="s">
        <v>166</v>
      </c>
      <c r="T1619" s="494"/>
    </row>
    <row r="1620">
      <c r="A1620" s="494" t="s">
        <v>3401</v>
      </c>
      <c r="B1620" s="495" t="s">
        <v>3573</v>
      </c>
      <c r="C1620" s="452" t="str">
        <f t="shared" si="262"/>
        <v>ZOTAC</v>
      </c>
      <c r="D1620" s="537" t="s">
        <v>4154</v>
      </c>
      <c r="E1620" s="266">
        <v>220.0</v>
      </c>
      <c r="F1620" s="266">
        <v>118.0</v>
      </c>
      <c r="G1620" s="266">
        <v>43.0</v>
      </c>
      <c r="H1620" s="266">
        <v>2.0</v>
      </c>
      <c r="I1620" s="266">
        <v>1777.0</v>
      </c>
      <c r="J1620" s="266">
        <v>15.0</v>
      </c>
      <c r="K1620" s="266">
        <v>170.0</v>
      </c>
      <c r="L1620" s="266">
        <v>8.0</v>
      </c>
      <c r="M1620" s="266">
        <v>2.0</v>
      </c>
      <c r="N1620" s="266">
        <v>3.0</v>
      </c>
      <c r="O1620" s="266">
        <v>1.0</v>
      </c>
      <c r="P1620" s="266" t="s">
        <v>166</v>
      </c>
      <c r="Q1620" s="266" t="s">
        <v>166</v>
      </c>
      <c r="R1620" s="497" t="s">
        <v>166</v>
      </c>
      <c r="S1620" s="497" t="s">
        <v>166</v>
      </c>
      <c r="T1620" s="494"/>
    </row>
    <row r="1621">
      <c r="A1621" s="494" t="s">
        <v>3401</v>
      </c>
      <c r="B1621" s="495" t="s">
        <v>3573</v>
      </c>
      <c r="C1621" s="452" t="str">
        <f t="shared" si="262"/>
        <v>ZOTAC</v>
      </c>
      <c r="D1621" s="537" t="s">
        <v>4155</v>
      </c>
      <c r="E1621" s="266">
        <v>278.0</v>
      </c>
      <c r="F1621" s="266">
        <v>116.0</v>
      </c>
      <c r="G1621" s="266">
        <v>41.0</v>
      </c>
      <c r="H1621" s="266">
        <v>2.0</v>
      </c>
      <c r="I1621" s="266">
        <v>1777.0</v>
      </c>
      <c r="J1621" s="266">
        <v>15.0</v>
      </c>
      <c r="K1621" s="266">
        <v>170.0</v>
      </c>
      <c r="L1621" s="266">
        <v>8.0</v>
      </c>
      <c r="M1621" s="266">
        <v>3.0</v>
      </c>
      <c r="N1621" s="266">
        <v>3.0</v>
      </c>
      <c r="O1621" s="266">
        <v>1.0</v>
      </c>
      <c r="P1621" s="266" t="s">
        <v>166</v>
      </c>
      <c r="Q1621" s="266" t="s">
        <v>166</v>
      </c>
      <c r="R1621" s="497" t="s">
        <v>166</v>
      </c>
      <c r="S1621" s="497" t="s">
        <v>166</v>
      </c>
      <c r="T1621" s="494"/>
    </row>
    <row r="1622">
      <c r="A1622" s="494" t="s">
        <v>3401</v>
      </c>
      <c r="B1622" s="495" t="s">
        <v>3573</v>
      </c>
      <c r="C1622" s="452" t="str">
        <f t="shared" si="262"/>
        <v>ZOTAC</v>
      </c>
      <c r="D1622" s="537" t="s">
        <v>4156</v>
      </c>
      <c r="E1622" s="266">
        <v>279.0</v>
      </c>
      <c r="F1622" s="266">
        <v>117.0</v>
      </c>
      <c r="G1622" s="266">
        <v>43.0</v>
      </c>
      <c r="H1622" s="266">
        <v>2.0</v>
      </c>
      <c r="I1622" s="266">
        <v>1777.0</v>
      </c>
      <c r="J1622" s="266">
        <v>15.0</v>
      </c>
      <c r="K1622" s="266">
        <v>170.0</v>
      </c>
      <c r="L1622" s="266">
        <v>8.0</v>
      </c>
      <c r="M1622" s="266">
        <v>3.0</v>
      </c>
      <c r="N1622" s="266">
        <v>3.0</v>
      </c>
      <c r="O1622" s="266">
        <v>1.0</v>
      </c>
      <c r="P1622" s="266" t="s">
        <v>166</v>
      </c>
      <c r="Q1622" s="266" t="s">
        <v>166</v>
      </c>
      <c r="R1622" s="497" t="s">
        <v>166</v>
      </c>
      <c r="S1622" s="497" t="s">
        <v>166</v>
      </c>
      <c r="T1622" s="496"/>
    </row>
    <row r="1623">
      <c r="A1623" s="494" t="s">
        <v>3401</v>
      </c>
      <c r="B1623" s="495" t="s">
        <v>3573</v>
      </c>
      <c r="C1623" s="452" t="str">
        <f t="shared" si="262"/>
        <v>ZOTAC</v>
      </c>
      <c r="D1623" s="537" t="s">
        <v>4157</v>
      </c>
      <c r="E1623" s="266">
        <v>279.0</v>
      </c>
      <c r="F1623" s="266">
        <v>117.0</v>
      </c>
      <c r="G1623" s="266">
        <v>43.0</v>
      </c>
      <c r="H1623" s="266">
        <v>2.0</v>
      </c>
      <c r="I1623" s="266">
        <v>1792.0</v>
      </c>
      <c r="J1623" s="266">
        <v>15.0</v>
      </c>
      <c r="K1623" s="266">
        <v>170.0</v>
      </c>
      <c r="L1623" s="266">
        <v>8.0</v>
      </c>
      <c r="M1623" s="266">
        <v>3.0</v>
      </c>
      <c r="N1623" s="266">
        <v>3.0</v>
      </c>
      <c r="O1623" s="266">
        <v>1.0</v>
      </c>
      <c r="P1623" s="266" t="s">
        <v>166</v>
      </c>
      <c r="Q1623" s="266" t="s">
        <v>166</v>
      </c>
      <c r="R1623" s="497" t="s">
        <v>166</v>
      </c>
      <c r="S1623" s="497" t="s">
        <v>166</v>
      </c>
      <c r="T1623" s="494"/>
    </row>
    <row r="1624">
      <c r="A1624" s="494" t="s">
        <v>3401</v>
      </c>
      <c r="B1624" s="495" t="s">
        <v>3573</v>
      </c>
      <c r="C1624" s="452" t="str">
        <f t="shared" si="262"/>
        <v>ZOTAC</v>
      </c>
      <c r="D1624" s="537" t="s">
        <v>4158</v>
      </c>
      <c r="E1624" s="266">
        <v>279.0</v>
      </c>
      <c r="F1624" s="266">
        <v>117.0</v>
      </c>
      <c r="G1624" s="266">
        <v>43.0</v>
      </c>
      <c r="H1624" s="266">
        <v>2.0</v>
      </c>
      <c r="I1624" s="266">
        <v>1792.0</v>
      </c>
      <c r="J1624" s="266">
        <v>15.0</v>
      </c>
      <c r="K1624" s="266">
        <v>170.0</v>
      </c>
      <c r="L1624" s="266">
        <v>8.0</v>
      </c>
      <c r="M1624" s="266">
        <v>3.0</v>
      </c>
      <c r="N1624" s="266">
        <v>3.0</v>
      </c>
      <c r="O1624" s="266">
        <v>1.0</v>
      </c>
      <c r="P1624" s="266" t="s">
        <v>166</v>
      </c>
      <c r="Q1624" s="266" t="s">
        <v>166</v>
      </c>
      <c r="R1624" s="497" t="s">
        <v>166</v>
      </c>
      <c r="S1624" s="497" t="s">
        <v>166</v>
      </c>
      <c r="T1624" s="494"/>
    </row>
    <row r="1625">
      <c r="A1625" s="494" t="s">
        <v>3401</v>
      </c>
      <c r="B1625" s="495" t="s">
        <v>3573</v>
      </c>
      <c r="C1625" s="452" t="str">
        <f t="shared" si="262"/>
        <v>ZOTAC</v>
      </c>
      <c r="D1625" s="537" t="s">
        <v>4159</v>
      </c>
      <c r="E1625" s="266">
        <v>279.0</v>
      </c>
      <c r="F1625" s="266">
        <v>117.0</v>
      </c>
      <c r="G1625" s="266">
        <v>43.0</v>
      </c>
      <c r="H1625" s="266">
        <v>2.0</v>
      </c>
      <c r="I1625" s="266">
        <v>1792.0</v>
      </c>
      <c r="J1625" s="266">
        <v>15.0</v>
      </c>
      <c r="K1625" s="266">
        <v>170.0</v>
      </c>
      <c r="L1625" s="266">
        <v>8.0</v>
      </c>
      <c r="M1625" s="266">
        <v>3.0</v>
      </c>
      <c r="N1625" s="266">
        <v>3.0</v>
      </c>
      <c r="O1625" s="266">
        <v>1.0</v>
      </c>
      <c r="P1625" s="266" t="s">
        <v>166</v>
      </c>
      <c r="Q1625" s="266" t="s">
        <v>166</v>
      </c>
      <c r="R1625" s="497" t="s">
        <v>166</v>
      </c>
      <c r="S1625" s="497" t="s">
        <v>166</v>
      </c>
      <c r="T1625" s="494"/>
    </row>
    <row r="1626">
      <c r="A1626" s="494" t="s">
        <v>3401</v>
      </c>
      <c r="B1626" s="495" t="s">
        <v>3573</v>
      </c>
      <c r="C1626" s="452" t="str">
        <f t="shared" si="262"/>
        <v>ZOTAC</v>
      </c>
      <c r="D1626" s="537" t="s">
        <v>4160</v>
      </c>
      <c r="E1626" s="266">
        <v>315.0</v>
      </c>
      <c r="F1626" s="266">
        <v>122.0</v>
      </c>
      <c r="G1626" s="266">
        <v>60.0</v>
      </c>
      <c r="H1626" s="266">
        <v>2.0</v>
      </c>
      <c r="I1626" s="266">
        <v>1807.0</v>
      </c>
      <c r="J1626" s="266">
        <v>15.0</v>
      </c>
      <c r="K1626" s="266">
        <v>170.0</v>
      </c>
      <c r="L1626" s="266" t="s">
        <v>3460</v>
      </c>
      <c r="M1626" s="266">
        <v>3.0</v>
      </c>
      <c r="N1626" s="266">
        <v>3.0</v>
      </c>
      <c r="O1626" s="266">
        <v>1.0</v>
      </c>
      <c r="P1626" s="266" t="s">
        <v>166</v>
      </c>
      <c r="Q1626" s="266" t="s">
        <v>166</v>
      </c>
      <c r="R1626" s="497" t="s">
        <v>166</v>
      </c>
      <c r="S1626" s="497" t="s">
        <v>166</v>
      </c>
      <c r="T1626" s="496"/>
    </row>
    <row r="1627">
      <c r="A1627" s="494" t="s">
        <v>3401</v>
      </c>
      <c r="B1627" s="495" t="s">
        <v>3573</v>
      </c>
      <c r="C1627" s="452" t="str">
        <f t="shared" si="262"/>
        <v>ZOTAC</v>
      </c>
      <c r="D1627" s="537" t="s">
        <v>4161</v>
      </c>
      <c r="E1627" s="266">
        <v>315.0</v>
      </c>
      <c r="F1627" s="266">
        <v>122.0</v>
      </c>
      <c r="G1627" s="266">
        <v>60.0</v>
      </c>
      <c r="H1627" s="266">
        <v>2.0</v>
      </c>
      <c r="I1627" s="266">
        <v>1807.0</v>
      </c>
      <c r="J1627" s="266">
        <v>15.0</v>
      </c>
      <c r="K1627" s="266">
        <v>170.0</v>
      </c>
      <c r="L1627" s="266" t="s">
        <v>3460</v>
      </c>
      <c r="M1627" s="266">
        <v>3.0</v>
      </c>
      <c r="N1627" s="266">
        <v>3.0</v>
      </c>
      <c r="O1627" s="266">
        <v>1.0</v>
      </c>
      <c r="P1627" s="266" t="s">
        <v>166</v>
      </c>
      <c r="Q1627" s="266" t="s">
        <v>166</v>
      </c>
      <c r="R1627" s="497" t="s">
        <v>166</v>
      </c>
      <c r="S1627" s="497" t="s">
        <v>166</v>
      </c>
      <c r="T1627" s="494"/>
    </row>
    <row r="1628">
      <c r="A1628" s="494" t="s">
        <v>3401</v>
      </c>
      <c r="B1628" s="495" t="s">
        <v>3573</v>
      </c>
      <c r="C1628" s="452" t="str">
        <f t="shared" si="262"/>
        <v>ZOTAC</v>
      </c>
      <c r="D1628" s="537" t="s">
        <v>4162</v>
      </c>
      <c r="E1628" s="266">
        <v>309.0</v>
      </c>
      <c r="F1628" s="266">
        <v>136.0</v>
      </c>
      <c r="G1628" s="266">
        <v>61.0</v>
      </c>
      <c r="H1628" s="266">
        <v>2.0</v>
      </c>
      <c r="I1628" s="266">
        <v>1837.0</v>
      </c>
      <c r="J1628" s="266">
        <v>15.0</v>
      </c>
      <c r="K1628" s="266">
        <v>240.0</v>
      </c>
      <c r="L1628" s="266" t="s">
        <v>3460</v>
      </c>
      <c r="M1628" s="266">
        <v>3.0</v>
      </c>
      <c r="N1628" s="266">
        <v>3.0</v>
      </c>
      <c r="O1628" s="266">
        <v>1.0</v>
      </c>
      <c r="P1628" s="266" t="s">
        <v>166</v>
      </c>
      <c r="Q1628" s="266" t="s">
        <v>166</v>
      </c>
      <c r="R1628" s="497" t="s">
        <v>166</v>
      </c>
      <c r="S1628" s="497" t="s">
        <v>166</v>
      </c>
      <c r="T1628" s="494"/>
    </row>
    <row r="1629">
      <c r="A1629" s="494" t="s">
        <v>3401</v>
      </c>
      <c r="B1629" s="495" t="s">
        <v>3573</v>
      </c>
      <c r="C1629" s="452" t="str">
        <f t="shared" si="262"/>
        <v>ZOTAC</v>
      </c>
      <c r="D1629" s="537" t="s">
        <v>4163</v>
      </c>
      <c r="E1629" s="266">
        <v>309.0</v>
      </c>
      <c r="F1629" s="266">
        <v>136.0</v>
      </c>
      <c r="G1629" s="266">
        <v>61.0</v>
      </c>
      <c r="H1629" s="266">
        <v>2.0</v>
      </c>
      <c r="I1629" s="266">
        <v>1897.0</v>
      </c>
      <c r="J1629" s="266">
        <v>15.0</v>
      </c>
      <c r="K1629" s="266">
        <v>240.0</v>
      </c>
      <c r="L1629" s="266" t="s">
        <v>3460</v>
      </c>
      <c r="M1629" s="266">
        <v>3.0</v>
      </c>
      <c r="N1629" s="266">
        <v>3.0</v>
      </c>
      <c r="O1629" s="266">
        <v>1.0</v>
      </c>
      <c r="P1629" s="266" t="s">
        <v>166</v>
      </c>
      <c r="Q1629" s="266" t="s">
        <v>166</v>
      </c>
      <c r="R1629" s="497" t="s">
        <v>166</v>
      </c>
      <c r="S1629" s="497" t="s">
        <v>166</v>
      </c>
      <c r="T1629" s="494"/>
    </row>
    <row r="1630">
      <c r="A1630" s="494" t="s">
        <v>3401</v>
      </c>
      <c r="B1630" s="495" t="s">
        <v>3573</v>
      </c>
      <c r="C1630" s="452" t="str">
        <f t="shared" si="262"/>
        <v>ZOTAC</v>
      </c>
      <c r="D1630" s="537" t="s">
        <v>4085</v>
      </c>
      <c r="E1630" s="266">
        <v>224.1</v>
      </c>
      <c r="F1630" s="266">
        <v>116.3</v>
      </c>
      <c r="G1630" s="266">
        <v>39.2</v>
      </c>
      <c r="H1630" s="266">
        <v>2.0</v>
      </c>
      <c r="I1630" s="266">
        <v>1777.0</v>
      </c>
      <c r="J1630" s="266">
        <v>15.0</v>
      </c>
      <c r="K1630" s="266">
        <v>170.0</v>
      </c>
      <c r="L1630" s="266">
        <v>8.0</v>
      </c>
      <c r="M1630" s="266">
        <v>2.0</v>
      </c>
      <c r="N1630" s="266">
        <v>3.0</v>
      </c>
      <c r="O1630" s="266">
        <v>1.0</v>
      </c>
      <c r="P1630" s="266" t="s">
        <v>166</v>
      </c>
      <c r="Q1630" s="266" t="s">
        <v>166</v>
      </c>
      <c r="R1630" s="497" t="s">
        <v>166</v>
      </c>
      <c r="S1630" s="497" t="s">
        <v>166</v>
      </c>
      <c r="T1630" s="496"/>
    </row>
    <row r="1631">
      <c r="A1631" s="494" t="s">
        <v>3401</v>
      </c>
      <c r="B1631" s="495" t="s">
        <v>3573</v>
      </c>
      <c r="C1631" s="452" t="str">
        <f t="shared" si="262"/>
        <v>ZOTAC</v>
      </c>
      <c r="D1631" s="537" t="s">
        <v>4086</v>
      </c>
      <c r="E1631" s="266">
        <v>224.1</v>
      </c>
      <c r="F1631" s="266">
        <v>116.3</v>
      </c>
      <c r="G1631" s="266">
        <v>39.2</v>
      </c>
      <c r="H1631" s="266">
        <v>2.0</v>
      </c>
      <c r="I1631" s="266">
        <v>1807.0</v>
      </c>
      <c r="J1631" s="266">
        <v>15.0</v>
      </c>
      <c r="K1631" s="266">
        <v>170.0</v>
      </c>
      <c r="L1631" s="266">
        <v>8.0</v>
      </c>
      <c r="M1631" s="266">
        <v>2.0</v>
      </c>
      <c r="N1631" s="266">
        <v>3.0</v>
      </c>
      <c r="O1631" s="266">
        <v>1.0</v>
      </c>
      <c r="P1631" s="266" t="s">
        <v>166</v>
      </c>
      <c r="Q1631" s="266" t="s">
        <v>166</v>
      </c>
      <c r="R1631" s="497" t="s">
        <v>166</v>
      </c>
      <c r="S1631" s="497" t="s">
        <v>166</v>
      </c>
      <c r="T1631" s="496"/>
    </row>
    <row r="1632">
      <c r="A1632" s="498" t="s">
        <v>3401</v>
      </c>
      <c r="B1632" s="499" t="s">
        <v>3573</v>
      </c>
      <c r="C1632" s="500" t="str">
        <f t="shared" si="262"/>
        <v>ZOTAC</v>
      </c>
      <c r="D1632" s="545" t="s">
        <v>4164</v>
      </c>
      <c r="E1632" s="501">
        <v>231.9</v>
      </c>
      <c r="F1632" s="501">
        <v>141.3</v>
      </c>
      <c r="G1632" s="501">
        <v>41.5</v>
      </c>
      <c r="H1632" s="501">
        <v>2.0</v>
      </c>
      <c r="I1632" s="501">
        <v>1837.0</v>
      </c>
      <c r="J1632" s="501">
        <v>15.0</v>
      </c>
      <c r="K1632" s="501">
        <v>170.0</v>
      </c>
      <c r="L1632" s="501" t="s">
        <v>3460</v>
      </c>
      <c r="M1632" s="501">
        <v>2.0</v>
      </c>
      <c r="N1632" s="501">
        <v>3.0</v>
      </c>
      <c r="O1632" s="501">
        <v>1.0</v>
      </c>
      <c r="P1632" s="501" t="s">
        <v>166</v>
      </c>
      <c r="Q1632" s="501" t="s">
        <v>166</v>
      </c>
      <c r="R1632" s="502" t="s">
        <v>166</v>
      </c>
      <c r="S1632" s="502" t="s">
        <v>166</v>
      </c>
      <c r="T1632" s="503"/>
    </row>
    <row r="1633">
      <c r="A1633" s="504" t="s">
        <v>3401</v>
      </c>
      <c r="B1633" s="505" t="s">
        <v>3580</v>
      </c>
      <c r="C1633" s="174" t="s">
        <v>3467</v>
      </c>
      <c r="D1633" s="537" t="s">
        <v>3884</v>
      </c>
      <c r="E1633" s="266">
        <v>251.0</v>
      </c>
      <c r="F1633" s="266">
        <v>112.0</v>
      </c>
      <c r="G1633" s="266">
        <v>42.0</v>
      </c>
      <c r="H1633" s="266">
        <v>2.0</v>
      </c>
      <c r="I1633" s="266">
        <v>1665.0</v>
      </c>
      <c r="J1633" s="266">
        <v>14.0</v>
      </c>
      <c r="K1633" s="507">
        <v>200.0</v>
      </c>
      <c r="L1633" s="266">
        <v>8.0</v>
      </c>
      <c r="M1633" s="266">
        <v>2.0</v>
      </c>
      <c r="N1633" s="266">
        <v>3.0</v>
      </c>
      <c r="O1633" s="266">
        <v>1.0</v>
      </c>
      <c r="P1633" s="266" t="s">
        <v>166</v>
      </c>
      <c r="Q1633" s="266" t="s">
        <v>166</v>
      </c>
      <c r="R1633" s="497" t="s">
        <v>166</v>
      </c>
      <c r="S1633" s="497" t="s">
        <v>166</v>
      </c>
      <c r="T1633" s="496"/>
    </row>
    <row r="1634">
      <c r="A1634" s="504" t="s">
        <v>3401</v>
      </c>
      <c r="B1634" s="505" t="s">
        <v>3580</v>
      </c>
      <c r="C1634" s="282" t="str">
        <f t="shared" ref="C1634:C1649" si="263">HYPERLINK("https://www.asus.com/","Asus")</f>
        <v>Asus</v>
      </c>
      <c r="D1634" s="544" t="s">
        <v>3372</v>
      </c>
      <c r="E1634" s="507">
        <v>269.0</v>
      </c>
      <c r="F1634" s="507">
        <v>136.0</v>
      </c>
      <c r="G1634" s="507">
        <v>52.0</v>
      </c>
      <c r="H1634" s="507">
        <v>2.0</v>
      </c>
      <c r="I1634" s="507">
        <v>1695.0</v>
      </c>
      <c r="J1634" s="507">
        <v>14.0</v>
      </c>
      <c r="K1634" s="507">
        <v>200.0</v>
      </c>
      <c r="L1634" s="507">
        <v>8.0</v>
      </c>
      <c r="M1634" s="507">
        <v>2.0</v>
      </c>
      <c r="N1634" s="507">
        <v>3.0</v>
      </c>
      <c r="O1634" s="507">
        <v>2.0</v>
      </c>
      <c r="P1634" s="507" t="s">
        <v>166</v>
      </c>
      <c r="Q1634" s="507" t="s">
        <v>166</v>
      </c>
      <c r="R1634" s="497" t="s">
        <v>166</v>
      </c>
      <c r="S1634" s="497" t="s">
        <v>166</v>
      </c>
      <c r="T1634" s="509"/>
    </row>
    <row r="1635">
      <c r="A1635" s="494" t="s">
        <v>3401</v>
      </c>
      <c r="B1635" s="495" t="s">
        <v>3580</v>
      </c>
      <c r="C1635" s="174" t="str">
        <f t="shared" si="263"/>
        <v>Asus</v>
      </c>
      <c r="D1635" s="537" t="s">
        <v>3381</v>
      </c>
      <c r="E1635" s="266">
        <v>269.0</v>
      </c>
      <c r="F1635" s="266">
        <v>136.0</v>
      </c>
      <c r="G1635" s="266">
        <v>52.0</v>
      </c>
      <c r="H1635" s="266">
        <v>2.0</v>
      </c>
      <c r="I1635" s="266">
        <v>1740.0</v>
      </c>
      <c r="J1635" s="266">
        <v>14.0</v>
      </c>
      <c r="K1635" s="266">
        <v>200.0</v>
      </c>
      <c r="L1635" s="266">
        <v>8.0</v>
      </c>
      <c r="M1635" s="266">
        <v>2.0</v>
      </c>
      <c r="N1635" s="266">
        <v>3.0</v>
      </c>
      <c r="O1635" s="266">
        <v>2.0</v>
      </c>
      <c r="P1635" s="266" t="s">
        <v>166</v>
      </c>
      <c r="Q1635" s="266" t="s">
        <v>166</v>
      </c>
      <c r="R1635" s="497" t="s">
        <v>166</v>
      </c>
      <c r="S1635" s="497" t="s">
        <v>166</v>
      </c>
      <c r="T1635" s="496"/>
    </row>
    <row r="1636">
      <c r="A1636" s="504" t="s">
        <v>3401</v>
      </c>
      <c r="B1636" s="505" t="s">
        <v>3580</v>
      </c>
      <c r="C1636" s="282" t="str">
        <f t="shared" si="263"/>
        <v>Asus</v>
      </c>
      <c r="D1636" s="544" t="s">
        <v>3476</v>
      </c>
      <c r="E1636" s="507">
        <v>269.0</v>
      </c>
      <c r="F1636" s="507">
        <v>136.0</v>
      </c>
      <c r="G1636" s="507">
        <v>52.0</v>
      </c>
      <c r="H1636" s="507">
        <v>2.0</v>
      </c>
      <c r="I1636" s="507">
        <v>1695.0</v>
      </c>
      <c r="J1636" s="507">
        <v>14.0</v>
      </c>
      <c r="K1636" s="507">
        <v>200.0</v>
      </c>
      <c r="L1636" s="507">
        <v>8.0</v>
      </c>
      <c r="M1636" s="507">
        <v>2.0</v>
      </c>
      <c r="N1636" s="507">
        <v>3.0</v>
      </c>
      <c r="O1636" s="507">
        <v>2.0</v>
      </c>
      <c r="P1636" s="507" t="s">
        <v>166</v>
      </c>
      <c r="Q1636" s="507" t="s">
        <v>166</v>
      </c>
      <c r="R1636" s="497" t="s">
        <v>166</v>
      </c>
      <c r="S1636" s="497" t="s">
        <v>166</v>
      </c>
      <c r="T1636" s="494"/>
    </row>
    <row r="1637">
      <c r="A1637" s="494" t="s">
        <v>3401</v>
      </c>
      <c r="B1637" s="495" t="s">
        <v>3580</v>
      </c>
      <c r="C1637" s="174" t="str">
        <f t="shared" si="263"/>
        <v>Asus</v>
      </c>
      <c r="D1637" s="537" t="s">
        <v>3574</v>
      </c>
      <c r="E1637" s="266">
        <v>269.0</v>
      </c>
      <c r="F1637" s="266">
        <v>136.0</v>
      </c>
      <c r="G1637" s="266">
        <v>52.0</v>
      </c>
      <c r="H1637" s="266">
        <v>2.0</v>
      </c>
      <c r="I1637" s="266">
        <v>1740.0</v>
      </c>
      <c r="J1637" s="266">
        <v>14.0</v>
      </c>
      <c r="K1637" s="266">
        <v>200.0</v>
      </c>
      <c r="L1637" s="266">
        <v>8.0</v>
      </c>
      <c r="M1637" s="266">
        <v>2.0</v>
      </c>
      <c r="N1637" s="266">
        <v>3.0</v>
      </c>
      <c r="O1637" s="266">
        <v>2.0</v>
      </c>
      <c r="P1637" s="266" t="s">
        <v>166</v>
      </c>
      <c r="Q1637" s="266" t="s">
        <v>166</v>
      </c>
      <c r="R1637" s="497" t="s">
        <v>166</v>
      </c>
      <c r="S1637" s="497" t="s">
        <v>166</v>
      </c>
      <c r="T1637" s="494"/>
    </row>
    <row r="1638">
      <c r="A1638" s="494" t="s">
        <v>3401</v>
      </c>
      <c r="B1638" s="495" t="s">
        <v>3580</v>
      </c>
      <c r="C1638" s="174" t="str">
        <f t="shared" si="263"/>
        <v>Asus</v>
      </c>
      <c r="D1638" s="537" t="s">
        <v>4090</v>
      </c>
      <c r="E1638" s="266">
        <v>275.0</v>
      </c>
      <c r="F1638" s="266">
        <v>135.0</v>
      </c>
      <c r="G1638" s="266">
        <v>54.0</v>
      </c>
      <c r="H1638" s="266">
        <v>2.0</v>
      </c>
      <c r="I1638" s="266">
        <v>1695.0</v>
      </c>
      <c r="J1638" s="266">
        <v>14.0</v>
      </c>
      <c r="K1638" s="266">
        <v>200.0</v>
      </c>
      <c r="L1638" s="266">
        <v>8.0</v>
      </c>
      <c r="M1638" s="266">
        <v>2.0</v>
      </c>
      <c r="N1638" s="266">
        <v>3.0</v>
      </c>
      <c r="O1638" s="266">
        <v>2.0</v>
      </c>
      <c r="P1638" s="266" t="s">
        <v>166</v>
      </c>
      <c r="Q1638" s="266" t="s">
        <v>166</v>
      </c>
      <c r="R1638" s="497" t="s">
        <v>166</v>
      </c>
      <c r="S1638" s="497" t="s">
        <v>166</v>
      </c>
      <c r="T1638" s="496"/>
    </row>
    <row r="1639">
      <c r="A1639" s="494" t="s">
        <v>3401</v>
      </c>
      <c r="B1639" s="495" t="s">
        <v>3580</v>
      </c>
      <c r="C1639" s="174" t="str">
        <f t="shared" si="263"/>
        <v>Asus</v>
      </c>
      <c r="D1639" s="537" t="s">
        <v>4091</v>
      </c>
      <c r="E1639" s="266">
        <v>275.0</v>
      </c>
      <c r="F1639" s="266">
        <v>135.0</v>
      </c>
      <c r="G1639" s="266">
        <v>54.0</v>
      </c>
      <c r="H1639" s="266">
        <v>2.0</v>
      </c>
      <c r="I1639" s="266">
        <v>1695.0</v>
      </c>
      <c r="J1639" s="266">
        <v>14.0</v>
      </c>
      <c r="K1639" s="266">
        <v>200.0</v>
      </c>
      <c r="L1639" s="266">
        <v>8.0</v>
      </c>
      <c r="M1639" s="266">
        <v>2.0</v>
      </c>
      <c r="N1639" s="266">
        <v>3.0</v>
      </c>
      <c r="O1639" s="266">
        <v>2.0</v>
      </c>
      <c r="P1639" s="266" t="s">
        <v>166</v>
      </c>
      <c r="Q1639" s="266" t="s">
        <v>166</v>
      </c>
      <c r="R1639" s="497" t="s">
        <v>166</v>
      </c>
      <c r="S1639" s="497" t="s">
        <v>166</v>
      </c>
      <c r="T1639" s="494"/>
    </row>
    <row r="1640">
      <c r="A1640" s="494" t="s">
        <v>3401</v>
      </c>
      <c r="B1640" s="495" t="s">
        <v>3580</v>
      </c>
      <c r="C1640" s="174" t="str">
        <f t="shared" si="263"/>
        <v>Asus</v>
      </c>
      <c r="D1640" s="537" t="s">
        <v>4092</v>
      </c>
      <c r="E1640" s="266">
        <v>275.0</v>
      </c>
      <c r="F1640" s="266">
        <v>135.0</v>
      </c>
      <c r="G1640" s="266">
        <v>54.0</v>
      </c>
      <c r="H1640" s="266">
        <v>2.0</v>
      </c>
      <c r="I1640" s="266">
        <v>1785.0</v>
      </c>
      <c r="J1640" s="266">
        <v>14.0</v>
      </c>
      <c r="K1640" s="266">
        <v>200.0</v>
      </c>
      <c r="L1640" s="266">
        <v>8.0</v>
      </c>
      <c r="M1640" s="266">
        <v>2.0</v>
      </c>
      <c r="N1640" s="266">
        <v>3.0</v>
      </c>
      <c r="O1640" s="266">
        <v>2.0</v>
      </c>
      <c r="P1640" s="266" t="s">
        <v>166</v>
      </c>
      <c r="Q1640" s="266" t="s">
        <v>166</v>
      </c>
      <c r="R1640" s="497" t="s">
        <v>166</v>
      </c>
      <c r="S1640" s="497" t="s">
        <v>166</v>
      </c>
      <c r="T1640" s="496"/>
    </row>
    <row r="1641">
      <c r="A1641" s="494" t="s">
        <v>3401</v>
      </c>
      <c r="B1641" s="495" t="s">
        <v>3580</v>
      </c>
      <c r="C1641" s="174" t="str">
        <f t="shared" si="263"/>
        <v>Asus</v>
      </c>
      <c r="D1641" s="537" t="s">
        <v>4093</v>
      </c>
      <c r="E1641" s="266">
        <v>275.0</v>
      </c>
      <c r="F1641" s="266">
        <v>135.0</v>
      </c>
      <c r="G1641" s="266">
        <v>54.0</v>
      </c>
      <c r="H1641" s="266">
        <v>2.0</v>
      </c>
      <c r="I1641" s="266">
        <v>1785.0</v>
      </c>
      <c r="J1641" s="266">
        <v>14.0</v>
      </c>
      <c r="K1641" s="266">
        <v>200.0</v>
      </c>
      <c r="L1641" s="266">
        <v>8.0</v>
      </c>
      <c r="M1641" s="266">
        <v>2.0</v>
      </c>
      <c r="N1641" s="266">
        <v>3.0</v>
      </c>
      <c r="O1641" s="266">
        <v>2.0</v>
      </c>
      <c r="P1641" s="266" t="s">
        <v>166</v>
      </c>
      <c r="Q1641" s="266" t="s">
        <v>166</v>
      </c>
      <c r="R1641" s="497" t="s">
        <v>166</v>
      </c>
      <c r="S1641" s="497" t="s">
        <v>166</v>
      </c>
      <c r="T1641" s="494"/>
    </row>
    <row r="1642">
      <c r="A1642" s="494" t="s">
        <v>3401</v>
      </c>
      <c r="B1642" s="495" t="s">
        <v>3580</v>
      </c>
      <c r="C1642" s="174" t="str">
        <f t="shared" si="263"/>
        <v>Asus</v>
      </c>
      <c r="D1642" s="537" t="s">
        <v>3477</v>
      </c>
      <c r="E1642" s="266">
        <v>301.0</v>
      </c>
      <c r="F1642" s="266">
        <v>143.0</v>
      </c>
      <c r="G1642" s="266">
        <v>54.0</v>
      </c>
      <c r="H1642" s="266">
        <v>2.0</v>
      </c>
      <c r="I1642" s="266">
        <v>1695.0</v>
      </c>
      <c r="J1642" s="266">
        <v>14.0</v>
      </c>
      <c r="K1642" s="266">
        <v>200.0</v>
      </c>
      <c r="L1642" s="266">
        <v>8.0</v>
      </c>
      <c r="M1642" s="266">
        <v>3.0</v>
      </c>
      <c r="N1642" s="266">
        <v>3.0</v>
      </c>
      <c r="O1642" s="266">
        <v>2.0</v>
      </c>
      <c r="P1642" s="266" t="s">
        <v>166</v>
      </c>
      <c r="Q1642" s="266" t="s">
        <v>166</v>
      </c>
      <c r="R1642" s="497" t="s">
        <v>166</v>
      </c>
      <c r="S1642" s="497" t="s">
        <v>166</v>
      </c>
      <c r="T1642" s="496"/>
    </row>
    <row r="1643">
      <c r="A1643" s="494" t="s">
        <v>3401</v>
      </c>
      <c r="B1643" s="495" t="s">
        <v>3580</v>
      </c>
      <c r="C1643" s="174" t="str">
        <f t="shared" si="263"/>
        <v>Asus</v>
      </c>
      <c r="D1643" s="537" t="s">
        <v>3479</v>
      </c>
      <c r="E1643" s="266">
        <v>301.0</v>
      </c>
      <c r="F1643" s="266">
        <v>143.0</v>
      </c>
      <c r="G1643" s="266">
        <v>54.0</v>
      </c>
      <c r="H1643" s="266">
        <v>2.0</v>
      </c>
      <c r="I1643" s="266">
        <v>1695.0</v>
      </c>
      <c r="J1643" s="266">
        <v>14.0</v>
      </c>
      <c r="K1643" s="266">
        <v>200.0</v>
      </c>
      <c r="L1643" s="266">
        <v>8.0</v>
      </c>
      <c r="M1643" s="266">
        <v>3.0</v>
      </c>
      <c r="N1643" s="266">
        <v>3.0</v>
      </c>
      <c r="O1643" s="266">
        <v>2.0</v>
      </c>
      <c r="P1643" s="266" t="s">
        <v>166</v>
      </c>
      <c r="Q1643" s="266" t="s">
        <v>166</v>
      </c>
      <c r="R1643" s="497" t="s">
        <v>166</v>
      </c>
      <c r="S1643" s="497" t="s">
        <v>166</v>
      </c>
      <c r="T1643" s="494"/>
    </row>
    <row r="1644">
      <c r="A1644" s="494" t="s">
        <v>3401</v>
      </c>
      <c r="B1644" s="495" t="s">
        <v>3580</v>
      </c>
      <c r="C1644" s="174" t="str">
        <f t="shared" si="263"/>
        <v>Asus</v>
      </c>
      <c r="D1644" s="537" t="s">
        <v>3478</v>
      </c>
      <c r="E1644" s="266">
        <v>301.0</v>
      </c>
      <c r="F1644" s="266">
        <v>143.0</v>
      </c>
      <c r="G1644" s="266">
        <v>54.0</v>
      </c>
      <c r="H1644" s="266">
        <v>2.0</v>
      </c>
      <c r="I1644" s="266">
        <v>1785.0</v>
      </c>
      <c r="J1644" s="266">
        <v>14.0</v>
      </c>
      <c r="K1644" s="266">
        <v>200.0</v>
      </c>
      <c r="L1644" s="266">
        <v>8.0</v>
      </c>
      <c r="M1644" s="266">
        <v>3.0</v>
      </c>
      <c r="N1644" s="266">
        <v>3.0</v>
      </c>
      <c r="O1644" s="266">
        <v>2.0</v>
      </c>
      <c r="P1644" s="266" t="s">
        <v>166</v>
      </c>
      <c r="Q1644" s="266" t="s">
        <v>166</v>
      </c>
      <c r="R1644" s="497" t="s">
        <v>166</v>
      </c>
      <c r="S1644" s="497" t="s">
        <v>166</v>
      </c>
      <c r="T1644" s="496"/>
    </row>
    <row r="1645">
      <c r="A1645" s="494" t="s">
        <v>3401</v>
      </c>
      <c r="B1645" s="495" t="s">
        <v>3580</v>
      </c>
      <c r="C1645" s="174" t="str">
        <f t="shared" si="263"/>
        <v>Asus</v>
      </c>
      <c r="D1645" s="537" t="s">
        <v>4094</v>
      </c>
      <c r="E1645" s="266">
        <v>301.0</v>
      </c>
      <c r="F1645" s="266">
        <v>143.0</v>
      </c>
      <c r="G1645" s="266">
        <v>54.0</v>
      </c>
      <c r="H1645" s="266">
        <v>2.0</v>
      </c>
      <c r="I1645" s="266">
        <v>1785.0</v>
      </c>
      <c r="J1645" s="266">
        <v>14.0</v>
      </c>
      <c r="K1645" s="266">
        <v>200.0</v>
      </c>
      <c r="L1645" s="266">
        <v>8.0</v>
      </c>
      <c r="M1645" s="266">
        <v>3.0</v>
      </c>
      <c r="N1645" s="266">
        <v>3.0</v>
      </c>
      <c r="O1645" s="266">
        <v>2.0</v>
      </c>
      <c r="P1645" s="266" t="s">
        <v>166</v>
      </c>
      <c r="Q1645" s="266" t="s">
        <v>166</v>
      </c>
      <c r="R1645" s="497" t="s">
        <v>166</v>
      </c>
      <c r="S1645" s="497" t="s">
        <v>166</v>
      </c>
      <c r="T1645" s="494"/>
    </row>
    <row r="1646">
      <c r="A1646" s="494" t="s">
        <v>3401</v>
      </c>
      <c r="B1646" s="495" t="s">
        <v>3580</v>
      </c>
      <c r="C1646" s="174" t="str">
        <f t="shared" si="263"/>
        <v>Asus</v>
      </c>
      <c r="D1646" s="537" t="s">
        <v>3631</v>
      </c>
      <c r="E1646" s="266">
        <v>318.5</v>
      </c>
      <c r="F1646" s="266">
        <v>140.1</v>
      </c>
      <c r="G1646" s="266">
        <v>57.8</v>
      </c>
      <c r="H1646" s="266">
        <v>2.0</v>
      </c>
      <c r="I1646" s="266">
        <v>1695.0</v>
      </c>
      <c r="J1646" s="266">
        <v>14.0</v>
      </c>
      <c r="K1646" s="266">
        <v>200.0</v>
      </c>
      <c r="L1646" s="266" t="s">
        <v>3460</v>
      </c>
      <c r="M1646" s="266">
        <v>3.0</v>
      </c>
      <c r="N1646" s="266">
        <v>3.0</v>
      </c>
      <c r="O1646" s="266">
        <v>2.0</v>
      </c>
      <c r="P1646" s="266" t="s">
        <v>166</v>
      </c>
      <c r="Q1646" s="266" t="s">
        <v>166</v>
      </c>
      <c r="R1646" s="497" t="s">
        <v>166</v>
      </c>
      <c r="S1646" s="497" t="s">
        <v>166</v>
      </c>
      <c r="T1646" s="496"/>
    </row>
    <row r="1647">
      <c r="A1647" s="494" t="s">
        <v>3401</v>
      </c>
      <c r="B1647" s="495" t="s">
        <v>3580</v>
      </c>
      <c r="C1647" s="174" t="str">
        <f t="shared" si="263"/>
        <v>Asus</v>
      </c>
      <c r="D1647" s="537" t="s">
        <v>4095</v>
      </c>
      <c r="E1647" s="266">
        <v>318.5</v>
      </c>
      <c r="F1647" s="266">
        <v>140.1</v>
      </c>
      <c r="G1647" s="266">
        <v>57.8</v>
      </c>
      <c r="H1647" s="266">
        <v>2.0</v>
      </c>
      <c r="I1647" s="266">
        <v>1695.0</v>
      </c>
      <c r="J1647" s="266">
        <v>14.0</v>
      </c>
      <c r="K1647" s="266">
        <v>200.0</v>
      </c>
      <c r="L1647" s="266" t="s">
        <v>3460</v>
      </c>
      <c r="M1647" s="266">
        <v>3.0</v>
      </c>
      <c r="N1647" s="266">
        <v>3.0</v>
      </c>
      <c r="O1647" s="266">
        <v>2.0</v>
      </c>
      <c r="P1647" s="266" t="s">
        <v>166</v>
      </c>
      <c r="Q1647" s="266" t="s">
        <v>166</v>
      </c>
      <c r="R1647" s="497" t="s">
        <v>166</v>
      </c>
      <c r="S1647" s="497" t="s">
        <v>166</v>
      </c>
      <c r="T1647" s="494"/>
    </row>
    <row r="1648">
      <c r="A1648" s="494" t="s">
        <v>3401</v>
      </c>
      <c r="B1648" s="495" t="s">
        <v>3580</v>
      </c>
      <c r="C1648" s="174" t="str">
        <f t="shared" si="263"/>
        <v>Asus</v>
      </c>
      <c r="D1648" s="537" t="s">
        <v>3643</v>
      </c>
      <c r="E1648" s="266">
        <v>318.5</v>
      </c>
      <c r="F1648" s="266">
        <v>140.1</v>
      </c>
      <c r="G1648" s="266">
        <v>57.8</v>
      </c>
      <c r="H1648" s="266">
        <v>2.0</v>
      </c>
      <c r="I1648" s="266">
        <v>1890.0</v>
      </c>
      <c r="J1648" s="266">
        <v>14.0</v>
      </c>
      <c r="K1648" s="266">
        <v>240.0</v>
      </c>
      <c r="L1648" s="266" t="s">
        <v>3460</v>
      </c>
      <c r="M1648" s="266">
        <v>3.0</v>
      </c>
      <c r="N1648" s="266">
        <v>3.0</v>
      </c>
      <c r="O1648" s="266">
        <v>2.0</v>
      </c>
      <c r="P1648" s="266" t="s">
        <v>166</v>
      </c>
      <c r="Q1648" s="266" t="s">
        <v>166</v>
      </c>
      <c r="R1648" s="497" t="s">
        <v>166</v>
      </c>
      <c r="S1648" s="497" t="s">
        <v>166</v>
      </c>
      <c r="T1648" s="496"/>
    </row>
    <row r="1649">
      <c r="A1649" s="494" t="s">
        <v>3401</v>
      </c>
      <c r="B1649" s="495" t="s">
        <v>3580</v>
      </c>
      <c r="C1649" s="174" t="str">
        <f t="shared" si="263"/>
        <v>Asus</v>
      </c>
      <c r="D1649" s="537" t="s">
        <v>4165</v>
      </c>
      <c r="E1649" s="266">
        <v>318.5</v>
      </c>
      <c r="F1649" s="266">
        <v>140.1</v>
      </c>
      <c r="G1649" s="266">
        <v>57.8</v>
      </c>
      <c r="H1649" s="266">
        <v>2.0</v>
      </c>
      <c r="I1649" s="266">
        <v>1890.0</v>
      </c>
      <c r="J1649" s="266">
        <v>14.0</v>
      </c>
      <c r="K1649" s="266">
        <v>240.0</v>
      </c>
      <c r="L1649" s="266" t="s">
        <v>3460</v>
      </c>
      <c r="M1649" s="266">
        <v>3.0</v>
      </c>
      <c r="N1649" s="266">
        <v>3.0</v>
      </c>
      <c r="O1649" s="266">
        <v>2.0</v>
      </c>
      <c r="P1649" s="266" t="s">
        <v>166</v>
      </c>
      <c r="Q1649" s="266" t="s">
        <v>166</v>
      </c>
      <c r="R1649" s="497" t="s">
        <v>166</v>
      </c>
      <c r="S1649" s="497" t="s">
        <v>166</v>
      </c>
      <c r="T1649" s="494"/>
    </row>
    <row r="1650">
      <c r="A1650" s="494" t="s">
        <v>3401</v>
      </c>
      <c r="B1650" s="495" t="s">
        <v>3580</v>
      </c>
      <c r="C1650" s="452" t="s">
        <v>3575</v>
      </c>
      <c r="D1650" s="537" t="s">
        <v>4166</v>
      </c>
      <c r="E1650" s="266">
        <f>235-12</f>
        <v>223</v>
      </c>
      <c r="F1650" s="266">
        <f>132-15</f>
        <v>117</v>
      </c>
      <c r="G1650" s="266">
        <v>41.0</v>
      </c>
      <c r="H1650" s="266">
        <v>2.0</v>
      </c>
      <c r="I1650" s="266">
        <v>1665.0</v>
      </c>
      <c r="J1650" s="266">
        <v>14.0</v>
      </c>
      <c r="K1650" s="266">
        <v>200.0</v>
      </c>
      <c r="L1650" s="266">
        <v>8.0</v>
      </c>
      <c r="M1650" s="266">
        <v>2.0</v>
      </c>
      <c r="N1650" s="266">
        <v>3.0</v>
      </c>
      <c r="O1650" s="266">
        <v>1.0</v>
      </c>
      <c r="P1650" s="266" t="s">
        <v>166</v>
      </c>
      <c r="Q1650" s="266" t="s">
        <v>166</v>
      </c>
      <c r="R1650" s="497" t="s">
        <v>166</v>
      </c>
      <c r="S1650" s="497" t="s">
        <v>166</v>
      </c>
      <c r="T1650" s="494"/>
    </row>
    <row r="1651">
      <c r="A1651" s="494" t="s">
        <v>3401</v>
      </c>
      <c r="B1651" s="495" t="s">
        <v>3580</v>
      </c>
      <c r="C1651" s="452" t="s">
        <v>3575</v>
      </c>
      <c r="D1651" s="537" t="s">
        <v>4096</v>
      </c>
      <c r="E1651" s="266">
        <f t="shared" ref="E1651:E1652" si="264">253-12</f>
        <v>241</v>
      </c>
      <c r="F1651" s="266">
        <f t="shared" ref="F1651:F1652" si="265">129-15</f>
        <v>114</v>
      </c>
      <c r="G1651" s="266">
        <v>41.0</v>
      </c>
      <c r="H1651" s="266">
        <v>2.0</v>
      </c>
      <c r="I1651" s="266">
        <v>1665.0</v>
      </c>
      <c r="J1651" s="266">
        <v>14.0</v>
      </c>
      <c r="K1651" s="266">
        <v>200.0</v>
      </c>
      <c r="L1651" s="266">
        <v>8.0</v>
      </c>
      <c r="M1651" s="266">
        <v>2.0</v>
      </c>
      <c r="N1651" s="266">
        <v>3.0</v>
      </c>
      <c r="O1651" s="266">
        <v>1.0</v>
      </c>
      <c r="P1651" s="266" t="s">
        <v>166</v>
      </c>
      <c r="Q1651" s="266" t="s">
        <v>166</v>
      </c>
      <c r="R1651" s="497" t="s">
        <v>166</v>
      </c>
      <c r="S1651" s="497" t="s">
        <v>166</v>
      </c>
      <c r="T1651" s="496"/>
    </row>
    <row r="1652">
      <c r="A1652" s="494" t="s">
        <v>3401</v>
      </c>
      <c r="B1652" s="495" t="s">
        <v>3580</v>
      </c>
      <c r="C1652" s="452" t="s">
        <v>3575</v>
      </c>
      <c r="D1652" s="537" t="s">
        <v>4167</v>
      </c>
      <c r="E1652" s="266">
        <f t="shared" si="264"/>
        <v>241</v>
      </c>
      <c r="F1652" s="266">
        <f t="shared" si="265"/>
        <v>114</v>
      </c>
      <c r="G1652" s="266">
        <v>41.0</v>
      </c>
      <c r="H1652" s="266">
        <v>2.0</v>
      </c>
      <c r="I1652" s="266">
        <v>1665.0</v>
      </c>
      <c r="J1652" s="266">
        <v>14.0</v>
      </c>
      <c r="K1652" s="266">
        <v>200.0</v>
      </c>
      <c r="L1652" s="266">
        <v>8.0</v>
      </c>
      <c r="M1652" s="266">
        <v>2.0</v>
      </c>
      <c r="N1652" s="266">
        <v>3.0</v>
      </c>
      <c r="O1652" s="266">
        <v>1.0</v>
      </c>
      <c r="P1652" s="266" t="s">
        <v>166</v>
      </c>
      <c r="Q1652" s="266" t="s">
        <v>166</v>
      </c>
      <c r="R1652" s="497" t="s">
        <v>166</v>
      </c>
      <c r="S1652" s="497" t="s">
        <v>166</v>
      </c>
      <c r="T1652" s="494"/>
    </row>
    <row r="1653">
      <c r="A1653" s="494" t="s">
        <v>3401</v>
      </c>
      <c r="B1653" s="495" t="s">
        <v>3580</v>
      </c>
      <c r="C1653" s="452" t="s">
        <v>3575</v>
      </c>
      <c r="D1653" s="537" t="s">
        <v>3870</v>
      </c>
      <c r="E1653" s="266">
        <f t="shared" ref="E1653:E1654" si="266">310-12</f>
        <v>298</v>
      </c>
      <c r="F1653" s="266">
        <f t="shared" ref="F1653:F1654" si="267">130-15</f>
        <v>115</v>
      </c>
      <c r="G1653" s="266">
        <v>53.0</v>
      </c>
      <c r="H1653" s="266">
        <v>2.0</v>
      </c>
      <c r="I1653" s="266">
        <v>1665.0</v>
      </c>
      <c r="J1653" s="266">
        <v>14.0</v>
      </c>
      <c r="K1653" s="266">
        <v>200.0</v>
      </c>
      <c r="L1653" s="266">
        <v>8.0</v>
      </c>
      <c r="M1653" s="266">
        <v>3.0</v>
      </c>
      <c r="N1653" s="266">
        <v>3.0</v>
      </c>
      <c r="O1653" s="266">
        <v>1.0</v>
      </c>
      <c r="P1653" s="266" t="s">
        <v>166</v>
      </c>
      <c r="Q1653" s="266" t="s">
        <v>166</v>
      </c>
      <c r="R1653" s="497" t="s">
        <v>166</v>
      </c>
      <c r="S1653" s="497" t="s">
        <v>166</v>
      </c>
      <c r="T1653" s="496"/>
    </row>
    <row r="1654">
      <c r="A1654" s="494" t="s">
        <v>3401</v>
      </c>
      <c r="B1654" s="495" t="s">
        <v>3580</v>
      </c>
      <c r="C1654" s="452" t="s">
        <v>3575</v>
      </c>
      <c r="D1654" s="537" t="s">
        <v>4168</v>
      </c>
      <c r="E1654" s="266">
        <f t="shared" si="266"/>
        <v>298</v>
      </c>
      <c r="F1654" s="266">
        <f t="shared" si="267"/>
        <v>115</v>
      </c>
      <c r="G1654" s="266">
        <v>53.0</v>
      </c>
      <c r="H1654" s="266">
        <v>2.0</v>
      </c>
      <c r="I1654" s="266">
        <v>1665.0</v>
      </c>
      <c r="J1654" s="266">
        <v>14.0</v>
      </c>
      <c r="K1654" s="266">
        <v>200.0</v>
      </c>
      <c r="L1654" s="266">
        <v>8.0</v>
      </c>
      <c r="M1654" s="266">
        <v>3.0</v>
      </c>
      <c r="N1654" s="266">
        <v>3.0</v>
      </c>
      <c r="O1654" s="266">
        <v>1.0</v>
      </c>
      <c r="P1654" s="266" t="s">
        <v>166</v>
      </c>
      <c r="Q1654" s="266" t="s">
        <v>166</v>
      </c>
      <c r="R1654" s="497" t="s">
        <v>166</v>
      </c>
      <c r="S1654" s="497" t="s">
        <v>166</v>
      </c>
      <c r="T1654" s="494"/>
    </row>
    <row r="1655">
      <c r="A1655" s="494" t="s">
        <v>3401</v>
      </c>
      <c r="B1655" s="495" t="s">
        <v>3580</v>
      </c>
      <c r="C1655" s="452" t="s">
        <v>3575</v>
      </c>
      <c r="D1655" s="537" t="s">
        <v>4169</v>
      </c>
      <c r="E1655" s="266">
        <f>300-12</f>
        <v>288</v>
      </c>
      <c r="F1655" s="266">
        <f>134-15</f>
        <v>119</v>
      </c>
      <c r="G1655" s="266">
        <v>45.0</v>
      </c>
      <c r="H1655" s="266">
        <v>2.0</v>
      </c>
      <c r="I1655" s="266">
        <v>1695.0</v>
      </c>
      <c r="J1655" s="266">
        <v>14.0</v>
      </c>
      <c r="K1655" s="266">
        <v>200.0</v>
      </c>
      <c r="L1655" s="266">
        <v>8.0</v>
      </c>
      <c r="M1655" s="266">
        <v>2.0</v>
      </c>
      <c r="N1655" s="266">
        <v>3.0</v>
      </c>
      <c r="O1655" s="266">
        <v>1.0</v>
      </c>
      <c r="P1655" s="266" t="s">
        <v>166</v>
      </c>
      <c r="Q1655" s="266" t="s">
        <v>166</v>
      </c>
      <c r="R1655" s="497" t="s">
        <v>166</v>
      </c>
      <c r="S1655" s="497" t="s">
        <v>166</v>
      </c>
      <c r="T1655" s="494"/>
    </row>
    <row r="1656">
      <c r="A1656" s="494" t="s">
        <v>3401</v>
      </c>
      <c r="B1656" s="495" t="s">
        <v>3580</v>
      </c>
      <c r="C1656" s="452" t="s">
        <v>3575</v>
      </c>
      <c r="D1656" s="537" t="s">
        <v>3873</v>
      </c>
      <c r="E1656" s="266">
        <f t="shared" ref="E1656:E1661" si="268">310-12</f>
        <v>298</v>
      </c>
      <c r="F1656" s="266">
        <f t="shared" ref="F1656:F1661" si="269">131.5-15</f>
        <v>116.5</v>
      </c>
      <c r="G1656" s="266">
        <v>56.0</v>
      </c>
      <c r="H1656" s="266">
        <v>2.0</v>
      </c>
      <c r="I1656" s="266">
        <v>1665.0</v>
      </c>
      <c r="J1656" s="266">
        <v>14.0</v>
      </c>
      <c r="K1656" s="266">
        <v>200.0</v>
      </c>
      <c r="L1656" s="266" t="s">
        <v>3460</v>
      </c>
      <c r="M1656" s="266">
        <v>3.0</v>
      </c>
      <c r="N1656" s="266">
        <v>3.0</v>
      </c>
      <c r="O1656" s="266">
        <v>1.0</v>
      </c>
      <c r="P1656" s="266" t="s">
        <v>166</v>
      </c>
      <c r="Q1656" s="266" t="s">
        <v>166</v>
      </c>
      <c r="R1656" s="497" t="s">
        <v>166</v>
      </c>
      <c r="S1656" s="497" t="s">
        <v>166</v>
      </c>
      <c r="T1656" s="496"/>
    </row>
    <row r="1657">
      <c r="A1657" s="494" t="s">
        <v>3401</v>
      </c>
      <c r="B1657" s="495" t="s">
        <v>3580</v>
      </c>
      <c r="C1657" s="452" t="s">
        <v>3575</v>
      </c>
      <c r="D1657" s="537" t="s">
        <v>3878</v>
      </c>
      <c r="E1657" s="266">
        <f t="shared" si="268"/>
        <v>298</v>
      </c>
      <c r="F1657" s="266">
        <f t="shared" si="269"/>
        <v>116.5</v>
      </c>
      <c r="G1657" s="266">
        <v>56.0</v>
      </c>
      <c r="H1657" s="266">
        <v>2.0</v>
      </c>
      <c r="I1657" s="266">
        <v>1770.0</v>
      </c>
      <c r="J1657" s="266">
        <v>14.0</v>
      </c>
      <c r="K1657" s="266">
        <v>240.0</v>
      </c>
      <c r="L1657" s="266" t="s">
        <v>3460</v>
      </c>
      <c r="M1657" s="266">
        <v>3.0</v>
      </c>
      <c r="N1657" s="266">
        <v>3.0</v>
      </c>
      <c r="O1657" s="266">
        <v>1.0</v>
      </c>
      <c r="P1657" s="266" t="s">
        <v>166</v>
      </c>
      <c r="Q1657" s="266" t="s">
        <v>166</v>
      </c>
      <c r="R1657" s="497" t="s">
        <v>166</v>
      </c>
      <c r="S1657" s="497" t="s">
        <v>166</v>
      </c>
      <c r="T1657" s="496"/>
    </row>
    <row r="1658">
      <c r="A1658" s="494" t="s">
        <v>3401</v>
      </c>
      <c r="B1658" s="495" t="s">
        <v>3580</v>
      </c>
      <c r="C1658" s="452" t="s">
        <v>3575</v>
      </c>
      <c r="D1658" s="537" t="s">
        <v>4170</v>
      </c>
      <c r="E1658" s="266">
        <f t="shared" si="268"/>
        <v>298</v>
      </c>
      <c r="F1658" s="266">
        <f t="shared" si="269"/>
        <v>116.5</v>
      </c>
      <c r="G1658" s="266">
        <v>56.0</v>
      </c>
      <c r="H1658" s="266">
        <v>2.0</v>
      </c>
      <c r="I1658" s="266">
        <v>1770.0</v>
      </c>
      <c r="J1658" s="266">
        <v>14.0</v>
      </c>
      <c r="K1658" s="266">
        <v>240.0</v>
      </c>
      <c r="L1658" s="266" t="s">
        <v>3460</v>
      </c>
      <c r="M1658" s="266">
        <v>3.0</v>
      </c>
      <c r="N1658" s="266">
        <v>3.0</v>
      </c>
      <c r="O1658" s="266">
        <v>1.0</v>
      </c>
      <c r="P1658" s="266" t="s">
        <v>166</v>
      </c>
      <c r="Q1658" s="266" t="s">
        <v>166</v>
      </c>
      <c r="R1658" s="497" t="s">
        <v>166</v>
      </c>
      <c r="S1658" s="497" t="s">
        <v>166</v>
      </c>
      <c r="T1658" s="494"/>
    </row>
    <row r="1659">
      <c r="A1659" s="494" t="s">
        <v>3401</v>
      </c>
      <c r="B1659" s="495" t="s">
        <v>3580</v>
      </c>
      <c r="C1659" s="452" t="s">
        <v>3575</v>
      </c>
      <c r="D1659" s="537" t="s">
        <v>4103</v>
      </c>
      <c r="E1659" s="266">
        <f t="shared" si="268"/>
        <v>298</v>
      </c>
      <c r="F1659" s="266">
        <f t="shared" si="269"/>
        <v>116.5</v>
      </c>
      <c r="G1659" s="266">
        <v>56.0</v>
      </c>
      <c r="H1659" s="266">
        <v>2.0</v>
      </c>
      <c r="I1659" s="266">
        <v>1665.0</v>
      </c>
      <c r="J1659" s="266">
        <v>14.0</v>
      </c>
      <c r="K1659" s="266">
        <v>200.0</v>
      </c>
      <c r="L1659" s="266" t="s">
        <v>3460</v>
      </c>
      <c r="M1659" s="266">
        <v>3.0</v>
      </c>
      <c r="N1659" s="266">
        <v>3.0</v>
      </c>
      <c r="O1659" s="266">
        <v>1.0</v>
      </c>
      <c r="P1659" s="266" t="s">
        <v>166</v>
      </c>
      <c r="Q1659" s="266" t="s">
        <v>166</v>
      </c>
      <c r="R1659" s="497" t="s">
        <v>166</v>
      </c>
      <c r="S1659" s="497" t="s">
        <v>166</v>
      </c>
      <c r="T1659" s="496"/>
    </row>
    <row r="1660">
      <c r="A1660" s="494" t="s">
        <v>3401</v>
      </c>
      <c r="B1660" s="495" t="s">
        <v>3580</v>
      </c>
      <c r="C1660" s="452" t="s">
        <v>3575</v>
      </c>
      <c r="D1660" s="537" t="s">
        <v>4087</v>
      </c>
      <c r="E1660" s="266">
        <f t="shared" si="268"/>
        <v>298</v>
      </c>
      <c r="F1660" s="266">
        <f t="shared" si="269"/>
        <v>116.5</v>
      </c>
      <c r="G1660" s="266">
        <v>56.0</v>
      </c>
      <c r="H1660" s="266">
        <v>2.0</v>
      </c>
      <c r="I1660" s="266">
        <v>1770.0</v>
      </c>
      <c r="J1660" s="266">
        <v>14.0</v>
      </c>
      <c r="K1660" s="266">
        <v>240.0</v>
      </c>
      <c r="L1660" s="266" t="s">
        <v>3460</v>
      </c>
      <c r="M1660" s="266">
        <v>3.0</v>
      </c>
      <c r="N1660" s="266">
        <v>3.0</v>
      </c>
      <c r="O1660" s="266">
        <v>1.0</v>
      </c>
      <c r="P1660" s="266" t="s">
        <v>166</v>
      </c>
      <c r="Q1660" s="266" t="s">
        <v>166</v>
      </c>
      <c r="R1660" s="497" t="s">
        <v>166</v>
      </c>
      <c r="S1660" s="497" t="s">
        <v>166</v>
      </c>
      <c r="T1660" s="496"/>
    </row>
    <row r="1661">
      <c r="A1661" s="494" t="s">
        <v>3401</v>
      </c>
      <c r="B1661" s="495" t="s">
        <v>3580</v>
      </c>
      <c r="C1661" s="452" t="s">
        <v>3575</v>
      </c>
      <c r="D1661" s="537" t="s">
        <v>4171</v>
      </c>
      <c r="E1661" s="266">
        <f t="shared" si="268"/>
        <v>298</v>
      </c>
      <c r="F1661" s="266">
        <f t="shared" si="269"/>
        <v>116.5</v>
      </c>
      <c r="G1661" s="266">
        <v>56.0</v>
      </c>
      <c r="H1661" s="266">
        <v>2.0</v>
      </c>
      <c r="I1661" s="266">
        <v>1770.0</v>
      </c>
      <c r="J1661" s="266">
        <v>14.0</v>
      </c>
      <c r="K1661" s="266">
        <v>240.0</v>
      </c>
      <c r="L1661" s="266" t="s">
        <v>3460</v>
      </c>
      <c r="M1661" s="266">
        <v>3.0</v>
      </c>
      <c r="N1661" s="266">
        <v>3.0</v>
      </c>
      <c r="O1661" s="266">
        <v>1.0</v>
      </c>
      <c r="P1661" s="266" t="s">
        <v>166</v>
      </c>
      <c r="Q1661" s="266" t="s">
        <v>166</v>
      </c>
      <c r="R1661" s="497" t="s">
        <v>166</v>
      </c>
      <c r="S1661" s="497" t="s">
        <v>166</v>
      </c>
      <c r="T1661" s="494"/>
    </row>
    <row r="1662">
      <c r="A1662" s="494" t="s">
        <v>3401</v>
      </c>
      <c r="B1662" s="495" t="s">
        <v>3580</v>
      </c>
      <c r="C1662" s="452" t="s">
        <v>3575</v>
      </c>
      <c r="D1662" s="537" t="s">
        <v>4027</v>
      </c>
      <c r="E1662" s="266">
        <f t="shared" ref="E1662:E1664" si="270">315.5-12</f>
        <v>303.5</v>
      </c>
      <c r="F1662" s="266">
        <f t="shared" ref="F1662:F1664" si="271">131-15</f>
        <v>116</v>
      </c>
      <c r="G1662" s="266">
        <v>53.0</v>
      </c>
      <c r="H1662" s="266">
        <v>2.0</v>
      </c>
      <c r="I1662" s="266">
        <v>1665.0</v>
      </c>
      <c r="J1662" s="266">
        <v>14.0</v>
      </c>
      <c r="K1662" s="266">
        <v>200.0</v>
      </c>
      <c r="L1662" s="266" t="s">
        <v>3460</v>
      </c>
      <c r="M1662" s="266">
        <v>3.0</v>
      </c>
      <c r="N1662" s="266">
        <v>3.0</v>
      </c>
      <c r="O1662" s="266">
        <v>1.0</v>
      </c>
      <c r="P1662" s="266" t="s">
        <v>166</v>
      </c>
      <c r="Q1662" s="266" t="s">
        <v>166</v>
      </c>
      <c r="R1662" s="497" t="s">
        <v>166</v>
      </c>
      <c r="S1662" s="497" t="s">
        <v>166</v>
      </c>
      <c r="T1662" s="496"/>
    </row>
    <row r="1663">
      <c r="A1663" s="494" t="s">
        <v>3401</v>
      </c>
      <c r="B1663" s="495" t="s">
        <v>3580</v>
      </c>
      <c r="C1663" s="452" t="s">
        <v>3575</v>
      </c>
      <c r="D1663" s="537" t="s">
        <v>3889</v>
      </c>
      <c r="E1663" s="266">
        <f t="shared" si="270"/>
        <v>303.5</v>
      </c>
      <c r="F1663" s="266">
        <f t="shared" si="271"/>
        <v>116</v>
      </c>
      <c r="G1663" s="266">
        <v>53.0</v>
      </c>
      <c r="H1663" s="266">
        <v>2.0</v>
      </c>
      <c r="I1663" s="266">
        <v>1800.0</v>
      </c>
      <c r="J1663" s="266">
        <v>14.0</v>
      </c>
      <c r="K1663" s="266">
        <v>240.0</v>
      </c>
      <c r="L1663" s="266" t="s">
        <v>3460</v>
      </c>
      <c r="M1663" s="266">
        <v>3.0</v>
      </c>
      <c r="N1663" s="266">
        <v>3.0</v>
      </c>
      <c r="O1663" s="266">
        <v>1.0</v>
      </c>
      <c r="P1663" s="266" t="s">
        <v>166</v>
      </c>
      <c r="Q1663" s="266" t="s">
        <v>166</v>
      </c>
      <c r="R1663" s="497" t="s">
        <v>166</v>
      </c>
      <c r="S1663" s="497" t="s">
        <v>166</v>
      </c>
      <c r="T1663" s="496"/>
    </row>
    <row r="1664">
      <c r="A1664" s="494" t="s">
        <v>3401</v>
      </c>
      <c r="B1664" s="495" t="s">
        <v>3580</v>
      </c>
      <c r="C1664" s="452" t="s">
        <v>3575</v>
      </c>
      <c r="D1664" s="537" t="s">
        <v>4172</v>
      </c>
      <c r="E1664" s="266">
        <f t="shared" si="270"/>
        <v>303.5</v>
      </c>
      <c r="F1664" s="266">
        <f t="shared" si="271"/>
        <v>116</v>
      </c>
      <c r="G1664" s="266">
        <v>53.0</v>
      </c>
      <c r="H1664" s="266">
        <v>2.0</v>
      </c>
      <c r="I1664" s="266">
        <v>1800.0</v>
      </c>
      <c r="J1664" s="266">
        <v>14.0</v>
      </c>
      <c r="K1664" s="266">
        <v>240.0</v>
      </c>
      <c r="L1664" s="266" t="s">
        <v>3460</v>
      </c>
      <c r="M1664" s="266">
        <v>3.0</v>
      </c>
      <c r="N1664" s="266">
        <v>3.0</v>
      </c>
      <c r="O1664" s="266">
        <v>1.0</v>
      </c>
      <c r="P1664" s="266" t="s">
        <v>166</v>
      </c>
      <c r="Q1664" s="266" t="s">
        <v>166</v>
      </c>
      <c r="R1664" s="497" t="s">
        <v>166</v>
      </c>
      <c r="S1664" s="497" t="s">
        <v>166</v>
      </c>
      <c r="T1664" s="494"/>
    </row>
    <row r="1665">
      <c r="A1665" s="494" t="s">
        <v>3401</v>
      </c>
      <c r="B1665" s="495" t="s">
        <v>3580</v>
      </c>
      <c r="C1665" s="452" t="s">
        <v>3575</v>
      </c>
      <c r="D1665" s="537" t="s">
        <v>4173</v>
      </c>
      <c r="E1665" s="266">
        <f t="shared" ref="E1665:E1668" si="272">323-12</f>
        <v>311</v>
      </c>
      <c r="F1665" s="266">
        <f t="shared" ref="F1665:F1668" si="273">158-15</f>
        <v>143</v>
      </c>
      <c r="G1665" s="266">
        <v>60.0</v>
      </c>
      <c r="H1665" s="266">
        <v>2.0</v>
      </c>
      <c r="I1665" s="266">
        <v>1665.0</v>
      </c>
      <c r="J1665" s="266">
        <v>14.0</v>
      </c>
      <c r="K1665" s="266">
        <v>200.0</v>
      </c>
      <c r="L1665" s="266" t="s">
        <v>3734</v>
      </c>
      <c r="M1665" s="266">
        <v>3.0</v>
      </c>
      <c r="N1665" s="266">
        <v>3.0</v>
      </c>
      <c r="O1665" s="266">
        <v>1.0</v>
      </c>
      <c r="P1665" s="266" t="s">
        <v>166</v>
      </c>
      <c r="Q1665" s="266" t="s">
        <v>166</v>
      </c>
      <c r="R1665" s="497" t="s">
        <v>166</v>
      </c>
      <c r="S1665" s="497" t="s">
        <v>166</v>
      </c>
      <c r="T1665" s="496"/>
    </row>
    <row r="1666">
      <c r="A1666" s="494" t="s">
        <v>3401</v>
      </c>
      <c r="B1666" s="495" t="s">
        <v>3580</v>
      </c>
      <c r="C1666" s="452" t="s">
        <v>3575</v>
      </c>
      <c r="D1666" s="537" t="s">
        <v>4174</v>
      </c>
      <c r="E1666" s="266">
        <f t="shared" si="272"/>
        <v>311</v>
      </c>
      <c r="F1666" s="266">
        <f t="shared" si="273"/>
        <v>143</v>
      </c>
      <c r="G1666" s="266">
        <v>60.0</v>
      </c>
      <c r="H1666" s="266">
        <v>2.0</v>
      </c>
      <c r="I1666" s="266">
        <v>1665.0</v>
      </c>
      <c r="J1666" s="266">
        <v>14.0</v>
      </c>
      <c r="K1666" s="266">
        <v>200.0</v>
      </c>
      <c r="L1666" s="266" t="s">
        <v>3734</v>
      </c>
      <c r="M1666" s="266">
        <v>3.0</v>
      </c>
      <c r="N1666" s="266">
        <v>3.0</v>
      </c>
      <c r="O1666" s="266">
        <v>1.0</v>
      </c>
      <c r="P1666" s="266" t="s">
        <v>166</v>
      </c>
      <c r="Q1666" s="266" t="s">
        <v>166</v>
      </c>
      <c r="R1666" s="497" t="s">
        <v>166</v>
      </c>
      <c r="S1666" s="497" t="s">
        <v>166</v>
      </c>
      <c r="T1666" s="494"/>
    </row>
    <row r="1667">
      <c r="A1667" s="494" t="s">
        <v>3401</v>
      </c>
      <c r="B1667" s="495" t="s">
        <v>3580</v>
      </c>
      <c r="C1667" s="452" t="s">
        <v>3575</v>
      </c>
      <c r="D1667" s="537" t="s">
        <v>3943</v>
      </c>
      <c r="E1667" s="266">
        <f t="shared" si="272"/>
        <v>311</v>
      </c>
      <c r="F1667" s="266">
        <f t="shared" si="273"/>
        <v>143</v>
      </c>
      <c r="G1667" s="266">
        <v>60.0</v>
      </c>
      <c r="H1667" s="266">
        <v>2.0</v>
      </c>
      <c r="I1667" s="266">
        <v>1815.0</v>
      </c>
      <c r="J1667" s="266">
        <v>14.0</v>
      </c>
      <c r="K1667" s="266">
        <v>240.0</v>
      </c>
      <c r="L1667" s="266" t="s">
        <v>3734</v>
      </c>
      <c r="M1667" s="266">
        <v>3.0</v>
      </c>
      <c r="N1667" s="266">
        <v>3.0</v>
      </c>
      <c r="O1667" s="266">
        <v>1.0</v>
      </c>
      <c r="P1667" s="266" t="s">
        <v>166</v>
      </c>
      <c r="Q1667" s="266" t="s">
        <v>166</v>
      </c>
      <c r="R1667" s="497" t="s">
        <v>166</v>
      </c>
      <c r="S1667" s="497" t="s">
        <v>166</v>
      </c>
      <c r="T1667" s="496"/>
    </row>
    <row r="1668">
      <c r="A1668" s="494" t="s">
        <v>3401</v>
      </c>
      <c r="B1668" s="495" t="s">
        <v>3580</v>
      </c>
      <c r="C1668" s="452" t="s">
        <v>3575</v>
      </c>
      <c r="D1668" s="537" t="s">
        <v>4175</v>
      </c>
      <c r="E1668" s="266">
        <f t="shared" si="272"/>
        <v>311</v>
      </c>
      <c r="F1668" s="266">
        <f t="shared" si="273"/>
        <v>143</v>
      </c>
      <c r="G1668" s="266">
        <v>60.0</v>
      </c>
      <c r="H1668" s="266">
        <v>2.0</v>
      </c>
      <c r="I1668" s="266">
        <v>1815.0</v>
      </c>
      <c r="J1668" s="266">
        <v>14.0</v>
      </c>
      <c r="K1668" s="266">
        <v>240.0</v>
      </c>
      <c r="L1668" s="266" t="s">
        <v>3734</v>
      </c>
      <c r="M1668" s="266">
        <v>3.0</v>
      </c>
      <c r="N1668" s="266">
        <v>3.0</v>
      </c>
      <c r="O1668" s="266">
        <v>1.0</v>
      </c>
      <c r="P1668" s="266" t="s">
        <v>166</v>
      </c>
      <c r="Q1668" s="266" t="s">
        <v>166</v>
      </c>
      <c r="R1668" s="497" t="s">
        <v>166</v>
      </c>
      <c r="S1668" s="497" t="s">
        <v>166</v>
      </c>
      <c r="T1668" s="494"/>
    </row>
    <row r="1669">
      <c r="A1669" s="494" t="s">
        <v>3401</v>
      </c>
      <c r="B1669" s="495" t="s">
        <v>3580</v>
      </c>
      <c r="C1669" s="174" t="s">
        <v>3405</v>
      </c>
      <c r="D1669" s="537" t="s">
        <v>3916</v>
      </c>
      <c r="E1669" s="266">
        <v>247.0</v>
      </c>
      <c r="F1669" s="266">
        <v>120.0</v>
      </c>
      <c r="G1669" s="266">
        <v>40.0</v>
      </c>
      <c r="H1669" s="266">
        <v>2.0</v>
      </c>
      <c r="I1669" s="266">
        <v>1695.0</v>
      </c>
      <c r="J1669" s="266">
        <v>14.0</v>
      </c>
      <c r="K1669" s="266">
        <v>200.0</v>
      </c>
      <c r="L1669" s="266">
        <v>8.0</v>
      </c>
      <c r="M1669" s="266">
        <v>2.0</v>
      </c>
      <c r="N1669" s="266">
        <v>3.0</v>
      </c>
      <c r="O1669" s="266">
        <v>1.0</v>
      </c>
      <c r="P1669" s="266" t="s">
        <v>166</v>
      </c>
      <c r="Q1669" s="266" t="s">
        <v>166</v>
      </c>
      <c r="R1669" s="497" t="s">
        <v>166</v>
      </c>
      <c r="S1669" s="497" t="s">
        <v>166</v>
      </c>
      <c r="T1669" s="496"/>
    </row>
    <row r="1670">
      <c r="A1670" s="494" t="s">
        <v>3401</v>
      </c>
      <c r="B1670" s="495" t="s">
        <v>3580</v>
      </c>
      <c r="C1670" s="174" t="s">
        <v>3405</v>
      </c>
      <c r="D1670" s="537" t="s">
        <v>3974</v>
      </c>
      <c r="E1670" s="266">
        <v>294.0</v>
      </c>
      <c r="F1670" s="266">
        <v>112.0</v>
      </c>
      <c r="G1670" s="266">
        <v>55.0</v>
      </c>
      <c r="H1670" s="266">
        <v>2.0</v>
      </c>
      <c r="I1670" s="266">
        <v>1800.0</v>
      </c>
      <c r="J1670" s="266">
        <v>14.0</v>
      </c>
      <c r="K1670" s="266">
        <v>200.0</v>
      </c>
      <c r="L1670" s="266" t="s">
        <v>3460</v>
      </c>
      <c r="M1670" s="266">
        <v>3.0</v>
      </c>
      <c r="N1670" s="266">
        <v>3.0</v>
      </c>
      <c r="O1670" s="266">
        <v>1.0</v>
      </c>
      <c r="P1670" s="266" t="s">
        <v>166</v>
      </c>
      <c r="Q1670" s="266" t="s">
        <v>166</v>
      </c>
      <c r="R1670" s="497" t="s">
        <v>166</v>
      </c>
      <c r="S1670" s="497" t="s">
        <v>166</v>
      </c>
      <c r="T1670" s="496"/>
    </row>
    <row r="1671">
      <c r="A1671" s="494" t="s">
        <v>3401</v>
      </c>
      <c r="B1671" s="495" t="s">
        <v>3580</v>
      </c>
      <c r="C1671" s="174" t="str">
        <f t="shared" ref="C1671:C1675" si="274">HYPERLINK("https://www.evga.com/","EVGA")</f>
        <v>EVGA</v>
      </c>
      <c r="D1671" s="537" t="s">
        <v>4176</v>
      </c>
      <c r="E1671" s="266">
        <v>285.37</v>
      </c>
      <c r="F1671" s="266">
        <v>111.15</v>
      </c>
      <c r="G1671" s="266">
        <v>40.9</v>
      </c>
      <c r="H1671" s="266">
        <v>2.0</v>
      </c>
      <c r="I1671" s="266">
        <v>1710.0</v>
      </c>
      <c r="J1671" s="266">
        <v>14.0</v>
      </c>
      <c r="K1671" s="266">
        <v>240.0</v>
      </c>
      <c r="L1671" s="266" t="s">
        <v>3460</v>
      </c>
      <c r="M1671" s="266">
        <v>3.0</v>
      </c>
      <c r="N1671" s="266">
        <v>3.0</v>
      </c>
      <c r="O1671" s="266">
        <v>1.0</v>
      </c>
      <c r="P1671" s="266" t="s">
        <v>166</v>
      </c>
      <c r="Q1671" s="266" t="s">
        <v>166</v>
      </c>
      <c r="R1671" s="497" t="s">
        <v>166</v>
      </c>
      <c r="S1671" s="497" t="s">
        <v>166</v>
      </c>
      <c r="T1671" s="496"/>
    </row>
    <row r="1672">
      <c r="A1672" s="494" t="s">
        <v>3401</v>
      </c>
      <c r="B1672" s="495" t="s">
        <v>3580</v>
      </c>
      <c r="C1672" s="174" t="str">
        <f t="shared" si="274"/>
        <v>EVGA</v>
      </c>
      <c r="D1672" s="537" t="s">
        <v>4177</v>
      </c>
      <c r="E1672" s="266">
        <v>285.37</v>
      </c>
      <c r="F1672" s="266">
        <v>111.15</v>
      </c>
      <c r="G1672" s="266">
        <v>45.9</v>
      </c>
      <c r="H1672" s="266">
        <v>2.0</v>
      </c>
      <c r="I1672" s="266">
        <v>1710.0</v>
      </c>
      <c r="J1672" s="266">
        <v>14.0</v>
      </c>
      <c r="K1672" s="266">
        <v>240.0</v>
      </c>
      <c r="L1672" s="266" t="s">
        <v>3460</v>
      </c>
      <c r="M1672" s="266">
        <v>3.0</v>
      </c>
      <c r="N1672" s="266">
        <v>3.0</v>
      </c>
      <c r="O1672" s="266">
        <v>1.0</v>
      </c>
      <c r="P1672" s="266" t="s">
        <v>166</v>
      </c>
      <c r="Q1672" s="266" t="s">
        <v>166</v>
      </c>
      <c r="R1672" s="497" t="s">
        <v>166</v>
      </c>
      <c r="S1672" s="497" t="s">
        <v>166</v>
      </c>
      <c r="T1672" s="496"/>
    </row>
    <row r="1673">
      <c r="A1673" s="494" t="s">
        <v>3401</v>
      </c>
      <c r="B1673" s="495" t="s">
        <v>3580</v>
      </c>
      <c r="C1673" s="174" t="str">
        <f t="shared" si="274"/>
        <v>EVGA</v>
      </c>
      <c r="D1673" s="628" t="s">
        <v>4178</v>
      </c>
      <c r="E1673" s="266">
        <v>285.37</v>
      </c>
      <c r="F1673" s="266">
        <v>111.15</v>
      </c>
      <c r="G1673" s="266">
        <v>45.9</v>
      </c>
      <c r="H1673" s="266">
        <v>2.0</v>
      </c>
      <c r="I1673" s="266">
        <v>1710.0</v>
      </c>
      <c r="J1673" s="266">
        <v>14.0</v>
      </c>
      <c r="K1673" s="266">
        <v>240.0</v>
      </c>
      <c r="L1673" s="266" t="s">
        <v>3460</v>
      </c>
      <c r="M1673" s="266">
        <v>3.0</v>
      </c>
      <c r="N1673" s="266">
        <v>3.0</v>
      </c>
      <c r="O1673" s="266">
        <v>1.0</v>
      </c>
      <c r="P1673" s="266" t="s">
        <v>166</v>
      </c>
      <c r="Q1673" s="266" t="s">
        <v>166</v>
      </c>
      <c r="R1673" s="497" t="s">
        <v>166</v>
      </c>
      <c r="S1673" s="497" t="s">
        <v>166</v>
      </c>
      <c r="T1673" s="494"/>
    </row>
    <row r="1674">
      <c r="A1674" s="494" t="s">
        <v>3401</v>
      </c>
      <c r="B1674" s="495" t="s">
        <v>3580</v>
      </c>
      <c r="C1674" s="174" t="str">
        <f t="shared" si="274"/>
        <v>EVGA</v>
      </c>
      <c r="D1674" s="537" t="s">
        <v>4179</v>
      </c>
      <c r="E1674" s="266">
        <v>285.37</v>
      </c>
      <c r="F1674" s="266">
        <v>111.15</v>
      </c>
      <c r="G1674" s="266">
        <v>45.9</v>
      </c>
      <c r="H1674" s="266">
        <v>2.0</v>
      </c>
      <c r="I1674" s="266">
        <v>1800.0</v>
      </c>
      <c r="J1674" s="266">
        <v>14.0</v>
      </c>
      <c r="K1674" s="266">
        <v>240.0</v>
      </c>
      <c r="L1674" s="266" t="s">
        <v>3460</v>
      </c>
      <c r="M1674" s="266">
        <v>3.0</v>
      </c>
      <c r="N1674" s="266">
        <v>3.0</v>
      </c>
      <c r="O1674" s="266">
        <v>1.0</v>
      </c>
      <c r="P1674" s="266" t="s">
        <v>166</v>
      </c>
      <c r="Q1674" s="266" t="s">
        <v>166</v>
      </c>
      <c r="R1674" s="497" t="s">
        <v>166</v>
      </c>
      <c r="S1674" s="497" t="s">
        <v>166</v>
      </c>
      <c r="T1674" s="496"/>
    </row>
    <row r="1675">
      <c r="A1675" s="494" t="s">
        <v>3401</v>
      </c>
      <c r="B1675" s="495" t="s">
        <v>3580</v>
      </c>
      <c r="C1675" s="174" t="str">
        <f t="shared" si="274"/>
        <v>EVGA</v>
      </c>
      <c r="D1675" s="628" t="s">
        <v>4180</v>
      </c>
      <c r="E1675" s="266">
        <v>285.37</v>
      </c>
      <c r="F1675" s="266">
        <v>111.15</v>
      </c>
      <c r="G1675" s="266">
        <v>45.9</v>
      </c>
      <c r="H1675" s="266">
        <v>2.0</v>
      </c>
      <c r="I1675" s="266">
        <v>1800.0</v>
      </c>
      <c r="J1675" s="266">
        <v>14.0</v>
      </c>
      <c r="K1675" s="266">
        <v>240.0</v>
      </c>
      <c r="L1675" s="266" t="s">
        <v>3460</v>
      </c>
      <c r="M1675" s="266">
        <v>3.0</v>
      </c>
      <c r="N1675" s="266">
        <v>3.0</v>
      </c>
      <c r="O1675" s="266">
        <v>1.0</v>
      </c>
      <c r="P1675" s="266" t="s">
        <v>166</v>
      </c>
      <c r="Q1675" s="266" t="s">
        <v>166</v>
      </c>
      <c r="R1675" s="497" t="s">
        <v>166</v>
      </c>
      <c r="S1675" s="497" t="s">
        <v>166</v>
      </c>
      <c r="T1675" s="494"/>
    </row>
    <row r="1676">
      <c r="A1676" s="494" t="s">
        <v>3401</v>
      </c>
      <c r="B1676" s="495" t="s">
        <v>3580</v>
      </c>
      <c r="C1676" s="452" t="str">
        <f t="shared" ref="C1676:C1700" si="275">HYPERLINK("http://www.gainward.com/main/index.php?lang=en","Gainward")</f>
        <v>Gainward</v>
      </c>
      <c r="D1676" s="537" t="s">
        <v>4181</v>
      </c>
      <c r="E1676" s="266">
        <v>259.0</v>
      </c>
      <c r="F1676" s="266">
        <v>127.0</v>
      </c>
      <c r="G1676" s="266">
        <v>42.0</v>
      </c>
      <c r="H1676" s="266">
        <v>2.0</v>
      </c>
      <c r="I1676" s="266">
        <v>1665.0</v>
      </c>
      <c r="J1676" s="266">
        <v>14.0</v>
      </c>
      <c r="K1676" s="266">
        <v>200.0</v>
      </c>
      <c r="L1676" s="266">
        <v>8.0</v>
      </c>
      <c r="M1676" s="266">
        <v>2.0</v>
      </c>
      <c r="N1676" s="266">
        <v>3.0</v>
      </c>
      <c r="O1676" s="266">
        <v>1.0</v>
      </c>
      <c r="P1676" s="266" t="s">
        <v>166</v>
      </c>
      <c r="Q1676" s="266" t="s">
        <v>166</v>
      </c>
      <c r="R1676" s="497" t="s">
        <v>166</v>
      </c>
      <c r="S1676" s="497" t="s">
        <v>166</v>
      </c>
      <c r="T1676" s="496"/>
    </row>
    <row r="1677">
      <c r="A1677" s="494" t="s">
        <v>3401</v>
      </c>
      <c r="B1677" s="495" t="s">
        <v>3580</v>
      </c>
      <c r="C1677" s="452" t="str">
        <f t="shared" si="275"/>
        <v>Gainward</v>
      </c>
      <c r="D1677" s="537" t="s">
        <v>4182</v>
      </c>
      <c r="E1677" s="266">
        <v>259.0</v>
      </c>
      <c r="F1677" s="266">
        <v>127.0</v>
      </c>
      <c r="G1677" s="266">
        <v>42.0</v>
      </c>
      <c r="H1677" s="266">
        <v>2.0</v>
      </c>
      <c r="I1677" s="266">
        <v>1665.0</v>
      </c>
      <c r="J1677" s="266">
        <v>14.0</v>
      </c>
      <c r="K1677" s="266">
        <v>200.0</v>
      </c>
      <c r="L1677" s="266">
        <v>8.0</v>
      </c>
      <c r="M1677" s="266">
        <v>2.0</v>
      </c>
      <c r="N1677" s="266">
        <v>3.0</v>
      </c>
      <c r="O1677" s="266">
        <v>1.0</v>
      </c>
      <c r="P1677" s="266" t="s">
        <v>166</v>
      </c>
      <c r="Q1677" s="266" t="s">
        <v>166</v>
      </c>
      <c r="R1677" s="497" t="s">
        <v>166</v>
      </c>
      <c r="S1677" s="497" t="s">
        <v>166</v>
      </c>
      <c r="T1677" s="494"/>
    </row>
    <row r="1678">
      <c r="A1678" s="494" t="s">
        <v>3401</v>
      </c>
      <c r="B1678" s="495" t="s">
        <v>3580</v>
      </c>
      <c r="C1678" s="452" t="str">
        <f t="shared" si="275"/>
        <v>Gainward</v>
      </c>
      <c r="D1678" s="537" t="s">
        <v>3592</v>
      </c>
      <c r="E1678" s="266">
        <v>315.0</v>
      </c>
      <c r="F1678" s="266">
        <v>125.0</v>
      </c>
      <c r="G1678" s="266">
        <v>49.0</v>
      </c>
      <c r="H1678" s="266">
        <v>2.0</v>
      </c>
      <c r="I1678" s="266">
        <v>1665.0</v>
      </c>
      <c r="J1678" s="266">
        <v>14.0</v>
      </c>
      <c r="K1678" s="266">
        <v>200.0</v>
      </c>
      <c r="L1678" s="266">
        <v>8.0</v>
      </c>
      <c r="M1678" s="266">
        <v>3.0</v>
      </c>
      <c r="N1678" s="266">
        <v>3.0</v>
      </c>
      <c r="O1678" s="266">
        <v>1.0</v>
      </c>
      <c r="P1678" s="266" t="s">
        <v>166</v>
      </c>
      <c r="Q1678" s="266" t="s">
        <v>166</v>
      </c>
      <c r="R1678" s="497" t="s">
        <v>166</v>
      </c>
      <c r="S1678" s="497" t="s">
        <v>166</v>
      </c>
      <c r="T1678" s="496"/>
    </row>
    <row r="1679">
      <c r="A1679" s="494" t="s">
        <v>3401</v>
      </c>
      <c r="B1679" s="495" t="s">
        <v>3580</v>
      </c>
      <c r="C1679" s="452" t="str">
        <f t="shared" si="275"/>
        <v>Gainward</v>
      </c>
      <c r="D1679" s="537" t="s">
        <v>4183</v>
      </c>
      <c r="E1679" s="266">
        <v>315.0</v>
      </c>
      <c r="F1679" s="266">
        <v>125.0</v>
      </c>
      <c r="G1679" s="266">
        <v>49.0</v>
      </c>
      <c r="H1679" s="266">
        <v>2.0</v>
      </c>
      <c r="I1679" s="266">
        <v>1665.0</v>
      </c>
      <c r="J1679" s="266">
        <v>14.0</v>
      </c>
      <c r="K1679" s="266">
        <v>200.0</v>
      </c>
      <c r="L1679" s="266">
        <v>8.0</v>
      </c>
      <c r="M1679" s="266">
        <v>3.0</v>
      </c>
      <c r="N1679" s="266">
        <v>3.0</v>
      </c>
      <c r="O1679" s="266">
        <v>1.0</v>
      </c>
      <c r="P1679" s="266" t="s">
        <v>166</v>
      </c>
      <c r="Q1679" s="266" t="s">
        <v>166</v>
      </c>
      <c r="R1679" s="497" t="s">
        <v>166</v>
      </c>
      <c r="S1679" s="497" t="s">
        <v>166</v>
      </c>
      <c r="T1679" s="494"/>
    </row>
    <row r="1680">
      <c r="A1680" s="494" t="s">
        <v>3401</v>
      </c>
      <c r="B1680" s="495" t="s">
        <v>3580</v>
      </c>
      <c r="C1680" s="452" t="str">
        <f t="shared" si="275"/>
        <v>Gainward</v>
      </c>
      <c r="D1680" s="537" t="s">
        <v>4184</v>
      </c>
      <c r="E1680" s="266">
        <v>315.0</v>
      </c>
      <c r="F1680" s="266">
        <v>125.0</v>
      </c>
      <c r="G1680" s="266">
        <v>49.0</v>
      </c>
      <c r="H1680" s="266">
        <v>2.0</v>
      </c>
      <c r="I1680" s="266">
        <v>1665.0</v>
      </c>
      <c r="J1680" s="266">
        <v>14.0</v>
      </c>
      <c r="K1680" s="266">
        <v>200.0</v>
      </c>
      <c r="L1680" s="266">
        <v>8.0</v>
      </c>
      <c r="M1680" s="266">
        <v>3.0</v>
      </c>
      <c r="N1680" s="266">
        <v>3.0</v>
      </c>
      <c r="O1680" s="266">
        <v>1.0</v>
      </c>
      <c r="P1680" s="266" t="s">
        <v>166</v>
      </c>
      <c r="Q1680" s="266" t="s">
        <v>166</v>
      </c>
      <c r="R1680" s="497" t="s">
        <v>166</v>
      </c>
      <c r="S1680" s="497" t="s">
        <v>166</v>
      </c>
      <c r="T1680" s="494"/>
    </row>
    <row r="1681">
      <c r="A1681" s="494" t="s">
        <v>3401</v>
      </c>
      <c r="B1681" s="495" t="s">
        <v>3580</v>
      </c>
      <c r="C1681" s="452" t="str">
        <f t="shared" si="275"/>
        <v>Gainward</v>
      </c>
      <c r="D1681" s="537" t="s">
        <v>4185</v>
      </c>
      <c r="E1681" s="266">
        <v>329.5</v>
      </c>
      <c r="F1681" s="266">
        <v>136.0</v>
      </c>
      <c r="G1681" s="266">
        <v>52.0</v>
      </c>
      <c r="H1681" s="266">
        <v>2.0</v>
      </c>
      <c r="I1681" s="266">
        <v>1665.0</v>
      </c>
      <c r="J1681" s="266">
        <v>14.0</v>
      </c>
      <c r="K1681" s="266">
        <v>200.0</v>
      </c>
      <c r="L1681" s="266">
        <v>8.0</v>
      </c>
      <c r="M1681" s="266">
        <v>3.0</v>
      </c>
      <c r="N1681" s="266">
        <v>3.0</v>
      </c>
      <c r="O1681" s="266">
        <v>1.0</v>
      </c>
      <c r="P1681" s="266" t="s">
        <v>166</v>
      </c>
      <c r="Q1681" s="266" t="s">
        <v>166</v>
      </c>
      <c r="R1681" s="497" t="s">
        <v>166</v>
      </c>
      <c r="S1681" s="497" t="s">
        <v>166</v>
      </c>
      <c r="T1681" s="496"/>
    </row>
    <row r="1682">
      <c r="A1682" s="494" t="s">
        <v>3401</v>
      </c>
      <c r="B1682" s="495" t="s">
        <v>3580</v>
      </c>
      <c r="C1682" s="452" t="str">
        <f t="shared" si="275"/>
        <v>Gainward</v>
      </c>
      <c r="D1682" s="537" t="s">
        <v>4186</v>
      </c>
      <c r="E1682" s="266">
        <v>329.5</v>
      </c>
      <c r="F1682" s="266">
        <v>136.0</v>
      </c>
      <c r="G1682" s="266">
        <v>52.0</v>
      </c>
      <c r="H1682" s="266">
        <v>2.0</v>
      </c>
      <c r="I1682" s="266">
        <v>1665.0</v>
      </c>
      <c r="J1682" s="266">
        <v>14.0</v>
      </c>
      <c r="K1682" s="266">
        <v>200.0</v>
      </c>
      <c r="L1682" s="266">
        <v>8.0</v>
      </c>
      <c r="M1682" s="266">
        <v>3.0</v>
      </c>
      <c r="N1682" s="266">
        <v>3.0</v>
      </c>
      <c r="O1682" s="266">
        <v>1.0</v>
      </c>
      <c r="P1682" s="266" t="s">
        <v>166</v>
      </c>
      <c r="Q1682" s="266" t="s">
        <v>166</v>
      </c>
      <c r="R1682" s="497" t="s">
        <v>166</v>
      </c>
      <c r="S1682" s="497" t="s">
        <v>166</v>
      </c>
      <c r="T1682" s="494"/>
    </row>
    <row r="1683">
      <c r="A1683" s="494" t="s">
        <v>3401</v>
      </c>
      <c r="B1683" s="495" t="s">
        <v>3580</v>
      </c>
      <c r="C1683" s="452" t="str">
        <f t="shared" si="275"/>
        <v>Gainward</v>
      </c>
      <c r="D1683" s="537" t="s">
        <v>4187</v>
      </c>
      <c r="E1683" s="266">
        <v>329.5</v>
      </c>
      <c r="F1683" s="266">
        <v>136.0</v>
      </c>
      <c r="G1683" s="266">
        <v>52.0</v>
      </c>
      <c r="H1683" s="266">
        <v>2.0</v>
      </c>
      <c r="I1683" s="266">
        <v>1695.0</v>
      </c>
      <c r="J1683" s="266">
        <v>14.0</v>
      </c>
      <c r="K1683" s="266">
        <v>200.0</v>
      </c>
      <c r="L1683" s="266">
        <v>8.0</v>
      </c>
      <c r="M1683" s="266">
        <v>3.0</v>
      </c>
      <c r="N1683" s="266">
        <v>3.0</v>
      </c>
      <c r="O1683" s="266">
        <v>1.0</v>
      </c>
      <c r="P1683" s="266" t="s">
        <v>166</v>
      </c>
      <c r="Q1683" s="266" t="s">
        <v>166</v>
      </c>
      <c r="R1683" s="497" t="s">
        <v>166</v>
      </c>
      <c r="S1683" s="497" t="s">
        <v>166</v>
      </c>
      <c r="T1683" s="496"/>
    </row>
    <row r="1684">
      <c r="A1684" s="494" t="s">
        <v>3401</v>
      </c>
      <c r="B1684" s="495" t="s">
        <v>3580</v>
      </c>
      <c r="C1684" s="452" t="str">
        <f t="shared" si="275"/>
        <v>Gainward</v>
      </c>
      <c r="D1684" s="537" t="s">
        <v>4188</v>
      </c>
      <c r="E1684" s="629">
        <v>329.5</v>
      </c>
      <c r="F1684" s="585">
        <v>136.0</v>
      </c>
      <c r="G1684" s="630">
        <v>52.0</v>
      </c>
      <c r="H1684" s="266">
        <v>2.0</v>
      </c>
      <c r="I1684" s="266">
        <v>1695.0</v>
      </c>
      <c r="J1684" s="266">
        <v>14.0</v>
      </c>
      <c r="K1684" s="266">
        <v>200.0</v>
      </c>
      <c r="L1684" s="266">
        <v>8.0</v>
      </c>
      <c r="M1684" s="266">
        <v>3.0</v>
      </c>
      <c r="N1684" s="266">
        <v>3.0</v>
      </c>
      <c r="O1684" s="266">
        <v>1.0</v>
      </c>
      <c r="P1684" s="266" t="s">
        <v>166</v>
      </c>
      <c r="Q1684" s="266" t="s">
        <v>166</v>
      </c>
      <c r="R1684" s="497" t="s">
        <v>166</v>
      </c>
      <c r="S1684" s="497" t="s">
        <v>166</v>
      </c>
      <c r="T1684" s="494"/>
    </row>
    <row r="1685">
      <c r="A1685" s="494" t="s">
        <v>3401</v>
      </c>
      <c r="B1685" s="495" t="s">
        <v>3580</v>
      </c>
      <c r="C1685" s="452" t="str">
        <f t="shared" si="275"/>
        <v>Gainward</v>
      </c>
      <c r="D1685" s="537" t="s">
        <v>4189</v>
      </c>
      <c r="E1685" s="629">
        <v>329.5</v>
      </c>
      <c r="F1685" s="585">
        <v>136.0</v>
      </c>
      <c r="G1685" s="630">
        <v>52.0</v>
      </c>
      <c r="H1685" s="266">
        <v>2.0</v>
      </c>
      <c r="I1685" s="266">
        <v>1665.0</v>
      </c>
      <c r="J1685" s="266">
        <v>14.0</v>
      </c>
      <c r="K1685" s="266">
        <v>200.0</v>
      </c>
      <c r="L1685" s="266">
        <v>8.0</v>
      </c>
      <c r="M1685" s="266">
        <v>3.0</v>
      </c>
      <c r="N1685" s="266">
        <v>3.0</v>
      </c>
      <c r="O1685" s="266">
        <v>1.0</v>
      </c>
      <c r="P1685" s="266" t="s">
        <v>166</v>
      </c>
      <c r="Q1685" s="266" t="s">
        <v>166</v>
      </c>
      <c r="R1685" s="497" t="s">
        <v>166</v>
      </c>
      <c r="S1685" s="497" t="s">
        <v>166</v>
      </c>
      <c r="T1685" s="496"/>
    </row>
    <row r="1686">
      <c r="A1686" s="494" t="s">
        <v>3401</v>
      </c>
      <c r="B1686" s="495" t="s">
        <v>3580</v>
      </c>
      <c r="C1686" s="452" t="str">
        <f t="shared" si="275"/>
        <v>Gainward</v>
      </c>
      <c r="D1686" s="537" t="s">
        <v>4190</v>
      </c>
      <c r="E1686" s="629">
        <v>329.5</v>
      </c>
      <c r="F1686" s="585">
        <v>136.0</v>
      </c>
      <c r="G1686" s="630">
        <v>52.0</v>
      </c>
      <c r="H1686" s="266">
        <v>2.0</v>
      </c>
      <c r="I1686" s="266">
        <v>1665.0</v>
      </c>
      <c r="J1686" s="266">
        <v>14.0</v>
      </c>
      <c r="K1686" s="266">
        <v>200.0</v>
      </c>
      <c r="L1686" s="266">
        <v>8.0</v>
      </c>
      <c r="M1686" s="266">
        <v>3.0</v>
      </c>
      <c r="N1686" s="266">
        <v>3.0</v>
      </c>
      <c r="O1686" s="266">
        <v>1.0</v>
      </c>
      <c r="P1686" s="266" t="s">
        <v>166</v>
      </c>
      <c r="Q1686" s="266" t="s">
        <v>166</v>
      </c>
      <c r="R1686" s="497" t="s">
        <v>166</v>
      </c>
      <c r="S1686" s="497" t="s">
        <v>166</v>
      </c>
      <c r="T1686" s="494"/>
    </row>
    <row r="1687">
      <c r="A1687" s="494" t="s">
        <v>3401</v>
      </c>
      <c r="B1687" s="495" t="s">
        <v>3580</v>
      </c>
      <c r="C1687" s="452" t="str">
        <f t="shared" si="275"/>
        <v>Gainward</v>
      </c>
      <c r="D1687" s="537" t="s">
        <v>4191</v>
      </c>
      <c r="E1687" s="629">
        <v>329.5</v>
      </c>
      <c r="F1687" s="585">
        <v>136.0</v>
      </c>
      <c r="G1687" s="630">
        <v>52.0</v>
      </c>
      <c r="H1687" s="266">
        <v>2.0</v>
      </c>
      <c r="I1687" s="266">
        <v>1695.0</v>
      </c>
      <c r="J1687" s="266">
        <v>14.0</v>
      </c>
      <c r="K1687" s="266">
        <v>200.0</v>
      </c>
      <c r="L1687" s="266">
        <v>8.0</v>
      </c>
      <c r="M1687" s="266">
        <v>3.0</v>
      </c>
      <c r="N1687" s="266">
        <v>3.0</v>
      </c>
      <c r="O1687" s="266">
        <v>1.0</v>
      </c>
      <c r="P1687" s="266" t="s">
        <v>166</v>
      </c>
      <c r="Q1687" s="266" t="s">
        <v>166</v>
      </c>
      <c r="R1687" s="497" t="s">
        <v>166</v>
      </c>
      <c r="S1687" s="497" t="s">
        <v>166</v>
      </c>
      <c r="T1687" s="496"/>
    </row>
    <row r="1688">
      <c r="A1688" s="494" t="s">
        <v>3401</v>
      </c>
      <c r="B1688" s="495" t="s">
        <v>3580</v>
      </c>
      <c r="C1688" s="452" t="str">
        <f t="shared" si="275"/>
        <v>Gainward</v>
      </c>
      <c r="D1688" s="537" t="s">
        <v>4192</v>
      </c>
      <c r="E1688" s="629">
        <v>329.5</v>
      </c>
      <c r="F1688" s="585">
        <v>136.0</v>
      </c>
      <c r="G1688" s="630">
        <v>52.0</v>
      </c>
      <c r="H1688" s="266">
        <v>2.0</v>
      </c>
      <c r="I1688" s="266">
        <v>1695.0</v>
      </c>
      <c r="J1688" s="266">
        <v>14.0</v>
      </c>
      <c r="K1688" s="266">
        <v>200.0</v>
      </c>
      <c r="L1688" s="266">
        <v>8.0</v>
      </c>
      <c r="M1688" s="266">
        <v>3.0</v>
      </c>
      <c r="N1688" s="266">
        <v>3.0</v>
      </c>
      <c r="O1688" s="266">
        <v>1.0</v>
      </c>
      <c r="P1688" s="266" t="s">
        <v>166</v>
      </c>
      <c r="Q1688" s="266" t="s">
        <v>166</v>
      </c>
      <c r="R1688" s="497" t="s">
        <v>166</v>
      </c>
      <c r="S1688" s="497" t="s">
        <v>166</v>
      </c>
      <c r="T1688" s="494"/>
    </row>
    <row r="1689">
      <c r="A1689" s="494" t="s">
        <v>3401</v>
      </c>
      <c r="B1689" s="495" t="s">
        <v>3580</v>
      </c>
      <c r="C1689" s="452" t="str">
        <f t="shared" si="275"/>
        <v>Gainward</v>
      </c>
      <c r="D1689" s="537" t="s">
        <v>4193</v>
      </c>
      <c r="E1689" s="266">
        <v>332.9</v>
      </c>
      <c r="F1689" s="266">
        <v>133.0</v>
      </c>
      <c r="G1689" s="266">
        <v>60.0</v>
      </c>
      <c r="H1689" s="266">
        <v>2.0</v>
      </c>
      <c r="I1689" s="266">
        <v>1665.0</v>
      </c>
      <c r="J1689" s="266">
        <v>14.0</v>
      </c>
      <c r="K1689" s="266">
        <v>200.0</v>
      </c>
      <c r="L1689" s="266">
        <v>8.0</v>
      </c>
      <c r="M1689" s="266">
        <v>3.0</v>
      </c>
      <c r="N1689" s="266">
        <v>3.0</v>
      </c>
      <c r="O1689" s="266">
        <v>1.0</v>
      </c>
      <c r="P1689" s="266" t="s">
        <v>166</v>
      </c>
      <c r="Q1689" s="266" t="s">
        <v>166</v>
      </c>
      <c r="R1689" s="497" t="s">
        <v>166</v>
      </c>
      <c r="S1689" s="497" t="s">
        <v>166</v>
      </c>
      <c r="T1689" s="496"/>
    </row>
    <row r="1690">
      <c r="A1690" s="494" t="s">
        <v>3401</v>
      </c>
      <c r="B1690" s="495" t="s">
        <v>3580</v>
      </c>
      <c r="C1690" s="452" t="str">
        <f t="shared" si="275"/>
        <v>Gainward</v>
      </c>
      <c r="D1690" s="537" t="s">
        <v>4194</v>
      </c>
      <c r="E1690" s="266">
        <v>332.9</v>
      </c>
      <c r="F1690" s="266">
        <v>133.0</v>
      </c>
      <c r="G1690" s="266">
        <v>60.0</v>
      </c>
      <c r="H1690" s="266">
        <v>2.0</v>
      </c>
      <c r="I1690" s="266">
        <v>1665.0</v>
      </c>
      <c r="J1690" s="266">
        <v>14.0</v>
      </c>
      <c r="K1690" s="266">
        <v>200.0</v>
      </c>
      <c r="L1690" s="266">
        <v>8.0</v>
      </c>
      <c r="M1690" s="266">
        <v>3.0</v>
      </c>
      <c r="N1690" s="266">
        <v>3.0</v>
      </c>
      <c r="O1690" s="266">
        <v>1.0</v>
      </c>
      <c r="P1690" s="266" t="s">
        <v>166</v>
      </c>
      <c r="Q1690" s="266" t="s">
        <v>166</v>
      </c>
      <c r="R1690" s="497" t="s">
        <v>166</v>
      </c>
      <c r="S1690" s="497" t="s">
        <v>166</v>
      </c>
      <c r="T1690" s="494"/>
    </row>
    <row r="1691">
      <c r="A1691" s="494" t="s">
        <v>3401</v>
      </c>
      <c r="B1691" s="495" t="s">
        <v>3580</v>
      </c>
      <c r="C1691" s="452" t="str">
        <f t="shared" si="275"/>
        <v>Gainward</v>
      </c>
      <c r="D1691" s="537" t="s">
        <v>4195</v>
      </c>
      <c r="E1691" s="266">
        <v>325.0</v>
      </c>
      <c r="F1691" s="266">
        <v>133.0</v>
      </c>
      <c r="G1691" s="266">
        <v>52.0</v>
      </c>
      <c r="H1691" s="266">
        <v>2.0</v>
      </c>
      <c r="I1691" s="266">
        <v>1740.0</v>
      </c>
      <c r="J1691" s="266">
        <v>14.0</v>
      </c>
      <c r="K1691" s="266">
        <v>200.0</v>
      </c>
      <c r="L1691" s="266">
        <v>8.0</v>
      </c>
      <c r="M1691" s="266">
        <v>3.0</v>
      </c>
      <c r="N1691" s="266">
        <v>3.0</v>
      </c>
      <c r="O1691" s="266">
        <v>1.0</v>
      </c>
      <c r="P1691" s="266" t="s">
        <v>166</v>
      </c>
      <c r="Q1691" s="266" t="s">
        <v>166</v>
      </c>
      <c r="R1691" s="497" t="s">
        <v>166</v>
      </c>
      <c r="S1691" s="497" t="s">
        <v>166</v>
      </c>
      <c r="T1691" s="496"/>
    </row>
    <row r="1692">
      <c r="A1692" s="494" t="s">
        <v>3401</v>
      </c>
      <c r="B1692" s="495" t="s">
        <v>3580</v>
      </c>
      <c r="C1692" s="452" t="str">
        <f t="shared" si="275"/>
        <v>Gainward</v>
      </c>
      <c r="D1692" s="537" t="s">
        <v>4196</v>
      </c>
      <c r="E1692" s="266">
        <v>325.0</v>
      </c>
      <c r="F1692" s="266">
        <v>133.0</v>
      </c>
      <c r="G1692" s="266">
        <v>52.0</v>
      </c>
      <c r="H1692" s="266">
        <v>2.0</v>
      </c>
      <c r="I1692" s="266">
        <v>1740.0</v>
      </c>
      <c r="J1692" s="266">
        <v>14.0</v>
      </c>
      <c r="K1692" s="266">
        <v>200.0</v>
      </c>
      <c r="L1692" s="266">
        <v>8.0</v>
      </c>
      <c r="M1692" s="266">
        <v>3.0</v>
      </c>
      <c r="N1692" s="266">
        <v>3.0</v>
      </c>
      <c r="O1692" s="266">
        <v>1.0</v>
      </c>
      <c r="P1692" s="266" t="s">
        <v>166</v>
      </c>
      <c r="Q1692" s="266" t="s">
        <v>166</v>
      </c>
      <c r="R1692" s="497" t="s">
        <v>166</v>
      </c>
      <c r="S1692" s="497" t="s">
        <v>166</v>
      </c>
      <c r="T1692" s="494"/>
    </row>
    <row r="1693">
      <c r="A1693" s="494" t="s">
        <v>3401</v>
      </c>
      <c r="B1693" s="495" t="s">
        <v>3580</v>
      </c>
      <c r="C1693" s="452" t="str">
        <f t="shared" si="275"/>
        <v>Gainward</v>
      </c>
      <c r="D1693" s="537" t="s">
        <v>3926</v>
      </c>
      <c r="E1693" s="266">
        <v>247.0</v>
      </c>
      <c r="F1693" s="266">
        <v>120.0</v>
      </c>
      <c r="G1693" s="266">
        <v>40.0</v>
      </c>
      <c r="H1693" s="266">
        <v>2.0</v>
      </c>
      <c r="I1693" s="266">
        <v>1665.0</v>
      </c>
      <c r="J1693" s="266">
        <v>14.0</v>
      </c>
      <c r="K1693" s="266">
        <v>200.0</v>
      </c>
      <c r="L1693" s="266">
        <v>8.0</v>
      </c>
      <c r="M1693" s="266">
        <v>2.0</v>
      </c>
      <c r="N1693" s="266">
        <v>3.0</v>
      </c>
      <c r="O1693" s="266">
        <v>1.0</v>
      </c>
      <c r="P1693" s="266" t="s">
        <v>166</v>
      </c>
      <c r="Q1693" s="266" t="s">
        <v>166</v>
      </c>
      <c r="R1693" s="497" t="s">
        <v>166</v>
      </c>
      <c r="S1693" s="497" t="s">
        <v>166</v>
      </c>
      <c r="T1693" s="496"/>
    </row>
    <row r="1694">
      <c r="A1694" s="494" t="s">
        <v>3401</v>
      </c>
      <c r="B1694" s="495" t="s">
        <v>3580</v>
      </c>
      <c r="C1694" s="452" t="str">
        <f t="shared" si="275"/>
        <v>Gainward</v>
      </c>
      <c r="D1694" s="537" t="s">
        <v>4197</v>
      </c>
      <c r="E1694" s="266">
        <v>247.0</v>
      </c>
      <c r="F1694" s="266">
        <v>120.0</v>
      </c>
      <c r="G1694" s="266">
        <v>40.0</v>
      </c>
      <c r="H1694" s="266">
        <v>2.0</v>
      </c>
      <c r="I1694" s="266">
        <v>1665.0</v>
      </c>
      <c r="J1694" s="266">
        <v>14.0</v>
      </c>
      <c r="K1694" s="266">
        <v>200.0</v>
      </c>
      <c r="L1694" s="266">
        <v>8.0</v>
      </c>
      <c r="M1694" s="266">
        <v>2.0</v>
      </c>
      <c r="N1694" s="266">
        <v>3.0</v>
      </c>
      <c r="O1694" s="266">
        <v>1.0</v>
      </c>
      <c r="P1694" s="266" t="s">
        <v>166</v>
      </c>
      <c r="Q1694" s="266" t="s">
        <v>166</v>
      </c>
      <c r="R1694" s="497" t="s">
        <v>166</v>
      </c>
      <c r="S1694" s="497" t="s">
        <v>166</v>
      </c>
      <c r="T1694" s="494"/>
    </row>
    <row r="1695">
      <c r="A1695" s="494" t="s">
        <v>3401</v>
      </c>
      <c r="B1695" s="495" t="s">
        <v>3580</v>
      </c>
      <c r="C1695" s="452" t="str">
        <f t="shared" si="275"/>
        <v>Gainward</v>
      </c>
      <c r="D1695" s="537" t="s">
        <v>3488</v>
      </c>
      <c r="E1695" s="266">
        <v>247.0</v>
      </c>
      <c r="F1695" s="266">
        <v>120.0</v>
      </c>
      <c r="G1695" s="266">
        <v>40.0</v>
      </c>
      <c r="H1695" s="266">
        <v>2.0</v>
      </c>
      <c r="I1695" s="266">
        <v>1695.0</v>
      </c>
      <c r="J1695" s="266">
        <v>14.0</v>
      </c>
      <c r="K1695" s="266">
        <v>200.0</v>
      </c>
      <c r="L1695" s="266">
        <v>8.0</v>
      </c>
      <c r="M1695" s="266">
        <v>2.0</v>
      </c>
      <c r="N1695" s="266">
        <v>3.0</v>
      </c>
      <c r="O1695" s="266">
        <v>1.0</v>
      </c>
      <c r="P1695" s="266" t="s">
        <v>166</v>
      </c>
      <c r="Q1695" s="266" t="s">
        <v>166</v>
      </c>
      <c r="R1695" s="497" t="s">
        <v>166</v>
      </c>
      <c r="S1695" s="497" t="s">
        <v>166</v>
      </c>
      <c r="T1695" s="496"/>
    </row>
    <row r="1696">
      <c r="A1696" s="494" t="s">
        <v>3401</v>
      </c>
      <c r="B1696" s="495" t="s">
        <v>3580</v>
      </c>
      <c r="C1696" s="452" t="str">
        <f t="shared" si="275"/>
        <v>Gainward</v>
      </c>
      <c r="D1696" s="537" t="s">
        <v>4198</v>
      </c>
      <c r="E1696" s="266">
        <v>247.0</v>
      </c>
      <c r="F1696" s="266">
        <v>120.0</v>
      </c>
      <c r="G1696" s="266">
        <v>40.0</v>
      </c>
      <c r="H1696" s="266">
        <v>2.0</v>
      </c>
      <c r="I1696" s="266">
        <v>1695.0</v>
      </c>
      <c r="J1696" s="266">
        <v>14.0</v>
      </c>
      <c r="K1696" s="266">
        <v>200.0</v>
      </c>
      <c r="L1696" s="266">
        <v>8.0</v>
      </c>
      <c r="M1696" s="266">
        <v>2.0</v>
      </c>
      <c r="N1696" s="266">
        <v>3.0</v>
      </c>
      <c r="O1696" s="266">
        <v>1.0</v>
      </c>
      <c r="P1696" s="266" t="s">
        <v>166</v>
      </c>
      <c r="Q1696" s="266" t="s">
        <v>166</v>
      </c>
      <c r="R1696" s="497" t="s">
        <v>166</v>
      </c>
      <c r="S1696" s="497" t="s">
        <v>166</v>
      </c>
      <c r="T1696" s="494"/>
    </row>
    <row r="1697">
      <c r="A1697" s="494" t="s">
        <v>3401</v>
      </c>
      <c r="B1697" s="495" t="s">
        <v>3580</v>
      </c>
      <c r="C1697" s="452" t="str">
        <f t="shared" si="275"/>
        <v>Gainward</v>
      </c>
      <c r="D1697" s="537" t="s">
        <v>3371</v>
      </c>
      <c r="E1697" s="266">
        <v>294.0</v>
      </c>
      <c r="F1697" s="266">
        <v>112.0</v>
      </c>
      <c r="G1697" s="266">
        <v>54.0</v>
      </c>
      <c r="H1697" s="266">
        <v>2.0</v>
      </c>
      <c r="I1697" s="266">
        <v>1665.0</v>
      </c>
      <c r="J1697" s="266">
        <v>14.0</v>
      </c>
      <c r="K1697" s="266">
        <v>220.0</v>
      </c>
      <c r="L1697" s="266" t="s">
        <v>3460</v>
      </c>
      <c r="M1697" s="266">
        <v>3.0</v>
      </c>
      <c r="N1697" s="266">
        <v>3.0</v>
      </c>
      <c r="O1697" s="266">
        <v>1.0</v>
      </c>
      <c r="P1697" s="266" t="s">
        <v>166</v>
      </c>
      <c r="Q1697" s="266" t="s">
        <v>166</v>
      </c>
      <c r="R1697" s="497" t="s">
        <v>166</v>
      </c>
      <c r="S1697" s="497" t="s">
        <v>166</v>
      </c>
      <c r="T1697" s="496"/>
    </row>
    <row r="1698">
      <c r="A1698" s="494" t="s">
        <v>3401</v>
      </c>
      <c r="B1698" s="495" t="s">
        <v>3580</v>
      </c>
      <c r="C1698" s="452" t="str">
        <f t="shared" si="275"/>
        <v>Gainward</v>
      </c>
      <c r="D1698" s="537" t="s">
        <v>4010</v>
      </c>
      <c r="E1698" s="266">
        <v>294.0</v>
      </c>
      <c r="F1698" s="266">
        <v>112.0</v>
      </c>
      <c r="G1698" s="266">
        <v>54.0</v>
      </c>
      <c r="H1698" s="266">
        <v>2.0</v>
      </c>
      <c r="I1698" s="266">
        <v>1665.0</v>
      </c>
      <c r="J1698" s="266">
        <v>14.0</v>
      </c>
      <c r="K1698" s="266">
        <v>220.0</v>
      </c>
      <c r="L1698" s="266" t="s">
        <v>3460</v>
      </c>
      <c r="M1698" s="266">
        <v>3.0</v>
      </c>
      <c r="N1698" s="266">
        <v>3.0</v>
      </c>
      <c r="O1698" s="266">
        <v>1.0</v>
      </c>
      <c r="P1698" s="266" t="s">
        <v>166</v>
      </c>
      <c r="Q1698" s="266" t="s">
        <v>166</v>
      </c>
      <c r="R1698" s="497" t="s">
        <v>166</v>
      </c>
      <c r="S1698" s="497" t="s">
        <v>166</v>
      </c>
      <c r="T1698" s="494"/>
    </row>
    <row r="1699">
      <c r="A1699" s="494" t="s">
        <v>3401</v>
      </c>
      <c r="B1699" s="495" t="s">
        <v>3580</v>
      </c>
      <c r="C1699" s="452" t="str">
        <f t="shared" si="275"/>
        <v>Gainward</v>
      </c>
      <c r="D1699" s="537" t="s">
        <v>3917</v>
      </c>
      <c r="E1699" s="266">
        <v>294.0</v>
      </c>
      <c r="F1699" s="266">
        <v>112.0</v>
      </c>
      <c r="G1699" s="266">
        <v>54.0</v>
      </c>
      <c r="H1699" s="266">
        <v>2.0</v>
      </c>
      <c r="I1699" s="266">
        <v>1800.0</v>
      </c>
      <c r="J1699" s="266">
        <v>14.0</v>
      </c>
      <c r="K1699" s="266">
        <v>240.0</v>
      </c>
      <c r="L1699" s="266" t="s">
        <v>3460</v>
      </c>
      <c r="M1699" s="266">
        <v>3.0</v>
      </c>
      <c r="N1699" s="266">
        <v>3.0</v>
      </c>
      <c r="O1699" s="266">
        <v>1.0</v>
      </c>
      <c r="P1699" s="266" t="s">
        <v>166</v>
      </c>
      <c r="Q1699" s="266" t="s">
        <v>166</v>
      </c>
      <c r="R1699" s="497" t="s">
        <v>166</v>
      </c>
      <c r="S1699" s="497" t="s">
        <v>166</v>
      </c>
      <c r="T1699" s="496"/>
    </row>
    <row r="1700">
      <c r="A1700" s="494" t="s">
        <v>3401</v>
      </c>
      <c r="B1700" s="495" t="s">
        <v>3580</v>
      </c>
      <c r="C1700" s="452" t="str">
        <f t="shared" si="275"/>
        <v>Gainward</v>
      </c>
      <c r="D1700" s="537" t="s">
        <v>4199</v>
      </c>
      <c r="E1700" s="266">
        <v>294.0</v>
      </c>
      <c r="F1700" s="266">
        <v>112.0</v>
      </c>
      <c r="G1700" s="266">
        <v>54.0</v>
      </c>
      <c r="H1700" s="266">
        <v>2.0</v>
      </c>
      <c r="I1700" s="266">
        <v>1800.0</v>
      </c>
      <c r="J1700" s="266">
        <v>14.0</v>
      </c>
      <c r="K1700" s="266">
        <v>240.0</v>
      </c>
      <c r="L1700" s="266" t="s">
        <v>3460</v>
      </c>
      <c r="M1700" s="266">
        <v>3.0</v>
      </c>
      <c r="N1700" s="266">
        <v>3.0</v>
      </c>
      <c r="O1700" s="266">
        <v>1.0</v>
      </c>
      <c r="P1700" s="266" t="s">
        <v>166</v>
      </c>
      <c r="Q1700" s="266" t="s">
        <v>166</v>
      </c>
      <c r="R1700" s="497" t="s">
        <v>166</v>
      </c>
      <c r="S1700" s="497" t="s">
        <v>166</v>
      </c>
      <c r="T1700" s="494"/>
    </row>
    <row r="1701">
      <c r="A1701" s="494" t="s">
        <v>3401</v>
      </c>
      <c r="B1701" s="495" t="s">
        <v>3580</v>
      </c>
      <c r="C1701" s="174" t="s">
        <v>3456</v>
      </c>
      <c r="D1701" s="537" t="s">
        <v>4074</v>
      </c>
      <c r="E1701" s="266">
        <v>261.0</v>
      </c>
      <c r="F1701" s="266">
        <v>125.0</v>
      </c>
      <c r="G1701" s="266">
        <v>44.0</v>
      </c>
      <c r="H1701" s="266">
        <v>2.0</v>
      </c>
      <c r="I1701" s="266">
        <v>1665.0</v>
      </c>
      <c r="J1701" s="266">
        <v>14.0</v>
      </c>
      <c r="K1701" s="266">
        <v>200.0</v>
      </c>
      <c r="L1701" s="266">
        <v>8.0</v>
      </c>
      <c r="M1701" s="266">
        <v>2.0</v>
      </c>
      <c r="N1701" s="266">
        <v>3.0</v>
      </c>
      <c r="O1701" s="266">
        <v>1.0</v>
      </c>
      <c r="P1701" s="266" t="s">
        <v>166</v>
      </c>
      <c r="Q1701" s="266" t="s">
        <v>166</v>
      </c>
      <c r="R1701" s="497" t="s">
        <v>166</v>
      </c>
      <c r="S1701" s="497" t="s">
        <v>166</v>
      </c>
      <c r="T1701" s="496"/>
    </row>
    <row r="1702">
      <c r="A1702" s="494" t="s">
        <v>3401</v>
      </c>
      <c r="B1702" s="495" t="s">
        <v>3580</v>
      </c>
      <c r="C1702" s="174" t="s">
        <v>3456</v>
      </c>
      <c r="D1702" s="537" t="s">
        <v>4113</v>
      </c>
      <c r="E1702" s="266">
        <v>261.0</v>
      </c>
      <c r="F1702" s="266">
        <v>125.0</v>
      </c>
      <c r="G1702" s="266">
        <v>44.0</v>
      </c>
      <c r="H1702" s="266">
        <v>2.0</v>
      </c>
      <c r="I1702" s="266">
        <v>1665.0</v>
      </c>
      <c r="J1702" s="266">
        <v>14.0</v>
      </c>
      <c r="K1702" s="266">
        <v>200.0</v>
      </c>
      <c r="L1702" s="266">
        <v>8.0</v>
      </c>
      <c r="M1702" s="266">
        <v>2.0</v>
      </c>
      <c r="N1702" s="266">
        <v>3.0</v>
      </c>
      <c r="O1702" s="266">
        <v>1.0</v>
      </c>
      <c r="P1702" s="266" t="s">
        <v>166</v>
      </c>
      <c r="Q1702" s="266" t="s">
        <v>166</v>
      </c>
      <c r="R1702" s="497" t="s">
        <v>166</v>
      </c>
      <c r="S1702" s="497" t="s">
        <v>166</v>
      </c>
      <c r="T1702" s="494"/>
    </row>
    <row r="1703">
      <c r="A1703" s="494" t="s">
        <v>3401</v>
      </c>
      <c r="B1703" s="495" t="s">
        <v>3580</v>
      </c>
      <c r="C1703" s="174" t="s">
        <v>3456</v>
      </c>
      <c r="D1703" s="537" t="s">
        <v>4200</v>
      </c>
      <c r="E1703" s="266">
        <v>303.0</v>
      </c>
      <c r="F1703" s="266">
        <v>116.0</v>
      </c>
      <c r="G1703" s="266">
        <v>45.0</v>
      </c>
      <c r="H1703" s="266">
        <v>2.0</v>
      </c>
      <c r="I1703" s="266">
        <v>1665.0</v>
      </c>
      <c r="J1703" s="266">
        <v>14.0</v>
      </c>
      <c r="K1703" s="266">
        <v>200.0</v>
      </c>
      <c r="L1703" s="266">
        <v>8.0</v>
      </c>
      <c r="M1703" s="266">
        <v>3.0</v>
      </c>
      <c r="N1703" s="266">
        <v>3.0</v>
      </c>
      <c r="O1703" s="266">
        <v>1.0</v>
      </c>
      <c r="P1703" s="266" t="s">
        <v>166</v>
      </c>
      <c r="Q1703" s="266" t="s">
        <v>166</v>
      </c>
      <c r="R1703" s="497" t="s">
        <v>166</v>
      </c>
      <c r="S1703" s="497" t="s">
        <v>166</v>
      </c>
      <c r="T1703" s="496"/>
    </row>
    <row r="1704">
      <c r="A1704" s="494" t="s">
        <v>3401</v>
      </c>
      <c r="B1704" s="495" t="s">
        <v>3580</v>
      </c>
      <c r="C1704" s="174" t="s">
        <v>3456</v>
      </c>
      <c r="D1704" s="537" t="s">
        <v>4201</v>
      </c>
      <c r="E1704" s="266">
        <v>303.0</v>
      </c>
      <c r="F1704" s="266">
        <v>116.0</v>
      </c>
      <c r="G1704" s="266">
        <v>45.0</v>
      </c>
      <c r="H1704" s="266">
        <v>2.0</v>
      </c>
      <c r="I1704" s="266">
        <v>1665.0</v>
      </c>
      <c r="J1704" s="266">
        <v>14.0</v>
      </c>
      <c r="K1704" s="266">
        <v>200.0</v>
      </c>
      <c r="L1704" s="266">
        <v>8.0</v>
      </c>
      <c r="M1704" s="266">
        <v>3.0</v>
      </c>
      <c r="N1704" s="266">
        <v>3.0</v>
      </c>
      <c r="O1704" s="266">
        <v>1.0</v>
      </c>
      <c r="P1704" s="266" t="s">
        <v>166</v>
      </c>
      <c r="Q1704" s="266" t="s">
        <v>166</v>
      </c>
      <c r="R1704" s="497" t="s">
        <v>166</v>
      </c>
      <c r="S1704" s="497" t="s">
        <v>166</v>
      </c>
      <c r="T1704" s="494"/>
    </row>
    <row r="1705">
      <c r="A1705" s="494" t="s">
        <v>3401</v>
      </c>
      <c r="B1705" s="495" t="s">
        <v>3580</v>
      </c>
      <c r="C1705" s="174" t="s">
        <v>3456</v>
      </c>
      <c r="D1705" s="537" t="s">
        <v>4202</v>
      </c>
      <c r="E1705" s="266">
        <v>303.0</v>
      </c>
      <c r="F1705" s="266">
        <v>116.0</v>
      </c>
      <c r="G1705" s="266">
        <v>45.0</v>
      </c>
      <c r="H1705" s="266">
        <v>2.0</v>
      </c>
      <c r="I1705" s="266">
        <v>1710.0</v>
      </c>
      <c r="J1705" s="266">
        <v>14.0</v>
      </c>
      <c r="K1705" s="266">
        <v>220.0</v>
      </c>
      <c r="L1705" s="266">
        <v>8.0</v>
      </c>
      <c r="M1705" s="266">
        <v>3.0</v>
      </c>
      <c r="N1705" s="266">
        <v>3.0</v>
      </c>
      <c r="O1705" s="266">
        <v>1.0</v>
      </c>
      <c r="P1705" s="266" t="s">
        <v>166</v>
      </c>
      <c r="Q1705" s="266" t="s">
        <v>166</v>
      </c>
      <c r="R1705" s="497" t="s">
        <v>166</v>
      </c>
      <c r="S1705" s="497" t="s">
        <v>166</v>
      </c>
      <c r="T1705" s="496"/>
    </row>
    <row r="1706">
      <c r="A1706" s="494" t="s">
        <v>3401</v>
      </c>
      <c r="B1706" s="495" t="s">
        <v>3580</v>
      </c>
      <c r="C1706" s="174" t="s">
        <v>3456</v>
      </c>
      <c r="D1706" s="537" t="s">
        <v>4203</v>
      </c>
      <c r="E1706" s="266">
        <v>303.0</v>
      </c>
      <c r="F1706" s="266">
        <v>116.0</v>
      </c>
      <c r="G1706" s="266">
        <v>45.0</v>
      </c>
      <c r="H1706" s="266">
        <v>2.0</v>
      </c>
      <c r="I1706" s="266">
        <v>1710.0</v>
      </c>
      <c r="J1706" s="266">
        <v>14.0</v>
      </c>
      <c r="K1706" s="266">
        <v>220.0</v>
      </c>
      <c r="L1706" s="266">
        <v>8.0</v>
      </c>
      <c r="M1706" s="266">
        <v>3.0</v>
      </c>
      <c r="N1706" s="266">
        <v>3.0</v>
      </c>
      <c r="O1706" s="266">
        <v>1.0</v>
      </c>
      <c r="P1706" s="266" t="s">
        <v>166</v>
      </c>
      <c r="Q1706" s="266" t="s">
        <v>166</v>
      </c>
      <c r="R1706" s="497" t="s">
        <v>166</v>
      </c>
      <c r="S1706" s="497" t="s">
        <v>166</v>
      </c>
      <c r="T1706" s="494"/>
    </row>
    <row r="1707">
      <c r="A1707" s="494" t="s">
        <v>3401</v>
      </c>
      <c r="B1707" s="495" t="s">
        <v>3580</v>
      </c>
      <c r="C1707" s="174" t="s">
        <v>3456</v>
      </c>
      <c r="D1707" s="537" t="s">
        <v>4204</v>
      </c>
      <c r="E1707" s="266">
        <v>318.0</v>
      </c>
      <c r="F1707" s="266">
        <v>107.0</v>
      </c>
      <c r="G1707" s="266">
        <v>49.0</v>
      </c>
      <c r="H1707" s="266">
        <v>2.0</v>
      </c>
      <c r="I1707" s="266">
        <v>1665.0</v>
      </c>
      <c r="J1707" s="266">
        <v>14.0</v>
      </c>
      <c r="K1707" s="266">
        <v>200.0</v>
      </c>
      <c r="L1707" s="266">
        <v>8.0</v>
      </c>
      <c r="M1707" s="266">
        <v>3.0</v>
      </c>
      <c r="N1707" s="266">
        <v>3.0</v>
      </c>
      <c r="O1707" s="266">
        <v>1.0</v>
      </c>
      <c r="P1707" s="266" t="s">
        <v>166</v>
      </c>
      <c r="Q1707" s="266" t="s">
        <v>166</v>
      </c>
      <c r="R1707" s="497" t="s">
        <v>166</v>
      </c>
      <c r="S1707" s="497" t="s">
        <v>166</v>
      </c>
      <c r="T1707" s="496"/>
    </row>
    <row r="1708">
      <c r="A1708" s="494" t="s">
        <v>3401</v>
      </c>
      <c r="B1708" s="495" t="s">
        <v>3580</v>
      </c>
      <c r="C1708" s="174" t="s">
        <v>3456</v>
      </c>
      <c r="D1708" s="537" t="s">
        <v>4205</v>
      </c>
      <c r="E1708" s="266">
        <v>318.0</v>
      </c>
      <c r="F1708" s="266">
        <v>107.0</v>
      </c>
      <c r="G1708" s="266">
        <v>49.0</v>
      </c>
      <c r="H1708" s="266">
        <v>2.0</v>
      </c>
      <c r="I1708" s="266">
        <v>1665.0</v>
      </c>
      <c r="J1708" s="266">
        <v>14.0</v>
      </c>
      <c r="K1708" s="266">
        <v>200.0</v>
      </c>
      <c r="L1708" s="266">
        <v>8.0</v>
      </c>
      <c r="M1708" s="266">
        <v>3.0</v>
      </c>
      <c r="N1708" s="266">
        <v>3.0</v>
      </c>
      <c r="O1708" s="266">
        <v>1.0</v>
      </c>
      <c r="P1708" s="266" t="s">
        <v>166</v>
      </c>
      <c r="Q1708" s="266" t="s">
        <v>166</v>
      </c>
      <c r="R1708" s="497" t="s">
        <v>166</v>
      </c>
      <c r="S1708" s="497" t="s">
        <v>166</v>
      </c>
      <c r="T1708" s="494"/>
    </row>
    <row r="1709">
      <c r="A1709" s="494" t="s">
        <v>3401</v>
      </c>
      <c r="B1709" s="495" t="s">
        <v>3580</v>
      </c>
      <c r="C1709" s="174" t="s">
        <v>3456</v>
      </c>
      <c r="D1709" s="537" t="s">
        <v>4206</v>
      </c>
      <c r="E1709" s="266">
        <v>318.0</v>
      </c>
      <c r="F1709" s="266">
        <v>107.0</v>
      </c>
      <c r="G1709" s="266">
        <v>49.0</v>
      </c>
      <c r="H1709" s="266">
        <v>2.0</v>
      </c>
      <c r="I1709" s="266">
        <v>1725.0</v>
      </c>
      <c r="J1709" s="266">
        <v>14.0</v>
      </c>
      <c r="K1709" s="266">
        <v>220.0</v>
      </c>
      <c r="L1709" s="266">
        <v>8.0</v>
      </c>
      <c r="M1709" s="266">
        <v>3.0</v>
      </c>
      <c r="N1709" s="266">
        <v>3.0</v>
      </c>
      <c r="O1709" s="266">
        <v>1.0</v>
      </c>
      <c r="P1709" s="266" t="s">
        <v>166</v>
      </c>
      <c r="Q1709" s="266" t="s">
        <v>166</v>
      </c>
      <c r="R1709" s="497" t="s">
        <v>166</v>
      </c>
      <c r="S1709" s="497" t="s">
        <v>166</v>
      </c>
      <c r="T1709" s="496"/>
    </row>
    <row r="1710">
      <c r="A1710" s="494" t="s">
        <v>3401</v>
      </c>
      <c r="B1710" s="495" t="s">
        <v>3580</v>
      </c>
      <c r="C1710" s="174" t="s">
        <v>3456</v>
      </c>
      <c r="D1710" s="537" t="s">
        <v>4207</v>
      </c>
      <c r="E1710" s="266">
        <v>318.0</v>
      </c>
      <c r="F1710" s="266">
        <v>107.0</v>
      </c>
      <c r="G1710" s="266">
        <v>49.0</v>
      </c>
      <c r="H1710" s="266">
        <v>2.0</v>
      </c>
      <c r="I1710" s="266">
        <v>1725.0</v>
      </c>
      <c r="J1710" s="266">
        <v>14.0</v>
      </c>
      <c r="K1710" s="266">
        <v>220.0</v>
      </c>
      <c r="L1710" s="266">
        <v>8.0</v>
      </c>
      <c r="M1710" s="266">
        <v>3.0</v>
      </c>
      <c r="N1710" s="266">
        <v>3.0</v>
      </c>
      <c r="O1710" s="266">
        <v>1.0</v>
      </c>
      <c r="P1710" s="266" t="s">
        <v>166</v>
      </c>
      <c r="Q1710" s="266" t="s">
        <v>166</v>
      </c>
      <c r="R1710" s="497" t="s">
        <v>166</v>
      </c>
      <c r="S1710" s="497" t="s">
        <v>166</v>
      </c>
      <c r="T1710" s="494"/>
    </row>
    <row r="1711">
      <c r="A1711" s="494" t="s">
        <v>3401</v>
      </c>
      <c r="B1711" s="495" t="s">
        <v>3580</v>
      </c>
      <c r="C1711" s="174" t="s">
        <v>3456</v>
      </c>
      <c r="D1711" s="537" t="s">
        <v>4208</v>
      </c>
      <c r="E1711" s="266">
        <v>315.0</v>
      </c>
      <c r="F1711" s="266">
        <v>133.0</v>
      </c>
      <c r="G1711" s="266">
        <v>52.0</v>
      </c>
      <c r="H1711" s="266">
        <v>2.0</v>
      </c>
      <c r="I1711" s="266">
        <v>1665.0</v>
      </c>
      <c r="J1711" s="266">
        <v>14.0</v>
      </c>
      <c r="K1711" s="266">
        <v>200.0</v>
      </c>
      <c r="L1711" s="266" t="s">
        <v>3460</v>
      </c>
      <c r="M1711" s="266">
        <v>3.0</v>
      </c>
      <c r="N1711" s="266">
        <v>3.0</v>
      </c>
      <c r="O1711" s="266">
        <v>1.0</v>
      </c>
      <c r="P1711" s="266" t="s">
        <v>166</v>
      </c>
      <c r="Q1711" s="266" t="s">
        <v>166</v>
      </c>
      <c r="R1711" s="497" t="s">
        <v>166</v>
      </c>
      <c r="S1711" s="497" t="s">
        <v>166</v>
      </c>
      <c r="T1711" s="494"/>
    </row>
    <row r="1712">
      <c r="A1712" s="494" t="s">
        <v>3401</v>
      </c>
      <c r="B1712" s="495" t="s">
        <v>3580</v>
      </c>
      <c r="C1712" s="174" t="s">
        <v>3456</v>
      </c>
      <c r="D1712" s="174" t="s">
        <v>4209</v>
      </c>
      <c r="E1712" s="266">
        <v>315.0</v>
      </c>
      <c r="F1712" s="266">
        <v>133.0</v>
      </c>
      <c r="G1712" s="266">
        <v>52.0</v>
      </c>
      <c r="H1712" s="266">
        <v>2.0</v>
      </c>
      <c r="I1712" s="266">
        <v>1665.0</v>
      </c>
      <c r="J1712" s="266">
        <v>14.0</v>
      </c>
      <c r="K1712" s="266">
        <v>200.0</v>
      </c>
      <c r="L1712" s="266" t="s">
        <v>3460</v>
      </c>
      <c r="M1712" s="266">
        <v>3.0</v>
      </c>
      <c r="N1712" s="266">
        <v>3.0</v>
      </c>
      <c r="O1712" s="266">
        <v>1.0</v>
      </c>
      <c r="P1712" s="266" t="s">
        <v>166</v>
      </c>
      <c r="Q1712" s="266" t="s">
        <v>166</v>
      </c>
      <c r="R1712" s="497" t="s">
        <v>166</v>
      </c>
      <c r="S1712" s="497" t="s">
        <v>166</v>
      </c>
      <c r="T1712" s="494"/>
    </row>
    <row r="1713">
      <c r="A1713" s="494" t="s">
        <v>3401</v>
      </c>
      <c r="B1713" s="495" t="s">
        <v>3580</v>
      </c>
      <c r="C1713" s="174" t="s">
        <v>3456</v>
      </c>
      <c r="D1713" s="174" t="s">
        <v>4210</v>
      </c>
      <c r="E1713" s="266">
        <v>315.0</v>
      </c>
      <c r="F1713" s="266">
        <v>133.0</v>
      </c>
      <c r="G1713" s="266">
        <v>52.0</v>
      </c>
      <c r="H1713" s="266">
        <v>2.0</v>
      </c>
      <c r="I1713" s="266">
        <v>1755.0</v>
      </c>
      <c r="J1713" s="266">
        <v>14.0</v>
      </c>
      <c r="K1713" s="266">
        <v>240.0</v>
      </c>
      <c r="L1713" s="266" t="s">
        <v>3460</v>
      </c>
      <c r="M1713" s="266">
        <v>3.0</v>
      </c>
      <c r="N1713" s="266">
        <v>3.0</v>
      </c>
      <c r="O1713" s="266">
        <v>1.0</v>
      </c>
      <c r="P1713" s="266" t="s">
        <v>166</v>
      </c>
      <c r="Q1713" s="266" t="s">
        <v>166</v>
      </c>
      <c r="R1713" s="497" t="s">
        <v>166</v>
      </c>
      <c r="S1713" s="497" t="s">
        <v>166</v>
      </c>
      <c r="T1713" s="494"/>
    </row>
    <row r="1714">
      <c r="A1714" s="494" t="s">
        <v>3401</v>
      </c>
      <c r="B1714" s="495" t="s">
        <v>3580</v>
      </c>
      <c r="C1714" s="174" t="s">
        <v>3456</v>
      </c>
      <c r="D1714" s="537" t="s">
        <v>4211</v>
      </c>
      <c r="E1714" s="266">
        <v>322.0</v>
      </c>
      <c r="F1714" s="266">
        <v>133.0</v>
      </c>
      <c r="G1714" s="266">
        <v>53.0</v>
      </c>
      <c r="H1714" s="266">
        <v>2.0</v>
      </c>
      <c r="I1714" s="266">
        <v>1665.0</v>
      </c>
      <c r="J1714" s="266">
        <v>14.0</v>
      </c>
      <c r="K1714" s="266">
        <v>200.0</v>
      </c>
      <c r="L1714" s="266" t="s">
        <v>3460</v>
      </c>
      <c r="M1714" s="266">
        <v>3.0</v>
      </c>
      <c r="N1714" s="266">
        <v>3.0</v>
      </c>
      <c r="O1714" s="266">
        <v>1.0</v>
      </c>
      <c r="P1714" s="266" t="s">
        <v>166</v>
      </c>
      <c r="Q1714" s="266" t="s">
        <v>166</v>
      </c>
      <c r="R1714" s="497" t="s">
        <v>166</v>
      </c>
      <c r="S1714" s="497" t="s">
        <v>166</v>
      </c>
      <c r="T1714" s="494"/>
    </row>
    <row r="1715">
      <c r="A1715" s="494" t="s">
        <v>3401</v>
      </c>
      <c r="B1715" s="495" t="s">
        <v>3580</v>
      </c>
      <c r="C1715" s="174" t="s">
        <v>3456</v>
      </c>
      <c r="D1715" s="537" t="s">
        <v>4212</v>
      </c>
      <c r="E1715" s="266">
        <v>322.0</v>
      </c>
      <c r="F1715" s="266">
        <v>133.0</v>
      </c>
      <c r="G1715" s="266">
        <v>53.0</v>
      </c>
      <c r="H1715" s="266">
        <v>2.0</v>
      </c>
      <c r="I1715" s="266">
        <v>1770.0</v>
      </c>
      <c r="J1715" s="266">
        <v>14.0</v>
      </c>
      <c r="K1715" s="266">
        <v>240.0</v>
      </c>
      <c r="L1715" s="266" t="s">
        <v>3460</v>
      </c>
      <c r="M1715" s="266">
        <v>3.0</v>
      </c>
      <c r="N1715" s="266">
        <v>3.0</v>
      </c>
      <c r="O1715" s="266">
        <v>1.0</v>
      </c>
      <c r="P1715" s="266" t="s">
        <v>166</v>
      </c>
      <c r="Q1715" s="266" t="s">
        <v>166</v>
      </c>
      <c r="R1715" s="497" t="s">
        <v>166</v>
      </c>
      <c r="S1715" s="497" t="s">
        <v>166</v>
      </c>
      <c r="T1715" s="494"/>
    </row>
    <row r="1716">
      <c r="A1716" s="494" t="s">
        <v>3401</v>
      </c>
      <c r="B1716" s="495" t="s">
        <v>3580</v>
      </c>
      <c r="C1716" s="174" t="s">
        <v>3456</v>
      </c>
      <c r="D1716" s="537" t="s">
        <v>4213</v>
      </c>
      <c r="E1716" s="266">
        <v>242.5</v>
      </c>
      <c r="F1716" s="266">
        <v>118.65</v>
      </c>
      <c r="G1716" s="266">
        <v>38.6</v>
      </c>
      <c r="H1716" s="266">
        <v>2.0</v>
      </c>
      <c r="I1716" s="266">
        <v>1680.0</v>
      </c>
      <c r="J1716" s="266">
        <v>14.0</v>
      </c>
      <c r="K1716" s="266">
        <v>200.0</v>
      </c>
      <c r="L1716" s="266">
        <v>8.0</v>
      </c>
      <c r="M1716" s="266">
        <v>2.0</v>
      </c>
      <c r="N1716" s="266">
        <v>3.0</v>
      </c>
      <c r="O1716" s="266">
        <v>1.0</v>
      </c>
      <c r="P1716" s="266" t="s">
        <v>166</v>
      </c>
      <c r="Q1716" s="266" t="s">
        <v>166</v>
      </c>
      <c r="R1716" s="497" t="s">
        <v>166</v>
      </c>
      <c r="S1716" s="497" t="s">
        <v>166</v>
      </c>
      <c r="T1716" s="496"/>
    </row>
    <row r="1717">
      <c r="A1717" s="494" t="s">
        <v>3401</v>
      </c>
      <c r="B1717" s="495" t="s">
        <v>3580</v>
      </c>
      <c r="C1717" s="174" t="s">
        <v>3456</v>
      </c>
      <c r="D1717" s="537" t="s">
        <v>4214</v>
      </c>
      <c r="E1717" s="266">
        <v>242.5</v>
      </c>
      <c r="F1717" s="266">
        <v>118.65</v>
      </c>
      <c r="G1717" s="266">
        <v>38.6</v>
      </c>
      <c r="H1717" s="266">
        <v>2.0</v>
      </c>
      <c r="I1717" s="266">
        <v>1680.0</v>
      </c>
      <c r="J1717" s="266">
        <v>14.0</v>
      </c>
      <c r="K1717" s="266">
        <v>200.0</v>
      </c>
      <c r="L1717" s="266">
        <v>8.0</v>
      </c>
      <c r="M1717" s="266">
        <v>2.0</v>
      </c>
      <c r="N1717" s="266">
        <v>3.0</v>
      </c>
      <c r="O1717" s="266">
        <v>1.0</v>
      </c>
      <c r="P1717" s="266" t="s">
        <v>166</v>
      </c>
      <c r="Q1717" s="266" t="s">
        <v>166</v>
      </c>
      <c r="R1717" s="497" t="s">
        <v>166</v>
      </c>
      <c r="S1717" s="497" t="s">
        <v>166</v>
      </c>
      <c r="T1717" s="494"/>
    </row>
    <row r="1718">
      <c r="A1718" s="494" t="s">
        <v>3401</v>
      </c>
      <c r="B1718" s="495" t="s">
        <v>3580</v>
      </c>
      <c r="C1718" s="174" t="s">
        <v>3456</v>
      </c>
      <c r="D1718" s="537" t="s">
        <v>3489</v>
      </c>
      <c r="E1718" s="266">
        <v>285.0</v>
      </c>
      <c r="F1718" s="266">
        <v>124.0</v>
      </c>
      <c r="G1718" s="266">
        <v>58.0</v>
      </c>
      <c r="H1718" s="266">
        <v>2.0</v>
      </c>
      <c r="I1718" s="266">
        <v>1710.0</v>
      </c>
      <c r="J1718" s="266">
        <v>14.0</v>
      </c>
      <c r="K1718" s="266">
        <v>220.0</v>
      </c>
      <c r="L1718" s="266">
        <v>8.0</v>
      </c>
      <c r="M1718" s="266">
        <v>2.0</v>
      </c>
      <c r="N1718" s="266">
        <v>3.0</v>
      </c>
      <c r="O1718" s="266">
        <v>1.0</v>
      </c>
      <c r="P1718" s="266" t="s">
        <v>166</v>
      </c>
      <c r="Q1718" s="266" t="s">
        <v>166</v>
      </c>
      <c r="R1718" s="497" t="s">
        <v>166</v>
      </c>
      <c r="S1718" s="497" t="s">
        <v>166</v>
      </c>
      <c r="T1718" s="496"/>
    </row>
    <row r="1719">
      <c r="A1719" s="494" t="s">
        <v>3401</v>
      </c>
      <c r="B1719" s="495" t="s">
        <v>3580</v>
      </c>
      <c r="C1719" s="174" t="s">
        <v>3456</v>
      </c>
      <c r="D1719" s="537" t="s">
        <v>4215</v>
      </c>
      <c r="E1719" s="266">
        <v>285.0</v>
      </c>
      <c r="F1719" s="266">
        <v>124.0</v>
      </c>
      <c r="G1719" s="266">
        <v>58.0</v>
      </c>
      <c r="H1719" s="266">
        <v>2.0</v>
      </c>
      <c r="I1719" s="266">
        <v>1710.0</v>
      </c>
      <c r="J1719" s="266">
        <v>14.0</v>
      </c>
      <c r="K1719" s="266">
        <v>220.0</v>
      </c>
      <c r="L1719" s="266">
        <v>8.0</v>
      </c>
      <c r="M1719" s="266">
        <v>2.0</v>
      </c>
      <c r="N1719" s="266">
        <v>3.0</v>
      </c>
      <c r="O1719" s="266">
        <v>1.0</v>
      </c>
      <c r="P1719" s="266" t="s">
        <v>166</v>
      </c>
      <c r="Q1719" s="266" t="s">
        <v>166</v>
      </c>
      <c r="R1719" s="497" t="s">
        <v>166</v>
      </c>
      <c r="S1719" s="497" t="s">
        <v>166</v>
      </c>
      <c r="T1719" s="494"/>
    </row>
    <row r="1720">
      <c r="A1720" s="494" t="s">
        <v>3401</v>
      </c>
      <c r="B1720" s="495" t="s">
        <v>3580</v>
      </c>
      <c r="C1720" s="174" t="s">
        <v>3456</v>
      </c>
      <c r="D1720" s="537" t="s">
        <v>3956</v>
      </c>
      <c r="E1720" s="266">
        <v>285.0</v>
      </c>
      <c r="F1720" s="266">
        <v>124.0</v>
      </c>
      <c r="G1720" s="266">
        <v>58.0</v>
      </c>
      <c r="H1720" s="266">
        <v>2.0</v>
      </c>
      <c r="I1720" s="266">
        <v>1710.0</v>
      </c>
      <c r="J1720" s="266">
        <v>14.0</v>
      </c>
      <c r="K1720" s="266">
        <v>220.0</v>
      </c>
      <c r="L1720" s="266">
        <v>8.0</v>
      </c>
      <c r="M1720" s="266">
        <v>2.0</v>
      </c>
      <c r="N1720" s="266">
        <v>3.0</v>
      </c>
      <c r="O1720" s="266">
        <v>1.0</v>
      </c>
      <c r="P1720" s="266" t="s">
        <v>166</v>
      </c>
      <c r="Q1720" s="266" t="s">
        <v>166</v>
      </c>
      <c r="R1720" s="497" t="s">
        <v>166</v>
      </c>
      <c r="S1720" s="497" t="s">
        <v>166</v>
      </c>
      <c r="T1720" s="496"/>
    </row>
    <row r="1721">
      <c r="A1721" s="494" t="s">
        <v>3401</v>
      </c>
      <c r="B1721" s="495" t="s">
        <v>3580</v>
      </c>
      <c r="C1721" s="174" t="s">
        <v>3456</v>
      </c>
      <c r="D1721" s="537" t="s">
        <v>4216</v>
      </c>
      <c r="E1721" s="266">
        <v>285.0</v>
      </c>
      <c r="F1721" s="266">
        <v>124.0</v>
      </c>
      <c r="G1721" s="266">
        <v>58.0</v>
      </c>
      <c r="H1721" s="266">
        <v>2.0</v>
      </c>
      <c r="I1721" s="266">
        <v>1710.0</v>
      </c>
      <c r="J1721" s="266">
        <v>14.0</v>
      </c>
      <c r="K1721" s="266">
        <v>220.0</v>
      </c>
      <c r="L1721" s="266">
        <v>8.0</v>
      </c>
      <c r="M1721" s="266">
        <v>2.0</v>
      </c>
      <c r="N1721" s="266">
        <v>3.0</v>
      </c>
      <c r="O1721" s="266">
        <v>1.0</v>
      </c>
      <c r="P1721" s="266" t="s">
        <v>166</v>
      </c>
      <c r="Q1721" s="266" t="s">
        <v>166</v>
      </c>
      <c r="R1721" s="497" t="s">
        <v>166</v>
      </c>
      <c r="S1721" s="497" t="s">
        <v>166</v>
      </c>
      <c r="T1721" s="494"/>
    </row>
    <row r="1722">
      <c r="A1722" s="494" t="s">
        <v>3401</v>
      </c>
      <c r="B1722" s="495" t="s">
        <v>3580</v>
      </c>
      <c r="C1722" s="174" t="str">
        <f t="shared" ref="C1722:C1740" si="276">HYPERLINK("https://www.gigabyte.com/","Gigabyte")</f>
        <v>Gigabyte</v>
      </c>
      <c r="D1722" s="537" t="s">
        <v>3374</v>
      </c>
      <c r="E1722" s="266">
        <v>242.0</v>
      </c>
      <c r="F1722" s="266">
        <v>124.0</v>
      </c>
      <c r="G1722" s="266">
        <v>41.0</v>
      </c>
      <c r="H1722" s="266">
        <v>2.0</v>
      </c>
      <c r="I1722" s="266">
        <v>1665.0</v>
      </c>
      <c r="J1722" s="266">
        <v>14.0</v>
      </c>
      <c r="K1722" s="266">
        <v>200.0</v>
      </c>
      <c r="L1722" s="266">
        <v>8.0</v>
      </c>
      <c r="M1722" s="266">
        <v>2.0</v>
      </c>
      <c r="N1722" s="266">
        <v>2.0</v>
      </c>
      <c r="O1722" s="266">
        <v>2.0</v>
      </c>
      <c r="P1722" s="266" t="s">
        <v>166</v>
      </c>
      <c r="Q1722" s="266" t="s">
        <v>166</v>
      </c>
      <c r="R1722" s="497" t="s">
        <v>166</v>
      </c>
      <c r="S1722" s="497" t="s">
        <v>166</v>
      </c>
      <c r="T1722" s="496"/>
    </row>
    <row r="1723">
      <c r="A1723" s="494" t="s">
        <v>3401</v>
      </c>
      <c r="B1723" s="495" t="s">
        <v>3580</v>
      </c>
      <c r="C1723" s="174" t="str">
        <f t="shared" si="276"/>
        <v>Gigabyte</v>
      </c>
      <c r="D1723" s="537" t="s">
        <v>4131</v>
      </c>
      <c r="E1723" s="266">
        <v>242.0</v>
      </c>
      <c r="F1723" s="266">
        <v>124.0</v>
      </c>
      <c r="G1723" s="266">
        <v>41.0</v>
      </c>
      <c r="H1723" s="266">
        <v>2.0</v>
      </c>
      <c r="I1723" s="266">
        <v>1665.0</v>
      </c>
      <c r="J1723" s="266">
        <v>14.0</v>
      </c>
      <c r="K1723" s="266">
        <v>200.0</v>
      </c>
      <c r="L1723" s="266">
        <v>8.0</v>
      </c>
      <c r="M1723" s="266">
        <v>2.0</v>
      </c>
      <c r="N1723" s="266">
        <v>2.0</v>
      </c>
      <c r="O1723" s="266">
        <v>2.0</v>
      </c>
      <c r="P1723" s="266" t="s">
        <v>166</v>
      </c>
      <c r="Q1723" s="266" t="s">
        <v>166</v>
      </c>
      <c r="R1723" s="497" t="s">
        <v>166</v>
      </c>
      <c r="S1723" s="497" t="s">
        <v>166</v>
      </c>
      <c r="T1723" s="494"/>
    </row>
    <row r="1724">
      <c r="A1724" s="494" t="s">
        <v>3401</v>
      </c>
      <c r="B1724" s="495" t="s">
        <v>3580</v>
      </c>
      <c r="C1724" s="174" t="str">
        <f t="shared" si="276"/>
        <v>Gigabyte</v>
      </c>
      <c r="D1724" s="537" t="s">
        <v>3551</v>
      </c>
      <c r="E1724" s="266">
        <v>242.0</v>
      </c>
      <c r="F1724" s="266">
        <v>124.0</v>
      </c>
      <c r="G1724" s="266">
        <v>41.0</v>
      </c>
      <c r="H1724" s="266">
        <v>2.0</v>
      </c>
      <c r="I1724" s="266">
        <v>1695.0</v>
      </c>
      <c r="J1724" s="266">
        <v>14.0</v>
      </c>
      <c r="K1724" s="266">
        <v>200.0</v>
      </c>
      <c r="L1724" s="266">
        <v>8.0</v>
      </c>
      <c r="M1724" s="266">
        <v>2.0</v>
      </c>
      <c r="N1724" s="266">
        <v>2.0</v>
      </c>
      <c r="O1724" s="266">
        <v>2.0</v>
      </c>
      <c r="P1724" s="266" t="s">
        <v>166</v>
      </c>
      <c r="Q1724" s="266" t="s">
        <v>166</v>
      </c>
      <c r="R1724" s="497" t="s">
        <v>166</v>
      </c>
      <c r="S1724" s="497" t="s">
        <v>166</v>
      </c>
      <c r="T1724" s="494"/>
    </row>
    <row r="1725">
      <c r="A1725" s="494" t="s">
        <v>3401</v>
      </c>
      <c r="B1725" s="495" t="s">
        <v>3580</v>
      </c>
      <c r="C1725" s="174" t="str">
        <f t="shared" si="276"/>
        <v>Gigabyte</v>
      </c>
      <c r="D1725" s="537" t="s">
        <v>4132</v>
      </c>
      <c r="E1725" s="266">
        <v>242.0</v>
      </c>
      <c r="F1725" s="266">
        <v>124.0</v>
      </c>
      <c r="G1725" s="266">
        <v>41.0</v>
      </c>
      <c r="H1725" s="266">
        <v>2.0</v>
      </c>
      <c r="I1725" s="266">
        <v>1695.0</v>
      </c>
      <c r="J1725" s="266">
        <v>14.0</v>
      </c>
      <c r="K1725" s="266">
        <v>200.0</v>
      </c>
      <c r="L1725" s="266">
        <v>8.0</v>
      </c>
      <c r="M1725" s="266">
        <v>2.0</v>
      </c>
      <c r="N1725" s="266">
        <v>2.0</v>
      </c>
      <c r="O1725" s="266">
        <v>2.0</v>
      </c>
      <c r="P1725" s="266" t="s">
        <v>166</v>
      </c>
      <c r="Q1725" s="266" t="s">
        <v>166</v>
      </c>
      <c r="R1725" s="497" t="s">
        <v>166</v>
      </c>
      <c r="S1725" s="497" t="s">
        <v>166</v>
      </c>
      <c r="T1725" s="494"/>
    </row>
    <row r="1726">
      <c r="A1726" s="494" t="s">
        <v>3401</v>
      </c>
      <c r="B1726" s="495" t="s">
        <v>3580</v>
      </c>
      <c r="C1726" s="174" t="str">
        <f t="shared" si="276"/>
        <v>Gigabyte</v>
      </c>
      <c r="D1726" s="537" t="s">
        <v>3409</v>
      </c>
      <c r="E1726" s="266">
        <v>282.0</v>
      </c>
      <c r="F1726" s="266">
        <v>117.0</v>
      </c>
      <c r="G1726" s="266">
        <v>41.0</v>
      </c>
      <c r="H1726" s="266">
        <v>2.0</v>
      </c>
      <c r="I1726" s="266">
        <v>1665.0</v>
      </c>
      <c r="J1726" s="266">
        <v>14.0</v>
      </c>
      <c r="K1726" s="266">
        <v>200.0</v>
      </c>
      <c r="L1726" s="266">
        <v>8.0</v>
      </c>
      <c r="M1726" s="266">
        <v>3.0</v>
      </c>
      <c r="N1726" s="266">
        <v>2.0</v>
      </c>
      <c r="O1726" s="266">
        <v>2.0</v>
      </c>
      <c r="P1726" s="266" t="s">
        <v>166</v>
      </c>
      <c r="Q1726" s="266" t="s">
        <v>166</v>
      </c>
      <c r="R1726" s="497" t="s">
        <v>166</v>
      </c>
      <c r="S1726" s="497" t="s">
        <v>166</v>
      </c>
      <c r="T1726" s="496"/>
    </row>
    <row r="1727">
      <c r="A1727" s="494" t="s">
        <v>3401</v>
      </c>
      <c r="B1727" s="495" t="s">
        <v>3580</v>
      </c>
      <c r="C1727" s="174" t="str">
        <f t="shared" si="276"/>
        <v>Gigabyte</v>
      </c>
      <c r="D1727" s="537" t="s">
        <v>4217</v>
      </c>
      <c r="E1727" s="266">
        <v>282.0</v>
      </c>
      <c r="F1727" s="266">
        <v>117.0</v>
      </c>
      <c r="G1727" s="266">
        <v>41.0</v>
      </c>
      <c r="H1727" s="266">
        <v>2.0</v>
      </c>
      <c r="I1727" s="266">
        <v>1665.0</v>
      </c>
      <c r="J1727" s="266">
        <v>14.0</v>
      </c>
      <c r="K1727" s="266">
        <v>200.0</v>
      </c>
      <c r="L1727" s="266">
        <v>8.0</v>
      </c>
      <c r="M1727" s="266">
        <v>3.0</v>
      </c>
      <c r="N1727" s="266">
        <v>2.0</v>
      </c>
      <c r="O1727" s="266">
        <v>2.0</v>
      </c>
      <c r="P1727" s="266" t="s">
        <v>166</v>
      </c>
      <c r="Q1727" s="266" t="s">
        <v>166</v>
      </c>
      <c r="R1727" s="497" t="s">
        <v>166</v>
      </c>
      <c r="S1727" s="497" t="s">
        <v>166</v>
      </c>
      <c r="T1727" s="494"/>
    </row>
    <row r="1728">
      <c r="A1728" s="494" t="s">
        <v>3401</v>
      </c>
      <c r="B1728" s="495" t="s">
        <v>3580</v>
      </c>
      <c r="C1728" s="174" t="str">
        <f t="shared" si="276"/>
        <v>Gigabyte</v>
      </c>
      <c r="D1728" s="537" t="s">
        <v>3630</v>
      </c>
      <c r="E1728" s="266">
        <v>282.0</v>
      </c>
      <c r="F1728" s="266">
        <v>117.0</v>
      </c>
      <c r="G1728" s="266">
        <v>41.0</v>
      </c>
      <c r="H1728" s="266">
        <v>2.0</v>
      </c>
      <c r="I1728" s="266">
        <v>1740.0</v>
      </c>
      <c r="J1728" s="266">
        <v>14.0</v>
      </c>
      <c r="K1728" s="266">
        <v>220.0</v>
      </c>
      <c r="L1728" s="266">
        <v>8.0</v>
      </c>
      <c r="M1728" s="266">
        <v>3.0</v>
      </c>
      <c r="N1728" s="266">
        <v>2.0</v>
      </c>
      <c r="O1728" s="266">
        <v>2.0</v>
      </c>
      <c r="P1728" s="266" t="s">
        <v>166</v>
      </c>
      <c r="Q1728" s="266" t="s">
        <v>166</v>
      </c>
      <c r="R1728" s="497" t="s">
        <v>166</v>
      </c>
      <c r="S1728" s="497" t="s">
        <v>166</v>
      </c>
      <c r="T1728" s="496"/>
    </row>
    <row r="1729">
      <c r="A1729" s="494" t="s">
        <v>3401</v>
      </c>
      <c r="B1729" s="495" t="s">
        <v>3580</v>
      </c>
      <c r="C1729" s="174" t="str">
        <f t="shared" si="276"/>
        <v>Gigabyte</v>
      </c>
      <c r="D1729" s="537" t="s">
        <v>4133</v>
      </c>
      <c r="E1729" s="266">
        <v>282.0</v>
      </c>
      <c r="F1729" s="266">
        <v>117.0</v>
      </c>
      <c r="G1729" s="266">
        <v>41.0</v>
      </c>
      <c r="H1729" s="266">
        <v>2.0</v>
      </c>
      <c r="I1729" s="266">
        <v>1740.0</v>
      </c>
      <c r="J1729" s="266">
        <v>14.0</v>
      </c>
      <c r="K1729" s="266">
        <v>220.0</v>
      </c>
      <c r="L1729" s="266">
        <v>8.0</v>
      </c>
      <c r="M1729" s="266">
        <v>3.0</v>
      </c>
      <c r="N1729" s="266">
        <v>2.0</v>
      </c>
      <c r="O1729" s="266">
        <v>2.0</v>
      </c>
      <c r="P1729" s="266" t="s">
        <v>166</v>
      </c>
      <c r="Q1729" s="266" t="s">
        <v>166</v>
      </c>
      <c r="R1729" s="497" t="s">
        <v>166</v>
      </c>
      <c r="S1729" s="497" t="s">
        <v>166</v>
      </c>
      <c r="T1729" s="494"/>
    </row>
    <row r="1730">
      <c r="A1730" s="494" t="s">
        <v>3401</v>
      </c>
      <c r="B1730" s="495" t="s">
        <v>3580</v>
      </c>
      <c r="C1730" s="174" t="str">
        <f t="shared" si="276"/>
        <v>Gigabyte</v>
      </c>
      <c r="D1730" s="537" t="s">
        <v>4218</v>
      </c>
      <c r="E1730" s="266">
        <v>281.0</v>
      </c>
      <c r="F1730" s="266">
        <v>115.0</v>
      </c>
      <c r="G1730" s="266">
        <v>40.0</v>
      </c>
      <c r="H1730" s="266">
        <v>2.0</v>
      </c>
      <c r="I1730" s="266">
        <v>1665.0</v>
      </c>
      <c r="J1730" s="266">
        <v>14.0</v>
      </c>
      <c r="K1730" s="266">
        <v>200.0</v>
      </c>
      <c r="L1730" s="266" t="s">
        <v>3361</v>
      </c>
      <c r="M1730" s="266">
        <v>3.0</v>
      </c>
      <c r="N1730" s="266">
        <v>2.0</v>
      </c>
      <c r="O1730" s="266">
        <v>2.0</v>
      </c>
      <c r="P1730" s="266" t="s">
        <v>166</v>
      </c>
      <c r="Q1730" s="266" t="s">
        <v>166</v>
      </c>
      <c r="R1730" s="497" t="s">
        <v>166</v>
      </c>
      <c r="S1730" s="497" t="s">
        <v>166</v>
      </c>
      <c r="T1730" s="494"/>
    </row>
    <row r="1731">
      <c r="A1731" s="494" t="s">
        <v>3401</v>
      </c>
      <c r="B1731" s="495" t="s">
        <v>3580</v>
      </c>
      <c r="C1731" s="174" t="str">
        <f t="shared" si="276"/>
        <v>Gigabyte</v>
      </c>
      <c r="D1731" s="537" t="s">
        <v>4134</v>
      </c>
      <c r="E1731" s="266">
        <v>281.0</v>
      </c>
      <c r="F1731" s="266">
        <v>115.0</v>
      </c>
      <c r="G1731" s="266">
        <v>40.0</v>
      </c>
      <c r="H1731" s="266">
        <v>2.0</v>
      </c>
      <c r="I1731" s="266">
        <v>1755.0</v>
      </c>
      <c r="J1731" s="266">
        <v>14.0</v>
      </c>
      <c r="K1731" s="266">
        <v>240.0</v>
      </c>
      <c r="L1731" s="266" t="s">
        <v>3361</v>
      </c>
      <c r="M1731" s="266">
        <v>3.0</v>
      </c>
      <c r="N1731" s="266">
        <v>2.0</v>
      </c>
      <c r="O1731" s="266">
        <v>2.0</v>
      </c>
      <c r="P1731" s="266" t="s">
        <v>166</v>
      </c>
      <c r="Q1731" s="266" t="s">
        <v>166</v>
      </c>
      <c r="R1731" s="497" t="s">
        <v>166</v>
      </c>
      <c r="S1731" s="497" t="s">
        <v>166</v>
      </c>
      <c r="T1731" s="496"/>
    </row>
    <row r="1732">
      <c r="A1732" s="494" t="s">
        <v>3401</v>
      </c>
      <c r="B1732" s="495" t="s">
        <v>3580</v>
      </c>
      <c r="C1732" s="174" t="str">
        <f t="shared" si="276"/>
        <v>Gigabyte</v>
      </c>
      <c r="D1732" s="537" t="s">
        <v>4135</v>
      </c>
      <c r="E1732" s="266">
        <v>281.0</v>
      </c>
      <c r="F1732" s="266">
        <v>115.0</v>
      </c>
      <c r="G1732" s="266">
        <v>40.0</v>
      </c>
      <c r="H1732" s="266">
        <v>2.0</v>
      </c>
      <c r="I1732" s="266">
        <v>1755.0</v>
      </c>
      <c r="J1732" s="266">
        <v>14.0</v>
      </c>
      <c r="K1732" s="266">
        <v>240.0</v>
      </c>
      <c r="L1732" s="266" t="s">
        <v>3361</v>
      </c>
      <c r="M1732" s="266">
        <v>3.0</v>
      </c>
      <c r="N1732" s="266">
        <v>2.0</v>
      </c>
      <c r="O1732" s="266">
        <v>2.0</v>
      </c>
      <c r="P1732" s="266" t="s">
        <v>166</v>
      </c>
      <c r="Q1732" s="266" t="s">
        <v>166</v>
      </c>
      <c r="R1732" s="497" t="s">
        <v>166</v>
      </c>
      <c r="S1732" s="497" t="s">
        <v>166</v>
      </c>
      <c r="T1732" s="494"/>
    </row>
    <row r="1733">
      <c r="A1733" s="494" t="s">
        <v>3401</v>
      </c>
      <c r="B1733" s="495" t="s">
        <v>3580</v>
      </c>
      <c r="C1733" s="174" t="str">
        <f t="shared" si="276"/>
        <v>Gigabyte</v>
      </c>
      <c r="D1733" s="537" t="s">
        <v>4219</v>
      </c>
      <c r="E1733" s="266">
        <v>286.0</v>
      </c>
      <c r="F1733" s="266">
        <v>115.0</v>
      </c>
      <c r="G1733" s="266">
        <v>51.0</v>
      </c>
      <c r="H1733" s="266">
        <v>2.0</v>
      </c>
      <c r="I1733" s="266">
        <v>1665.0</v>
      </c>
      <c r="J1733" s="266">
        <v>14.0</v>
      </c>
      <c r="K1733" s="266">
        <v>200.0</v>
      </c>
      <c r="L1733" s="266" t="s">
        <v>3361</v>
      </c>
      <c r="M1733" s="266">
        <v>3.0</v>
      </c>
      <c r="N1733" s="266">
        <v>2.0</v>
      </c>
      <c r="O1733" s="266">
        <v>2.0</v>
      </c>
      <c r="P1733" s="266" t="s">
        <v>166</v>
      </c>
      <c r="Q1733" s="266" t="s">
        <v>166</v>
      </c>
      <c r="R1733" s="497" t="s">
        <v>166</v>
      </c>
      <c r="S1733" s="497" t="s">
        <v>166</v>
      </c>
      <c r="T1733" s="496"/>
    </row>
    <row r="1734">
      <c r="A1734" s="494" t="s">
        <v>3401</v>
      </c>
      <c r="B1734" s="495" t="s">
        <v>3580</v>
      </c>
      <c r="C1734" s="174" t="str">
        <f t="shared" si="276"/>
        <v>Gigabyte</v>
      </c>
      <c r="D1734" s="537" t="s">
        <v>4220</v>
      </c>
      <c r="E1734" s="266">
        <v>281.0</v>
      </c>
      <c r="F1734" s="266">
        <v>117.0</v>
      </c>
      <c r="G1734" s="266">
        <v>40.0</v>
      </c>
      <c r="H1734" s="266">
        <v>2.0</v>
      </c>
      <c r="I1734" s="266">
        <v>1665.0</v>
      </c>
      <c r="J1734" s="266">
        <v>14.0</v>
      </c>
      <c r="K1734" s="266">
        <v>200.0</v>
      </c>
      <c r="L1734" s="266" t="s">
        <v>3361</v>
      </c>
      <c r="M1734" s="266">
        <v>3.0</v>
      </c>
      <c r="N1734" s="266">
        <v>2.0</v>
      </c>
      <c r="O1734" s="266">
        <v>2.0</v>
      </c>
      <c r="P1734" s="266" t="s">
        <v>166</v>
      </c>
      <c r="Q1734" s="266" t="s">
        <v>166</v>
      </c>
      <c r="R1734" s="497" t="s">
        <v>166</v>
      </c>
      <c r="S1734" s="497" t="s">
        <v>166</v>
      </c>
      <c r="T1734" s="494"/>
    </row>
    <row r="1735">
      <c r="A1735" s="494" t="s">
        <v>3401</v>
      </c>
      <c r="B1735" s="495" t="s">
        <v>3580</v>
      </c>
      <c r="C1735" s="174" t="str">
        <f t="shared" si="276"/>
        <v>Gigabyte</v>
      </c>
      <c r="D1735" s="537" t="s">
        <v>3697</v>
      </c>
      <c r="E1735" s="266">
        <v>286.0</v>
      </c>
      <c r="F1735" s="266">
        <v>115.0</v>
      </c>
      <c r="G1735" s="266">
        <v>51.0</v>
      </c>
      <c r="H1735" s="266">
        <v>2.0</v>
      </c>
      <c r="I1735" s="266">
        <v>1770.0</v>
      </c>
      <c r="J1735" s="266">
        <v>14.0</v>
      </c>
      <c r="K1735" s="266">
        <v>240.0</v>
      </c>
      <c r="L1735" s="266" t="s">
        <v>3361</v>
      </c>
      <c r="M1735" s="266">
        <v>3.0</v>
      </c>
      <c r="N1735" s="266">
        <v>2.0</v>
      </c>
      <c r="O1735" s="266">
        <v>2.0</v>
      </c>
      <c r="P1735" s="266" t="s">
        <v>166</v>
      </c>
      <c r="Q1735" s="266" t="s">
        <v>166</v>
      </c>
      <c r="R1735" s="497" t="s">
        <v>166</v>
      </c>
      <c r="S1735" s="497" t="s">
        <v>166</v>
      </c>
      <c r="T1735" s="496"/>
    </row>
    <row r="1736">
      <c r="A1736" s="494" t="s">
        <v>3401</v>
      </c>
      <c r="B1736" s="495" t="s">
        <v>3580</v>
      </c>
      <c r="C1736" s="174" t="str">
        <f t="shared" si="276"/>
        <v>Gigabyte</v>
      </c>
      <c r="D1736" s="537" t="s">
        <v>4221</v>
      </c>
      <c r="E1736" s="266">
        <v>281.0</v>
      </c>
      <c r="F1736" s="266">
        <v>117.0</v>
      </c>
      <c r="G1736" s="266">
        <v>40.0</v>
      </c>
      <c r="H1736" s="266">
        <v>2.0</v>
      </c>
      <c r="I1736" s="266">
        <v>1770.0</v>
      </c>
      <c r="J1736" s="266">
        <v>14.0</v>
      </c>
      <c r="K1736" s="266">
        <v>240.0</v>
      </c>
      <c r="L1736" s="266" t="s">
        <v>3361</v>
      </c>
      <c r="M1736" s="266">
        <v>3.0</v>
      </c>
      <c r="N1736" s="266">
        <v>2.0</v>
      </c>
      <c r="O1736" s="266">
        <v>2.0</v>
      </c>
      <c r="P1736" s="266" t="s">
        <v>166</v>
      </c>
      <c r="Q1736" s="266" t="s">
        <v>166</v>
      </c>
      <c r="R1736" s="497" t="s">
        <v>166</v>
      </c>
      <c r="S1736" s="497" t="s">
        <v>166</v>
      </c>
      <c r="T1736" s="496"/>
    </row>
    <row r="1737">
      <c r="A1737" s="494" t="s">
        <v>3401</v>
      </c>
      <c r="B1737" s="495" t="s">
        <v>3580</v>
      </c>
      <c r="C1737" s="174" t="str">
        <f t="shared" si="276"/>
        <v>Gigabyte</v>
      </c>
      <c r="D1737" s="537" t="s">
        <v>4222</v>
      </c>
      <c r="E1737" s="266">
        <v>281.0</v>
      </c>
      <c r="F1737" s="266">
        <v>117.0</v>
      </c>
      <c r="G1737" s="266">
        <v>40.0</v>
      </c>
      <c r="H1737" s="266">
        <v>2.0</v>
      </c>
      <c r="I1737" s="266">
        <v>1770.0</v>
      </c>
      <c r="J1737" s="266">
        <v>14.0</v>
      </c>
      <c r="K1737" s="266">
        <v>240.0</v>
      </c>
      <c r="L1737" s="266" t="s">
        <v>3361</v>
      </c>
      <c r="M1737" s="266">
        <v>3.0</v>
      </c>
      <c r="N1737" s="266">
        <v>2.0</v>
      </c>
      <c r="O1737" s="266">
        <v>2.0</v>
      </c>
      <c r="P1737" s="266" t="s">
        <v>166</v>
      </c>
      <c r="Q1737" s="266" t="s">
        <v>166</v>
      </c>
      <c r="R1737" s="497" t="s">
        <v>166</v>
      </c>
      <c r="S1737" s="497" t="s">
        <v>166</v>
      </c>
      <c r="T1737" s="494"/>
    </row>
    <row r="1738">
      <c r="A1738" s="494" t="s">
        <v>3401</v>
      </c>
      <c r="B1738" s="495" t="s">
        <v>3580</v>
      </c>
      <c r="C1738" s="174" t="str">
        <f t="shared" si="276"/>
        <v>Gigabyte</v>
      </c>
      <c r="D1738" s="537" t="s">
        <v>3711</v>
      </c>
      <c r="E1738" s="266">
        <v>296.0</v>
      </c>
      <c r="F1738" s="266">
        <v>117.0</v>
      </c>
      <c r="G1738" s="266">
        <v>56.0</v>
      </c>
      <c r="H1738" s="266">
        <v>2.0</v>
      </c>
      <c r="I1738" s="266">
        <v>1785.0</v>
      </c>
      <c r="J1738" s="266">
        <v>14.0</v>
      </c>
      <c r="K1738" s="266">
        <v>240.0</v>
      </c>
      <c r="L1738" s="266" t="s">
        <v>3361</v>
      </c>
      <c r="M1738" s="266">
        <v>3.0</v>
      </c>
      <c r="N1738" s="266">
        <v>2.0</v>
      </c>
      <c r="O1738" s="266">
        <v>2.0</v>
      </c>
      <c r="P1738" s="266" t="s">
        <v>166</v>
      </c>
      <c r="Q1738" s="266" t="s">
        <v>166</v>
      </c>
      <c r="R1738" s="497" t="s">
        <v>166</v>
      </c>
      <c r="S1738" s="497" t="s">
        <v>166</v>
      </c>
      <c r="T1738" s="496"/>
    </row>
    <row r="1739">
      <c r="A1739" s="494" t="s">
        <v>3401</v>
      </c>
      <c r="B1739" s="495" t="s">
        <v>3580</v>
      </c>
      <c r="C1739" s="174" t="str">
        <f t="shared" si="276"/>
        <v>Gigabyte</v>
      </c>
      <c r="D1739" s="537" t="s">
        <v>4136</v>
      </c>
      <c r="E1739" s="266">
        <v>296.0</v>
      </c>
      <c r="F1739" s="266">
        <v>117.0</v>
      </c>
      <c r="G1739" s="266">
        <v>56.0</v>
      </c>
      <c r="H1739" s="266">
        <v>2.0</v>
      </c>
      <c r="I1739" s="266">
        <v>1785.0</v>
      </c>
      <c r="J1739" s="266">
        <v>14.0</v>
      </c>
      <c r="K1739" s="266">
        <v>240.0</v>
      </c>
      <c r="L1739" s="266" t="s">
        <v>3361</v>
      </c>
      <c r="M1739" s="266">
        <v>3.0</v>
      </c>
      <c r="N1739" s="266">
        <v>2.0</v>
      </c>
      <c r="O1739" s="266">
        <v>2.0</v>
      </c>
      <c r="P1739" s="266" t="s">
        <v>166</v>
      </c>
      <c r="Q1739" s="266" t="s">
        <v>166</v>
      </c>
      <c r="R1739" s="497" t="s">
        <v>166</v>
      </c>
      <c r="S1739" s="497" t="s">
        <v>166</v>
      </c>
      <c r="T1739" s="494"/>
    </row>
    <row r="1740">
      <c r="A1740" s="494" t="s">
        <v>3401</v>
      </c>
      <c r="B1740" s="495" t="s">
        <v>3580</v>
      </c>
      <c r="C1740" s="174" t="str">
        <f t="shared" si="276"/>
        <v>Gigabyte</v>
      </c>
      <c r="D1740" s="537" t="s">
        <v>3725</v>
      </c>
      <c r="E1740" s="266">
        <v>290.0</v>
      </c>
      <c r="F1740" s="266">
        <v>131.0</v>
      </c>
      <c r="G1740" s="266">
        <v>60.0</v>
      </c>
      <c r="H1740" s="266">
        <v>2.0</v>
      </c>
      <c r="I1740" s="266">
        <v>1800.0</v>
      </c>
      <c r="J1740" s="266">
        <v>14.0</v>
      </c>
      <c r="K1740" s="266">
        <v>240.0</v>
      </c>
      <c r="L1740" s="266" t="s">
        <v>3361</v>
      </c>
      <c r="M1740" s="266">
        <v>3.0</v>
      </c>
      <c r="N1740" s="266">
        <v>3.0</v>
      </c>
      <c r="O1740" s="266">
        <v>3.0</v>
      </c>
      <c r="P1740" s="266" t="s">
        <v>166</v>
      </c>
      <c r="Q1740" s="266" t="s">
        <v>166</v>
      </c>
      <c r="R1740" s="497" t="s">
        <v>166</v>
      </c>
      <c r="S1740" s="497" t="s">
        <v>166</v>
      </c>
      <c r="T1740" s="496"/>
    </row>
    <row r="1741">
      <c r="A1741" s="494" t="s">
        <v>3401</v>
      </c>
      <c r="B1741" s="495" t="s">
        <v>3580</v>
      </c>
      <c r="C1741" s="452" t="str">
        <f t="shared" ref="C1741:C1745" si="277">HYPERLINK("http://www.inno3d.com/","Inno3D")</f>
        <v>Inno3D</v>
      </c>
      <c r="D1741" s="537" t="s">
        <v>3896</v>
      </c>
      <c r="E1741" s="266">
        <v>240.0</v>
      </c>
      <c r="F1741" s="266">
        <v>120.0</v>
      </c>
      <c r="G1741" s="266">
        <v>40.0</v>
      </c>
      <c r="H1741" s="266">
        <v>2.0</v>
      </c>
      <c r="I1741" s="266">
        <v>1665.0</v>
      </c>
      <c r="J1741" s="266">
        <v>14.0</v>
      </c>
      <c r="K1741" s="266">
        <v>200.0</v>
      </c>
      <c r="L1741" s="266">
        <v>8.0</v>
      </c>
      <c r="M1741" s="266">
        <v>2.0</v>
      </c>
      <c r="N1741" s="266">
        <v>3.0</v>
      </c>
      <c r="O1741" s="266">
        <v>1.0</v>
      </c>
      <c r="P1741" s="266" t="s">
        <v>166</v>
      </c>
      <c r="Q1741" s="266" t="s">
        <v>166</v>
      </c>
      <c r="R1741" s="497" t="s">
        <v>166</v>
      </c>
      <c r="S1741" s="497" t="s">
        <v>166</v>
      </c>
      <c r="T1741" s="496"/>
    </row>
    <row r="1742">
      <c r="A1742" s="494" t="s">
        <v>3401</v>
      </c>
      <c r="B1742" s="495" t="s">
        <v>3580</v>
      </c>
      <c r="C1742" s="452" t="str">
        <f t="shared" si="277"/>
        <v>Inno3D</v>
      </c>
      <c r="D1742" s="537" t="s">
        <v>3882</v>
      </c>
      <c r="E1742" s="266">
        <v>240.0</v>
      </c>
      <c r="F1742" s="266">
        <v>120.0</v>
      </c>
      <c r="G1742" s="266">
        <v>40.0</v>
      </c>
      <c r="H1742" s="266">
        <v>2.0</v>
      </c>
      <c r="I1742" s="266">
        <v>1680.0</v>
      </c>
      <c r="J1742" s="266">
        <v>14.0</v>
      </c>
      <c r="K1742" s="266">
        <v>200.0</v>
      </c>
      <c r="L1742" s="266">
        <v>8.0</v>
      </c>
      <c r="M1742" s="266">
        <v>2.0</v>
      </c>
      <c r="N1742" s="266">
        <v>3.0</v>
      </c>
      <c r="O1742" s="266">
        <v>1.0</v>
      </c>
      <c r="P1742" s="266" t="s">
        <v>166</v>
      </c>
      <c r="Q1742" s="266" t="s">
        <v>166</v>
      </c>
      <c r="R1742" s="497" t="s">
        <v>166</v>
      </c>
      <c r="S1742" s="497" t="s">
        <v>166</v>
      </c>
      <c r="T1742" s="496"/>
    </row>
    <row r="1743">
      <c r="A1743" s="494" t="s">
        <v>3401</v>
      </c>
      <c r="B1743" s="495" t="s">
        <v>3580</v>
      </c>
      <c r="C1743" s="452" t="str">
        <f t="shared" si="277"/>
        <v>Inno3D</v>
      </c>
      <c r="D1743" s="537" t="s">
        <v>4223</v>
      </c>
      <c r="E1743" s="266">
        <v>240.0</v>
      </c>
      <c r="F1743" s="266">
        <v>120.0</v>
      </c>
      <c r="G1743" s="266">
        <v>40.0</v>
      </c>
      <c r="H1743" s="266">
        <v>2.0</v>
      </c>
      <c r="I1743" s="266">
        <v>1680.0</v>
      </c>
      <c r="J1743" s="266">
        <v>14.0</v>
      </c>
      <c r="K1743" s="266">
        <v>200.0</v>
      </c>
      <c r="L1743" s="266">
        <v>8.0</v>
      </c>
      <c r="M1743" s="266">
        <v>2.0</v>
      </c>
      <c r="N1743" s="266">
        <v>3.0</v>
      </c>
      <c r="O1743" s="266">
        <v>1.0</v>
      </c>
      <c r="P1743" s="266" t="s">
        <v>166</v>
      </c>
      <c r="Q1743" s="266" t="s">
        <v>166</v>
      </c>
      <c r="R1743" s="497" t="s">
        <v>166</v>
      </c>
      <c r="S1743" s="497" t="s">
        <v>166</v>
      </c>
      <c r="T1743" s="494"/>
    </row>
    <row r="1744">
      <c r="A1744" s="494" t="s">
        <v>3401</v>
      </c>
      <c r="B1744" s="495" t="s">
        <v>3580</v>
      </c>
      <c r="C1744" s="452" t="str">
        <f t="shared" si="277"/>
        <v>Inno3D</v>
      </c>
      <c r="D1744" s="537" t="s">
        <v>4137</v>
      </c>
      <c r="E1744" s="266">
        <v>300.0</v>
      </c>
      <c r="F1744" s="266">
        <v>135.0</v>
      </c>
      <c r="G1744" s="266">
        <v>60.0</v>
      </c>
      <c r="H1744" s="266">
        <v>2.0</v>
      </c>
      <c r="I1744" s="266">
        <v>1725.0</v>
      </c>
      <c r="J1744" s="266">
        <v>14.0</v>
      </c>
      <c r="K1744" s="266">
        <v>220.0</v>
      </c>
      <c r="L1744" s="266">
        <v>8.0</v>
      </c>
      <c r="M1744" s="266">
        <v>3.0</v>
      </c>
      <c r="N1744" s="266">
        <v>3.0</v>
      </c>
      <c r="O1744" s="266">
        <v>1.0</v>
      </c>
      <c r="P1744" s="266" t="s">
        <v>166</v>
      </c>
      <c r="Q1744" s="266" t="s">
        <v>166</v>
      </c>
      <c r="R1744" s="497" t="s">
        <v>166</v>
      </c>
      <c r="S1744" s="497" t="s">
        <v>166</v>
      </c>
      <c r="T1744" s="496"/>
    </row>
    <row r="1745">
      <c r="A1745" s="494" t="s">
        <v>3401</v>
      </c>
      <c r="B1745" s="495" t="s">
        <v>3580</v>
      </c>
      <c r="C1745" s="452" t="str">
        <f t="shared" si="277"/>
        <v>Inno3D</v>
      </c>
      <c r="D1745" s="537" t="s">
        <v>4224</v>
      </c>
      <c r="E1745" s="266">
        <v>300.0</v>
      </c>
      <c r="F1745" s="266">
        <v>135.0</v>
      </c>
      <c r="G1745" s="266">
        <v>60.0</v>
      </c>
      <c r="H1745" s="266">
        <v>2.0</v>
      </c>
      <c r="I1745" s="266">
        <v>1725.0</v>
      </c>
      <c r="J1745" s="266">
        <v>14.0</v>
      </c>
      <c r="K1745" s="266">
        <v>220.0</v>
      </c>
      <c r="L1745" s="266">
        <v>8.0</v>
      </c>
      <c r="M1745" s="266">
        <v>3.0</v>
      </c>
      <c r="N1745" s="266">
        <v>3.0</v>
      </c>
      <c r="O1745" s="266">
        <v>1.0</v>
      </c>
      <c r="P1745" s="266" t="s">
        <v>166</v>
      </c>
      <c r="Q1745" s="266" t="s">
        <v>166</v>
      </c>
      <c r="R1745" s="497" t="s">
        <v>166</v>
      </c>
      <c r="S1745" s="497" t="s">
        <v>166</v>
      </c>
      <c r="T1745" s="494"/>
    </row>
    <row r="1746">
      <c r="A1746" s="494" t="s">
        <v>3401</v>
      </c>
      <c r="B1746" s="495" t="s">
        <v>3580</v>
      </c>
      <c r="C1746" s="452" t="s">
        <v>3538</v>
      </c>
      <c r="D1746" s="537" t="s">
        <v>3898</v>
      </c>
      <c r="E1746" s="266">
        <v>267.0</v>
      </c>
      <c r="F1746" s="266">
        <v>111.0</v>
      </c>
      <c r="G1746" s="266">
        <v>35.0</v>
      </c>
      <c r="H1746" s="266">
        <v>2.0</v>
      </c>
      <c r="I1746" s="266">
        <v>1665.0</v>
      </c>
      <c r="J1746" s="266">
        <v>14.0</v>
      </c>
      <c r="K1746" s="266">
        <v>200.0</v>
      </c>
      <c r="L1746" s="266">
        <v>8.0</v>
      </c>
      <c r="M1746" s="266">
        <v>1.0</v>
      </c>
      <c r="N1746" s="266">
        <v>3.0</v>
      </c>
      <c r="O1746" s="266">
        <v>1.0</v>
      </c>
      <c r="P1746" s="266" t="s">
        <v>166</v>
      </c>
      <c r="Q1746" s="266" t="s">
        <v>166</v>
      </c>
      <c r="R1746" s="497" t="s">
        <v>166</v>
      </c>
      <c r="S1746" s="266" t="s">
        <v>174</v>
      </c>
      <c r="T1746" s="496"/>
    </row>
    <row r="1747">
      <c r="A1747" s="494" t="s">
        <v>3401</v>
      </c>
      <c r="B1747" s="495" t="s">
        <v>3580</v>
      </c>
      <c r="C1747" s="452" t="s">
        <v>3538</v>
      </c>
      <c r="D1747" s="537" t="s">
        <v>3600</v>
      </c>
      <c r="E1747" s="266">
        <v>253.0</v>
      </c>
      <c r="F1747" s="266">
        <v>113.0</v>
      </c>
      <c r="G1747" s="266">
        <v>46.0</v>
      </c>
      <c r="H1747" s="266">
        <v>2.0</v>
      </c>
      <c r="I1747" s="266">
        <v>1665.0</v>
      </c>
      <c r="J1747" s="266">
        <v>14.0</v>
      </c>
      <c r="K1747" s="266">
        <v>200.0</v>
      </c>
      <c r="L1747" s="266">
        <v>8.0</v>
      </c>
      <c r="M1747" s="266">
        <v>2.0</v>
      </c>
      <c r="N1747" s="266">
        <v>3.0</v>
      </c>
      <c r="O1747" s="266">
        <v>1.0</v>
      </c>
      <c r="P1747" s="266" t="s">
        <v>166</v>
      </c>
      <c r="Q1747" s="266" t="s">
        <v>166</v>
      </c>
      <c r="R1747" s="497" t="s">
        <v>166</v>
      </c>
      <c r="S1747" s="497" t="s">
        <v>166</v>
      </c>
      <c r="T1747" s="496"/>
    </row>
    <row r="1748">
      <c r="A1748" s="494" t="s">
        <v>3401</v>
      </c>
      <c r="B1748" s="495" t="s">
        <v>3580</v>
      </c>
      <c r="C1748" s="452" t="str">
        <f t="shared" ref="C1748:C1751" si="278">HYPERLINK("http://manli.com/en","Manli")</f>
        <v>Manli</v>
      </c>
      <c r="D1748" s="537" t="s">
        <v>4225</v>
      </c>
      <c r="E1748" s="266">
        <v>251.0</v>
      </c>
      <c r="F1748" s="266">
        <v>112.0</v>
      </c>
      <c r="G1748" s="266">
        <v>42.0</v>
      </c>
      <c r="H1748" s="266">
        <v>2.0</v>
      </c>
      <c r="I1748" s="266">
        <v>1665.0</v>
      </c>
      <c r="J1748" s="266">
        <v>14.0</v>
      </c>
      <c r="K1748" s="266">
        <v>200.0</v>
      </c>
      <c r="L1748" s="266">
        <v>8.0</v>
      </c>
      <c r="M1748" s="266">
        <v>2.0</v>
      </c>
      <c r="N1748" s="266">
        <v>3.0</v>
      </c>
      <c r="O1748" s="266">
        <v>1.0</v>
      </c>
      <c r="P1748" s="266" t="s">
        <v>166</v>
      </c>
      <c r="Q1748" s="266" t="s">
        <v>166</v>
      </c>
      <c r="R1748" s="497" t="s">
        <v>166</v>
      </c>
      <c r="S1748" s="497" t="s">
        <v>166</v>
      </c>
      <c r="T1748" s="496"/>
    </row>
    <row r="1749">
      <c r="A1749" s="494" t="s">
        <v>3401</v>
      </c>
      <c r="B1749" s="495" t="s">
        <v>3580</v>
      </c>
      <c r="C1749" s="452" t="str">
        <f t="shared" si="278"/>
        <v>Manli</v>
      </c>
      <c r="D1749" s="537" t="s">
        <v>4226</v>
      </c>
      <c r="E1749" s="266">
        <v>251.0</v>
      </c>
      <c r="F1749" s="266">
        <v>112.0</v>
      </c>
      <c r="G1749" s="266">
        <v>42.0</v>
      </c>
      <c r="H1749" s="266">
        <v>2.0</v>
      </c>
      <c r="I1749" s="266">
        <v>1665.0</v>
      </c>
      <c r="J1749" s="266">
        <v>14.0</v>
      </c>
      <c r="K1749" s="266">
        <v>200.0</v>
      </c>
      <c r="L1749" s="266">
        <v>8.0</v>
      </c>
      <c r="M1749" s="266">
        <v>2.0</v>
      </c>
      <c r="N1749" s="266">
        <v>3.0</v>
      </c>
      <c r="O1749" s="266">
        <v>1.0</v>
      </c>
      <c r="P1749" s="266" t="s">
        <v>166</v>
      </c>
      <c r="Q1749" s="266" t="s">
        <v>166</v>
      </c>
      <c r="R1749" s="497" t="s">
        <v>166</v>
      </c>
      <c r="S1749" s="497" t="s">
        <v>166</v>
      </c>
      <c r="T1749" s="494"/>
    </row>
    <row r="1750">
      <c r="A1750" s="494" t="s">
        <v>3401</v>
      </c>
      <c r="B1750" s="495" t="s">
        <v>3580</v>
      </c>
      <c r="C1750" s="452" t="str">
        <f t="shared" si="278"/>
        <v>Manli</v>
      </c>
      <c r="D1750" s="537" t="s">
        <v>4227</v>
      </c>
      <c r="E1750" s="266">
        <v>245.0</v>
      </c>
      <c r="F1750" s="266">
        <v>112.0</v>
      </c>
      <c r="G1750" s="266">
        <v>42.0</v>
      </c>
      <c r="H1750" s="266">
        <v>2.0</v>
      </c>
      <c r="I1750" s="266">
        <v>1680.0</v>
      </c>
      <c r="J1750" s="266">
        <v>14.0</v>
      </c>
      <c r="K1750" s="266">
        <v>200.0</v>
      </c>
      <c r="L1750" s="266">
        <v>8.0</v>
      </c>
      <c r="M1750" s="266">
        <v>2.0</v>
      </c>
      <c r="N1750" s="266">
        <v>3.0</v>
      </c>
      <c r="O1750" s="266">
        <v>1.0</v>
      </c>
      <c r="P1750" s="266" t="s">
        <v>166</v>
      </c>
      <c r="Q1750" s="266" t="s">
        <v>166</v>
      </c>
      <c r="R1750" s="497" t="s">
        <v>166</v>
      </c>
      <c r="S1750" s="497" t="s">
        <v>166</v>
      </c>
      <c r="T1750" s="496"/>
    </row>
    <row r="1751">
      <c r="A1751" s="494" t="s">
        <v>3401</v>
      </c>
      <c r="B1751" s="495" t="s">
        <v>3580</v>
      </c>
      <c r="C1751" s="452" t="str">
        <f t="shared" si="278"/>
        <v>Manli</v>
      </c>
      <c r="D1751" s="537" t="s">
        <v>4228</v>
      </c>
      <c r="E1751" s="266">
        <v>245.0</v>
      </c>
      <c r="F1751" s="266">
        <v>112.0</v>
      </c>
      <c r="G1751" s="266">
        <v>42.0</v>
      </c>
      <c r="H1751" s="266">
        <v>2.0</v>
      </c>
      <c r="I1751" s="266">
        <v>1680.0</v>
      </c>
      <c r="J1751" s="266">
        <v>14.0</v>
      </c>
      <c r="K1751" s="266">
        <v>200.0</v>
      </c>
      <c r="L1751" s="266">
        <v>8.0</v>
      </c>
      <c r="M1751" s="266">
        <v>2.0</v>
      </c>
      <c r="N1751" s="266">
        <v>3.0</v>
      </c>
      <c r="O1751" s="266">
        <v>1.0</v>
      </c>
      <c r="P1751" s="266" t="s">
        <v>166</v>
      </c>
      <c r="Q1751" s="266" t="s">
        <v>166</v>
      </c>
      <c r="R1751" s="497" t="s">
        <v>166</v>
      </c>
      <c r="S1751" s="497" t="s">
        <v>166</v>
      </c>
      <c r="T1751" s="494"/>
    </row>
    <row r="1752">
      <c r="A1752" s="494" t="s">
        <v>3401</v>
      </c>
      <c r="B1752" s="495" t="s">
        <v>3580</v>
      </c>
      <c r="C1752" s="174" t="s">
        <v>3565</v>
      </c>
      <c r="D1752" s="537" t="s">
        <v>4229</v>
      </c>
      <c r="E1752" s="266">
        <v>317.0</v>
      </c>
      <c r="F1752" s="266">
        <v>124.0</v>
      </c>
      <c r="G1752" s="266">
        <v>53.0</v>
      </c>
      <c r="H1752" s="266">
        <v>2.0</v>
      </c>
      <c r="I1752" s="266">
        <v>1800.0</v>
      </c>
      <c r="J1752" s="266">
        <v>14.0</v>
      </c>
      <c r="K1752" s="266">
        <v>220.0</v>
      </c>
      <c r="L1752" s="266" t="s">
        <v>3460</v>
      </c>
      <c r="M1752" s="266">
        <v>3.0</v>
      </c>
      <c r="N1752" s="266">
        <v>3.0</v>
      </c>
      <c r="O1752" s="266">
        <v>1.0</v>
      </c>
      <c r="P1752" s="266" t="s">
        <v>166</v>
      </c>
      <c r="Q1752" s="266" t="s">
        <v>166</v>
      </c>
      <c r="R1752" s="497" t="s">
        <v>166</v>
      </c>
      <c r="S1752" s="497" t="s">
        <v>166</v>
      </c>
      <c r="T1752" s="496"/>
    </row>
    <row r="1753">
      <c r="A1753" s="494" t="s">
        <v>3401</v>
      </c>
      <c r="B1753" s="495" t="s">
        <v>3580</v>
      </c>
      <c r="C1753" s="174" t="s">
        <v>3565</v>
      </c>
      <c r="D1753" s="537" t="s">
        <v>4145</v>
      </c>
      <c r="E1753" s="266">
        <v>317.0</v>
      </c>
      <c r="F1753" s="266">
        <v>124.0</v>
      </c>
      <c r="G1753" s="266">
        <v>53.0</v>
      </c>
      <c r="H1753" s="266">
        <v>2.0</v>
      </c>
      <c r="I1753" s="266">
        <v>1800.0</v>
      </c>
      <c r="J1753" s="266">
        <v>14.0</v>
      </c>
      <c r="K1753" s="266">
        <v>220.0</v>
      </c>
      <c r="L1753" s="266" t="s">
        <v>3460</v>
      </c>
      <c r="M1753" s="266">
        <v>3.0</v>
      </c>
      <c r="N1753" s="266">
        <v>3.0</v>
      </c>
      <c r="O1753" s="266">
        <v>1.0</v>
      </c>
      <c r="P1753" s="266" t="s">
        <v>166</v>
      </c>
      <c r="Q1753" s="266" t="s">
        <v>166</v>
      </c>
      <c r="R1753" s="497" t="s">
        <v>166</v>
      </c>
      <c r="S1753" s="497" t="s">
        <v>166</v>
      </c>
      <c r="T1753" s="494"/>
    </row>
    <row r="1754">
      <c r="A1754" s="494" t="s">
        <v>3401</v>
      </c>
      <c r="B1754" s="495" t="s">
        <v>3580</v>
      </c>
      <c r="C1754" s="174" t="s">
        <v>3565</v>
      </c>
      <c r="D1754" s="537" t="s">
        <v>4230</v>
      </c>
      <c r="E1754" s="266">
        <v>317.0</v>
      </c>
      <c r="F1754" s="266">
        <v>124.0</v>
      </c>
      <c r="G1754" s="266">
        <v>53.0</v>
      </c>
      <c r="H1754" s="266">
        <v>2.0</v>
      </c>
      <c r="I1754" s="266">
        <v>1800.0</v>
      </c>
      <c r="J1754" s="266">
        <v>14.0</v>
      </c>
      <c r="K1754" s="266">
        <v>220.0</v>
      </c>
      <c r="L1754" s="266" t="s">
        <v>3460</v>
      </c>
      <c r="M1754" s="266">
        <v>3.0</v>
      </c>
      <c r="N1754" s="266">
        <v>3.0</v>
      </c>
      <c r="O1754" s="266">
        <v>1.0</v>
      </c>
      <c r="P1754" s="266" t="s">
        <v>166</v>
      </c>
      <c r="Q1754" s="266" t="s">
        <v>166</v>
      </c>
      <c r="R1754" s="497" t="s">
        <v>166</v>
      </c>
      <c r="S1754" s="497" t="s">
        <v>166</v>
      </c>
      <c r="T1754" s="494"/>
    </row>
    <row r="1755">
      <c r="A1755" s="494" t="s">
        <v>3401</v>
      </c>
      <c r="B1755" s="495" t="s">
        <v>3580</v>
      </c>
      <c r="C1755" s="174" t="str">
        <f t="shared" ref="C1755:C1776" si="279">HYPERLINK("https://www.msi.com/index.php","MSI")</f>
        <v>MSI</v>
      </c>
      <c r="D1755" s="537" t="s">
        <v>4231</v>
      </c>
      <c r="E1755" s="266">
        <v>230.0</v>
      </c>
      <c r="F1755" s="266">
        <v>115.0</v>
      </c>
      <c r="G1755" s="266">
        <v>43.0</v>
      </c>
      <c r="H1755" s="266">
        <v>2.0</v>
      </c>
      <c r="I1755" s="266">
        <v>1665.0</v>
      </c>
      <c r="J1755" s="266">
        <v>14.0</v>
      </c>
      <c r="K1755" s="266">
        <v>200.0</v>
      </c>
      <c r="L1755" s="266">
        <v>8.0</v>
      </c>
      <c r="M1755" s="266">
        <v>2.0</v>
      </c>
      <c r="N1755" s="266">
        <v>3.0</v>
      </c>
      <c r="O1755" s="266">
        <v>1.0</v>
      </c>
      <c r="P1755" s="266" t="s">
        <v>166</v>
      </c>
      <c r="Q1755" s="266" t="s">
        <v>166</v>
      </c>
      <c r="R1755" s="497" t="s">
        <v>166</v>
      </c>
      <c r="S1755" s="497" t="s">
        <v>166</v>
      </c>
      <c r="T1755" s="496"/>
    </row>
    <row r="1756">
      <c r="A1756" s="494" t="s">
        <v>3401</v>
      </c>
      <c r="B1756" s="495" t="s">
        <v>3580</v>
      </c>
      <c r="C1756" s="174" t="str">
        <f t="shared" si="279"/>
        <v>MSI</v>
      </c>
      <c r="D1756" s="537" t="s">
        <v>4232</v>
      </c>
      <c r="E1756" s="266">
        <v>230.0</v>
      </c>
      <c r="F1756" s="266">
        <v>115.0</v>
      </c>
      <c r="G1756" s="266">
        <v>43.0</v>
      </c>
      <c r="H1756" s="266">
        <v>2.0</v>
      </c>
      <c r="I1756" s="266">
        <v>1665.0</v>
      </c>
      <c r="J1756" s="266">
        <v>14.0</v>
      </c>
      <c r="K1756" s="266">
        <v>200.0</v>
      </c>
      <c r="L1756" s="266">
        <v>8.0</v>
      </c>
      <c r="M1756" s="266">
        <v>2.0</v>
      </c>
      <c r="N1756" s="266">
        <v>3.0</v>
      </c>
      <c r="O1756" s="266">
        <v>1.0</v>
      </c>
      <c r="P1756" s="266" t="s">
        <v>166</v>
      </c>
      <c r="Q1756" s="266" t="s">
        <v>166</v>
      </c>
      <c r="R1756" s="497" t="s">
        <v>166</v>
      </c>
      <c r="S1756" s="497" t="s">
        <v>166</v>
      </c>
      <c r="T1756" s="494"/>
    </row>
    <row r="1757">
      <c r="A1757" s="494" t="s">
        <v>3401</v>
      </c>
      <c r="B1757" s="495" t="s">
        <v>3580</v>
      </c>
      <c r="C1757" s="174" t="str">
        <f t="shared" si="279"/>
        <v>MSI</v>
      </c>
      <c r="D1757" s="537" t="s">
        <v>4233</v>
      </c>
      <c r="E1757" s="266">
        <v>230.0</v>
      </c>
      <c r="F1757" s="266">
        <v>115.0</v>
      </c>
      <c r="G1757" s="266">
        <v>43.0</v>
      </c>
      <c r="H1757" s="266">
        <v>2.0</v>
      </c>
      <c r="I1757" s="266">
        <v>1695.0</v>
      </c>
      <c r="J1757" s="266">
        <v>14.0</v>
      </c>
      <c r="K1757" s="266">
        <v>200.0</v>
      </c>
      <c r="L1757" s="266">
        <v>8.0</v>
      </c>
      <c r="M1757" s="266">
        <v>2.0</v>
      </c>
      <c r="N1757" s="266">
        <v>3.0</v>
      </c>
      <c r="O1757" s="266">
        <v>1.0</v>
      </c>
      <c r="P1757" s="266" t="s">
        <v>166</v>
      </c>
      <c r="Q1757" s="266" t="s">
        <v>166</v>
      </c>
      <c r="R1757" s="497" t="s">
        <v>166</v>
      </c>
      <c r="S1757" s="497" t="s">
        <v>166</v>
      </c>
      <c r="T1757" s="496"/>
    </row>
    <row r="1758">
      <c r="A1758" s="494" t="s">
        <v>3401</v>
      </c>
      <c r="B1758" s="495" t="s">
        <v>3580</v>
      </c>
      <c r="C1758" s="174" t="str">
        <f t="shared" si="279"/>
        <v>MSI</v>
      </c>
      <c r="D1758" s="537" t="s">
        <v>4234</v>
      </c>
      <c r="E1758" s="266">
        <v>230.0</v>
      </c>
      <c r="F1758" s="266">
        <v>115.0</v>
      </c>
      <c r="G1758" s="266">
        <v>43.0</v>
      </c>
      <c r="H1758" s="266">
        <v>2.0</v>
      </c>
      <c r="I1758" s="266">
        <v>1695.0</v>
      </c>
      <c r="J1758" s="266">
        <v>14.0</v>
      </c>
      <c r="K1758" s="266">
        <v>200.0</v>
      </c>
      <c r="L1758" s="266">
        <v>8.0</v>
      </c>
      <c r="M1758" s="266">
        <v>2.0</v>
      </c>
      <c r="N1758" s="266">
        <v>3.0</v>
      </c>
      <c r="O1758" s="266">
        <v>1.0</v>
      </c>
      <c r="P1758" s="266" t="s">
        <v>166</v>
      </c>
      <c r="Q1758" s="266" t="s">
        <v>166</v>
      </c>
      <c r="R1758" s="497" t="s">
        <v>166</v>
      </c>
      <c r="S1758" s="497" t="s">
        <v>166</v>
      </c>
      <c r="T1758" s="494"/>
    </row>
    <row r="1759">
      <c r="A1759" s="494" t="s">
        <v>3401</v>
      </c>
      <c r="B1759" s="495" t="s">
        <v>3580</v>
      </c>
      <c r="C1759" s="174" t="str">
        <f t="shared" si="279"/>
        <v>MSI</v>
      </c>
      <c r="D1759" s="537" t="s">
        <v>3555</v>
      </c>
      <c r="E1759" s="266">
        <v>232.0</v>
      </c>
      <c r="F1759" s="266">
        <v>124.0</v>
      </c>
      <c r="G1759" s="266">
        <v>52.0</v>
      </c>
      <c r="H1759" s="266">
        <v>2.0</v>
      </c>
      <c r="I1759" s="266">
        <v>1665.0</v>
      </c>
      <c r="J1759" s="266">
        <v>14.0</v>
      </c>
      <c r="K1759" s="266">
        <v>200.0</v>
      </c>
      <c r="L1759" s="266" t="s">
        <v>3460</v>
      </c>
      <c r="M1759" s="266">
        <v>2.0</v>
      </c>
      <c r="N1759" s="266">
        <v>3.0</v>
      </c>
      <c r="O1759" s="266">
        <v>1.0</v>
      </c>
      <c r="P1759" s="266" t="s">
        <v>166</v>
      </c>
      <c r="Q1759" s="266" t="s">
        <v>166</v>
      </c>
      <c r="R1759" s="497" t="s">
        <v>166</v>
      </c>
      <c r="S1759" s="497" t="s">
        <v>166</v>
      </c>
      <c r="T1759" s="496"/>
    </row>
    <row r="1760">
      <c r="A1760" s="494" t="s">
        <v>3401</v>
      </c>
      <c r="B1760" s="495" t="s">
        <v>3580</v>
      </c>
      <c r="C1760" s="174" t="str">
        <f t="shared" si="279"/>
        <v>MSI</v>
      </c>
      <c r="D1760" s="537" t="s">
        <v>3556</v>
      </c>
      <c r="E1760" s="266">
        <v>232.0</v>
      </c>
      <c r="F1760" s="266">
        <v>124.0</v>
      </c>
      <c r="G1760" s="266">
        <v>52.0</v>
      </c>
      <c r="H1760" s="266">
        <v>2.0</v>
      </c>
      <c r="I1760" s="266">
        <v>1695.0</v>
      </c>
      <c r="J1760" s="266">
        <v>14.0</v>
      </c>
      <c r="K1760" s="266">
        <v>200.0</v>
      </c>
      <c r="L1760" s="266" t="s">
        <v>3460</v>
      </c>
      <c r="M1760" s="266">
        <v>2.0</v>
      </c>
      <c r="N1760" s="266">
        <v>3.0</v>
      </c>
      <c r="O1760" s="266">
        <v>1.0</v>
      </c>
      <c r="P1760" s="266" t="s">
        <v>166</v>
      </c>
      <c r="Q1760" s="266" t="s">
        <v>166</v>
      </c>
      <c r="R1760" s="497" t="s">
        <v>166</v>
      </c>
      <c r="S1760" s="497" t="s">
        <v>166</v>
      </c>
      <c r="T1760" s="496"/>
    </row>
    <row r="1761">
      <c r="A1761" s="494" t="s">
        <v>3401</v>
      </c>
      <c r="B1761" s="495" t="s">
        <v>3580</v>
      </c>
      <c r="C1761" s="174" t="str">
        <f t="shared" si="279"/>
        <v>MSI</v>
      </c>
      <c r="D1761" s="537" t="s">
        <v>4080</v>
      </c>
      <c r="E1761" s="266">
        <v>235.0</v>
      </c>
      <c r="F1761" s="266">
        <v>124.0</v>
      </c>
      <c r="G1761" s="266">
        <v>42.0</v>
      </c>
      <c r="H1761" s="266">
        <v>2.0</v>
      </c>
      <c r="I1761" s="266">
        <v>1665.0</v>
      </c>
      <c r="J1761" s="266">
        <v>14.0</v>
      </c>
      <c r="K1761" s="266">
        <v>200.0</v>
      </c>
      <c r="L1761" s="266">
        <v>8.0</v>
      </c>
      <c r="M1761" s="266">
        <v>2.0</v>
      </c>
      <c r="N1761" s="266">
        <v>3.0</v>
      </c>
      <c r="O1761" s="266">
        <v>1.0</v>
      </c>
      <c r="P1761" s="266" t="s">
        <v>166</v>
      </c>
      <c r="Q1761" s="266" t="s">
        <v>166</v>
      </c>
      <c r="R1761" s="497" t="s">
        <v>166</v>
      </c>
      <c r="S1761" s="497" t="s">
        <v>166</v>
      </c>
      <c r="T1761" s="496"/>
    </row>
    <row r="1762">
      <c r="A1762" s="494" t="s">
        <v>3401</v>
      </c>
      <c r="B1762" s="495" t="s">
        <v>3580</v>
      </c>
      <c r="C1762" s="174" t="str">
        <f t="shared" si="279"/>
        <v>MSI</v>
      </c>
      <c r="D1762" s="537" t="s">
        <v>4235</v>
      </c>
      <c r="E1762" s="266">
        <v>235.0</v>
      </c>
      <c r="F1762" s="266">
        <v>124.0</v>
      </c>
      <c r="G1762" s="266">
        <v>42.0</v>
      </c>
      <c r="H1762" s="266">
        <v>2.0</v>
      </c>
      <c r="I1762" s="266">
        <v>1665.0</v>
      </c>
      <c r="J1762" s="266">
        <v>14.0</v>
      </c>
      <c r="K1762" s="266">
        <v>200.0</v>
      </c>
      <c r="L1762" s="266">
        <v>8.0</v>
      </c>
      <c r="M1762" s="266">
        <v>2.0</v>
      </c>
      <c r="N1762" s="266">
        <v>3.0</v>
      </c>
      <c r="O1762" s="266">
        <v>1.0</v>
      </c>
      <c r="P1762" s="266" t="s">
        <v>166</v>
      </c>
      <c r="Q1762" s="266" t="s">
        <v>166</v>
      </c>
      <c r="R1762" s="497" t="s">
        <v>166</v>
      </c>
      <c r="S1762" s="497" t="s">
        <v>166</v>
      </c>
      <c r="T1762" s="494"/>
    </row>
    <row r="1763">
      <c r="A1763" s="494" t="s">
        <v>3401</v>
      </c>
      <c r="B1763" s="495" t="s">
        <v>3580</v>
      </c>
      <c r="C1763" s="174" t="str">
        <f t="shared" si="279"/>
        <v>MSI</v>
      </c>
      <c r="D1763" s="537" t="s">
        <v>4081</v>
      </c>
      <c r="E1763" s="266">
        <v>235.0</v>
      </c>
      <c r="F1763" s="266">
        <v>124.0</v>
      </c>
      <c r="G1763" s="266">
        <v>42.0</v>
      </c>
      <c r="H1763" s="266">
        <v>2.0</v>
      </c>
      <c r="I1763" s="266">
        <v>1695.0</v>
      </c>
      <c r="J1763" s="266">
        <v>14.0</v>
      </c>
      <c r="K1763" s="266">
        <v>200.0</v>
      </c>
      <c r="L1763" s="266">
        <v>8.0</v>
      </c>
      <c r="M1763" s="266">
        <v>2.0</v>
      </c>
      <c r="N1763" s="266">
        <v>3.0</v>
      </c>
      <c r="O1763" s="266">
        <v>1.0</v>
      </c>
      <c r="P1763" s="266" t="s">
        <v>166</v>
      </c>
      <c r="Q1763" s="266" t="s">
        <v>166</v>
      </c>
      <c r="R1763" s="497" t="s">
        <v>166</v>
      </c>
      <c r="S1763" s="497" t="s">
        <v>166</v>
      </c>
      <c r="T1763" s="496"/>
    </row>
    <row r="1764">
      <c r="A1764" s="494" t="s">
        <v>3401</v>
      </c>
      <c r="B1764" s="495" t="s">
        <v>3580</v>
      </c>
      <c r="C1764" s="174" t="str">
        <f t="shared" si="279"/>
        <v>MSI</v>
      </c>
      <c r="D1764" s="537" t="s">
        <v>4236</v>
      </c>
      <c r="E1764" s="266">
        <v>235.0</v>
      </c>
      <c r="F1764" s="266">
        <v>124.0</v>
      </c>
      <c r="G1764" s="266">
        <v>42.0</v>
      </c>
      <c r="H1764" s="266">
        <v>2.0</v>
      </c>
      <c r="I1764" s="266">
        <v>1695.0</v>
      </c>
      <c r="J1764" s="266">
        <v>14.0</v>
      </c>
      <c r="K1764" s="266">
        <v>200.0</v>
      </c>
      <c r="L1764" s="266">
        <v>8.0</v>
      </c>
      <c r="M1764" s="266">
        <v>2.0</v>
      </c>
      <c r="N1764" s="266">
        <v>3.0</v>
      </c>
      <c r="O1764" s="266">
        <v>1.0</v>
      </c>
      <c r="P1764" s="266" t="s">
        <v>166</v>
      </c>
      <c r="Q1764" s="266" t="s">
        <v>166</v>
      </c>
      <c r="R1764" s="497" t="s">
        <v>166</v>
      </c>
      <c r="S1764" s="497" t="s">
        <v>166</v>
      </c>
      <c r="T1764" s="494"/>
    </row>
    <row r="1765">
      <c r="A1765" s="494" t="s">
        <v>3401</v>
      </c>
      <c r="B1765" s="495" t="s">
        <v>3580</v>
      </c>
      <c r="C1765" s="174" t="str">
        <f t="shared" si="279"/>
        <v>MSI</v>
      </c>
      <c r="D1765" s="537" t="s">
        <v>4146</v>
      </c>
      <c r="E1765" s="266">
        <v>316.0</v>
      </c>
      <c r="F1765" s="266">
        <v>120.0</v>
      </c>
      <c r="G1765" s="266">
        <v>42.0</v>
      </c>
      <c r="H1765" s="266">
        <v>2.0</v>
      </c>
      <c r="I1765" s="266">
        <v>1665.0</v>
      </c>
      <c r="J1765" s="266">
        <v>14.0</v>
      </c>
      <c r="K1765" s="266">
        <v>200.0</v>
      </c>
      <c r="L1765" s="266">
        <v>8.0</v>
      </c>
      <c r="M1765" s="266">
        <v>3.0</v>
      </c>
      <c r="N1765" s="266">
        <v>3.0</v>
      </c>
      <c r="O1765" s="266">
        <v>1.0</v>
      </c>
      <c r="P1765" s="266" t="s">
        <v>166</v>
      </c>
      <c r="Q1765" s="266" t="s">
        <v>166</v>
      </c>
      <c r="R1765" s="497" t="s">
        <v>166</v>
      </c>
      <c r="S1765" s="497" t="s">
        <v>166</v>
      </c>
      <c r="T1765" s="496"/>
    </row>
    <row r="1766">
      <c r="A1766" s="494" t="s">
        <v>3401</v>
      </c>
      <c r="B1766" s="495" t="s">
        <v>3580</v>
      </c>
      <c r="C1766" s="174" t="str">
        <f t="shared" si="279"/>
        <v>MSI</v>
      </c>
      <c r="D1766" s="537" t="s">
        <v>4237</v>
      </c>
      <c r="E1766" s="266">
        <v>316.0</v>
      </c>
      <c r="F1766" s="266">
        <v>120.0</v>
      </c>
      <c r="G1766" s="266">
        <v>42.0</v>
      </c>
      <c r="H1766" s="266">
        <v>2.0</v>
      </c>
      <c r="I1766" s="266">
        <v>1665.0</v>
      </c>
      <c r="J1766" s="266">
        <v>14.0</v>
      </c>
      <c r="K1766" s="266">
        <v>200.0</v>
      </c>
      <c r="L1766" s="266">
        <v>8.0</v>
      </c>
      <c r="M1766" s="266">
        <v>3.0</v>
      </c>
      <c r="N1766" s="266">
        <v>3.0</v>
      </c>
      <c r="O1766" s="266">
        <v>1.0</v>
      </c>
      <c r="P1766" s="266" t="s">
        <v>166</v>
      </c>
      <c r="Q1766" s="266" t="s">
        <v>166</v>
      </c>
      <c r="R1766" s="497" t="s">
        <v>166</v>
      </c>
      <c r="S1766" s="497" t="s">
        <v>166</v>
      </c>
      <c r="T1766" s="494"/>
    </row>
    <row r="1767">
      <c r="A1767" s="494" t="s">
        <v>3401</v>
      </c>
      <c r="B1767" s="495" t="s">
        <v>3580</v>
      </c>
      <c r="C1767" s="174" t="str">
        <f t="shared" si="279"/>
        <v>MSI</v>
      </c>
      <c r="D1767" s="537" t="s">
        <v>4147</v>
      </c>
      <c r="E1767" s="266">
        <v>316.0</v>
      </c>
      <c r="F1767" s="266">
        <v>120.0</v>
      </c>
      <c r="G1767" s="266">
        <v>42.0</v>
      </c>
      <c r="H1767" s="266">
        <v>2.0</v>
      </c>
      <c r="I1767" s="266">
        <v>1695.0</v>
      </c>
      <c r="J1767" s="266">
        <v>14.0</v>
      </c>
      <c r="K1767" s="266">
        <v>200.0</v>
      </c>
      <c r="L1767" s="266">
        <v>8.0</v>
      </c>
      <c r="M1767" s="266">
        <v>3.0</v>
      </c>
      <c r="N1767" s="266">
        <v>3.0</v>
      </c>
      <c r="O1767" s="266">
        <v>1.0</v>
      </c>
      <c r="P1767" s="266" t="s">
        <v>166</v>
      </c>
      <c r="Q1767" s="266" t="s">
        <v>166</v>
      </c>
      <c r="R1767" s="497" t="s">
        <v>166</v>
      </c>
      <c r="S1767" s="497" t="s">
        <v>166</v>
      </c>
      <c r="T1767" s="496"/>
    </row>
    <row r="1768">
      <c r="A1768" s="494" t="s">
        <v>3401</v>
      </c>
      <c r="B1768" s="495" t="s">
        <v>3580</v>
      </c>
      <c r="C1768" s="174" t="str">
        <f t="shared" si="279"/>
        <v>MSI</v>
      </c>
      <c r="D1768" s="537" t="s">
        <v>4238</v>
      </c>
      <c r="E1768" s="266">
        <v>316.0</v>
      </c>
      <c r="F1768" s="266">
        <v>120.0</v>
      </c>
      <c r="G1768" s="266">
        <v>42.0</v>
      </c>
      <c r="H1768" s="266">
        <v>2.0</v>
      </c>
      <c r="I1768" s="266">
        <v>1695.0</v>
      </c>
      <c r="J1768" s="266">
        <v>14.0</v>
      </c>
      <c r="K1768" s="266">
        <v>200.0</v>
      </c>
      <c r="L1768" s="266">
        <v>8.0</v>
      </c>
      <c r="M1768" s="266">
        <v>3.0</v>
      </c>
      <c r="N1768" s="266">
        <v>3.0</v>
      </c>
      <c r="O1768" s="266">
        <v>1.0</v>
      </c>
      <c r="P1768" s="266" t="s">
        <v>166</v>
      </c>
      <c r="Q1768" s="266" t="s">
        <v>166</v>
      </c>
      <c r="R1768" s="497" t="s">
        <v>166</v>
      </c>
      <c r="S1768" s="497" t="s">
        <v>166</v>
      </c>
      <c r="T1768" s="494"/>
    </row>
    <row r="1769">
      <c r="A1769" s="494" t="s">
        <v>3401</v>
      </c>
      <c r="B1769" s="495" t="s">
        <v>3580</v>
      </c>
      <c r="C1769" s="174" t="str">
        <f t="shared" si="279"/>
        <v>MSI</v>
      </c>
      <c r="D1769" s="537" t="s">
        <v>3409</v>
      </c>
      <c r="E1769" s="266">
        <v>278.0</v>
      </c>
      <c r="F1769" s="266">
        <v>131.0</v>
      </c>
      <c r="G1769" s="266">
        <v>51.0</v>
      </c>
      <c r="H1769" s="266">
        <v>2.0</v>
      </c>
      <c r="I1769" s="266">
        <v>1710.0</v>
      </c>
      <c r="J1769" s="266">
        <v>14.0</v>
      </c>
      <c r="K1769" s="266">
        <v>220.0</v>
      </c>
      <c r="L1769" s="266" t="s">
        <v>3361</v>
      </c>
      <c r="M1769" s="266">
        <v>2.0</v>
      </c>
      <c r="N1769" s="266">
        <v>3.0</v>
      </c>
      <c r="O1769" s="266">
        <v>1.0</v>
      </c>
      <c r="P1769" s="266" t="s">
        <v>166</v>
      </c>
      <c r="Q1769" s="266" t="s">
        <v>166</v>
      </c>
      <c r="R1769" s="497" t="s">
        <v>166</v>
      </c>
      <c r="S1769" s="497" t="s">
        <v>166</v>
      </c>
      <c r="T1769" s="496"/>
    </row>
    <row r="1770">
      <c r="A1770" s="494" t="s">
        <v>3401</v>
      </c>
      <c r="B1770" s="495" t="s">
        <v>3580</v>
      </c>
      <c r="C1770" s="174" t="str">
        <f t="shared" si="279"/>
        <v>MSI</v>
      </c>
      <c r="D1770" s="537" t="s">
        <v>4239</v>
      </c>
      <c r="E1770" s="266">
        <v>278.0</v>
      </c>
      <c r="F1770" s="266">
        <v>131.0</v>
      </c>
      <c r="G1770" s="266">
        <v>51.0</v>
      </c>
      <c r="H1770" s="266">
        <v>2.0</v>
      </c>
      <c r="I1770" s="266">
        <v>1710.0</v>
      </c>
      <c r="J1770" s="266">
        <v>14.0</v>
      </c>
      <c r="K1770" s="266">
        <v>220.0</v>
      </c>
      <c r="L1770" s="266" t="s">
        <v>3361</v>
      </c>
      <c r="M1770" s="266">
        <v>2.0</v>
      </c>
      <c r="N1770" s="266">
        <v>3.0</v>
      </c>
      <c r="O1770" s="266">
        <v>1.0</v>
      </c>
      <c r="P1770" s="266" t="s">
        <v>166</v>
      </c>
      <c r="Q1770" s="266" t="s">
        <v>166</v>
      </c>
      <c r="R1770" s="497" t="s">
        <v>166</v>
      </c>
      <c r="S1770" s="497" t="s">
        <v>166</v>
      </c>
      <c r="T1770" s="494"/>
    </row>
    <row r="1771">
      <c r="A1771" s="494" t="s">
        <v>3401</v>
      </c>
      <c r="B1771" s="495" t="s">
        <v>3580</v>
      </c>
      <c r="C1771" s="174" t="str">
        <f t="shared" si="279"/>
        <v>MSI</v>
      </c>
      <c r="D1771" s="537" t="s">
        <v>3557</v>
      </c>
      <c r="E1771" s="266">
        <v>278.0</v>
      </c>
      <c r="F1771" s="266">
        <v>131.0</v>
      </c>
      <c r="G1771" s="266">
        <v>51.0</v>
      </c>
      <c r="H1771" s="266">
        <v>2.0</v>
      </c>
      <c r="I1771" s="266">
        <v>1770.0</v>
      </c>
      <c r="J1771" s="266">
        <v>14.0</v>
      </c>
      <c r="K1771" s="266">
        <v>220.0</v>
      </c>
      <c r="L1771" s="266" t="s">
        <v>3361</v>
      </c>
      <c r="M1771" s="266">
        <v>2.0</v>
      </c>
      <c r="N1771" s="266">
        <v>3.0</v>
      </c>
      <c r="O1771" s="266">
        <v>1.0</v>
      </c>
      <c r="P1771" s="266" t="s">
        <v>166</v>
      </c>
      <c r="Q1771" s="266" t="s">
        <v>166</v>
      </c>
      <c r="R1771" s="497" t="s">
        <v>166</v>
      </c>
      <c r="S1771" s="497" t="s">
        <v>166</v>
      </c>
      <c r="T1771" s="496"/>
    </row>
    <row r="1772">
      <c r="A1772" s="494" t="s">
        <v>3401</v>
      </c>
      <c r="B1772" s="495" t="s">
        <v>3580</v>
      </c>
      <c r="C1772" s="174" t="str">
        <f t="shared" si="279"/>
        <v>MSI</v>
      </c>
      <c r="D1772" s="537" t="s">
        <v>4240</v>
      </c>
      <c r="E1772" s="266">
        <v>278.0</v>
      </c>
      <c r="F1772" s="266">
        <v>131.0</v>
      </c>
      <c r="G1772" s="266">
        <v>51.0</v>
      </c>
      <c r="H1772" s="266">
        <v>2.0</v>
      </c>
      <c r="I1772" s="266">
        <v>1770.0</v>
      </c>
      <c r="J1772" s="266">
        <v>14.0</v>
      </c>
      <c r="K1772" s="266">
        <v>220.0</v>
      </c>
      <c r="L1772" s="266" t="s">
        <v>3361</v>
      </c>
      <c r="M1772" s="266">
        <v>2.0</v>
      </c>
      <c r="N1772" s="266">
        <v>3.0</v>
      </c>
      <c r="O1772" s="266">
        <v>1.0</v>
      </c>
      <c r="P1772" s="266" t="s">
        <v>166</v>
      </c>
      <c r="Q1772" s="266" t="s">
        <v>166</v>
      </c>
      <c r="R1772" s="497" t="s">
        <v>166</v>
      </c>
      <c r="S1772" s="497" t="s">
        <v>166</v>
      </c>
      <c r="T1772" s="494"/>
    </row>
    <row r="1773">
      <c r="A1773" s="494" t="s">
        <v>3401</v>
      </c>
      <c r="B1773" s="495" t="s">
        <v>3580</v>
      </c>
      <c r="C1773" s="174" t="str">
        <f t="shared" si="279"/>
        <v>MSI</v>
      </c>
      <c r="D1773" s="537" t="s">
        <v>3720</v>
      </c>
      <c r="E1773" s="266">
        <v>323.0</v>
      </c>
      <c r="F1773" s="266">
        <v>140.0</v>
      </c>
      <c r="G1773" s="266">
        <v>56.0</v>
      </c>
      <c r="H1773" s="266">
        <v>2.0</v>
      </c>
      <c r="I1773" s="266">
        <v>1755.0</v>
      </c>
      <c r="J1773" s="266">
        <v>14.0</v>
      </c>
      <c r="K1773" s="266">
        <v>240.0</v>
      </c>
      <c r="L1773" s="266" t="s">
        <v>3460</v>
      </c>
      <c r="M1773" s="266">
        <v>3.0</v>
      </c>
      <c r="N1773" s="266">
        <v>3.0</v>
      </c>
      <c r="O1773" s="266">
        <v>1.0</v>
      </c>
      <c r="P1773" s="266" t="s">
        <v>166</v>
      </c>
      <c r="Q1773" s="266" t="s">
        <v>166</v>
      </c>
      <c r="R1773" s="497" t="s">
        <v>166</v>
      </c>
      <c r="S1773" s="497" t="s">
        <v>166</v>
      </c>
      <c r="T1773" s="496"/>
    </row>
    <row r="1774">
      <c r="A1774" s="494" t="s">
        <v>3401</v>
      </c>
      <c r="B1774" s="495" t="s">
        <v>3580</v>
      </c>
      <c r="C1774" s="174" t="str">
        <f t="shared" si="279"/>
        <v>MSI</v>
      </c>
      <c r="D1774" s="537" t="s">
        <v>4241</v>
      </c>
      <c r="E1774" s="266">
        <v>323.0</v>
      </c>
      <c r="F1774" s="266">
        <v>140.0</v>
      </c>
      <c r="G1774" s="266">
        <v>56.0</v>
      </c>
      <c r="H1774" s="266">
        <v>2.0</v>
      </c>
      <c r="I1774" s="266">
        <v>1755.0</v>
      </c>
      <c r="J1774" s="266">
        <v>14.0</v>
      </c>
      <c r="K1774" s="266">
        <v>240.0</v>
      </c>
      <c r="L1774" s="266" t="s">
        <v>3460</v>
      </c>
      <c r="M1774" s="266">
        <v>3.0</v>
      </c>
      <c r="N1774" s="266">
        <v>3.0</v>
      </c>
      <c r="O1774" s="266">
        <v>1.0</v>
      </c>
      <c r="P1774" s="266" t="s">
        <v>166</v>
      </c>
      <c r="Q1774" s="266" t="s">
        <v>166</v>
      </c>
      <c r="R1774" s="497" t="s">
        <v>166</v>
      </c>
      <c r="S1774" s="497" t="s">
        <v>166</v>
      </c>
      <c r="T1774" s="494"/>
    </row>
    <row r="1775">
      <c r="A1775" s="494" t="s">
        <v>3401</v>
      </c>
      <c r="B1775" s="495" t="s">
        <v>3580</v>
      </c>
      <c r="C1775" s="174" t="str">
        <f t="shared" si="279"/>
        <v>MSI</v>
      </c>
      <c r="D1775" s="537" t="s">
        <v>3721</v>
      </c>
      <c r="E1775" s="266">
        <v>323.0</v>
      </c>
      <c r="F1775" s="266">
        <v>140.0</v>
      </c>
      <c r="G1775" s="266">
        <v>56.0</v>
      </c>
      <c r="H1775" s="266">
        <v>2.0</v>
      </c>
      <c r="I1775" s="266">
        <v>1830.0</v>
      </c>
      <c r="J1775" s="266">
        <v>14.0</v>
      </c>
      <c r="K1775" s="266">
        <v>240.0</v>
      </c>
      <c r="L1775" s="266" t="s">
        <v>3460</v>
      </c>
      <c r="M1775" s="266">
        <v>3.0</v>
      </c>
      <c r="N1775" s="266">
        <v>3.0</v>
      </c>
      <c r="O1775" s="266">
        <v>1.0</v>
      </c>
      <c r="P1775" s="266" t="s">
        <v>166</v>
      </c>
      <c r="Q1775" s="266" t="s">
        <v>166</v>
      </c>
      <c r="R1775" s="497" t="s">
        <v>166</v>
      </c>
      <c r="S1775" s="497" t="s">
        <v>166</v>
      </c>
      <c r="T1775" s="496"/>
    </row>
    <row r="1776">
      <c r="A1776" s="494" t="s">
        <v>3401</v>
      </c>
      <c r="B1776" s="495" t="s">
        <v>3580</v>
      </c>
      <c r="C1776" s="174" t="str">
        <f t="shared" si="279"/>
        <v>MSI</v>
      </c>
      <c r="D1776" s="537" t="s">
        <v>4242</v>
      </c>
      <c r="E1776" s="266">
        <v>323.0</v>
      </c>
      <c r="F1776" s="266">
        <v>140.0</v>
      </c>
      <c r="G1776" s="266">
        <v>56.0</v>
      </c>
      <c r="H1776" s="266">
        <v>2.0</v>
      </c>
      <c r="I1776" s="266">
        <v>1845.0</v>
      </c>
      <c r="J1776" s="266">
        <v>14.0</v>
      </c>
      <c r="K1776" s="266">
        <v>240.0</v>
      </c>
      <c r="L1776" s="266" t="s">
        <v>3460</v>
      </c>
      <c r="M1776" s="266">
        <v>3.0</v>
      </c>
      <c r="N1776" s="266">
        <v>3.0</v>
      </c>
      <c r="O1776" s="266">
        <v>1.0</v>
      </c>
      <c r="P1776" s="266" t="s">
        <v>166</v>
      </c>
      <c r="Q1776" s="266" t="s">
        <v>166</v>
      </c>
      <c r="R1776" s="497" t="s">
        <v>166</v>
      </c>
      <c r="S1776" s="497" t="s">
        <v>166</v>
      </c>
      <c r="T1776" s="494"/>
    </row>
    <row r="1777">
      <c r="A1777" s="494" t="s">
        <v>3401</v>
      </c>
      <c r="B1777" s="495" t="s">
        <v>3580</v>
      </c>
      <c r="C1777" s="452" t="str">
        <f>HYPERLINK("https://www.nvidia.com/en-us/","Nvidia")</f>
        <v>Nvidia</v>
      </c>
      <c r="D1777" s="537" t="s">
        <v>3812</v>
      </c>
      <c r="E1777" s="266">
        <v>242.0</v>
      </c>
      <c r="F1777" s="266">
        <v>112.0</v>
      </c>
      <c r="G1777" s="266">
        <v>40.0</v>
      </c>
      <c r="H1777" s="266">
        <v>2.0</v>
      </c>
      <c r="I1777" s="266">
        <v>1665.0</v>
      </c>
      <c r="J1777" s="266">
        <v>14.0</v>
      </c>
      <c r="K1777" s="266">
        <v>200.0</v>
      </c>
      <c r="L1777" s="266">
        <v>12.0</v>
      </c>
      <c r="M1777" s="266">
        <v>2.0</v>
      </c>
      <c r="N1777" s="266">
        <v>3.0</v>
      </c>
      <c r="O1777" s="266">
        <v>1.0</v>
      </c>
      <c r="P1777" s="266" t="s">
        <v>166</v>
      </c>
      <c r="Q1777" s="266" t="s">
        <v>166</v>
      </c>
      <c r="R1777" s="497" t="s">
        <v>166</v>
      </c>
      <c r="S1777" s="497" t="s">
        <v>166</v>
      </c>
      <c r="T1777" s="496"/>
    </row>
    <row r="1778">
      <c r="A1778" s="494" t="s">
        <v>3401</v>
      </c>
      <c r="B1778" s="495" t="s">
        <v>3580</v>
      </c>
      <c r="C1778" s="452" t="str">
        <f t="shared" ref="C1778:C1786" si="280">HYPERLINK("http://www.palit.com/palit/index.php?lang=en","Palit")</f>
        <v>Palit</v>
      </c>
      <c r="D1778" s="537" t="s">
        <v>3372</v>
      </c>
      <c r="E1778" s="266">
        <v>247.0</v>
      </c>
      <c r="F1778" s="266">
        <v>120.0</v>
      </c>
      <c r="G1778" s="266">
        <v>40.0</v>
      </c>
      <c r="H1778" s="266">
        <v>2.0</v>
      </c>
      <c r="I1778" s="266">
        <v>1665.0</v>
      </c>
      <c r="J1778" s="266">
        <v>14.0</v>
      </c>
      <c r="K1778" s="266">
        <v>200.0</v>
      </c>
      <c r="L1778" s="266">
        <v>8.0</v>
      </c>
      <c r="M1778" s="266">
        <v>2.0</v>
      </c>
      <c r="N1778" s="266">
        <v>3.0</v>
      </c>
      <c r="O1778" s="266">
        <v>1.0</v>
      </c>
      <c r="P1778" s="266" t="s">
        <v>166</v>
      </c>
      <c r="Q1778" s="266" t="s">
        <v>166</v>
      </c>
      <c r="R1778" s="497" t="s">
        <v>166</v>
      </c>
      <c r="S1778" s="497" t="s">
        <v>166</v>
      </c>
      <c r="T1778" s="496"/>
    </row>
    <row r="1779">
      <c r="A1779" s="494" t="s">
        <v>3401</v>
      </c>
      <c r="B1779" s="495" t="s">
        <v>3580</v>
      </c>
      <c r="C1779" s="452" t="str">
        <f t="shared" si="280"/>
        <v>Palit</v>
      </c>
      <c r="D1779" s="537" t="s">
        <v>4243</v>
      </c>
      <c r="E1779" s="266">
        <v>247.0</v>
      </c>
      <c r="F1779" s="266">
        <v>120.0</v>
      </c>
      <c r="G1779" s="266">
        <v>40.0</v>
      </c>
      <c r="H1779" s="266">
        <v>2.0</v>
      </c>
      <c r="I1779" s="266">
        <v>1665.0</v>
      </c>
      <c r="J1779" s="266">
        <v>14.0</v>
      </c>
      <c r="K1779" s="266">
        <v>200.0</v>
      </c>
      <c r="L1779" s="266">
        <v>8.0</v>
      </c>
      <c r="M1779" s="266">
        <v>2.0</v>
      </c>
      <c r="N1779" s="266">
        <v>3.0</v>
      </c>
      <c r="O1779" s="266">
        <v>1.0</v>
      </c>
      <c r="P1779" s="266" t="s">
        <v>166</v>
      </c>
      <c r="Q1779" s="266" t="s">
        <v>166</v>
      </c>
      <c r="R1779" s="497" t="s">
        <v>166</v>
      </c>
      <c r="S1779" s="266" t="s">
        <v>166</v>
      </c>
      <c r="T1779" s="494"/>
    </row>
    <row r="1780">
      <c r="A1780" s="494" t="s">
        <v>3401</v>
      </c>
      <c r="B1780" s="495" t="s">
        <v>3580</v>
      </c>
      <c r="C1780" s="452" t="str">
        <f t="shared" si="280"/>
        <v>Palit</v>
      </c>
      <c r="D1780" s="537" t="s">
        <v>3381</v>
      </c>
      <c r="E1780" s="266">
        <v>247.0</v>
      </c>
      <c r="F1780" s="266">
        <v>120.0</v>
      </c>
      <c r="G1780" s="266">
        <v>40.0</v>
      </c>
      <c r="H1780" s="266">
        <v>2.0</v>
      </c>
      <c r="I1780" s="266">
        <v>1695.0</v>
      </c>
      <c r="J1780" s="266">
        <v>14.0</v>
      </c>
      <c r="K1780" s="266">
        <v>200.0</v>
      </c>
      <c r="L1780" s="266">
        <v>8.0</v>
      </c>
      <c r="M1780" s="266">
        <v>2.0</v>
      </c>
      <c r="N1780" s="266">
        <v>3.0</v>
      </c>
      <c r="O1780" s="266">
        <v>1.0</v>
      </c>
      <c r="P1780" s="266" t="s">
        <v>166</v>
      </c>
      <c r="Q1780" s="266" t="s">
        <v>166</v>
      </c>
      <c r="R1780" s="497" t="s">
        <v>166</v>
      </c>
      <c r="S1780" s="497" t="s">
        <v>166</v>
      </c>
      <c r="T1780" s="496"/>
    </row>
    <row r="1781">
      <c r="A1781" s="494" t="s">
        <v>3401</v>
      </c>
      <c r="B1781" s="495" t="s">
        <v>3580</v>
      </c>
      <c r="C1781" s="452" t="str">
        <f t="shared" si="280"/>
        <v>Palit</v>
      </c>
      <c r="D1781" s="537" t="s">
        <v>4244</v>
      </c>
      <c r="E1781" s="266">
        <v>247.0</v>
      </c>
      <c r="F1781" s="266">
        <v>120.0</v>
      </c>
      <c r="G1781" s="266">
        <v>40.0</v>
      </c>
      <c r="H1781" s="266">
        <v>2.0</v>
      </c>
      <c r="I1781" s="266">
        <v>1695.0</v>
      </c>
      <c r="J1781" s="266">
        <v>14.0</v>
      </c>
      <c r="K1781" s="266">
        <v>200.0</v>
      </c>
      <c r="L1781" s="266">
        <v>8.0</v>
      </c>
      <c r="M1781" s="266">
        <v>2.0</v>
      </c>
      <c r="N1781" s="266">
        <v>3.0</v>
      </c>
      <c r="O1781" s="266">
        <v>1.0</v>
      </c>
      <c r="P1781" s="266" t="s">
        <v>166</v>
      </c>
      <c r="Q1781" s="266" t="s">
        <v>166</v>
      </c>
      <c r="R1781" s="497" t="s">
        <v>166</v>
      </c>
      <c r="S1781" s="266" t="s">
        <v>166</v>
      </c>
      <c r="T1781" s="494"/>
    </row>
    <row r="1782">
      <c r="A1782" s="494" t="s">
        <v>3401</v>
      </c>
      <c r="B1782" s="495" t="s">
        <v>3580</v>
      </c>
      <c r="C1782" s="452" t="str">
        <f t="shared" si="280"/>
        <v>Palit</v>
      </c>
      <c r="D1782" s="537" t="s">
        <v>4245</v>
      </c>
      <c r="E1782" s="266">
        <v>294.0</v>
      </c>
      <c r="F1782" s="266">
        <v>112.0</v>
      </c>
      <c r="G1782" s="266">
        <v>60.0</v>
      </c>
      <c r="H1782" s="266">
        <v>2.0</v>
      </c>
      <c r="I1782" s="266">
        <v>1665.0</v>
      </c>
      <c r="J1782" s="266">
        <v>14.0</v>
      </c>
      <c r="K1782" s="266">
        <v>220.0</v>
      </c>
      <c r="L1782" s="266" t="s">
        <v>3460</v>
      </c>
      <c r="M1782" s="266">
        <v>3.0</v>
      </c>
      <c r="N1782" s="266">
        <v>3.0</v>
      </c>
      <c r="O1782" s="266">
        <v>1.0</v>
      </c>
      <c r="P1782" s="266" t="s">
        <v>166</v>
      </c>
      <c r="Q1782" s="266" t="s">
        <v>166</v>
      </c>
      <c r="R1782" s="497" t="s">
        <v>166</v>
      </c>
      <c r="S1782" s="497" t="s">
        <v>166</v>
      </c>
      <c r="T1782" s="496"/>
    </row>
    <row r="1783">
      <c r="A1783" s="494" t="s">
        <v>3401</v>
      </c>
      <c r="B1783" s="495" t="s">
        <v>3580</v>
      </c>
      <c r="C1783" s="452" t="str">
        <f t="shared" si="280"/>
        <v>Palit</v>
      </c>
      <c r="D1783" s="537" t="s">
        <v>4067</v>
      </c>
      <c r="E1783" s="266">
        <v>294.0</v>
      </c>
      <c r="F1783" s="266">
        <v>112.0</v>
      </c>
      <c r="G1783" s="266">
        <v>60.0</v>
      </c>
      <c r="H1783" s="266">
        <v>2.0</v>
      </c>
      <c r="I1783" s="266">
        <v>1665.0</v>
      </c>
      <c r="J1783" s="266">
        <v>14.0</v>
      </c>
      <c r="K1783" s="266">
        <v>220.0</v>
      </c>
      <c r="L1783" s="266" t="s">
        <v>3460</v>
      </c>
      <c r="M1783" s="266">
        <v>3.0</v>
      </c>
      <c r="N1783" s="266">
        <v>3.0</v>
      </c>
      <c r="O1783" s="266">
        <v>1.0</v>
      </c>
      <c r="P1783" s="266" t="s">
        <v>166</v>
      </c>
      <c r="Q1783" s="266" t="s">
        <v>166</v>
      </c>
      <c r="R1783" s="497" t="s">
        <v>166</v>
      </c>
      <c r="S1783" s="497" t="s">
        <v>166</v>
      </c>
      <c r="T1783" s="496"/>
    </row>
    <row r="1784">
      <c r="A1784" s="494" t="s">
        <v>3401</v>
      </c>
      <c r="B1784" s="495" t="s">
        <v>3580</v>
      </c>
      <c r="C1784" s="452" t="str">
        <f t="shared" si="280"/>
        <v>Palit</v>
      </c>
      <c r="D1784" s="537" t="s">
        <v>4246</v>
      </c>
      <c r="E1784" s="266">
        <v>294.0</v>
      </c>
      <c r="F1784" s="266">
        <v>112.0</v>
      </c>
      <c r="G1784" s="266">
        <v>60.0</v>
      </c>
      <c r="H1784" s="266">
        <v>2.0</v>
      </c>
      <c r="I1784" s="266">
        <v>1665.0</v>
      </c>
      <c r="J1784" s="266">
        <v>14.0</v>
      </c>
      <c r="K1784" s="266">
        <v>220.0</v>
      </c>
      <c r="L1784" s="266" t="s">
        <v>3460</v>
      </c>
      <c r="M1784" s="266">
        <v>3.0</v>
      </c>
      <c r="N1784" s="266">
        <v>3.0</v>
      </c>
      <c r="O1784" s="266">
        <v>1.0</v>
      </c>
      <c r="P1784" s="266" t="s">
        <v>166</v>
      </c>
      <c r="Q1784" s="266" t="s">
        <v>166</v>
      </c>
      <c r="R1784" s="497" t="s">
        <v>166</v>
      </c>
      <c r="S1784" s="266" t="s">
        <v>166</v>
      </c>
      <c r="T1784" s="494"/>
    </row>
    <row r="1785">
      <c r="A1785" s="494" t="s">
        <v>3401</v>
      </c>
      <c r="B1785" s="495" t="s">
        <v>3580</v>
      </c>
      <c r="C1785" s="452" t="str">
        <f t="shared" si="280"/>
        <v>Palit</v>
      </c>
      <c r="D1785" s="537" t="s">
        <v>4068</v>
      </c>
      <c r="E1785" s="266">
        <v>294.0</v>
      </c>
      <c r="F1785" s="266">
        <v>112.0</v>
      </c>
      <c r="G1785" s="266">
        <v>60.0</v>
      </c>
      <c r="H1785" s="266">
        <v>2.0</v>
      </c>
      <c r="I1785" s="266">
        <v>1800.0</v>
      </c>
      <c r="J1785" s="266">
        <v>14.0</v>
      </c>
      <c r="K1785" s="266">
        <v>240.0</v>
      </c>
      <c r="L1785" s="266" t="s">
        <v>3460</v>
      </c>
      <c r="M1785" s="266">
        <v>3.0</v>
      </c>
      <c r="N1785" s="266">
        <v>3.0</v>
      </c>
      <c r="O1785" s="266">
        <v>1.0</v>
      </c>
      <c r="P1785" s="266" t="s">
        <v>166</v>
      </c>
      <c r="Q1785" s="266" t="s">
        <v>166</v>
      </c>
      <c r="R1785" s="497" t="s">
        <v>166</v>
      </c>
      <c r="S1785" s="497" t="s">
        <v>166</v>
      </c>
      <c r="T1785" s="496"/>
    </row>
    <row r="1786">
      <c r="A1786" s="494" t="s">
        <v>3401</v>
      </c>
      <c r="B1786" s="495" t="s">
        <v>3580</v>
      </c>
      <c r="C1786" s="452" t="str">
        <f t="shared" si="280"/>
        <v>Palit</v>
      </c>
      <c r="D1786" s="537" t="s">
        <v>4247</v>
      </c>
      <c r="E1786" s="266">
        <v>294.0</v>
      </c>
      <c r="F1786" s="266">
        <v>112.0</v>
      </c>
      <c r="G1786" s="266">
        <v>60.0</v>
      </c>
      <c r="H1786" s="266">
        <v>2.0</v>
      </c>
      <c r="I1786" s="266">
        <v>1800.0</v>
      </c>
      <c r="J1786" s="266">
        <v>14.0</v>
      </c>
      <c r="K1786" s="266">
        <v>240.0</v>
      </c>
      <c r="L1786" s="266" t="s">
        <v>3460</v>
      </c>
      <c r="M1786" s="266">
        <v>3.0</v>
      </c>
      <c r="N1786" s="266">
        <v>3.0</v>
      </c>
      <c r="O1786" s="266">
        <v>1.0</v>
      </c>
      <c r="P1786" s="266" t="s">
        <v>166</v>
      </c>
      <c r="Q1786" s="266" t="s">
        <v>166</v>
      </c>
      <c r="R1786" s="497" t="s">
        <v>166</v>
      </c>
      <c r="S1786" s="266" t="s">
        <v>166</v>
      </c>
      <c r="T1786" s="494"/>
    </row>
    <row r="1787">
      <c r="A1787" s="494" t="s">
        <v>3401</v>
      </c>
      <c r="B1787" s="495" t="s">
        <v>3580</v>
      </c>
      <c r="C1787" s="452" t="str">
        <f t="shared" ref="C1787:C1791" si="281">HYPERLINK("https://pny.com/","PNY")</f>
        <v>PNY</v>
      </c>
      <c r="D1787" s="537" t="s">
        <v>4248</v>
      </c>
      <c r="E1787" s="266">
        <v>247.4</v>
      </c>
      <c r="F1787" s="266">
        <v>118.36</v>
      </c>
      <c r="G1787" s="266">
        <v>40.64</v>
      </c>
      <c r="H1787" s="266">
        <v>2.0</v>
      </c>
      <c r="I1787" s="266">
        <v>1665.0</v>
      </c>
      <c r="J1787" s="266">
        <v>14.0</v>
      </c>
      <c r="K1787" s="266">
        <v>200.0</v>
      </c>
      <c r="L1787" s="266">
        <v>8.0</v>
      </c>
      <c r="M1787" s="266">
        <v>2.0</v>
      </c>
      <c r="N1787" s="266">
        <v>3.0</v>
      </c>
      <c r="O1787" s="266">
        <v>1.0</v>
      </c>
      <c r="P1787" s="266" t="s">
        <v>166</v>
      </c>
      <c r="Q1787" s="266" t="s">
        <v>166</v>
      </c>
      <c r="R1787" s="266" t="s">
        <v>166</v>
      </c>
      <c r="S1787" s="266" t="s">
        <v>166</v>
      </c>
      <c r="T1787" s="494"/>
    </row>
    <row r="1788">
      <c r="A1788" s="494" t="s">
        <v>3401</v>
      </c>
      <c r="B1788" s="495" t="s">
        <v>3580</v>
      </c>
      <c r="C1788" s="452" t="str">
        <f t="shared" si="281"/>
        <v>PNY</v>
      </c>
      <c r="D1788" s="537" t="s">
        <v>3933</v>
      </c>
      <c r="E1788" s="266">
        <v>251.0</v>
      </c>
      <c r="F1788" s="266">
        <v>112.0</v>
      </c>
      <c r="G1788" s="266">
        <v>42.0</v>
      </c>
      <c r="H1788" s="266">
        <v>2.0</v>
      </c>
      <c r="I1788" s="266">
        <v>1665.0</v>
      </c>
      <c r="J1788" s="266">
        <v>14.0</v>
      </c>
      <c r="K1788" s="266">
        <v>200.0</v>
      </c>
      <c r="L1788" s="266">
        <v>8.0</v>
      </c>
      <c r="M1788" s="266">
        <v>2.0</v>
      </c>
      <c r="N1788" s="266">
        <v>3.0</v>
      </c>
      <c r="O1788" s="266">
        <v>1.0</v>
      </c>
      <c r="P1788" s="266" t="s">
        <v>166</v>
      </c>
      <c r="Q1788" s="266" t="s">
        <v>166</v>
      </c>
      <c r="R1788" s="497" t="s">
        <v>166</v>
      </c>
      <c r="S1788" s="497" t="s">
        <v>166</v>
      </c>
      <c r="T1788" s="496"/>
    </row>
    <row r="1789">
      <c r="A1789" s="494" t="s">
        <v>3401</v>
      </c>
      <c r="B1789" s="495" t="s">
        <v>3580</v>
      </c>
      <c r="C1789" s="452" t="str">
        <f t="shared" si="281"/>
        <v>PNY</v>
      </c>
      <c r="D1789" s="537" t="s">
        <v>4249</v>
      </c>
      <c r="E1789" s="266">
        <v>251.0</v>
      </c>
      <c r="F1789" s="266">
        <v>112.0</v>
      </c>
      <c r="G1789" s="266">
        <v>42.0</v>
      </c>
      <c r="H1789" s="266">
        <v>2.0</v>
      </c>
      <c r="I1789" s="266">
        <v>1665.0</v>
      </c>
      <c r="J1789" s="266">
        <v>14.0</v>
      </c>
      <c r="K1789" s="266">
        <v>200.0</v>
      </c>
      <c r="L1789" s="266">
        <v>8.0</v>
      </c>
      <c r="M1789" s="266">
        <v>2.0</v>
      </c>
      <c r="N1789" s="266">
        <v>3.0</v>
      </c>
      <c r="O1789" s="266">
        <v>1.0</v>
      </c>
      <c r="P1789" s="266" t="s">
        <v>166</v>
      </c>
      <c r="Q1789" s="266" t="s">
        <v>166</v>
      </c>
      <c r="R1789" s="497" t="s">
        <v>166</v>
      </c>
      <c r="S1789" s="266" t="s">
        <v>166</v>
      </c>
      <c r="T1789" s="494"/>
    </row>
    <row r="1790">
      <c r="A1790" s="494" t="s">
        <v>3401</v>
      </c>
      <c r="B1790" s="495" t="s">
        <v>3580</v>
      </c>
      <c r="C1790" s="452" t="str">
        <f t="shared" si="281"/>
        <v>PNY</v>
      </c>
      <c r="D1790" s="537" t="s">
        <v>4148</v>
      </c>
      <c r="E1790" s="266">
        <v>247.0</v>
      </c>
      <c r="F1790" s="266">
        <v>120.0</v>
      </c>
      <c r="G1790" s="266">
        <v>40.0</v>
      </c>
      <c r="H1790" s="266">
        <v>2.0</v>
      </c>
      <c r="I1790" s="266">
        <v>1665.0</v>
      </c>
      <c r="J1790" s="266">
        <v>14.0</v>
      </c>
      <c r="K1790" s="266">
        <v>200.0</v>
      </c>
      <c r="L1790" s="266">
        <v>8.0</v>
      </c>
      <c r="M1790" s="266">
        <v>2.0</v>
      </c>
      <c r="N1790" s="266">
        <v>3.0</v>
      </c>
      <c r="O1790" s="266">
        <v>1.0</v>
      </c>
      <c r="P1790" s="266" t="s">
        <v>166</v>
      </c>
      <c r="Q1790" s="266" t="s">
        <v>166</v>
      </c>
      <c r="R1790" s="497" t="s">
        <v>166</v>
      </c>
      <c r="S1790" s="497" t="s">
        <v>166</v>
      </c>
      <c r="T1790" s="496"/>
    </row>
    <row r="1791">
      <c r="A1791" s="494" t="s">
        <v>3401</v>
      </c>
      <c r="B1791" s="495" t="s">
        <v>3580</v>
      </c>
      <c r="C1791" s="452" t="str">
        <f t="shared" si="281"/>
        <v>PNY</v>
      </c>
      <c r="D1791" s="537" t="s">
        <v>4250</v>
      </c>
      <c r="E1791" s="266">
        <v>247.0</v>
      </c>
      <c r="F1791" s="266">
        <v>120.0</v>
      </c>
      <c r="G1791" s="266">
        <v>40.0</v>
      </c>
      <c r="H1791" s="266">
        <v>2.0</v>
      </c>
      <c r="I1791" s="266">
        <v>1665.0</v>
      </c>
      <c r="J1791" s="266">
        <v>14.0</v>
      </c>
      <c r="K1791" s="266">
        <v>200.0</v>
      </c>
      <c r="L1791" s="266">
        <v>8.0</v>
      </c>
      <c r="M1791" s="266">
        <v>2.0</v>
      </c>
      <c r="N1791" s="266">
        <v>3.0</v>
      </c>
      <c r="O1791" s="266">
        <v>1.0</v>
      </c>
      <c r="P1791" s="266" t="s">
        <v>166</v>
      </c>
      <c r="Q1791" s="266" t="s">
        <v>166</v>
      </c>
      <c r="R1791" s="497" t="s">
        <v>166</v>
      </c>
      <c r="S1791" s="266" t="s">
        <v>166</v>
      </c>
      <c r="T1791" s="494"/>
    </row>
    <row r="1792">
      <c r="A1792" s="494" t="s">
        <v>3401</v>
      </c>
      <c r="B1792" s="495" t="s">
        <v>3580</v>
      </c>
      <c r="C1792" s="452" t="s">
        <v>3378</v>
      </c>
      <c r="D1792" s="537" t="s">
        <v>3559</v>
      </c>
      <c r="E1792" s="266">
        <v>240.0</v>
      </c>
      <c r="F1792" s="266">
        <v>109.0</v>
      </c>
      <c r="G1792" s="266">
        <v>42.0</v>
      </c>
      <c r="H1792" s="266">
        <v>2.0</v>
      </c>
      <c r="I1792" s="266">
        <v>1665.0</v>
      </c>
      <c r="J1792" s="266">
        <v>14.0</v>
      </c>
      <c r="K1792" s="266">
        <v>200.0</v>
      </c>
      <c r="L1792" s="266">
        <v>8.0</v>
      </c>
      <c r="M1792" s="266">
        <v>2.0</v>
      </c>
      <c r="N1792" s="266">
        <v>3.0</v>
      </c>
      <c r="O1792" s="266">
        <v>1.0</v>
      </c>
      <c r="P1792" s="266" t="s">
        <v>166</v>
      </c>
      <c r="Q1792" s="266" t="s">
        <v>166</v>
      </c>
      <c r="R1792" s="266" t="s">
        <v>166</v>
      </c>
      <c r="S1792" s="266" t="s">
        <v>166</v>
      </c>
      <c r="T1792" s="496"/>
    </row>
    <row r="1793">
      <c r="A1793" s="494" t="s">
        <v>3401</v>
      </c>
      <c r="B1793" s="495" t="s">
        <v>3580</v>
      </c>
      <c r="C1793" s="452" t="s">
        <v>3378</v>
      </c>
      <c r="D1793" s="537" t="s">
        <v>3717</v>
      </c>
      <c r="E1793" s="266">
        <v>303.0</v>
      </c>
      <c r="F1793" s="266">
        <v>132.0</v>
      </c>
      <c r="G1793" s="266">
        <v>49.0</v>
      </c>
      <c r="H1793" s="266">
        <v>2.0</v>
      </c>
      <c r="I1793" s="266">
        <v>1695.0</v>
      </c>
      <c r="J1793" s="266">
        <v>14.0</v>
      </c>
      <c r="K1793" s="266">
        <v>200.0</v>
      </c>
      <c r="L1793" s="266">
        <v>8.0</v>
      </c>
      <c r="M1793" s="266">
        <v>3.0</v>
      </c>
      <c r="N1793" s="266">
        <v>3.0</v>
      </c>
      <c r="O1793" s="266">
        <v>1.0</v>
      </c>
      <c r="P1793" s="266" t="s">
        <v>166</v>
      </c>
      <c r="Q1793" s="266" t="s">
        <v>166</v>
      </c>
      <c r="R1793" s="266" t="s">
        <v>166</v>
      </c>
      <c r="S1793" s="266" t="s">
        <v>166</v>
      </c>
      <c r="T1793" s="496"/>
    </row>
    <row r="1794">
      <c r="A1794" s="494" t="s">
        <v>3401</v>
      </c>
      <c r="B1794" s="495" t="s">
        <v>3580</v>
      </c>
      <c r="C1794" s="452" t="s">
        <v>3440</v>
      </c>
      <c r="D1794" s="537" t="s">
        <v>3934</v>
      </c>
      <c r="E1794" s="266">
        <v>229.0</v>
      </c>
      <c r="F1794" s="266">
        <v>111.0</v>
      </c>
      <c r="G1794" s="266">
        <v>41.0</v>
      </c>
      <c r="H1794" s="266">
        <v>2.0</v>
      </c>
      <c r="I1794" s="266">
        <v>1665.0</v>
      </c>
      <c r="J1794" s="266">
        <v>14.0</v>
      </c>
      <c r="K1794" s="266">
        <v>200.0</v>
      </c>
      <c r="L1794" s="266">
        <v>8.0</v>
      </c>
      <c r="M1794" s="266">
        <v>2.0</v>
      </c>
      <c r="N1794" s="266">
        <v>3.0</v>
      </c>
      <c r="O1794" s="266">
        <v>1.0</v>
      </c>
      <c r="P1794" s="266" t="s">
        <v>166</v>
      </c>
      <c r="Q1794" s="266" t="s">
        <v>166</v>
      </c>
      <c r="R1794" s="497" t="s">
        <v>166</v>
      </c>
      <c r="S1794" s="497" t="s">
        <v>166</v>
      </c>
      <c r="T1794" s="496"/>
    </row>
    <row r="1795">
      <c r="A1795" s="494" t="s">
        <v>3401</v>
      </c>
      <c r="B1795" s="495" t="s">
        <v>3580</v>
      </c>
      <c r="C1795" s="452" t="s">
        <v>3440</v>
      </c>
      <c r="D1795" s="537" t="s">
        <v>4152</v>
      </c>
      <c r="E1795" s="266">
        <v>278.0</v>
      </c>
      <c r="F1795" s="266">
        <v>116.0</v>
      </c>
      <c r="G1795" s="266">
        <v>41.0</v>
      </c>
      <c r="H1795" s="266">
        <v>2.0</v>
      </c>
      <c r="I1795" s="266">
        <v>1665.0</v>
      </c>
      <c r="J1795" s="266">
        <v>14.0</v>
      </c>
      <c r="K1795" s="266">
        <v>200.0</v>
      </c>
      <c r="L1795" s="266">
        <v>8.0</v>
      </c>
      <c r="M1795" s="266">
        <v>3.0</v>
      </c>
      <c r="N1795" s="266">
        <v>3.0</v>
      </c>
      <c r="O1795" s="266">
        <v>1.0</v>
      </c>
      <c r="P1795" s="266" t="s">
        <v>166</v>
      </c>
      <c r="Q1795" s="266" t="s">
        <v>166</v>
      </c>
      <c r="R1795" s="497" t="s">
        <v>166</v>
      </c>
      <c r="S1795" s="497" t="s">
        <v>166</v>
      </c>
      <c r="T1795" s="496"/>
    </row>
    <row r="1796">
      <c r="A1796" s="494" t="s">
        <v>3401</v>
      </c>
      <c r="B1796" s="495" t="s">
        <v>3580</v>
      </c>
      <c r="C1796" s="452" t="s">
        <v>3440</v>
      </c>
      <c r="D1796" s="537" t="s">
        <v>4153</v>
      </c>
      <c r="E1796" s="266">
        <v>278.0</v>
      </c>
      <c r="F1796" s="266">
        <v>116.0</v>
      </c>
      <c r="G1796" s="266">
        <v>41.0</v>
      </c>
      <c r="H1796" s="266">
        <v>2.0</v>
      </c>
      <c r="I1796" s="266">
        <v>1665.0</v>
      </c>
      <c r="J1796" s="266">
        <v>14.0</v>
      </c>
      <c r="K1796" s="266">
        <v>200.0</v>
      </c>
      <c r="L1796" s="266">
        <v>8.0</v>
      </c>
      <c r="M1796" s="266">
        <v>3.0</v>
      </c>
      <c r="N1796" s="266">
        <v>3.0</v>
      </c>
      <c r="O1796" s="266">
        <v>1.0</v>
      </c>
      <c r="P1796" s="266" t="s">
        <v>166</v>
      </c>
      <c r="Q1796" s="266" t="s">
        <v>166</v>
      </c>
      <c r="R1796" s="497" t="s">
        <v>166</v>
      </c>
      <c r="S1796" s="266" t="s">
        <v>166</v>
      </c>
      <c r="T1796" s="494"/>
    </row>
    <row r="1797">
      <c r="A1797" s="494" t="s">
        <v>3401</v>
      </c>
      <c r="B1797" s="495" t="s">
        <v>3580</v>
      </c>
      <c r="C1797" s="452" t="s">
        <v>3440</v>
      </c>
      <c r="D1797" s="537" t="s">
        <v>4084</v>
      </c>
      <c r="E1797" s="266">
        <v>311.0</v>
      </c>
      <c r="F1797" s="266">
        <v>118.0</v>
      </c>
      <c r="G1797" s="266">
        <v>53.0</v>
      </c>
      <c r="H1797" s="266">
        <v>2.0</v>
      </c>
      <c r="I1797" s="266">
        <v>1680.0</v>
      </c>
      <c r="J1797" s="266">
        <v>14.0</v>
      </c>
      <c r="K1797" s="266">
        <v>200.0</v>
      </c>
      <c r="L1797" s="266">
        <v>8.0</v>
      </c>
      <c r="M1797" s="266">
        <v>3.0</v>
      </c>
      <c r="N1797" s="266">
        <v>3.0</v>
      </c>
      <c r="O1797" s="266">
        <v>1.0</v>
      </c>
      <c r="P1797" s="266" t="s">
        <v>166</v>
      </c>
      <c r="Q1797" s="266" t="s">
        <v>166</v>
      </c>
      <c r="R1797" s="497" t="s">
        <v>166</v>
      </c>
      <c r="S1797" s="497" t="s">
        <v>166</v>
      </c>
      <c r="T1797" s="496"/>
    </row>
    <row r="1798">
      <c r="A1798" s="494" t="s">
        <v>3401</v>
      </c>
      <c r="B1798" s="495" t="s">
        <v>3580</v>
      </c>
      <c r="C1798" s="452" t="s">
        <v>3440</v>
      </c>
      <c r="D1798" s="537" t="s">
        <v>4157</v>
      </c>
      <c r="E1798" s="266">
        <v>311.0</v>
      </c>
      <c r="F1798" s="266">
        <v>118.0</v>
      </c>
      <c r="G1798" s="266">
        <v>53.0</v>
      </c>
      <c r="H1798" s="266">
        <v>2.0</v>
      </c>
      <c r="I1798" s="266">
        <v>1680.0</v>
      </c>
      <c r="J1798" s="266">
        <v>14.0</v>
      </c>
      <c r="K1798" s="266">
        <v>200.0</v>
      </c>
      <c r="L1798" s="266">
        <v>8.0</v>
      </c>
      <c r="M1798" s="266">
        <v>3.0</v>
      </c>
      <c r="N1798" s="266">
        <v>3.0</v>
      </c>
      <c r="O1798" s="266">
        <v>1.0</v>
      </c>
      <c r="P1798" s="266" t="s">
        <v>166</v>
      </c>
      <c r="Q1798" s="266" t="s">
        <v>166</v>
      </c>
      <c r="R1798" s="497" t="s">
        <v>166</v>
      </c>
      <c r="S1798" s="266" t="s">
        <v>166</v>
      </c>
      <c r="T1798" s="494"/>
    </row>
    <row r="1799">
      <c r="A1799" s="494" t="s">
        <v>3401</v>
      </c>
      <c r="B1799" s="495" t="s">
        <v>3580</v>
      </c>
      <c r="C1799" s="452" t="s">
        <v>3440</v>
      </c>
      <c r="D1799" s="537" t="s">
        <v>4160</v>
      </c>
      <c r="E1799" s="266">
        <v>315.0</v>
      </c>
      <c r="F1799" s="266">
        <v>122.0</v>
      </c>
      <c r="G1799" s="266">
        <v>60.0</v>
      </c>
      <c r="H1799" s="266">
        <v>2.0</v>
      </c>
      <c r="I1799" s="266">
        <v>1695.0</v>
      </c>
      <c r="J1799" s="266">
        <v>14.0</v>
      </c>
      <c r="K1799" s="266">
        <v>200.0</v>
      </c>
      <c r="L1799" s="266" t="s">
        <v>3460</v>
      </c>
      <c r="M1799" s="266">
        <v>3.0</v>
      </c>
      <c r="N1799" s="266">
        <v>3.0</v>
      </c>
      <c r="O1799" s="266">
        <v>1.0</v>
      </c>
      <c r="P1799" s="266" t="s">
        <v>166</v>
      </c>
      <c r="Q1799" s="266" t="s">
        <v>166</v>
      </c>
      <c r="R1799" s="497" t="s">
        <v>166</v>
      </c>
      <c r="S1799" s="497" t="s">
        <v>166</v>
      </c>
      <c r="T1799" s="496"/>
    </row>
    <row r="1800">
      <c r="A1800" s="494" t="s">
        <v>3401</v>
      </c>
      <c r="B1800" s="495" t="s">
        <v>3580</v>
      </c>
      <c r="C1800" s="452" t="s">
        <v>3440</v>
      </c>
      <c r="D1800" s="537" t="s">
        <v>4161</v>
      </c>
      <c r="E1800" s="266">
        <v>315.0</v>
      </c>
      <c r="F1800" s="266">
        <v>122.0</v>
      </c>
      <c r="G1800" s="266">
        <v>60.0</v>
      </c>
      <c r="H1800" s="266">
        <v>2.0</v>
      </c>
      <c r="I1800" s="266">
        <v>1695.0</v>
      </c>
      <c r="J1800" s="266">
        <v>14.0</v>
      </c>
      <c r="K1800" s="266">
        <v>200.0</v>
      </c>
      <c r="L1800" s="266" t="s">
        <v>3460</v>
      </c>
      <c r="M1800" s="266">
        <v>3.0</v>
      </c>
      <c r="N1800" s="266">
        <v>3.0</v>
      </c>
      <c r="O1800" s="266">
        <v>1.0</v>
      </c>
      <c r="P1800" s="266" t="s">
        <v>166</v>
      </c>
      <c r="Q1800" s="266" t="s">
        <v>166</v>
      </c>
      <c r="R1800" s="497" t="s">
        <v>166</v>
      </c>
      <c r="S1800" s="266" t="s">
        <v>166</v>
      </c>
      <c r="T1800" s="494"/>
    </row>
    <row r="1801">
      <c r="A1801" s="494" t="s">
        <v>3401</v>
      </c>
      <c r="B1801" s="495" t="s">
        <v>3580</v>
      </c>
      <c r="C1801" s="452" t="s">
        <v>3440</v>
      </c>
      <c r="D1801" s="537" t="s">
        <v>4251</v>
      </c>
      <c r="E1801" s="266">
        <v>309.0</v>
      </c>
      <c r="F1801" s="266">
        <v>136.0</v>
      </c>
      <c r="G1801" s="266">
        <v>61.0</v>
      </c>
      <c r="H1801" s="266">
        <v>2.0</v>
      </c>
      <c r="I1801" s="266">
        <v>1725.0</v>
      </c>
      <c r="J1801" s="266">
        <v>14.0</v>
      </c>
      <c r="K1801" s="266">
        <v>220.0</v>
      </c>
      <c r="L1801" s="266" t="s">
        <v>3460</v>
      </c>
      <c r="M1801" s="266">
        <v>3.0</v>
      </c>
      <c r="N1801" s="266">
        <v>3.0</v>
      </c>
      <c r="O1801" s="266">
        <v>1.0</v>
      </c>
      <c r="P1801" s="266" t="s">
        <v>166</v>
      </c>
      <c r="Q1801" s="266" t="s">
        <v>166</v>
      </c>
      <c r="R1801" s="497" t="s">
        <v>166</v>
      </c>
      <c r="S1801" s="497" t="s">
        <v>166</v>
      </c>
      <c r="T1801" s="496"/>
    </row>
    <row r="1802">
      <c r="A1802" s="494" t="s">
        <v>3401</v>
      </c>
      <c r="B1802" s="495" t="s">
        <v>3580</v>
      </c>
      <c r="C1802" s="452" t="s">
        <v>3440</v>
      </c>
      <c r="D1802" s="537" t="s">
        <v>4162</v>
      </c>
      <c r="E1802" s="266">
        <v>309.0</v>
      </c>
      <c r="F1802" s="266">
        <v>136.0</v>
      </c>
      <c r="G1802" s="266">
        <v>61.0</v>
      </c>
      <c r="H1802" s="266">
        <v>2.0</v>
      </c>
      <c r="I1802" s="266">
        <v>1725.0</v>
      </c>
      <c r="J1802" s="266">
        <v>14.0</v>
      </c>
      <c r="K1802" s="266">
        <v>220.0</v>
      </c>
      <c r="L1802" s="266" t="s">
        <v>3460</v>
      </c>
      <c r="M1802" s="266">
        <v>3.0</v>
      </c>
      <c r="N1802" s="266">
        <v>3.0</v>
      </c>
      <c r="O1802" s="266">
        <v>1.0</v>
      </c>
      <c r="P1802" s="266" t="s">
        <v>166</v>
      </c>
      <c r="Q1802" s="266" t="s">
        <v>166</v>
      </c>
      <c r="R1802" s="497" t="s">
        <v>166</v>
      </c>
      <c r="S1802" s="266" t="s">
        <v>166</v>
      </c>
      <c r="T1802" s="494"/>
    </row>
    <row r="1803">
      <c r="A1803" s="494" t="s">
        <v>3401</v>
      </c>
      <c r="B1803" s="495" t="s">
        <v>3580</v>
      </c>
      <c r="C1803" s="452" t="s">
        <v>3440</v>
      </c>
      <c r="D1803" s="452" t="s">
        <v>4085</v>
      </c>
      <c r="E1803" s="266">
        <v>222.1</v>
      </c>
      <c r="F1803" s="266">
        <v>115.6</v>
      </c>
      <c r="G1803" s="266">
        <v>38.2</v>
      </c>
      <c r="H1803" s="266">
        <v>2.0</v>
      </c>
      <c r="I1803" s="266">
        <v>1665.0</v>
      </c>
      <c r="J1803" s="266">
        <v>14.0</v>
      </c>
      <c r="K1803" s="266">
        <v>200.0</v>
      </c>
      <c r="L1803" s="266">
        <v>8.0</v>
      </c>
      <c r="M1803" s="266">
        <v>2.0</v>
      </c>
      <c r="N1803" s="266">
        <v>3.0</v>
      </c>
      <c r="O1803" s="266">
        <v>1.0</v>
      </c>
      <c r="P1803" s="266" t="s">
        <v>166</v>
      </c>
      <c r="Q1803" s="266" t="s">
        <v>166</v>
      </c>
      <c r="R1803" s="497" t="s">
        <v>166</v>
      </c>
      <c r="S1803" s="497" t="s">
        <v>166</v>
      </c>
      <c r="T1803" s="496"/>
    </row>
    <row r="1804">
      <c r="A1804" s="494" t="s">
        <v>3401</v>
      </c>
      <c r="B1804" s="495" t="s">
        <v>3580</v>
      </c>
      <c r="C1804" s="452" t="s">
        <v>3440</v>
      </c>
      <c r="D1804" s="452" t="s">
        <v>4252</v>
      </c>
      <c r="E1804" s="266">
        <v>222.1</v>
      </c>
      <c r="F1804" s="266">
        <v>115.6</v>
      </c>
      <c r="G1804" s="266">
        <v>38.2</v>
      </c>
      <c r="H1804" s="266">
        <v>2.0</v>
      </c>
      <c r="I1804" s="266">
        <v>1665.0</v>
      </c>
      <c r="J1804" s="266">
        <v>14.0</v>
      </c>
      <c r="K1804" s="266">
        <v>200.0</v>
      </c>
      <c r="L1804" s="266">
        <v>8.0</v>
      </c>
      <c r="M1804" s="266">
        <v>2.0</v>
      </c>
      <c r="N1804" s="266">
        <v>3.0</v>
      </c>
      <c r="O1804" s="266">
        <v>1.0</v>
      </c>
      <c r="P1804" s="266" t="s">
        <v>166</v>
      </c>
      <c r="Q1804" s="266" t="s">
        <v>166</v>
      </c>
      <c r="R1804" s="497" t="s">
        <v>166</v>
      </c>
      <c r="S1804" s="266" t="s">
        <v>166</v>
      </c>
      <c r="T1804" s="494"/>
    </row>
    <row r="1805">
      <c r="A1805" s="494" t="s">
        <v>3401</v>
      </c>
      <c r="B1805" s="495" t="s">
        <v>3580</v>
      </c>
      <c r="C1805" s="452" t="s">
        <v>3440</v>
      </c>
      <c r="D1805" s="452" t="s">
        <v>4086</v>
      </c>
      <c r="E1805" s="266">
        <v>222.1</v>
      </c>
      <c r="F1805" s="266">
        <v>115.6</v>
      </c>
      <c r="G1805" s="266">
        <v>38.2</v>
      </c>
      <c r="H1805" s="266">
        <v>2.0</v>
      </c>
      <c r="I1805" s="266">
        <v>1695.0</v>
      </c>
      <c r="J1805" s="266">
        <v>14.0</v>
      </c>
      <c r="K1805" s="266">
        <v>200.0</v>
      </c>
      <c r="L1805" s="266">
        <v>8.0</v>
      </c>
      <c r="M1805" s="266">
        <v>2.0</v>
      </c>
      <c r="N1805" s="266">
        <v>3.0</v>
      </c>
      <c r="O1805" s="266">
        <v>1.0</v>
      </c>
      <c r="P1805" s="266" t="s">
        <v>166</v>
      </c>
      <c r="Q1805" s="266" t="s">
        <v>166</v>
      </c>
      <c r="R1805" s="497" t="s">
        <v>166</v>
      </c>
      <c r="S1805" s="497" t="s">
        <v>166</v>
      </c>
      <c r="T1805" s="496"/>
    </row>
    <row r="1806">
      <c r="A1806" s="494" t="s">
        <v>3401</v>
      </c>
      <c r="B1806" s="495" t="s">
        <v>3580</v>
      </c>
      <c r="C1806" s="452" t="s">
        <v>3440</v>
      </c>
      <c r="D1806" s="452" t="s">
        <v>4253</v>
      </c>
      <c r="E1806" s="266">
        <v>222.1</v>
      </c>
      <c r="F1806" s="266">
        <v>115.6</v>
      </c>
      <c r="G1806" s="266">
        <v>38.2</v>
      </c>
      <c r="H1806" s="266">
        <v>2.0</v>
      </c>
      <c r="I1806" s="266">
        <v>1695.0</v>
      </c>
      <c r="J1806" s="266">
        <v>14.0</v>
      </c>
      <c r="K1806" s="266">
        <v>200.0</v>
      </c>
      <c r="L1806" s="266">
        <v>8.0</v>
      </c>
      <c r="M1806" s="266">
        <v>2.0</v>
      </c>
      <c r="N1806" s="266">
        <v>3.0</v>
      </c>
      <c r="O1806" s="266">
        <v>1.0</v>
      </c>
      <c r="P1806" s="266" t="s">
        <v>166</v>
      </c>
      <c r="Q1806" s="266" t="s">
        <v>166</v>
      </c>
      <c r="R1806" s="497" t="s">
        <v>166</v>
      </c>
      <c r="S1806" s="497" t="s">
        <v>166</v>
      </c>
      <c r="T1806" s="496"/>
    </row>
    <row r="1807">
      <c r="A1807" s="498" t="s">
        <v>3401</v>
      </c>
      <c r="B1807" s="499" t="s">
        <v>3580</v>
      </c>
      <c r="C1807" s="500" t="s">
        <v>3440</v>
      </c>
      <c r="D1807" s="500" t="s">
        <v>4254</v>
      </c>
      <c r="E1807" s="501">
        <v>231.9</v>
      </c>
      <c r="F1807" s="501">
        <v>141.3</v>
      </c>
      <c r="G1807" s="501">
        <v>41.5</v>
      </c>
      <c r="H1807" s="501">
        <v>2.0</v>
      </c>
      <c r="I1807" s="501">
        <v>1755.0</v>
      </c>
      <c r="J1807" s="501">
        <v>14.0</v>
      </c>
      <c r="K1807" s="501">
        <v>240.0</v>
      </c>
      <c r="L1807" s="501" t="s">
        <v>3460</v>
      </c>
      <c r="M1807" s="501">
        <v>2.0</v>
      </c>
      <c r="N1807" s="501">
        <v>3.0</v>
      </c>
      <c r="O1807" s="501">
        <v>1.0</v>
      </c>
      <c r="P1807" s="501" t="s">
        <v>166</v>
      </c>
      <c r="Q1807" s="501" t="s">
        <v>166</v>
      </c>
      <c r="R1807" s="502" t="s">
        <v>166</v>
      </c>
      <c r="S1807" s="502" t="s">
        <v>166</v>
      </c>
      <c r="T1807" s="503"/>
    </row>
    <row r="1808">
      <c r="A1808" s="504" t="s">
        <v>3401</v>
      </c>
      <c r="B1808" s="505" t="s">
        <v>4255</v>
      </c>
      <c r="C1808" s="282" t="str">
        <f t="shared" ref="C1808:C1813" si="282">HYPERLINK("https://www.asus.com/","Asus")</f>
        <v>Asus</v>
      </c>
      <c r="D1808" s="506" t="s">
        <v>3372</v>
      </c>
      <c r="E1808" s="507">
        <v>230.0</v>
      </c>
      <c r="F1808" s="507">
        <v>120.0</v>
      </c>
      <c r="G1808" s="507">
        <v>42.0</v>
      </c>
      <c r="H1808" s="507">
        <v>2.0</v>
      </c>
      <c r="I1808" s="507">
        <v>1695.0</v>
      </c>
      <c r="J1808" s="507">
        <v>19.0</v>
      </c>
      <c r="K1808" s="507">
        <v>225.0</v>
      </c>
      <c r="L1808" s="507" t="s">
        <v>3460</v>
      </c>
      <c r="M1808" s="507">
        <v>2.0</v>
      </c>
      <c r="N1808" s="507">
        <v>3.0</v>
      </c>
      <c r="O1808" s="507">
        <v>1.0</v>
      </c>
      <c r="P1808" s="507" t="s">
        <v>166</v>
      </c>
      <c r="Q1808" s="507" t="s">
        <v>166</v>
      </c>
      <c r="R1808" s="266" t="s">
        <v>166</v>
      </c>
      <c r="S1808" s="507" t="s">
        <v>166</v>
      </c>
      <c r="T1808" s="504"/>
    </row>
    <row r="1809">
      <c r="A1809" s="504" t="s">
        <v>3401</v>
      </c>
      <c r="B1809" s="505" t="s">
        <v>4255</v>
      </c>
      <c r="C1809" s="282" t="str">
        <f t="shared" si="282"/>
        <v>Asus</v>
      </c>
      <c r="D1809" s="506" t="s">
        <v>3381</v>
      </c>
      <c r="E1809" s="507">
        <v>230.0</v>
      </c>
      <c r="F1809" s="507">
        <v>120.0</v>
      </c>
      <c r="G1809" s="507">
        <v>42.0</v>
      </c>
      <c r="H1809" s="507">
        <v>2.0</v>
      </c>
      <c r="I1809" s="507">
        <v>1710.0</v>
      </c>
      <c r="J1809" s="507">
        <v>19.0</v>
      </c>
      <c r="K1809" s="507">
        <v>225.0</v>
      </c>
      <c r="L1809" s="507" t="s">
        <v>3460</v>
      </c>
      <c r="M1809" s="507">
        <v>2.0</v>
      </c>
      <c r="N1809" s="507">
        <v>3.0</v>
      </c>
      <c r="O1809" s="507">
        <v>1.0</v>
      </c>
      <c r="P1809" s="507" t="s">
        <v>166</v>
      </c>
      <c r="Q1809" s="507" t="s">
        <v>166</v>
      </c>
      <c r="R1809" s="266" t="s">
        <v>166</v>
      </c>
      <c r="S1809" s="507" t="s">
        <v>166</v>
      </c>
      <c r="T1809" s="504"/>
    </row>
    <row r="1810">
      <c r="A1810" s="504" t="s">
        <v>3401</v>
      </c>
      <c r="B1810" s="505" t="s">
        <v>4255</v>
      </c>
      <c r="C1810" s="282" t="str">
        <f t="shared" si="282"/>
        <v>Asus</v>
      </c>
      <c r="D1810" s="506" t="s">
        <v>3571</v>
      </c>
      <c r="E1810" s="507">
        <v>230.0</v>
      </c>
      <c r="F1810" s="507">
        <v>120.0</v>
      </c>
      <c r="G1810" s="507">
        <v>42.0</v>
      </c>
      <c r="H1810" s="507">
        <v>2.0</v>
      </c>
      <c r="I1810" s="507">
        <v>1695.0</v>
      </c>
      <c r="J1810" s="507">
        <v>19.0</v>
      </c>
      <c r="K1810" s="507">
        <v>225.0</v>
      </c>
      <c r="L1810" s="507" t="s">
        <v>3460</v>
      </c>
      <c r="M1810" s="507">
        <v>2.0</v>
      </c>
      <c r="N1810" s="507">
        <v>3.0</v>
      </c>
      <c r="O1810" s="507">
        <v>1.0</v>
      </c>
      <c r="P1810" s="507" t="s">
        <v>166</v>
      </c>
      <c r="Q1810" s="507" t="s">
        <v>166</v>
      </c>
      <c r="R1810" s="266" t="s">
        <v>166</v>
      </c>
      <c r="S1810" s="507" t="s">
        <v>166</v>
      </c>
      <c r="T1810" s="504"/>
    </row>
    <row r="1811">
      <c r="A1811" s="504" t="s">
        <v>3401</v>
      </c>
      <c r="B1811" s="505" t="s">
        <v>4255</v>
      </c>
      <c r="C1811" s="282" t="str">
        <f t="shared" si="282"/>
        <v>Asus</v>
      </c>
      <c r="D1811" s="506" t="s">
        <v>3572</v>
      </c>
      <c r="E1811" s="507">
        <v>230.0</v>
      </c>
      <c r="F1811" s="507">
        <v>120.0</v>
      </c>
      <c r="G1811" s="507">
        <v>42.0</v>
      </c>
      <c r="H1811" s="507">
        <v>2.0</v>
      </c>
      <c r="I1811" s="507">
        <v>1710.0</v>
      </c>
      <c r="J1811" s="507">
        <v>19.0</v>
      </c>
      <c r="K1811" s="507">
        <v>225.0</v>
      </c>
      <c r="L1811" s="507" t="s">
        <v>3460</v>
      </c>
      <c r="M1811" s="507">
        <v>2.0</v>
      </c>
      <c r="N1811" s="507">
        <v>3.0</v>
      </c>
      <c r="O1811" s="507">
        <v>1.0</v>
      </c>
      <c r="P1811" s="507" t="s">
        <v>166</v>
      </c>
      <c r="Q1811" s="507" t="s">
        <v>166</v>
      </c>
      <c r="R1811" s="266" t="s">
        <v>166</v>
      </c>
      <c r="S1811" s="507" t="s">
        <v>166</v>
      </c>
      <c r="T1811" s="504"/>
    </row>
    <row r="1812">
      <c r="A1812" s="504" t="s">
        <v>3401</v>
      </c>
      <c r="B1812" s="505" t="s">
        <v>4255</v>
      </c>
      <c r="C1812" s="282" t="str">
        <f t="shared" si="282"/>
        <v>Asus</v>
      </c>
      <c r="D1812" s="506" t="s">
        <v>3477</v>
      </c>
      <c r="E1812" s="507">
        <v>302.0</v>
      </c>
      <c r="F1812" s="507">
        <v>142.0</v>
      </c>
      <c r="G1812" s="507">
        <v>54.0</v>
      </c>
      <c r="H1812" s="507">
        <v>2.0</v>
      </c>
      <c r="I1812" s="507">
        <v>1695.0</v>
      </c>
      <c r="J1812" s="507">
        <v>19.0</v>
      </c>
      <c r="K1812" s="507">
        <v>225.0</v>
      </c>
      <c r="L1812" s="507" t="s">
        <v>3460</v>
      </c>
      <c r="M1812" s="507">
        <v>3.0</v>
      </c>
      <c r="N1812" s="507">
        <v>3.0</v>
      </c>
      <c r="O1812" s="507">
        <v>2.0</v>
      </c>
      <c r="P1812" s="507" t="s">
        <v>166</v>
      </c>
      <c r="Q1812" s="507" t="s">
        <v>166</v>
      </c>
      <c r="R1812" s="266" t="s">
        <v>166</v>
      </c>
      <c r="S1812" s="266" t="s">
        <v>166</v>
      </c>
      <c r="T1812" s="494"/>
    </row>
    <row r="1813">
      <c r="A1813" s="504" t="s">
        <v>3401</v>
      </c>
      <c r="B1813" s="505" t="s">
        <v>4255</v>
      </c>
      <c r="C1813" s="282" t="str">
        <f t="shared" si="282"/>
        <v>Asus</v>
      </c>
      <c r="D1813" s="506" t="s">
        <v>3478</v>
      </c>
      <c r="E1813" s="507">
        <v>302.0</v>
      </c>
      <c r="F1813" s="507">
        <v>142.0</v>
      </c>
      <c r="G1813" s="507">
        <v>54.0</v>
      </c>
      <c r="H1813" s="507">
        <v>2.0</v>
      </c>
      <c r="I1813" s="507">
        <v>1785.0</v>
      </c>
      <c r="J1813" s="507">
        <v>19.0</v>
      </c>
      <c r="K1813" s="507">
        <v>225.0</v>
      </c>
      <c r="L1813" s="507" t="s">
        <v>3460</v>
      </c>
      <c r="M1813" s="507">
        <v>3.0</v>
      </c>
      <c r="N1813" s="507">
        <v>3.0</v>
      </c>
      <c r="O1813" s="507">
        <v>2.0</v>
      </c>
      <c r="P1813" s="507" t="s">
        <v>166</v>
      </c>
      <c r="Q1813" s="507" t="s">
        <v>166</v>
      </c>
      <c r="R1813" s="497" t="s">
        <v>166</v>
      </c>
      <c r="S1813" s="507" t="s">
        <v>166</v>
      </c>
      <c r="T1813" s="504"/>
    </row>
    <row r="1814">
      <c r="A1814" s="504" t="s">
        <v>3401</v>
      </c>
      <c r="B1814" s="505" t="s">
        <v>4255</v>
      </c>
      <c r="C1814" s="452" t="s">
        <v>3575</v>
      </c>
      <c r="D1814" s="506" t="s">
        <v>4256</v>
      </c>
      <c r="E1814" s="507">
        <f>310-12</f>
        <v>298</v>
      </c>
      <c r="F1814" s="507">
        <f>131.5-15</f>
        <v>116.5</v>
      </c>
      <c r="G1814" s="507">
        <v>60.0</v>
      </c>
      <c r="H1814" s="507">
        <v>2.0</v>
      </c>
      <c r="I1814" s="507">
        <v>1770.0</v>
      </c>
      <c r="J1814" s="507">
        <v>19.0</v>
      </c>
      <c r="K1814" s="507">
        <v>265.0</v>
      </c>
      <c r="L1814" s="507" t="s">
        <v>3460</v>
      </c>
      <c r="M1814" s="507">
        <v>3.0</v>
      </c>
      <c r="N1814" s="507">
        <v>3.0</v>
      </c>
      <c r="O1814" s="507">
        <v>1.0</v>
      </c>
      <c r="P1814" s="507" t="s">
        <v>166</v>
      </c>
      <c r="Q1814" s="507" t="s">
        <v>166</v>
      </c>
      <c r="R1814" s="266" t="s">
        <v>166</v>
      </c>
      <c r="S1814" s="507" t="s">
        <v>166</v>
      </c>
      <c r="T1814" s="504"/>
    </row>
    <row r="1815">
      <c r="A1815" s="504" t="s">
        <v>3401</v>
      </c>
      <c r="B1815" s="505" t="s">
        <v>4255</v>
      </c>
      <c r="C1815" s="174" t="s">
        <v>3456</v>
      </c>
      <c r="D1815" s="506" t="s">
        <v>4204</v>
      </c>
      <c r="E1815" s="507">
        <v>316.0</v>
      </c>
      <c r="F1815" s="507">
        <v>110.0</v>
      </c>
      <c r="G1815" s="507">
        <v>58.0</v>
      </c>
      <c r="H1815" s="507">
        <v>3.0</v>
      </c>
      <c r="I1815" s="507">
        <v>1665.0</v>
      </c>
      <c r="J1815" s="507">
        <v>19.0</v>
      </c>
      <c r="K1815" s="507">
        <v>225.0</v>
      </c>
      <c r="L1815" s="507">
        <v>8.0</v>
      </c>
      <c r="M1815" s="507">
        <v>3.0</v>
      </c>
      <c r="N1815" s="507">
        <v>3.0</v>
      </c>
      <c r="O1815" s="507">
        <v>1.0</v>
      </c>
      <c r="P1815" s="507" t="s">
        <v>166</v>
      </c>
      <c r="Q1815" s="507" t="s">
        <v>166</v>
      </c>
      <c r="R1815" s="266" t="s">
        <v>166</v>
      </c>
      <c r="S1815" s="507" t="s">
        <v>166</v>
      </c>
      <c r="T1815" s="504"/>
    </row>
    <row r="1816">
      <c r="A1816" s="504" t="s">
        <v>3401</v>
      </c>
      <c r="B1816" s="505" t="s">
        <v>4255</v>
      </c>
      <c r="C1816" s="174" t="s">
        <v>3456</v>
      </c>
      <c r="D1816" s="506" t="s">
        <v>4206</v>
      </c>
      <c r="E1816" s="507">
        <v>316.0</v>
      </c>
      <c r="F1816" s="507">
        <v>110.0</v>
      </c>
      <c r="G1816" s="507">
        <v>58.0</v>
      </c>
      <c r="H1816" s="507">
        <v>3.0</v>
      </c>
      <c r="I1816" s="507">
        <v>1695.0</v>
      </c>
      <c r="J1816" s="507">
        <v>19.0</v>
      </c>
      <c r="K1816" s="507">
        <v>225.0</v>
      </c>
      <c r="L1816" s="507">
        <v>8.0</v>
      </c>
      <c r="M1816" s="507">
        <v>3.0</v>
      </c>
      <c r="N1816" s="507">
        <v>3.0</v>
      </c>
      <c r="O1816" s="507">
        <v>1.0</v>
      </c>
      <c r="P1816" s="507" t="s">
        <v>166</v>
      </c>
      <c r="Q1816" s="507" t="s">
        <v>166</v>
      </c>
      <c r="R1816" s="266" t="s">
        <v>166</v>
      </c>
      <c r="S1816" s="507" t="s">
        <v>166</v>
      </c>
      <c r="T1816" s="504"/>
    </row>
    <row r="1817">
      <c r="A1817" s="504" t="s">
        <v>3401</v>
      </c>
      <c r="B1817" s="505" t="s">
        <v>4255</v>
      </c>
      <c r="C1817" s="174" t="s">
        <v>3456</v>
      </c>
      <c r="D1817" s="506" t="s">
        <v>4257</v>
      </c>
      <c r="E1817" s="507">
        <v>316.0</v>
      </c>
      <c r="F1817" s="507">
        <v>132.0</v>
      </c>
      <c r="G1817" s="507">
        <v>60.0</v>
      </c>
      <c r="H1817" s="507">
        <v>3.0</v>
      </c>
      <c r="I1817" s="507">
        <v>1665.0</v>
      </c>
      <c r="J1817" s="507">
        <v>19.0</v>
      </c>
      <c r="K1817" s="507">
        <v>265.0</v>
      </c>
      <c r="L1817" s="507" t="s">
        <v>3460</v>
      </c>
      <c r="M1817" s="507">
        <v>3.0</v>
      </c>
      <c r="N1817" s="507">
        <v>3.0</v>
      </c>
      <c r="O1817" s="507">
        <v>1.0</v>
      </c>
      <c r="P1817" s="507" t="s">
        <v>166</v>
      </c>
      <c r="Q1817" s="507" t="s">
        <v>166</v>
      </c>
      <c r="R1817" s="266" t="s">
        <v>166</v>
      </c>
      <c r="S1817" s="507" t="s">
        <v>166</v>
      </c>
      <c r="T1817" s="504"/>
    </row>
    <row r="1818">
      <c r="A1818" s="504" t="s">
        <v>3401</v>
      </c>
      <c r="B1818" s="505" t="s">
        <v>4255</v>
      </c>
      <c r="C1818" s="174" t="s">
        <v>3456</v>
      </c>
      <c r="D1818" s="506" t="s">
        <v>4258</v>
      </c>
      <c r="E1818" s="507">
        <v>316.0</v>
      </c>
      <c r="F1818" s="507">
        <v>132.0</v>
      </c>
      <c r="G1818" s="507">
        <v>60.0</v>
      </c>
      <c r="H1818" s="507">
        <v>3.0</v>
      </c>
      <c r="I1818" s="507">
        <v>1755.0</v>
      </c>
      <c r="J1818" s="507">
        <v>19.0</v>
      </c>
      <c r="K1818" s="507">
        <v>265.0</v>
      </c>
      <c r="L1818" s="507" t="s">
        <v>3460</v>
      </c>
      <c r="M1818" s="507">
        <v>3.0</v>
      </c>
      <c r="N1818" s="507">
        <v>3.0</v>
      </c>
      <c r="O1818" s="507">
        <v>1.0</v>
      </c>
      <c r="P1818" s="507" t="s">
        <v>166</v>
      </c>
      <c r="Q1818" s="507" t="s">
        <v>166</v>
      </c>
      <c r="R1818" s="266" t="s">
        <v>166</v>
      </c>
      <c r="S1818" s="507" t="s">
        <v>166</v>
      </c>
      <c r="T1818" s="504"/>
    </row>
    <row r="1819">
      <c r="A1819" s="504" t="s">
        <v>3401</v>
      </c>
      <c r="B1819" s="505" t="s">
        <v>4255</v>
      </c>
      <c r="C1819" s="174" t="s">
        <v>3456</v>
      </c>
      <c r="D1819" s="506" t="s">
        <v>4003</v>
      </c>
      <c r="E1819" s="507">
        <v>337.0</v>
      </c>
      <c r="F1819" s="507">
        <v>135.0</v>
      </c>
      <c r="G1819" s="507">
        <v>53.0</v>
      </c>
      <c r="H1819" s="507">
        <v>2.0</v>
      </c>
      <c r="I1819" s="507">
        <v>1665.0</v>
      </c>
      <c r="J1819" s="507">
        <v>19.0</v>
      </c>
      <c r="K1819" s="507">
        <v>225.0</v>
      </c>
      <c r="L1819" s="507" t="s">
        <v>3460</v>
      </c>
      <c r="M1819" s="507">
        <v>3.0</v>
      </c>
      <c r="N1819" s="507">
        <v>3.0</v>
      </c>
      <c r="O1819" s="507">
        <v>1.0</v>
      </c>
      <c r="P1819" s="507" t="s">
        <v>166</v>
      </c>
      <c r="Q1819" s="507" t="s">
        <v>166</v>
      </c>
      <c r="R1819" s="266" t="s">
        <v>166</v>
      </c>
      <c r="S1819" s="507" t="s">
        <v>166</v>
      </c>
      <c r="T1819" s="504"/>
    </row>
    <row r="1820">
      <c r="A1820" s="504" t="s">
        <v>3401</v>
      </c>
      <c r="B1820" s="505" t="s">
        <v>4255</v>
      </c>
      <c r="C1820" s="174" t="s">
        <v>3456</v>
      </c>
      <c r="D1820" s="506" t="s">
        <v>4004</v>
      </c>
      <c r="E1820" s="507">
        <v>337.0</v>
      </c>
      <c r="F1820" s="507">
        <v>135.0</v>
      </c>
      <c r="G1820" s="507">
        <v>53.0</v>
      </c>
      <c r="H1820" s="507">
        <v>2.0</v>
      </c>
      <c r="I1820" s="507">
        <v>1837.0</v>
      </c>
      <c r="J1820" s="507">
        <v>19.0</v>
      </c>
      <c r="K1820" s="507">
        <v>265.0</v>
      </c>
      <c r="L1820" s="507" t="s">
        <v>3460</v>
      </c>
      <c r="M1820" s="507">
        <v>3.0</v>
      </c>
      <c r="N1820" s="507">
        <v>3.0</v>
      </c>
      <c r="O1820" s="507">
        <v>1.0</v>
      </c>
      <c r="P1820" s="507" t="s">
        <v>166</v>
      </c>
      <c r="Q1820" s="507" t="s">
        <v>166</v>
      </c>
      <c r="R1820" s="266" t="s">
        <v>166</v>
      </c>
      <c r="S1820" s="507" t="s">
        <v>166</v>
      </c>
      <c r="T1820" s="504"/>
    </row>
    <row r="1821">
      <c r="A1821" s="504" t="s">
        <v>3401</v>
      </c>
      <c r="B1821" s="505" t="s">
        <v>4255</v>
      </c>
      <c r="C1821" s="174" t="s">
        <v>3456</v>
      </c>
      <c r="D1821" s="506" t="s">
        <v>4259</v>
      </c>
      <c r="E1821" s="507">
        <v>303.0</v>
      </c>
      <c r="F1821" s="507">
        <v>133.0</v>
      </c>
      <c r="G1821" s="507">
        <v>64.0</v>
      </c>
      <c r="H1821" s="507">
        <v>2.0</v>
      </c>
      <c r="I1821" s="507">
        <v>1800.0</v>
      </c>
      <c r="J1821" s="507">
        <v>19.0</v>
      </c>
      <c r="K1821" s="507">
        <v>265.0</v>
      </c>
      <c r="L1821" s="507" t="s">
        <v>3460</v>
      </c>
      <c r="M1821" s="507">
        <v>3.0</v>
      </c>
      <c r="N1821" s="507">
        <v>3.0</v>
      </c>
      <c r="O1821" s="507">
        <v>1.0</v>
      </c>
      <c r="P1821" s="507" t="s">
        <v>166</v>
      </c>
      <c r="Q1821" s="507" t="s">
        <v>166</v>
      </c>
      <c r="R1821" s="266" t="s">
        <v>166</v>
      </c>
      <c r="S1821" s="507" t="s">
        <v>166</v>
      </c>
      <c r="T1821" s="504"/>
    </row>
    <row r="1822">
      <c r="A1822" s="504" t="s">
        <v>3401</v>
      </c>
      <c r="B1822" s="505" t="s">
        <v>4255</v>
      </c>
      <c r="C1822" s="174" t="s">
        <v>3456</v>
      </c>
      <c r="D1822" s="506" t="s">
        <v>4260</v>
      </c>
      <c r="E1822" s="507">
        <v>238.0</v>
      </c>
      <c r="F1822" s="507">
        <v>128.0</v>
      </c>
      <c r="G1822" s="507">
        <v>54.0</v>
      </c>
      <c r="H1822" s="507">
        <v>2.0</v>
      </c>
      <c r="I1822" s="507">
        <v>1680.0</v>
      </c>
      <c r="J1822" s="507">
        <v>19.0</v>
      </c>
      <c r="K1822" s="507">
        <v>225.0</v>
      </c>
      <c r="L1822" s="507" t="s">
        <v>3460</v>
      </c>
      <c r="M1822" s="507">
        <v>2.0</v>
      </c>
      <c r="N1822" s="507">
        <v>3.0</v>
      </c>
      <c r="O1822" s="507">
        <v>1.0</v>
      </c>
      <c r="P1822" s="507" t="s">
        <v>166</v>
      </c>
      <c r="Q1822" s="507" t="s">
        <v>166</v>
      </c>
      <c r="R1822" s="266" t="s">
        <v>166</v>
      </c>
      <c r="S1822" s="507" t="s">
        <v>166</v>
      </c>
      <c r="T1822" s="504"/>
    </row>
    <row r="1823">
      <c r="A1823" s="504" t="s">
        <v>3401</v>
      </c>
      <c r="B1823" s="505" t="s">
        <v>4255</v>
      </c>
      <c r="C1823" s="174" t="s">
        <v>3456</v>
      </c>
      <c r="D1823" s="506" t="s">
        <v>4261</v>
      </c>
      <c r="E1823" s="507">
        <v>238.0</v>
      </c>
      <c r="F1823" s="507">
        <v>128.0</v>
      </c>
      <c r="G1823" s="507">
        <v>54.0</v>
      </c>
      <c r="H1823" s="507">
        <v>2.0</v>
      </c>
      <c r="I1823" s="507">
        <v>1680.0</v>
      </c>
      <c r="J1823" s="507">
        <v>19.0</v>
      </c>
      <c r="K1823" s="507">
        <v>225.0</v>
      </c>
      <c r="L1823" s="507">
        <v>8.0</v>
      </c>
      <c r="M1823" s="507">
        <v>2.0</v>
      </c>
      <c r="N1823" s="507">
        <v>3.0</v>
      </c>
      <c r="O1823" s="507">
        <v>1.0</v>
      </c>
      <c r="P1823" s="507" t="s">
        <v>166</v>
      </c>
      <c r="Q1823" s="507" t="s">
        <v>166</v>
      </c>
      <c r="R1823" s="266" t="s">
        <v>166</v>
      </c>
      <c r="S1823" s="507" t="s">
        <v>166</v>
      </c>
      <c r="T1823" s="504"/>
    </row>
    <row r="1824">
      <c r="A1824" s="504" t="s">
        <v>3401</v>
      </c>
      <c r="B1824" s="505" t="s">
        <v>4255</v>
      </c>
      <c r="C1824" s="174" t="s">
        <v>3456</v>
      </c>
      <c r="D1824" s="506" t="s">
        <v>4262</v>
      </c>
      <c r="E1824" s="507">
        <v>317.0</v>
      </c>
      <c r="F1824" s="507">
        <v>113.0</v>
      </c>
      <c r="G1824" s="507">
        <v>61.0</v>
      </c>
      <c r="H1824" s="507">
        <v>2.0</v>
      </c>
      <c r="I1824" s="507">
        <v>1695.0</v>
      </c>
      <c r="J1824" s="507">
        <v>19.0</v>
      </c>
      <c r="K1824" s="507">
        <v>225.0</v>
      </c>
      <c r="L1824" s="507">
        <v>8.0</v>
      </c>
      <c r="M1824" s="507">
        <v>3.0</v>
      </c>
      <c r="N1824" s="507">
        <v>3.0</v>
      </c>
      <c r="O1824" s="507">
        <v>1.0</v>
      </c>
      <c r="P1824" s="507" t="s">
        <v>166</v>
      </c>
      <c r="Q1824" s="507" t="s">
        <v>166</v>
      </c>
      <c r="R1824" s="266" t="s">
        <v>166</v>
      </c>
      <c r="S1824" s="507" t="s">
        <v>166</v>
      </c>
      <c r="T1824" s="504"/>
    </row>
    <row r="1825">
      <c r="A1825" s="504" t="s">
        <v>3401</v>
      </c>
      <c r="B1825" s="505" t="s">
        <v>4255</v>
      </c>
      <c r="C1825" s="174" t="s">
        <v>3456</v>
      </c>
      <c r="D1825" s="506" t="s">
        <v>4263</v>
      </c>
      <c r="E1825" s="507">
        <v>317.0</v>
      </c>
      <c r="F1825" s="507">
        <v>113.0</v>
      </c>
      <c r="G1825" s="507">
        <v>61.0</v>
      </c>
      <c r="H1825" s="507">
        <v>2.0</v>
      </c>
      <c r="I1825" s="507">
        <v>1695.0</v>
      </c>
      <c r="J1825" s="507">
        <v>19.0</v>
      </c>
      <c r="K1825" s="507">
        <v>225.0</v>
      </c>
      <c r="L1825" s="507">
        <v>8.0</v>
      </c>
      <c r="M1825" s="507">
        <v>3.0</v>
      </c>
      <c r="N1825" s="507">
        <v>3.0</v>
      </c>
      <c r="O1825" s="507">
        <v>1.0</v>
      </c>
      <c r="P1825" s="507" t="s">
        <v>166</v>
      </c>
      <c r="Q1825" s="507" t="s">
        <v>166</v>
      </c>
      <c r="R1825" s="266" t="s">
        <v>166</v>
      </c>
      <c r="S1825" s="507" t="s">
        <v>166</v>
      </c>
      <c r="T1825" s="504"/>
    </row>
    <row r="1826">
      <c r="A1826" s="504" t="s">
        <v>3401</v>
      </c>
      <c r="B1826" s="505" t="s">
        <v>4255</v>
      </c>
      <c r="C1826" s="174" t="s">
        <v>3456</v>
      </c>
      <c r="D1826" s="506" t="s">
        <v>4264</v>
      </c>
      <c r="E1826" s="507">
        <v>285.0</v>
      </c>
      <c r="F1826" s="507">
        <v>124.0</v>
      </c>
      <c r="G1826" s="507">
        <v>58.0</v>
      </c>
      <c r="H1826" s="507">
        <v>2.0</v>
      </c>
      <c r="I1826" s="507">
        <v>1695.0</v>
      </c>
      <c r="J1826" s="507">
        <v>19.0</v>
      </c>
      <c r="K1826" s="507">
        <v>225.0</v>
      </c>
      <c r="L1826" s="507" t="s">
        <v>3460</v>
      </c>
      <c r="M1826" s="507">
        <v>2.0</v>
      </c>
      <c r="N1826" s="507">
        <v>3.0</v>
      </c>
      <c r="O1826" s="507">
        <v>1.0</v>
      </c>
      <c r="P1826" s="507" t="s">
        <v>166</v>
      </c>
      <c r="Q1826" s="507" t="s">
        <v>166</v>
      </c>
      <c r="R1826" s="266" t="s">
        <v>166</v>
      </c>
      <c r="S1826" s="507" t="s">
        <v>166</v>
      </c>
      <c r="T1826" s="504"/>
    </row>
    <row r="1827">
      <c r="A1827" s="504" t="s">
        <v>3401</v>
      </c>
      <c r="B1827" s="505" t="s">
        <v>4255</v>
      </c>
      <c r="C1827" s="174" t="str">
        <f t="shared" ref="C1827:C1832" si="283">HYPERLINK("https://www.msi.com/index.php","MSI")</f>
        <v>MSI</v>
      </c>
      <c r="D1827" s="506" t="s">
        <v>3555</v>
      </c>
      <c r="E1827" s="507">
        <v>232.0</v>
      </c>
      <c r="F1827" s="507">
        <v>124.0</v>
      </c>
      <c r="G1827" s="507">
        <v>52.0</v>
      </c>
      <c r="H1827" s="507">
        <v>2.0</v>
      </c>
      <c r="I1827" s="507">
        <v>1665.0</v>
      </c>
      <c r="J1827" s="507">
        <v>19.0</v>
      </c>
      <c r="K1827" s="507">
        <v>225.0</v>
      </c>
      <c r="L1827" s="507" t="s">
        <v>3460</v>
      </c>
      <c r="M1827" s="507">
        <v>2.0</v>
      </c>
      <c r="N1827" s="507">
        <v>3.0</v>
      </c>
      <c r="O1827" s="507">
        <v>1.0</v>
      </c>
      <c r="P1827" s="507" t="s">
        <v>166</v>
      </c>
      <c r="Q1827" s="507" t="s">
        <v>166</v>
      </c>
      <c r="R1827" s="266" t="s">
        <v>166</v>
      </c>
      <c r="S1827" s="507" t="s">
        <v>166</v>
      </c>
      <c r="T1827" s="504"/>
    </row>
    <row r="1828">
      <c r="A1828" s="504" t="s">
        <v>3401</v>
      </c>
      <c r="B1828" s="505" t="s">
        <v>4255</v>
      </c>
      <c r="C1828" s="174" t="str">
        <f t="shared" si="283"/>
        <v>MSI</v>
      </c>
      <c r="D1828" s="506" t="s">
        <v>3556</v>
      </c>
      <c r="E1828" s="507">
        <v>232.0</v>
      </c>
      <c r="F1828" s="507">
        <v>124.0</v>
      </c>
      <c r="G1828" s="507">
        <v>52.0</v>
      </c>
      <c r="H1828" s="507">
        <v>2.0</v>
      </c>
      <c r="I1828" s="507">
        <v>1695.0</v>
      </c>
      <c r="J1828" s="507">
        <v>19.0</v>
      </c>
      <c r="K1828" s="507">
        <v>225.0</v>
      </c>
      <c r="L1828" s="507" t="s">
        <v>3460</v>
      </c>
      <c r="M1828" s="507">
        <v>2.0</v>
      </c>
      <c r="N1828" s="507">
        <v>3.0</v>
      </c>
      <c r="O1828" s="507">
        <v>1.0</v>
      </c>
      <c r="P1828" s="507" t="s">
        <v>166</v>
      </c>
      <c r="Q1828" s="507" t="s">
        <v>166</v>
      </c>
      <c r="R1828" s="266" t="s">
        <v>166</v>
      </c>
      <c r="S1828" s="507" t="s">
        <v>166</v>
      </c>
      <c r="T1828" s="504"/>
    </row>
    <row r="1829">
      <c r="A1829" s="504" t="s">
        <v>3401</v>
      </c>
      <c r="B1829" s="505" t="s">
        <v>4255</v>
      </c>
      <c r="C1829" s="174" t="str">
        <f t="shared" si="283"/>
        <v>MSI</v>
      </c>
      <c r="D1829" s="506" t="s">
        <v>4146</v>
      </c>
      <c r="E1829" s="507">
        <v>305.0</v>
      </c>
      <c r="F1829" s="507">
        <v>121.0</v>
      </c>
      <c r="G1829" s="507">
        <v>52.0</v>
      </c>
      <c r="H1829" s="507">
        <v>2.0</v>
      </c>
      <c r="I1829" s="507">
        <v>1665.0</v>
      </c>
      <c r="J1829" s="507">
        <v>19.0</v>
      </c>
      <c r="K1829" s="507">
        <v>225.0</v>
      </c>
      <c r="L1829" s="507" t="s">
        <v>3460</v>
      </c>
      <c r="M1829" s="507">
        <v>2.0</v>
      </c>
      <c r="N1829" s="507">
        <v>3.0</v>
      </c>
      <c r="O1829" s="507">
        <v>1.0</v>
      </c>
      <c r="P1829" s="507" t="s">
        <v>166</v>
      </c>
      <c r="Q1829" s="507" t="s">
        <v>166</v>
      </c>
      <c r="R1829" s="266" t="s">
        <v>166</v>
      </c>
      <c r="S1829" s="507" t="s">
        <v>166</v>
      </c>
      <c r="T1829" s="504"/>
    </row>
    <row r="1830">
      <c r="A1830" s="504" t="s">
        <v>3401</v>
      </c>
      <c r="B1830" s="505" t="s">
        <v>4255</v>
      </c>
      <c r="C1830" s="174" t="str">
        <f t="shared" si="283"/>
        <v>MSI</v>
      </c>
      <c r="D1830" s="506" t="s">
        <v>4147</v>
      </c>
      <c r="E1830" s="507">
        <v>305.0</v>
      </c>
      <c r="F1830" s="507">
        <v>121.0</v>
      </c>
      <c r="G1830" s="507">
        <v>52.0</v>
      </c>
      <c r="H1830" s="507">
        <v>2.0</v>
      </c>
      <c r="I1830" s="507">
        <v>1695.0</v>
      </c>
      <c r="J1830" s="507">
        <v>19.0</v>
      </c>
      <c r="K1830" s="507">
        <v>225.0</v>
      </c>
      <c r="L1830" s="507" t="s">
        <v>3460</v>
      </c>
      <c r="M1830" s="507">
        <v>2.0</v>
      </c>
      <c r="N1830" s="507">
        <v>3.0</v>
      </c>
      <c r="O1830" s="507">
        <v>1.0</v>
      </c>
      <c r="P1830" s="507" t="s">
        <v>166</v>
      </c>
      <c r="Q1830" s="507" t="s">
        <v>166</v>
      </c>
      <c r="R1830" s="266" t="s">
        <v>166</v>
      </c>
      <c r="S1830" s="507" t="s">
        <v>166</v>
      </c>
      <c r="T1830" s="504"/>
    </row>
    <row r="1831">
      <c r="A1831" s="504" t="s">
        <v>3401</v>
      </c>
      <c r="B1831" s="505" t="s">
        <v>4255</v>
      </c>
      <c r="C1831" s="174" t="str">
        <f t="shared" si="283"/>
        <v>MSI</v>
      </c>
      <c r="D1831" s="506" t="s">
        <v>3720</v>
      </c>
      <c r="E1831" s="507">
        <v>323.0</v>
      </c>
      <c r="F1831" s="507">
        <v>140.0</v>
      </c>
      <c r="G1831" s="507">
        <v>56.0</v>
      </c>
      <c r="H1831" s="507">
        <v>2.0</v>
      </c>
      <c r="I1831" s="507">
        <v>1755.0</v>
      </c>
      <c r="J1831" s="507">
        <v>19.0</v>
      </c>
      <c r="K1831" s="507">
        <v>265.0</v>
      </c>
      <c r="L1831" s="507" t="s">
        <v>3460</v>
      </c>
      <c r="M1831" s="507">
        <v>3.0</v>
      </c>
      <c r="N1831" s="507">
        <v>3.0</v>
      </c>
      <c r="O1831" s="507">
        <v>1.0</v>
      </c>
      <c r="P1831" s="507" t="s">
        <v>166</v>
      </c>
      <c r="Q1831" s="507" t="s">
        <v>166</v>
      </c>
      <c r="R1831" s="266" t="s">
        <v>166</v>
      </c>
      <c r="S1831" s="507" t="s">
        <v>166</v>
      </c>
      <c r="T1831" s="504"/>
    </row>
    <row r="1832">
      <c r="A1832" s="504" t="s">
        <v>3401</v>
      </c>
      <c r="B1832" s="505" t="s">
        <v>4255</v>
      </c>
      <c r="C1832" s="174" t="str">
        <f t="shared" si="283"/>
        <v>MSI</v>
      </c>
      <c r="D1832" s="506" t="s">
        <v>3721</v>
      </c>
      <c r="E1832" s="507">
        <v>323.0</v>
      </c>
      <c r="F1832" s="507">
        <v>140.0</v>
      </c>
      <c r="G1832" s="507">
        <v>56.0</v>
      </c>
      <c r="H1832" s="507">
        <v>2.0</v>
      </c>
      <c r="I1832" s="507">
        <v>1845.0</v>
      </c>
      <c r="J1832" s="507">
        <v>19.0</v>
      </c>
      <c r="K1832" s="507">
        <v>265.0</v>
      </c>
      <c r="L1832" s="507" t="s">
        <v>3460</v>
      </c>
      <c r="M1832" s="507">
        <v>3.0</v>
      </c>
      <c r="N1832" s="507">
        <v>3.0</v>
      </c>
      <c r="O1832" s="507">
        <v>1.0</v>
      </c>
      <c r="P1832" s="507" t="s">
        <v>166</v>
      </c>
      <c r="Q1832" s="507" t="s">
        <v>166</v>
      </c>
      <c r="R1832" s="266" t="s">
        <v>166</v>
      </c>
      <c r="S1832" s="507" t="s">
        <v>166</v>
      </c>
      <c r="T1832" s="504"/>
    </row>
    <row r="1833">
      <c r="A1833" s="504" t="s">
        <v>3401</v>
      </c>
      <c r="B1833" s="505" t="s">
        <v>4255</v>
      </c>
      <c r="C1833" s="174" t="s">
        <v>3440</v>
      </c>
      <c r="D1833" s="506" t="s">
        <v>4161</v>
      </c>
      <c r="E1833" s="507">
        <v>315.0</v>
      </c>
      <c r="F1833" s="507">
        <v>122.0</v>
      </c>
      <c r="G1833" s="507">
        <v>60.0</v>
      </c>
      <c r="H1833" s="507">
        <v>2.0</v>
      </c>
      <c r="I1833" s="507">
        <v>1695.0</v>
      </c>
      <c r="J1833" s="507">
        <v>19.0</v>
      </c>
      <c r="K1833" s="507">
        <v>225.0</v>
      </c>
      <c r="L1833" s="507" t="s">
        <v>3460</v>
      </c>
      <c r="M1833" s="507">
        <v>3.0</v>
      </c>
      <c r="N1833" s="507">
        <v>3.0</v>
      </c>
      <c r="O1833" s="507">
        <v>1.0</v>
      </c>
      <c r="P1833" s="507" t="s">
        <v>166</v>
      </c>
      <c r="Q1833" s="507" t="s">
        <v>166</v>
      </c>
      <c r="R1833" s="266" t="s">
        <v>166</v>
      </c>
      <c r="S1833" s="507" t="s">
        <v>166</v>
      </c>
      <c r="T1833" s="504"/>
    </row>
    <row r="1834">
      <c r="A1834" s="538" t="s">
        <v>3401</v>
      </c>
      <c r="B1834" s="539" t="s">
        <v>4255</v>
      </c>
      <c r="C1834" s="291" t="s">
        <v>3440</v>
      </c>
      <c r="D1834" s="391" t="s">
        <v>4085</v>
      </c>
      <c r="E1834" s="519">
        <v>231.9</v>
      </c>
      <c r="F1834" s="519">
        <v>141.3</v>
      </c>
      <c r="G1834" s="519">
        <v>41.5</v>
      </c>
      <c r="H1834" s="519">
        <v>2.0</v>
      </c>
      <c r="I1834" s="519">
        <v>1665.0</v>
      </c>
      <c r="J1834" s="519">
        <v>19.0</v>
      </c>
      <c r="K1834" s="519">
        <v>225.0</v>
      </c>
      <c r="L1834" s="519" t="s">
        <v>3460</v>
      </c>
      <c r="M1834" s="519">
        <v>2.0</v>
      </c>
      <c r="N1834" s="519">
        <v>3.0</v>
      </c>
      <c r="O1834" s="519">
        <v>1.0</v>
      </c>
      <c r="P1834" s="519" t="s">
        <v>166</v>
      </c>
      <c r="Q1834" s="519" t="s">
        <v>166</v>
      </c>
      <c r="R1834" s="501" t="s">
        <v>166</v>
      </c>
      <c r="S1834" s="519" t="s">
        <v>166</v>
      </c>
      <c r="T1834" s="538"/>
    </row>
    <row r="1835">
      <c r="A1835" s="504" t="s">
        <v>3401</v>
      </c>
      <c r="B1835" s="505" t="s">
        <v>3590</v>
      </c>
      <c r="C1835" s="282" t="s">
        <v>3467</v>
      </c>
      <c r="D1835" s="506" t="s">
        <v>3884</v>
      </c>
      <c r="E1835" s="507">
        <v>265.0</v>
      </c>
      <c r="F1835" s="507">
        <v>140.0</v>
      </c>
      <c r="G1835" s="507">
        <v>57.0</v>
      </c>
      <c r="H1835" s="507">
        <v>2.0</v>
      </c>
      <c r="I1835" s="507">
        <v>1725.0</v>
      </c>
      <c r="J1835" s="507">
        <v>14.0</v>
      </c>
      <c r="K1835" s="507">
        <v>220.0</v>
      </c>
      <c r="L1835" s="507">
        <v>12.0</v>
      </c>
      <c r="M1835" s="507">
        <v>2.0</v>
      </c>
      <c r="N1835" s="507">
        <v>3.0</v>
      </c>
      <c r="O1835" s="507">
        <v>1.0</v>
      </c>
      <c r="P1835" s="507" t="s">
        <v>166</v>
      </c>
      <c r="Q1835" s="507" t="s">
        <v>166</v>
      </c>
      <c r="R1835" s="508" t="s">
        <v>166</v>
      </c>
      <c r="S1835" s="508" t="s">
        <v>166</v>
      </c>
      <c r="T1835" s="509"/>
    </row>
    <row r="1836">
      <c r="A1836" s="504" t="s">
        <v>3401</v>
      </c>
      <c r="B1836" s="505" t="s">
        <v>3590</v>
      </c>
      <c r="C1836" s="282" t="str">
        <f t="shared" ref="C1836:C1860" si="284">HYPERLINK("https://www.asus.com/","Asus")</f>
        <v>Asus</v>
      </c>
      <c r="D1836" s="506" t="s">
        <v>3810</v>
      </c>
      <c r="E1836" s="507">
        <v>269.0</v>
      </c>
      <c r="F1836" s="507">
        <v>112.0</v>
      </c>
      <c r="G1836" s="507">
        <v>40.0</v>
      </c>
      <c r="H1836" s="507">
        <v>2.0</v>
      </c>
      <c r="I1836" s="507">
        <v>1755.0</v>
      </c>
      <c r="J1836" s="507">
        <v>14.0</v>
      </c>
      <c r="K1836" s="507">
        <v>220.0</v>
      </c>
      <c r="L1836" s="507" t="s">
        <v>3460</v>
      </c>
      <c r="M1836" s="507">
        <v>1.0</v>
      </c>
      <c r="N1836" s="507">
        <v>3.0</v>
      </c>
      <c r="O1836" s="507">
        <v>1.0</v>
      </c>
      <c r="P1836" s="507" t="s">
        <v>166</v>
      </c>
      <c r="Q1836" s="507" t="s">
        <v>166</v>
      </c>
      <c r="R1836" s="497" t="s">
        <v>166</v>
      </c>
      <c r="S1836" s="507" t="s">
        <v>174</v>
      </c>
      <c r="T1836" s="504"/>
    </row>
    <row r="1837">
      <c r="A1837" s="504" t="s">
        <v>3401</v>
      </c>
      <c r="B1837" s="505" t="s">
        <v>3590</v>
      </c>
      <c r="C1837" s="282" t="str">
        <f t="shared" si="284"/>
        <v>Asus</v>
      </c>
      <c r="D1837" s="506" t="s">
        <v>4265</v>
      </c>
      <c r="E1837" s="507">
        <v>269.0</v>
      </c>
      <c r="F1837" s="507">
        <v>112.0</v>
      </c>
      <c r="G1837" s="507">
        <v>40.0</v>
      </c>
      <c r="H1837" s="507">
        <v>2.0</v>
      </c>
      <c r="I1837" s="507">
        <v>1755.0</v>
      </c>
      <c r="J1837" s="507">
        <v>14.0</v>
      </c>
      <c r="K1837" s="507">
        <v>220.0</v>
      </c>
      <c r="L1837" s="507" t="s">
        <v>3460</v>
      </c>
      <c r="M1837" s="507">
        <v>1.0</v>
      </c>
      <c r="N1837" s="507">
        <v>3.0</v>
      </c>
      <c r="O1837" s="507">
        <v>1.0</v>
      </c>
      <c r="P1837" s="507" t="s">
        <v>166</v>
      </c>
      <c r="Q1837" s="507" t="s">
        <v>166</v>
      </c>
      <c r="R1837" s="497" t="s">
        <v>166</v>
      </c>
      <c r="S1837" s="266" t="s">
        <v>174</v>
      </c>
      <c r="T1837" s="494"/>
    </row>
    <row r="1838">
      <c r="A1838" s="572" t="s">
        <v>3401</v>
      </c>
      <c r="B1838" s="573" t="s">
        <v>3590</v>
      </c>
      <c r="C1838" s="454" t="str">
        <f t="shared" si="284"/>
        <v>Asus</v>
      </c>
      <c r="D1838" s="537" t="s">
        <v>4266</v>
      </c>
      <c r="E1838" s="266">
        <v>229.0</v>
      </c>
      <c r="F1838" s="266">
        <v>120.0</v>
      </c>
      <c r="G1838" s="266">
        <v>42.0</v>
      </c>
      <c r="H1838" s="266">
        <v>2.0</v>
      </c>
      <c r="I1838" s="266">
        <v>1755.0</v>
      </c>
      <c r="J1838" s="507">
        <v>14.0</v>
      </c>
      <c r="K1838" s="507">
        <v>220.0</v>
      </c>
      <c r="L1838" s="266">
        <v>8.0</v>
      </c>
      <c r="M1838" s="266">
        <v>2.0</v>
      </c>
      <c r="N1838" s="266">
        <v>3.0</v>
      </c>
      <c r="O1838" s="266">
        <v>1.0</v>
      </c>
      <c r="P1838" s="266" t="s">
        <v>166</v>
      </c>
      <c r="Q1838" s="266" t="s">
        <v>166</v>
      </c>
      <c r="R1838" s="497" t="s">
        <v>166</v>
      </c>
      <c r="S1838" s="497" t="s">
        <v>166</v>
      </c>
      <c r="T1838" s="496"/>
    </row>
    <row r="1839">
      <c r="A1839" s="494" t="s">
        <v>3401</v>
      </c>
      <c r="B1839" s="495" t="s">
        <v>3590</v>
      </c>
      <c r="C1839" s="174" t="str">
        <f t="shared" si="284"/>
        <v>Asus</v>
      </c>
      <c r="D1839" s="452" t="s">
        <v>3372</v>
      </c>
      <c r="E1839" s="266">
        <v>267.0</v>
      </c>
      <c r="F1839" s="266">
        <v>135.0</v>
      </c>
      <c r="G1839" s="266">
        <v>52.0</v>
      </c>
      <c r="H1839" s="266">
        <v>2.0</v>
      </c>
      <c r="I1839" s="266">
        <v>1755.0</v>
      </c>
      <c r="J1839" s="266">
        <v>14.0</v>
      </c>
      <c r="K1839" s="266">
        <v>220.0</v>
      </c>
      <c r="L1839" s="266" t="s">
        <v>3460</v>
      </c>
      <c r="M1839" s="266">
        <v>2.0</v>
      </c>
      <c r="N1839" s="266">
        <v>3.0</v>
      </c>
      <c r="O1839" s="266">
        <v>2.0</v>
      </c>
      <c r="P1839" s="266" t="s">
        <v>166</v>
      </c>
      <c r="Q1839" s="266" t="s">
        <v>166</v>
      </c>
      <c r="R1839" s="497" t="s">
        <v>166</v>
      </c>
      <c r="S1839" s="497" t="s">
        <v>166</v>
      </c>
      <c r="T1839" s="496"/>
    </row>
    <row r="1840">
      <c r="A1840" s="494" t="s">
        <v>3401</v>
      </c>
      <c r="B1840" s="495" t="s">
        <v>3590</v>
      </c>
      <c r="C1840" s="174" t="str">
        <f t="shared" si="284"/>
        <v>Asus</v>
      </c>
      <c r="D1840" s="452" t="s">
        <v>3476</v>
      </c>
      <c r="E1840" s="266">
        <v>267.0</v>
      </c>
      <c r="F1840" s="266">
        <v>135.0</v>
      </c>
      <c r="G1840" s="266">
        <v>52.0</v>
      </c>
      <c r="H1840" s="266">
        <v>2.0</v>
      </c>
      <c r="I1840" s="266">
        <v>1755.0</v>
      </c>
      <c r="J1840" s="266">
        <v>14.0</v>
      </c>
      <c r="K1840" s="266">
        <v>220.0</v>
      </c>
      <c r="L1840" s="266" t="s">
        <v>3460</v>
      </c>
      <c r="M1840" s="266">
        <v>2.0</v>
      </c>
      <c r="N1840" s="266">
        <v>3.0</v>
      </c>
      <c r="O1840" s="266">
        <v>2.0</v>
      </c>
      <c r="P1840" s="266" t="s">
        <v>166</v>
      </c>
      <c r="Q1840" s="266" t="s">
        <v>166</v>
      </c>
      <c r="R1840" s="497" t="s">
        <v>166</v>
      </c>
      <c r="S1840" s="497" t="s">
        <v>166</v>
      </c>
      <c r="T1840" s="494"/>
    </row>
    <row r="1841">
      <c r="A1841" s="494" t="s">
        <v>3401</v>
      </c>
      <c r="B1841" s="495" t="s">
        <v>3590</v>
      </c>
      <c r="C1841" s="174" t="str">
        <f t="shared" si="284"/>
        <v>Asus</v>
      </c>
      <c r="D1841" s="537" t="s">
        <v>3381</v>
      </c>
      <c r="E1841" s="266">
        <v>267.0</v>
      </c>
      <c r="F1841" s="266">
        <v>135.0</v>
      </c>
      <c r="G1841" s="266">
        <v>52.0</v>
      </c>
      <c r="H1841" s="266">
        <v>2.0</v>
      </c>
      <c r="I1841" s="266">
        <v>1800.0</v>
      </c>
      <c r="J1841" s="266">
        <v>14.0</v>
      </c>
      <c r="K1841" s="266">
        <v>240.0</v>
      </c>
      <c r="L1841" s="266" t="s">
        <v>3460</v>
      </c>
      <c r="M1841" s="266">
        <v>2.0</v>
      </c>
      <c r="N1841" s="266">
        <v>3.0</v>
      </c>
      <c r="O1841" s="266">
        <v>2.0</v>
      </c>
      <c r="P1841" s="266" t="s">
        <v>166</v>
      </c>
      <c r="Q1841" s="266" t="s">
        <v>166</v>
      </c>
      <c r="R1841" s="497" t="s">
        <v>166</v>
      </c>
      <c r="S1841" s="497" t="s">
        <v>166</v>
      </c>
      <c r="T1841" s="496"/>
    </row>
    <row r="1842">
      <c r="A1842" s="494" t="s">
        <v>3401</v>
      </c>
      <c r="B1842" s="495" t="s">
        <v>3590</v>
      </c>
      <c r="C1842" s="174" t="str">
        <f t="shared" si="284"/>
        <v>Asus</v>
      </c>
      <c r="D1842" s="537" t="s">
        <v>3574</v>
      </c>
      <c r="E1842" s="266">
        <v>267.0</v>
      </c>
      <c r="F1842" s="266">
        <v>135.0</v>
      </c>
      <c r="G1842" s="266">
        <v>52.0</v>
      </c>
      <c r="H1842" s="266">
        <v>2.0</v>
      </c>
      <c r="I1842" s="266">
        <v>1800.0</v>
      </c>
      <c r="J1842" s="266">
        <v>14.0</v>
      </c>
      <c r="K1842" s="266">
        <v>240.0</v>
      </c>
      <c r="L1842" s="266" t="s">
        <v>3460</v>
      </c>
      <c r="M1842" s="266">
        <v>2.0</v>
      </c>
      <c r="N1842" s="266">
        <v>3.0</v>
      </c>
      <c r="O1842" s="266">
        <v>2.0</v>
      </c>
      <c r="P1842" s="266" t="s">
        <v>166</v>
      </c>
      <c r="Q1842" s="266" t="s">
        <v>166</v>
      </c>
      <c r="R1842" s="497" t="s">
        <v>166</v>
      </c>
      <c r="S1842" s="497" t="s">
        <v>166</v>
      </c>
      <c r="T1842" s="494"/>
    </row>
    <row r="1843">
      <c r="A1843" s="494" t="s">
        <v>3401</v>
      </c>
      <c r="B1843" s="495" t="s">
        <v>3590</v>
      </c>
      <c r="C1843" s="174" t="str">
        <f t="shared" si="284"/>
        <v>Asus</v>
      </c>
      <c r="D1843" s="537" t="s">
        <v>4090</v>
      </c>
      <c r="E1843" s="266">
        <v>275.0</v>
      </c>
      <c r="F1843" s="266">
        <v>131.0</v>
      </c>
      <c r="G1843" s="266">
        <v>54.0</v>
      </c>
      <c r="H1843" s="266">
        <v>2.0</v>
      </c>
      <c r="I1843" s="266">
        <v>1755.0</v>
      </c>
      <c r="J1843" s="266">
        <v>14.0</v>
      </c>
      <c r="K1843" s="266">
        <v>220.0</v>
      </c>
      <c r="L1843" s="266" t="s">
        <v>3460</v>
      </c>
      <c r="M1843" s="266">
        <v>2.0</v>
      </c>
      <c r="N1843" s="266">
        <v>3.0</v>
      </c>
      <c r="O1843" s="266">
        <v>2.0</v>
      </c>
      <c r="P1843" s="266" t="s">
        <v>166</v>
      </c>
      <c r="Q1843" s="266" t="s">
        <v>166</v>
      </c>
      <c r="R1843" s="497" t="s">
        <v>166</v>
      </c>
      <c r="S1843" s="497" t="s">
        <v>166</v>
      </c>
      <c r="T1843" s="496"/>
    </row>
    <row r="1844">
      <c r="A1844" s="494" t="s">
        <v>3401</v>
      </c>
      <c r="B1844" s="495" t="s">
        <v>3590</v>
      </c>
      <c r="C1844" s="174" t="str">
        <f t="shared" si="284"/>
        <v>Asus</v>
      </c>
      <c r="D1844" s="537" t="s">
        <v>4091</v>
      </c>
      <c r="E1844" s="266">
        <v>275.0</v>
      </c>
      <c r="F1844" s="266">
        <v>131.0</v>
      </c>
      <c r="G1844" s="266">
        <v>54.0</v>
      </c>
      <c r="H1844" s="266">
        <v>2.0</v>
      </c>
      <c r="I1844" s="266">
        <v>1755.0</v>
      </c>
      <c r="J1844" s="266">
        <v>14.0</v>
      </c>
      <c r="K1844" s="266">
        <v>220.0</v>
      </c>
      <c r="L1844" s="266" t="s">
        <v>3460</v>
      </c>
      <c r="M1844" s="266">
        <v>2.0</v>
      </c>
      <c r="N1844" s="266">
        <v>3.0</v>
      </c>
      <c r="O1844" s="266">
        <v>2.0</v>
      </c>
      <c r="P1844" s="266" t="s">
        <v>166</v>
      </c>
      <c r="Q1844" s="266" t="s">
        <v>166</v>
      </c>
      <c r="R1844" s="497" t="s">
        <v>166</v>
      </c>
      <c r="S1844" s="497" t="s">
        <v>166</v>
      </c>
      <c r="T1844" s="494"/>
    </row>
    <row r="1845">
      <c r="A1845" s="494" t="s">
        <v>3401</v>
      </c>
      <c r="B1845" s="495" t="s">
        <v>3590</v>
      </c>
      <c r="C1845" s="174" t="str">
        <f t="shared" si="284"/>
        <v>Asus</v>
      </c>
      <c r="D1845" s="537" t="s">
        <v>4092</v>
      </c>
      <c r="E1845" s="266">
        <v>275.0</v>
      </c>
      <c r="F1845" s="266">
        <v>131.0</v>
      </c>
      <c r="G1845" s="266">
        <v>54.0</v>
      </c>
      <c r="H1845" s="266">
        <v>2.0</v>
      </c>
      <c r="I1845" s="266">
        <v>1845.0</v>
      </c>
      <c r="J1845" s="266">
        <v>14.0</v>
      </c>
      <c r="K1845" s="266">
        <v>240.0</v>
      </c>
      <c r="L1845" s="266" t="s">
        <v>3460</v>
      </c>
      <c r="M1845" s="266">
        <v>2.0</v>
      </c>
      <c r="N1845" s="266">
        <v>3.0</v>
      </c>
      <c r="O1845" s="266">
        <v>2.0</v>
      </c>
      <c r="P1845" s="266" t="s">
        <v>166</v>
      </c>
      <c r="Q1845" s="266" t="s">
        <v>166</v>
      </c>
      <c r="R1845" s="497" t="s">
        <v>166</v>
      </c>
      <c r="S1845" s="497" t="s">
        <v>166</v>
      </c>
      <c r="T1845" s="496"/>
    </row>
    <row r="1846">
      <c r="A1846" s="494" t="s">
        <v>3401</v>
      </c>
      <c r="B1846" s="495" t="s">
        <v>3590</v>
      </c>
      <c r="C1846" s="174" t="str">
        <f t="shared" si="284"/>
        <v>Asus</v>
      </c>
      <c r="D1846" s="537" t="s">
        <v>4093</v>
      </c>
      <c r="E1846" s="266">
        <v>275.0</v>
      </c>
      <c r="F1846" s="266">
        <v>131.0</v>
      </c>
      <c r="G1846" s="266">
        <v>54.0</v>
      </c>
      <c r="H1846" s="266">
        <v>2.0</v>
      </c>
      <c r="I1846" s="266">
        <v>1845.0</v>
      </c>
      <c r="J1846" s="266">
        <v>14.0</v>
      </c>
      <c r="K1846" s="266">
        <v>240.0</v>
      </c>
      <c r="L1846" s="266" t="s">
        <v>3460</v>
      </c>
      <c r="M1846" s="266">
        <v>2.0</v>
      </c>
      <c r="N1846" s="266">
        <v>3.0</v>
      </c>
      <c r="O1846" s="266">
        <v>2.0</v>
      </c>
      <c r="P1846" s="266" t="s">
        <v>166</v>
      </c>
      <c r="Q1846" s="266" t="s">
        <v>166</v>
      </c>
      <c r="R1846" s="497" t="s">
        <v>166</v>
      </c>
      <c r="S1846" s="497" t="s">
        <v>166</v>
      </c>
      <c r="T1846" s="494"/>
    </row>
    <row r="1847">
      <c r="A1847" s="494" t="s">
        <v>3401</v>
      </c>
      <c r="B1847" s="495" t="s">
        <v>3590</v>
      </c>
      <c r="C1847" s="174" t="str">
        <f t="shared" si="284"/>
        <v>Asus</v>
      </c>
      <c r="D1847" s="537" t="s">
        <v>3477</v>
      </c>
      <c r="E1847" s="266">
        <v>301.0</v>
      </c>
      <c r="F1847" s="266">
        <v>143.0</v>
      </c>
      <c r="G1847" s="266">
        <v>54.0</v>
      </c>
      <c r="H1847" s="266">
        <v>2.0</v>
      </c>
      <c r="I1847" s="266">
        <v>1755.0</v>
      </c>
      <c r="J1847" s="266">
        <v>14.0</v>
      </c>
      <c r="K1847" s="266">
        <v>220.0</v>
      </c>
      <c r="L1847" s="266" t="s">
        <v>3460</v>
      </c>
      <c r="M1847" s="266">
        <v>3.0</v>
      </c>
      <c r="N1847" s="266">
        <v>3.0</v>
      </c>
      <c r="O1847" s="266">
        <v>2.0</v>
      </c>
      <c r="P1847" s="266" t="s">
        <v>166</v>
      </c>
      <c r="Q1847" s="266" t="s">
        <v>166</v>
      </c>
      <c r="R1847" s="497" t="s">
        <v>166</v>
      </c>
      <c r="S1847" s="497" t="s">
        <v>166</v>
      </c>
      <c r="T1847" s="496"/>
    </row>
    <row r="1848">
      <c r="A1848" s="494" t="s">
        <v>3401</v>
      </c>
      <c r="B1848" s="495" t="s">
        <v>3590</v>
      </c>
      <c r="C1848" s="174" t="str">
        <f t="shared" si="284"/>
        <v>Asus</v>
      </c>
      <c r="D1848" s="537" t="s">
        <v>3479</v>
      </c>
      <c r="E1848" s="266">
        <v>301.0</v>
      </c>
      <c r="F1848" s="266">
        <v>143.0</v>
      </c>
      <c r="G1848" s="266">
        <v>54.0</v>
      </c>
      <c r="H1848" s="266">
        <v>2.0</v>
      </c>
      <c r="I1848" s="266">
        <v>1755.0</v>
      </c>
      <c r="J1848" s="266">
        <v>14.0</v>
      </c>
      <c r="K1848" s="266">
        <v>220.0</v>
      </c>
      <c r="L1848" s="266" t="s">
        <v>3460</v>
      </c>
      <c r="M1848" s="266">
        <v>3.0</v>
      </c>
      <c r="N1848" s="266">
        <v>3.0</v>
      </c>
      <c r="O1848" s="266">
        <v>2.0</v>
      </c>
      <c r="P1848" s="266" t="s">
        <v>166</v>
      </c>
      <c r="Q1848" s="266" t="s">
        <v>166</v>
      </c>
      <c r="R1848" s="497" t="s">
        <v>166</v>
      </c>
      <c r="S1848" s="497" t="s">
        <v>166</v>
      </c>
      <c r="T1848" s="494"/>
    </row>
    <row r="1849">
      <c r="A1849" s="494" t="s">
        <v>3401</v>
      </c>
      <c r="B1849" s="495" t="s">
        <v>3590</v>
      </c>
      <c r="C1849" s="174" t="str">
        <f t="shared" si="284"/>
        <v>Asus</v>
      </c>
      <c r="D1849" s="537" t="s">
        <v>3478</v>
      </c>
      <c r="E1849" s="266">
        <v>301.0</v>
      </c>
      <c r="F1849" s="266">
        <v>143.0</v>
      </c>
      <c r="G1849" s="266">
        <v>54.0</v>
      </c>
      <c r="H1849" s="266">
        <v>2.0</v>
      </c>
      <c r="I1849" s="266">
        <v>1845.0</v>
      </c>
      <c r="J1849" s="266">
        <v>14.0</v>
      </c>
      <c r="K1849" s="266">
        <v>220.0</v>
      </c>
      <c r="L1849" s="266" t="s">
        <v>3460</v>
      </c>
      <c r="M1849" s="266">
        <v>3.0</v>
      </c>
      <c r="N1849" s="266">
        <v>3.0</v>
      </c>
      <c r="O1849" s="266">
        <v>2.0</v>
      </c>
      <c r="P1849" s="266" t="s">
        <v>166</v>
      </c>
      <c r="Q1849" s="266" t="s">
        <v>166</v>
      </c>
      <c r="R1849" s="497" t="s">
        <v>166</v>
      </c>
      <c r="S1849" s="497" t="s">
        <v>166</v>
      </c>
      <c r="T1849" s="496"/>
    </row>
    <row r="1850">
      <c r="A1850" s="494" t="s">
        <v>3401</v>
      </c>
      <c r="B1850" s="495" t="s">
        <v>3590</v>
      </c>
      <c r="C1850" s="174" t="str">
        <f t="shared" si="284"/>
        <v>Asus</v>
      </c>
      <c r="D1850" s="537" t="s">
        <v>4094</v>
      </c>
      <c r="E1850" s="266">
        <v>301.0</v>
      </c>
      <c r="F1850" s="266">
        <v>143.0</v>
      </c>
      <c r="G1850" s="266">
        <v>54.0</v>
      </c>
      <c r="H1850" s="266">
        <v>2.0</v>
      </c>
      <c r="I1850" s="266">
        <v>1845.0</v>
      </c>
      <c r="J1850" s="266">
        <v>14.0</v>
      </c>
      <c r="K1850" s="266">
        <v>220.0</v>
      </c>
      <c r="L1850" s="266" t="s">
        <v>3460</v>
      </c>
      <c r="M1850" s="266">
        <v>3.0</v>
      </c>
      <c r="N1850" s="266">
        <v>3.0</v>
      </c>
      <c r="O1850" s="266">
        <v>2.0</v>
      </c>
      <c r="P1850" s="266" t="s">
        <v>166</v>
      </c>
      <c r="Q1850" s="266" t="s">
        <v>166</v>
      </c>
      <c r="R1850" s="497" t="s">
        <v>166</v>
      </c>
      <c r="S1850" s="497" t="s">
        <v>166</v>
      </c>
      <c r="T1850" s="494"/>
    </row>
    <row r="1851">
      <c r="A1851" s="494" t="s">
        <v>3401</v>
      </c>
      <c r="B1851" s="495" t="s">
        <v>3590</v>
      </c>
      <c r="C1851" s="174" t="str">
        <f t="shared" si="284"/>
        <v>Asus</v>
      </c>
      <c r="D1851" s="537" t="s">
        <v>4267</v>
      </c>
      <c r="E1851" s="266">
        <v>310.0</v>
      </c>
      <c r="F1851" s="266">
        <v>147.0</v>
      </c>
      <c r="G1851" s="266">
        <v>87.5</v>
      </c>
      <c r="H1851" s="266">
        <v>2.0</v>
      </c>
      <c r="I1851" s="266">
        <v>1755.0</v>
      </c>
      <c r="J1851" s="266">
        <v>14.0</v>
      </c>
      <c r="K1851" s="266">
        <v>220.0</v>
      </c>
      <c r="L1851" s="266" t="s">
        <v>3460</v>
      </c>
      <c r="M1851" s="266">
        <v>2.0</v>
      </c>
      <c r="N1851" s="266">
        <v>3.0</v>
      </c>
      <c r="O1851" s="266">
        <v>2.0</v>
      </c>
      <c r="P1851" s="266" t="s">
        <v>166</v>
      </c>
      <c r="Q1851" s="266" t="s">
        <v>166</v>
      </c>
      <c r="R1851" s="497" t="s">
        <v>166</v>
      </c>
      <c r="S1851" s="497" t="s">
        <v>166</v>
      </c>
      <c r="T1851" s="494"/>
    </row>
    <row r="1852">
      <c r="A1852" s="494" t="s">
        <v>3401</v>
      </c>
      <c r="B1852" s="495" t="s">
        <v>3590</v>
      </c>
      <c r="C1852" s="174" t="str">
        <f t="shared" si="284"/>
        <v>Asus</v>
      </c>
      <c r="D1852" s="537" t="s">
        <v>4268</v>
      </c>
      <c r="E1852" s="266">
        <v>310.0</v>
      </c>
      <c r="F1852" s="266">
        <v>147.0</v>
      </c>
      <c r="G1852" s="266">
        <v>87.5</v>
      </c>
      <c r="H1852" s="266">
        <v>2.0</v>
      </c>
      <c r="I1852" s="266">
        <v>1845.0</v>
      </c>
      <c r="J1852" s="266">
        <v>14.0</v>
      </c>
      <c r="K1852" s="266">
        <v>240.0</v>
      </c>
      <c r="L1852" s="266" t="s">
        <v>3460</v>
      </c>
      <c r="M1852" s="266">
        <v>2.0</v>
      </c>
      <c r="N1852" s="266">
        <v>3.0</v>
      </c>
      <c r="O1852" s="266">
        <v>2.0</v>
      </c>
      <c r="P1852" s="266" t="s">
        <v>166</v>
      </c>
      <c r="Q1852" s="266" t="s">
        <v>166</v>
      </c>
      <c r="R1852" s="497" t="s">
        <v>166</v>
      </c>
      <c r="S1852" s="497" t="s">
        <v>166</v>
      </c>
      <c r="T1852" s="494"/>
    </row>
    <row r="1853">
      <c r="A1853" s="494" t="s">
        <v>3401</v>
      </c>
      <c r="B1853" s="495" t="s">
        <v>3590</v>
      </c>
      <c r="C1853" s="174" t="str">
        <f t="shared" si="284"/>
        <v>Asus</v>
      </c>
      <c r="D1853" s="537" t="s">
        <v>3631</v>
      </c>
      <c r="E1853" s="266">
        <v>318.5</v>
      </c>
      <c r="F1853" s="266">
        <v>140.1</v>
      </c>
      <c r="G1853" s="266">
        <v>57.8</v>
      </c>
      <c r="H1853" s="266">
        <v>2.0</v>
      </c>
      <c r="I1853" s="266">
        <v>1755.0</v>
      </c>
      <c r="J1853" s="266">
        <v>14.0</v>
      </c>
      <c r="K1853" s="266">
        <v>220.0</v>
      </c>
      <c r="L1853" s="266" t="s">
        <v>3460</v>
      </c>
      <c r="M1853" s="266">
        <v>3.0</v>
      </c>
      <c r="N1853" s="266">
        <v>3.0</v>
      </c>
      <c r="O1853" s="266">
        <v>2.0</v>
      </c>
      <c r="P1853" s="266" t="s">
        <v>166</v>
      </c>
      <c r="Q1853" s="266" t="s">
        <v>166</v>
      </c>
      <c r="R1853" s="497" t="s">
        <v>166</v>
      </c>
      <c r="S1853" s="497" t="s">
        <v>166</v>
      </c>
      <c r="T1853" s="496"/>
    </row>
    <row r="1854">
      <c r="A1854" s="494" t="s">
        <v>3401</v>
      </c>
      <c r="B1854" s="495" t="s">
        <v>3590</v>
      </c>
      <c r="C1854" s="174" t="str">
        <f t="shared" si="284"/>
        <v>Asus</v>
      </c>
      <c r="D1854" s="537" t="s">
        <v>4095</v>
      </c>
      <c r="E1854" s="266">
        <v>318.5</v>
      </c>
      <c r="F1854" s="266">
        <v>140.1</v>
      </c>
      <c r="G1854" s="266">
        <v>57.8</v>
      </c>
      <c r="H1854" s="266">
        <v>2.0</v>
      </c>
      <c r="I1854" s="266">
        <v>1755.0</v>
      </c>
      <c r="J1854" s="266">
        <v>14.0</v>
      </c>
      <c r="K1854" s="266">
        <v>220.0</v>
      </c>
      <c r="L1854" s="266" t="s">
        <v>3460</v>
      </c>
      <c r="M1854" s="266">
        <v>3.0</v>
      </c>
      <c r="N1854" s="266">
        <v>3.0</v>
      </c>
      <c r="O1854" s="266">
        <v>2.0</v>
      </c>
      <c r="P1854" s="266" t="s">
        <v>166</v>
      </c>
      <c r="Q1854" s="266" t="s">
        <v>166</v>
      </c>
      <c r="R1854" s="497" t="s">
        <v>166</v>
      </c>
      <c r="S1854" s="497" t="s">
        <v>166</v>
      </c>
      <c r="T1854" s="494"/>
    </row>
    <row r="1855">
      <c r="A1855" s="494" t="s">
        <v>3401</v>
      </c>
      <c r="B1855" s="495" t="s">
        <v>3590</v>
      </c>
      <c r="C1855" s="174" t="str">
        <f t="shared" si="284"/>
        <v>Asus</v>
      </c>
      <c r="D1855" s="537" t="s">
        <v>3643</v>
      </c>
      <c r="E1855" s="266">
        <v>318.5</v>
      </c>
      <c r="F1855" s="266">
        <v>140.1</v>
      </c>
      <c r="G1855" s="266">
        <v>57.8</v>
      </c>
      <c r="H1855" s="266">
        <v>2.0</v>
      </c>
      <c r="I1855" s="266">
        <v>1935.0</v>
      </c>
      <c r="J1855" s="266">
        <v>14.0</v>
      </c>
      <c r="K1855" s="266">
        <v>280.0</v>
      </c>
      <c r="L1855" s="266" t="s">
        <v>3460</v>
      </c>
      <c r="M1855" s="266">
        <v>3.0</v>
      </c>
      <c r="N1855" s="266">
        <v>3.0</v>
      </c>
      <c r="O1855" s="266">
        <v>2.0</v>
      </c>
      <c r="P1855" s="266" t="s">
        <v>166</v>
      </c>
      <c r="Q1855" s="266" t="s">
        <v>166</v>
      </c>
      <c r="R1855" s="497" t="s">
        <v>166</v>
      </c>
      <c r="S1855" s="497" t="s">
        <v>166</v>
      </c>
      <c r="T1855" s="496"/>
    </row>
    <row r="1856">
      <c r="A1856" s="494" t="s">
        <v>3401</v>
      </c>
      <c r="B1856" s="495" t="s">
        <v>3590</v>
      </c>
      <c r="C1856" s="174" t="str">
        <f t="shared" si="284"/>
        <v>Asus</v>
      </c>
      <c r="D1856" s="537" t="s">
        <v>4165</v>
      </c>
      <c r="E1856" s="266">
        <v>318.5</v>
      </c>
      <c r="F1856" s="266">
        <v>140.1</v>
      </c>
      <c r="G1856" s="266">
        <v>57.8</v>
      </c>
      <c r="H1856" s="266">
        <v>2.0</v>
      </c>
      <c r="I1856" s="266">
        <v>1935.0</v>
      </c>
      <c r="J1856" s="266">
        <v>14.0</v>
      </c>
      <c r="K1856" s="266">
        <v>280.0</v>
      </c>
      <c r="L1856" s="266" t="s">
        <v>3460</v>
      </c>
      <c r="M1856" s="266">
        <v>3.0</v>
      </c>
      <c r="N1856" s="266">
        <v>3.0</v>
      </c>
      <c r="O1856" s="266">
        <v>2.0</v>
      </c>
      <c r="P1856" s="266" t="s">
        <v>166</v>
      </c>
      <c r="Q1856" s="266" t="s">
        <v>166</v>
      </c>
      <c r="R1856" s="497" t="s">
        <v>166</v>
      </c>
      <c r="S1856" s="497" t="s">
        <v>166</v>
      </c>
      <c r="T1856" s="494"/>
    </row>
    <row r="1857">
      <c r="A1857" s="494" t="s">
        <v>3401</v>
      </c>
      <c r="B1857" s="495" t="s">
        <v>3590</v>
      </c>
      <c r="C1857" s="174" t="str">
        <f t="shared" si="284"/>
        <v>Asus</v>
      </c>
      <c r="D1857" s="537" t="s">
        <v>4269</v>
      </c>
      <c r="E1857" s="266">
        <v>318.5</v>
      </c>
      <c r="F1857" s="266">
        <v>140.1</v>
      </c>
      <c r="G1857" s="266">
        <v>57.8</v>
      </c>
      <c r="H1857" s="266">
        <v>2.0</v>
      </c>
      <c r="I1857" s="266">
        <v>1755.0</v>
      </c>
      <c r="J1857" s="266">
        <v>14.0</v>
      </c>
      <c r="K1857" s="266">
        <v>220.0</v>
      </c>
      <c r="L1857" s="266" t="s">
        <v>3460</v>
      </c>
      <c r="M1857" s="266">
        <v>3.0</v>
      </c>
      <c r="N1857" s="266">
        <v>3.0</v>
      </c>
      <c r="O1857" s="266">
        <v>2.0</v>
      </c>
      <c r="P1857" s="266" t="s">
        <v>166</v>
      </c>
      <c r="Q1857" s="266" t="s">
        <v>166</v>
      </c>
      <c r="R1857" s="497" t="s">
        <v>166</v>
      </c>
      <c r="S1857" s="497" t="s">
        <v>166</v>
      </c>
      <c r="T1857" s="496"/>
    </row>
    <row r="1858">
      <c r="A1858" s="494" t="s">
        <v>3401</v>
      </c>
      <c r="B1858" s="495" t="s">
        <v>3590</v>
      </c>
      <c r="C1858" s="174" t="str">
        <f t="shared" si="284"/>
        <v>Asus</v>
      </c>
      <c r="D1858" s="537" t="s">
        <v>4270</v>
      </c>
      <c r="E1858" s="266">
        <v>318.5</v>
      </c>
      <c r="F1858" s="266">
        <v>140.1</v>
      </c>
      <c r="G1858" s="266">
        <v>57.8</v>
      </c>
      <c r="H1858" s="266">
        <v>2.0</v>
      </c>
      <c r="I1858" s="266">
        <v>1755.0</v>
      </c>
      <c r="J1858" s="266">
        <v>14.0</v>
      </c>
      <c r="K1858" s="266">
        <v>220.0</v>
      </c>
      <c r="L1858" s="266" t="s">
        <v>3460</v>
      </c>
      <c r="M1858" s="266">
        <v>3.0</v>
      </c>
      <c r="N1858" s="266">
        <v>3.0</v>
      </c>
      <c r="O1858" s="266">
        <v>2.0</v>
      </c>
      <c r="P1858" s="266" t="s">
        <v>166</v>
      </c>
      <c r="Q1858" s="266" t="s">
        <v>166</v>
      </c>
      <c r="R1858" s="497" t="s">
        <v>166</v>
      </c>
      <c r="S1858" s="497" t="s">
        <v>166</v>
      </c>
      <c r="T1858" s="494"/>
    </row>
    <row r="1859">
      <c r="A1859" s="494" t="s">
        <v>3401</v>
      </c>
      <c r="B1859" s="495" t="s">
        <v>3590</v>
      </c>
      <c r="C1859" s="174" t="str">
        <f t="shared" si="284"/>
        <v>Asus</v>
      </c>
      <c r="D1859" s="537" t="s">
        <v>4042</v>
      </c>
      <c r="E1859" s="266">
        <v>318.5</v>
      </c>
      <c r="F1859" s="266">
        <v>140.1</v>
      </c>
      <c r="G1859" s="266">
        <v>57.8</v>
      </c>
      <c r="H1859" s="266">
        <v>2.0</v>
      </c>
      <c r="I1859" s="266">
        <v>1935.0</v>
      </c>
      <c r="J1859" s="266">
        <v>14.0</v>
      </c>
      <c r="K1859" s="266">
        <v>280.0</v>
      </c>
      <c r="L1859" s="266" t="s">
        <v>3460</v>
      </c>
      <c r="M1859" s="266">
        <v>3.0</v>
      </c>
      <c r="N1859" s="266">
        <v>3.0</v>
      </c>
      <c r="O1859" s="266">
        <v>2.0</v>
      </c>
      <c r="P1859" s="266" t="s">
        <v>166</v>
      </c>
      <c r="Q1859" s="266" t="s">
        <v>166</v>
      </c>
      <c r="R1859" s="497" t="s">
        <v>166</v>
      </c>
      <c r="S1859" s="497" t="s">
        <v>166</v>
      </c>
      <c r="T1859" s="496"/>
    </row>
    <row r="1860">
      <c r="A1860" s="494" t="s">
        <v>3401</v>
      </c>
      <c r="B1860" s="495" t="s">
        <v>3590</v>
      </c>
      <c r="C1860" s="174" t="str">
        <f t="shared" si="284"/>
        <v>Asus</v>
      </c>
      <c r="D1860" s="537" t="s">
        <v>4271</v>
      </c>
      <c r="E1860" s="266">
        <v>318.5</v>
      </c>
      <c r="F1860" s="266">
        <v>140.1</v>
      </c>
      <c r="G1860" s="266">
        <v>57.8</v>
      </c>
      <c r="H1860" s="266">
        <v>2.0</v>
      </c>
      <c r="I1860" s="266">
        <v>1935.0</v>
      </c>
      <c r="J1860" s="266">
        <v>14.0</v>
      </c>
      <c r="K1860" s="266">
        <v>280.0</v>
      </c>
      <c r="L1860" s="266" t="s">
        <v>3460</v>
      </c>
      <c r="M1860" s="266">
        <v>3.0</v>
      </c>
      <c r="N1860" s="266">
        <v>3.0</v>
      </c>
      <c r="O1860" s="266">
        <v>2.0</v>
      </c>
      <c r="P1860" s="266" t="s">
        <v>166</v>
      </c>
      <c r="Q1860" s="266" t="s">
        <v>166</v>
      </c>
      <c r="R1860" s="497" t="s">
        <v>166</v>
      </c>
      <c r="S1860" s="497" t="s">
        <v>166</v>
      </c>
      <c r="T1860" s="494"/>
    </row>
    <row r="1861">
      <c r="A1861" s="494" t="s">
        <v>3401</v>
      </c>
      <c r="B1861" s="495" t="s">
        <v>3590</v>
      </c>
      <c r="C1861" s="452" t="s">
        <v>3575</v>
      </c>
      <c r="D1861" s="537" t="s">
        <v>3870</v>
      </c>
      <c r="E1861" s="266">
        <f t="shared" ref="E1861:E1862" si="285">310-12</f>
        <v>298</v>
      </c>
      <c r="F1861" s="266">
        <f t="shared" ref="F1861:F1862" si="286">131-15</f>
        <v>116</v>
      </c>
      <c r="G1861" s="266">
        <v>57.0</v>
      </c>
      <c r="H1861" s="266">
        <v>2.0</v>
      </c>
      <c r="I1861" s="266">
        <v>1725.0</v>
      </c>
      <c r="J1861" s="266">
        <v>14.0</v>
      </c>
      <c r="K1861" s="266">
        <v>220.0</v>
      </c>
      <c r="L1861" s="266" t="s">
        <v>3460</v>
      </c>
      <c r="M1861" s="266">
        <v>3.0</v>
      </c>
      <c r="N1861" s="266">
        <v>3.0</v>
      </c>
      <c r="O1861" s="266">
        <v>1.0</v>
      </c>
      <c r="P1861" s="266" t="s">
        <v>166</v>
      </c>
      <c r="Q1861" s="266" t="s">
        <v>166</v>
      </c>
      <c r="R1861" s="497" t="s">
        <v>166</v>
      </c>
      <c r="S1861" s="497" t="s">
        <v>166</v>
      </c>
      <c r="T1861" s="496"/>
    </row>
    <row r="1862">
      <c r="A1862" s="494" t="s">
        <v>3401</v>
      </c>
      <c r="B1862" s="495" t="s">
        <v>3590</v>
      </c>
      <c r="C1862" s="452" t="s">
        <v>3575</v>
      </c>
      <c r="D1862" s="537" t="s">
        <v>4168</v>
      </c>
      <c r="E1862" s="266">
        <f t="shared" si="285"/>
        <v>298</v>
      </c>
      <c r="F1862" s="266">
        <f t="shared" si="286"/>
        <v>116</v>
      </c>
      <c r="G1862" s="266">
        <v>57.0</v>
      </c>
      <c r="H1862" s="266">
        <v>2.0</v>
      </c>
      <c r="I1862" s="266">
        <v>1725.0</v>
      </c>
      <c r="J1862" s="266">
        <v>14.0</v>
      </c>
      <c r="K1862" s="266">
        <v>220.0</v>
      </c>
      <c r="L1862" s="266" t="s">
        <v>3460</v>
      </c>
      <c r="M1862" s="266">
        <v>3.0</v>
      </c>
      <c r="N1862" s="266">
        <v>3.0</v>
      </c>
      <c r="O1862" s="266">
        <v>1.0</v>
      </c>
      <c r="P1862" s="266" t="s">
        <v>166</v>
      </c>
      <c r="Q1862" s="266" t="s">
        <v>166</v>
      </c>
      <c r="R1862" s="497" t="s">
        <v>166</v>
      </c>
      <c r="S1862" s="497" t="s">
        <v>166</v>
      </c>
      <c r="T1862" s="494"/>
    </row>
    <row r="1863">
      <c r="A1863" s="494" t="s">
        <v>3401</v>
      </c>
      <c r="B1863" s="495" t="s">
        <v>3590</v>
      </c>
      <c r="C1863" s="452" t="s">
        <v>3575</v>
      </c>
      <c r="D1863" s="537" t="s">
        <v>4169</v>
      </c>
      <c r="E1863" s="266">
        <f>300-12</f>
        <v>288</v>
      </c>
      <c r="F1863" s="266">
        <f>134-15</f>
        <v>119</v>
      </c>
      <c r="G1863" s="266">
        <v>45.0</v>
      </c>
      <c r="H1863" s="266">
        <v>2.0</v>
      </c>
      <c r="I1863" s="266">
        <v>1785.0</v>
      </c>
      <c r="J1863" s="266">
        <v>14.0</v>
      </c>
      <c r="K1863" s="266">
        <v>240.0</v>
      </c>
      <c r="L1863" s="266">
        <v>12.0</v>
      </c>
      <c r="M1863" s="266">
        <v>2.0</v>
      </c>
      <c r="N1863" s="266">
        <v>3.0</v>
      </c>
      <c r="O1863" s="266">
        <v>1.0</v>
      </c>
      <c r="P1863" s="266" t="s">
        <v>166</v>
      </c>
      <c r="Q1863" s="266" t="s">
        <v>166</v>
      </c>
      <c r="R1863" s="497" t="s">
        <v>166</v>
      </c>
      <c r="S1863" s="497" t="s">
        <v>166</v>
      </c>
      <c r="T1863" s="494"/>
    </row>
    <row r="1864">
      <c r="A1864" s="494" t="s">
        <v>3401</v>
      </c>
      <c r="B1864" s="495" t="s">
        <v>3590</v>
      </c>
      <c r="C1864" s="452" t="s">
        <v>3575</v>
      </c>
      <c r="D1864" s="537" t="s">
        <v>3873</v>
      </c>
      <c r="E1864" s="266">
        <f t="shared" ref="E1864:E1868" si="287">310-12</f>
        <v>298</v>
      </c>
      <c r="F1864" s="507">
        <f t="shared" ref="F1864:F1868" si="288">131.5-15</f>
        <v>116.5</v>
      </c>
      <c r="G1864" s="266">
        <v>56.0</v>
      </c>
      <c r="H1864" s="266">
        <v>2.0</v>
      </c>
      <c r="I1864" s="266">
        <v>1725.0</v>
      </c>
      <c r="J1864" s="266">
        <v>14.0</v>
      </c>
      <c r="K1864" s="266">
        <v>220.0</v>
      </c>
      <c r="L1864" s="266" t="s">
        <v>3460</v>
      </c>
      <c r="M1864" s="266">
        <v>3.0</v>
      </c>
      <c r="N1864" s="266">
        <v>3.0</v>
      </c>
      <c r="O1864" s="266">
        <v>1.0</v>
      </c>
      <c r="P1864" s="266" t="s">
        <v>166</v>
      </c>
      <c r="Q1864" s="266" t="s">
        <v>166</v>
      </c>
      <c r="R1864" s="497" t="s">
        <v>166</v>
      </c>
      <c r="S1864" s="497" t="s">
        <v>166</v>
      </c>
      <c r="T1864" s="496"/>
    </row>
    <row r="1865">
      <c r="A1865" s="494" t="s">
        <v>3401</v>
      </c>
      <c r="B1865" s="495" t="s">
        <v>3590</v>
      </c>
      <c r="C1865" s="452" t="s">
        <v>3575</v>
      </c>
      <c r="D1865" s="537" t="s">
        <v>3878</v>
      </c>
      <c r="E1865" s="266">
        <f t="shared" si="287"/>
        <v>298</v>
      </c>
      <c r="F1865" s="266">
        <f t="shared" si="288"/>
        <v>116.5</v>
      </c>
      <c r="G1865" s="266">
        <v>56.0</v>
      </c>
      <c r="H1865" s="266">
        <v>2.0</v>
      </c>
      <c r="I1865" s="266">
        <v>1770.0</v>
      </c>
      <c r="J1865" s="266">
        <v>14.0</v>
      </c>
      <c r="K1865" s="266">
        <v>240.0</v>
      </c>
      <c r="L1865" s="266" t="s">
        <v>3460</v>
      </c>
      <c r="M1865" s="266">
        <v>3.0</v>
      </c>
      <c r="N1865" s="266">
        <v>3.0</v>
      </c>
      <c r="O1865" s="266">
        <v>1.0</v>
      </c>
      <c r="P1865" s="266" t="s">
        <v>166</v>
      </c>
      <c r="Q1865" s="266" t="s">
        <v>166</v>
      </c>
      <c r="R1865" s="497" t="s">
        <v>166</v>
      </c>
      <c r="S1865" s="497" t="s">
        <v>166</v>
      </c>
      <c r="T1865" s="496"/>
    </row>
    <row r="1866">
      <c r="A1866" s="494" t="s">
        <v>3401</v>
      </c>
      <c r="B1866" s="495" t="s">
        <v>3590</v>
      </c>
      <c r="C1866" s="452" t="s">
        <v>3575</v>
      </c>
      <c r="D1866" s="537" t="s">
        <v>4103</v>
      </c>
      <c r="E1866" s="266">
        <f t="shared" si="287"/>
        <v>298</v>
      </c>
      <c r="F1866" s="266">
        <f t="shared" si="288"/>
        <v>116.5</v>
      </c>
      <c r="G1866" s="266">
        <v>56.0</v>
      </c>
      <c r="H1866" s="266">
        <v>2.0</v>
      </c>
      <c r="I1866" s="266">
        <v>1725.0</v>
      </c>
      <c r="J1866" s="266">
        <v>14.0</v>
      </c>
      <c r="K1866" s="266">
        <v>220.0</v>
      </c>
      <c r="L1866" s="266" t="s">
        <v>3460</v>
      </c>
      <c r="M1866" s="266">
        <v>3.0</v>
      </c>
      <c r="N1866" s="266">
        <v>3.0</v>
      </c>
      <c r="O1866" s="266">
        <v>1.0</v>
      </c>
      <c r="P1866" s="266" t="s">
        <v>166</v>
      </c>
      <c r="Q1866" s="266" t="s">
        <v>166</v>
      </c>
      <c r="R1866" s="497" t="s">
        <v>166</v>
      </c>
      <c r="S1866" s="497" t="s">
        <v>166</v>
      </c>
      <c r="T1866" s="496"/>
    </row>
    <row r="1867">
      <c r="A1867" s="494" t="s">
        <v>3401</v>
      </c>
      <c r="B1867" s="495" t="s">
        <v>3590</v>
      </c>
      <c r="C1867" s="452" t="s">
        <v>3575</v>
      </c>
      <c r="D1867" s="537" t="s">
        <v>4087</v>
      </c>
      <c r="E1867" s="266">
        <f t="shared" si="287"/>
        <v>298</v>
      </c>
      <c r="F1867" s="266">
        <f t="shared" si="288"/>
        <v>116.5</v>
      </c>
      <c r="G1867" s="266">
        <v>56.0</v>
      </c>
      <c r="H1867" s="266">
        <v>2.0</v>
      </c>
      <c r="I1867" s="266">
        <v>1770.0</v>
      </c>
      <c r="J1867" s="266">
        <v>14.0</v>
      </c>
      <c r="K1867" s="266">
        <v>240.0</v>
      </c>
      <c r="L1867" s="266" t="s">
        <v>3460</v>
      </c>
      <c r="M1867" s="266">
        <v>3.0</v>
      </c>
      <c r="N1867" s="266">
        <v>3.0</v>
      </c>
      <c r="O1867" s="266">
        <v>1.0</v>
      </c>
      <c r="P1867" s="266" t="s">
        <v>166</v>
      </c>
      <c r="Q1867" s="266" t="s">
        <v>166</v>
      </c>
      <c r="R1867" s="497" t="s">
        <v>166</v>
      </c>
      <c r="S1867" s="497" t="s">
        <v>166</v>
      </c>
      <c r="T1867" s="496"/>
    </row>
    <row r="1868">
      <c r="A1868" s="494" t="s">
        <v>3401</v>
      </c>
      <c r="B1868" s="495" t="s">
        <v>3590</v>
      </c>
      <c r="C1868" s="452" t="s">
        <v>3575</v>
      </c>
      <c r="D1868" s="537" t="s">
        <v>4171</v>
      </c>
      <c r="E1868" s="266">
        <f t="shared" si="287"/>
        <v>298</v>
      </c>
      <c r="F1868" s="266">
        <f t="shared" si="288"/>
        <v>116.5</v>
      </c>
      <c r="G1868" s="266">
        <v>56.0</v>
      </c>
      <c r="H1868" s="266">
        <v>2.0</v>
      </c>
      <c r="I1868" s="266">
        <v>1770.0</v>
      </c>
      <c r="J1868" s="266">
        <v>14.0</v>
      </c>
      <c r="K1868" s="266">
        <v>240.0</v>
      </c>
      <c r="L1868" s="266" t="s">
        <v>3460</v>
      </c>
      <c r="M1868" s="266">
        <v>3.0</v>
      </c>
      <c r="N1868" s="266">
        <v>3.0</v>
      </c>
      <c r="O1868" s="266">
        <v>1.0</v>
      </c>
      <c r="P1868" s="266" t="s">
        <v>166</v>
      </c>
      <c r="Q1868" s="266" t="s">
        <v>166</v>
      </c>
      <c r="R1868" s="497" t="s">
        <v>166</v>
      </c>
      <c r="S1868" s="497" t="s">
        <v>166</v>
      </c>
      <c r="T1868" s="494"/>
    </row>
    <row r="1869">
      <c r="A1869" s="494" t="s">
        <v>3401</v>
      </c>
      <c r="B1869" s="495" t="s">
        <v>3590</v>
      </c>
      <c r="C1869" s="452" t="s">
        <v>3575</v>
      </c>
      <c r="D1869" s="537" t="s">
        <v>4027</v>
      </c>
      <c r="E1869" s="266">
        <f t="shared" ref="E1869:E1870" si="289">315.5-12</f>
        <v>303.5</v>
      </c>
      <c r="F1869" s="266">
        <f t="shared" ref="F1869:F1870" si="290">131-15</f>
        <v>116</v>
      </c>
      <c r="G1869" s="266">
        <v>53.0</v>
      </c>
      <c r="H1869" s="266">
        <v>2.0</v>
      </c>
      <c r="I1869" s="266">
        <v>1725.0</v>
      </c>
      <c r="J1869" s="266">
        <v>14.0</v>
      </c>
      <c r="K1869" s="266">
        <v>220.0</v>
      </c>
      <c r="L1869" s="266" t="s">
        <v>3460</v>
      </c>
      <c r="M1869" s="266">
        <v>3.0</v>
      </c>
      <c r="N1869" s="266">
        <v>3.0</v>
      </c>
      <c r="O1869" s="266">
        <v>1.0</v>
      </c>
      <c r="P1869" s="266" t="s">
        <v>166</v>
      </c>
      <c r="Q1869" s="266" t="s">
        <v>166</v>
      </c>
      <c r="R1869" s="497" t="s">
        <v>166</v>
      </c>
      <c r="S1869" s="497" t="s">
        <v>166</v>
      </c>
      <c r="T1869" s="496"/>
    </row>
    <row r="1870">
      <c r="A1870" s="494" t="s">
        <v>3401</v>
      </c>
      <c r="B1870" s="495" t="s">
        <v>3590</v>
      </c>
      <c r="C1870" s="452" t="s">
        <v>3575</v>
      </c>
      <c r="D1870" s="537" t="s">
        <v>3889</v>
      </c>
      <c r="E1870" s="266">
        <f t="shared" si="289"/>
        <v>303.5</v>
      </c>
      <c r="F1870" s="266">
        <f t="shared" si="290"/>
        <v>116</v>
      </c>
      <c r="G1870" s="266">
        <v>53.0</v>
      </c>
      <c r="H1870" s="266">
        <v>2.0</v>
      </c>
      <c r="I1870" s="266">
        <v>1815.0</v>
      </c>
      <c r="J1870" s="266">
        <v>14.0</v>
      </c>
      <c r="K1870" s="266">
        <v>270.0</v>
      </c>
      <c r="L1870" s="266" t="s">
        <v>3460</v>
      </c>
      <c r="M1870" s="266">
        <v>3.0</v>
      </c>
      <c r="N1870" s="266">
        <v>3.0</v>
      </c>
      <c r="O1870" s="266">
        <v>1.0</v>
      </c>
      <c r="P1870" s="266" t="s">
        <v>166</v>
      </c>
      <c r="Q1870" s="266" t="s">
        <v>166</v>
      </c>
      <c r="R1870" s="497" t="s">
        <v>166</v>
      </c>
      <c r="S1870" s="497" t="s">
        <v>166</v>
      </c>
      <c r="T1870" s="496"/>
    </row>
    <row r="1871">
      <c r="A1871" s="494" t="s">
        <v>3401</v>
      </c>
      <c r="B1871" s="495" t="s">
        <v>3590</v>
      </c>
      <c r="C1871" s="452" t="s">
        <v>3575</v>
      </c>
      <c r="D1871" s="537" t="s">
        <v>4173</v>
      </c>
      <c r="E1871" s="266">
        <f t="shared" ref="E1871:E1872" si="291">323-12</f>
        <v>311</v>
      </c>
      <c r="F1871" s="266">
        <f t="shared" ref="F1871:F1872" si="292">158-15</f>
        <v>143</v>
      </c>
      <c r="G1871" s="266">
        <v>60.0</v>
      </c>
      <c r="H1871" s="266">
        <v>2.0</v>
      </c>
      <c r="I1871" s="266">
        <v>1725.0</v>
      </c>
      <c r="J1871" s="266">
        <v>14.0</v>
      </c>
      <c r="K1871" s="266">
        <v>240.0</v>
      </c>
      <c r="L1871" s="266" t="s">
        <v>3734</v>
      </c>
      <c r="M1871" s="266">
        <v>3.0</v>
      </c>
      <c r="N1871" s="266">
        <v>3.0</v>
      </c>
      <c r="O1871" s="266">
        <v>1.0</v>
      </c>
      <c r="P1871" s="266" t="s">
        <v>166</v>
      </c>
      <c r="Q1871" s="266" t="s">
        <v>166</v>
      </c>
      <c r="R1871" s="497" t="s">
        <v>166</v>
      </c>
      <c r="S1871" s="497" t="s">
        <v>166</v>
      </c>
      <c r="T1871" s="496"/>
    </row>
    <row r="1872">
      <c r="A1872" s="494" t="s">
        <v>3401</v>
      </c>
      <c r="B1872" s="495" t="s">
        <v>3590</v>
      </c>
      <c r="C1872" s="452" t="s">
        <v>3575</v>
      </c>
      <c r="D1872" s="537" t="s">
        <v>3943</v>
      </c>
      <c r="E1872" s="266">
        <f t="shared" si="291"/>
        <v>311</v>
      </c>
      <c r="F1872" s="266">
        <f t="shared" si="292"/>
        <v>143</v>
      </c>
      <c r="G1872" s="266">
        <v>60.0</v>
      </c>
      <c r="H1872" s="266">
        <v>2.0</v>
      </c>
      <c r="I1872" s="266">
        <v>1875.0</v>
      </c>
      <c r="J1872" s="266">
        <v>14.0</v>
      </c>
      <c r="K1872" s="266">
        <v>270.0</v>
      </c>
      <c r="L1872" s="266" t="s">
        <v>3734</v>
      </c>
      <c r="M1872" s="266">
        <v>3.0</v>
      </c>
      <c r="N1872" s="266">
        <v>3.0</v>
      </c>
      <c r="O1872" s="266">
        <v>1.0</v>
      </c>
      <c r="P1872" s="266" t="s">
        <v>166</v>
      </c>
      <c r="Q1872" s="266" t="s">
        <v>166</v>
      </c>
      <c r="R1872" s="497" t="s">
        <v>166</v>
      </c>
      <c r="S1872" s="497" t="s">
        <v>166</v>
      </c>
      <c r="T1872" s="496"/>
    </row>
    <row r="1873">
      <c r="A1873" s="494" t="s">
        <v>3401</v>
      </c>
      <c r="B1873" s="495" t="s">
        <v>3590</v>
      </c>
      <c r="C1873" s="452" t="s">
        <v>3575</v>
      </c>
      <c r="D1873" s="537" t="s">
        <v>3970</v>
      </c>
      <c r="E1873" s="266">
        <f>295-12</f>
        <v>283</v>
      </c>
      <c r="F1873" s="266">
        <f>150-15</f>
        <v>135</v>
      </c>
      <c r="G1873" s="266">
        <v>42.0</v>
      </c>
      <c r="H1873" s="266">
        <v>2.0</v>
      </c>
      <c r="I1873" s="266">
        <v>1845.0</v>
      </c>
      <c r="J1873" s="266">
        <v>14.0</v>
      </c>
      <c r="K1873" s="266">
        <v>270.0</v>
      </c>
      <c r="L1873" s="266" t="s">
        <v>3734</v>
      </c>
      <c r="M1873" s="266" t="s">
        <v>166</v>
      </c>
      <c r="N1873" s="266">
        <v>3.0</v>
      </c>
      <c r="O1873" s="266">
        <v>1.0</v>
      </c>
      <c r="P1873" s="266" t="s">
        <v>166</v>
      </c>
      <c r="Q1873" s="266" t="s">
        <v>166</v>
      </c>
      <c r="R1873" s="266" t="s">
        <v>174</v>
      </c>
      <c r="S1873" s="497" t="s">
        <v>166</v>
      </c>
      <c r="T1873" s="494"/>
    </row>
    <row r="1874">
      <c r="A1874" s="494" t="s">
        <v>3401</v>
      </c>
      <c r="B1874" s="495" t="s">
        <v>3590</v>
      </c>
      <c r="C1874" s="174" t="s">
        <v>3405</v>
      </c>
      <c r="D1874" s="537" t="s">
        <v>3481</v>
      </c>
      <c r="E1874" s="266">
        <v>245.0</v>
      </c>
      <c r="F1874" s="266">
        <v>135.0</v>
      </c>
      <c r="G1874" s="266">
        <v>63.0</v>
      </c>
      <c r="H1874" s="266">
        <v>2.0</v>
      </c>
      <c r="I1874" s="266">
        <v>1725.0</v>
      </c>
      <c r="J1874" s="266">
        <v>14.0</v>
      </c>
      <c r="K1874" s="266">
        <v>220.0</v>
      </c>
      <c r="L1874" s="266" t="s">
        <v>3460</v>
      </c>
      <c r="M1874" s="266">
        <v>2.0</v>
      </c>
      <c r="N1874" s="266">
        <v>3.0</v>
      </c>
      <c r="O1874" s="266">
        <v>1.0</v>
      </c>
      <c r="P1874" s="266" t="s">
        <v>166</v>
      </c>
      <c r="Q1874" s="266" t="s">
        <v>166</v>
      </c>
      <c r="R1874" s="497" t="s">
        <v>166</v>
      </c>
      <c r="S1874" s="497" t="s">
        <v>166</v>
      </c>
      <c r="T1874" s="496"/>
    </row>
    <row r="1875">
      <c r="A1875" s="494" t="s">
        <v>3401</v>
      </c>
      <c r="B1875" s="495" t="s">
        <v>3590</v>
      </c>
      <c r="C1875" s="174" t="s">
        <v>3405</v>
      </c>
      <c r="D1875" s="537" t="s">
        <v>4272</v>
      </c>
      <c r="E1875" s="266">
        <v>294.0</v>
      </c>
      <c r="F1875" s="266">
        <v>112.0</v>
      </c>
      <c r="G1875" s="266">
        <v>55.0</v>
      </c>
      <c r="H1875" s="266">
        <v>2.0</v>
      </c>
      <c r="I1875" s="266">
        <v>1725.0</v>
      </c>
      <c r="J1875" s="266">
        <v>14.0</v>
      </c>
      <c r="K1875" s="266">
        <v>220.0</v>
      </c>
      <c r="L1875" s="266" t="s">
        <v>3460</v>
      </c>
      <c r="M1875" s="266">
        <v>3.0</v>
      </c>
      <c r="N1875" s="266">
        <v>3.0</v>
      </c>
      <c r="O1875" s="266">
        <v>1.0</v>
      </c>
      <c r="P1875" s="266" t="s">
        <v>166</v>
      </c>
      <c r="Q1875" s="266" t="s">
        <v>166</v>
      </c>
      <c r="R1875" s="497" t="s">
        <v>166</v>
      </c>
      <c r="S1875" s="497" t="s">
        <v>166</v>
      </c>
      <c r="T1875" s="496"/>
    </row>
    <row r="1876">
      <c r="A1876" s="494" t="s">
        <v>3401</v>
      </c>
      <c r="B1876" s="495" t="s">
        <v>3590</v>
      </c>
      <c r="C1876" s="174" t="s">
        <v>3405</v>
      </c>
      <c r="D1876" s="537" t="s">
        <v>4273</v>
      </c>
      <c r="E1876" s="266">
        <v>294.0</v>
      </c>
      <c r="F1876" s="266">
        <v>112.0</v>
      </c>
      <c r="G1876" s="266">
        <v>55.0</v>
      </c>
      <c r="H1876" s="266">
        <v>2.0</v>
      </c>
      <c r="I1876" s="266">
        <v>1770.0</v>
      </c>
      <c r="J1876" s="266">
        <v>14.0</v>
      </c>
      <c r="K1876" s="266">
        <v>220.0</v>
      </c>
      <c r="L1876" s="266" t="s">
        <v>3460</v>
      </c>
      <c r="M1876" s="266">
        <v>3.0</v>
      </c>
      <c r="N1876" s="266">
        <v>3.0</v>
      </c>
      <c r="O1876" s="266">
        <v>1.0</v>
      </c>
      <c r="P1876" s="266" t="s">
        <v>166</v>
      </c>
      <c r="Q1876" s="266" t="s">
        <v>166</v>
      </c>
      <c r="R1876" s="497" t="s">
        <v>166</v>
      </c>
      <c r="S1876" s="497" t="s">
        <v>166</v>
      </c>
      <c r="T1876" s="496"/>
    </row>
    <row r="1877">
      <c r="A1877" s="494" t="s">
        <v>3401</v>
      </c>
      <c r="B1877" s="495" t="s">
        <v>3590</v>
      </c>
      <c r="C1877" s="174" t="s">
        <v>3405</v>
      </c>
      <c r="D1877" s="537" t="s">
        <v>4274</v>
      </c>
      <c r="E1877" s="266">
        <v>294.0</v>
      </c>
      <c r="F1877" s="266">
        <v>112.0</v>
      </c>
      <c r="G1877" s="266">
        <v>55.0</v>
      </c>
      <c r="H1877" s="266">
        <v>2.0</v>
      </c>
      <c r="I1877" s="266">
        <v>1770.0</v>
      </c>
      <c r="J1877" s="266">
        <v>14.0</v>
      </c>
      <c r="K1877" s="266">
        <v>220.0</v>
      </c>
      <c r="L1877" s="266" t="s">
        <v>3460</v>
      </c>
      <c r="M1877" s="266">
        <v>3.0</v>
      </c>
      <c r="N1877" s="266">
        <v>3.0</v>
      </c>
      <c r="O1877" s="266">
        <v>1.0</v>
      </c>
      <c r="P1877" s="266" t="s">
        <v>166</v>
      </c>
      <c r="Q1877" s="266" t="s">
        <v>166</v>
      </c>
      <c r="R1877" s="497" t="s">
        <v>166</v>
      </c>
      <c r="S1877" s="497" t="s">
        <v>166</v>
      </c>
      <c r="T1877" s="494"/>
    </row>
    <row r="1878">
      <c r="A1878" s="494" t="s">
        <v>3401</v>
      </c>
      <c r="B1878" s="495" t="s">
        <v>3590</v>
      </c>
      <c r="C1878" s="174" t="s">
        <v>3405</v>
      </c>
      <c r="D1878" s="537" t="s">
        <v>4275</v>
      </c>
      <c r="E1878" s="266">
        <v>304.0</v>
      </c>
      <c r="F1878" s="266">
        <v>136.0</v>
      </c>
      <c r="G1878" s="266">
        <v>60.0</v>
      </c>
      <c r="H1878" s="266">
        <v>2.0</v>
      </c>
      <c r="I1878" s="266">
        <v>1815.0</v>
      </c>
      <c r="J1878" s="266">
        <v>14.0</v>
      </c>
      <c r="K1878" s="266">
        <v>220.0</v>
      </c>
      <c r="L1878" s="266" t="s">
        <v>3460</v>
      </c>
      <c r="M1878" s="266">
        <v>3.0</v>
      </c>
      <c r="N1878" s="266">
        <v>3.0</v>
      </c>
      <c r="O1878" s="266">
        <v>1.0</v>
      </c>
      <c r="P1878" s="266" t="s">
        <v>166</v>
      </c>
      <c r="Q1878" s="266" t="s">
        <v>166</v>
      </c>
      <c r="R1878" s="497" t="s">
        <v>166</v>
      </c>
      <c r="S1878" s="497" t="s">
        <v>166</v>
      </c>
      <c r="T1878" s="496"/>
    </row>
    <row r="1879">
      <c r="A1879" s="494" t="s">
        <v>3401</v>
      </c>
      <c r="B1879" s="495" t="s">
        <v>3590</v>
      </c>
      <c r="C1879" s="174" t="s">
        <v>3405</v>
      </c>
      <c r="D1879" s="537" t="s">
        <v>3947</v>
      </c>
      <c r="E1879" s="266">
        <v>304.0</v>
      </c>
      <c r="F1879" s="266">
        <v>136.0</v>
      </c>
      <c r="G1879" s="266">
        <v>60.0</v>
      </c>
      <c r="H1879" s="266">
        <v>2.0</v>
      </c>
      <c r="I1879" s="266">
        <v>1815.0</v>
      </c>
      <c r="J1879" s="266">
        <v>14.0</v>
      </c>
      <c r="K1879" s="266">
        <v>220.0</v>
      </c>
      <c r="L1879" s="266" t="s">
        <v>3460</v>
      </c>
      <c r="M1879" s="266">
        <v>3.0</v>
      </c>
      <c r="N1879" s="266">
        <v>3.0</v>
      </c>
      <c r="O1879" s="266">
        <v>1.0</v>
      </c>
      <c r="P1879" s="266" t="s">
        <v>166</v>
      </c>
      <c r="Q1879" s="266" t="s">
        <v>166</v>
      </c>
      <c r="R1879" s="497" t="s">
        <v>166</v>
      </c>
      <c r="S1879" s="497" t="s">
        <v>166</v>
      </c>
      <c r="T1879" s="496"/>
    </row>
    <row r="1880">
      <c r="A1880" s="494" t="s">
        <v>3401</v>
      </c>
      <c r="B1880" s="495" t="s">
        <v>3590</v>
      </c>
      <c r="C1880" s="174" t="s">
        <v>3405</v>
      </c>
      <c r="D1880" s="537" t="s">
        <v>3950</v>
      </c>
      <c r="E1880" s="266">
        <v>304.0</v>
      </c>
      <c r="F1880" s="266">
        <v>136.0</v>
      </c>
      <c r="G1880" s="266">
        <v>60.0</v>
      </c>
      <c r="H1880" s="266">
        <v>2.0</v>
      </c>
      <c r="I1880" s="266">
        <v>1725.0</v>
      </c>
      <c r="J1880" s="266">
        <v>14.0</v>
      </c>
      <c r="K1880" s="266">
        <v>220.0</v>
      </c>
      <c r="L1880" s="266" t="s">
        <v>3460</v>
      </c>
      <c r="M1880" s="266">
        <v>3.0</v>
      </c>
      <c r="N1880" s="266">
        <v>3.0</v>
      </c>
      <c r="O1880" s="266">
        <v>1.0</v>
      </c>
      <c r="P1880" s="266" t="s">
        <v>166</v>
      </c>
      <c r="Q1880" s="266" t="s">
        <v>166</v>
      </c>
      <c r="R1880" s="497" t="s">
        <v>166</v>
      </c>
      <c r="S1880" s="497" t="s">
        <v>166</v>
      </c>
      <c r="T1880" s="496"/>
    </row>
    <row r="1881">
      <c r="A1881" s="494" t="s">
        <v>3401</v>
      </c>
      <c r="B1881" s="495" t="s">
        <v>3590</v>
      </c>
      <c r="C1881" s="174" t="s">
        <v>3405</v>
      </c>
      <c r="D1881" s="537" t="s">
        <v>3951</v>
      </c>
      <c r="E1881" s="266">
        <v>304.0</v>
      </c>
      <c r="F1881" s="266">
        <v>136.0</v>
      </c>
      <c r="G1881" s="266">
        <v>60.0</v>
      </c>
      <c r="H1881" s="266">
        <v>2.0</v>
      </c>
      <c r="I1881" s="266">
        <v>1815.0</v>
      </c>
      <c r="J1881" s="266">
        <v>14.0</v>
      </c>
      <c r="K1881" s="266">
        <v>220.0</v>
      </c>
      <c r="L1881" s="266" t="s">
        <v>3460</v>
      </c>
      <c r="M1881" s="266">
        <v>3.0</v>
      </c>
      <c r="N1881" s="266">
        <v>3.0</v>
      </c>
      <c r="O1881" s="266">
        <v>1.0</v>
      </c>
      <c r="P1881" s="266" t="s">
        <v>166</v>
      </c>
      <c r="Q1881" s="266" t="s">
        <v>166</v>
      </c>
      <c r="R1881" s="497" t="s">
        <v>166</v>
      </c>
      <c r="S1881" s="497" t="s">
        <v>166</v>
      </c>
      <c r="T1881" s="496"/>
    </row>
    <row r="1882">
      <c r="A1882" s="494" t="s">
        <v>3401</v>
      </c>
      <c r="B1882" s="495" t="s">
        <v>3590</v>
      </c>
      <c r="C1882" s="174" t="s">
        <v>3405</v>
      </c>
      <c r="D1882" s="537" t="s">
        <v>4276</v>
      </c>
      <c r="E1882" s="266">
        <v>304.0</v>
      </c>
      <c r="F1882" s="266">
        <v>136.0</v>
      </c>
      <c r="G1882" s="266">
        <v>60.0</v>
      </c>
      <c r="H1882" s="266">
        <v>2.0</v>
      </c>
      <c r="I1882" s="266">
        <v>1815.0</v>
      </c>
      <c r="J1882" s="266">
        <v>14.0</v>
      </c>
      <c r="K1882" s="266">
        <v>220.0</v>
      </c>
      <c r="L1882" s="266" t="s">
        <v>3460</v>
      </c>
      <c r="M1882" s="266">
        <v>3.0</v>
      </c>
      <c r="N1882" s="266">
        <v>3.0</v>
      </c>
      <c r="O1882" s="266">
        <v>1.0</v>
      </c>
      <c r="P1882" s="266" t="s">
        <v>166</v>
      </c>
      <c r="Q1882" s="266" t="s">
        <v>166</v>
      </c>
      <c r="R1882" s="497" t="s">
        <v>166</v>
      </c>
      <c r="S1882" s="497" t="s">
        <v>166</v>
      </c>
      <c r="T1882" s="494"/>
    </row>
    <row r="1883">
      <c r="A1883" s="494" t="s">
        <v>3401</v>
      </c>
      <c r="B1883" s="495" t="s">
        <v>3590</v>
      </c>
      <c r="C1883" s="174" t="str">
        <f t="shared" ref="C1883:C1889" si="293">HYPERLINK("https://www.evga.com/","EVGA")</f>
        <v>EVGA</v>
      </c>
      <c r="D1883" s="537" t="s">
        <v>4277</v>
      </c>
      <c r="E1883" s="266">
        <v>285.37</v>
      </c>
      <c r="F1883" s="266">
        <v>111.15</v>
      </c>
      <c r="G1883" s="266">
        <v>40.9</v>
      </c>
      <c r="H1883" s="266">
        <v>2.0</v>
      </c>
      <c r="I1883" s="266">
        <v>1725.0</v>
      </c>
      <c r="J1883" s="266">
        <v>14.0</v>
      </c>
      <c r="K1883" s="266">
        <v>220.0</v>
      </c>
      <c r="L1883" s="266" t="s">
        <v>3460</v>
      </c>
      <c r="M1883" s="266">
        <v>3.0</v>
      </c>
      <c r="N1883" s="266">
        <v>3.0</v>
      </c>
      <c r="O1883" s="266">
        <v>1.0</v>
      </c>
      <c r="P1883" s="266" t="s">
        <v>166</v>
      </c>
      <c r="Q1883" s="266" t="s">
        <v>166</v>
      </c>
      <c r="R1883" s="497" t="s">
        <v>166</v>
      </c>
      <c r="S1883" s="497" t="s">
        <v>166</v>
      </c>
      <c r="T1883" s="496"/>
    </row>
    <row r="1884">
      <c r="A1884" s="494" t="s">
        <v>3401</v>
      </c>
      <c r="B1884" s="495" t="s">
        <v>3590</v>
      </c>
      <c r="C1884" s="174" t="str">
        <f t="shared" si="293"/>
        <v>EVGA</v>
      </c>
      <c r="D1884" s="628" t="s">
        <v>4278</v>
      </c>
      <c r="E1884" s="266">
        <v>285.37</v>
      </c>
      <c r="F1884" s="266">
        <v>111.15</v>
      </c>
      <c r="G1884" s="266">
        <v>40.9</v>
      </c>
      <c r="H1884" s="266">
        <v>2.0</v>
      </c>
      <c r="I1884" s="266">
        <v>1725.0</v>
      </c>
      <c r="J1884" s="266">
        <v>14.0</v>
      </c>
      <c r="K1884" s="266">
        <v>220.0</v>
      </c>
      <c r="L1884" s="266" t="s">
        <v>3460</v>
      </c>
      <c r="M1884" s="266">
        <v>3.0</v>
      </c>
      <c r="N1884" s="266">
        <v>3.0</v>
      </c>
      <c r="O1884" s="266">
        <v>1.0</v>
      </c>
      <c r="P1884" s="266" t="s">
        <v>166</v>
      </c>
      <c r="Q1884" s="266" t="s">
        <v>166</v>
      </c>
      <c r="R1884" s="497" t="s">
        <v>166</v>
      </c>
      <c r="S1884" s="497" t="s">
        <v>166</v>
      </c>
      <c r="T1884" s="494"/>
    </row>
    <row r="1885">
      <c r="A1885" s="494" t="s">
        <v>3401</v>
      </c>
      <c r="B1885" s="495" t="s">
        <v>3590</v>
      </c>
      <c r="C1885" s="174" t="str">
        <f t="shared" si="293"/>
        <v>EVGA</v>
      </c>
      <c r="D1885" s="537" t="s">
        <v>4279</v>
      </c>
      <c r="E1885" s="266">
        <v>285.37</v>
      </c>
      <c r="F1885" s="266">
        <v>111.15</v>
      </c>
      <c r="G1885" s="266">
        <v>45.9</v>
      </c>
      <c r="H1885" s="266">
        <v>2.0</v>
      </c>
      <c r="I1885" s="266">
        <v>1725.0</v>
      </c>
      <c r="J1885" s="266">
        <v>14.0</v>
      </c>
      <c r="K1885" s="266">
        <v>220.0</v>
      </c>
      <c r="L1885" s="266" t="s">
        <v>3460</v>
      </c>
      <c r="M1885" s="266">
        <v>3.0</v>
      </c>
      <c r="N1885" s="266">
        <v>3.0</v>
      </c>
      <c r="O1885" s="266">
        <v>1.0</v>
      </c>
      <c r="P1885" s="266" t="s">
        <v>166</v>
      </c>
      <c r="Q1885" s="266" t="s">
        <v>166</v>
      </c>
      <c r="R1885" s="497" t="s">
        <v>166</v>
      </c>
      <c r="S1885" s="497" t="s">
        <v>166</v>
      </c>
      <c r="T1885" s="496"/>
    </row>
    <row r="1886">
      <c r="A1886" s="494" t="s">
        <v>3401</v>
      </c>
      <c r="B1886" s="495" t="s">
        <v>3590</v>
      </c>
      <c r="C1886" s="174" t="str">
        <f t="shared" si="293"/>
        <v>EVGA</v>
      </c>
      <c r="D1886" s="537" t="s">
        <v>4280</v>
      </c>
      <c r="E1886" s="266">
        <v>285.37</v>
      </c>
      <c r="F1886" s="266">
        <v>111.15</v>
      </c>
      <c r="G1886" s="266">
        <v>45.9</v>
      </c>
      <c r="H1886" s="266">
        <v>2.0</v>
      </c>
      <c r="I1886" s="266">
        <v>1770.0</v>
      </c>
      <c r="J1886" s="266">
        <v>14.0</v>
      </c>
      <c r="K1886" s="266">
        <v>240.0</v>
      </c>
      <c r="L1886" s="266" t="s">
        <v>3460</v>
      </c>
      <c r="M1886" s="266">
        <v>3.0</v>
      </c>
      <c r="N1886" s="266">
        <v>3.0</v>
      </c>
      <c r="O1886" s="266">
        <v>1.0</v>
      </c>
      <c r="P1886" s="266" t="s">
        <v>166</v>
      </c>
      <c r="Q1886" s="266" t="s">
        <v>166</v>
      </c>
      <c r="R1886" s="497" t="s">
        <v>166</v>
      </c>
      <c r="S1886" s="497" t="s">
        <v>166</v>
      </c>
      <c r="T1886" s="496"/>
    </row>
    <row r="1887">
      <c r="A1887" s="494" t="s">
        <v>3401</v>
      </c>
      <c r="B1887" s="495" t="s">
        <v>3590</v>
      </c>
      <c r="C1887" s="174" t="str">
        <f t="shared" si="293"/>
        <v>EVGA</v>
      </c>
      <c r="D1887" s="628" t="s">
        <v>4281</v>
      </c>
      <c r="E1887" s="266">
        <v>285.37</v>
      </c>
      <c r="F1887" s="266">
        <v>111.15</v>
      </c>
      <c r="G1887" s="266">
        <v>45.9</v>
      </c>
      <c r="H1887" s="266">
        <v>2.0</v>
      </c>
      <c r="I1887" s="266">
        <v>1770.0</v>
      </c>
      <c r="J1887" s="266">
        <v>14.0</v>
      </c>
      <c r="K1887" s="266">
        <v>240.0</v>
      </c>
      <c r="L1887" s="266" t="s">
        <v>3460</v>
      </c>
      <c r="M1887" s="266">
        <v>3.0</v>
      </c>
      <c r="N1887" s="266">
        <v>3.0</v>
      </c>
      <c r="O1887" s="266">
        <v>1.0</v>
      </c>
      <c r="P1887" s="266" t="s">
        <v>166</v>
      </c>
      <c r="Q1887" s="266" t="s">
        <v>166</v>
      </c>
      <c r="R1887" s="497" t="s">
        <v>166</v>
      </c>
      <c r="S1887" s="497" t="s">
        <v>166</v>
      </c>
      <c r="T1887" s="494"/>
    </row>
    <row r="1888">
      <c r="A1888" s="494" t="s">
        <v>3401</v>
      </c>
      <c r="B1888" s="495" t="s">
        <v>3590</v>
      </c>
      <c r="C1888" s="174" t="str">
        <f t="shared" si="293"/>
        <v>EVGA</v>
      </c>
      <c r="D1888" s="537" t="s">
        <v>4282</v>
      </c>
      <c r="E1888" s="266">
        <v>300.0</v>
      </c>
      <c r="F1888" s="266">
        <v>136.75</v>
      </c>
      <c r="G1888" s="266">
        <v>56.35</v>
      </c>
      <c r="H1888" s="266">
        <v>2.0</v>
      </c>
      <c r="I1888" s="266">
        <v>1815.0</v>
      </c>
      <c r="J1888" s="266">
        <v>14.0</v>
      </c>
      <c r="K1888" s="266">
        <v>270.0</v>
      </c>
      <c r="L1888" s="266" t="s">
        <v>3460</v>
      </c>
      <c r="M1888" s="266">
        <v>3.0</v>
      </c>
      <c r="N1888" s="266">
        <v>3.0</v>
      </c>
      <c r="O1888" s="266">
        <v>1.0</v>
      </c>
      <c r="P1888" s="266" t="s">
        <v>166</v>
      </c>
      <c r="Q1888" s="266" t="s">
        <v>166</v>
      </c>
      <c r="R1888" s="497" t="s">
        <v>166</v>
      </c>
      <c r="S1888" s="497" t="s">
        <v>166</v>
      </c>
      <c r="T1888" s="496"/>
    </row>
    <row r="1889">
      <c r="A1889" s="494" t="s">
        <v>3401</v>
      </c>
      <c r="B1889" s="495" t="s">
        <v>3590</v>
      </c>
      <c r="C1889" s="174" t="str">
        <f t="shared" si="293"/>
        <v>EVGA</v>
      </c>
      <c r="D1889" s="628" t="s">
        <v>4283</v>
      </c>
      <c r="E1889" s="266">
        <v>300.0</v>
      </c>
      <c r="F1889" s="266">
        <v>136.75</v>
      </c>
      <c r="G1889" s="266">
        <v>56.35</v>
      </c>
      <c r="H1889" s="266">
        <v>2.0</v>
      </c>
      <c r="I1889" s="266">
        <v>1815.0</v>
      </c>
      <c r="J1889" s="266">
        <v>14.0</v>
      </c>
      <c r="K1889" s="266">
        <v>270.0</v>
      </c>
      <c r="L1889" s="266" t="s">
        <v>3460</v>
      </c>
      <c r="M1889" s="266">
        <v>3.0</v>
      </c>
      <c r="N1889" s="266">
        <v>3.0</v>
      </c>
      <c r="O1889" s="266">
        <v>1.0</v>
      </c>
      <c r="P1889" s="266" t="s">
        <v>166</v>
      </c>
      <c r="Q1889" s="266" t="s">
        <v>166</v>
      </c>
      <c r="R1889" s="497" t="s">
        <v>166</v>
      </c>
      <c r="S1889" s="497" t="s">
        <v>166</v>
      </c>
      <c r="T1889" s="494"/>
    </row>
    <row r="1890">
      <c r="A1890" s="494" t="s">
        <v>3401</v>
      </c>
      <c r="B1890" s="495" t="s">
        <v>3590</v>
      </c>
      <c r="C1890" s="452" t="str">
        <f t="shared" ref="C1890:C1915" si="294">HYPERLINK("http://www.gainward.com/main/index.php?lang=en","Gainward")</f>
        <v>Gainward</v>
      </c>
      <c r="D1890" s="452" t="s">
        <v>3592</v>
      </c>
      <c r="E1890" s="266">
        <v>329.0</v>
      </c>
      <c r="F1890" s="266">
        <v>137.0</v>
      </c>
      <c r="G1890" s="266">
        <v>52.0</v>
      </c>
      <c r="H1890" s="266">
        <v>2.0</v>
      </c>
      <c r="I1890" s="266">
        <v>1725.0</v>
      </c>
      <c r="J1890" s="266">
        <v>14.0</v>
      </c>
      <c r="K1890" s="266">
        <v>220.0</v>
      </c>
      <c r="L1890" s="266" t="s">
        <v>3460</v>
      </c>
      <c r="M1890" s="266">
        <v>3.0</v>
      </c>
      <c r="N1890" s="266">
        <v>3.0</v>
      </c>
      <c r="O1890" s="266">
        <v>1.0</v>
      </c>
      <c r="P1890" s="266" t="s">
        <v>166</v>
      </c>
      <c r="Q1890" s="266" t="s">
        <v>166</v>
      </c>
      <c r="R1890" s="497" t="s">
        <v>166</v>
      </c>
      <c r="S1890" s="497" t="s">
        <v>166</v>
      </c>
      <c r="T1890" s="496"/>
    </row>
    <row r="1891">
      <c r="A1891" s="494" t="s">
        <v>3401</v>
      </c>
      <c r="B1891" s="495" t="s">
        <v>3590</v>
      </c>
      <c r="C1891" s="452" t="str">
        <f t="shared" si="294"/>
        <v>Gainward</v>
      </c>
      <c r="D1891" s="452" t="s">
        <v>4183</v>
      </c>
      <c r="E1891" s="266">
        <v>329.0</v>
      </c>
      <c r="F1891" s="266">
        <v>137.0</v>
      </c>
      <c r="G1891" s="266">
        <v>52.0</v>
      </c>
      <c r="H1891" s="266">
        <v>2.0</v>
      </c>
      <c r="I1891" s="266">
        <v>1725.0</v>
      </c>
      <c r="J1891" s="266">
        <v>14.0</v>
      </c>
      <c r="K1891" s="266">
        <v>220.0</v>
      </c>
      <c r="L1891" s="266" t="s">
        <v>3460</v>
      </c>
      <c r="M1891" s="266">
        <v>3.0</v>
      </c>
      <c r="N1891" s="266">
        <v>3.0</v>
      </c>
      <c r="O1891" s="266">
        <v>1.0</v>
      </c>
      <c r="P1891" s="266" t="s">
        <v>166</v>
      </c>
      <c r="Q1891" s="266" t="s">
        <v>166</v>
      </c>
      <c r="R1891" s="497" t="s">
        <v>166</v>
      </c>
      <c r="S1891" s="497" t="s">
        <v>166</v>
      </c>
      <c r="T1891" s="494"/>
    </row>
    <row r="1892">
      <c r="A1892" s="494" t="s">
        <v>3401</v>
      </c>
      <c r="B1892" s="495" t="s">
        <v>3590</v>
      </c>
      <c r="C1892" s="452" t="str">
        <f t="shared" si="294"/>
        <v>Gainward</v>
      </c>
      <c r="D1892" s="452" t="s">
        <v>4284</v>
      </c>
      <c r="E1892" s="266">
        <v>329.0</v>
      </c>
      <c r="F1892" s="266">
        <v>137.0</v>
      </c>
      <c r="G1892" s="266">
        <v>52.0</v>
      </c>
      <c r="H1892" s="266">
        <v>2.0</v>
      </c>
      <c r="I1892" s="266">
        <v>1725.0</v>
      </c>
      <c r="J1892" s="266">
        <v>14.0</v>
      </c>
      <c r="K1892" s="266">
        <v>220.0</v>
      </c>
      <c r="L1892" s="266" t="s">
        <v>3460</v>
      </c>
      <c r="M1892" s="266">
        <v>3.0</v>
      </c>
      <c r="N1892" s="266">
        <v>3.0</v>
      </c>
      <c r="O1892" s="266">
        <v>1.0</v>
      </c>
      <c r="P1892" s="266" t="s">
        <v>166</v>
      </c>
      <c r="Q1892" s="266" t="s">
        <v>166</v>
      </c>
      <c r="R1892" s="497" t="s">
        <v>166</v>
      </c>
      <c r="S1892" s="497" t="s">
        <v>166</v>
      </c>
      <c r="T1892" s="494"/>
    </row>
    <row r="1893">
      <c r="A1893" s="494" t="s">
        <v>3401</v>
      </c>
      <c r="B1893" s="495" t="s">
        <v>3590</v>
      </c>
      <c r="C1893" s="452" t="str">
        <f t="shared" si="294"/>
        <v>Gainward</v>
      </c>
      <c r="D1893" s="452" t="s">
        <v>4184</v>
      </c>
      <c r="E1893" s="266">
        <v>329.0</v>
      </c>
      <c r="F1893" s="266">
        <v>137.0</v>
      </c>
      <c r="G1893" s="266">
        <v>52.0</v>
      </c>
      <c r="H1893" s="266">
        <v>2.0</v>
      </c>
      <c r="I1893" s="266">
        <v>1725.0</v>
      </c>
      <c r="J1893" s="266">
        <v>14.0</v>
      </c>
      <c r="K1893" s="266">
        <v>220.0</v>
      </c>
      <c r="L1893" s="266" t="s">
        <v>3460</v>
      </c>
      <c r="M1893" s="266">
        <v>3.0</v>
      </c>
      <c r="N1893" s="266">
        <v>3.0</v>
      </c>
      <c r="O1893" s="266">
        <v>1.0</v>
      </c>
      <c r="P1893" s="266" t="s">
        <v>166</v>
      </c>
      <c r="Q1893" s="266" t="s">
        <v>166</v>
      </c>
      <c r="R1893" s="497" t="s">
        <v>166</v>
      </c>
      <c r="S1893" s="497" t="s">
        <v>166</v>
      </c>
      <c r="T1893" s="494"/>
    </row>
    <row r="1894">
      <c r="A1894" s="494" t="s">
        <v>3401</v>
      </c>
      <c r="B1894" s="495" t="s">
        <v>3590</v>
      </c>
      <c r="C1894" s="452" t="str">
        <f t="shared" si="294"/>
        <v>Gainward</v>
      </c>
      <c r="D1894" s="452" t="s">
        <v>4185</v>
      </c>
      <c r="E1894" s="266">
        <v>329.5</v>
      </c>
      <c r="F1894" s="266">
        <v>136.0</v>
      </c>
      <c r="G1894" s="266">
        <v>52.0</v>
      </c>
      <c r="H1894" s="266">
        <v>2.0</v>
      </c>
      <c r="I1894" s="266">
        <v>1725.0</v>
      </c>
      <c r="J1894" s="266">
        <v>14.0</v>
      </c>
      <c r="K1894" s="266">
        <v>220.0</v>
      </c>
      <c r="L1894" s="266">
        <v>8.0</v>
      </c>
      <c r="M1894" s="266">
        <v>3.0</v>
      </c>
      <c r="N1894" s="266">
        <v>3.0</v>
      </c>
      <c r="O1894" s="266">
        <v>1.0</v>
      </c>
      <c r="P1894" s="266" t="s">
        <v>166</v>
      </c>
      <c r="Q1894" s="266" t="s">
        <v>166</v>
      </c>
      <c r="R1894" s="497" t="s">
        <v>166</v>
      </c>
      <c r="S1894" s="497" t="s">
        <v>166</v>
      </c>
      <c r="T1894" s="496"/>
    </row>
    <row r="1895">
      <c r="A1895" s="494" t="s">
        <v>3401</v>
      </c>
      <c r="B1895" s="495" t="s">
        <v>3590</v>
      </c>
      <c r="C1895" s="452" t="str">
        <f t="shared" si="294"/>
        <v>Gainward</v>
      </c>
      <c r="D1895" s="452" t="s">
        <v>4186</v>
      </c>
      <c r="E1895" s="266">
        <v>329.5</v>
      </c>
      <c r="F1895" s="266">
        <v>136.0</v>
      </c>
      <c r="G1895" s="266">
        <v>52.0</v>
      </c>
      <c r="H1895" s="266">
        <v>2.0</v>
      </c>
      <c r="I1895" s="266">
        <v>1725.0</v>
      </c>
      <c r="J1895" s="266">
        <v>14.0</v>
      </c>
      <c r="K1895" s="266">
        <v>220.0</v>
      </c>
      <c r="L1895" s="266">
        <v>8.0</v>
      </c>
      <c r="M1895" s="266">
        <v>3.0</v>
      </c>
      <c r="N1895" s="266">
        <v>3.0</v>
      </c>
      <c r="O1895" s="266">
        <v>1.0</v>
      </c>
      <c r="P1895" s="266" t="s">
        <v>166</v>
      </c>
      <c r="Q1895" s="266" t="s">
        <v>166</v>
      </c>
      <c r="R1895" s="497" t="s">
        <v>166</v>
      </c>
      <c r="S1895" s="497" t="s">
        <v>166</v>
      </c>
      <c r="T1895" s="494"/>
    </row>
    <row r="1896">
      <c r="A1896" s="494" t="s">
        <v>3401</v>
      </c>
      <c r="B1896" s="495" t="s">
        <v>3590</v>
      </c>
      <c r="C1896" s="452" t="str">
        <f t="shared" si="294"/>
        <v>Gainward</v>
      </c>
      <c r="D1896" s="452" t="s">
        <v>4187</v>
      </c>
      <c r="E1896" s="266">
        <v>329.5</v>
      </c>
      <c r="F1896" s="266">
        <v>136.0</v>
      </c>
      <c r="G1896" s="266">
        <v>52.0</v>
      </c>
      <c r="H1896" s="266">
        <v>2.0</v>
      </c>
      <c r="I1896" s="266">
        <v>1755.0</v>
      </c>
      <c r="J1896" s="266">
        <v>14.0</v>
      </c>
      <c r="K1896" s="266">
        <v>220.0</v>
      </c>
      <c r="L1896" s="266">
        <v>8.0</v>
      </c>
      <c r="M1896" s="266">
        <v>3.0</v>
      </c>
      <c r="N1896" s="266">
        <v>3.0</v>
      </c>
      <c r="O1896" s="266">
        <v>1.0</v>
      </c>
      <c r="P1896" s="266" t="s">
        <v>166</v>
      </c>
      <c r="Q1896" s="266" t="s">
        <v>166</v>
      </c>
      <c r="R1896" s="497" t="s">
        <v>166</v>
      </c>
      <c r="S1896" s="497" t="s">
        <v>166</v>
      </c>
      <c r="T1896" s="496"/>
    </row>
    <row r="1897">
      <c r="A1897" s="494" t="s">
        <v>3401</v>
      </c>
      <c r="B1897" s="495" t="s">
        <v>3590</v>
      </c>
      <c r="C1897" s="452" t="str">
        <f t="shared" si="294"/>
        <v>Gainward</v>
      </c>
      <c r="D1897" s="452" t="s">
        <v>4188</v>
      </c>
      <c r="E1897" s="266">
        <v>329.5</v>
      </c>
      <c r="F1897" s="266">
        <v>136.0</v>
      </c>
      <c r="G1897" s="266">
        <v>52.0</v>
      </c>
      <c r="H1897" s="266">
        <v>2.0</v>
      </c>
      <c r="I1897" s="266">
        <v>1755.0</v>
      </c>
      <c r="J1897" s="266">
        <v>14.0</v>
      </c>
      <c r="K1897" s="266">
        <v>220.0</v>
      </c>
      <c r="L1897" s="266">
        <v>8.0</v>
      </c>
      <c r="M1897" s="266">
        <v>3.0</v>
      </c>
      <c r="N1897" s="266">
        <v>3.0</v>
      </c>
      <c r="O1897" s="266">
        <v>1.0</v>
      </c>
      <c r="P1897" s="266" t="s">
        <v>166</v>
      </c>
      <c r="Q1897" s="266" t="s">
        <v>166</v>
      </c>
      <c r="R1897" s="497" t="s">
        <v>166</v>
      </c>
      <c r="S1897" s="497" t="s">
        <v>166</v>
      </c>
      <c r="T1897" s="494"/>
    </row>
    <row r="1898">
      <c r="A1898" s="494" t="s">
        <v>3401</v>
      </c>
      <c r="B1898" s="495" t="s">
        <v>3590</v>
      </c>
      <c r="C1898" s="452" t="str">
        <f t="shared" si="294"/>
        <v>Gainward</v>
      </c>
      <c r="D1898" s="452" t="s">
        <v>4189</v>
      </c>
      <c r="E1898" s="266">
        <v>329.5</v>
      </c>
      <c r="F1898" s="266">
        <v>136.0</v>
      </c>
      <c r="G1898" s="266">
        <v>52.0</v>
      </c>
      <c r="H1898" s="266">
        <v>2.0</v>
      </c>
      <c r="I1898" s="266">
        <v>1725.0</v>
      </c>
      <c r="J1898" s="266">
        <v>14.0</v>
      </c>
      <c r="K1898" s="266">
        <v>220.0</v>
      </c>
      <c r="L1898" s="266">
        <v>8.0</v>
      </c>
      <c r="M1898" s="266">
        <v>3.0</v>
      </c>
      <c r="N1898" s="266">
        <v>3.0</v>
      </c>
      <c r="O1898" s="266">
        <v>1.0</v>
      </c>
      <c r="P1898" s="266" t="s">
        <v>166</v>
      </c>
      <c r="Q1898" s="266" t="s">
        <v>166</v>
      </c>
      <c r="R1898" s="497" t="s">
        <v>166</v>
      </c>
      <c r="S1898" s="497" t="s">
        <v>166</v>
      </c>
      <c r="T1898" s="496"/>
    </row>
    <row r="1899">
      <c r="A1899" s="494" t="s">
        <v>3401</v>
      </c>
      <c r="B1899" s="495" t="s">
        <v>3590</v>
      </c>
      <c r="C1899" s="452" t="str">
        <f t="shared" si="294"/>
        <v>Gainward</v>
      </c>
      <c r="D1899" s="452" t="s">
        <v>4190</v>
      </c>
      <c r="E1899" s="266">
        <v>329.5</v>
      </c>
      <c r="F1899" s="266">
        <v>136.0</v>
      </c>
      <c r="G1899" s="266">
        <v>52.0</v>
      </c>
      <c r="H1899" s="266">
        <v>2.0</v>
      </c>
      <c r="I1899" s="266">
        <v>1725.0</v>
      </c>
      <c r="J1899" s="266">
        <v>14.0</v>
      </c>
      <c r="K1899" s="266">
        <v>220.0</v>
      </c>
      <c r="L1899" s="266">
        <v>8.0</v>
      </c>
      <c r="M1899" s="266">
        <v>3.0</v>
      </c>
      <c r="N1899" s="266">
        <v>3.0</v>
      </c>
      <c r="O1899" s="266">
        <v>1.0</v>
      </c>
      <c r="P1899" s="266" t="s">
        <v>166</v>
      </c>
      <c r="Q1899" s="266" t="s">
        <v>166</v>
      </c>
      <c r="R1899" s="497" t="s">
        <v>166</v>
      </c>
      <c r="S1899" s="497" t="s">
        <v>166</v>
      </c>
      <c r="T1899" s="494"/>
    </row>
    <row r="1900">
      <c r="A1900" s="494" t="s">
        <v>3401</v>
      </c>
      <c r="B1900" s="495" t="s">
        <v>3590</v>
      </c>
      <c r="C1900" s="452" t="str">
        <f t="shared" si="294"/>
        <v>Gainward</v>
      </c>
      <c r="D1900" s="452" t="s">
        <v>4191</v>
      </c>
      <c r="E1900" s="266">
        <v>329.5</v>
      </c>
      <c r="F1900" s="266">
        <v>136.0</v>
      </c>
      <c r="G1900" s="266">
        <v>52.0</v>
      </c>
      <c r="H1900" s="266">
        <v>2.0</v>
      </c>
      <c r="I1900" s="266">
        <v>1755.0</v>
      </c>
      <c r="J1900" s="266">
        <v>14.0</v>
      </c>
      <c r="K1900" s="266">
        <v>220.0</v>
      </c>
      <c r="L1900" s="266">
        <v>8.0</v>
      </c>
      <c r="M1900" s="266">
        <v>3.0</v>
      </c>
      <c r="N1900" s="266">
        <v>3.0</v>
      </c>
      <c r="O1900" s="266">
        <v>1.0</v>
      </c>
      <c r="P1900" s="266" t="s">
        <v>166</v>
      </c>
      <c r="Q1900" s="266" t="s">
        <v>166</v>
      </c>
      <c r="R1900" s="497" t="s">
        <v>166</v>
      </c>
      <c r="S1900" s="497" t="s">
        <v>166</v>
      </c>
      <c r="T1900" s="496"/>
    </row>
    <row r="1901">
      <c r="A1901" s="494" t="s">
        <v>3401</v>
      </c>
      <c r="B1901" s="495" t="s">
        <v>3590</v>
      </c>
      <c r="C1901" s="452" t="str">
        <f t="shared" si="294"/>
        <v>Gainward</v>
      </c>
      <c r="D1901" s="452" t="s">
        <v>4192</v>
      </c>
      <c r="E1901" s="266">
        <v>329.5</v>
      </c>
      <c r="F1901" s="266">
        <v>136.0</v>
      </c>
      <c r="G1901" s="266">
        <v>52.0</v>
      </c>
      <c r="H1901" s="266">
        <v>2.0</v>
      </c>
      <c r="I1901" s="266">
        <v>1755.0</v>
      </c>
      <c r="J1901" s="266">
        <v>14.0</v>
      </c>
      <c r="K1901" s="266">
        <v>220.0</v>
      </c>
      <c r="L1901" s="266">
        <v>8.0</v>
      </c>
      <c r="M1901" s="266">
        <v>3.0</v>
      </c>
      <c r="N1901" s="266">
        <v>3.0</v>
      </c>
      <c r="O1901" s="266">
        <v>1.0</v>
      </c>
      <c r="P1901" s="266" t="s">
        <v>166</v>
      </c>
      <c r="Q1901" s="266" t="s">
        <v>166</v>
      </c>
      <c r="R1901" s="497" t="s">
        <v>166</v>
      </c>
      <c r="S1901" s="497" t="s">
        <v>166</v>
      </c>
      <c r="T1901" s="494"/>
    </row>
    <row r="1902">
      <c r="A1902" s="494" t="s">
        <v>3401</v>
      </c>
      <c r="B1902" s="495" t="s">
        <v>3590</v>
      </c>
      <c r="C1902" s="452" t="str">
        <f t="shared" si="294"/>
        <v>Gainward</v>
      </c>
      <c r="D1902" s="452" t="s">
        <v>4193</v>
      </c>
      <c r="E1902" s="266">
        <v>332.9</v>
      </c>
      <c r="F1902" s="266">
        <v>133.0</v>
      </c>
      <c r="G1902" s="266">
        <v>54.0</v>
      </c>
      <c r="H1902" s="266">
        <v>2.0</v>
      </c>
      <c r="I1902" s="266">
        <v>1725.0</v>
      </c>
      <c r="J1902" s="266">
        <v>14.0</v>
      </c>
      <c r="K1902" s="266">
        <v>220.0</v>
      </c>
      <c r="L1902" s="266">
        <v>8.0</v>
      </c>
      <c r="M1902" s="266">
        <v>3.0</v>
      </c>
      <c r="N1902" s="266">
        <v>3.0</v>
      </c>
      <c r="O1902" s="266">
        <v>1.0</v>
      </c>
      <c r="P1902" s="266" t="s">
        <v>166</v>
      </c>
      <c r="Q1902" s="266" t="s">
        <v>166</v>
      </c>
      <c r="R1902" s="497" t="s">
        <v>166</v>
      </c>
      <c r="S1902" s="497" t="s">
        <v>166</v>
      </c>
      <c r="T1902" s="496"/>
    </row>
    <row r="1903">
      <c r="A1903" s="494" t="s">
        <v>3401</v>
      </c>
      <c r="B1903" s="495" t="s">
        <v>3590</v>
      </c>
      <c r="C1903" s="452" t="str">
        <f t="shared" si="294"/>
        <v>Gainward</v>
      </c>
      <c r="D1903" s="452" t="s">
        <v>4194</v>
      </c>
      <c r="E1903" s="266">
        <v>332.9</v>
      </c>
      <c r="F1903" s="266">
        <v>133.0</v>
      </c>
      <c r="G1903" s="266">
        <v>54.0</v>
      </c>
      <c r="H1903" s="266">
        <v>2.0</v>
      </c>
      <c r="I1903" s="266">
        <v>1725.0</v>
      </c>
      <c r="J1903" s="266">
        <v>14.0</v>
      </c>
      <c r="K1903" s="266">
        <v>220.0</v>
      </c>
      <c r="L1903" s="266">
        <v>8.0</v>
      </c>
      <c r="M1903" s="266">
        <v>3.0</v>
      </c>
      <c r="N1903" s="266">
        <v>3.0</v>
      </c>
      <c r="O1903" s="266">
        <v>1.0</v>
      </c>
      <c r="P1903" s="266" t="s">
        <v>166</v>
      </c>
      <c r="Q1903" s="266" t="s">
        <v>166</v>
      </c>
      <c r="R1903" s="497" t="s">
        <v>166</v>
      </c>
      <c r="S1903" s="497" t="s">
        <v>166</v>
      </c>
      <c r="T1903" s="494"/>
    </row>
    <row r="1904">
      <c r="A1904" s="494" t="s">
        <v>3401</v>
      </c>
      <c r="B1904" s="495" t="s">
        <v>3590</v>
      </c>
      <c r="C1904" s="452" t="str">
        <f t="shared" si="294"/>
        <v>Gainward</v>
      </c>
      <c r="D1904" s="452" t="s">
        <v>4195</v>
      </c>
      <c r="E1904" s="266">
        <v>332.9</v>
      </c>
      <c r="F1904" s="266">
        <v>133.0</v>
      </c>
      <c r="G1904" s="266">
        <v>54.0</v>
      </c>
      <c r="H1904" s="266">
        <v>2.0</v>
      </c>
      <c r="I1904" s="266">
        <v>1785.0</v>
      </c>
      <c r="J1904" s="266">
        <v>14.0</v>
      </c>
      <c r="K1904" s="266">
        <v>220.0</v>
      </c>
      <c r="L1904" s="266">
        <v>8.0</v>
      </c>
      <c r="M1904" s="266">
        <v>3.0</v>
      </c>
      <c r="N1904" s="266">
        <v>3.0</v>
      </c>
      <c r="O1904" s="266">
        <v>1.0</v>
      </c>
      <c r="P1904" s="266" t="s">
        <v>166</v>
      </c>
      <c r="Q1904" s="266" t="s">
        <v>166</v>
      </c>
      <c r="R1904" s="497" t="s">
        <v>166</v>
      </c>
      <c r="S1904" s="497" t="s">
        <v>166</v>
      </c>
      <c r="T1904" s="496"/>
    </row>
    <row r="1905">
      <c r="A1905" s="494" t="s">
        <v>3401</v>
      </c>
      <c r="B1905" s="495" t="s">
        <v>3590</v>
      </c>
      <c r="C1905" s="452" t="str">
        <f t="shared" si="294"/>
        <v>Gainward</v>
      </c>
      <c r="D1905" s="452" t="s">
        <v>4196</v>
      </c>
      <c r="E1905" s="266">
        <v>332.9</v>
      </c>
      <c r="F1905" s="266">
        <v>133.0</v>
      </c>
      <c r="G1905" s="266">
        <v>54.0</v>
      </c>
      <c r="H1905" s="266">
        <v>2.0</v>
      </c>
      <c r="I1905" s="266">
        <v>1785.0</v>
      </c>
      <c r="J1905" s="266">
        <v>14.0</v>
      </c>
      <c r="K1905" s="266">
        <v>220.0</v>
      </c>
      <c r="L1905" s="266">
        <v>8.0</v>
      </c>
      <c r="M1905" s="266">
        <v>3.0</v>
      </c>
      <c r="N1905" s="266">
        <v>3.0</v>
      </c>
      <c r="O1905" s="266">
        <v>1.0</v>
      </c>
      <c r="P1905" s="266" t="s">
        <v>166</v>
      </c>
      <c r="Q1905" s="266" t="s">
        <v>166</v>
      </c>
      <c r="R1905" s="497" t="s">
        <v>166</v>
      </c>
      <c r="S1905" s="497" t="s">
        <v>166</v>
      </c>
      <c r="T1905" s="494"/>
    </row>
    <row r="1906">
      <c r="A1906" s="494" t="s">
        <v>3401</v>
      </c>
      <c r="B1906" s="495" t="s">
        <v>3590</v>
      </c>
      <c r="C1906" s="452" t="str">
        <f t="shared" si="294"/>
        <v>Gainward</v>
      </c>
      <c r="D1906" s="452" t="s">
        <v>3371</v>
      </c>
      <c r="E1906" s="266">
        <v>294.0</v>
      </c>
      <c r="F1906" s="266">
        <v>112.0</v>
      </c>
      <c r="G1906" s="266">
        <v>54.0</v>
      </c>
      <c r="H1906" s="266">
        <v>2.0</v>
      </c>
      <c r="I1906" s="266">
        <v>1725.0</v>
      </c>
      <c r="J1906" s="266">
        <v>14.0</v>
      </c>
      <c r="K1906" s="266">
        <v>220.0</v>
      </c>
      <c r="L1906" s="266" t="s">
        <v>3460</v>
      </c>
      <c r="M1906" s="266">
        <v>3.0</v>
      </c>
      <c r="N1906" s="266">
        <v>3.0</v>
      </c>
      <c r="O1906" s="266">
        <v>1.0</v>
      </c>
      <c r="P1906" s="266" t="s">
        <v>166</v>
      </c>
      <c r="Q1906" s="266" t="s">
        <v>166</v>
      </c>
      <c r="R1906" s="497" t="s">
        <v>166</v>
      </c>
      <c r="S1906" s="497" t="s">
        <v>166</v>
      </c>
      <c r="T1906" s="496"/>
    </row>
    <row r="1907">
      <c r="A1907" s="494" t="s">
        <v>3401</v>
      </c>
      <c r="B1907" s="495" t="s">
        <v>3590</v>
      </c>
      <c r="C1907" s="452" t="str">
        <f t="shared" si="294"/>
        <v>Gainward</v>
      </c>
      <c r="D1907" s="452" t="s">
        <v>4010</v>
      </c>
      <c r="E1907" s="266">
        <v>294.0</v>
      </c>
      <c r="F1907" s="266">
        <v>112.0</v>
      </c>
      <c r="G1907" s="266">
        <v>54.0</v>
      </c>
      <c r="H1907" s="266">
        <v>2.0</v>
      </c>
      <c r="I1907" s="266">
        <v>1725.0</v>
      </c>
      <c r="J1907" s="266">
        <v>14.0</v>
      </c>
      <c r="K1907" s="266">
        <v>220.0</v>
      </c>
      <c r="L1907" s="266" t="s">
        <v>3460</v>
      </c>
      <c r="M1907" s="266">
        <v>3.0</v>
      </c>
      <c r="N1907" s="266">
        <v>3.0</v>
      </c>
      <c r="O1907" s="266">
        <v>1.0</v>
      </c>
      <c r="P1907" s="266" t="s">
        <v>166</v>
      </c>
      <c r="Q1907" s="266" t="s">
        <v>166</v>
      </c>
      <c r="R1907" s="497" t="s">
        <v>166</v>
      </c>
      <c r="S1907" s="497" t="s">
        <v>166</v>
      </c>
      <c r="T1907" s="494"/>
    </row>
    <row r="1908">
      <c r="A1908" s="494" t="s">
        <v>3401</v>
      </c>
      <c r="B1908" s="495" t="s">
        <v>3590</v>
      </c>
      <c r="C1908" s="452" t="str">
        <f t="shared" si="294"/>
        <v>Gainward</v>
      </c>
      <c r="D1908" s="452" t="s">
        <v>3917</v>
      </c>
      <c r="E1908" s="266">
        <v>294.0</v>
      </c>
      <c r="F1908" s="266">
        <v>112.0</v>
      </c>
      <c r="G1908" s="266">
        <v>54.0</v>
      </c>
      <c r="H1908" s="266">
        <v>2.0</v>
      </c>
      <c r="I1908" s="266">
        <v>1770.0</v>
      </c>
      <c r="J1908" s="266">
        <v>14.0</v>
      </c>
      <c r="K1908" s="266">
        <v>240.0</v>
      </c>
      <c r="L1908" s="266" t="s">
        <v>3460</v>
      </c>
      <c r="M1908" s="266">
        <v>3.0</v>
      </c>
      <c r="N1908" s="266">
        <v>3.0</v>
      </c>
      <c r="O1908" s="266">
        <v>1.0</v>
      </c>
      <c r="P1908" s="266" t="s">
        <v>166</v>
      </c>
      <c r="Q1908" s="266" t="s">
        <v>166</v>
      </c>
      <c r="R1908" s="497" t="s">
        <v>166</v>
      </c>
      <c r="S1908" s="497" t="s">
        <v>166</v>
      </c>
      <c r="T1908" s="496"/>
    </row>
    <row r="1909">
      <c r="A1909" s="494" t="s">
        <v>3401</v>
      </c>
      <c r="B1909" s="495" t="s">
        <v>3590</v>
      </c>
      <c r="C1909" s="452" t="str">
        <f t="shared" si="294"/>
        <v>Gainward</v>
      </c>
      <c r="D1909" s="452" t="s">
        <v>4199</v>
      </c>
      <c r="E1909" s="266">
        <v>294.0</v>
      </c>
      <c r="F1909" s="266">
        <v>112.0</v>
      </c>
      <c r="G1909" s="266">
        <v>54.0</v>
      </c>
      <c r="H1909" s="266">
        <v>2.0</v>
      </c>
      <c r="I1909" s="266">
        <v>1770.0</v>
      </c>
      <c r="J1909" s="266">
        <v>14.0</v>
      </c>
      <c r="K1909" s="266">
        <v>240.0</v>
      </c>
      <c r="L1909" s="266" t="s">
        <v>3460</v>
      </c>
      <c r="M1909" s="266">
        <v>3.0</v>
      </c>
      <c r="N1909" s="266">
        <v>3.0</v>
      </c>
      <c r="O1909" s="266">
        <v>1.0</v>
      </c>
      <c r="P1909" s="266" t="s">
        <v>166</v>
      </c>
      <c r="Q1909" s="266" t="s">
        <v>166</v>
      </c>
      <c r="R1909" s="497" t="s">
        <v>166</v>
      </c>
      <c r="S1909" s="497" t="s">
        <v>166</v>
      </c>
      <c r="T1909" s="494"/>
    </row>
    <row r="1910">
      <c r="A1910" s="494" t="s">
        <v>3401</v>
      </c>
      <c r="B1910" s="495" t="s">
        <v>3590</v>
      </c>
      <c r="C1910" s="452" t="str">
        <f t="shared" si="294"/>
        <v>Gainward</v>
      </c>
      <c r="D1910" s="452" t="s">
        <v>3953</v>
      </c>
      <c r="E1910" s="266">
        <v>304.0</v>
      </c>
      <c r="F1910" s="266">
        <v>136.0</v>
      </c>
      <c r="G1910" s="266">
        <v>54.0</v>
      </c>
      <c r="H1910" s="266">
        <v>2.0</v>
      </c>
      <c r="I1910" s="266">
        <v>1725.0</v>
      </c>
      <c r="J1910" s="266">
        <v>14.0</v>
      </c>
      <c r="K1910" s="266">
        <v>220.0</v>
      </c>
      <c r="L1910" s="266" t="s">
        <v>3460</v>
      </c>
      <c r="M1910" s="266">
        <v>3.0</v>
      </c>
      <c r="N1910" s="266">
        <v>3.0</v>
      </c>
      <c r="O1910" s="266">
        <v>1.0</v>
      </c>
      <c r="P1910" s="266" t="s">
        <v>166</v>
      </c>
      <c r="Q1910" s="266" t="s">
        <v>166</v>
      </c>
      <c r="R1910" s="497" t="s">
        <v>166</v>
      </c>
      <c r="S1910" s="497" t="s">
        <v>166</v>
      </c>
      <c r="T1910" s="496"/>
    </row>
    <row r="1911">
      <c r="A1911" s="494" t="s">
        <v>3401</v>
      </c>
      <c r="B1911" s="495" t="s">
        <v>3590</v>
      </c>
      <c r="C1911" s="452" t="str">
        <f t="shared" si="294"/>
        <v>Gainward</v>
      </c>
      <c r="D1911" s="452" t="s">
        <v>4285</v>
      </c>
      <c r="E1911" s="266">
        <v>304.0</v>
      </c>
      <c r="F1911" s="266">
        <v>136.0</v>
      </c>
      <c r="G1911" s="266">
        <v>54.0</v>
      </c>
      <c r="H1911" s="266">
        <v>2.0</v>
      </c>
      <c r="I1911" s="266">
        <v>1725.0</v>
      </c>
      <c r="J1911" s="266">
        <v>14.0</v>
      </c>
      <c r="K1911" s="266">
        <v>220.0</v>
      </c>
      <c r="L1911" s="266" t="s">
        <v>3460</v>
      </c>
      <c r="M1911" s="266">
        <v>3.0</v>
      </c>
      <c r="N1911" s="266">
        <v>3.0</v>
      </c>
      <c r="O1911" s="266">
        <v>1.0</v>
      </c>
      <c r="P1911" s="266" t="s">
        <v>166</v>
      </c>
      <c r="Q1911" s="266" t="s">
        <v>166</v>
      </c>
      <c r="R1911" s="497" t="s">
        <v>166</v>
      </c>
      <c r="S1911" s="497" t="s">
        <v>166</v>
      </c>
      <c r="T1911" s="494"/>
    </row>
    <row r="1912">
      <c r="A1912" s="494" t="s">
        <v>3401</v>
      </c>
      <c r="B1912" s="495" t="s">
        <v>3590</v>
      </c>
      <c r="C1912" s="452" t="str">
        <f t="shared" si="294"/>
        <v>Gainward</v>
      </c>
      <c r="D1912" s="452" t="s">
        <v>3954</v>
      </c>
      <c r="E1912" s="266">
        <v>304.0</v>
      </c>
      <c r="F1912" s="266">
        <v>136.0</v>
      </c>
      <c r="G1912" s="266">
        <v>54.0</v>
      </c>
      <c r="H1912" s="266">
        <v>2.0</v>
      </c>
      <c r="I1912" s="266">
        <v>1815.0</v>
      </c>
      <c r="J1912" s="266">
        <v>14.0</v>
      </c>
      <c r="K1912" s="266">
        <v>270.0</v>
      </c>
      <c r="L1912" s="266" t="s">
        <v>3460</v>
      </c>
      <c r="M1912" s="266">
        <v>3.0</v>
      </c>
      <c r="N1912" s="266">
        <v>3.0</v>
      </c>
      <c r="O1912" s="266">
        <v>1.0</v>
      </c>
      <c r="P1912" s="266" t="s">
        <v>166</v>
      </c>
      <c r="Q1912" s="266" t="s">
        <v>166</v>
      </c>
      <c r="R1912" s="497" t="s">
        <v>166</v>
      </c>
      <c r="S1912" s="497" t="s">
        <v>166</v>
      </c>
      <c r="T1912" s="496"/>
    </row>
    <row r="1913">
      <c r="A1913" s="494" t="s">
        <v>3401</v>
      </c>
      <c r="B1913" s="495" t="s">
        <v>3590</v>
      </c>
      <c r="C1913" s="452" t="str">
        <f t="shared" si="294"/>
        <v>Gainward</v>
      </c>
      <c r="D1913" s="452" t="s">
        <v>4286</v>
      </c>
      <c r="E1913" s="266">
        <v>304.0</v>
      </c>
      <c r="F1913" s="266">
        <v>136.0</v>
      </c>
      <c r="G1913" s="266">
        <v>54.0</v>
      </c>
      <c r="H1913" s="266">
        <v>2.0</v>
      </c>
      <c r="I1913" s="266">
        <v>1815.0</v>
      </c>
      <c r="J1913" s="266">
        <v>14.0</v>
      </c>
      <c r="K1913" s="266">
        <v>270.0</v>
      </c>
      <c r="L1913" s="266" t="s">
        <v>3460</v>
      </c>
      <c r="M1913" s="266">
        <v>3.0</v>
      </c>
      <c r="N1913" s="266">
        <v>3.0</v>
      </c>
      <c r="O1913" s="266">
        <v>1.0</v>
      </c>
      <c r="P1913" s="266" t="s">
        <v>166</v>
      </c>
      <c r="Q1913" s="266" t="s">
        <v>166</v>
      </c>
      <c r="R1913" s="497" t="s">
        <v>166</v>
      </c>
      <c r="S1913" s="497" t="s">
        <v>166</v>
      </c>
      <c r="T1913" s="494"/>
    </row>
    <row r="1914">
      <c r="A1914" s="494" t="s">
        <v>3401</v>
      </c>
      <c r="B1914" s="495" t="s">
        <v>3590</v>
      </c>
      <c r="C1914" s="452" t="str">
        <f t="shared" si="294"/>
        <v>Gainward</v>
      </c>
      <c r="D1914" s="452" t="s">
        <v>4287</v>
      </c>
      <c r="E1914" s="266">
        <v>304.0</v>
      </c>
      <c r="F1914" s="266">
        <v>138.0</v>
      </c>
      <c r="G1914" s="266">
        <v>54.0</v>
      </c>
      <c r="H1914" s="266">
        <v>2.0</v>
      </c>
      <c r="I1914" s="266">
        <v>1725.0</v>
      </c>
      <c r="J1914" s="266">
        <v>14.0</v>
      </c>
      <c r="K1914" s="266">
        <v>220.0</v>
      </c>
      <c r="L1914" s="266" t="s">
        <v>3460</v>
      </c>
      <c r="M1914" s="266">
        <v>3.0</v>
      </c>
      <c r="N1914" s="266">
        <v>3.0</v>
      </c>
      <c r="O1914" s="266">
        <v>1.0</v>
      </c>
      <c r="P1914" s="266" t="s">
        <v>166</v>
      </c>
      <c r="Q1914" s="266" t="s">
        <v>166</v>
      </c>
      <c r="R1914" s="497" t="s">
        <v>166</v>
      </c>
      <c r="S1914" s="497" t="s">
        <v>166</v>
      </c>
      <c r="T1914" s="494"/>
    </row>
    <row r="1915">
      <c r="A1915" s="494" t="s">
        <v>3401</v>
      </c>
      <c r="B1915" s="495" t="s">
        <v>3590</v>
      </c>
      <c r="C1915" s="452" t="str">
        <f t="shared" si="294"/>
        <v>Gainward</v>
      </c>
      <c r="D1915" s="452" t="s">
        <v>4288</v>
      </c>
      <c r="E1915" s="266">
        <v>304.0</v>
      </c>
      <c r="F1915" s="266">
        <v>138.0</v>
      </c>
      <c r="G1915" s="266">
        <v>54.0</v>
      </c>
      <c r="H1915" s="266">
        <v>2.0</v>
      </c>
      <c r="I1915" s="266">
        <v>1815.0</v>
      </c>
      <c r="J1915" s="266">
        <v>14.0</v>
      </c>
      <c r="K1915" s="266">
        <v>270.0</v>
      </c>
      <c r="L1915" s="266" t="s">
        <v>3460</v>
      </c>
      <c r="M1915" s="266">
        <v>3.0</v>
      </c>
      <c r="N1915" s="266">
        <v>3.0</v>
      </c>
      <c r="O1915" s="266">
        <v>1.0</v>
      </c>
      <c r="P1915" s="266" t="s">
        <v>166</v>
      </c>
      <c r="Q1915" s="266" t="s">
        <v>166</v>
      </c>
      <c r="R1915" s="497" t="s">
        <v>166</v>
      </c>
      <c r="S1915" s="497" t="s">
        <v>166</v>
      </c>
      <c r="T1915" s="494"/>
    </row>
    <row r="1916">
      <c r="A1916" s="494" t="s">
        <v>3401</v>
      </c>
      <c r="B1916" s="495" t="s">
        <v>3590</v>
      </c>
      <c r="C1916" s="174" t="s">
        <v>3456</v>
      </c>
      <c r="D1916" s="452" t="s">
        <v>4074</v>
      </c>
      <c r="E1916" s="266">
        <v>270.0</v>
      </c>
      <c r="F1916" s="266">
        <v>108.0</v>
      </c>
      <c r="G1916" s="266">
        <v>45.0</v>
      </c>
      <c r="H1916" s="266">
        <v>2.0</v>
      </c>
      <c r="I1916" s="266">
        <v>1725.0</v>
      </c>
      <c r="J1916" s="266">
        <v>14.0</v>
      </c>
      <c r="K1916" s="266">
        <v>220.0</v>
      </c>
      <c r="L1916" s="266">
        <v>8.0</v>
      </c>
      <c r="M1916" s="266">
        <v>3.0</v>
      </c>
      <c r="N1916" s="266">
        <v>3.0</v>
      </c>
      <c r="O1916" s="266">
        <v>1.0</v>
      </c>
      <c r="P1916" s="266" t="s">
        <v>166</v>
      </c>
      <c r="Q1916" s="266" t="s">
        <v>166</v>
      </c>
      <c r="R1916" s="497" t="s">
        <v>166</v>
      </c>
      <c r="S1916" s="497" t="s">
        <v>166</v>
      </c>
      <c r="T1916" s="496"/>
    </row>
    <row r="1917">
      <c r="A1917" s="494" t="s">
        <v>3401</v>
      </c>
      <c r="B1917" s="495" t="s">
        <v>3590</v>
      </c>
      <c r="C1917" s="174" t="s">
        <v>3456</v>
      </c>
      <c r="D1917" s="452" t="s">
        <v>4113</v>
      </c>
      <c r="E1917" s="266">
        <v>270.0</v>
      </c>
      <c r="F1917" s="266">
        <v>108.0</v>
      </c>
      <c r="G1917" s="266">
        <v>45.0</v>
      </c>
      <c r="H1917" s="266">
        <v>2.0</v>
      </c>
      <c r="I1917" s="266">
        <v>1725.0</v>
      </c>
      <c r="J1917" s="266">
        <v>14.0</v>
      </c>
      <c r="K1917" s="266">
        <v>220.0</v>
      </c>
      <c r="L1917" s="266">
        <v>8.0</v>
      </c>
      <c r="M1917" s="266">
        <v>3.0</v>
      </c>
      <c r="N1917" s="266">
        <v>3.0</v>
      </c>
      <c r="O1917" s="266">
        <v>1.0</v>
      </c>
      <c r="P1917" s="266" t="s">
        <v>166</v>
      </c>
      <c r="Q1917" s="266" t="s">
        <v>166</v>
      </c>
      <c r="R1917" s="497" t="s">
        <v>166</v>
      </c>
      <c r="S1917" s="497" t="s">
        <v>166</v>
      </c>
      <c r="T1917" s="494"/>
    </row>
    <row r="1918">
      <c r="A1918" s="494" t="s">
        <v>3401</v>
      </c>
      <c r="B1918" s="495" t="s">
        <v>3590</v>
      </c>
      <c r="C1918" s="174" t="s">
        <v>3456</v>
      </c>
      <c r="D1918" s="452" t="s">
        <v>4200</v>
      </c>
      <c r="E1918" s="266">
        <v>300.0</v>
      </c>
      <c r="F1918" s="266">
        <v>116.0</v>
      </c>
      <c r="G1918" s="266">
        <v>57.0</v>
      </c>
      <c r="H1918" s="266">
        <v>3.0</v>
      </c>
      <c r="I1918" s="266">
        <v>1725.0</v>
      </c>
      <c r="J1918" s="266">
        <v>14.0</v>
      </c>
      <c r="K1918" s="266">
        <v>220.0</v>
      </c>
      <c r="L1918" s="266">
        <v>8.0</v>
      </c>
      <c r="M1918" s="266">
        <v>3.0</v>
      </c>
      <c r="N1918" s="266">
        <v>3.0</v>
      </c>
      <c r="O1918" s="266">
        <v>1.0</v>
      </c>
      <c r="P1918" s="266" t="s">
        <v>166</v>
      </c>
      <c r="Q1918" s="266" t="s">
        <v>166</v>
      </c>
      <c r="R1918" s="497" t="s">
        <v>166</v>
      </c>
      <c r="S1918" s="497" t="s">
        <v>166</v>
      </c>
      <c r="T1918" s="496"/>
    </row>
    <row r="1919">
      <c r="A1919" s="494" t="s">
        <v>3401</v>
      </c>
      <c r="B1919" s="495" t="s">
        <v>3590</v>
      </c>
      <c r="C1919" s="174" t="s">
        <v>3456</v>
      </c>
      <c r="D1919" s="452" t="s">
        <v>4201</v>
      </c>
      <c r="E1919" s="266">
        <v>300.0</v>
      </c>
      <c r="F1919" s="266">
        <v>116.0</v>
      </c>
      <c r="G1919" s="266">
        <v>57.0</v>
      </c>
      <c r="H1919" s="266">
        <v>3.0</v>
      </c>
      <c r="I1919" s="266">
        <v>1725.0</v>
      </c>
      <c r="J1919" s="266">
        <v>14.0</v>
      </c>
      <c r="K1919" s="266">
        <v>220.0</v>
      </c>
      <c r="L1919" s="266">
        <v>8.0</v>
      </c>
      <c r="M1919" s="266">
        <v>3.0</v>
      </c>
      <c r="N1919" s="266">
        <v>3.0</v>
      </c>
      <c r="O1919" s="266">
        <v>1.0</v>
      </c>
      <c r="P1919" s="266" t="s">
        <v>166</v>
      </c>
      <c r="Q1919" s="266" t="s">
        <v>166</v>
      </c>
      <c r="R1919" s="497" t="s">
        <v>166</v>
      </c>
      <c r="S1919" s="497" t="s">
        <v>166</v>
      </c>
      <c r="T1919" s="494"/>
    </row>
    <row r="1920">
      <c r="A1920" s="494" t="s">
        <v>3401</v>
      </c>
      <c r="B1920" s="495" t="s">
        <v>3590</v>
      </c>
      <c r="C1920" s="174" t="s">
        <v>3456</v>
      </c>
      <c r="D1920" s="452" t="s">
        <v>4202</v>
      </c>
      <c r="E1920" s="266">
        <v>300.0</v>
      </c>
      <c r="F1920" s="266">
        <v>116.0</v>
      </c>
      <c r="G1920" s="266">
        <v>57.0</v>
      </c>
      <c r="H1920" s="266">
        <v>3.0</v>
      </c>
      <c r="I1920" s="266">
        <v>1755.0</v>
      </c>
      <c r="J1920" s="266">
        <v>14.0</v>
      </c>
      <c r="K1920" s="266">
        <v>220.0</v>
      </c>
      <c r="L1920" s="266">
        <v>8.0</v>
      </c>
      <c r="M1920" s="266">
        <v>3.0</v>
      </c>
      <c r="N1920" s="266">
        <v>3.0</v>
      </c>
      <c r="O1920" s="266">
        <v>1.0</v>
      </c>
      <c r="P1920" s="266" t="s">
        <v>166</v>
      </c>
      <c r="Q1920" s="266" t="s">
        <v>166</v>
      </c>
      <c r="R1920" s="497" t="s">
        <v>166</v>
      </c>
      <c r="S1920" s="497" t="s">
        <v>166</v>
      </c>
      <c r="T1920" s="496"/>
    </row>
    <row r="1921">
      <c r="A1921" s="494" t="s">
        <v>3401</v>
      </c>
      <c r="B1921" s="495" t="s">
        <v>3590</v>
      </c>
      <c r="C1921" s="174" t="s">
        <v>3456</v>
      </c>
      <c r="D1921" s="452" t="s">
        <v>4203</v>
      </c>
      <c r="E1921" s="266">
        <v>300.0</v>
      </c>
      <c r="F1921" s="266">
        <v>116.0</v>
      </c>
      <c r="G1921" s="266">
        <v>57.0</v>
      </c>
      <c r="H1921" s="266">
        <v>3.0</v>
      </c>
      <c r="I1921" s="266">
        <v>1755.0</v>
      </c>
      <c r="J1921" s="266">
        <v>14.0</v>
      </c>
      <c r="K1921" s="266">
        <v>220.0</v>
      </c>
      <c r="L1921" s="266">
        <v>8.0</v>
      </c>
      <c r="M1921" s="266">
        <v>3.0</v>
      </c>
      <c r="N1921" s="266">
        <v>3.0</v>
      </c>
      <c r="O1921" s="266">
        <v>1.0</v>
      </c>
      <c r="P1921" s="266" t="s">
        <v>166</v>
      </c>
      <c r="Q1921" s="266" t="s">
        <v>166</v>
      </c>
      <c r="R1921" s="497" t="s">
        <v>166</v>
      </c>
      <c r="S1921" s="497" t="s">
        <v>166</v>
      </c>
      <c r="T1921" s="494"/>
    </row>
    <row r="1922">
      <c r="A1922" s="494" t="s">
        <v>3401</v>
      </c>
      <c r="B1922" s="495" t="s">
        <v>3590</v>
      </c>
      <c r="C1922" s="174" t="s">
        <v>3456</v>
      </c>
      <c r="D1922" s="452" t="s">
        <v>4289</v>
      </c>
      <c r="E1922" s="266">
        <v>300.0</v>
      </c>
      <c r="F1922" s="266">
        <v>116.0</v>
      </c>
      <c r="G1922" s="266">
        <v>57.0</v>
      </c>
      <c r="H1922" s="518">
        <v>2.0</v>
      </c>
      <c r="I1922" s="518">
        <v>1725.0</v>
      </c>
      <c r="J1922" s="518">
        <v>14.0</v>
      </c>
      <c r="K1922" s="266">
        <v>220.0</v>
      </c>
      <c r="L1922" s="518">
        <v>8.0</v>
      </c>
      <c r="M1922" s="266">
        <v>3.0</v>
      </c>
      <c r="N1922" s="266">
        <v>3.0</v>
      </c>
      <c r="O1922" s="266">
        <v>1.0</v>
      </c>
      <c r="P1922" s="266" t="s">
        <v>166</v>
      </c>
      <c r="Q1922" s="266" t="s">
        <v>166</v>
      </c>
      <c r="R1922" s="497" t="s">
        <v>166</v>
      </c>
      <c r="S1922" s="497" t="s">
        <v>166</v>
      </c>
      <c r="T1922" s="496"/>
    </row>
    <row r="1923">
      <c r="A1923" s="494" t="s">
        <v>3401</v>
      </c>
      <c r="B1923" s="495" t="s">
        <v>3590</v>
      </c>
      <c r="C1923" s="174" t="s">
        <v>3456</v>
      </c>
      <c r="D1923" s="452" t="s">
        <v>4290</v>
      </c>
      <c r="E1923" s="266">
        <v>300.0</v>
      </c>
      <c r="F1923" s="266">
        <v>116.0</v>
      </c>
      <c r="G1923" s="266">
        <v>57.0</v>
      </c>
      <c r="H1923" s="518">
        <v>2.0</v>
      </c>
      <c r="I1923" s="518">
        <v>1725.0</v>
      </c>
      <c r="J1923" s="518">
        <v>14.0</v>
      </c>
      <c r="K1923" s="266">
        <v>220.0</v>
      </c>
      <c r="L1923" s="518">
        <v>8.0</v>
      </c>
      <c r="M1923" s="266">
        <v>3.0</v>
      </c>
      <c r="N1923" s="266">
        <v>3.0</v>
      </c>
      <c r="O1923" s="266">
        <v>1.0</v>
      </c>
      <c r="P1923" s="266" t="s">
        <v>166</v>
      </c>
      <c r="Q1923" s="266" t="s">
        <v>166</v>
      </c>
      <c r="R1923" s="497" t="s">
        <v>166</v>
      </c>
      <c r="S1923" s="497" t="s">
        <v>166</v>
      </c>
      <c r="T1923" s="494"/>
    </row>
    <row r="1924">
      <c r="A1924" s="494" t="s">
        <v>3401</v>
      </c>
      <c r="B1924" s="495" t="s">
        <v>3590</v>
      </c>
      <c r="C1924" s="174" t="s">
        <v>3456</v>
      </c>
      <c r="D1924" s="452" t="s">
        <v>4291</v>
      </c>
      <c r="E1924" s="266">
        <v>300.0</v>
      </c>
      <c r="F1924" s="266">
        <v>116.0</v>
      </c>
      <c r="G1924" s="266">
        <v>57.0</v>
      </c>
      <c r="H1924" s="518">
        <v>2.0</v>
      </c>
      <c r="I1924" s="518">
        <v>1755.0</v>
      </c>
      <c r="J1924" s="518">
        <v>14.0</v>
      </c>
      <c r="K1924" s="266">
        <v>220.0</v>
      </c>
      <c r="L1924" s="518">
        <v>8.0</v>
      </c>
      <c r="M1924" s="266">
        <v>3.0</v>
      </c>
      <c r="N1924" s="266">
        <v>3.0</v>
      </c>
      <c r="O1924" s="266">
        <v>1.0</v>
      </c>
      <c r="P1924" s="266" t="s">
        <v>166</v>
      </c>
      <c r="Q1924" s="266" t="s">
        <v>166</v>
      </c>
      <c r="R1924" s="497" t="s">
        <v>166</v>
      </c>
      <c r="S1924" s="497" t="s">
        <v>166</v>
      </c>
      <c r="T1924" s="496"/>
    </row>
    <row r="1925">
      <c r="A1925" s="494" t="s">
        <v>3401</v>
      </c>
      <c r="B1925" s="495" t="s">
        <v>3590</v>
      </c>
      <c r="C1925" s="174" t="s">
        <v>3456</v>
      </c>
      <c r="D1925" s="452" t="s">
        <v>4292</v>
      </c>
      <c r="E1925" s="266">
        <v>300.0</v>
      </c>
      <c r="F1925" s="266">
        <v>116.0</v>
      </c>
      <c r="G1925" s="266">
        <v>57.0</v>
      </c>
      <c r="H1925" s="518">
        <v>2.0</v>
      </c>
      <c r="I1925" s="518">
        <v>1755.0</v>
      </c>
      <c r="J1925" s="518">
        <v>14.0</v>
      </c>
      <c r="K1925" s="266">
        <v>220.0</v>
      </c>
      <c r="L1925" s="518">
        <v>8.0</v>
      </c>
      <c r="M1925" s="266">
        <v>3.0</v>
      </c>
      <c r="N1925" s="266">
        <v>3.0</v>
      </c>
      <c r="O1925" s="266">
        <v>1.0</v>
      </c>
      <c r="P1925" s="266" t="s">
        <v>166</v>
      </c>
      <c r="Q1925" s="266" t="s">
        <v>166</v>
      </c>
      <c r="R1925" s="497" t="s">
        <v>166</v>
      </c>
      <c r="S1925" s="497" t="s">
        <v>166</v>
      </c>
      <c r="T1925" s="494"/>
    </row>
    <row r="1926">
      <c r="A1926" s="494" t="s">
        <v>3401</v>
      </c>
      <c r="B1926" s="495" t="s">
        <v>3590</v>
      </c>
      <c r="C1926" s="174" t="s">
        <v>3456</v>
      </c>
      <c r="D1926" s="452" t="s">
        <v>4204</v>
      </c>
      <c r="E1926" s="266">
        <v>318.0</v>
      </c>
      <c r="F1926" s="518">
        <v>107.0</v>
      </c>
      <c r="G1926" s="518">
        <v>50.0</v>
      </c>
      <c r="H1926" s="518">
        <v>2.0</v>
      </c>
      <c r="I1926" s="518">
        <v>1725.0</v>
      </c>
      <c r="J1926" s="518">
        <v>14.0</v>
      </c>
      <c r="K1926" s="266">
        <v>220.0</v>
      </c>
      <c r="L1926" s="518">
        <v>8.0</v>
      </c>
      <c r="M1926" s="266">
        <v>3.0</v>
      </c>
      <c r="N1926" s="266">
        <v>3.0</v>
      </c>
      <c r="O1926" s="266">
        <v>1.0</v>
      </c>
      <c r="P1926" s="266" t="s">
        <v>166</v>
      </c>
      <c r="Q1926" s="266" t="s">
        <v>166</v>
      </c>
      <c r="R1926" s="497" t="s">
        <v>166</v>
      </c>
      <c r="S1926" s="497" t="s">
        <v>166</v>
      </c>
      <c r="T1926" s="496"/>
    </row>
    <row r="1927">
      <c r="A1927" s="494" t="s">
        <v>3401</v>
      </c>
      <c r="B1927" s="495" t="s">
        <v>3590</v>
      </c>
      <c r="C1927" s="174" t="s">
        <v>3456</v>
      </c>
      <c r="D1927" s="452" t="s">
        <v>4205</v>
      </c>
      <c r="E1927" s="266">
        <v>318.0</v>
      </c>
      <c r="F1927" s="518">
        <v>107.0</v>
      </c>
      <c r="G1927" s="518">
        <v>50.0</v>
      </c>
      <c r="H1927" s="518">
        <v>2.0</v>
      </c>
      <c r="I1927" s="518">
        <v>1725.0</v>
      </c>
      <c r="J1927" s="518">
        <v>14.0</v>
      </c>
      <c r="K1927" s="266">
        <v>220.0</v>
      </c>
      <c r="L1927" s="518">
        <v>8.0</v>
      </c>
      <c r="M1927" s="266">
        <v>3.0</v>
      </c>
      <c r="N1927" s="266">
        <v>3.0</v>
      </c>
      <c r="O1927" s="266">
        <v>1.0</v>
      </c>
      <c r="P1927" s="266" t="s">
        <v>166</v>
      </c>
      <c r="Q1927" s="266" t="s">
        <v>166</v>
      </c>
      <c r="R1927" s="497" t="s">
        <v>166</v>
      </c>
      <c r="S1927" s="497" t="s">
        <v>166</v>
      </c>
      <c r="T1927" s="494"/>
    </row>
    <row r="1928">
      <c r="A1928" s="494" t="s">
        <v>3401</v>
      </c>
      <c r="B1928" s="495" t="s">
        <v>3590</v>
      </c>
      <c r="C1928" s="174" t="s">
        <v>3456</v>
      </c>
      <c r="D1928" s="452" t="s">
        <v>4206</v>
      </c>
      <c r="E1928" s="266">
        <v>318.0</v>
      </c>
      <c r="F1928" s="518">
        <v>107.0</v>
      </c>
      <c r="G1928" s="518">
        <v>50.0</v>
      </c>
      <c r="H1928" s="518">
        <v>2.0</v>
      </c>
      <c r="I1928" s="518">
        <v>1755.0</v>
      </c>
      <c r="J1928" s="518">
        <v>14.0</v>
      </c>
      <c r="K1928" s="266">
        <v>220.0</v>
      </c>
      <c r="L1928" s="518">
        <v>8.0</v>
      </c>
      <c r="M1928" s="266">
        <v>3.0</v>
      </c>
      <c r="N1928" s="266">
        <v>3.0</v>
      </c>
      <c r="O1928" s="266">
        <v>1.0</v>
      </c>
      <c r="P1928" s="266" t="s">
        <v>166</v>
      </c>
      <c r="Q1928" s="266" t="s">
        <v>166</v>
      </c>
      <c r="R1928" s="497" t="s">
        <v>166</v>
      </c>
      <c r="S1928" s="497" t="s">
        <v>166</v>
      </c>
      <c r="T1928" s="496"/>
    </row>
    <row r="1929">
      <c r="A1929" s="494" t="s">
        <v>3401</v>
      </c>
      <c r="B1929" s="495" t="s">
        <v>3590</v>
      </c>
      <c r="C1929" s="174" t="s">
        <v>3456</v>
      </c>
      <c r="D1929" s="452" t="s">
        <v>4207</v>
      </c>
      <c r="E1929" s="266">
        <v>318.0</v>
      </c>
      <c r="F1929" s="518">
        <v>107.0</v>
      </c>
      <c r="G1929" s="518">
        <v>50.0</v>
      </c>
      <c r="H1929" s="518">
        <v>2.0</v>
      </c>
      <c r="I1929" s="518">
        <v>1755.0</v>
      </c>
      <c r="J1929" s="518">
        <v>14.0</v>
      </c>
      <c r="K1929" s="266">
        <v>220.0</v>
      </c>
      <c r="L1929" s="518">
        <v>8.0</v>
      </c>
      <c r="M1929" s="266">
        <v>3.0</v>
      </c>
      <c r="N1929" s="266">
        <v>3.0</v>
      </c>
      <c r="O1929" s="266">
        <v>1.0</v>
      </c>
      <c r="P1929" s="266" t="s">
        <v>166</v>
      </c>
      <c r="Q1929" s="266" t="s">
        <v>166</v>
      </c>
      <c r="R1929" s="497" t="s">
        <v>166</v>
      </c>
      <c r="S1929" s="497" t="s">
        <v>166</v>
      </c>
      <c r="T1929" s="494"/>
    </row>
    <row r="1930">
      <c r="A1930" s="494" t="s">
        <v>3401</v>
      </c>
      <c r="B1930" s="495" t="s">
        <v>3590</v>
      </c>
      <c r="C1930" s="174" t="s">
        <v>3456</v>
      </c>
      <c r="D1930" s="452" t="s">
        <v>4257</v>
      </c>
      <c r="E1930" s="266">
        <v>316.0</v>
      </c>
      <c r="F1930" s="266">
        <v>132.0</v>
      </c>
      <c r="G1930" s="266">
        <v>53.0</v>
      </c>
      <c r="H1930" s="266">
        <v>2.0</v>
      </c>
      <c r="I1930" s="266">
        <v>1725.0</v>
      </c>
      <c r="J1930" s="266">
        <v>14.0</v>
      </c>
      <c r="K1930" s="266">
        <v>220.0</v>
      </c>
      <c r="L1930" s="266" t="s">
        <v>3460</v>
      </c>
      <c r="M1930" s="266">
        <v>3.0</v>
      </c>
      <c r="N1930" s="266">
        <v>3.0</v>
      </c>
      <c r="O1930" s="266">
        <v>1.0</v>
      </c>
      <c r="P1930" s="266" t="s">
        <v>166</v>
      </c>
      <c r="Q1930" s="266" t="s">
        <v>166</v>
      </c>
      <c r="R1930" s="497" t="s">
        <v>166</v>
      </c>
      <c r="S1930" s="497" t="s">
        <v>166</v>
      </c>
      <c r="T1930" s="496"/>
    </row>
    <row r="1931">
      <c r="A1931" s="494" t="s">
        <v>3401</v>
      </c>
      <c r="B1931" s="495" t="s">
        <v>3590</v>
      </c>
      <c r="C1931" s="174" t="s">
        <v>3456</v>
      </c>
      <c r="D1931" s="452" t="s">
        <v>4208</v>
      </c>
      <c r="E1931" s="266">
        <v>316.0</v>
      </c>
      <c r="F1931" s="266">
        <v>132.0</v>
      </c>
      <c r="G1931" s="266">
        <v>53.0</v>
      </c>
      <c r="H1931" s="266">
        <v>2.0</v>
      </c>
      <c r="I1931" s="266">
        <v>1725.0</v>
      </c>
      <c r="J1931" s="266">
        <v>14.0</v>
      </c>
      <c r="K1931" s="266">
        <v>220.0</v>
      </c>
      <c r="L1931" s="266" t="s">
        <v>3460</v>
      </c>
      <c r="M1931" s="266">
        <v>3.0</v>
      </c>
      <c r="N1931" s="266">
        <v>3.0</v>
      </c>
      <c r="O1931" s="266">
        <v>1.0</v>
      </c>
      <c r="P1931" s="266" t="s">
        <v>166</v>
      </c>
      <c r="Q1931" s="266" t="s">
        <v>166</v>
      </c>
      <c r="R1931" s="497" t="s">
        <v>166</v>
      </c>
      <c r="S1931" s="497" t="s">
        <v>166</v>
      </c>
      <c r="T1931" s="494"/>
    </row>
    <row r="1932">
      <c r="A1932" s="494" t="s">
        <v>3401</v>
      </c>
      <c r="B1932" s="495" t="s">
        <v>3590</v>
      </c>
      <c r="C1932" s="174" t="s">
        <v>3456</v>
      </c>
      <c r="D1932" s="174" t="s">
        <v>4209</v>
      </c>
      <c r="E1932" s="266">
        <v>316.0</v>
      </c>
      <c r="F1932" s="266">
        <v>132.0</v>
      </c>
      <c r="G1932" s="266">
        <v>53.0</v>
      </c>
      <c r="H1932" s="266">
        <v>2.0</v>
      </c>
      <c r="I1932" s="266">
        <v>1725.0</v>
      </c>
      <c r="J1932" s="266">
        <v>14.0</v>
      </c>
      <c r="K1932" s="266">
        <v>220.0</v>
      </c>
      <c r="L1932" s="266" t="s">
        <v>3460</v>
      </c>
      <c r="M1932" s="266">
        <v>3.0</v>
      </c>
      <c r="N1932" s="266">
        <v>3.0</v>
      </c>
      <c r="O1932" s="266">
        <v>1.0</v>
      </c>
      <c r="P1932" s="266" t="s">
        <v>166</v>
      </c>
      <c r="Q1932" s="266" t="s">
        <v>166</v>
      </c>
      <c r="R1932" s="497" t="s">
        <v>166</v>
      </c>
      <c r="S1932" s="497" t="s">
        <v>166</v>
      </c>
      <c r="T1932" s="494"/>
    </row>
    <row r="1933">
      <c r="A1933" s="494" t="s">
        <v>3401</v>
      </c>
      <c r="B1933" s="495" t="s">
        <v>3590</v>
      </c>
      <c r="C1933" s="174" t="s">
        <v>3456</v>
      </c>
      <c r="D1933" s="452" t="s">
        <v>4258</v>
      </c>
      <c r="E1933" s="266">
        <v>316.0</v>
      </c>
      <c r="F1933" s="266">
        <v>132.0</v>
      </c>
      <c r="G1933" s="266">
        <v>53.0</v>
      </c>
      <c r="H1933" s="266">
        <v>2.0</v>
      </c>
      <c r="I1933" s="266">
        <v>1785.0</v>
      </c>
      <c r="J1933" s="266">
        <v>14.0</v>
      </c>
      <c r="K1933" s="266">
        <v>240.0</v>
      </c>
      <c r="L1933" s="266" t="s">
        <v>3460</v>
      </c>
      <c r="M1933" s="266">
        <v>3.0</v>
      </c>
      <c r="N1933" s="266">
        <v>3.0</v>
      </c>
      <c r="O1933" s="266">
        <v>1.0</v>
      </c>
      <c r="P1933" s="266" t="s">
        <v>166</v>
      </c>
      <c r="Q1933" s="266" t="s">
        <v>166</v>
      </c>
      <c r="R1933" s="497" t="s">
        <v>166</v>
      </c>
      <c r="S1933" s="497" t="s">
        <v>166</v>
      </c>
      <c r="T1933" s="496"/>
    </row>
    <row r="1934">
      <c r="A1934" s="494" t="s">
        <v>3401</v>
      </c>
      <c r="B1934" s="495" t="s">
        <v>3590</v>
      </c>
      <c r="C1934" s="174" t="s">
        <v>3456</v>
      </c>
      <c r="D1934" s="452" t="s">
        <v>4293</v>
      </c>
      <c r="E1934" s="266">
        <v>316.0</v>
      </c>
      <c r="F1934" s="266">
        <v>132.0</v>
      </c>
      <c r="G1934" s="266">
        <v>53.0</v>
      </c>
      <c r="H1934" s="266">
        <v>2.0</v>
      </c>
      <c r="I1934" s="266">
        <v>1785.0</v>
      </c>
      <c r="J1934" s="266">
        <v>14.0</v>
      </c>
      <c r="K1934" s="266">
        <v>240.0</v>
      </c>
      <c r="L1934" s="266" t="s">
        <v>3460</v>
      </c>
      <c r="M1934" s="266">
        <v>3.0</v>
      </c>
      <c r="N1934" s="266">
        <v>3.0</v>
      </c>
      <c r="O1934" s="266">
        <v>1.0</v>
      </c>
      <c r="P1934" s="266" t="s">
        <v>166</v>
      </c>
      <c r="Q1934" s="266" t="s">
        <v>166</v>
      </c>
      <c r="R1934" s="497" t="s">
        <v>166</v>
      </c>
      <c r="S1934" s="497" t="s">
        <v>166</v>
      </c>
      <c r="T1934" s="494"/>
    </row>
    <row r="1935">
      <c r="A1935" s="494" t="s">
        <v>3401</v>
      </c>
      <c r="B1935" s="495" t="s">
        <v>3590</v>
      </c>
      <c r="C1935" s="174" t="s">
        <v>3456</v>
      </c>
      <c r="D1935" s="174" t="s">
        <v>4210</v>
      </c>
      <c r="E1935" s="266">
        <v>316.0</v>
      </c>
      <c r="F1935" s="266">
        <v>132.0</v>
      </c>
      <c r="G1935" s="266">
        <v>53.0</v>
      </c>
      <c r="H1935" s="518">
        <v>2.0</v>
      </c>
      <c r="I1935" s="518">
        <v>1785.0</v>
      </c>
      <c r="J1935" s="266">
        <v>14.0</v>
      </c>
      <c r="K1935" s="266">
        <v>240.0</v>
      </c>
      <c r="L1935" s="266" t="s">
        <v>3460</v>
      </c>
      <c r="M1935" s="266">
        <v>3.0</v>
      </c>
      <c r="N1935" s="266">
        <v>3.0</v>
      </c>
      <c r="O1935" s="266">
        <v>1.0</v>
      </c>
      <c r="P1935" s="266" t="s">
        <v>166</v>
      </c>
      <c r="Q1935" s="266" t="s">
        <v>166</v>
      </c>
      <c r="R1935" s="497" t="s">
        <v>166</v>
      </c>
      <c r="S1935" s="497" t="s">
        <v>166</v>
      </c>
      <c r="T1935" s="494"/>
    </row>
    <row r="1936">
      <c r="A1936" s="494" t="s">
        <v>3401</v>
      </c>
      <c r="B1936" s="495" t="s">
        <v>3590</v>
      </c>
      <c r="C1936" s="174" t="s">
        <v>3456</v>
      </c>
      <c r="D1936" s="452" t="s">
        <v>4003</v>
      </c>
      <c r="E1936" s="266">
        <v>337.0</v>
      </c>
      <c r="F1936" s="518">
        <v>135.0</v>
      </c>
      <c r="G1936" s="518">
        <v>53.0</v>
      </c>
      <c r="H1936" s="518">
        <v>2.0</v>
      </c>
      <c r="I1936" s="518">
        <v>1725.0</v>
      </c>
      <c r="J1936" s="518">
        <v>14.0</v>
      </c>
      <c r="K1936" s="266">
        <v>220.0</v>
      </c>
      <c r="L1936" s="516" t="s">
        <v>3460</v>
      </c>
      <c r="M1936" s="266">
        <v>3.0</v>
      </c>
      <c r="N1936" s="516">
        <v>3.0</v>
      </c>
      <c r="O1936" s="516">
        <v>1.0</v>
      </c>
      <c r="P1936" s="266" t="s">
        <v>166</v>
      </c>
      <c r="Q1936" s="266" t="s">
        <v>166</v>
      </c>
      <c r="R1936" s="497" t="s">
        <v>166</v>
      </c>
      <c r="S1936" s="497" t="s">
        <v>166</v>
      </c>
      <c r="T1936" s="496"/>
    </row>
    <row r="1937">
      <c r="A1937" s="494" t="s">
        <v>3401</v>
      </c>
      <c r="B1937" s="495" t="s">
        <v>3590</v>
      </c>
      <c r="C1937" s="174" t="s">
        <v>3456</v>
      </c>
      <c r="D1937" s="452" t="s">
        <v>4211</v>
      </c>
      <c r="E1937" s="266">
        <v>337.0</v>
      </c>
      <c r="F1937" s="518">
        <v>135.0</v>
      </c>
      <c r="G1937" s="518">
        <v>53.0</v>
      </c>
      <c r="H1937" s="518">
        <v>2.0</v>
      </c>
      <c r="I1937" s="518">
        <v>1725.0</v>
      </c>
      <c r="J1937" s="518">
        <v>14.0</v>
      </c>
      <c r="K1937" s="266">
        <v>220.0</v>
      </c>
      <c r="L1937" s="516" t="s">
        <v>3460</v>
      </c>
      <c r="M1937" s="266">
        <v>3.0</v>
      </c>
      <c r="N1937" s="516">
        <v>3.0</v>
      </c>
      <c r="O1937" s="516">
        <v>1.0</v>
      </c>
      <c r="P1937" s="266" t="s">
        <v>166</v>
      </c>
      <c r="Q1937" s="266" t="s">
        <v>166</v>
      </c>
      <c r="R1937" s="497" t="s">
        <v>166</v>
      </c>
      <c r="S1937" s="497" t="s">
        <v>166</v>
      </c>
      <c r="T1937" s="494"/>
    </row>
    <row r="1938">
      <c r="A1938" s="494" t="s">
        <v>3401</v>
      </c>
      <c r="B1938" s="495" t="s">
        <v>3590</v>
      </c>
      <c r="C1938" s="174" t="s">
        <v>3456</v>
      </c>
      <c r="D1938" s="452" t="s">
        <v>4004</v>
      </c>
      <c r="E1938" s="266">
        <v>337.0</v>
      </c>
      <c r="F1938" s="518">
        <v>135.0</v>
      </c>
      <c r="G1938" s="518">
        <v>53.0</v>
      </c>
      <c r="H1938" s="518">
        <v>2.0</v>
      </c>
      <c r="I1938" s="518">
        <v>1800.0</v>
      </c>
      <c r="J1938" s="518">
        <v>14.0</v>
      </c>
      <c r="K1938" s="266">
        <v>240.0</v>
      </c>
      <c r="L1938" s="516" t="s">
        <v>3460</v>
      </c>
      <c r="M1938" s="266">
        <v>3.0</v>
      </c>
      <c r="N1938" s="516">
        <v>3.0</v>
      </c>
      <c r="O1938" s="516">
        <v>1.0</v>
      </c>
      <c r="P1938" s="266" t="s">
        <v>166</v>
      </c>
      <c r="Q1938" s="266" t="s">
        <v>166</v>
      </c>
      <c r="R1938" s="497" t="s">
        <v>166</v>
      </c>
      <c r="S1938" s="497" t="s">
        <v>166</v>
      </c>
      <c r="T1938" s="496"/>
    </row>
    <row r="1939">
      <c r="A1939" s="494" t="s">
        <v>3401</v>
      </c>
      <c r="B1939" s="495" t="s">
        <v>3590</v>
      </c>
      <c r="C1939" s="174" t="s">
        <v>3456</v>
      </c>
      <c r="D1939" s="452" t="s">
        <v>4212</v>
      </c>
      <c r="E1939" s="266">
        <v>337.0</v>
      </c>
      <c r="F1939" s="518">
        <v>135.0</v>
      </c>
      <c r="G1939" s="518">
        <v>53.0</v>
      </c>
      <c r="H1939" s="518">
        <v>2.0</v>
      </c>
      <c r="I1939" s="518">
        <v>1800.0</v>
      </c>
      <c r="J1939" s="518">
        <v>14.0</v>
      </c>
      <c r="K1939" s="266">
        <v>240.0</v>
      </c>
      <c r="L1939" s="516" t="s">
        <v>3460</v>
      </c>
      <c r="M1939" s="266">
        <v>3.0</v>
      </c>
      <c r="N1939" s="516">
        <v>3.0</v>
      </c>
      <c r="O1939" s="516">
        <v>1.0</v>
      </c>
      <c r="P1939" s="266" t="s">
        <v>166</v>
      </c>
      <c r="Q1939" s="266" t="s">
        <v>166</v>
      </c>
      <c r="R1939" s="497" t="s">
        <v>166</v>
      </c>
      <c r="S1939" s="497" t="s">
        <v>166</v>
      </c>
      <c r="T1939" s="494"/>
    </row>
    <row r="1940">
      <c r="A1940" s="494" t="s">
        <v>3401</v>
      </c>
      <c r="B1940" s="495" t="s">
        <v>3590</v>
      </c>
      <c r="C1940" s="174" t="s">
        <v>3456</v>
      </c>
      <c r="D1940" s="452" t="s">
        <v>4294</v>
      </c>
      <c r="E1940" s="266">
        <v>238.0</v>
      </c>
      <c r="F1940" s="266">
        <v>128.0</v>
      </c>
      <c r="G1940" s="266">
        <v>54.0</v>
      </c>
      <c r="H1940" s="266">
        <v>2.0</v>
      </c>
      <c r="I1940" s="266">
        <v>1740.0</v>
      </c>
      <c r="J1940" s="266">
        <v>14.0</v>
      </c>
      <c r="K1940" s="266">
        <v>220.0</v>
      </c>
      <c r="L1940" s="266" t="s">
        <v>3460</v>
      </c>
      <c r="M1940" s="266">
        <v>2.0</v>
      </c>
      <c r="N1940" s="266">
        <v>3.0</v>
      </c>
      <c r="O1940" s="266">
        <v>1.0</v>
      </c>
      <c r="P1940" s="266" t="s">
        <v>166</v>
      </c>
      <c r="Q1940" s="266" t="s">
        <v>166</v>
      </c>
      <c r="R1940" s="497" t="s">
        <v>166</v>
      </c>
      <c r="S1940" s="497" t="s">
        <v>166</v>
      </c>
      <c r="T1940" s="496"/>
    </row>
    <row r="1941">
      <c r="A1941" s="494" t="s">
        <v>3401</v>
      </c>
      <c r="B1941" s="495" t="s">
        <v>3590</v>
      </c>
      <c r="C1941" s="174" t="s">
        <v>3456</v>
      </c>
      <c r="D1941" s="452" t="s">
        <v>4295</v>
      </c>
      <c r="E1941" s="266">
        <v>238.0</v>
      </c>
      <c r="F1941" s="266">
        <v>128.0</v>
      </c>
      <c r="G1941" s="266">
        <v>54.0</v>
      </c>
      <c r="H1941" s="266">
        <v>2.0</v>
      </c>
      <c r="I1941" s="266">
        <v>1740.0</v>
      </c>
      <c r="J1941" s="266">
        <v>14.0</v>
      </c>
      <c r="K1941" s="266">
        <v>220.0</v>
      </c>
      <c r="L1941" s="266" t="s">
        <v>3460</v>
      </c>
      <c r="M1941" s="266">
        <v>2.0</v>
      </c>
      <c r="N1941" s="266">
        <v>3.0</v>
      </c>
      <c r="O1941" s="266">
        <v>1.0</v>
      </c>
      <c r="P1941" s="266" t="s">
        <v>166</v>
      </c>
      <c r="Q1941" s="266" t="s">
        <v>166</v>
      </c>
      <c r="R1941" s="497" t="s">
        <v>166</v>
      </c>
      <c r="S1941" s="497" t="s">
        <v>166</v>
      </c>
      <c r="T1941" s="494"/>
    </row>
    <row r="1942">
      <c r="A1942" s="494" t="s">
        <v>3401</v>
      </c>
      <c r="B1942" s="495" t="s">
        <v>3590</v>
      </c>
      <c r="C1942" s="174" t="s">
        <v>3456</v>
      </c>
      <c r="D1942" s="452" t="s">
        <v>4062</v>
      </c>
      <c r="E1942" s="266">
        <v>317.0</v>
      </c>
      <c r="F1942" s="266">
        <v>113.0</v>
      </c>
      <c r="G1942" s="266">
        <v>61.0</v>
      </c>
      <c r="H1942" s="266">
        <v>2.0</v>
      </c>
      <c r="I1942" s="266">
        <v>1740.0</v>
      </c>
      <c r="J1942" s="266">
        <v>14.0</v>
      </c>
      <c r="K1942" s="266">
        <v>220.0</v>
      </c>
      <c r="L1942" s="266">
        <v>8.0</v>
      </c>
      <c r="M1942" s="266">
        <v>3.0</v>
      </c>
      <c r="N1942" s="266">
        <v>3.0</v>
      </c>
      <c r="O1942" s="266">
        <v>1.0</v>
      </c>
      <c r="P1942" s="266" t="s">
        <v>166</v>
      </c>
      <c r="Q1942" s="266" t="s">
        <v>166</v>
      </c>
      <c r="R1942" s="497" t="s">
        <v>166</v>
      </c>
      <c r="S1942" s="497" t="s">
        <v>166</v>
      </c>
      <c r="T1942" s="496"/>
    </row>
    <row r="1943">
      <c r="A1943" s="494" t="s">
        <v>3401</v>
      </c>
      <c r="B1943" s="495" t="s">
        <v>3590</v>
      </c>
      <c r="C1943" s="174" t="s">
        <v>3456</v>
      </c>
      <c r="D1943" s="452" t="s">
        <v>4296</v>
      </c>
      <c r="E1943" s="266">
        <v>317.0</v>
      </c>
      <c r="F1943" s="266">
        <v>113.0</v>
      </c>
      <c r="G1943" s="266">
        <v>61.0</v>
      </c>
      <c r="H1943" s="266">
        <v>2.0</v>
      </c>
      <c r="I1943" s="266">
        <v>1740.0</v>
      </c>
      <c r="J1943" s="266">
        <v>14.0</v>
      </c>
      <c r="K1943" s="266">
        <v>220.0</v>
      </c>
      <c r="L1943" s="266">
        <v>8.0</v>
      </c>
      <c r="M1943" s="266">
        <v>3.0</v>
      </c>
      <c r="N1943" s="266">
        <v>3.0</v>
      </c>
      <c r="O1943" s="266">
        <v>1.0</v>
      </c>
      <c r="P1943" s="266" t="s">
        <v>166</v>
      </c>
      <c r="Q1943" s="266" t="s">
        <v>166</v>
      </c>
      <c r="R1943" s="497" t="s">
        <v>166</v>
      </c>
      <c r="S1943" s="497" t="s">
        <v>166</v>
      </c>
      <c r="T1943" s="494"/>
    </row>
    <row r="1944">
      <c r="A1944" s="494" t="s">
        <v>3401</v>
      </c>
      <c r="B1944" s="495" t="s">
        <v>3590</v>
      </c>
      <c r="C1944" s="174" t="s">
        <v>3456</v>
      </c>
      <c r="D1944" s="452" t="s">
        <v>3489</v>
      </c>
      <c r="E1944" s="266">
        <v>285.0</v>
      </c>
      <c r="F1944" s="266">
        <v>124.0</v>
      </c>
      <c r="G1944" s="266">
        <v>58.0</v>
      </c>
      <c r="H1944" s="266">
        <v>2.0</v>
      </c>
      <c r="I1944" s="266">
        <v>1770.0</v>
      </c>
      <c r="J1944" s="266">
        <v>14.0</v>
      </c>
      <c r="K1944" s="266">
        <v>220.0</v>
      </c>
      <c r="L1944" s="266" t="s">
        <v>3460</v>
      </c>
      <c r="M1944" s="266">
        <v>2.0</v>
      </c>
      <c r="N1944" s="266">
        <v>3.0</v>
      </c>
      <c r="O1944" s="266">
        <v>1.0</v>
      </c>
      <c r="P1944" s="266" t="s">
        <v>166</v>
      </c>
      <c r="Q1944" s="266" t="s">
        <v>166</v>
      </c>
      <c r="R1944" s="497" t="s">
        <v>166</v>
      </c>
      <c r="S1944" s="497" t="s">
        <v>166</v>
      </c>
      <c r="T1944" s="496"/>
    </row>
    <row r="1945">
      <c r="A1945" s="494" t="s">
        <v>3401</v>
      </c>
      <c r="B1945" s="495" t="s">
        <v>3590</v>
      </c>
      <c r="C1945" s="174" t="s">
        <v>3456</v>
      </c>
      <c r="D1945" s="452" t="s">
        <v>4215</v>
      </c>
      <c r="E1945" s="266">
        <v>285.0</v>
      </c>
      <c r="F1945" s="266">
        <v>124.0</v>
      </c>
      <c r="G1945" s="266">
        <v>58.0</v>
      </c>
      <c r="H1945" s="266">
        <v>2.0</v>
      </c>
      <c r="I1945" s="266">
        <v>1770.0</v>
      </c>
      <c r="J1945" s="266">
        <v>14.0</v>
      </c>
      <c r="K1945" s="266">
        <v>220.0</v>
      </c>
      <c r="L1945" s="266" t="s">
        <v>3460</v>
      </c>
      <c r="M1945" s="266">
        <v>2.0</v>
      </c>
      <c r="N1945" s="266">
        <v>3.0</v>
      </c>
      <c r="O1945" s="266">
        <v>1.0</v>
      </c>
      <c r="P1945" s="266" t="s">
        <v>166</v>
      </c>
      <c r="Q1945" s="266" t="s">
        <v>166</v>
      </c>
      <c r="R1945" s="497" t="s">
        <v>166</v>
      </c>
      <c r="S1945" s="497" t="s">
        <v>166</v>
      </c>
      <c r="T1945" s="494"/>
    </row>
    <row r="1946">
      <c r="A1946" s="494" t="s">
        <v>3401</v>
      </c>
      <c r="B1946" s="495" t="s">
        <v>3590</v>
      </c>
      <c r="C1946" s="174" t="s">
        <v>3456</v>
      </c>
      <c r="D1946" s="452" t="s">
        <v>4297</v>
      </c>
      <c r="E1946" s="266">
        <v>285.0</v>
      </c>
      <c r="F1946" s="266">
        <v>124.0</v>
      </c>
      <c r="G1946" s="266">
        <v>58.0</v>
      </c>
      <c r="H1946" s="266">
        <v>2.0</v>
      </c>
      <c r="I1946" s="266">
        <v>1770.0</v>
      </c>
      <c r="J1946" s="266">
        <v>14.0</v>
      </c>
      <c r="K1946" s="266">
        <v>220.0</v>
      </c>
      <c r="L1946" s="266" t="s">
        <v>3460</v>
      </c>
      <c r="M1946" s="266">
        <v>2.0</v>
      </c>
      <c r="N1946" s="266">
        <v>3.0</v>
      </c>
      <c r="O1946" s="266">
        <v>1.0</v>
      </c>
      <c r="P1946" s="266" t="s">
        <v>166</v>
      </c>
      <c r="Q1946" s="266" t="s">
        <v>166</v>
      </c>
      <c r="R1946" s="497" t="s">
        <v>166</v>
      </c>
      <c r="S1946" s="497" t="s">
        <v>166</v>
      </c>
      <c r="T1946" s="496"/>
    </row>
    <row r="1947">
      <c r="A1947" s="494" t="s">
        <v>3401</v>
      </c>
      <c r="B1947" s="495" t="s">
        <v>3590</v>
      </c>
      <c r="C1947" s="174" t="s">
        <v>3456</v>
      </c>
      <c r="D1947" s="452" t="s">
        <v>3956</v>
      </c>
      <c r="E1947" s="631">
        <v>285.0</v>
      </c>
      <c r="F1947" s="632">
        <v>124.0</v>
      </c>
      <c r="G1947" s="600">
        <v>58.0</v>
      </c>
      <c r="H1947" s="513">
        <v>2.0</v>
      </c>
      <c r="I1947" s="633">
        <v>1770.0</v>
      </c>
      <c r="J1947" s="513">
        <v>14.0</v>
      </c>
      <c r="K1947" s="633">
        <v>220.0</v>
      </c>
      <c r="L1947" s="516" t="s">
        <v>3460</v>
      </c>
      <c r="M1947" s="516">
        <v>2.0</v>
      </c>
      <c r="N1947" s="516">
        <v>3.0</v>
      </c>
      <c r="O1947" s="516">
        <v>1.0</v>
      </c>
      <c r="P1947" s="266" t="s">
        <v>166</v>
      </c>
      <c r="Q1947" s="266" t="s">
        <v>166</v>
      </c>
      <c r="R1947" s="497" t="s">
        <v>166</v>
      </c>
      <c r="S1947" s="497" t="s">
        <v>166</v>
      </c>
      <c r="T1947" s="496"/>
    </row>
    <row r="1948">
      <c r="A1948" s="494" t="s">
        <v>3401</v>
      </c>
      <c r="B1948" s="495" t="s">
        <v>3590</v>
      </c>
      <c r="C1948" s="174" t="s">
        <v>3456</v>
      </c>
      <c r="D1948" s="452" t="s">
        <v>4216</v>
      </c>
      <c r="E1948" s="631">
        <v>285.0</v>
      </c>
      <c r="F1948" s="632">
        <v>124.0</v>
      </c>
      <c r="G1948" s="600">
        <v>58.0</v>
      </c>
      <c r="H1948" s="513">
        <v>2.0</v>
      </c>
      <c r="I1948" s="633">
        <v>1770.0</v>
      </c>
      <c r="J1948" s="513">
        <v>14.0</v>
      </c>
      <c r="K1948" s="633">
        <v>220.0</v>
      </c>
      <c r="L1948" s="516" t="s">
        <v>3460</v>
      </c>
      <c r="M1948" s="516">
        <v>2.0</v>
      </c>
      <c r="N1948" s="516">
        <v>3.0</v>
      </c>
      <c r="O1948" s="516">
        <v>1.0</v>
      </c>
      <c r="P1948" s="266" t="s">
        <v>166</v>
      </c>
      <c r="Q1948" s="266" t="s">
        <v>166</v>
      </c>
      <c r="R1948" s="497" t="s">
        <v>166</v>
      </c>
      <c r="S1948" s="497" t="s">
        <v>166</v>
      </c>
      <c r="T1948" s="494"/>
    </row>
    <row r="1949">
      <c r="A1949" s="494" t="s">
        <v>3401</v>
      </c>
      <c r="B1949" s="495" t="s">
        <v>3590</v>
      </c>
      <c r="C1949" s="174" t="s">
        <v>3456</v>
      </c>
      <c r="D1949" s="452" t="s">
        <v>3983</v>
      </c>
      <c r="E1949" s="266">
        <v>316.0</v>
      </c>
      <c r="F1949" s="266">
        <v>124.0</v>
      </c>
      <c r="G1949" s="266">
        <v>58.0</v>
      </c>
      <c r="H1949" s="513">
        <v>2.0</v>
      </c>
      <c r="I1949" s="633">
        <v>1770.0</v>
      </c>
      <c r="J1949" s="518">
        <v>14.0</v>
      </c>
      <c r="K1949" s="266">
        <v>240.0</v>
      </c>
      <c r="L1949" s="516" t="s">
        <v>3460</v>
      </c>
      <c r="M1949" s="266">
        <v>3.0</v>
      </c>
      <c r="N1949" s="516">
        <v>3.0</v>
      </c>
      <c r="O1949" s="516">
        <v>1.0</v>
      </c>
      <c r="P1949" s="266" t="s">
        <v>166</v>
      </c>
      <c r="Q1949" s="266" t="s">
        <v>166</v>
      </c>
      <c r="R1949" s="497" t="s">
        <v>166</v>
      </c>
      <c r="S1949" s="497" t="s">
        <v>166</v>
      </c>
      <c r="T1949" s="496"/>
    </row>
    <row r="1950">
      <c r="A1950" s="494" t="s">
        <v>3401</v>
      </c>
      <c r="B1950" s="495" t="s">
        <v>3590</v>
      </c>
      <c r="C1950" s="174" t="s">
        <v>3456</v>
      </c>
      <c r="D1950" s="452" t="s">
        <v>4298</v>
      </c>
      <c r="E1950" s="266">
        <v>316.0</v>
      </c>
      <c r="F1950" s="266">
        <v>124.0</v>
      </c>
      <c r="G1950" s="266">
        <v>58.0</v>
      </c>
      <c r="H1950" s="513">
        <v>2.0</v>
      </c>
      <c r="I1950" s="633">
        <v>1770.0</v>
      </c>
      <c r="J1950" s="518">
        <v>14.0</v>
      </c>
      <c r="K1950" s="266">
        <v>240.0</v>
      </c>
      <c r="L1950" s="516" t="s">
        <v>3460</v>
      </c>
      <c r="M1950" s="266">
        <v>3.0</v>
      </c>
      <c r="N1950" s="516">
        <v>3.0</v>
      </c>
      <c r="O1950" s="516">
        <v>1.0</v>
      </c>
      <c r="P1950" s="266" t="s">
        <v>166</v>
      </c>
      <c r="Q1950" s="266" t="s">
        <v>166</v>
      </c>
      <c r="R1950" s="497" t="s">
        <v>166</v>
      </c>
      <c r="S1950" s="497" t="s">
        <v>166</v>
      </c>
      <c r="T1950" s="494"/>
    </row>
    <row r="1951">
      <c r="A1951" s="494" t="s">
        <v>3401</v>
      </c>
      <c r="B1951" s="495" t="s">
        <v>3590</v>
      </c>
      <c r="C1951" s="174" t="s">
        <v>3456</v>
      </c>
      <c r="D1951" s="452" t="s">
        <v>4299</v>
      </c>
      <c r="E1951" s="266">
        <v>316.0</v>
      </c>
      <c r="F1951" s="266">
        <v>124.0</v>
      </c>
      <c r="G1951" s="266">
        <v>58.0</v>
      </c>
      <c r="H1951" s="513">
        <v>2.0</v>
      </c>
      <c r="I1951" s="633">
        <v>1770.0</v>
      </c>
      <c r="J1951" s="518">
        <v>14.0</v>
      </c>
      <c r="K1951" s="266">
        <v>240.0</v>
      </c>
      <c r="L1951" s="516" t="s">
        <v>3460</v>
      </c>
      <c r="M1951" s="266">
        <v>3.0</v>
      </c>
      <c r="N1951" s="516">
        <v>3.0</v>
      </c>
      <c r="O1951" s="516">
        <v>1.0</v>
      </c>
      <c r="P1951" s="266" t="s">
        <v>166</v>
      </c>
      <c r="Q1951" s="266" t="s">
        <v>166</v>
      </c>
      <c r="R1951" s="497" t="s">
        <v>166</v>
      </c>
      <c r="S1951" s="497" t="s">
        <v>166</v>
      </c>
      <c r="T1951" s="496"/>
    </row>
    <row r="1952">
      <c r="A1952" s="494" t="s">
        <v>3401</v>
      </c>
      <c r="B1952" s="495" t="s">
        <v>3590</v>
      </c>
      <c r="C1952" s="174" t="s">
        <v>3456</v>
      </c>
      <c r="D1952" s="452" t="s">
        <v>4300</v>
      </c>
      <c r="E1952" s="634">
        <v>316.0</v>
      </c>
      <c r="F1952" s="632">
        <v>124.0</v>
      </c>
      <c r="G1952" s="600">
        <v>58.0</v>
      </c>
      <c r="H1952" s="513">
        <v>2.0</v>
      </c>
      <c r="I1952" s="633">
        <v>1770.0</v>
      </c>
      <c r="J1952" s="518">
        <v>14.0</v>
      </c>
      <c r="K1952" s="266">
        <v>240.0</v>
      </c>
      <c r="L1952" s="516" t="s">
        <v>3460</v>
      </c>
      <c r="M1952" s="266">
        <v>3.0</v>
      </c>
      <c r="N1952" s="516">
        <v>3.0</v>
      </c>
      <c r="O1952" s="516">
        <v>1.0</v>
      </c>
      <c r="P1952" s="266" t="s">
        <v>166</v>
      </c>
      <c r="Q1952" s="266" t="s">
        <v>166</v>
      </c>
      <c r="R1952" s="497" t="s">
        <v>166</v>
      </c>
      <c r="S1952" s="497" t="s">
        <v>166</v>
      </c>
      <c r="T1952" s="496"/>
    </row>
    <row r="1953">
      <c r="A1953" s="494" t="s">
        <v>3401</v>
      </c>
      <c r="B1953" s="495" t="s">
        <v>3590</v>
      </c>
      <c r="C1953" s="174" t="s">
        <v>3456</v>
      </c>
      <c r="D1953" s="452" t="s">
        <v>4301</v>
      </c>
      <c r="E1953" s="634">
        <v>316.0</v>
      </c>
      <c r="F1953" s="632">
        <v>124.0</v>
      </c>
      <c r="G1953" s="600">
        <v>58.0</v>
      </c>
      <c r="H1953" s="513">
        <v>2.0</v>
      </c>
      <c r="I1953" s="633">
        <v>1770.0</v>
      </c>
      <c r="J1953" s="518">
        <v>14.0</v>
      </c>
      <c r="K1953" s="266">
        <v>240.0</v>
      </c>
      <c r="L1953" s="516" t="s">
        <v>3460</v>
      </c>
      <c r="M1953" s="266">
        <v>3.0</v>
      </c>
      <c r="N1953" s="516">
        <v>3.0</v>
      </c>
      <c r="O1953" s="516">
        <v>1.0</v>
      </c>
      <c r="P1953" s="266" t="s">
        <v>166</v>
      </c>
      <c r="Q1953" s="266" t="s">
        <v>166</v>
      </c>
      <c r="R1953" s="497" t="s">
        <v>166</v>
      </c>
      <c r="S1953" s="497" t="s">
        <v>166</v>
      </c>
      <c r="T1953" s="494"/>
    </row>
    <row r="1954">
      <c r="A1954" s="494" t="s">
        <v>3401</v>
      </c>
      <c r="B1954" s="495" t="s">
        <v>3590</v>
      </c>
      <c r="C1954" s="174" t="str">
        <f t="shared" ref="C1954:C1963" si="295">HYPERLINK("https://www.gigabyte.com/","Gigabyte")</f>
        <v>Gigabyte</v>
      </c>
      <c r="D1954" s="452" t="s">
        <v>3374</v>
      </c>
      <c r="E1954" s="266">
        <v>282.0</v>
      </c>
      <c r="F1954" s="266">
        <v>115.0</v>
      </c>
      <c r="G1954" s="266">
        <v>41.0</v>
      </c>
      <c r="H1954" s="266">
        <v>2.0</v>
      </c>
      <c r="I1954" s="266">
        <v>1725.0</v>
      </c>
      <c r="J1954" s="266">
        <v>14.0</v>
      </c>
      <c r="K1954" s="266">
        <v>220.0</v>
      </c>
      <c r="L1954" s="266" t="s">
        <v>3361</v>
      </c>
      <c r="M1954" s="266">
        <v>3.0</v>
      </c>
      <c r="N1954" s="266">
        <v>2.0</v>
      </c>
      <c r="O1954" s="266">
        <v>2.0</v>
      </c>
      <c r="P1954" s="266" t="s">
        <v>166</v>
      </c>
      <c r="Q1954" s="266" t="s">
        <v>166</v>
      </c>
      <c r="R1954" s="497" t="s">
        <v>166</v>
      </c>
      <c r="S1954" s="497" t="s">
        <v>166</v>
      </c>
      <c r="T1954" s="496"/>
    </row>
    <row r="1955">
      <c r="A1955" s="494" t="s">
        <v>3401</v>
      </c>
      <c r="B1955" s="495" t="s">
        <v>3590</v>
      </c>
      <c r="C1955" s="174" t="str">
        <f t="shared" si="295"/>
        <v>Gigabyte</v>
      </c>
      <c r="D1955" s="452" t="s">
        <v>4131</v>
      </c>
      <c r="E1955" s="266">
        <v>282.0</v>
      </c>
      <c r="F1955" s="266">
        <v>115.0</v>
      </c>
      <c r="G1955" s="266">
        <v>41.0</v>
      </c>
      <c r="H1955" s="266">
        <v>2.0</v>
      </c>
      <c r="I1955" s="266">
        <v>1725.0</v>
      </c>
      <c r="J1955" s="266">
        <v>14.0</v>
      </c>
      <c r="K1955" s="266">
        <v>220.0</v>
      </c>
      <c r="L1955" s="266" t="s">
        <v>3361</v>
      </c>
      <c r="M1955" s="266">
        <v>3.0</v>
      </c>
      <c r="N1955" s="266">
        <v>2.0</v>
      </c>
      <c r="O1955" s="266">
        <v>2.0</v>
      </c>
      <c r="P1955" s="266" t="s">
        <v>166</v>
      </c>
      <c r="Q1955" s="266" t="s">
        <v>166</v>
      </c>
      <c r="R1955" s="497" t="s">
        <v>166</v>
      </c>
      <c r="S1955" s="497" t="s">
        <v>166</v>
      </c>
      <c r="T1955" s="494"/>
    </row>
    <row r="1956">
      <c r="A1956" s="494" t="s">
        <v>3401</v>
      </c>
      <c r="B1956" s="495" t="s">
        <v>3590</v>
      </c>
      <c r="C1956" s="174" t="str">
        <f t="shared" si="295"/>
        <v>Gigabyte</v>
      </c>
      <c r="D1956" s="452" t="s">
        <v>3551</v>
      </c>
      <c r="E1956" s="266">
        <v>282.0</v>
      </c>
      <c r="F1956" s="266">
        <v>115.0</v>
      </c>
      <c r="G1956" s="266">
        <v>41.0</v>
      </c>
      <c r="H1956" s="266">
        <v>2.0</v>
      </c>
      <c r="I1956" s="266">
        <v>1770.0</v>
      </c>
      <c r="J1956" s="266">
        <v>14.0</v>
      </c>
      <c r="K1956" s="266">
        <v>240.0</v>
      </c>
      <c r="L1956" s="266" t="s">
        <v>3361</v>
      </c>
      <c r="M1956" s="266">
        <v>3.0</v>
      </c>
      <c r="N1956" s="266">
        <v>2.0</v>
      </c>
      <c r="O1956" s="266">
        <v>2.0</v>
      </c>
      <c r="P1956" s="266" t="s">
        <v>166</v>
      </c>
      <c r="Q1956" s="266" t="s">
        <v>166</v>
      </c>
      <c r="R1956" s="497" t="s">
        <v>166</v>
      </c>
      <c r="S1956" s="497" t="s">
        <v>166</v>
      </c>
      <c r="T1956" s="496"/>
    </row>
    <row r="1957">
      <c r="A1957" s="494" t="s">
        <v>3401</v>
      </c>
      <c r="B1957" s="495" t="s">
        <v>3590</v>
      </c>
      <c r="C1957" s="174" t="str">
        <f t="shared" si="295"/>
        <v>Gigabyte</v>
      </c>
      <c r="D1957" s="452" t="s">
        <v>4132</v>
      </c>
      <c r="E1957" s="266">
        <v>282.0</v>
      </c>
      <c r="F1957" s="266">
        <v>115.0</v>
      </c>
      <c r="G1957" s="266">
        <v>41.0</v>
      </c>
      <c r="H1957" s="266">
        <v>2.0</v>
      </c>
      <c r="I1957" s="266">
        <v>1770.0</v>
      </c>
      <c r="J1957" s="266">
        <v>14.0</v>
      </c>
      <c r="K1957" s="266">
        <v>240.0</v>
      </c>
      <c r="L1957" s="266" t="s">
        <v>3361</v>
      </c>
      <c r="M1957" s="266">
        <v>3.0</v>
      </c>
      <c r="N1957" s="266">
        <v>2.0</v>
      </c>
      <c r="O1957" s="266">
        <v>2.0</v>
      </c>
      <c r="P1957" s="266" t="s">
        <v>166</v>
      </c>
      <c r="Q1957" s="266" t="s">
        <v>166</v>
      </c>
      <c r="R1957" s="497" t="s">
        <v>166</v>
      </c>
      <c r="S1957" s="497" t="s">
        <v>166</v>
      </c>
      <c r="T1957" s="494"/>
    </row>
    <row r="1958">
      <c r="A1958" s="494" t="s">
        <v>3401</v>
      </c>
      <c r="B1958" s="495" t="s">
        <v>3590</v>
      </c>
      <c r="C1958" s="174" t="str">
        <f t="shared" si="295"/>
        <v>Gigabyte</v>
      </c>
      <c r="D1958" s="452" t="s">
        <v>3630</v>
      </c>
      <c r="E1958" s="266">
        <v>286.0</v>
      </c>
      <c r="F1958" s="266">
        <v>115.0</v>
      </c>
      <c r="G1958" s="266">
        <v>51.0</v>
      </c>
      <c r="H1958" s="266">
        <v>2.0</v>
      </c>
      <c r="I1958" s="266">
        <v>1815.0</v>
      </c>
      <c r="J1958" s="266">
        <v>14.0</v>
      </c>
      <c r="K1958" s="266">
        <v>270.0</v>
      </c>
      <c r="L1958" s="266" t="s">
        <v>3361</v>
      </c>
      <c r="M1958" s="266">
        <v>3.0</v>
      </c>
      <c r="N1958" s="266">
        <v>2.0</v>
      </c>
      <c r="O1958" s="266">
        <v>2.0</v>
      </c>
      <c r="P1958" s="266" t="s">
        <v>166</v>
      </c>
      <c r="Q1958" s="266" t="s">
        <v>166</v>
      </c>
      <c r="R1958" s="497" t="s">
        <v>166</v>
      </c>
      <c r="S1958" s="497" t="s">
        <v>166</v>
      </c>
      <c r="T1958" s="496"/>
    </row>
    <row r="1959">
      <c r="A1959" s="494" t="s">
        <v>3401</v>
      </c>
      <c r="B1959" s="495" t="s">
        <v>3590</v>
      </c>
      <c r="C1959" s="174" t="str">
        <f t="shared" si="295"/>
        <v>Gigabyte</v>
      </c>
      <c r="D1959" s="452" t="s">
        <v>4133</v>
      </c>
      <c r="E1959" s="266">
        <v>286.0</v>
      </c>
      <c r="F1959" s="266">
        <v>115.0</v>
      </c>
      <c r="G1959" s="266">
        <v>51.0</v>
      </c>
      <c r="H1959" s="266">
        <v>2.0</v>
      </c>
      <c r="I1959" s="266">
        <v>1815.0</v>
      </c>
      <c r="J1959" s="266">
        <v>14.0</v>
      </c>
      <c r="K1959" s="266">
        <v>270.0</v>
      </c>
      <c r="L1959" s="266" t="s">
        <v>3361</v>
      </c>
      <c r="M1959" s="266">
        <v>3.0</v>
      </c>
      <c r="N1959" s="266">
        <v>2.0</v>
      </c>
      <c r="O1959" s="266">
        <v>2.0</v>
      </c>
      <c r="P1959" s="266" t="s">
        <v>166</v>
      </c>
      <c r="Q1959" s="266" t="s">
        <v>166</v>
      </c>
      <c r="R1959" s="497" t="s">
        <v>166</v>
      </c>
      <c r="S1959" s="497" t="s">
        <v>166</v>
      </c>
      <c r="T1959" s="494"/>
    </row>
    <row r="1960">
      <c r="A1960" s="494" t="s">
        <v>3401</v>
      </c>
      <c r="B1960" s="495" t="s">
        <v>3590</v>
      </c>
      <c r="C1960" s="174" t="str">
        <f t="shared" si="295"/>
        <v>Gigabyte</v>
      </c>
      <c r="D1960" s="452" t="s">
        <v>4134</v>
      </c>
      <c r="E1960" s="266">
        <v>286.0</v>
      </c>
      <c r="F1960" s="266">
        <v>115.0</v>
      </c>
      <c r="G1960" s="266">
        <v>51.0</v>
      </c>
      <c r="H1960" s="266">
        <v>2.0</v>
      </c>
      <c r="I1960" s="266">
        <v>1815.0</v>
      </c>
      <c r="J1960" s="266">
        <v>14.0</v>
      </c>
      <c r="K1960" s="266">
        <v>270.0</v>
      </c>
      <c r="L1960" s="266" t="s">
        <v>3361</v>
      </c>
      <c r="M1960" s="266">
        <v>3.0</v>
      </c>
      <c r="N1960" s="266">
        <v>2.0</v>
      </c>
      <c r="O1960" s="266">
        <v>2.0</v>
      </c>
      <c r="P1960" s="266" t="s">
        <v>166</v>
      </c>
      <c r="Q1960" s="266" t="s">
        <v>166</v>
      </c>
      <c r="R1960" s="497" t="s">
        <v>166</v>
      </c>
      <c r="S1960" s="497" t="s">
        <v>166</v>
      </c>
      <c r="T1960" s="496"/>
    </row>
    <row r="1961">
      <c r="A1961" s="494" t="s">
        <v>3401</v>
      </c>
      <c r="B1961" s="495" t="s">
        <v>3590</v>
      </c>
      <c r="C1961" s="174" t="str">
        <f t="shared" si="295"/>
        <v>Gigabyte</v>
      </c>
      <c r="D1961" s="452" t="s">
        <v>4135</v>
      </c>
      <c r="E1961" s="266">
        <v>286.0</v>
      </c>
      <c r="F1961" s="266">
        <v>115.0</v>
      </c>
      <c r="G1961" s="266">
        <v>51.0</v>
      </c>
      <c r="H1961" s="266">
        <v>2.0</v>
      </c>
      <c r="I1961" s="266">
        <v>1815.0</v>
      </c>
      <c r="J1961" s="266">
        <v>14.0</v>
      </c>
      <c r="K1961" s="266">
        <v>270.0</v>
      </c>
      <c r="L1961" s="266" t="s">
        <v>3361</v>
      </c>
      <c r="M1961" s="266">
        <v>3.0</v>
      </c>
      <c r="N1961" s="266">
        <v>2.0</v>
      </c>
      <c r="O1961" s="266">
        <v>2.0</v>
      </c>
      <c r="P1961" s="266" t="s">
        <v>166</v>
      </c>
      <c r="Q1961" s="266" t="s">
        <v>166</v>
      </c>
      <c r="R1961" s="497" t="s">
        <v>166</v>
      </c>
      <c r="S1961" s="497" t="s">
        <v>166</v>
      </c>
      <c r="T1961" s="494"/>
    </row>
    <row r="1962">
      <c r="A1962" s="494" t="s">
        <v>3401</v>
      </c>
      <c r="B1962" s="495" t="s">
        <v>3590</v>
      </c>
      <c r="C1962" s="174" t="str">
        <f t="shared" si="295"/>
        <v>Gigabyte</v>
      </c>
      <c r="D1962" s="452" t="s">
        <v>3725</v>
      </c>
      <c r="E1962" s="266">
        <v>290.0</v>
      </c>
      <c r="F1962" s="266">
        <v>131.0</v>
      </c>
      <c r="G1962" s="266">
        <v>60.0</v>
      </c>
      <c r="H1962" s="266">
        <v>2.0</v>
      </c>
      <c r="I1962" s="266">
        <v>1845.0</v>
      </c>
      <c r="J1962" s="266">
        <v>14.0</v>
      </c>
      <c r="K1962" s="266">
        <v>270.0</v>
      </c>
      <c r="L1962" s="516" t="s">
        <v>3460</v>
      </c>
      <c r="M1962" s="266">
        <v>3.0</v>
      </c>
      <c r="N1962" s="266">
        <v>3.0</v>
      </c>
      <c r="O1962" s="266">
        <v>3.0</v>
      </c>
      <c r="P1962" s="266" t="s">
        <v>166</v>
      </c>
      <c r="Q1962" s="266" t="s">
        <v>166</v>
      </c>
      <c r="R1962" s="497" t="s">
        <v>166</v>
      </c>
      <c r="S1962" s="497" t="s">
        <v>166</v>
      </c>
      <c r="T1962" s="496"/>
    </row>
    <row r="1963">
      <c r="A1963" s="494" t="s">
        <v>3401</v>
      </c>
      <c r="B1963" s="495" t="s">
        <v>3590</v>
      </c>
      <c r="C1963" s="174" t="str">
        <f t="shared" si="295"/>
        <v>Gigabyte</v>
      </c>
      <c r="D1963" s="452" t="s">
        <v>3747</v>
      </c>
      <c r="E1963" s="266">
        <v>290.0</v>
      </c>
      <c r="F1963" s="266">
        <v>131.0</v>
      </c>
      <c r="G1963" s="266">
        <v>60.0</v>
      </c>
      <c r="H1963" s="266">
        <v>2.0</v>
      </c>
      <c r="I1963" s="266">
        <v>1845.0</v>
      </c>
      <c r="J1963" s="266">
        <v>14.0</v>
      </c>
      <c r="K1963" s="266">
        <v>270.0</v>
      </c>
      <c r="L1963" s="516" t="s">
        <v>3460</v>
      </c>
      <c r="M1963" s="266">
        <v>3.0</v>
      </c>
      <c r="N1963" s="266">
        <v>3.0</v>
      </c>
      <c r="O1963" s="266">
        <v>3.0</v>
      </c>
      <c r="P1963" s="266" t="s">
        <v>166</v>
      </c>
      <c r="Q1963" s="266" t="s">
        <v>166</v>
      </c>
      <c r="R1963" s="497" t="s">
        <v>166</v>
      </c>
      <c r="S1963" s="497" t="s">
        <v>166</v>
      </c>
      <c r="T1963" s="494"/>
    </row>
    <row r="1964">
      <c r="A1964" s="494" t="s">
        <v>3401</v>
      </c>
      <c r="B1964" s="495" t="s">
        <v>3590</v>
      </c>
      <c r="C1964" s="452" t="str">
        <f t="shared" ref="C1964:C1971" si="296">HYPERLINK("http://www.inno3d.com/","Inno3D")</f>
        <v>Inno3D</v>
      </c>
      <c r="D1964" s="452" t="s">
        <v>3896</v>
      </c>
      <c r="E1964" s="266">
        <v>240.0</v>
      </c>
      <c r="F1964" s="266">
        <v>120.0</v>
      </c>
      <c r="G1964" s="266">
        <v>40.0</v>
      </c>
      <c r="H1964" s="266">
        <v>2.0</v>
      </c>
      <c r="I1964" s="266">
        <v>1725.0</v>
      </c>
      <c r="J1964" s="266">
        <v>14.0</v>
      </c>
      <c r="K1964" s="266">
        <v>220.0</v>
      </c>
      <c r="L1964" s="266">
        <v>8.0</v>
      </c>
      <c r="M1964" s="266">
        <v>2.0</v>
      </c>
      <c r="N1964" s="266">
        <v>3.0</v>
      </c>
      <c r="O1964" s="266">
        <v>1.0</v>
      </c>
      <c r="P1964" s="266" t="s">
        <v>166</v>
      </c>
      <c r="Q1964" s="266" t="s">
        <v>166</v>
      </c>
      <c r="R1964" s="497" t="s">
        <v>166</v>
      </c>
      <c r="S1964" s="497" t="s">
        <v>166</v>
      </c>
      <c r="T1964" s="496"/>
    </row>
    <row r="1965">
      <c r="A1965" s="494" t="s">
        <v>3401</v>
      </c>
      <c r="B1965" s="495" t="s">
        <v>3590</v>
      </c>
      <c r="C1965" s="452" t="str">
        <f t="shared" si="296"/>
        <v>Inno3D</v>
      </c>
      <c r="D1965" s="452" t="s">
        <v>4302</v>
      </c>
      <c r="E1965" s="266">
        <v>240.0</v>
      </c>
      <c r="F1965" s="266">
        <v>120.0</v>
      </c>
      <c r="G1965" s="266">
        <v>40.0</v>
      </c>
      <c r="H1965" s="266">
        <v>2.0</v>
      </c>
      <c r="I1965" s="266">
        <v>1725.0</v>
      </c>
      <c r="J1965" s="266">
        <v>14.0</v>
      </c>
      <c r="K1965" s="266">
        <v>220.0</v>
      </c>
      <c r="L1965" s="266">
        <v>8.0</v>
      </c>
      <c r="M1965" s="266">
        <v>2.0</v>
      </c>
      <c r="N1965" s="266">
        <v>3.0</v>
      </c>
      <c r="O1965" s="266">
        <v>1.0</v>
      </c>
      <c r="P1965" s="266" t="s">
        <v>166</v>
      </c>
      <c r="Q1965" s="266" t="s">
        <v>166</v>
      </c>
      <c r="R1965" s="497" t="s">
        <v>166</v>
      </c>
      <c r="S1965" s="497" t="s">
        <v>166</v>
      </c>
      <c r="T1965" s="494"/>
    </row>
    <row r="1966">
      <c r="A1966" s="494" t="s">
        <v>3401</v>
      </c>
      <c r="B1966" s="495" t="s">
        <v>3590</v>
      </c>
      <c r="C1966" s="452" t="str">
        <f t="shared" si="296"/>
        <v>Inno3D</v>
      </c>
      <c r="D1966" s="452" t="s">
        <v>3882</v>
      </c>
      <c r="E1966" s="266">
        <v>240.0</v>
      </c>
      <c r="F1966" s="266">
        <v>120.0</v>
      </c>
      <c r="G1966" s="266">
        <v>40.0</v>
      </c>
      <c r="H1966" s="266">
        <v>2.0</v>
      </c>
      <c r="I1966" s="266">
        <v>1740.0</v>
      </c>
      <c r="J1966" s="266">
        <v>14.0</v>
      </c>
      <c r="K1966" s="266">
        <v>220.0</v>
      </c>
      <c r="L1966" s="266">
        <v>8.0</v>
      </c>
      <c r="M1966" s="266">
        <v>2.0</v>
      </c>
      <c r="N1966" s="266">
        <v>3.0</v>
      </c>
      <c r="O1966" s="266">
        <v>1.0</v>
      </c>
      <c r="P1966" s="266" t="s">
        <v>166</v>
      </c>
      <c r="Q1966" s="266" t="s">
        <v>166</v>
      </c>
      <c r="R1966" s="497" t="s">
        <v>166</v>
      </c>
      <c r="S1966" s="497" t="s">
        <v>166</v>
      </c>
      <c r="T1966" s="496"/>
    </row>
    <row r="1967">
      <c r="A1967" s="494" t="s">
        <v>3401</v>
      </c>
      <c r="B1967" s="495" t="s">
        <v>3590</v>
      </c>
      <c r="C1967" s="452" t="str">
        <f t="shared" si="296"/>
        <v>Inno3D</v>
      </c>
      <c r="D1967" s="452" t="s">
        <v>4223</v>
      </c>
      <c r="E1967" s="266">
        <v>240.0</v>
      </c>
      <c r="F1967" s="266">
        <v>120.0</v>
      </c>
      <c r="G1967" s="266">
        <v>40.0</v>
      </c>
      <c r="H1967" s="266">
        <v>2.0</v>
      </c>
      <c r="I1967" s="266">
        <v>1740.0</v>
      </c>
      <c r="J1967" s="266">
        <v>14.0</v>
      </c>
      <c r="K1967" s="266">
        <v>220.0</v>
      </c>
      <c r="L1967" s="266">
        <v>8.0</v>
      </c>
      <c r="M1967" s="266">
        <v>2.0</v>
      </c>
      <c r="N1967" s="266">
        <v>3.0</v>
      </c>
      <c r="O1967" s="266">
        <v>1.0</v>
      </c>
      <c r="P1967" s="266" t="s">
        <v>166</v>
      </c>
      <c r="Q1967" s="266" t="s">
        <v>166</v>
      </c>
      <c r="R1967" s="497" t="s">
        <v>166</v>
      </c>
      <c r="S1967" s="497" t="s">
        <v>166</v>
      </c>
      <c r="T1967" s="494"/>
    </row>
    <row r="1968">
      <c r="A1968" s="494" t="s">
        <v>3401</v>
      </c>
      <c r="B1968" s="495" t="s">
        <v>3590</v>
      </c>
      <c r="C1968" s="452" t="str">
        <f t="shared" si="296"/>
        <v>Inno3D</v>
      </c>
      <c r="D1968" s="452" t="s">
        <v>3921</v>
      </c>
      <c r="E1968" s="266">
        <v>300.0</v>
      </c>
      <c r="F1968" s="266">
        <v>135.0</v>
      </c>
      <c r="G1968" s="266">
        <v>60.0</v>
      </c>
      <c r="H1968" s="266">
        <v>2.0</v>
      </c>
      <c r="I1968" s="266">
        <v>1785.0</v>
      </c>
      <c r="J1968" s="266">
        <v>14.0</v>
      </c>
      <c r="K1968" s="266">
        <v>240.0</v>
      </c>
      <c r="L1968" s="266" t="s">
        <v>3460</v>
      </c>
      <c r="M1968" s="266">
        <v>3.0</v>
      </c>
      <c r="N1968" s="266">
        <v>3.0</v>
      </c>
      <c r="O1968" s="266">
        <v>1.0</v>
      </c>
      <c r="P1968" s="266" t="s">
        <v>166</v>
      </c>
      <c r="Q1968" s="266" t="s">
        <v>166</v>
      </c>
      <c r="R1968" s="497" t="s">
        <v>166</v>
      </c>
      <c r="S1968" s="497" t="s">
        <v>166</v>
      </c>
      <c r="T1968" s="496"/>
    </row>
    <row r="1969">
      <c r="A1969" s="494" t="s">
        <v>3401</v>
      </c>
      <c r="B1969" s="495" t="s">
        <v>3590</v>
      </c>
      <c r="C1969" s="452" t="str">
        <f t="shared" si="296"/>
        <v>Inno3D</v>
      </c>
      <c r="D1969" s="452" t="s">
        <v>4303</v>
      </c>
      <c r="E1969" s="266">
        <v>300.0</v>
      </c>
      <c r="F1969" s="266">
        <v>135.0</v>
      </c>
      <c r="G1969" s="266">
        <v>60.0</v>
      </c>
      <c r="H1969" s="266">
        <v>2.0</v>
      </c>
      <c r="I1969" s="266">
        <v>1785.0</v>
      </c>
      <c r="J1969" s="266">
        <v>14.0</v>
      </c>
      <c r="K1969" s="266">
        <v>240.0</v>
      </c>
      <c r="L1969" s="266" t="s">
        <v>3460</v>
      </c>
      <c r="M1969" s="266">
        <v>3.0</v>
      </c>
      <c r="N1969" s="266">
        <v>3.0</v>
      </c>
      <c r="O1969" s="266">
        <v>1.0</v>
      </c>
      <c r="P1969" s="266" t="s">
        <v>166</v>
      </c>
      <c r="Q1969" s="266" t="s">
        <v>166</v>
      </c>
      <c r="R1969" s="497" t="s">
        <v>166</v>
      </c>
      <c r="S1969" s="497" t="s">
        <v>166</v>
      </c>
      <c r="T1969" s="494"/>
    </row>
    <row r="1970">
      <c r="A1970" s="494" t="s">
        <v>3401</v>
      </c>
      <c r="B1970" s="495" t="s">
        <v>3590</v>
      </c>
      <c r="C1970" s="452" t="str">
        <f t="shared" si="296"/>
        <v>Inno3D</v>
      </c>
      <c r="D1970" s="452" t="s">
        <v>4304</v>
      </c>
      <c r="E1970" s="266">
        <v>300.0</v>
      </c>
      <c r="F1970" s="266">
        <v>135.0</v>
      </c>
      <c r="G1970" s="266">
        <v>60.0</v>
      </c>
      <c r="H1970" s="266">
        <v>2.0</v>
      </c>
      <c r="I1970" s="266">
        <v>1785.0</v>
      </c>
      <c r="J1970" s="266">
        <v>14.0</v>
      </c>
      <c r="K1970" s="266">
        <v>240.0</v>
      </c>
      <c r="L1970" s="266" t="s">
        <v>3460</v>
      </c>
      <c r="M1970" s="266">
        <v>4.0</v>
      </c>
      <c r="N1970" s="266">
        <v>3.0</v>
      </c>
      <c r="O1970" s="266">
        <v>1.0</v>
      </c>
      <c r="P1970" s="266" t="s">
        <v>166</v>
      </c>
      <c r="Q1970" s="266" t="s">
        <v>166</v>
      </c>
      <c r="R1970" s="497" t="s">
        <v>166</v>
      </c>
      <c r="S1970" s="497" t="s">
        <v>166</v>
      </c>
      <c r="T1970" s="496"/>
    </row>
    <row r="1971">
      <c r="A1971" s="494" t="s">
        <v>3401</v>
      </c>
      <c r="B1971" s="495" t="s">
        <v>3590</v>
      </c>
      <c r="C1971" s="452" t="str">
        <f t="shared" si="296"/>
        <v>Inno3D</v>
      </c>
      <c r="D1971" s="452" t="s">
        <v>4305</v>
      </c>
      <c r="E1971" s="266">
        <v>300.0</v>
      </c>
      <c r="F1971" s="266">
        <v>135.0</v>
      </c>
      <c r="G1971" s="266">
        <v>60.0</v>
      </c>
      <c r="H1971" s="266">
        <v>2.0</v>
      </c>
      <c r="I1971" s="266">
        <v>1785.0</v>
      </c>
      <c r="J1971" s="266">
        <v>14.0</v>
      </c>
      <c r="K1971" s="266">
        <v>240.0</v>
      </c>
      <c r="L1971" s="266" t="s">
        <v>3460</v>
      </c>
      <c r="M1971" s="266">
        <v>4.0</v>
      </c>
      <c r="N1971" s="266">
        <v>3.0</v>
      </c>
      <c r="O1971" s="266">
        <v>1.0</v>
      </c>
      <c r="P1971" s="266" t="s">
        <v>166</v>
      </c>
      <c r="Q1971" s="266" t="s">
        <v>166</v>
      </c>
      <c r="R1971" s="497" t="s">
        <v>166</v>
      </c>
      <c r="S1971" s="497" t="s">
        <v>166</v>
      </c>
      <c r="T1971" s="494"/>
    </row>
    <row r="1972">
      <c r="A1972" s="494" t="s">
        <v>3401</v>
      </c>
      <c r="B1972" s="495" t="s">
        <v>3590</v>
      </c>
      <c r="C1972" s="452" t="s">
        <v>3538</v>
      </c>
      <c r="D1972" s="452" t="s">
        <v>4306</v>
      </c>
      <c r="E1972" s="266">
        <v>266.0</v>
      </c>
      <c r="F1972" s="266">
        <v>111.0</v>
      </c>
      <c r="G1972" s="266">
        <v>39.0</v>
      </c>
      <c r="H1972" s="266">
        <v>2.0</v>
      </c>
      <c r="I1972" s="266">
        <v>1725.0</v>
      </c>
      <c r="J1972" s="266">
        <v>14.0</v>
      </c>
      <c r="K1972" s="266">
        <v>220.0</v>
      </c>
      <c r="L1972" s="266" t="s">
        <v>3460</v>
      </c>
      <c r="M1972" s="266">
        <v>1.0</v>
      </c>
      <c r="N1972" s="266">
        <v>3.0</v>
      </c>
      <c r="O1972" s="266">
        <v>1.0</v>
      </c>
      <c r="P1972" s="266" t="s">
        <v>166</v>
      </c>
      <c r="Q1972" s="266" t="s">
        <v>166</v>
      </c>
      <c r="R1972" s="497" t="s">
        <v>166</v>
      </c>
      <c r="S1972" s="266" t="s">
        <v>174</v>
      </c>
      <c r="T1972" s="494"/>
    </row>
    <row r="1973">
      <c r="A1973" s="494" t="s">
        <v>3401</v>
      </c>
      <c r="B1973" s="495" t="s">
        <v>3590</v>
      </c>
      <c r="C1973" s="452" t="s">
        <v>3538</v>
      </c>
      <c r="D1973" s="452" t="s">
        <v>3600</v>
      </c>
      <c r="E1973" s="266">
        <v>258.0</v>
      </c>
      <c r="F1973" s="266">
        <v>126.0</v>
      </c>
      <c r="G1973" s="266">
        <v>59.0</v>
      </c>
      <c r="H1973" s="266">
        <v>2.0</v>
      </c>
      <c r="I1973" s="266">
        <v>1725.0</v>
      </c>
      <c r="J1973" s="266">
        <v>14.0</v>
      </c>
      <c r="K1973" s="266">
        <v>220.0</v>
      </c>
      <c r="L1973" s="266" t="s">
        <v>3460</v>
      </c>
      <c r="M1973" s="266">
        <v>2.0</v>
      </c>
      <c r="N1973" s="266">
        <v>3.0</v>
      </c>
      <c r="O1973" s="266">
        <v>1.0</v>
      </c>
      <c r="P1973" s="266" t="s">
        <v>166</v>
      </c>
      <c r="Q1973" s="266" t="s">
        <v>166</v>
      </c>
      <c r="R1973" s="497" t="s">
        <v>166</v>
      </c>
      <c r="S1973" s="497" t="s">
        <v>166</v>
      </c>
      <c r="T1973" s="496"/>
    </row>
    <row r="1974">
      <c r="A1974" s="494" t="s">
        <v>3401</v>
      </c>
      <c r="B1974" s="495" t="s">
        <v>3590</v>
      </c>
      <c r="C1974" s="452" t="str">
        <f t="shared" ref="C1974:C1977" si="297">HYPERLINK("http://manli.com/en","Manli")</f>
        <v>Manli</v>
      </c>
      <c r="D1974" s="452" t="s">
        <v>4307</v>
      </c>
      <c r="E1974" s="266">
        <v>252.0</v>
      </c>
      <c r="F1974" s="266">
        <v>126.0</v>
      </c>
      <c r="G1974" s="266">
        <v>57.0</v>
      </c>
      <c r="H1974" s="266">
        <v>2.0</v>
      </c>
      <c r="I1974" s="266">
        <v>1725.0</v>
      </c>
      <c r="J1974" s="266">
        <v>14.0</v>
      </c>
      <c r="K1974" s="266">
        <v>220.0</v>
      </c>
      <c r="L1974" s="266" t="s">
        <v>3460</v>
      </c>
      <c r="M1974" s="266">
        <v>2.0</v>
      </c>
      <c r="N1974" s="266">
        <v>3.0</v>
      </c>
      <c r="O1974" s="266">
        <v>1.0</v>
      </c>
      <c r="P1974" s="266" t="s">
        <v>166</v>
      </c>
      <c r="Q1974" s="266" t="s">
        <v>166</v>
      </c>
      <c r="R1974" s="497" t="s">
        <v>166</v>
      </c>
      <c r="S1974" s="497" t="s">
        <v>166</v>
      </c>
      <c r="T1974" s="496"/>
    </row>
    <row r="1975">
      <c r="A1975" s="494" t="s">
        <v>3401</v>
      </c>
      <c r="B1975" s="495" t="s">
        <v>3590</v>
      </c>
      <c r="C1975" s="452" t="str">
        <f t="shared" si="297"/>
        <v>Manli</v>
      </c>
      <c r="D1975" s="452" t="s">
        <v>4308</v>
      </c>
      <c r="E1975" s="266">
        <v>252.0</v>
      </c>
      <c r="F1975" s="266">
        <v>126.0</v>
      </c>
      <c r="G1975" s="266">
        <v>57.0</v>
      </c>
      <c r="H1975" s="266">
        <v>2.0</v>
      </c>
      <c r="I1975" s="266">
        <v>1725.0</v>
      </c>
      <c r="J1975" s="266">
        <v>14.0</v>
      </c>
      <c r="K1975" s="266">
        <v>220.0</v>
      </c>
      <c r="L1975" s="266" t="s">
        <v>3460</v>
      </c>
      <c r="M1975" s="266">
        <v>2.0</v>
      </c>
      <c r="N1975" s="266">
        <v>3.0</v>
      </c>
      <c r="O1975" s="266">
        <v>1.0</v>
      </c>
      <c r="P1975" s="266" t="s">
        <v>166</v>
      </c>
      <c r="Q1975" s="266" t="s">
        <v>166</v>
      </c>
      <c r="R1975" s="497" t="s">
        <v>166</v>
      </c>
      <c r="S1975" s="497" t="s">
        <v>166</v>
      </c>
      <c r="T1975" s="494"/>
    </row>
    <row r="1976">
      <c r="A1976" s="494" t="s">
        <v>3401</v>
      </c>
      <c r="B1976" s="495" t="s">
        <v>3590</v>
      </c>
      <c r="C1976" s="452" t="str">
        <f t="shared" si="297"/>
        <v>Manli</v>
      </c>
      <c r="D1976" s="452" t="s">
        <v>4309</v>
      </c>
      <c r="E1976" s="266">
        <v>252.0</v>
      </c>
      <c r="F1976" s="266">
        <v>126.0</v>
      </c>
      <c r="G1976" s="266">
        <v>57.0</v>
      </c>
      <c r="H1976" s="513">
        <v>2.0</v>
      </c>
      <c r="I1976" s="513">
        <v>1740.0</v>
      </c>
      <c r="J1976" s="518">
        <v>14.0</v>
      </c>
      <c r="K1976" s="266">
        <v>220.0</v>
      </c>
      <c r="L1976" s="266" t="s">
        <v>3460</v>
      </c>
      <c r="M1976" s="266">
        <v>2.0</v>
      </c>
      <c r="N1976" s="266">
        <v>3.0</v>
      </c>
      <c r="O1976" s="266">
        <v>1.0</v>
      </c>
      <c r="P1976" s="266" t="s">
        <v>166</v>
      </c>
      <c r="Q1976" s="266" t="s">
        <v>166</v>
      </c>
      <c r="R1976" s="497" t="s">
        <v>166</v>
      </c>
      <c r="S1976" s="497" t="s">
        <v>166</v>
      </c>
      <c r="T1976" s="496"/>
    </row>
    <row r="1977">
      <c r="A1977" s="494" t="s">
        <v>3401</v>
      </c>
      <c r="B1977" s="495" t="s">
        <v>3590</v>
      </c>
      <c r="C1977" s="452" t="str">
        <f t="shared" si="297"/>
        <v>Manli</v>
      </c>
      <c r="D1977" s="452" t="s">
        <v>4310</v>
      </c>
      <c r="E1977" s="266">
        <v>252.0</v>
      </c>
      <c r="F1977" s="266">
        <v>126.0</v>
      </c>
      <c r="G1977" s="266">
        <v>57.0</v>
      </c>
      <c r="H1977" s="513">
        <v>2.0</v>
      </c>
      <c r="I1977" s="513">
        <v>1740.0</v>
      </c>
      <c r="J1977" s="518">
        <v>14.0</v>
      </c>
      <c r="K1977" s="266">
        <v>220.0</v>
      </c>
      <c r="L1977" s="266" t="s">
        <v>3460</v>
      </c>
      <c r="M1977" s="266">
        <v>2.0</v>
      </c>
      <c r="N1977" s="266">
        <v>3.0</v>
      </c>
      <c r="O1977" s="266">
        <v>1.0</v>
      </c>
      <c r="P1977" s="266" t="s">
        <v>166</v>
      </c>
      <c r="Q1977" s="266" t="s">
        <v>166</v>
      </c>
      <c r="R1977" s="497" t="s">
        <v>166</v>
      </c>
      <c r="S1977" s="497" t="s">
        <v>166</v>
      </c>
      <c r="T1977" s="494"/>
    </row>
    <row r="1978">
      <c r="A1978" s="494" t="s">
        <v>3401</v>
      </c>
      <c r="B1978" s="495" t="s">
        <v>3590</v>
      </c>
      <c r="C1978" s="174" t="s">
        <v>3565</v>
      </c>
      <c r="D1978" s="452" t="s">
        <v>3810</v>
      </c>
      <c r="E1978" s="635">
        <v>265.0</v>
      </c>
      <c r="F1978" s="513">
        <v>140.0</v>
      </c>
      <c r="G1978" s="513">
        <v>57.0</v>
      </c>
      <c r="H1978" s="513">
        <v>2.0</v>
      </c>
      <c r="I1978" s="513">
        <v>1725.0</v>
      </c>
      <c r="J1978" s="518">
        <v>14.0</v>
      </c>
      <c r="K1978" s="266">
        <v>220.0</v>
      </c>
      <c r="L1978" s="266">
        <v>12.0</v>
      </c>
      <c r="M1978" s="266">
        <v>2.0</v>
      </c>
      <c r="N1978" s="266">
        <v>3.0</v>
      </c>
      <c r="O1978" s="266">
        <v>1.0</v>
      </c>
      <c r="P1978" s="266" t="s">
        <v>166</v>
      </c>
      <c r="Q1978" s="266" t="s">
        <v>166</v>
      </c>
      <c r="R1978" s="497" t="s">
        <v>166</v>
      </c>
      <c r="S1978" s="497" t="s">
        <v>166</v>
      </c>
      <c r="T1978" s="496"/>
    </row>
    <row r="1979">
      <c r="A1979" s="494" t="s">
        <v>3401</v>
      </c>
      <c r="B1979" s="495" t="s">
        <v>3590</v>
      </c>
      <c r="C1979" s="174" t="s">
        <v>3565</v>
      </c>
      <c r="D1979" s="452" t="s">
        <v>4079</v>
      </c>
      <c r="E1979" s="635">
        <v>317.0</v>
      </c>
      <c r="F1979" s="513">
        <v>124.0</v>
      </c>
      <c r="G1979" s="513">
        <v>53.0</v>
      </c>
      <c r="H1979" s="513">
        <v>2.0</v>
      </c>
      <c r="I1979" s="513">
        <v>1725.0</v>
      </c>
      <c r="J1979" s="518">
        <v>14.0</v>
      </c>
      <c r="K1979" s="266">
        <v>220.0</v>
      </c>
      <c r="L1979" s="266" t="s">
        <v>3460</v>
      </c>
      <c r="M1979" s="266">
        <v>3.0</v>
      </c>
      <c r="N1979" s="266">
        <v>3.0</v>
      </c>
      <c r="O1979" s="266">
        <v>1.0</v>
      </c>
      <c r="P1979" s="266" t="s">
        <v>166</v>
      </c>
      <c r="Q1979" s="266" t="s">
        <v>166</v>
      </c>
      <c r="R1979" s="497" t="s">
        <v>166</v>
      </c>
      <c r="S1979" s="497" t="s">
        <v>166</v>
      </c>
      <c r="T1979" s="496"/>
    </row>
    <row r="1980">
      <c r="A1980" s="494" t="s">
        <v>3401</v>
      </c>
      <c r="B1980" s="495" t="s">
        <v>3590</v>
      </c>
      <c r="C1980" s="174" t="s">
        <v>3565</v>
      </c>
      <c r="D1980" s="452" t="s">
        <v>4229</v>
      </c>
      <c r="E1980" s="635">
        <v>317.0</v>
      </c>
      <c r="F1980" s="513">
        <v>124.0</v>
      </c>
      <c r="G1980" s="513">
        <v>53.0</v>
      </c>
      <c r="H1980" s="513">
        <v>2.0</v>
      </c>
      <c r="I1980" s="513">
        <v>1770.0</v>
      </c>
      <c r="J1980" s="518">
        <v>14.0</v>
      </c>
      <c r="K1980" s="266">
        <v>240.0</v>
      </c>
      <c r="L1980" s="266" t="s">
        <v>3460</v>
      </c>
      <c r="M1980" s="266">
        <v>3.0</v>
      </c>
      <c r="N1980" s="266">
        <v>3.0</v>
      </c>
      <c r="O1980" s="266">
        <v>1.0</v>
      </c>
      <c r="P1980" s="266" t="s">
        <v>166</v>
      </c>
      <c r="Q1980" s="266" t="s">
        <v>166</v>
      </c>
      <c r="R1980" s="497" t="s">
        <v>166</v>
      </c>
      <c r="S1980" s="497" t="s">
        <v>166</v>
      </c>
      <c r="T1980" s="496"/>
    </row>
    <row r="1981">
      <c r="A1981" s="494" t="s">
        <v>3401</v>
      </c>
      <c r="B1981" s="495" t="s">
        <v>3590</v>
      </c>
      <c r="C1981" s="174" t="s">
        <v>3565</v>
      </c>
      <c r="D1981" s="452" t="s">
        <v>4311</v>
      </c>
      <c r="E1981" s="635">
        <v>317.0</v>
      </c>
      <c r="F1981" s="513">
        <v>124.0</v>
      </c>
      <c r="G1981" s="513">
        <v>53.0</v>
      </c>
      <c r="H1981" s="513">
        <v>2.0</v>
      </c>
      <c r="I1981" s="513">
        <v>1770.0</v>
      </c>
      <c r="J1981" s="518">
        <v>14.0</v>
      </c>
      <c r="K1981" s="266">
        <v>240.0</v>
      </c>
      <c r="L1981" s="266" t="s">
        <v>3460</v>
      </c>
      <c r="M1981" s="266">
        <v>3.0</v>
      </c>
      <c r="N1981" s="266">
        <v>3.0</v>
      </c>
      <c r="O1981" s="266">
        <v>1.0</v>
      </c>
      <c r="P1981" s="266" t="s">
        <v>166</v>
      </c>
      <c r="Q1981" s="266" t="s">
        <v>166</v>
      </c>
      <c r="R1981" s="497" t="s">
        <v>166</v>
      </c>
      <c r="S1981" s="497" t="s">
        <v>166</v>
      </c>
      <c r="T1981" s="496"/>
    </row>
    <row r="1982">
      <c r="A1982" s="494" t="s">
        <v>3401</v>
      </c>
      <c r="B1982" s="495" t="s">
        <v>3590</v>
      </c>
      <c r="C1982" s="174" t="str">
        <f t="shared" ref="C1982:C2005" si="298">HYPERLINK("https://www.msi.com/index.php","MSI")</f>
        <v>MSI</v>
      </c>
      <c r="D1982" s="452" t="s">
        <v>4231</v>
      </c>
      <c r="E1982" s="635">
        <v>230.0</v>
      </c>
      <c r="F1982" s="513">
        <v>115.0</v>
      </c>
      <c r="G1982" s="513">
        <v>43.0</v>
      </c>
      <c r="H1982" s="513">
        <v>2.0</v>
      </c>
      <c r="I1982" s="513">
        <v>1725.0</v>
      </c>
      <c r="J1982" s="518">
        <v>14.0</v>
      </c>
      <c r="K1982" s="266">
        <v>220.0</v>
      </c>
      <c r="L1982" s="266" t="s">
        <v>3361</v>
      </c>
      <c r="M1982" s="266">
        <v>2.0</v>
      </c>
      <c r="N1982" s="266">
        <v>3.0</v>
      </c>
      <c r="O1982" s="266">
        <v>1.0</v>
      </c>
      <c r="P1982" s="266" t="s">
        <v>166</v>
      </c>
      <c r="Q1982" s="266" t="s">
        <v>166</v>
      </c>
      <c r="R1982" s="497" t="s">
        <v>166</v>
      </c>
      <c r="S1982" s="497" t="s">
        <v>166</v>
      </c>
      <c r="T1982" s="496"/>
    </row>
    <row r="1983">
      <c r="A1983" s="494" t="s">
        <v>3401</v>
      </c>
      <c r="B1983" s="495" t="s">
        <v>3590</v>
      </c>
      <c r="C1983" s="174" t="str">
        <f t="shared" si="298"/>
        <v>MSI</v>
      </c>
      <c r="D1983" s="452" t="s">
        <v>4232</v>
      </c>
      <c r="E1983" s="635">
        <v>230.0</v>
      </c>
      <c r="F1983" s="513">
        <v>115.0</v>
      </c>
      <c r="G1983" s="513">
        <v>43.0</v>
      </c>
      <c r="H1983" s="513">
        <v>2.0</v>
      </c>
      <c r="I1983" s="513">
        <v>1725.0</v>
      </c>
      <c r="J1983" s="518">
        <v>14.0</v>
      </c>
      <c r="K1983" s="266">
        <v>220.0</v>
      </c>
      <c r="L1983" s="266" t="s">
        <v>3361</v>
      </c>
      <c r="M1983" s="266">
        <v>2.0</v>
      </c>
      <c r="N1983" s="266">
        <v>3.0</v>
      </c>
      <c r="O1983" s="266">
        <v>1.0</v>
      </c>
      <c r="P1983" s="266" t="s">
        <v>166</v>
      </c>
      <c r="Q1983" s="266" t="s">
        <v>166</v>
      </c>
      <c r="R1983" s="497" t="s">
        <v>166</v>
      </c>
      <c r="S1983" s="497" t="s">
        <v>166</v>
      </c>
      <c r="T1983" s="494"/>
    </row>
    <row r="1984">
      <c r="A1984" s="494" t="s">
        <v>3401</v>
      </c>
      <c r="B1984" s="495" t="s">
        <v>3590</v>
      </c>
      <c r="C1984" s="174" t="str">
        <f t="shared" si="298"/>
        <v>MSI</v>
      </c>
      <c r="D1984" s="452" t="s">
        <v>4233</v>
      </c>
      <c r="E1984" s="635">
        <v>230.0</v>
      </c>
      <c r="F1984" s="513">
        <v>115.0</v>
      </c>
      <c r="G1984" s="513">
        <v>43.0</v>
      </c>
      <c r="H1984" s="513">
        <v>2.0</v>
      </c>
      <c r="I1984" s="513">
        <v>1740.0</v>
      </c>
      <c r="J1984" s="518">
        <v>14.0</v>
      </c>
      <c r="K1984" s="266">
        <v>220.0</v>
      </c>
      <c r="L1984" s="266" t="s">
        <v>3361</v>
      </c>
      <c r="M1984" s="266">
        <v>2.0</v>
      </c>
      <c r="N1984" s="266">
        <v>3.0</v>
      </c>
      <c r="O1984" s="266">
        <v>1.0</v>
      </c>
      <c r="P1984" s="266" t="s">
        <v>166</v>
      </c>
      <c r="Q1984" s="266" t="s">
        <v>166</v>
      </c>
      <c r="R1984" s="497" t="s">
        <v>166</v>
      </c>
      <c r="S1984" s="497" t="s">
        <v>166</v>
      </c>
      <c r="T1984" s="496"/>
    </row>
    <row r="1985">
      <c r="A1985" s="494" t="s">
        <v>3401</v>
      </c>
      <c r="B1985" s="495" t="s">
        <v>3590</v>
      </c>
      <c r="C1985" s="174" t="str">
        <f t="shared" si="298"/>
        <v>MSI</v>
      </c>
      <c r="D1985" s="452" t="s">
        <v>4234</v>
      </c>
      <c r="E1985" s="635">
        <v>230.0</v>
      </c>
      <c r="F1985" s="513">
        <v>115.0</v>
      </c>
      <c r="G1985" s="513">
        <v>43.0</v>
      </c>
      <c r="H1985" s="513">
        <v>2.0</v>
      </c>
      <c r="I1985" s="513">
        <v>1740.0</v>
      </c>
      <c r="J1985" s="518">
        <v>14.0</v>
      </c>
      <c r="K1985" s="266">
        <v>220.0</v>
      </c>
      <c r="L1985" s="266" t="s">
        <v>3361</v>
      </c>
      <c r="M1985" s="266">
        <v>2.0</v>
      </c>
      <c r="N1985" s="266">
        <v>3.0</v>
      </c>
      <c r="O1985" s="266">
        <v>1.0</v>
      </c>
      <c r="P1985" s="266" t="s">
        <v>166</v>
      </c>
      <c r="Q1985" s="266" t="s">
        <v>166</v>
      </c>
      <c r="R1985" s="497" t="s">
        <v>166</v>
      </c>
      <c r="S1985" s="497" t="s">
        <v>166</v>
      </c>
      <c r="T1985" s="494"/>
    </row>
    <row r="1986">
      <c r="A1986" s="494" t="s">
        <v>3401</v>
      </c>
      <c r="B1986" s="495" t="s">
        <v>3590</v>
      </c>
      <c r="C1986" s="174" t="str">
        <f t="shared" si="298"/>
        <v>MSI</v>
      </c>
      <c r="D1986" s="452" t="s">
        <v>3555</v>
      </c>
      <c r="E1986" s="635">
        <v>232.0</v>
      </c>
      <c r="F1986" s="513">
        <v>124.0</v>
      </c>
      <c r="G1986" s="513">
        <v>52.0</v>
      </c>
      <c r="H1986" s="513">
        <v>2.0</v>
      </c>
      <c r="I1986" s="513">
        <v>1725.0</v>
      </c>
      <c r="J1986" s="518">
        <v>14.0</v>
      </c>
      <c r="K1986" s="266">
        <v>220.0</v>
      </c>
      <c r="L1986" s="266" t="s">
        <v>3460</v>
      </c>
      <c r="M1986" s="266">
        <v>2.0</v>
      </c>
      <c r="N1986" s="266">
        <v>3.0</v>
      </c>
      <c r="O1986" s="266">
        <v>1.0</v>
      </c>
      <c r="P1986" s="266" t="s">
        <v>166</v>
      </c>
      <c r="Q1986" s="266" t="s">
        <v>166</v>
      </c>
      <c r="R1986" s="497" t="s">
        <v>166</v>
      </c>
      <c r="S1986" s="497" t="s">
        <v>166</v>
      </c>
      <c r="T1986" s="496"/>
    </row>
    <row r="1987">
      <c r="A1987" s="494" t="s">
        <v>3401</v>
      </c>
      <c r="B1987" s="495" t="s">
        <v>3590</v>
      </c>
      <c r="C1987" s="174" t="str">
        <f t="shared" si="298"/>
        <v>MSI</v>
      </c>
      <c r="D1987" s="452" t="s">
        <v>4312</v>
      </c>
      <c r="E1987" s="635">
        <v>232.0</v>
      </c>
      <c r="F1987" s="513">
        <v>124.0</v>
      </c>
      <c r="G1987" s="513">
        <v>52.0</v>
      </c>
      <c r="H1987" s="513">
        <v>2.0</v>
      </c>
      <c r="I1987" s="513">
        <v>1725.0</v>
      </c>
      <c r="J1987" s="518">
        <v>14.0</v>
      </c>
      <c r="K1987" s="266">
        <v>220.0</v>
      </c>
      <c r="L1987" s="266" t="s">
        <v>3460</v>
      </c>
      <c r="M1987" s="266">
        <v>2.0</v>
      </c>
      <c r="N1987" s="266">
        <v>3.0</v>
      </c>
      <c r="O1987" s="266">
        <v>1.0</v>
      </c>
      <c r="P1987" s="266" t="s">
        <v>166</v>
      </c>
      <c r="Q1987" s="266" t="s">
        <v>166</v>
      </c>
      <c r="R1987" s="497" t="s">
        <v>166</v>
      </c>
      <c r="S1987" s="497" t="s">
        <v>166</v>
      </c>
      <c r="T1987" s="494"/>
    </row>
    <row r="1988">
      <c r="A1988" s="494" t="s">
        <v>3401</v>
      </c>
      <c r="B1988" s="495" t="s">
        <v>3590</v>
      </c>
      <c r="C1988" s="174" t="str">
        <f t="shared" si="298"/>
        <v>MSI</v>
      </c>
      <c r="D1988" s="452" t="s">
        <v>3556</v>
      </c>
      <c r="E1988" s="635">
        <v>232.0</v>
      </c>
      <c r="F1988" s="513">
        <v>124.0</v>
      </c>
      <c r="G1988" s="513">
        <v>52.0</v>
      </c>
      <c r="H1988" s="513">
        <v>2.0</v>
      </c>
      <c r="I1988" s="513">
        <v>1755.0</v>
      </c>
      <c r="J1988" s="518">
        <v>14.0</v>
      </c>
      <c r="K1988" s="636">
        <v>220.0</v>
      </c>
      <c r="L1988" s="516" t="s">
        <v>3460</v>
      </c>
      <c r="M1988" s="266">
        <v>2.0</v>
      </c>
      <c r="N1988" s="266">
        <v>3.0</v>
      </c>
      <c r="O1988" s="266">
        <v>1.0</v>
      </c>
      <c r="P1988" s="266" t="s">
        <v>166</v>
      </c>
      <c r="Q1988" s="266" t="s">
        <v>166</v>
      </c>
      <c r="R1988" s="497" t="s">
        <v>166</v>
      </c>
      <c r="S1988" s="497" t="s">
        <v>166</v>
      </c>
      <c r="T1988" s="496"/>
    </row>
    <row r="1989">
      <c r="A1989" s="494" t="s">
        <v>3401</v>
      </c>
      <c r="B1989" s="495" t="s">
        <v>3590</v>
      </c>
      <c r="C1989" s="174" t="str">
        <f t="shared" si="298"/>
        <v>MSI</v>
      </c>
      <c r="D1989" s="452" t="s">
        <v>4313</v>
      </c>
      <c r="E1989" s="635">
        <v>232.0</v>
      </c>
      <c r="F1989" s="513">
        <v>124.0</v>
      </c>
      <c r="G1989" s="513">
        <v>52.0</v>
      </c>
      <c r="H1989" s="513">
        <v>2.0</v>
      </c>
      <c r="I1989" s="513">
        <v>1755.0</v>
      </c>
      <c r="J1989" s="518">
        <v>14.0</v>
      </c>
      <c r="K1989" s="636">
        <v>220.0</v>
      </c>
      <c r="L1989" s="516" t="s">
        <v>3460</v>
      </c>
      <c r="M1989" s="266">
        <v>2.0</v>
      </c>
      <c r="N1989" s="266">
        <v>3.0</v>
      </c>
      <c r="O1989" s="266">
        <v>1.0</v>
      </c>
      <c r="P1989" s="266" t="s">
        <v>166</v>
      </c>
      <c r="Q1989" s="266" t="s">
        <v>166</v>
      </c>
      <c r="R1989" s="497" t="s">
        <v>166</v>
      </c>
      <c r="S1989" s="497" t="s">
        <v>166</v>
      </c>
      <c r="T1989" s="494"/>
    </row>
    <row r="1990">
      <c r="A1990" s="494" t="s">
        <v>3401</v>
      </c>
      <c r="B1990" s="495" t="s">
        <v>3590</v>
      </c>
      <c r="C1990" s="174" t="str">
        <f t="shared" si="298"/>
        <v>MSI</v>
      </c>
      <c r="D1990" s="452" t="s">
        <v>4146</v>
      </c>
      <c r="E1990" s="266">
        <v>305.0</v>
      </c>
      <c r="F1990" s="266">
        <v>121.0</v>
      </c>
      <c r="G1990" s="266">
        <v>52.0</v>
      </c>
      <c r="H1990" s="266">
        <v>2.0</v>
      </c>
      <c r="I1990" s="266">
        <v>1725.0</v>
      </c>
      <c r="J1990" s="518">
        <v>14.0</v>
      </c>
      <c r="K1990" s="266">
        <v>220.0</v>
      </c>
      <c r="L1990" s="516" t="s">
        <v>3460</v>
      </c>
      <c r="M1990" s="266">
        <v>3.0</v>
      </c>
      <c r="N1990" s="266">
        <v>3.0</v>
      </c>
      <c r="O1990" s="266">
        <v>1.0</v>
      </c>
      <c r="P1990" s="266" t="s">
        <v>166</v>
      </c>
      <c r="Q1990" s="266" t="s">
        <v>166</v>
      </c>
      <c r="R1990" s="497" t="s">
        <v>166</v>
      </c>
      <c r="S1990" s="497" t="s">
        <v>166</v>
      </c>
      <c r="T1990" s="496"/>
    </row>
    <row r="1991">
      <c r="A1991" s="494" t="s">
        <v>3401</v>
      </c>
      <c r="B1991" s="495" t="s">
        <v>3590</v>
      </c>
      <c r="C1991" s="174" t="str">
        <f t="shared" si="298"/>
        <v>MSI</v>
      </c>
      <c r="D1991" s="452" t="s">
        <v>4237</v>
      </c>
      <c r="E1991" s="266">
        <v>305.0</v>
      </c>
      <c r="F1991" s="266">
        <v>121.0</v>
      </c>
      <c r="G1991" s="266">
        <v>52.0</v>
      </c>
      <c r="H1991" s="266">
        <v>2.0</v>
      </c>
      <c r="I1991" s="266">
        <v>1725.0</v>
      </c>
      <c r="J1991" s="518">
        <v>14.0</v>
      </c>
      <c r="K1991" s="266">
        <v>220.0</v>
      </c>
      <c r="L1991" s="516" t="s">
        <v>3460</v>
      </c>
      <c r="M1991" s="266">
        <v>3.0</v>
      </c>
      <c r="N1991" s="266">
        <v>3.0</v>
      </c>
      <c r="O1991" s="266">
        <v>1.0</v>
      </c>
      <c r="P1991" s="266" t="s">
        <v>166</v>
      </c>
      <c r="Q1991" s="266" t="s">
        <v>166</v>
      </c>
      <c r="R1991" s="497" t="s">
        <v>166</v>
      </c>
      <c r="S1991" s="497" t="s">
        <v>166</v>
      </c>
      <c r="T1991" s="494"/>
    </row>
    <row r="1992">
      <c r="A1992" s="494" t="s">
        <v>3401</v>
      </c>
      <c r="B1992" s="495" t="s">
        <v>3590</v>
      </c>
      <c r="C1992" s="174" t="str">
        <f t="shared" si="298"/>
        <v>MSI</v>
      </c>
      <c r="D1992" s="452" t="s">
        <v>4147</v>
      </c>
      <c r="E1992" s="266">
        <v>305.0</v>
      </c>
      <c r="F1992" s="266">
        <v>121.0</v>
      </c>
      <c r="G1992" s="266">
        <v>52.0</v>
      </c>
      <c r="H1992" s="266">
        <v>2.0</v>
      </c>
      <c r="I1992" s="266">
        <v>1755.0</v>
      </c>
      <c r="J1992" s="518">
        <v>14.0</v>
      </c>
      <c r="K1992" s="266">
        <v>220.0</v>
      </c>
      <c r="L1992" s="516" t="s">
        <v>3460</v>
      </c>
      <c r="M1992" s="266">
        <v>3.0</v>
      </c>
      <c r="N1992" s="266">
        <v>3.0</v>
      </c>
      <c r="O1992" s="266">
        <v>1.0</v>
      </c>
      <c r="P1992" s="266" t="s">
        <v>166</v>
      </c>
      <c r="Q1992" s="266" t="s">
        <v>166</v>
      </c>
      <c r="R1992" s="497" t="s">
        <v>166</v>
      </c>
      <c r="S1992" s="497" t="s">
        <v>166</v>
      </c>
      <c r="T1992" s="496"/>
    </row>
    <row r="1993">
      <c r="A1993" s="494" t="s">
        <v>3401</v>
      </c>
      <c r="B1993" s="495" t="s">
        <v>3590</v>
      </c>
      <c r="C1993" s="174" t="str">
        <f t="shared" si="298"/>
        <v>MSI</v>
      </c>
      <c r="D1993" s="452" t="s">
        <v>4238</v>
      </c>
      <c r="E1993" s="266">
        <v>305.0</v>
      </c>
      <c r="F1993" s="266">
        <v>121.0</v>
      </c>
      <c r="G1993" s="266">
        <v>52.0</v>
      </c>
      <c r="H1993" s="266">
        <v>2.0</v>
      </c>
      <c r="I1993" s="266">
        <v>1755.0</v>
      </c>
      <c r="J1993" s="518">
        <v>14.0</v>
      </c>
      <c r="K1993" s="266">
        <v>220.0</v>
      </c>
      <c r="L1993" s="516" t="s">
        <v>3460</v>
      </c>
      <c r="M1993" s="266">
        <v>3.0</v>
      </c>
      <c r="N1993" s="266">
        <v>3.0</v>
      </c>
      <c r="O1993" s="266">
        <v>1.0</v>
      </c>
      <c r="P1993" s="266" t="s">
        <v>166</v>
      </c>
      <c r="Q1993" s="266" t="s">
        <v>166</v>
      </c>
      <c r="R1993" s="497" t="s">
        <v>166</v>
      </c>
      <c r="S1993" s="497" t="s">
        <v>166</v>
      </c>
      <c r="T1993" s="494"/>
    </row>
    <row r="1994">
      <c r="A1994" s="494" t="s">
        <v>3401</v>
      </c>
      <c r="B1994" s="495" t="s">
        <v>3590</v>
      </c>
      <c r="C1994" s="174" t="str">
        <f t="shared" si="298"/>
        <v>MSI</v>
      </c>
      <c r="D1994" s="452" t="s">
        <v>3720</v>
      </c>
      <c r="E1994" s="266">
        <v>323.0</v>
      </c>
      <c r="F1994" s="266">
        <v>140.0</v>
      </c>
      <c r="G1994" s="266">
        <v>56.0</v>
      </c>
      <c r="H1994" s="266">
        <v>2.0</v>
      </c>
      <c r="I1994" s="266">
        <v>1770.0</v>
      </c>
      <c r="J1994" s="266">
        <v>14.0</v>
      </c>
      <c r="K1994" s="266">
        <v>240.0</v>
      </c>
      <c r="L1994" s="266" t="s">
        <v>3460</v>
      </c>
      <c r="M1994" s="266">
        <v>3.0</v>
      </c>
      <c r="N1994" s="266">
        <v>3.0</v>
      </c>
      <c r="O1994" s="266">
        <v>1.0</v>
      </c>
      <c r="P1994" s="266" t="s">
        <v>166</v>
      </c>
      <c r="Q1994" s="266" t="s">
        <v>166</v>
      </c>
      <c r="R1994" s="497" t="s">
        <v>166</v>
      </c>
      <c r="S1994" s="497" t="s">
        <v>166</v>
      </c>
      <c r="T1994" s="496"/>
    </row>
    <row r="1995">
      <c r="A1995" s="494" t="s">
        <v>3401</v>
      </c>
      <c r="B1995" s="495" t="s">
        <v>3590</v>
      </c>
      <c r="C1995" s="174" t="str">
        <f t="shared" si="298"/>
        <v>MSI</v>
      </c>
      <c r="D1995" s="452" t="s">
        <v>3726</v>
      </c>
      <c r="E1995" s="266">
        <v>323.0</v>
      </c>
      <c r="F1995" s="266">
        <v>140.0</v>
      </c>
      <c r="G1995" s="266">
        <v>56.0</v>
      </c>
      <c r="H1995" s="266">
        <v>2.0</v>
      </c>
      <c r="I1995" s="513">
        <v>1770.0</v>
      </c>
      <c r="J1995" s="266">
        <v>14.0</v>
      </c>
      <c r="K1995" s="266">
        <v>240.0</v>
      </c>
      <c r="L1995" s="266" t="s">
        <v>3460</v>
      </c>
      <c r="M1995" s="266">
        <v>3.0</v>
      </c>
      <c r="N1995" s="266">
        <v>3.0</v>
      </c>
      <c r="O1995" s="266">
        <v>1.0</v>
      </c>
      <c r="P1995" s="266" t="s">
        <v>166</v>
      </c>
      <c r="Q1995" s="266" t="s">
        <v>166</v>
      </c>
      <c r="R1995" s="497" t="s">
        <v>166</v>
      </c>
      <c r="S1995" s="497" t="s">
        <v>166</v>
      </c>
      <c r="T1995" s="496"/>
    </row>
    <row r="1996">
      <c r="A1996" s="494" t="s">
        <v>3401</v>
      </c>
      <c r="B1996" s="495" t="s">
        <v>3590</v>
      </c>
      <c r="C1996" s="174" t="str">
        <f t="shared" si="298"/>
        <v>MSI</v>
      </c>
      <c r="D1996" s="452" t="s">
        <v>4241</v>
      </c>
      <c r="E1996" s="266">
        <v>323.0</v>
      </c>
      <c r="F1996" s="266">
        <v>140.0</v>
      </c>
      <c r="G1996" s="266">
        <v>56.0</v>
      </c>
      <c r="H1996" s="266">
        <v>2.0</v>
      </c>
      <c r="I1996" s="513">
        <v>1770.0</v>
      </c>
      <c r="J1996" s="266">
        <v>14.0</v>
      </c>
      <c r="K1996" s="266">
        <v>240.0</v>
      </c>
      <c r="L1996" s="266" t="s">
        <v>3460</v>
      </c>
      <c r="M1996" s="266">
        <v>3.0</v>
      </c>
      <c r="N1996" s="266">
        <v>3.0</v>
      </c>
      <c r="O1996" s="266">
        <v>1.0</v>
      </c>
      <c r="P1996" s="266" t="s">
        <v>166</v>
      </c>
      <c r="Q1996" s="266" t="s">
        <v>166</v>
      </c>
      <c r="R1996" s="497" t="s">
        <v>166</v>
      </c>
      <c r="S1996" s="497" t="s">
        <v>166</v>
      </c>
      <c r="T1996" s="494"/>
    </row>
    <row r="1997">
      <c r="A1997" s="494" t="s">
        <v>3401</v>
      </c>
      <c r="B1997" s="495" t="s">
        <v>3590</v>
      </c>
      <c r="C1997" s="174" t="str">
        <f t="shared" si="298"/>
        <v>MSI</v>
      </c>
      <c r="D1997" s="452" t="s">
        <v>3721</v>
      </c>
      <c r="E1997" s="635">
        <v>323.0</v>
      </c>
      <c r="F1997" s="513">
        <v>140.0</v>
      </c>
      <c r="G1997" s="513">
        <v>56.0</v>
      </c>
      <c r="H1997" s="513">
        <v>2.0</v>
      </c>
      <c r="I1997" s="513">
        <v>1830.0</v>
      </c>
      <c r="J1997" s="518">
        <v>14.0</v>
      </c>
      <c r="K1997" s="266">
        <v>240.0</v>
      </c>
      <c r="L1997" s="266" t="s">
        <v>3460</v>
      </c>
      <c r="M1997" s="266">
        <v>3.0</v>
      </c>
      <c r="N1997" s="266">
        <v>3.0</v>
      </c>
      <c r="O1997" s="266">
        <v>1.0</v>
      </c>
      <c r="P1997" s="266" t="s">
        <v>166</v>
      </c>
      <c r="Q1997" s="266" t="s">
        <v>166</v>
      </c>
      <c r="R1997" s="497" t="s">
        <v>166</v>
      </c>
      <c r="S1997" s="497" t="s">
        <v>166</v>
      </c>
      <c r="T1997" s="496"/>
    </row>
    <row r="1998">
      <c r="A1998" s="494" t="s">
        <v>3401</v>
      </c>
      <c r="B1998" s="495" t="s">
        <v>3590</v>
      </c>
      <c r="C1998" s="174" t="str">
        <f t="shared" si="298"/>
        <v>MSI</v>
      </c>
      <c r="D1998" s="537" t="s">
        <v>3727</v>
      </c>
      <c r="E1998" s="635">
        <v>323.0</v>
      </c>
      <c r="F1998" s="513">
        <v>140.0</v>
      </c>
      <c r="G1998" s="513">
        <v>56.0</v>
      </c>
      <c r="H1998" s="513">
        <v>2.0</v>
      </c>
      <c r="I1998" s="513">
        <v>1845.0</v>
      </c>
      <c r="J1998" s="518">
        <v>14.0</v>
      </c>
      <c r="K1998" s="266">
        <v>240.0</v>
      </c>
      <c r="L1998" s="266" t="s">
        <v>3460</v>
      </c>
      <c r="M1998" s="266">
        <v>3.0</v>
      </c>
      <c r="N1998" s="266">
        <v>3.0</v>
      </c>
      <c r="O1998" s="266">
        <v>1.0</v>
      </c>
      <c r="P1998" s="266" t="s">
        <v>166</v>
      </c>
      <c r="Q1998" s="266" t="s">
        <v>166</v>
      </c>
      <c r="R1998" s="497" t="s">
        <v>166</v>
      </c>
      <c r="S1998" s="497" t="s">
        <v>166</v>
      </c>
      <c r="T1998" s="496"/>
    </row>
    <row r="1999">
      <c r="A1999" s="494" t="s">
        <v>3401</v>
      </c>
      <c r="B1999" s="495" t="s">
        <v>3590</v>
      </c>
      <c r="C1999" s="174" t="str">
        <f t="shared" si="298"/>
        <v>MSI</v>
      </c>
      <c r="D1999" s="537" t="s">
        <v>4242</v>
      </c>
      <c r="E1999" s="635">
        <v>323.0</v>
      </c>
      <c r="F1999" s="513">
        <v>140.0</v>
      </c>
      <c r="G1999" s="513">
        <v>56.0</v>
      </c>
      <c r="H1999" s="513">
        <v>2.0</v>
      </c>
      <c r="I1999" s="513">
        <v>1845.0</v>
      </c>
      <c r="J1999" s="518">
        <v>14.0</v>
      </c>
      <c r="K1999" s="266">
        <v>240.0</v>
      </c>
      <c r="L1999" s="266" t="s">
        <v>3460</v>
      </c>
      <c r="M1999" s="266">
        <v>3.0</v>
      </c>
      <c r="N1999" s="266">
        <v>3.0</v>
      </c>
      <c r="O1999" s="266">
        <v>1.0</v>
      </c>
      <c r="P1999" s="266" t="s">
        <v>166</v>
      </c>
      <c r="Q1999" s="266" t="s">
        <v>166</v>
      </c>
      <c r="R1999" s="497" t="s">
        <v>166</v>
      </c>
      <c r="S1999" s="497" t="s">
        <v>166</v>
      </c>
      <c r="T1999" s="494"/>
    </row>
    <row r="2000">
      <c r="A2000" s="494" t="s">
        <v>3401</v>
      </c>
      <c r="B2000" s="495" t="s">
        <v>3590</v>
      </c>
      <c r="C2000" s="174" t="str">
        <f t="shared" si="298"/>
        <v>MSI</v>
      </c>
      <c r="D2000" s="537" t="s">
        <v>4314</v>
      </c>
      <c r="E2000" s="635">
        <v>335.0</v>
      </c>
      <c r="F2000" s="513">
        <v>140.0</v>
      </c>
      <c r="G2000" s="513">
        <v>61.0</v>
      </c>
      <c r="H2000" s="513">
        <v>2.0</v>
      </c>
      <c r="I2000" s="513">
        <v>1785.0</v>
      </c>
      <c r="J2000" s="518">
        <v>14.0</v>
      </c>
      <c r="K2000" s="266">
        <v>240.0</v>
      </c>
      <c r="L2000" s="266" t="s">
        <v>3460</v>
      </c>
      <c r="M2000" s="266">
        <v>3.0</v>
      </c>
      <c r="N2000" s="266">
        <v>3.0</v>
      </c>
      <c r="O2000" s="266">
        <v>1.0</v>
      </c>
      <c r="P2000" s="266" t="s">
        <v>166</v>
      </c>
      <c r="Q2000" s="266" t="s">
        <v>166</v>
      </c>
      <c r="R2000" s="497" t="s">
        <v>166</v>
      </c>
      <c r="S2000" s="497" t="s">
        <v>166</v>
      </c>
      <c r="T2000" s="496"/>
    </row>
    <row r="2001">
      <c r="A2001" s="494" t="s">
        <v>3401</v>
      </c>
      <c r="B2001" s="495" t="s">
        <v>3590</v>
      </c>
      <c r="C2001" s="174" t="str">
        <f t="shared" si="298"/>
        <v>MSI</v>
      </c>
      <c r="D2001" s="537" t="s">
        <v>4315</v>
      </c>
      <c r="E2001" s="635">
        <v>335.0</v>
      </c>
      <c r="F2001" s="513">
        <v>140.0</v>
      </c>
      <c r="G2001" s="513">
        <v>61.0</v>
      </c>
      <c r="H2001" s="513">
        <v>2.0</v>
      </c>
      <c r="I2001" s="513">
        <v>1785.0</v>
      </c>
      <c r="J2001" s="518">
        <v>14.0</v>
      </c>
      <c r="K2001" s="266">
        <v>240.0</v>
      </c>
      <c r="L2001" s="266" t="s">
        <v>3460</v>
      </c>
      <c r="M2001" s="266">
        <v>3.0</v>
      </c>
      <c r="N2001" s="266">
        <v>3.0</v>
      </c>
      <c r="O2001" s="266">
        <v>1.0</v>
      </c>
      <c r="P2001" s="266" t="s">
        <v>166</v>
      </c>
      <c r="Q2001" s="266" t="s">
        <v>166</v>
      </c>
      <c r="R2001" s="497" t="s">
        <v>166</v>
      </c>
      <c r="S2001" s="497" t="s">
        <v>166</v>
      </c>
      <c r="T2001" s="494"/>
    </row>
    <row r="2002">
      <c r="A2002" s="494" t="s">
        <v>3401</v>
      </c>
      <c r="B2002" s="495" t="s">
        <v>3590</v>
      </c>
      <c r="C2002" s="174" t="str">
        <f t="shared" si="298"/>
        <v>MSI</v>
      </c>
      <c r="D2002" s="537" t="s">
        <v>4316</v>
      </c>
      <c r="E2002" s="635">
        <v>335.0</v>
      </c>
      <c r="F2002" s="513">
        <v>140.0</v>
      </c>
      <c r="G2002" s="513">
        <v>61.0</v>
      </c>
      <c r="H2002" s="513">
        <v>2.0</v>
      </c>
      <c r="I2002" s="513">
        <v>1785.0</v>
      </c>
      <c r="J2002" s="518">
        <v>14.0</v>
      </c>
      <c r="K2002" s="266">
        <v>270.0</v>
      </c>
      <c r="L2002" s="266" t="s">
        <v>3460</v>
      </c>
      <c r="M2002" s="266">
        <v>3.0</v>
      </c>
      <c r="N2002" s="266">
        <v>3.0</v>
      </c>
      <c r="O2002" s="266">
        <v>1.0</v>
      </c>
      <c r="P2002" s="266" t="s">
        <v>166</v>
      </c>
      <c r="Q2002" s="266" t="s">
        <v>166</v>
      </c>
      <c r="R2002" s="497" t="s">
        <v>166</v>
      </c>
      <c r="S2002" s="497" t="s">
        <v>166</v>
      </c>
      <c r="T2002" s="496"/>
    </row>
    <row r="2003">
      <c r="A2003" s="494" t="s">
        <v>3401</v>
      </c>
      <c r="B2003" s="495" t="s">
        <v>3590</v>
      </c>
      <c r="C2003" s="174" t="str">
        <f t="shared" si="298"/>
        <v>MSI</v>
      </c>
      <c r="D2003" s="537" t="s">
        <v>4317</v>
      </c>
      <c r="E2003" s="635">
        <v>335.0</v>
      </c>
      <c r="F2003" s="513">
        <v>140.0</v>
      </c>
      <c r="G2003" s="513">
        <v>61.0</v>
      </c>
      <c r="H2003" s="513">
        <v>2.0</v>
      </c>
      <c r="I2003" s="513">
        <v>1785.0</v>
      </c>
      <c r="J2003" s="518">
        <v>14.0</v>
      </c>
      <c r="K2003" s="266">
        <v>270.0</v>
      </c>
      <c r="L2003" s="266" t="s">
        <v>3460</v>
      </c>
      <c r="M2003" s="266">
        <v>3.0</v>
      </c>
      <c r="N2003" s="266">
        <v>3.0</v>
      </c>
      <c r="O2003" s="266">
        <v>1.0</v>
      </c>
      <c r="P2003" s="266" t="s">
        <v>166</v>
      </c>
      <c r="Q2003" s="266" t="s">
        <v>166</v>
      </c>
      <c r="R2003" s="497" t="s">
        <v>166</v>
      </c>
      <c r="S2003" s="497" t="s">
        <v>166</v>
      </c>
      <c r="T2003" s="494"/>
    </row>
    <row r="2004">
      <c r="A2004" s="494" t="s">
        <v>3401</v>
      </c>
      <c r="B2004" s="495" t="s">
        <v>3590</v>
      </c>
      <c r="C2004" s="174" t="str">
        <f t="shared" si="298"/>
        <v>MSI</v>
      </c>
      <c r="D2004" s="537" t="s">
        <v>4318</v>
      </c>
      <c r="E2004" s="635">
        <v>335.0</v>
      </c>
      <c r="F2004" s="513">
        <v>140.0</v>
      </c>
      <c r="G2004" s="513">
        <v>61.0</v>
      </c>
      <c r="H2004" s="513">
        <v>2.0</v>
      </c>
      <c r="I2004" s="513">
        <v>1920.0</v>
      </c>
      <c r="J2004" s="518">
        <v>14.0</v>
      </c>
      <c r="K2004" s="266">
        <v>280.0</v>
      </c>
      <c r="L2004" s="266" t="s">
        <v>3460</v>
      </c>
      <c r="M2004" s="266">
        <v>3.0</v>
      </c>
      <c r="N2004" s="266">
        <v>3.0</v>
      </c>
      <c r="O2004" s="266">
        <v>1.0</v>
      </c>
      <c r="P2004" s="266" t="s">
        <v>166</v>
      </c>
      <c r="Q2004" s="266" t="s">
        <v>166</v>
      </c>
      <c r="R2004" s="497" t="s">
        <v>166</v>
      </c>
      <c r="S2004" s="497" t="s">
        <v>166</v>
      </c>
      <c r="T2004" s="496"/>
    </row>
    <row r="2005">
      <c r="A2005" s="494" t="s">
        <v>3401</v>
      </c>
      <c r="B2005" s="495" t="s">
        <v>3590</v>
      </c>
      <c r="C2005" s="174" t="str">
        <f t="shared" si="298"/>
        <v>MSI</v>
      </c>
      <c r="D2005" s="537" t="s">
        <v>4319</v>
      </c>
      <c r="E2005" s="635">
        <v>335.0</v>
      </c>
      <c r="F2005" s="513">
        <v>140.0</v>
      </c>
      <c r="G2005" s="513">
        <v>61.0</v>
      </c>
      <c r="H2005" s="513">
        <v>2.0</v>
      </c>
      <c r="I2005" s="513">
        <v>1920.0</v>
      </c>
      <c r="J2005" s="518">
        <v>14.0</v>
      </c>
      <c r="K2005" s="266">
        <v>280.0</v>
      </c>
      <c r="L2005" s="266" t="s">
        <v>3460</v>
      </c>
      <c r="M2005" s="266">
        <v>3.0</v>
      </c>
      <c r="N2005" s="266">
        <v>3.0</v>
      </c>
      <c r="O2005" s="266">
        <v>1.0</v>
      </c>
      <c r="P2005" s="266" t="s">
        <v>166</v>
      </c>
      <c r="Q2005" s="266" t="s">
        <v>166</v>
      </c>
      <c r="R2005" s="497" t="s">
        <v>166</v>
      </c>
      <c r="S2005" s="497" t="s">
        <v>166</v>
      </c>
      <c r="T2005" s="494"/>
    </row>
    <row r="2006">
      <c r="A2006" s="494" t="s">
        <v>3401</v>
      </c>
      <c r="B2006" s="495" t="s">
        <v>3590</v>
      </c>
      <c r="C2006" s="452" t="str">
        <f>HYPERLINK("https://www.nvidia.com/en-us/","Nvidia")</f>
        <v>Nvidia</v>
      </c>
      <c r="D2006" s="452" t="s">
        <v>3812</v>
      </c>
      <c r="E2006" s="266">
        <v>242.0</v>
      </c>
      <c r="F2006" s="266">
        <v>112.0</v>
      </c>
      <c r="G2006" s="266">
        <v>40.0</v>
      </c>
      <c r="H2006" s="266">
        <v>2.0</v>
      </c>
      <c r="I2006" s="266">
        <v>1725.0</v>
      </c>
      <c r="J2006" s="266">
        <v>14.0</v>
      </c>
      <c r="K2006" s="266">
        <v>220.0</v>
      </c>
      <c r="L2006" s="266">
        <v>12.0</v>
      </c>
      <c r="M2006" s="266">
        <v>2.0</v>
      </c>
      <c r="N2006" s="266">
        <v>3.0</v>
      </c>
      <c r="O2006" s="266">
        <v>1.0</v>
      </c>
      <c r="P2006" s="266" t="s">
        <v>166</v>
      </c>
      <c r="Q2006" s="266" t="s">
        <v>166</v>
      </c>
      <c r="R2006" s="497" t="s">
        <v>166</v>
      </c>
      <c r="S2006" s="497" t="s">
        <v>166</v>
      </c>
      <c r="T2006" s="496"/>
    </row>
    <row r="2007">
      <c r="A2007" s="494" t="s">
        <v>3401</v>
      </c>
      <c r="B2007" s="495" t="s">
        <v>3590</v>
      </c>
      <c r="C2007" s="452" t="str">
        <f t="shared" ref="C2007:C2018" si="299">HYPERLINK("http://www.palit.com/palit/index.php?lang=en","Palit")</f>
        <v>Palit</v>
      </c>
      <c r="D2007" s="452" t="s">
        <v>4067</v>
      </c>
      <c r="E2007" s="266">
        <v>294.0</v>
      </c>
      <c r="F2007" s="266">
        <v>112.0</v>
      </c>
      <c r="G2007" s="266">
        <v>60.0</v>
      </c>
      <c r="H2007" s="266">
        <v>2.0</v>
      </c>
      <c r="I2007" s="266">
        <v>1725.0</v>
      </c>
      <c r="J2007" s="266">
        <v>14.0</v>
      </c>
      <c r="K2007" s="266">
        <v>220.0</v>
      </c>
      <c r="L2007" s="518" t="s">
        <v>3460</v>
      </c>
      <c r="M2007" s="266">
        <v>3.0</v>
      </c>
      <c r="N2007" s="266">
        <v>3.0</v>
      </c>
      <c r="O2007" s="266">
        <v>1.0</v>
      </c>
      <c r="P2007" s="266" t="s">
        <v>166</v>
      </c>
      <c r="Q2007" s="266" t="s">
        <v>166</v>
      </c>
      <c r="R2007" s="497" t="s">
        <v>166</v>
      </c>
      <c r="S2007" s="497" t="s">
        <v>166</v>
      </c>
      <c r="T2007" s="496"/>
    </row>
    <row r="2008">
      <c r="A2008" s="494" t="s">
        <v>3401</v>
      </c>
      <c r="B2008" s="495" t="s">
        <v>3590</v>
      </c>
      <c r="C2008" s="452" t="str">
        <f t="shared" si="299"/>
        <v>Palit</v>
      </c>
      <c r="D2008" s="452" t="s">
        <v>4246</v>
      </c>
      <c r="E2008" s="266">
        <v>294.0</v>
      </c>
      <c r="F2008" s="266">
        <v>112.0</v>
      </c>
      <c r="G2008" s="266">
        <v>60.0</v>
      </c>
      <c r="H2008" s="266">
        <v>2.0</v>
      </c>
      <c r="I2008" s="266">
        <v>1725.0</v>
      </c>
      <c r="J2008" s="266">
        <v>14.0</v>
      </c>
      <c r="K2008" s="266">
        <v>220.0</v>
      </c>
      <c r="L2008" s="518" t="s">
        <v>3460</v>
      </c>
      <c r="M2008" s="266">
        <v>3.0</v>
      </c>
      <c r="N2008" s="266">
        <v>3.0</v>
      </c>
      <c r="O2008" s="266">
        <v>1.0</v>
      </c>
      <c r="P2008" s="266" t="s">
        <v>166</v>
      </c>
      <c r="Q2008" s="266" t="s">
        <v>166</v>
      </c>
      <c r="R2008" s="497" t="s">
        <v>166</v>
      </c>
      <c r="S2008" s="497" t="s">
        <v>166</v>
      </c>
      <c r="T2008" s="494"/>
    </row>
    <row r="2009">
      <c r="A2009" s="494" t="s">
        <v>3401</v>
      </c>
      <c r="B2009" s="495" t="s">
        <v>3590</v>
      </c>
      <c r="C2009" s="452" t="str">
        <f t="shared" si="299"/>
        <v>Palit</v>
      </c>
      <c r="D2009" s="452" t="s">
        <v>4068</v>
      </c>
      <c r="E2009" s="266">
        <v>294.0</v>
      </c>
      <c r="F2009" s="266">
        <v>112.0</v>
      </c>
      <c r="G2009" s="266">
        <v>60.0</v>
      </c>
      <c r="H2009" s="266">
        <v>2.0</v>
      </c>
      <c r="I2009" s="266">
        <v>1770.0</v>
      </c>
      <c r="J2009" s="266">
        <v>14.0</v>
      </c>
      <c r="K2009" s="266">
        <v>220.0</v>
      </c>
      <c r="L2009" s="518" t="s">
        <v>3460</v>
      </c>
      <c r="M2009" s="266">
        <v>3.0</v>
      </c>
      <c r="N2009" s="266">
        <v>3.0</v>
      </c>
      <c r="O2009" s="266">
        <v>1.0</v>
      </c>
      <c r="P2009" s="266" t="s">
        <v>166</v>
      </c>
      <c r="Q2009" s="266" t="s">
        <v>166</v>
      </c>
      <c r="R2009" s="497" t="s">
        <v>166</v>
      </c>
      <c r="S2009" s="497" t="s">
        <v>166</v>
      </c>
      <c r="T2009" s="496"/>
    </row>
    <row r="2010">
      <c r="A2010" s="494" t="s">
        <v>3401</v>
      </c>
      <c r="B2010" s="495" t="s">
        <v>3590</v>
      </c>
      <c r="C2010" s="452" t="str">
        <f t="shared" si="299"/>
        <v>Palit</v>
      </c>
      <c r="D2010" s="452" t="s">
        <v>4247</v>
      </c>
      <c r="E2010" s="266">
        <v>294.0</v>
      </c>
      <c r="F2010" s="266">
        <v>112.0</v>
      </c>
      <c r="G2010" s="266">
        <v>60.0</v>
      </c>
      <c r="H2010" s="266">
        <v>2.0</v>
      </c>
      <c r="I2010" s="266">
        <v>1770.0</v>
      </c>
      <c r="J2010" s="266">
        <v>14.0</v>
      </c>
      <c r="K2010" s="266">
        <v>220.0</v>
      </c>
      <c r="L2010" s="518" t="s">
        <v>3460</v>
      </c>
      <c r="M2010" s="266">
        <v>3.0</v>
      </c>
      <c r="N2010" s="266">
        <v>3.0</v>
      </c>
      <c r="O2010" s="266">
        <v>1.0</v>
      </c>
      <c r="P2010" s="266" t="s">
        <v>166</v>
      </c>
      <c r="Q2010" s="266" t="s">
        <v>166</v>
      </c>
      <c r="R2010" s="497" t="s">
        <v>166</v>
      </c>
      <c r="S2010" s="266" t="s">
        <v>166</v>
      </c>
      <c r="T2010" s="494"/>
    </row>
    <row r="2011">
      <c r="A2011" s="494" t="s">
        <v>3401</v>
      </c>
      <c r="B2011" s="495" t="s">
        <v>3590</v>
      </c>
      <c r="C2011" s="452" t="str">
        <f t="shared" si="299"/>
        <v>Palit</v>
      </c>
      <c r="D2011" s="452" t="s">
        <v>3998</v>
      </c>
      <c r="E2011" s="266">
        <v>294.0</v>
      </c>
      <c r="F2011" s="266">
        <v>112.0</v>
      </c>
      <c r="G2011" s="266">
        <v>60.0</v>
      </c>
      <c r="H2011" s="266">
        <v>2.0</v>
      </c>
      <c r="I2011" s="266">
        <v>1725.0</v>
      </c>
      <c r="J2011" s="266">
        <v>14.0</v>
      </c>
      <c r="K2011" s="266">
        <v>250.0</v>
      </c>
      <c r="L2011" s="518" t="s">
        <v>3460</v>
      </c>
      <c r="M2011" s="266">
        <v>2.0</v>
      </c>
      <c r="N2011" s="266">
        <v>3.0</v>
      </c>
      <c r="O2011" s="266">
        <v>1.0</v>
      </c>
      <c r="P2011" s="266" t="s">
        <v>166</v>
      </c>
      <c r="Q2011" s="266" t="s">
        <v>166</v>
      </c>
      <c r="R2011" s="497" t="s">
        <v>166</v>
      </c>
      <c r="S2011" s="497" t="s">
        <v>166</v>
      </c>
      <c r="T2011" s="496"/>
    </row>
    <row r="2012">
      <c r="A2012" s="494" t="s">
        <v>3401</v>
      </c>
      <c r="B2012" s="495" t="s">
        <v>3590</v>
      </c>
      <c r="C2012" s="452" t="str">
        <f t="shared" si="299"/>
        <v>Palit</v>
      </c>
      <c r="D2012" s="452" t="s">
        <v>4320</v>
      </c>
      <c r="E2012" s="266">
        <v>294.0</v>
      </c>
      <c r="F2012" s="266">
        <v>112.0</v>
      </c>
      <c r="G2012" s="266">
        <v>60.0</v>
      </c>
      <c r="H2012" s="266">
        <v>2.0</v>
      </c>
      <c r="I2012" s="266">
        <v>1725.0</v>
      </c>
      <c r="J2012" s="266">
        <v>14.0</v>
      </c>
      <c r="K2012" s="266">
        <v>250.0</v>
      </c>
      <c r="L2012" s="518" t="s">
        <v>3460</v>
      </c>
      <c r="M2012" s="266">
        <v>2.0</v>
      </c>
      <c r="N2012" s="266">
        <v>3.0</v>
      </c>
      <c r="O2012" s="266">
        <v>1.0</v>
      </c>
      <c r="P2012" s="266" t="s">
        <v>166</v>
      </c>
      <c r="Q2012" s="266" t="s">
        <v>166</v>
      </c>
      <c r="R2012" s="497" t="s">
        <v>166</v>
      </c>
      <c r="S2012" s="266" t="s">
        <v>166</v>
      </c>
      <c r="T2012" s="494"/>
    </row>
    <row r="2013">
      <c r="A2013" s="494" t="s">
        <v>3401</v>
      </c>
      <c r="B2013" s="495" t="s">
        <v>3590</v>
      </c>
      <c r="C2013" s="452" t="str">
        <f t="shared" si="299"/>
        <v>Palit</v>
      </c>
      <c r="D2013" s="452" t="s">
        <v>4321</v>
      </c>
      <c r="E2013" s="266">
        <v>294.0</v>
      </c>
      <c r="F2013" s="266">
        <v>112.0</v>
      </c>
      <c r="G2013" s="266">
        <v>60.0</v>
      </c>
      <c r="H2013" s="266">
        <v>2.0</v>
      </c>
      <c r="I2013" s="266">
        <v>1815.0</v>
      </c>
      <c r="J2013" s="266">
        <v>14.0</v>
      </c>
      <c r="K2013" s="266">
        <v>270.0</v>
      </c>
      <c r="L2013" s="518" t="s">
        <v>3460</v>
      </c>
      <c r="M2013" s="266">
        <v>2.0</v>
      </c>
      <c r="N2013" s="266">
        <v>3.0</v>
      </c>
      <c r="O2013" s="266">
        <v>1.0</v>
      </c>
      <c r="P2013" s="266" t="s">
        <v>166</v>
      </c>
      <c r="Q2013" s="266" t="s">
        <v>166</v>
      </c>
      <c r="R2013" s="497" t="s">
        <v>166</v>
      </c>
      <c r="S2013" s="497" t="s">
        <v>166</v>
      </c>
      <c r="T2013" s="496"/>
    </row>
    <row r="2014">
      <c r="A2014" s="494" t="s">
        <v>3401</v>
      </c>
      <c r="B2014" s="495" t="s">
        <v>3590</v>
      </c>
      <c r="C2014" s="452" t="str">
        <f t="shared" si="299"/>
        <v>Palit</v>
      </c>
      <c r="D2014" s="452" t="s">
        <v>4322</v>
      </c>
      <c r="E2014" s="266">
        <v>294.0</v>
      </c>
      <c r="F2014" s="266">
        <v>112.0</v>
      </c>
      <c r="G2014" s="266">
        <v>60.0</v>
      </c>
      <c r="H2014" s="266">
        <v>2.0</v>
      </c>
      <c r="I2014" s="266">
        <v>1815.0</v>
      </c>
      <c r="J2014" s="266">
        <v>14.0</v>
      </c>
      <c r="K2014" s="266">
        <v>270.0</v>
      </c>
      <c r="L2014" s="518" t="s">
        <v>3460</v>
      </c>
      <c r="M2014" s="266">
        <v>2.0</v>
      </c>
      <c r="N2014" s="266">
        <v>3.0</v>
      </c>
      <c r="O2014" s="266">
        <v>1.0</v>
      </c>
      <c r="P2014" s="266" t="s">
        <v>166</v>
      </c>
      <c r="Q2014" s="266" t="s">
        <v>166</v>
      </c>
      <c r="R2014" s="497" t="s">
        <v>166</v>
      </c>
      <c r="S2014" s="266" t="s">
        <v>166</v>
      </c>
      <c r="T2014" s="494"/>
    </row>
    <row r="2015">
      <c r="A2015" s="494" t="s">
        <v>3401</v>
      </c>
      <c r="B2015" s="495" t="s">
        <v>3590</v>
      </c>
      <c r="C2015" s="452" t="str">
        <f t="shared" si="299"/>
        <v>Palit</v>
      </c>
      <c r="D2015" s="452" t="s">
        <v>4000</v>
      </c>
      <c r="E2015" s="266">
        <v>304.0</v>
      </c>
      <c r="F2015" s="266">
        <v>136.0</v>
      </c>
      <c r="G2015" s="266">
        <v>60.0</v>
      </c>
      <c r="H2015" s="266">
        <v>2.0</v>
      </c>
      <c r="I2015" s="266">
        <v>1725.0</v>
      </c>
      <c r="J2015" s="266">
        <v>14.0</v>
      </c>
      <c r="K2015" s="266">
        <v>250.0</v>
      </c>
      <c r="L2015" s="518" t="s">
        <v>3460</v>
      </c>
      <c r="M2015" s="266">
        <v>3.0</v>
      </c>
      <c r="N2015" s="266">
        <v>3.0</v>
      </c>
      <c r="O2015" s="266">
        <v>1.0</v>
      </c>
      <c r="P2015" s="266" t="s">
        <v>166</v>
      </c>
      <c r="Q2015" s="266" t="s">
        <v>166</v>
      </c>
      <c r="R2015" s="497" t="s">
        <v>166</v>
      </c>
      <c r="S2015" s="497" t="s">
        <v>166</v>
      </c>
      <c r="T2015" s="496"/>
    </row>
    <row r="2016">
      <c r="A2016" s="494" t="s">
        <v>3401</v>
      </c>
      <c r="B2016" s="495" t="s">
        <v>3590</v>
      </c>
      <c r="C2016" s="452" t="str">
        <f t="shared" si="299"/>
        <v>Palit</v>
      </c>
      <c r="D2016" s="452" t="s">
        <v>4323</v>
      </c>
      <c r="E2016" s="266">
        <v>304.0</v>
      </c>
      <c r="F2016" s="266">
        <v>136.0</v>
      </c>
      <c r="G2016" s="266">
        <v>60.0</v>
      </c>
      <c r="H2016" s="266">
        <v>2.0</v>
      </c>
      <c r="I2016" s="266">
        <v>1725.0</v>
      </c>
      <c r="J2016" s="266">
        <v>14.0</v>
      </c>
      <c r="K2016" s="266">
        <v>250.0</v>
      </c>
      <c r="L2016" s="518" t="s">
        <v>3460</v>
      </c>
      <c r="M2016" s="266">
        <v>3.0</v>
      </c>
      <c r="N2016" s="266">
        <v>3.0</v>
      </c>
      <c r="O2016" s="266">
        <v>1.0</v>
      </c>
      <c r="P2016" s="266" t="s">
        <v>166</v>
      </c>
      <c r="Q2016" s="266" t="s">
        <v>166</v>
      </c>
      <c r="R2016" s="497" t="s">
        <v>166</v>
      </c>
      <c r="S2016" s="266" t="s">
        <v>166</v>
      </c>
      <c r="T2016" s="494"/>
    </row>
    <row r="2017">
      <c r="A2017" s="494" t="s">
        <v>3401</v>
      </c>
      <c r="B2017" s="495" t="s">
        <v>3590</v>
      </c>
      <c r="C2017" s="452" t="str">
        <f t="shared" si="299"/>
        <v>Palit</v>
      </c>
      <c r="D2017" s="452" t="s">
        <v>4324</v>
      </c>
      <c r="E2017" s="266">
        <v>304.0</v>
      </c>
      <c r="F2017" s="266">
        <v>136.0</v>
      </c>
      <c r="G2017" s="266">
        <v>60.0</v>
      </c>
      <c r="H2017" s="266">
        <v>2.0</v>
      </c>
      <c r="I2017" s="266">
        <v>1845.0</v>
      </c>
      <c r="J2017" s="266">
        <v>14.0</v>
      </c>
      <c r="K2017" s="266">
        <v>270.0</v>
      </c>
      <c r="L2017" s="518" t="s">
        <v>3460</v>
      </c>
      <c r="M2017" s="266">
        <v>3.0</v>
      </c>
      <c r="N2017" s="266">
        <v>3.0</v>
      </c>
      <c r="O2017" s="266">
        <v>1.0</v>
      </c>
      <c r="P2017" s="266" t="s">
        <v>166</v>
      </c>
      <c r="Q2017" s="266" t="s">
        <v>166</v>
      </c>
      <c r="R2017" s="497" t="s">
        <v>166</v>
      </c>
      <c r="S2017" s="497" t="s">
        <v>166</v>
      </c>
      <c r="T2017" s="496"/>
    </row>
    <row r="2018">
      <c r="A2018" s="494" t="s">
        <v>3401</v>
      </c>
      <c r="B2018" s="495" t="s">
        <v>3590</v>
      </c>
      <c r="C2018" s="452" t="str">
        <f t="shared" si="299"/>
        <v>Palit</v>
      </c>
      <c r="D2018" s="452" t="s">
        <v>4325</v>
      </c>
      <c r="E2018" s="266">
        <v>304.0</v>
      </c>
      <c r="F2018" s="266">
        <v>136.0</v>
      </c>
      <c r="G2018" s="266">
        <v>60.0</v>
      </c>
      <c r="H2018" s="266">
        <v>2.0</v>
      </c>
      <c r="I2018" s="266">
        <v>1845.0</v>
      </c>
      <c r="J2018" s="266">
        <v>14.0</v>
      </c>
      <c r="K2018" s="266">
        <v>270.0</v>
      </c>
      <c r="L2018" s="518" t="s">
        <v>3460</v>
      </c>
      <c r="M2018" s="266">
        <v>3.0</v>
      </c>
      <c r="N2018" s="266">
        <v>3.0</v>
      </c>
      <c r="O2018" s="266">
        <v>1.0</v>
      </c>
      <c r="P2018" s="266" t="s">
        <v>166</v>
      </c>
      <c r="Q2018" s="266" t="s">
        <v>166</v>
      </c>
      <c r="R2018" s="497" t="s">
        <v>166</v>
      </c>
      <c r="S2018" s="266" t="s">
        <v>166</v>
      </c>
      <c r="T2018" s="494"/>
    </row>
    <row r="2019">
      <c r="A2019" s="494" t="s">
        <v>3401</v>
      </c>
      <c r="B2019" s="495" t="s">
        <v>3590</v>
      </c>
      <c r="C2019" s="452" t="str">
        <f t="shared" ref="C2019:C2022" si="300">HYPERLINK("https://pny.com/","PNY")</f>
        <v>PNY</v>
      </c>
      <c r="D2019" s="452" t="s">
        <v>3933</v>
      </c>
      <c r="E2019" s="266">
        <v>265.0</v>
      </c>
      <c r="F2019" s="266">
        <v>140.0</v>
      </c>
      <c r="G2019" s="266">
        <v>57.0</v>
      </c>
      <c r="H2019" s="266">
        <v>2.0</v>
      </c>
      <c r="I2019" s="266">
        <v>1725.0</v>
      </c>
      <c r="J2019" s="266">
        <v>14.0</v>
      </c>
      <c r="K2019" s="266">
        <v>220.0</v>
      </c>
      <c r="L2019" s="266">
        <v>12.0</v>
      </c>
      <c r="M2019" s="266">
        <v>2.0</v>
      </c>
      <c r="N2019" s="266">
        <v>3.0</v>
      </c>
      <c r="O2019" s="266">
        <v>1.0</v>
      </c>
      <c r="P2019" s="266" t="s">
        <v>166</v>
      </c>
      <c r="Q2019" s="266" t="s">
        <v>166</v>
      </c>
      <c r="R2019" s="497" t="s">
        <v>166</v>
      </c>
      <c r="S2019" s="497" t="s">
        <v>166</v>
      </c>
      <c r="T2019" s="496"/>
    </row>
    <row r="2020">
      <c r="A2020" s="494" t="s">
        <v>3401</v>
      </c>
      <c r="B2020" s="495" t="s">
        <v>3590</v>
      </c>
      <c r="C2020" s="452" t="str">
        <f t="shared" si="300"/>
        <v>PNY</v>
      </c>
      <c r="D2020" s="452" t="s">
        <v>4249</v>
      </c>
      <c r="E2020" s="266">
        <v>265.0</v>
      </c>
      <c r="F2020" s="266">
        <v>140.0</v>
      </c>
      <c r="G2020" s="266">
        <v>57.0</v>
      </c>
      <c r="H2020" s="266">
        <v>2.0</v>
      </c>
      <c r="I2020" s="266">
        <v>1725.0</v>
      </c>
      <c r="J2020" s="266">
        <v>14.0</v>
      </c>
      <c r="K2020" s="266">
        <v>220.0</v>
      </c>
      <c r="L2020" s="266">
        <v>12.0</v>
      </c>
      <c r="M2020" s="266">
        <v>2.0</v>
      </c>
      <c r="N2020" s="266">
        <v>3.0</v>
      </c>
      <c r="O2020" s="266">
        <v>1.0</v>
      </c>
      <c r="P2020" s="266" t="s">
        <v>166</v>
      </c>
      <c r="Q2020" s="266" t="s">
        <v>166</v>
      </c>
      <c r="R2020" s="497" t="s">
        <v>166</v>
      </c>
      <c r="S2020" s="266" t="s">
        <v>166</v>
      </c>
      <c r="T2020" s="494"/>
    </row>
    <row r="2021">
      <c r="A2021" s="494" t="s">
        <v>3401</v>
      </c>
      <c r="B2021" s="495" t="s">
        <v>3590</v>
      </c>
      <c r="C2021" s="452" t="str">
        <f t="shared" si="300"/>
        <v>PNY</v>
      </c>
      <c r="D2021" s="452" t="s">
        <v>4326</v>
      </c>
      <c r="E2021" s="266">
        <v>294.0</v>
      </c>
      <c r="F2021" s="266">
        <v>112.0</v>
      </c>
      <c r="G2021" s="266">
        <v>56.0</v>
      </c>
      <c r="H2021" s="266">
        <v>2.0</v>
      </c>
      <c r="I2021" s="266">
        <v>1725.0</v>
      </c>
      <c r="J2021" s="266">
        <v>14.0</v>
      </c>
      <c r="K2021" s="266">
        <v>220.0</v>
      </c>
      <c r="L2021" s="518" t="s">
        <v>3460</v>
      </c>
      <c r="M2021" s="266">
        <v>3.0</v>
      </c>
      <c r="N2021" s="266">
        <v>3.0</v>
      </c>
      <c r="O2021" s="266">
        <v>1.0</v>
      </c>
      <c r="P2021" s="266" t="s">
        <v>166</v>
      </c>
      <c r="Q2021" s="266" t="s">
        <v>166</v>
      </c>
      <c r="R2021" s="497" t="s">
        <v>166</v>
      </c>
      <c r="S2021" s="497" t="s">
        <v>166</v>
      </c>
      <c r="T2021" s="496"/>
    </row>
    <row r="2022">
      <c r="A2022" s="494" t="s">
        <v>3401</v>
      </c>
      <c r="B2022" s="495" t="s">
        <v>3590</v>
      </c>
      <c r="C2022" s="452" t="str">
        <f t="shared" si="300"/>
        <v>PNY</v>
      </c>
      <c r="D2022" s="452" t="s">
        <v>4327</v>
      </c>
      <c r="E2022" s="266">
        <v>294.0</v>
      </c>
      <c r="F2022" s="266">
        <v>112.0</v>
      </c>
      <c r="G2022" s="266">
        <v>56.0</v>
      </c>
      <c r="H2022" s="266">
        <v>2.0</v>
      </c>
      <c r="I2022" s="266">
        <v>1725.0</v>
      </c>
      <c r="J2022" s="266">
        <v>14.0</v>
      </c>
      <c r="K2022" s="266">
        <v>220.0</v>
      </c>
      <c r="L2022" s="518" t="s">
        <v>3460</v>
      </c>
      <c r="M2022" s="266">
        <v>3.0</v>
      </c>
      <c r="N2022" s="266">
        <v>3.0</v>
      </c>
      <c r="O2022" s="266">
        <v>1.0</v>
      </c>
      <c r="P2022" s="266" t="s">
        <v>166</v>
      </c>
      <c r="Q2022" s="266" t="s">
        <v>166</v>
      </c>
      <c r="R2022" s="497" t="s">
        <v>166</v>
      </c>
      <c r="S2022" s="266" t="s">
        <v>166</v>
      </c>
      <c r="T2022" s="494"/>
    </row>
    <row r="2023">
      <c r="A2023" s="494" t="s">
        <v>3401</v>
      </c>
      <c r="B2023" s="495" t="s">
        <v>3590</v>
      </c>
      <c r="C2023" s="452" t="s">
        <v>3378</v>
      </c>
      <c r="D2023" s="452" t="s">
        <v>3777</v>
      </c>
      <c r="E2023" s="266">
        <v>301.0</v>
      </c>
      <c r="F2023" s="266">
        <v>132.0</v>
      </c>
      <c r="G2023" s="266">
        <v>49.0</v>
      </c>
      <c r="H2023" s="266">
        <v>2.0</v>
      </c>
      <c r="I2023" s="266">
        <v>1770.0</v>
      </c>
      <c r="J2023" s="266">
        <v>14.0</v>
      </c>
      <c r="K2023" s="266">
        <v>220.0</v>
      </c>
      <c r="L2023" s="518" t="s">
        <v>3460</v>
      </c>
      <c r="M2023" s="266">
        <v>3.0</v>
      </c>
      <c r="N2023" s="266">
        <v>3.0</v>
      </c>
      <c r="O2023" s="266">
        <v>1.0</v>
      </c>
      <c r="P2023" s="266" t="s">
        <v>166</v>
      </c>
      <c r="Q2023" s="266" t="s">
        <v>166</v>
      </c>
      <c r="R2023" s="497" t="s">
        <v>166</v>
      </c>
      <c r="S2023" s="497" t="s">
        <v>166</v>
      </c>
      <c r="T2023" s="496"/>
    </row>
    <row r="2024">
      <c r="A2024" s="494" t="s">
        <v>3401</v>
      </c>
      <c r="B2024" s="495" t="s">
        <v>3590</v>
      </c>
      <c r="C2024" s="452" t="str">
        <f t="shared" ref="C2024:C2041" si="301">HYPERLINK("http://zotac.com/","ZOTAC")</f>
        <v>ZOTAC</v>
      </c>
      <c r="D2024" s="452" t="s">
        <v>4152</v>
      </c>
      <c r="E2024" s="266">
        <v>312.0</v>
      </c>
      <c r="F2024" s="266">
        <v>117.0</v>
      </c>
      <c r="G2024" s="266">
        <v>53.0</v>
      </c>
      <c r="H2024" s="266">
        <v>2.0</v>
      </c>
      <c r="I2024" s="266">
        <v>1725.0</v>
      </c>
      <c r="J2024" s="266">
        <v>14.0</v>
      </c>
      <c r="K2024" s="266">
        <v>220.0</v>
      </c>
      <c r="L2024" s="266" t="s">
        <v>3460</v>
      </c>
      <c r="M2024" s="266">
        <v>3.0</v>
      </c>
      <c r="N2024" s="266">
        <v>3.0</v>
      </c>
      <c r="O2024" s="266">
        <v>1.0</v>
      </c>
      <c r="P2024" s="266" t="s">
        <v>166</v>
      </c>
      <c r="Q2024" s="266" t="s">
        <v>166</v>
      </c>
      <c r="R2024" s="497" t="s">
        <v>166</v>
      </c>
      <c r="S2024" s="497" t="s">
        <v>166</v>
      </c>
      <c r="T2024" s="496"/>
    </row>
    <row r="2025">
      <c r="A2025" s="494" t="s">
        <v>3401</v>
      </c>
      <c r="B2025" s="495" t="s">
        <v>3590</v>
      </c>
      <c r="C2025" s="452" t="str">
        <f t="shared" si="301"/>
        <v>ZOTAC</v>
      </c>
      <c r="D2025" s="452" t="s">
        <v>4153</v>
      </c>
      <c r="E2025" s="266">
        <v>312.0</v>
      </c>
      <c r="F2025" s="266">
        <v>117.0</v>
      </c>
      <c r="G2025" s="266">
        <v>53.0</v>
      </c>
      <c r="H2025" s="266">
        <v>2.0</v>
      </c>
      <c r="I2025" s="266">
        <v>1725.0</v>
      </c>
      <c r="J2025" s="266">
        <v>14.0</v>
      </c>
      <c r="K2025" s="266">
        <v>220.0</v>
      </c>
      <c r="L2025" s="266" t="s">
        <v>3460</v>
      </c>
      <c r="M2025" s="266">
        <v>3.0</v>
      </c>
      <c r="N2025" s="266">
        <v>3.0</v>
      </c>
      <c r="O2025" s="266">
        <v>1.0</v>
      </c>
      <c r="P2025" s="266" t="s">
        <v>166</v>
      </c>
      <c r="Q2025" s="266" t="s">
        <v>166</v>
      </c>
      <c r="R2025" s="497" t="s">
        <v>166</v>
      </c>
      <c r="S2025" s="266" t="s">
        <v>166</v>
      </c>
      <c r="T2025" s="494"/>
    </row>
    <row r="2026">
      <c r="A2026" s="494" t="s">
        <v>3401</v>
      </c>
      <c r="B2026" s="495" t="s">
        <v>3590</v>
      </c>
      <c r="C2026" s="452" t="str">
        <f t="shared" si="301"/>
        <v>ZOTAC</v>
      </c>
      <c r="D2026" s="452" t="s">
        <v>4328</v>
      </c>
      <c r="E2026" s="266">
        <v>311.0</v>
      </c>
      <c r="F2026" s="266">
        <v>118.0</v>
      </c>
      <c r="G2026" s="266">
        <v>53.0</v>
      </c>
      <c r="H2026" s="266">
        <v>2.0</v>
      </c>
      <c r="I2026" s="266">
        <v>1740.0</v>
      </c>
      <c r="J2026" s="266">
        <v>14.0</v>
      </c>
      <c r="K2026" s="266">
        <v>220.0</v>
      </c>
      <c r="L2026" s="266" t="s">
        <v>3460</v>
      </c>
      <c r="M2026" s="266">
        <v>3.0</v>
      </c>
      <c r="N2026" s="266">
        <v>3.0</v>
      </c>
      <c r="O2026" s="266">
        <v>1.0</v>
      </c>
      <c r="P2026" s="266" t="s">
        <v>166</v>
      </c>
      <c r="Q2026" s="266" t="s">
        <v>166</v>
      </c>
      <c r="R2026" s="497" t="s">
        <v>166</v>
      </c>
      <c r="S2026" s="497" t="s">
        <v>166</v>
      </c>
      <c r="T2026" s="496"/>
    </row>
    <row r="2027">
      <c r="A2027" s="494" t="s">
        <v>3401</v>
      </c>
      <c r="B2027" s="495" t="s">
        <v>3590</v>
      </c>
      <c r="C2027" s="452" t="str">
        <f t="shared" si="301"/>
        <v>ZOTAC</v>
      </c>
      <c r="D2027" s="452" t="s">
        <v>4329</v>
      </c>
      <c r="E2027" s="266">
        <v>311.0</v>
      </c>
      <c r="F2027" s="266">
        <v>118.0</v>
      </c>
      <c r="G2027" s="266">
        <v>53.0</v>
      </c>
      <c r="H2027" s="266">
        <v>2.0</v>
      </c>
      <c r="I2027" s="266">
        <v>1740.0</v>
      </c>
      <c r="J2027" s="266">
        <v>14.0</v>
      </c>
      <c r="K2027" s="266">
        <v>220.0</v>
      </c>
      <c r="L2027" s="266" t="s">
        <v>3460</v>
      </c>
      <c r="M2027" s="266">
        <v>3.0</v>
      </c>
      <c r="N2027" s="266">
        <v>3.0</v>
      </c>
      <c r="O2027" s="266">
        <v>1.0</v>
      </c>
      <c r="P2027" s="266" t="s">
        <v>166</v>
      </c>
      <c r="Q2027" s="266" t="s">
        <v>166</v>
      </c>
      <c r="R2027" s="497" t="s">
        <v>166</v>
      </c>
      <c r="S2027" s="266" t="s">
        <v>166</v>
      </c>
      <c r="T2027" s="494"/>
    </row>
    <row r="2028">
      <c r="A2028" s="494" t="s">
        <v>3401</v>
      </c>
      <c r="B2028" s="495" t="s">
        <v>3590</v>
      </c>
      <c r="C2028" s="452" t="str">
        <f t="shared" si="301"/>
        <v>ZOTAC</v>
      </c>
      <c r="D2028" s="452" t="s">
        <v>4160</v>
      </c>
      <c r="E2028" s="266">
        <v>315.0</v>
      </c>
      <c r="F2028" s="266">
        <v>122.0</v>
      </c>
      <c r="G2028" s="266">
        <v>60.0</v>
      </c>
      <c r="H2028" s="266">
        <v>2.0</v>
      </c>
      <c r="I2028" s="266">
        <v>1755.0</v>
      </c>
      <c r="J2028" s="266">
        <v>14.0</v>
      </c>
      <c r="K2028" s="266">
        <v>240.0</v>
      </c>
      <c r="L2028" s="266" t="s">
        <v>3460</v>
      </c>
      <c r="M2028" s="266">
        <v>3.0</v>
      </c>
      <c r="N2028" s="266">
        <v>3.0</v>
      </c>
      <c r="O2028" s="266">
        <v>1.0</v>
      </c>
      <c r="P2028" s="266" t="s">
        <v>166</v>
      </c>
      <c r="Q2028" s="266" t="s">
        <v>166</v>
      </c>
      <c r="R2028" s="497" t="s">
        <v>166</v>
      </c>
      <c r="S2028" s="497" t="s">
        <v>166</v>
      </c>
      <c r="T2028" s="496"/>
    </row>
    <row r="2029">
      <c r="A2029" s="494" t="s">
        <v>3401</v>
      </c>
      <c r="B2029" s="495" t="s">
        <v>3590</v>
      </c>
      <c r="C2029" s="452" t="str">
        <f t="shared" si="301"/>
        <v>ZOTAC</v>
      </c>
      <c r="D2029" s="452" t="s">
        <v>4330</v>
      </c>
      <c r="E2029" s="266">
        <v>315.0</v>
      </c>
      <c r="F2029" s="266">
        <v>122.0</v>
      </c>
      <c r="G2029" s="266">
        <v>60.0</v>
      </c>
      <c r="H2029" s="266">
        <v>2.0</v>
      </c>
      <c r="I2029" s="266">
        <v>1755.0</v>
      </c>
      <c r="J2029" s="266">
        <v>14.0</v>
      </c>
      <c r="K2029" s="266">
        <v>220.0</v>
      </c>
      <c r="L2029" s="266" t="s">
        <v>3460</v>
      </c>
      <c r="M2029" s="266">
        <v>3.0</v>
      </c>
      <c r="N2029" s="266">
        <v>3.0</v>
      </c>
      <c r="O2029" s="266">
        <v>1.0</v>
      </c>
      <c r="P2029" s="266" t="s">
        <v>166</v>
      </c>
      <c r="Q2029" s="266" t="s">
        <v>166</v>
      </c>
      <c r="R2029" s="497" t="s">
        <v>166</v>
      </c>
      <c r="S2029" s="266" t="s">
        <v>166</v>
      </c>
      <c r="T2029" s="494"/>
    </row>
    <row r="2030">
      <c r="A2030" s="494" t="s">
        <v>3401</v>
      </c>
      <c r="B2030" s="495" t="s">
        <v>3590</v>
      </c>
      <c r="C2030" s="452" t="str">
        <f t="shared" si="301"/>
        <v>ZOTAC</v>
      </c>
      <c r="D2030" s="452" t="s">
        <v>4331</v>
      </c>
      <c r="E2030" s="266">
        <v>309.0</v>
      </c>
      <c r="F2030" s="266">
        <v>136.0</v>
      </c>
      <c r="G2030" s="266">
        <v>61.0</v>
      </c>
      <c r="H2030" s="266">
        <v>2.0</v>
      </c>
      <c r="I2030" s="266">
        <v>1725.0</v>
      </c>
      <c r="J2030" s="266">
        <v>14.0</v>
      </c>
      <c r="K2030" s="266">
        <v>220.0</v>
      </c>
      <c r="L2030" s="266" t="s">
        <v>3460</v>
      </c>
      <c r="M2030" s="266">
        <v>3.0</v>
      </c>
      <c r="N2030" s="266">
        <v>3.0</v>
      </c>
      <c r="O2030" s="266">
        <v>1.0</v>
      </c>
      <c r="P2030" s="266" t="s">
        <v>166</v>
      </c>
      <c r="Q2030" s="266" t="s">
        <v>166</v>
      </c>
      <c r="R2030" s="497" t="s">
        <v>166</v>
      </c>
      <c r="S2030" s="497" t="s">
        <v>166</v>
      </c>
      <c r="T2030" s="496"/>
    </row>
    <row r="2031">
      <c r="A2031" s="494" t="s">
        <v>3401</v>
      </c>
      <c r="B2031" s="495" t="s">
        <v>3590</v>
      </c>
      <c r="C2031" s="452" t="str">
        <f t="shared" si="301"/>
        <v>ZOTAC</v>
      </c>
      <c r="D2031" s="452" t="s">
        <v>4332</v>
      </c>
      <c r="E2031" s="266">
        <v>309.0</v>
      </c>
      <c r="F2031" s="266">
        <v>136.0</v>
      </c>
      <c r="G2031" s="266">
        <v>61.0</v>
      </c>
      <c r="H2031" s="266">
        <v>2.0</v>
      </c>
      <c r="I2031" s="266">
        <v>1725.0</v>
      </c>
      <c r="J2031" s="266">
        <v>14.0</v>
      </c>
      <c r="K2031" s="266">
        <v>220.0</v>
      </c>
      <c r="L2031" s="266" t="s">
        <v>3460</v>
      </c>
      <c r="M2031" s="266">
        <v>3.0</v>
      </c>
      <c r="N2031" s="266">
        <v>3.0</v>
      </c>
      <c r="O2031" s="266">
        <v>1.0</v>
      </c>
      <c r="P2031" s="266" t="s">
        <v>166</v>
      </c>
      <c r="Q2031" s="266" t="s">
        <v>166</v>
      </c>
      <c r="R2031" s="497" t="s">
        <v>166</v>
      </c>
      <c r="S2031" s="266" t="s">
        <v>166</v>
      </c>
      <c r="T2031" s="494"/>
    </row>
    <row r="2032">
      <c r="A2032" s="494" t="s">
        <v>3401</v>
      </c>
      <c r="B2032" s="495" t="s">
        <v>3590</v>
      </c>
      <c r="C2032" s="452" t="str">
        <f t="shared" si="301"/>
        <v>ZOTAC</v>
      </c>
      <c r="D2032" s="452" t="s">
        <v>4251</v>
      </c>
      <c r="E2032" s="266">
        <v>309.0</v>
      </c>
      <c r="F2032" s="266">
        <v>136.0</v>
      </c>
      <c r="G2032" s="266">
        <v>61.0</v>
      </c>
      <c r="H2032" s="266">
        <v>2.0</v>
      </c>
      <c r="I2032" s="266">
        <v>1785.0</v>
      </c>
      <c r="J2032" s="266">
        <v>14.0</v>
      </c>
      <c r="K2032" s="266">
        <v>240.0</v>
      </c>
      <c r="L2032" s="266" t="s">
        <v>3460</v>
      </c>
      <c r="M2032" s="266">
        <v>3.0</v>
      </c>
      <c r="N2032" s="266">
        <v>3.0</v>
      </c>
      <c r="O2032" s="266">
        <v>1.0</v>
      </c>
      <c r="P2032" s="266" t="s">
        <v>166</v>
      </c>
      <c r="Q2032" s="266" t="s">
        <v>166</v>
      </c>
      <c r="R2032" s="497" t="s">
        <v>166</v>
      </c>
      <c r="S2032" s="497" t="s">
        <v>166</v>
      </c>
      <c r="T2032" s="496"/>
    </row>
    <row r="2033">
      <c r="A2033" s="494" t="s">
        <v>3401</v>
      </c>
      <c r="B2033" s="495" t="s">
        <v>3590</v>
      </c>
      <c r="C2033" s="452" t="str">
        <f t="shared" si="301"/>
        <v>ZOTAC</v>
      </c>
      <c r="D2033" s="452" t="s">
        <v>4162</v>
      </c>
      <c r="E2033" s="266">
        <v>309.0</v>
      </c>
      <c r="F2033" s="266">
        <v>136.0</v>
      </c>
      <c r="G2033" s="266">
        <v>61.0</v>
      </c>
      <c r="H2033" s="266">
        <v>2.0</v>
      </c>
      <c r="I2033" s="266">
        <v>1785.0</v>
      </c>
      <c r="J2033" s="266">
        <v>14.0</v>
      </c>
      <c r="K2033" s="266">
        <v>240.0</v>
      </c>
      <c r="L2033" s="266" t="s">
        <v>3460</v>
      </c>
      <c r="M2033" s="266">
        <v>3.0</v>
      </c>
      <c r="N2033" s="266">
        <v>3.0</v>
      </c>
      <c r="O2033" s="266">
        <v>1.0</v>
      </c>
      <c r="P2033" s="266" t="s">
        <v>166</v>
      </c>
      <c r="Q2033" s="266" t="s">
        <v>166</v>
      </c>
      <c r="R2033" s="497" t="s">
        <v>166</v>
      </c>
      <c r="S2033" s="266" t="s">
        <v>166</v>
      </c>
      <c r="T2033" s="494"/>
    </row>
    <row r="2034">
      <c r="A2034" s="494" t="s">
        <v>3401</v>
      </c>
      <c r="B2034" s="495" t="s">
        <v>3590</v>
      </c>
      <c r="C2034" s="452" t="str">
        <f t="shared" si="301"/>
        <v>ZOTAC</v>
      </c>
      <c r="D2034" s="452" t="s">
        <v>4085</v>
      </c>
      <c r="E2034" s="266">
        <v>231.9</v>
      </c>
      <c r="F2034" s="266">
        <v>141.3</v>
      </c>
      <c r="G2034" s="266">
        <v>41.5</v>
      </c>
      <c r="H2034" s="266">
        <v>2.0</v>
      </c>
      <c r="I2034" s="266">
        <v>1725.0</v>
      </c>
      <c r="J2034" s="266">
        <v>14.0</v>
      </c>
      <c r="K2034" s="266">
        <v>220.0</v>
      </c>
      <c r="L2034" s="266" t="s">
        <v>3460</v>
      </c>
      <c r="M2034" s="266">
        <v>2.0</v>
      </c>
      <c r="N2034" s="266">
        <v>3.0</v>
      </c>
      <c r="O2034" s="266">
        <v>1.0</v>
      </c>
      <c r="P2034" s="266" t="s">
        <v>166</v>
      </c>
      <c r="Q2034" s="266" t="s">
        <v>166</v>
      </c>
      <c r="R2034" s="497" t="s">
        <v>166</v>
      </c>
      <c r="S2034" s="497" t="s">
        <v>166</v>
      </c>
      <c r="T2034" s="496"/>
    </row>
    <row r="2035">
      <c r="A2035" s="494" t="s">
        <v>3401</v>
      </c>
      <c r="B2035" s="495" t="s">
        <v>3590</v>
      </c>
      <c r="C2035" s="452" t="str">
        <f t="shared" si="301"/>
        <v>ZOTAC</v>
      </c>
      <c r="D2035" s="452" t="s">
        <v>4252</v>
      </c>
      <c r="E2035" s="266">
        <v>231.9</v>
      </c>
      <c r="F2035" s="266">
        <v>141.3</v>
      </c>
      <c r="G2035" s="266">
        <v>41.5</v>
      </c>
      <c r="H2035" s="266">
        <v>2.0</v>
      </c>
      <c r="I2035" s="266">
        <v>1725.0</v>
      </c>
      <c r="J2035" s="266">
        <v>14.0</v>
      </c>
      <c r="K2035" s="266">
        <v>220.0</v>
      </c>
      <c r="L2035" s="266" t="s">
        <v>3460</v>
      </c>
      <c r="M2035" s="266">
        <v>2.0</v>
      </c>
      <c r="N2035" s="266">
        <v>3.0</v>
      </c>
      <c r="O2035" s="266">
        <v>1.0</v>
      </c>
      <c r="P2035" s="266" t="s">
        <v>166</v>
      </c>
      <c r="Q2035" s="266" t="s">
        <v>166</v>
      </c>
      <c r="R2035" s="497" t="s">
        <v>166</v>
      </c>
      <c r="S2035" s="266" t="s">
        <v>166</v>
      </c>
      <c r="T2035" s="494"/>
    </row>
    <row r="2036">
      <c r="A2036" s="494" t="s">
        <v>3401</v>
      </c>
      <c r="B2036" s="495" t="s">
        <v>3590</v>
      </c>
      <c r="C2036" s="452" t="str">
        <f t="shared" si="301"/>
        <v>ZOTAC</v>
      </c>
      <c r="D2036" s="452" t="s">
        <v>4086</v>
      </c>
      <c r="E2036" s="266">
        <v>231.9</v>
      </c>
      <c r="F2036" s="266">
        <v>141.3</v>
      </c>
      <c r="G2036" s="266">
        <v>41.5</v>
      </c>
      <c r="H2036" s="266">
        <v>2.0</v>
      </c>
      <c r="I2036" s="266">
        <v>1755.0</v>
      </c>
      <c r="J2036" s="266">
        <v>14.0</v>
      </c>
      <c r="K2036" s="266">
        <v>220.0</v>
      </c>
      <c r="L2036" s="266" t="s">
        <v>3460</v>
      </c>
      <c r="M2036" s="266">
        <v>2.0</v>
      </c>
      <c r="N2036" s="266">
        <v>3.0</v>
      </c>
      <c r="O2036" s="266">
        <v>1.0</v>
      </c>
      <c r="P2036" s="266" t="s">
        <v>166</v>
      </c>
      <c r="Q2036" s="266" t="s">
        <v>166</v>
      </c>
      <c r="R2036" s="497" t="s">
        <v>166</v>
      </c>
      <c r="S2036" s="497" t="s">
        <v>166</v>
      </c>
      <c r="T2036" s="496"/>
    </row>
    <row r="2037">
      <c r="A2037" s="494" t="s">
        <v>3401</v>
      </c>
      <c r="B2037" s="495" t="s">
        <v>3590</v>
      </c>
      <c r="C2037" s="452" t="str">
        <f t="shared" si="301"/>
        <v>ZOTAC</v>
      </c>
      <c r="D2037" s="452" t="s">
        <v>4253</v>
      </c>
      <c r="E2037" s="266">
        <v>231.9</v>
      </c>
      <c r="F2037" s="266">
        <v>141.3</v>
      </c>
      <c r="G2037" s="266">
        <v>41.5</v>
      </c>
      <c r="H2037" s="266">
        <v>2.0</v>
      </c>
      <c r="I2037" s="266">
        <v>1755.0</v>
      </c>
      <c r="J2037" s="266">
        <v>14.0</v>
      </c>
      <c r="K2037" s="266">
        <v>220.0</v>
      </c>
      <c r="L2037" s="266" t="s">
        <v>3460</v>
      </c>
      <c r="M2037" s="266">
        <v>2.0</v>
      </c>
      <c r="N2037" s="266">
        <v>3.0</v>
      </c>
      <c r="O2037" s="266">
        <v>1.0</v>
      </c>
      <c r="P2037" s="266" t="s">
        <v>166</v>
      </c>
      <c r="Q2037" s="266" t="s">
        <v>166</v>
      </c>
      <c r="R2037" s="497" t="s">
        <v>166</v>
      </c>
      <c r="S2037" s="266" t="s">
        <v>166</v>
      </c>
      <c r="T2037" s="494"/>
    </row>
    <row r="2038">
      <c r="A2038" s="494" t="s">
        <v>3401</v>
      </c>
      <c r="B2038" s="495" t="s">
        <v>3590</v>
      </c>
      <c r="C2038" s="452" t="str">
        <f t="shared" si="301"/>
        <v>ZOTAC</v>
      </c>
      <c r="D2038" s="452" t="s">
        <v>4333</v>
      </c>
      <c r="E2038" s="266">
        <v>231.9</v>
      </c>
      <c r="F2038" s="266">
        <v>141.3</v>
      </c>
      <c r="G2038" s="266">
        <v>41.5</v>
      </c>
      <c r="H2038" s="266">
        <v>2.0</v>
      </c>
      <c r="I2038" s="266">
        <v>1755.0</v>
      </c>
      <c r="J2038" s="266">
        <v>14.0</v>
      </c>
      <c r="K2038" s="266">
        <v>220.0</v>
      </c>
      <c r="L2038" s="266" t="s">
        <v>3460</v>
      </c>
      <c r="M2038" s="266">
        <v>2.0</v>
      </c>
      <c r="N2038" s="266">
        <v>3.0</v>
      </c>
      <c r="O2038" s="266">
        <v>1.0</v>
      </c>
      <c r="P2038" s="266" t="s">
        <v>166</v>
      </c>
      <c r="Q2038" s="266" t="s">
        <v>166</v>
      </c>
      <c r="R2038" s="497" t="s">
        <v>166</v>
      </c>
      <c r="S2038" s="497" t="s">
        <v>166</v>
      </c>
      <c r="T2038" s="496"/>
    </row>
    <row r="2039">
      <c r="A2039" s="494" t="s">
        <v>3401</v>
      </c>
      <c r="B2039" s="495" t="s">
        <v>3590</v>
      </c>
      <c r="C2039" s="452" t="str">
        <f t="shared" si="301"/>
        <v>ZOTAC</v>
      </c>
      <c r="D2039" s="452" t="s">
        <v>4334</v>
      </c>
      <c r="E2039" s="266">
        <v>231.9</v>
      </c>
      <c r="F2039" s="266">
        <v>141.3</v>
      </c>
      <c r="G2039" s="266">
        <v>41.5</v>
      </c>
      <c r="H2039" s="266">
        <v>2.0</v>
      </c>
      <c r="I2039" s="266">
        <v>1755.0</v>
      </c>
      <c r="J2039" s="266">
        <v>14.0</v>
      </c>
      <c r="K2039" s="266">
        <v>220.0</v>
      </c>
      <c r="L2039" s="266" t="s">
        <v>3460</v>
      </c>
      <c r="M2039" s="266">
        <v>2.0</v>
      </c>
      <c r="N2039" s="266">
        <v>3.0</v>
      </c>
      <c r="O2039" s="266">
        <v>1.0</v>
      </c>
      <c r="P2039" s="266" t="s">
        <v>166</v>
      </c>
      <c r="Q2039" s="266" t="s">
        <v>166</v>
      </c>
      <c r="R2039" s="497" t="s">
        <v>166</v>
      </c>
      <c r="S2039" s="266" t="s">
        <v>166</v>
      </c>
      <c r="T2039" s="494"/>
    </row>
    <row r="2040">
      <c r="A2040" s="494" t="s">
        <v>3401</v>
      </c>
      <c r="B2040" s="495" t="s">
        <v>3590</v>
      </c>
      <c r="C2040" s="452" t="str">
        <f t="shared" si="301"/>
        <v>ZOTAC</v>
      </c>
      <c r="D2040" s="452" t="s">
        <v>4335</v>
      </c>
      <c r="E2040" s="266">
        <v>291.2</v>
      </c>
      <c r="F2040" s="266">
        <v>142.2</v>
      </c>
      <c r="G2040" s="266">
        <v>58.7</v>
      </c>
      <c r="H2040" s="266">
        <v>2.0</v>
      </c>
      <c r="I2040" s="266">
        <v>1785.0</v>
      </c>
      <c r="J2040" s="266">
        <v>14.0</v>
      </c>
      <c r="K2040" s="266">
        <v>240.0</v>
      </c>
      <c r="L2040" s="266" t="s">
        <v>3460</v>
      </c>
      <c r="M2040" s="266">
        <v>2.0</v>
      </c>
      <c r="N2040" s="266">
        <v>3.0</v>
      </c>
      <c r="O2040" s="266">
        <v>1.0</v>
      </c>
      <c r="P2040" s="266" t="s">
        <v>166</v>
      </c>
      <c r="Q2040" s="266" t="s">
        <v>166</v>
      </c>
      <c r="R2040" s="497" t="s">
        <v>166</v>
      </c>
      <c r="S2040" s="497" t="s">
        <v>166</v>
      </c>
      <c r="T2040" s="496"/>
    </row>
    <row r="2041">
      <c r="A2041" s="498" t="s">
        <v>3401</v>
      </c>
      <c r="B2041" s="499" t="s">
        <v>3590</v>
      </c>
      <c r="C2041" s="500" t="str">
        <f t="shared" si="301"/>
        <v>ZOTAC</v>
      </c>
      <c r="D2041" s="500" t="s">
        <v>4336</v>
      </c>
      <c r="E2041" s="501">
        <v>291.2</v>
      </c>
      <c r="F2041" s="501">
        <v>142.2</v>
      </c>
      <c r="G2041" s="501">
        <v>58.7</v>
      </c>
      <c r="H2041" s="501">
        <v>2.0</v>
      </c>
      <c r="I2041" s="501">
        <v>1785.0</v>
      </c>
      <c r="J2041" s="501">
        <v>14.0</v>
      </c>
      <c r="K2041" s="501">
        <v>240.0</v>
      </c>
      <c r="L2041" s="501" t="s">
        <v>3460</v>
      </c>
      <c r="M2041" s="501">
        <v>2.0</v>
      </c>
      <c r="N2041" s="501">
        <v>3.0</v>
      </c>
      <c r="O2041" s="501">
        <v>1.0</v>
      </c>
      <c r="P2041" s="501" t="s">
        <v>166</v>
      </c>
      <c r="Q2041" s="501" t="s">
        <v>166</v>
      </c>
      <c r="R2041" s="501" t="s">
        <v>166</v>
      </c>
      <c r="S2041" s="501" t="s">
        <v>166</v>
      </c>
      <c r="T2041" s="498"/>
    </row>
    <row r="2042">
      <c r="A2042" s="504" t="s">
        <v>3401</v>
      </c>
      <c r="B2042" s="505" t="s">
        <v>4337</v>
      </c>
      <c r="C2042" s="282" t="str">
        <f t="shared" ref="C2042:C2048" si="302">HYPERLINK("https://www.asus.com/","Asus")</f>
        <v>Asus</v>
      </c>
      <c r="D2042" s="506" t="s">
        <v>3810</v>
      </c>
      <c r="E2042" s="507">
        <v>268.0</v>
      </c>
      <c r="F2042" s="507">
        <v>113.0</v>
      </c>
      <c r="G2042" s="507">
        <v>39.0</v>
      </c>
      <c r="H2042" s="507">
        <v>2.0</v>
      </c>
      <c r="I2042" s="507">
        <v>1800.0</v>
      </c>
      <c r="J2042" s="507">
        <v>19.0</v>
      </c>
      <c r="K2042" s="507">
        <v>290.0</v>
      </c>
      <c r="L2042" s="266" t="s">
        <v>3460</v>
      </c>
      <c r="M2042" s="507">
        <v>1.0</v>
      </c>
      <c r="N2042" s="266">
        <v>3.0</v>
      </c>
      <c r="O2042" s="266">
        <v>1.0</v>
      </c>
      <c r="P2042" s="266" t="s">
        <v>166</v>
      </c>
      <c r="Q2042" s="266" t="s">
        <v>166</v>
      </c>
      <c r="R2042" s="497" t="s">
        <v>166</v>
      </c>
      <c r="S2042" s="507" t="s">
        <v>174</v>
      </c>
      <c r="T2042" s="504"/>
    </row>
    <row r="2043">
      <c r="A2043" s="504" t="s">
        <v>3401</v>
      </c>
      <c r="B2043" s="505" t="s">
        <v>4337</v>
      </c>
      <c r="C2043" s="282" t="str">
        <f t="shared" si="302"/>
        <v>Asus</v>
      </c>
      <c r="D2043" s="506" t="s">
        <v>3477</v>
      </c>
      <c r="E2043" s="507">
        <v>299.9</v>
      </c>
      <c r="F2043" s="507">
        <v>126.9</v>
      </c>
      <c r="G2043" s="507">
        <v>51.7</v>
      </c>
      <c r="H2043" s="507">
        <v>2.0</v>
      </c>
      <c r="I2043" s="507">
        <v>1800.0</v>
      </c>
      <c r="J2043" s="507">
        <v>19.0</v>
      </c>
      <c r="K2043" s="507">
        <v>290.0</v>
      </c>
      <c r="L2043" s="507" t="s">
        <v>3460</v>
      </c>
      <c r="M2043" s="507">
        <v>3.0</v>
      </c>
      <c r="N2043" s="507">
        <v>3.0</v>
      </c>
      <c r="O2043" s="507">
        <v>2.0</v>
      </c>
      <c r="P2043" s="507" t="s">
        <v>166</v>
      </c>
      <c r="Q2043" s="507" t="s">
        <v>166</v>
      </c>
      <c r="R2043" s="497" t="s">
        <v>166</v>
      </c>
      <c r="S2043" s="497" t="s">
        <v>166</v>
      </c>
      <c r="T2043" s="509"/>
    </row>
    <row r="2044">
      <c r="A2044" s="494" t="s">
        <v>3401</v>
      </c>
      <c r="B2044" s="495" t="s">
        <v>4337</v>
      </c>
      <c r="C2044" s="174" t="str">
        <f t="shared" si="302"/>
        <v>Asus</v>
      </c>
      <c r="D2044" s="506" t="s">
        <v>3478</v>
      </c>
      <c r="E2044" s="507">
        <v>299.9</v>
      </c>
      <c r="F2044" s="507">
        <v>126.9</v>
      </c>
      <c r="G2044" s="507">
        <v>51.7</v>
      </c>
      <c r="H2044" s="507">
        <v>2.0</v>
      </c>
      <c r="I2044" s="507">
        <v>1815.0</v>
      </c>
      <c r="J2044" s="266">
        <v>19.0</v>
      </c>
      <c r="K2044" s="266">
        <v>290.0</v>
      </c>
      <c r="L2044" s="266" t="s">
        <v>3460</v>
      </c>
      <c r="M2044" s="507">
        <v>3.0</v>
      </c>
      <c r="N2044" s="266">
        <v>3.0</v>
      </c>
      <c r="O2044" s="266">
        <v>2.0</v>
      </c>
      <c r="P2044" s="266" t="s">
        <v>166</v>
      </c>
      <c r="Q2044" s="266" t="s">
        <v>166</v>
      </c>
      <c r="R2044" s="497" t="s">
        <v>166</v>
      </c>
      <c r="S2044" s="497" t="s">
        <v>166</v>
      </c>
      <c r="T2044" s="509"/>
    </row>
    <row r="2045">
      <c r="A2045" s="494" t="s">
        <v>3401</v>
      </c>
      <c r="B2045" s="495" t="s">
        <v>4337</v>
      </c>
      <c r="C2045" s="174" t="str">
        <f t="shared" si="302"/>
        <v>Asus</v>
      </c>
      <c r="D2045" s="506" t="s">
        <v>3479</v>
      </c>
      <c r="E2045" s="507">
        <v>299.9</v>
      </c>
      <c r="F2045" s="507">
        <v>126.9</v>
      </c>
      <c r="G2045" s="507">
        <v>51.7</v>
      </c>
      <c r="H2045" s="507">
        <v>2.0</v>
      </c>
      <c r="I2045" s="507">
        <v>1800.0</v>
      </c>
      <c r="J2045" s="266">
        <v>19.0</v>
      </c>
      <c r="K2045" s="266">
        <v>290.0</v>
      </c>
      <c r="L2045" s="266" t="s">
        <v>3460</v>
      </c>
      <c r="M2045" s="507">
        <v>3.0</v>
      </c>
      <c r="N2045" s="266">
        <v>3.0</v>
      </c>
      <c r="O2045" s="266">
        <v>2.0</v>
      </c>
      <c r="P2045" s="266" t="s">
        <v>166</v>
      </c>
      <c r="Q2045" s="266" t="s">
        <v>166</v>
      </c>
      <c r="R2045" s="497" t="s">
        <v>166</v>
      </c>
      <c r="S2045" s="497" t="s">
        <v>166</v>
      </c>
      <c r="T2045" s="509"/>
    </row>
    <row r="2046">
      <c r="A2046" s="494" t="s">
        <v>3401</v>
      </c>
      <c r="B2046" s="495" t="s">
        <v>4337</v>
      </c>
      <c r="C2046" s="174" t="str">
        <f t="shared" si="302"/>
        <v>Asus</v>
      </c>
      <c r="D2046" s="506" t="s">
        <v>3480</v>
      </c>
      <c r="E2046" s="507">
        <v>299.9</v>
      </c>
      <c r="F2046" s="507">
        <v>126.9</v>
      </c>
      <c r="G2046" s="507">
        <v>51.7</v>
      </c>
      <c r="H2046" s="507">
        <v>2.0</v>
      </c>
      <c r="I2046" s="507">
        <v>1815.0</v>
      </c>
      <c r="J2046" s="266">
        <v>19.0</v>
      </c>
      <c r="K2046" s="266">
        <v>290.0</v>
      </c>
      <c r="L2046" s="266" t="s">
        <v>3460</v>
      </c>
      <c r="M2046" s="507">
        <v>3.0</v>
      </c>
      <c r="N2046" s="266">
        <v>3.0</v>
      </c>
      <c r="O2046" s="266">
        <v>2.0</v>
      </c>
      <c r="P2046" s="266" t="s">
        <v>166</v>
      </c>
      <c r="Q2046" s="266" t="s">
        <v>166</v>
      </c>
      <c r="R2046" s="497" t="s">
        <v>166</v>
      </c>
      <c r="S2046" s="497" t="s">
        <v>166</v>
      </c>
      <c r="T2046" s="509"/>
    </row>
    <row r="2047">
      <c r="A2047" s="494" t="s">
        <v>3401</v>
      </c>
      <c r="B2047" s="495" t="s">
        <v>4337</v>
      </c>
      <c r="C2047" s="174" t="str">
        <f t="shared" si="302"/>
        <v>Asus</v>
      </c>
      <c r="D2047" s="506" t="s">
        <v>3631</v>
      </c>
      <c r="E2047" s="507">
        <v>318.5</v>
      </c>
      <c r="F2047" s="507">
        <v>140.1</v>
      </c>
      <c r="G2047" s="507">
        <v>57.78</v>
      </c>
      <c r="H2047" s="507">
        <v>2.0</v>
      </c>
      <c r="I2047" s="507">
        <v>1800.0</v>
      </c>
      <c r="J2047" s="266">
        <v>19.0</v>
      </c>
      <c r="K2047" s="266">
        <v>290.0</v>
      </c>
      <c r="L2047" s="266" t="s">
        <v>3734</v>
      </c>
      <c r="M2047" s="507">
        <v>3.0</v>
      </c>
      <c r="N2047" s="266">
        <v>3.0</v>
      </c>
      <c r="O2047" s="266">
        <v>2.0</v>
      </c>
      <c r="P2047" s="266" t="s">
        <v>166</v>
      </c>
      <c r="Q2047" s="266" t="s">
        <v>166</v>
      </c>
      <c r="R2047" s="497" t="s">
        <v>166</v>
      </c>
      <c r="S2047" s="497" t="s">
        <v>166</v>
      </c>
      <c r="T2047" s="509"/>
    </row>
    <row r="2048">
      <c r="A2048" s="494" t="s">
        <v>3401</v>
      </c>
      <c r="B2048" s="495" t="s">
        <v>4337</v>
      </c>
      <c r="C2048" s="174" t="str">
        <f t="shared" si="302"/>
        <v>Asus</v>
      </c>
      <c r="D2048" s="506" t="s">
        <v>3643</v>
      </c>
      <c r="E2048" s="507">
        <v>318.5</v>
      </c>
      <c r="F2048" s="507">
        <v>140.1</v>
      </c>
      <c r="G2048" s="507">
        <v>57.78</v>
      </c>
      <c r="H2048" s="507">
        <v>2.0</v>
      </c>
      <c r="I2048" s="507">
        <v>1875.0</v>
      </c>
      <c r="J2048" s="266">
        <v>19.0</v>
      </c>
      <c r="K2048" s="266">
        <v>310.0</v>
      </c>
      <c r="L2048" s="266" t="s">
        <v>3734</v>
      </c>
      <c r="M2048" s="507">
        <v>3.0</v>
      </c>
      <c r="N2048" s="266">
        <v>3.0</v>
      </c>
      <c r="O2048" s="266">
        <v>2.0</v>
      </c>
      <c r="P2048" s="266" t="s">
        <v>166</v>
      </c>
      <c r="Q2048" s="266" t="s">
        <v>166</v>
      </c>
      <c r="R2048" s="497" t="s">
        <v>166</v>
      </c>
      <c r="S2048" s="497" t="s">
        <v>166</v>
      </c>
      <c r="T2048" s="509"/>
    </row>
    <row r="2049">
      <c r="A2049" s="494" t="s">
        <v>3401</v>
      </c>
      <c r="B2049" s="495" t="s">
        <v>4337</v>
      </c>
      <c r="C2049" s="452" t="s">
        <v>3575</v>
      </c>
      <c r="D2049" s="506" t="s">
        <v>3870</v>
      </c>
      <c r="E2049" s="507">
        <f>316-12</f>
        <v>304</v>
      </c>
      <c r="F2049" s="507">
        <f t="shared" ref="F2049:F2050" si="303">134-15</f>
        <v>119</v>
      </c>
      <c r="G2049" s="507">
        <v>53.0</v>
      </c>
      <c r="H2049" s="507">
        <v>2.0</v>
      </c>
      <c r="I2049" s="507">
        <v>1770.0</v>
      </c>
      <c r="J2049" s="266">
        <v>19.0</v>
      </c>
      <c r="K2049" s="266">
        <v>290.0</v>
      </c>
      <c r="L2049" s="266">
        <v>12.0</v>
      </c>
      <c r="M2049" s="507">
        <v>3.0</v>
      </c>
      <c r="N2049" s="266">
        <v>3.0</v>
      </c>
      <c r="O2049" s="266">
        <v>1.0</v>
      </c>
      <c r="P2049" s="266" t="s">
        <v>166</v>
      </c>
      <c r="Q2049" s="266" t="s">
        <v>166</v>
      </c>
      <c r="R2049" s="497" t="s">
        <v>166</v>
      </c>
      <c r="S2049" s="497" t="s">
        <v>166</v>
      </c>
      <c r="T2049" s="509"/>
    </row>
    <row r="2050">
      <c r="A2050" s="494" t="s">
        <v>3401</v>
      </c>
      <c r="B2050" s="495" t="s">
        <v>4337</v>
      </c>
      <c r="C2050" s="452" t="s">
        <v>3575</v>
      </c>
      <c r="D2050" s="506" t="s">
        <v>4338</v>
      </c>
      <c r="E2050" s="507">
        <f>300-12</f>
        <v>288</v>
      </c>
      <c r="F2050" s="507">
        <f t="shared" si="303"/>
        <v>119</v>
      </c>
      <c r="G2050" s="507">
        <v>45.0</v>
      </c>
      <c r="H2050" s="507">
        <v>2.0</v>
      </c>
      <c r="I2050" s="507">
        <v>1800.0</v>
      </c>
      <c r="J2050" s="266">
        <v>19.0</v>
      </c>
      <c r="K2050" s="266">
        <v>290.0</v>
      </c>
      <c r="L2050" s="266">
        <v>12.0</v>
      </c>
      <c r="M2050" s="507">
        <v>2.0</v>
      </c>
      <c r="N2050" s="266">
        <v>3.0</v>
      </c>
      <c r="O2050" s="266">
        <v>1.0</v>
      </c>
      <c r="P2050" s="266" t="s">
        <v>166</v>
      </c>
      <c r="Q2050" s="266" t="s">
        <v>166</v>
      </c>
      <c r="R2050" s="497" t="s">
        <v>166</v>
      </c>
      <c r="S2050" s="497" t="s">
        <v>166</v>
      </c>
      <c r="T2050" s="509"/>
    </row>
    <row r="2051">
      <c r="A2051" s="494" t="s">
        <v>3401</v>
      </c>
      <c r="B2051" s="495" t="s">
        <v>4337</v>
      </c>
      <c r="C2051" s="452" t="s">
        <v>3575</v>
      </c>
      <c r="D2051" s="506" t="s">
        <v>4103</v>
      </c>
      <c r="E2051" s="507">
        <f t="shared" ref="E2051:E2052" si="304">310-12</f>
        <v>298</v>
      </c>
      <c r="F2051" s="507">
        <f t="shared" ref="F2051:F2052" si="305">131.5-15</f>
        <v>116.5</v>
      </c>
      <c r="G2051" s="507">
        <v>60.0</v>
      </c>
      <c r="H2051" s="507">
        <v>2.0</v>
      </c>
      <c r="I2051" s="507">
        <v>1770.0</v>
      </c>
      <c r="J2051" s="266">
        <v>19.0</v>
      </c>
      <c r="K2051" s="266">
        <v>290.0</v>
      </c>
      <c r="L2051" s="266" t="s">
        <v>3460</v>
      </c>
      <c r="M2051" s="507">
        <v>3.0</v>
      </c>
      <c r="N2051" s="266">
        <v>3.0</v>
      </c>
      <c r="O2051" s="266">
        <v>1.0</v>
      </c>
      <c r="P2051" s="266" t="s">
        <v>166</v>
      </c>
      <c r="Q2051" s="266" t="s">
        <v>166</v>
      </c>
      <c r="R2051" s="497" t="s">
        <v>166</v>
      </c>
      <c r="S2051" s="497" t="s">
        <v>166</v>
      </c>
      <c r="T2051" s="509"/>
    </row>
    <row r="2052">
      <c r="A2052" s="494" t="s">
        <v>3401</v>
      </c>
      <c r="B2052" s="495" t="s">
        <v>4337</v>
      </c>
      <c r="C2052" s="452" t="s">
        <v>3575</v>
      </c>
      <c r="D2052" s="506" t="s">
        <v>4087</v>
      </c>
      <c r="E2052" s="507">
        <f t="shared" si="304"/>
        <v>298</v>
      </c>
      <c r="F2052" s="507">
        <f t="shared" si="305"/>
        <v>116.5</v>
      </c>
      <c r="G2052" s="507">
        <v>60.0</v>
      </c>
      <c r="H2052" s="507">
        <v>2.0</v>
      </c>
      <c r="I2052" s="507">
        <v>1800.0</v>
      </c>
      <c r="J2052" s="266">
        <v>19.0</v>
      </c>
      <c r="K2052" s="266">
        <v>310.0</v>
      </c>
      <c r="L2052" s="266" t="s">
        <v>3460</v>
      </c>
      <c r="M2052" s="507">
        <v>3.0</v>
      </c>
      <c r="N2052" s="266">
        <v>3.0</v>
      </c>
      <c r="O2052" s="266">
        <v>1.0</v>
      </c>
      <c r="P2052" s="266" t="s">
        <v>166</v>
      </c>
      <c r="Q2052" s="266" t="s">
        <v>166</v>
      </c>
      <c r="R2052" s="497" t="s">
        <v>166</v>
      </c>
      <c r="S2052" s="497" t="s">
        <v>166</v>
      </c>
      <c r="T2052" s="509"/>
    </row>
    <row r="2053">
      <c r="A2053" s="494" t="s">
        <v>3401</v>
      </c>
      <c r="B2053" s="495" t="s">
        <v>4337</v>
      </c>
      <c r="C2053" s="452" t="s">
        <v>3575</v>
      </c>
      <c r="D2053" s="506" t="s">
        <v>4027</v>
      </c>
      <c r="E2053" s="507">
        <f t="shared" ref="E2053:E2054" si="306">315.5-12</f>
        <v>303.5</v>
      </c>
      <c r="F2053" s="507">
        <f t="shared" ref="F2053:F2054" si="307">131-15</f>
        <v>116</v>
      </c>
      <c r="G2053" s="507">
        <v>60.0</v>
      </c>
      <c r="H2053" s="507">
        <v>2.0</v>
      </c>
      <c r="I2053" s="507">
        <v>1770.0</v>
      </c>
      <c r="J2053" s="266">
        <v>19.0</v>
      </c>
      <c r="K2053" s="266">
        <v>290.0</v>
      </c>
      <c r="L2053" s="266" t="s">
        <v>3460</v>
      </c>
      <c r="M2053" s="507">
        <v>3.0</v>
      </c>
      <c r="N2053" s="266">
        <v>3.0</v>
      </c>
      <c r="O2053" s="266">
        <v>1.0</v>
      </c>
      <c r="P2053" s="266" t="s">
        <v>166</v>
      </c>
      <c r="Q2053" s="266" t="s">
        <v>166</v>
      </c>
      <c r="R2053" s="497" t="s">
        <v>166</v>
      </c>
      <c r="S2053" s="497" t="s">
        <v>166</v>
      </c>
      <c r="T2053" s="509"/>
    </row>
    <row r="2054">
      <c r="A2054" s="494" t="s">
        <v>3401</v>
      </c>
      <c r="B2054" s="495" t="s">
        <v>4337</v>
      </c>
      <c r="C2054" s="452" t="s">
        <v>3575</v>
      </c>
      <c r="D2054" s="506" t="s">
        <v>3889</v>
      </c>
      <c r="E2054" s="507">
        <f t="shared" si="306"/>
        <v>303.5</v>
      </c>
      <c r="F2054" s="507">
        <f t="shared" si="307"/>
        <v>116</v>
      </c>
      <c r="G2054" s="507">
        <v>60.0</v>
      </c>
      <c r="H2054" s="507">
        <v>2.0</v>
      </c>
      <c r="I2054" s="507">
        <v>1830.0</v>
      </c>
      <c r="J2054" s="266">
        <v>19.0</v>
      </c>
      <c r="K2054" s="266">
        <v>290.0</v>
      </c>
      <c r="L2054" s="266" t="s">
        <v>3460</v>
      </c>
      <c r="M2054" s="507">
        <v>3.0</v>
      </c>
      <c r="N2054" s="266">
        <v>3.0</v>
      </c>
      <c r="O2054" s="266">
        <v>1.0</v>
      </c>
      <c r="P2054" s="266" t="s">
        <v>166</v>
      </c>
      <c r="Q2054" s="266" t="s">
        <v>166</v>
      </c>
      <c r="R2054" s="497" t="s">
        <v>166</v>
      </c>
      <c r="S2054" s="497" t="s">
        <v>166</v>
      </c>
      <c r="T2054" s="509"/>
    </row>
    <row r="2055">
      <c r="A2055" s="494" t="s">
        <v>3401</v>
      </c>
      <c r="B2055" s="495" t="s">
        <v>4337</v>
      </c>
      <c r="C2055" s="452" t="s">
        <v>3575</v>
      </c>
      <c r="D2055" s="506" t="s">
        <v>4173</v>
      </c>
      <c r="E2055" s="507">
        <f t="shared" ref="E2055:E2056" si="308">323-12</f>
        <v>311</v>
      </c>
      <c r="F2055" s="507">
        <f t="shared" ref="F2055:F2056" si="309">158-15</f>
        <v>143</v>
      </c>
      <c r="G2055" s="507">
        <v>60.0</v>
      </c>
      <c r="H2055" s="507">
        <v>2.0</v>
      </c>
      <c r="I2055" s="507">
        <v>1770.0</v>
      </c>
      <c r="J2055" s="266">
        <v>19.0</v>
      </c>
      <c r="K2055" s="266">
        <v>290.0</v>
      </c>
      <c r="L2055" s="266" t="s">
        <v>3734</v>
      </c>
      <c r="M2055" s="507">
        <v>3.0</v>
      </c>
      <c r="N2055" s="266">
        <v>3.0</v>
      </c>
      <c r="O2055" s="266">
        <v>1.0</v>
      </c>
      <c r="P2055" s="266" t="s">
        <v>166</v>
      </c>
      <c r="Q2055" s="266" t="s">
        <v>166</v>
      </c>
      <c r="R2055" s="497" t="s">
        <v>166</v>
      </c>
      <c r="S2055" s="497" t="s">
        <v>166</v>
      </c>
      <c r="T2055" s="509"/>
    </row>
    <row r="2056">
      <c r="A2056" s="494" t="s">
        <v>3401</v>
      </c>
      <c r="B2056" s="495" t="s">
        <v>4337</v>
      </c>
      <c r="C2056" s="452" t="s">
        <v>3575</v>
      </c>
      <c r="D2056" s="506" t="s">
        <v>3943</v>
      </c>
      <c r="E2056" s="507">
        <f t="shared" si="308"/>
        <v>311</v>
      </c>
      <c r="F2056" s="507">
        <f t="shared" si="309"/>
        <v>143</v>
      </c>
      <c r="G2056" s="507">
        <v>60.0</v>
      </c>
      <c r="H2056" s="507">
        <v>2.0</v>
      </c>
      <c r="I2056" s="507">
        <v>1860.0</v>
      </c>
      <c r="J2056" s="266">
        <v>19.0</v>
      </c>
      <c r="K2056" s="266">
        <v>310.0</v>
      </c>
      <c r="L2056" s="266" t="s">
        <v>3734</v>
      </c>
      <c r="M2056" s="507">
        <v>3.0</v>
      </c>
      <c r="N2056" s="266">
        <v>3.0</v>
      </c>
      <c r="O2056" s="266">
        <v>1.0</v>
      </c>
      <c r="P2056" s="266" t="s">
        <v>166</v>
      </c>
      <c r="Q2056" s="266" t="s">
        <v>166</v>
      </c>
      <c r="R2056" s="497" t="s">
        <v>166</v>
      </c>
      <c r="S2056" s="497" t="s">
        <v>166</v>
      </c>
      <c r="T2056" s="509"/>
    </row>
    <row r="2057">
      <c r="A2057" s="494" t="s">
        <v>3401</v>
      </c>
      <c r="B2057" s="495" t="s">
        <v>4337</v>
      </c>
      <c r="C2057" s="174" t="s">
        <v>3405</v>
      </c>
      <c r="D2057" s="506" t="s">
        <v>4272</v>
      </c>
      <c r="E2057" s="507">
        <v>294.0</v>
      </c>
      <c r="F2057" s="507">
        <v>112.0</v>
      </c>
      <c r="G2057" s="507">
        <v>55.0</v>
      </c>
      <c r="H2057" s="507">
        <v>2.0</v>
      </c>
      <c r="I2057" s="507">
        <v>1770.0</v>
      </c>
      <c r="J2057" s="266">
        <v>19.0</v>
      </c>
      <c r="K2057" s="266">
        <v>290.0</v>
      </c>
      <c r="L2057" s="266" t="s">
        <v>3460</v>
      </c>
      <c r="M2057" s="507">
        <v>3.0</v>
      </c>
      <c r="N2057" s="266">
        <v>3.0</v>
      </c>
      <c r="O2057" s="266">
        <v>1.0</v>
      </c>
      <c r="P2057" s="266" t="s">
        <v>166</v>
      </c>
      <c r="Q2057" s="266" t="s">
        <v>166</v>
      </c>
      <c r="R2057" s="497" t="s">
        <v>166</v>
      </c>
      <c r="S2057" s="497" t="s">
        <v>166</v>
      </c>
      <c r="T2057" s="509"/>
    </row>
    <row r="2058">
      <c r="A2058" s="494" t="s">
        <v>3401</v>
      </c>
      <c r="B2058" s="495" t="s">
        <v>4337</v>
      </c>
      <c r="C2058" s="174" t="s">
        <v>3405</v>
      </c>
      <c r="D2058" s="506" t="s">
        <v>4339</v>
      </c>
      <c r="E2058" s="507">
        <v>304.0</v>
      </c>
      <c r="F2058" s="507">
        <v>138.0</v>
      </c>
      <c r="G2058" s="507">
        <v>60.0</v>
      </c>
      <c r="H2058" s="507">
        <v>2.0</v>
      </c>
      <c r="I2058" s="507">
        <v>1770.0</v>
      </c>
      <c r="J2058" s="266">
        <v>19.0</v>
      </c>
      <c r="K2058" s="266">
        <v>290.0</v>
      </c>
      <c r="L2058" s="266" t="s">
        <v>3460</v>
      </c>
      <c r="M2058" s="507">
        <v>3.0</v>
      </c>
      <c r="N2058" s="266">
        <v>3.0</v>
      </c>
      <c r="O2058" s="266">
        <v>1.0</v>
      </c>
      <c r="P2058" s="266" t="s">
        <v>166</v>
      </c>
      <c r="Q2058" s="266" t="s">
        <v>166</v>
      </c>
      <c r="R2058" s="497" t="s">
        <v>166</v>
      </c>
      <c r="S2058" s="497" t="s">
        <v>166</v>
      </c>
      <c r="T2058" s="509"/>
    </row>
    <row r="2059">
      <c r="A2059" s="494" t="s">
        <v>3401</v>
      </c>
      <c r="B2059" s="495" t="s">
        <v>4337</v>
      </c>
      <c r="C2059" s="174" t="str">
        <f t="shared" ref="C2059:C2062" si="310">HYPERLINK("https://www.evga.com/","EVGA")</f>
        <v>EVGA</v>
      </c>
      <c r="D2059" s="637" t="s">
        <v>4279</v>
      </c>
      <c r="E2059" s="507">
        <v>285.37</v>
      </c>
      <c r="F2059" s="507">
        <v>111.15</v>
      </c>
      <c r="G2059" s="507">
        <v>45.9</v>
      </c>
      <c r="H2059" s="507">
        <v>2.0</v>
      </c>
      <c r="I2059" s="507">
        <v>1770.0</v>
      </c>
      <c r="J2059" s="266">
        <v>19.0</v>
      </c>
      <c r="K2059" s="266">
        <v>290.0</v>
      </c>
      <c r="L2059" s="266" t="s">
        <v>3460</v>
      </c>
      <c r="M2059" s="507">
        <v>3.0</v>
      </c>
      <c r="N2059" s="266">
        <v>3.0</v>
      </c>
      <c r="O2059" s="266">
        <v>1.0</v>
      </c>
      <c r="P2059" s="266" t="s">
        <v>166</v>
      </c>
      <c r="Q2059" s="266" t="s">
        <v>166</v>
      </c>
      <c r="R2059" s="497" t="s">
        <v>166</v>
      </c>
      <c r="S2059" s="497" t="s">
        <v>166</v>
      </c>
      <c r="T2059" s="509"/>
    </row>
    <row r="2060">
      <c r="A2060" s="494" t="s">
        <v>3401</v>
      </c>
      <c r="B2060" s="495" t="s">
        <v>4337</v>
      </c>
      <c r="C2060" s="174" t="str">
        <f t="shared" si="310"/>
        <v>EVGA</v>
      </c>
      <c r="D2060" s="637" t="s">
        <v>4340</v>
      </c>
      <c r="E2060" s="507">
        <v>285.37</v>
      </c>
      <c r="F2060" s="507">
        <v>111.15</v>
      </c>
      <c r="G2060" s="507">
        <v>45.9</v>
      </c>
      <c r="H2060" s="507">
        <v>2.0</v>
      </c>
      <c r="I2060" s="507">
        <v>1815.0</v>
      </c>
      <c r="J2060" s="266">
        <v>19.0</v>
      </c>
      <c r="K2060" s="266">
        <v>290.0</v>
      </c>
      <c r="L2060" s="266" t="s">
        <v>3460</v>
      </c>
      <c r="M2060" s="507">
        <v>3.0</v>
      </c>
      <c r="N2060" s="266">
        <v>3.0</v>
      </c>
      <c r="O2060" s="266">
        <v>1.0</v>
      </c>
      <c r="P2060" s="266" t="s">
        <v>166</v>
      </c>
      <c r="Q2060" s="266" t="s">
        <v>166</v>
      </c>
      <c r="R2060" s="497" t="s">
        <v>166</v>
      </c>
      <c r="S2060" s="497" t="s">
        <v>166</v>
      </c>
      <c r="T2060" s="509"/>
    </row>
    <row r="2061">
      <c r="A2061" s="494" t="s">
        <v>3401</v>
      </c>
      <c r="B2061" s="495" t="s">
        <v>4337</v>
      </c>
      <c r="C2061" s="174" t="str">
        <f t="shared" si="310"/>
        <v>EVGA</v>
      </c>
      <c r="D2061" s="637" t="s">
        <v>3823</v>
      </c>
      <c r="E2061" s="507">
        <v>300.0</v>
      </c>
      <c r="F2061" s="507">
        <v>136.75</v>
      </c>
      <c r="G2061" s="507">
        <v>56.35</v>
      </c>
      <c r="H2061" s="507">
        <v>2.0</v>
      </c>
      <c r="I2061" s="507">
        <v>1830.0</v>
      </c>
      <c r="J2061" s="266">
        <v>19.0</v>
      </c>
      <c r="K2061" s="266">
        <v>290.0</v>
      </c>
      <c r="L2061" s="266" t="s">
        <v>3460</v>
      </c>
      <c r="M2061" s="507">
        <v>3.0</v>
      </c>
      <c r="N2061" s="266">
        <v>3.0</v>
      </c>
      <c r="O2061" s="266">
        <v>1.0</v>
      </c>
      <c r="P2061" s="266" t="s">
        <v>166</v>
      </c>
      <c r="Q2061" s="266" t="s">
        <v>166</v>
      </c>
      <c r="R2061" s="497" t="s">
        <v>166</v>
      </c>
      <c r="S2061" s="497" t="s">
        <v>166</v>
      </c>
      <c r="T2061" s="509"/>
    </row>
    <row r="2062">
      <c r="A2062" s="494" t="s">
        <v>3401</v>
      </c>
      <c r="B2062" s="495" t="s">
        <v>4337</v>
      </c>
      <c r="C2062" s="174" t="str">
        <f t="shared" si="310"/>
        <v>EVGA</v>
      </c>
      <c r="D2062" s="637" t="s">
        <v>3979</v>
      </c>
      <c r="E2062" s="507">
        <v>300.0</v>
      </c>
      <c r="F2062" s="507">
        <v>136.75</v>
      </c>
      <c r="G2062" s="507">
        <v>56.35</v>
      </c>
      <c r="H2062" s="507">
        <v>2.0</v>
      </c>
      <c r="I2062" s="507">
        <v>1860.0</v>
      </c>
      <c r="J2062" s="266">
        <v>19.0</v>
      </c>
      <c r="K2062" s="266">
        <v>310.0</v>
      </c>
      <c r="L2062" s="266" t="s">
        <v>3460</v>
      </c>
      <c r="M2062" s="507">
        <v>3.0</v>
      </c>
      <c r="N2062" s="266">
        <v>3.0</v>
      </c>
      <c r="O2062" s="266">
        <v>1.0</v>
      </c>
      <c r="P2062" s="266" t="s">
        <v>166</v>
      </c>
      <c r="Q2062" s="266" t="s">
        <v>166</v>
      </c>
      <c r="R2062" s="497" t="s">
        <v>166</v>
      </c>
      <c r="S2062" s="497" t="s">
        <v>166</v>
      </c>
      <c r="T2062" s="509"/>
    </row>
    <row r="2063">
      <c r="A2063" s="494" t="s">
        <v>3401</v>
      </c>
      <c r="B2063" s="495" t="s">
        <v>4337</v>
      </c>
      <c r="C2063" s="174" t="str">
        <f t="shared" ref="C2063:C2068" si="311">HYPERLINK("http://www.gainward.com/main/index.php?lang=en","Gainward")</f>
        <v>Gainward</v>
      </c>
      <c r="D2063" s="506" t="s">
        <v>3592</v>
      </c>
      <c r="E2063" s="266">
        <v>329.0</v>
      </c>
      <c r="F2063" s="266">
        <v>137.0</v>
      </c>
      <c r="G2063" s="266">
        <v>60.0</v>
      </c>
      <c r="H2063" s="507">
        <v>2.0</v>
      </c>
      <c r="I2063" s="507">
        <v>1770.0</v>
      </c>
      <c r="J2063" s="266">
        <v>19.0</v>
      </c>
      <c r="K2063" s="266">
        <v>290.0</v>
      </c>
      <c r="L2063" s="266" t="s">
        <v>3460</v>
      </c>
      <c r="M2063" s="507">
        <v>3.0</v>
      </c>
      <c r="N2063" s="266">
        <v>3.0</v>
      </c>
      <c r="O2063" s="266">
        <v>1.0</v>
      </c>
      <c r="P2063" s="266" t="s">
        <v>166</v>
      </c>
      <c r="Q2063" s="266" t="s">
        <v>166</v>
      </c>
      <c r="R2063" s="497" t="s">
        <v>166</v>
      </c>
      <c r="S2063" s="497" t="s">
        <v>166</v>
      </c>
      <c r="T2063" s="509"/>
    </row>
    <row r="2064">
      <c r="A2064" s="494" t="s">
        <v>3401</v>
      </c>
      <c r="B2064" s="495" t="s">
        <v>4337</v>
      </c>
      <c r="C2064" s="174" t="str">
        <f t="shared" si="311"/>
        <v>Gainward</v>
      </c>
      <c r="D2064" s="506" t="s">
        <v>4284</v>
      </c>
      <c r="E2064" s="266">
        <v>329.0</v>
      </c>
      <c r="F2064" s="266">
        <v>137.0</v>
      </c>
      <c r="G2064" s="266">
        <v>60.0</v>
      </c>
      <c r="H2064" s="507">
        <v>2.0</v>
      </c>
      <c r="I2064" s="507">
        <v>1770.0</v>
      </c>
      <c r="J2064" s="266">
        <v>19.0</v>
      </c>
      <c r="K2064" s="266">
        <v>290.0</v>
      </c>
      <c r="L2064" s="266" t="s">
        <v>3460</v>
      </c>
      <c r="M2064" s="507">
        <v>3.0</v>
      </c>
      <c r="N2064" s="266">
        <v>3.0</v>
      </c>
      <c r="O2064" s="266">
        <v>1.0</v>
      </c>
      <c r="P2064" s="266" t="s">
        <v>166</v>
      </c>
      <c r="Q2064" s="266" t="s">
        <v>166</v>
      </c>
      <c r="R2064" s="497" t="s">
        <v>166</v>
      </c>
      <c r="S2064" s="497" t="s">
        <v>166</v>
      </c>
      <c r="T2064" s="509"/>
    </row>
    <row r="2065">
      <c r="A2065" s="494" t="s">
        <v>3401</v>
      </c>
      <c r="B2065" s="495" t="s">
        <v>4337</v>
      </c>
      <c r="C2065" s="174" t="str">
        <f t="shared" si="311"/>
        <v>Gainward</v>
      </c>
      <c r="D2065" s="506" t="s">
        <v>4341</v>
      </c>
      <c r="E2065" s="507">
        <v>329.5</v>
      </c>
      <c r="F2065" s="507">
        <v>136.0</v>
      </c>
      <c r="G2065" s="507">
        <v>65.5</v>
      </c>
      <c r="H2065" s="507">
        <v>2.0</v>
      </c>
      <c r="I2065" s="507">
        <v>1800.0</v>
      </c>
      <c r="J2065" s="266">
        <v>19.0</v>
      </c>
      <c r="K2065" s="266">
        <v>290.0</v>
      </c>
      <c r="L2065" s="266" t="s">
        <v>3460</v>
      </c>
      <c r="M2065" s="507">
        <v>3.0</v>
      </c>
      <c r="N2065" s="266">
        <v>3.0</v>
      </c>
      <c r="O2065" s="266">
        <v>1.0</v>
      </c>
      <c r="P2065" s="266" t="s">
        <v>166</v>
      </c>
      <c r="Q2065" s="266" t="s">
        <v>166</v>
      </c>
      <c r="R2065" s="497" t="s">
        <v>166</v>
      </c>
      <c r="S2065" s="497" t="s">
        <v>166</v>
      </c>
      <c r="T2065" s="509"/>
    </row>
    <row r="2066">
      <c r="A2066" s="494" t="s">
        <v>3401</v>
      </c>
      <c r="B2066" s="495" t="s">
        <v>4337</v>
      </c>
      <c r="C2066" s="174" t="str">
        <f t="shared" si="311"/>
        <v>Gainward</v>
      </c>
      <c r="D2066" s="506" t="s">
        <v>4342</v>
      </c>
      <c r="E2066" s="507">
        <v>329.5</v>
      </c>
      <c r="F2066" s="507">
        <v>136.0</v>
      </c>
      <c r="G2066" s="507">
        <v>65.5</v>
      </c>
      <c r="H2066" s="507">
        <v>2.0</v>
      </c>
      <c r="I2066" s="507">
        <v>1800.0</v>
      </c>
      <c r="J2066" s="266">
        <v>19.0</v>
      </c>
      <c r="K2066" s="266">
        <v>290.0</v>
      </c>
      <c r="L2066" s="266" t="s">
        <v>3460</v>
      </c>
      <c r="M2066" s="507">
        <v>3.0</v>
      </c>
      <c r="N2066" s="266">
        <v>3.0</v>
      </c>
      <c r="O2066" s="266">
        <v>1.0</v>
      </c>
      <c r="P2066" s="266" t="s">
        <v>166</v>
      </c>
      <c r="Q2066" s="266" t="s">
        <v>166</v>
      </c>
      <c r="R2066" s="497" t="s">
        <v>166</v>
      </c>
      <c r="S2066" s="497" t="s">
        <v>166</v>
      </c>
      <c r="T2066" s="509"/>
    </row>
    <row r="2067">
      <c r="A2067" s="494" t="s">
        <v>3401</v>
      </c>
      <c r="B2067" s="495" t="s">
        <v>4337</v>
      </c>
      <c r="C2067" s="174" t="str">
        <f t="shared" si="311"/>
        <v>Gainward</v>
      </c>
      <c r="D2067" s="506" t="s">
        <v>4195</v>
      </c>
      <c r="E2067" s="266">
        <v>332.9</v>
      </c>
      <c r="F2067" s="266">
        <v>133.0</v>
      </c>
      <c r="G2067" s="266">
        <v>60.0</v>
      </c>
      <c r="H2067" s="507">
        <v>2.0</v>
      </c>
      <c r="I2067" s="507">
        <v>1830.0</v>
      </c>
      <c r="J2067" s="266">
        <v>19.0</v>
      </c>
      <c r="K2067" s="266">
        <v>290.0</v>
      </c>
      <c r="L2067" s="266" t="s">
        <v>3460</v>
      </c>
      <c r="M2067" s="507">
        <v>3.0</v>
      </c>
      <c r="N2067" s="266">
        <v>3.0</v>
      </c>
      <c r="O2067" s="266">
        <v>1.0</v>
      </c>
      <c r="P2067" s="266" t="s">
        <v>166</v>
      </c>
      <c r="Q2067" s="266" t="s">
        <v>166</v>
      </c>
      <c r="R2067" s="497" t="s">
        <v>166</v>
      </c>
      <c r="S2067" s="497" t="s">
        <v>166</v>
      </c>
      <c r="T2067" s="509"/>
    </row>
    <row r="2068">
      <c r="A2068" s="494" t="s">
        <v>3401</v>
      </c>
      <c r="B2068" s="495" t="s">
        <v>4337</v>
      </c>
      <c r="C2068" s="174" t="str">
        <f t="shared" si="311"/>
        <v>Gainward</v>
      </c>
      <c r="D2068" s="506" t="s">
        <v>3371</v>
      </c>
      <c r="E2068" s="507">
        <v>294.0</v>
      </c>
      <c r="F2068" s="507">
        <v>112.0</v>
      </c>
      <c r="G2068" s="507">
        <v>54.0</v>
      </c>
      <c r="H2068" s="507">
        <v>2.0</v>
      </c>
      <c r="I2068" s="507">
        <v>1770.0</v>
      </c>
      <c r="J2068" s="266">
        <v>19.0</v>
      </c>
      <c r="K2068" s="266">
        <v>290.0</v>
      </c>
      <c r="L2068" s="266" t="s">
        <v>3460</v>
      </c>
      <c r="M2068" s="507">
        <v>3.0</v>
      </c>
      <c r="N2068" s="266">
        <v>3.0</v>
      </c>
      <c r="O2068" s="266">
        <v>1.0</v>
      </c>
      <c r="P2068" s="266" t="s">
        <v>166</v>
      </c>
      <c r="Q2068" s="266" t="s">
        <v>166</v>
      </c>
      <c r="R2068" s="497" t="s">
        <v>166</v>
      </c>
      <c r="S2068" s="497" t="s">
        <v>166</v>
      </c>
      <c r="T2068" s="509"/>
    </row>
    <row r="2069">
      <c r="A2069" s="494" t="s">
        <v>3401</v>
      </c>
      <c r="B2069" s="495" t="s">
        <v>4337</v>
      </c>
      <c r="C2069" s="174" t="s">
        <v>3456</v>
      </c>
      <c r="D2069" s="506" t="s">
        <v>4200</v>
      </c>
      <c r="E2069" s="507">
        <v>300.0</v>
      </c>
      <c r="F2069" s="507">
        <v>116.0</v>
      </c>
      <c r="G2069" s="507">
        <v>57.0</v>
      </c>
      <c r="H2069" s="507">
        <v>3.0</v>
      </c>
      <c r="I2069" s="507">
        <v>1770.0</v>
      </c>
      <c r="J2069" s="266">
        <v>19.0</v>
      </c>
      <c r="K2069" s="266">
        <v>290.0</v>
      </c>
      <c r="L2069" s="266" t="s">
        <v>3460</v>
      </c>
      <c r="M2069" s="507">
        <v>3.0</v>
      </c>
      <c r="N2069" s="266">
        <v>3.0</v>
      </c>
      <c r="O2069" s="266">
        <v>1.0</v>
      </c>
      <c r="P2069" s="266" t="s">
        <v>166</v>
      </c>
      <c r="Q2069" s="266" t="s">
        <v>166</v>
      </c>
      <c r="R2069" s="497" t="s">
        <v>166</v>
      </c>
      <c r="S2069" s="497" t="s">
        <v>166</v>
      </c>
      <c r="T2069" s="509"/>
    </row>
    <row r="2070">
      <c r="A2070" s="494" t="s">
        <v>3401</v>
      </c>
      <c r="B2070" s="495" t="s">
        <v>4337</v>
      </c>
      <c r="C2070" s="174" t="s">
        <v>3456</v>
      </c>
      <c r="D2070" s="506" t="s">
        <v>4202</v>
      </c>
      <c r="E2070" s="507">
        <v>300.0</v>
      </c>
      <c r="F2070" s="507">
        <v>116.0</v>
      </c>
      <c r="G2070" s="507">
        <v>57.0</v>
      </c>
      <c r="H2070" s="507">
        <v>3.0</v>
      </c>
      <c r="I2070" s="507">
        <v>1800.0</v>
      </c>
      <c r="J2070" s="266">
        <v>19.0</v>
      </c>
      <c r="K2070" s="266">
        <v>310.0</v>
      </c>
      <c r="L2070" s="266" t="s">
        <v>3460</v>
      </c>
      <c r="M2070" s="507">
        <v>3.0</v>
      </c>
      <c r="N2070" s="266">
        <v>3.0</v>
      </c>
      <c r="O2070" s="266">
        <v>1.0</v>
      </c>
      <c r="P2070" s="266" t="s">
        <v>166</v>
      </c>
      <c r="Q2070" s="266" t="s">
        <v>166</v>
      </c>
      <c r="R2070" s="497" t="s">
        <v>166</v>
      </c>
      <c r="S2070" s="497" t="s">
        <v>166</v>
      </c>
      <c r="T2070" s="509"/>
    </row>
    <row r="2071">
      <c r="A2071" s="494" t="s">
        <v>3401</v>
      </c>
      <c r="B2071" s="495" t="s">
        <v>4337</v>
      </c>
      <c r="C2071" s="174" t="s">
        <v>3456</v>
      </c>
      <c r="D2071" s="506" t="s">
        <v>4204</v>
      </c>
      <c r="E2071" s="507">
        <v>316.0</v>
      </c>
      <c r="F2071" s="507">
        <v>110.0</v>
      </c>
      <c r="G2071" s="507">
        <v>58.0</v>
      </c>
      <c r="H2071" s="507">
        <v>3.0</v>
      </c>
      <c r="I2071" s="507">
        <v>1770.0</v>
      </c>
      <c r="J2071" s="266">
        <v>19.0</v>
      </c>
      <c r="K2071" s="266">
        <v>290.0</v>
      </c>
      <c r="L2071" s="266" t="s">
        <v>3460</v>
      </c>
      <c r="M2071" s="507">
        <v>3.0</v>
      </c>
      <c r="N2071" s="266">
        <v>3.0</v>
      </c>
      <c r="O2071" s="266">
        <v>1.0</v>
      </c>
      <c r="P2071" s="266" t="s">
        <v>166</v>
      </c>
      <c r="Q2071" s="266" t="s">
        <v>166</v>
      </c>
      <c r="R2071" s="497" t="s">
        <v>166</v>
      </c>
      <c r="S2071" s="497" t="s">
        <v>166</v>
      </c>
      <c r="T2071" s="509"/>
    </row>
    <row r="2072">
      <c r="A2072" s="494" t="s">
        <v>3401</v>
      </c>
      <c r="B2072" s="495" t="s">
        <v>4337</v>
      </c>
      <c r="C2072" s="174" t="s">
        <v>3456</v>
      </c>
      <c r="D2072" s="506" t="s">
        <v>4206</v>
      </c>
      <c r="E2072" s="507">
        <v>316.0</v>
      </c>
      <c r="F2072" s="507">
        <v>110.0</v>
      </c>
      <c r="G2072" s="507">
        <v>58.0</v>
      </c>
      <c r="H2072" s="507">
        <v>3.0</v>
      </c>
      <c r="I2072" s="507">
        <v>1800.0</v>
      </c>
      <c r="J2072" s="266">
        <v>19.0</v>
      </c>
      <c r="K2072" s="266">
        <v>310.0</v>
      </c>
      <c r="L2072" s="266" t="s">
        <v>3460</v>
      </c>
      <c r="M2072" s="507">
        <v>3.0</v>
      </c>
      <c r="N2072" s="266">
        <v>3.0</v>
      </c>
      <c r="O2072" s="266">
        <v>1.0</v>
      </c>
      <c r="P2072" s="266" t="s">
        <v>166</v>
      </c>
      <c r="Q2072" s="266" t="s">
        <v>166</v>
      </c>
      <c r="R2072" s="497" t="s">
        <v>166</v>
      </c>
      <c r="S2072" s="497" t="s">
        <v>166</v>
      </c>
      <c r="T2072" s="509"/>
    </row>
    <row r="2073">
      <c r="A2073" s="494" t="s">
        <v>3401</v>
      </c>
      <c r="B2073" s="495" t="s">
        <v>4337</v>
      </c>
      <c r="C2073" s="174" t="s">
        <v>3456</v>
      </c>
      <c r="D2073" s="506" t="s">
        <v>4257</v>
      </c>
      <c r="E2073" s="507">
        <v>316.0</v>
      </c>
      <c r="F2073" s="507">
        <v>132.0</v>
      </c>
      <c r="G2073" s="507">
        <v>53.0</v>
      </c>
      <c r="H2073" s="507">
        <v>3.0</v>
      </c>
      <c r="I2073" s="507">
        <v>1770.0</v>
      </c>
      <c r="J2073" s="266">
        <v>19.0</v>
      </c>
      <c r="K2073" s="266">
        <v>290.0</v>
      </c>
      <c r="L2073" s="266" t="s">
        <v>3460</v>
      </c>
      <c r="M2073" s="507">
        <v>3.0</v>
      </c>
      <c r="N2073" s="266">
        <v>3.0</v>
      </c>
      <c r="O2073" s="266">
        <v>1.0</v>
      </c>
      <c r="P2073" s="266" t="s">
        <v>166</v>
      </c>
      <c r="Q2073" s="266" t="s">
        <v>166</v>
      </c>
      <c r="R2073" s="497" t="s">
        <v>166</v>
      </c>
      <c r="S2073" s="497" t="s">
        <v>166</v>
      </c>
      <c r="T2073" s="509"/>
    </row>
    <row r="2074">
      <c r="A2074" s="494" t="s">
        <v>3401</v>
      </c>
      <c r="B2074" s="495" t="s">
        <v>4337</v>
      </c>
      <c r="C2074" s="174" t="s">
        <v>3456</v>
      </c>
      <c r="D2074" s="174" t="s">
        <v>4343</v>
      </c>
      <c r="E2074" s="507">
        <v>316.0</v>
      </c>
      <c r="F2074" s="507">
        <v>132.0</v>
      </c>
      <c r="G2074" s="507">
        <v>53.0</v>
      </c>
      <c r="H2074" s="507">
        <v>3.0</v>
      </c>
      <c r="I2074" s="507">
        <v>1770.0</v>
      </c>
      <c r="J2074" s="266">
        <v>19.0</v>
      </c>
      <c r="K2074" s="266">
        <v>290.0</v>
      </c>
      <c r="L2074" s="266" t="s">
        <v>3460</v>
      </c>
      <c r="M2074" s="507">
        <v>3.0</v>
      </c>
      <c r="N2074" s="266">
        <v>3.0</v>
      </c>
      <c r="O2074" s="266">
        <v>1.0</v>
      </c>
      <c r="P2074" s="266" t="s">
        <v>166</v>
      </c>
      <c r="Q2074" s="266" t="s">
        <v>166</v>
      </c>
      <c r="R2074" s="497" t="s">
        <v>166</v>
      </c>
      <c r="S2074" s="497" t="s">
        <v>166</v>
      </c>
      <c r="T2074" s="509"/>
    </row>
    <row r="2075">
      <c r="A2075" s="494" t="s">
        <v>3401</v>
      </c>
      <c r="B2075" s="495" t="s">
        <v>4337</v>
      </c>
      <c r="C2075" s="174" t="s">
        <v>3456</v>
      </c>
      <c r="D2075" s="506" t="s">
        <v>4258</v>
      </c>
      <c r="E2075" s="507">
        <v>316.0</v>
      </c>
      <c r="F2075" s="507">
        <v>132.0</v>
      </c>
      <c r="G2075" s="507">
        <v>53.0</v>
      </c>
      <c r="H2075" s="507">
        <v>3.0</v>
      </c>
      <c r="I2075" s="507">
        <v>1830.0</v>
      </c>
      <c r="J2075" s="266">
        <v>19.0</v>
      </c>
      <c r="K2075" s="266">
        <v>310.0</v>
      </c>
      <c r="L2075" s="266" t="s">
        <v>3460</v>
      </c>
      <c r="M2075" s="507">
        <v>3.0</v>
      </c>
      <c r="N2075" s="266">
        <v>3.0</v>
      </c>
      <c r="O2075" s="266">
        <v>1.0</v>
      </c>
      <c r="P2075" s="266" t="s">
        <v>166</v>
      </c>
      <c r="Q2075" s="266" t="s">
        <v>166</v>
      </c>
      <c r="R2075" s="497" t="s">
        <v>166</v>
      </c>
      <c r="S2075" s="497" t="s">
        <v>166</v>
      </c>
      <c r="T2075" s="509"/>
    </row>
    <row r="2076">
      <c r="A2076" s="494" t="s">
        <v>3401</v>
      </c>
      <c r="B2076" s="495" t="s">
        <v>4337</v>
      </c>
      <c r="C2076" s="174" t="s">
        <v>3456</v>
      </c>
      <c r="D2076" s="174" t="s">
        <v>4344</v>
      </c>
      <c r="E2076" s="507">
        <v>316.0</v>
      </c>
      <c r="F2076" s="507">
        <v>132.0</v>
      </c>
      <c r="G2076" s="507">
        <v>53.0</v>
      </c>
      <c r="H2076" s="507">
        <v>3.0</v>
      </c>
      <c r="I2076" s="507">
        <v>1830.0</v>
      </c>
      <c r="J2076" s="638">
        <v>19.0</v>
      </c>
      <c r="K2076" s="639">
        <v>310.0</v>
      </c>
      <c r="L2076" s="266" t="s">
        <v>3460</v>
      </c>
      <c r="M2076" s="507">
        <v>3.0</v>
      </c>
      <c r="N2076" s="266">
        <v>3.0</v>
      </c>
      <c r="O2076" s="266">
        <v>1.0</v>
      </c>
      <c r="P2076" s="266" t="s">
        <v>166</v>
      </c>
      <c r="Q2076" s="266" t="s">
        <v>166</v>
      </c>
      <c r="R2076" s="497" t="s">
        <v>166</v>
      </c>
      <c r="S2076" s="497" t="s">
        <v>166</v>
      </c>
      <c r="T2076" s="509"/>
    </row>
    <row r="2077">
      <c r="A2077" s="494" t="s">
        <v>3401</v>
      </c>
      <c r="B2077" s="495" t="s">
        <v>4337</v>
      </c>
      <c r="C2077" s="174" t="s">
        <v>3456</v>
      </c>
      <c r="D2077" s="506" t="s">
        <v>4003</v>
      </c>
      <c r="E2077" s="507">
        <v>337.0</v>
      </c>
      <c r="F2077" s="507">
        <v>135.0</v>
      </c>
      <c r="G2077" s="507">
        <v>53.0</v>
      </c>
      <c r="H2077" s="507">
        <v>2.0</v>
      </c>
      <c r="I2077" s="507">
        <v>1770.0</v>
      </c>
      <c r="J2077" s="266">
        <v>19.0</v>
      </c>
      <c r="K2077" s="266">
        <v>290.0</v>
      </c>
      <c r="L2077" s="266" t="s">
        <v>3460</v>
      </c>
      <c r="M2077" s="507">
        <v>3.0</v>
      </c>
      <c r="N2077" s="266">
        <v>3.0</v>
      </c>
      <c r="O2077" s="266">
        <v>1.0</v>
      </c>
      <c r="P2077" s="266" t="s">
        <v>166</v>
      </c>
      <c r="Q2077" s="266" t="s">
        <v>166</v>
      </c>
      <c r="R2077" s="497" t="s">
        <v>166</v>
      </c>
      <c r="S2077" s="497" t="s">
        <v>166</v>
      </c>
      <c r="T2077" s="509"/>
    </row>
    <row r="2078">
      <c r="A2078" s="494" t="s">
        <v>3401</v>
      </c>
      <c r="B2078" s="495" t="s">
        <v>4337</v>
      </c>
      <c r="C2078" s="174" t="s">
        <v>3456</v>
      </c>
      <c r="D2078" s="506" t="s">
        <v>4004</v>
      </c>
      <c r="E2078" s="507">
        <v>337.0</v>
      </c>
      <c r="F2078" s="507">
        <v>135.0</v>
      </c>
      <c r="G2078" s="507">
        <v>53.0</v>
      </c>
      <c r="H2078" s="507">
        <v>2.0</v>
      </c>
      <c r="I2078" s="507">
        <v>1830.0</v>
      </c>
      <c r="J2078" s="266">
        <v>19.0</v>
      </c>
      <c r="K2078" s="266">
        <v>310.0</v>
      </c>
      <c r="L2078" s="266" t="s">
        <v>3460</v>
      </c>
      <c r="M2078" s="507">
        <v>3.0</v>
      </c>
      <c r="N2078" s="266">
        <v>3.0</v>
      </c>
      <c r="O2078" s="266">
        <v>1.0</v>
      </c>
      <c r="P2078" s="266" t="s">
        <v>166</v>
      </c>
      <c r="Q2078" s="266" t="s">
        <v>166</v>
      </c>
      <c r="R2078" s="497" t="s">
        <v>166</v>
      </c>
      <c r="S2078" s="497" t="s">
        <v>166</v>
      </c>
      <c r="T2078" s="509"/>
    </row>
    <row r="2079">
      <c r="A2079" s="494" t="s">
        <v>3401</v>
      </c>
      <c r="B2079" s="495" t="s">
        <v>4337</v>
      </c>
      <c r="C2079" s="174" t="s">
        <v>3456</v>
      </c>
      <c r="D2079" s="506" t="s">
        <v>4259</v>
      </c>
      <c r="E2079" s="507">
        <v>303.0</v>
      </c>
      <c r="F2079" s="507">
        <v>133.0</v>
      </c>
      <c r="G2079" s="507">
        <v>65.0</v>
      </c>
      <c r="H2079" s="507">
        <v>2.0</v>
      </c>
      <c r="I2079" s="507">
        <v>1860.0</v>
      </c>
      <c r="J2079" s="266">
        <v>19.0</v>
      </c>
      <c r="K2079" s="266">
        <v>350.0</v>
      </c>
      <c r="L2079" s="266" t="s">
        <v>3460</v>
      </c>
      <c r="M2079" s="507">
        <v>3.0</v>
      </c>
      <c r="N2079" s="266">
        <v>3.0</v>
      </c>
      <c r="O2079" s="266">
        <v>1.0</v>
      </c>
      <c r="P2079" s="266" t="s">
        <v>166</v>
      </c>
      <c r="Q2079" s="266" t="s">
        <v>166</v>
      </c>
      <c r="R2079" s="497" t="s">
        <v>166</v>
      </c>
      <c r="S2079" s="497" t="s">
        <v>166</v>
      </c>
      <c r="T2079" s="509"/>
    </row>
    <row r="2080">
      <c r="A2080" s="494" t="s">
        <v>3401</v>
      </c>
      <c r="B2080" s="495" t="s">
        <v>4337</v>
      </c>
      <c r="C2080" s="174" t="s">
        <v>3456</v>
      </c>
      <c r="D2080" s="452" t="s">
        <v>3564</v>
      </c>
      <c r="E2080" s="266">
        <v>238.0</v>
      </c>
      <c r="F2080" s="266">
        <v>128.0</v>
      </c>
      <c r="G2080" s="266">
        <v>54.0</v>
      </c>
      <c r="H2080" s="266">
        <v>2.0</v>
      </c>
      <c r="I2080" s="266">
        <v>1785.0</v>
      </c>
      <c r="J2080" s="266">
        <v>19.0</v>
      </c>
      <c r="K2080" s="266">
        <v>290.0</v>
      </c>
      <c r="L2080" s="266" t="s">
        <v>3460</v>
      </c>
      <c r="M2080" s="266">
        <v>2.0</v>
      </c>
      <c r="N2080" s="266">
        <v>3.0</v>
      </c>
      <c r="O2080" s="266">
        <v>1.0</v>
      </c>
      <c r="P2080" s="266" t="s">
        <v>166</v>
      </c>
      <c r="Q2080" s="266" t="s">
        <v>166</v>
      </c>
      <c r="R2080" s="497" t="s">
        <v>166</v>
      </c>
      <c r="S2080" s="497" t="s">
        <v>166</v>
      </c>
      <c r="T2080" s="496"/>
    </row>
    <row r="2081">
      <c r="A2081" s="494" t="s">
        <v>3401</v>
      </c>
      <c r="B2081" s="495" t="s">
        <v>4337</v>
      </c>
      <c r="C2081" s="174" t="s">
        <v>3456</v>
      </c>
      <c r="D2081" s="452" t="s">
        <v>3489</v>
      </c>
      <c r="E2081" s="266">
        <v>285.0</v>
      </c>
      <c r="F2081" s="266">
        <v>124.0</v>
      </c>
      <c r="G2081" s="266">
        <v>58.0</v>
      </c>
      <c r="H2081" s="266">
        <v>2.0</v>
      </c>
      <c r="I2081" s="266">
        <v>1815.0</v>
      </c>
      <c r="J2081" s="266">
        <v>19.0</v>
      </c>
      <c r="K2081" s="266">
        <v>290.0</v>
      </c>
      <c r="L2081" s="266" t="s">
        <v>3460</v>
      </c>
      <c r="M2081" s="266">
        <v>2.0</v>
      </c>
      <c r="N2081" s="266">
        <v>3.0</v>
      </c>
      <c r="O2081" s="266">
        <v>1.0</v>
      </c>
      <c r="P2081" s="266" t="s">
        <v>166</v>
      </c>
      <c r="Q2081" s="266" t="s">
        <v>166</v>
      </c>
      <c r="R2081" s="497" t="s">
        <v>166</v>
      </c>
      <c r="S2081" s="497" t="s">
        <v>166</v>
      </c>
      <c r="T2081" s="496"/>
    </row>
    <row r="2082">
      <c r="A2082" s="494" t="s">
        <v>3401</v>
      </c>
      <c r="B2082" s="495" t="s">
        <v>4337</v>
      </c>
      <c r="C2082" s="174" t="s">
        <v>3456</v>
      </c>
      <c r="D2082" s="452" t="s">
        <v>3956</v>
      </c>
      <c r="E2082" s="266">
        <v>285.0</v>
      </c>
      <c r="F2082" s="266">
        <v>124.0</v>
      </c>
      <c r="G2082" s="266">
        <v>58.0</v>
      </c>
      <c r="H2082" s="266">
        <v>2.0</v>
      </c>
      <c r="I2082" s="266">
        <v>1815.0</v>
      </c>
      <c r="J2082" s="266">
        <v>19.0</v>
      </c>
      <c r="K2082" s="266">
        <v>290.0</v>
      </c>
      <c r="L2082" s="266" t="s">
        <v>3460</v>
      </c>
      <c r="M2082" s="266">
        <v>2.0</v>
      </c>
      <c r="N2082" s="266">
        <v>3.0</v>
      </c>
      <c r="O2082" s="266">
        <v>1.0</v>
      </c>
      <c r="P2082" s="266" t="s">
        <v>166</v>
      </c>
      <c r="Q2082" s="266" t="s">
        <v>166</v>
      </c>
      <c r="R2082" s="497" t="s">
        <v>166</v>
      </c>
      <c r="S2082" s="497" t="s">
        <v>166</v>
      </c>
      <c r="T2082" s="496"/>
    </row>
    <row r="2083">
      <c r="A2083" s="494" t="s">
        <v>3401</v>
      </c>
      <c r="B2083" s="495" t="s">
        <v>4337</v>
      </c>
      <c r="C2083" s="174" t="s">
        <v>3456</v>
      </c>
      <c r="D2083" s="452" t="s">
        <v>4062</v>
      </c>
      <c r="E2083" s="266">
        <v>317.0</v>
      </c>
      <c r="F2083" s="266">
        <v>113.0</v>
      </c>
      <c r="G2083" s="266">
        <v>61.0</v>
      </c>
      <c r="H2083" s="266">
        <v>2.0</v>
      </c>
      <c r="I2083" s="266">
        <v>1815.0</v>
      </c>
      <c r="J2083" s="266">
        <v>19.0</v>
      </c>
      <c r="K2083" s="266">
        <v>290.0</v>
      </c>
      <c r="L2083" s="266" t="s">
        <v>3460</v>
      </c>
      <c r="M2083" s="266">
        <v>3.0</v>
      </c>
      <c r="N2083" s="266">
        <v>3.0</v>
      </c>
      <c r="O2083" s="266">
        <v>1.0</v>
      </c>
      <c r="P2083" s="266" t="s">
        <v>166</v>
      </c>
      <c r="Q2083" s="266" t="s">
        <v>166</v>
      </c>
      <c r="R2083" s="497" t="s">
        <v>166</v>
      </c>
      <c r="S2083" s="497" t="s">
        <v>166</v>
      </c>
      <c r="T2083" s="496"/>
    </row>
    <row r="2084">
      <c r="A2084" s="494" t="s">
        <v>3401</v>
      </c>
      <c r="B2084" s="495" t="s">
        <v>4337</v>
      </c>
      <c r="C2084" s="174" t="s">
        <v>3456</v>
      </c>
      <c r="D2084" s="452" t="s">
        <v>4345</v>
      </c>
      <c r="E2084" s="266">
        <v>316.0</v>
      </c>
      <c r="F2084" s="266">
        <v>124.0</v>
      </c>
      <c r="G2084" s="266">
        <v>58.0</v>
      </c>
      <c r="H2084" s="266">
        <v>2.0</v>
      </c>
      <c r="I2084" s="266">
        <v>1845.0</v>
      </c>
      <c r="J2084" s="266">
        <v>19.0</v>
      </c>
      <c r="K2084" s="266">
        <v>290.0</v>
      </c>
      <c r="L2084" s="266" t="s">
        <v>3460</v>
      </c>
      <c r="M2084" s="266">
        <v>3.0</v>
      </c>
      <c r="N2084" s="266">
        <v>3.0</v>
      </c>
      <c r="O2084" s="266">
        <v>1.0</v>
      </c>
      <c r="P2084" s="266" t="s">
        <v>166</v>
      </c>
      <c r="Q2084" s="266" t="s">
        <v>166</v>
      </c>
      <c r="R2084" s="497" t="s">
        <v>166</v>
      </c>
      <c r="S2084" s="497" t="s">
        <v>166</v>
      </c>
      <c r="T2084" s="496"/>
    </row>
    <row r="2085">
      <c r="A2085" s="494" t="s">
        <v>3401</v>
      </c>
      <c r="B2085" s="495" t="s">
        <v>4337</v>
      </c>
      <c r="C2085" s="174" t="s">
        <v>3456</v>
      </c>
      <c r="D2085" s="452" t="s">
        <v>4346</v>
      </c>
      <c r="E2085" s="266">
        <v>316.0</v>
      </c>
      <c r="F2085" s="266">
        <v>124.0</v>
      </c>
      <c r="G2085" s="266">
        <v>58.0</v>
      </c>
      <c r="H2085" s="266">
        <v>2.0</v>
      </c>
      <c r="I2085" s="266">
        <v>1845.0</v>
      </c>
      <c r="J2085" s="266">
        <v>19.0</v>
      </c>
      <c r="K2085" s="266">
        <v>290.0</v>
      </c>
      <c r="L2085" s="266" t="s">
        <v>3460</v>
      </c>
      <c r="M2085" s="266">
        <v>3.0</v>
      </c>
      <c r="N2085" s="266">
        <v>3.0</v>
      </c>
      <c r="O2085" s="266">
        <v>1.0</v>
      </c>
      <c r="P2085" s="266" t="s">
        <v>166</v>
      </c>
      <c r="Q2085" s="266" t="s">
        <v>166</v>
      </c>
      <c r="R2085" s="497" t="s">
        <v>166</v>
      </c>
      <c r="S2085" s="497" t="s">
        <v>166</v>
      </c>
      <c r="T2085" s="496"/>
    </row>
    <row r="2086">
      <c r="A2086" s="494" t="s">
        <v>3401</v>
      </c>
      <c r="B2086" s="495" t="s">
        <v>4337</v>
      </c>
      <c r="C2086" s="174" t="str">
        <f t="shared" ref="C2086:C2090" si="312">HYPERLINK("https://www.gigabyte.com/","Gigabyte")</f>
        <v>Gigabyte</v>
      </c>
      <c r="D2086" s="452" t="s">
        <v>3374</v>
      </c>
      <c r="E2086" s="266">
        <v>283.0</v>
      </c>
      <c r="F2086" s="266">
        <v>115.0</v>
      </c>
      <c r="G2086" s="266">
        <v>50.0</v>
      </c>
      <c r="H2086" s="266">
        <v>2.0</v>
      </c>
      <c r="I2086" s="266">
        <v>1770.0</v>
      </c>
      <c r="J2086" s="266">
        <v>19.0</v>
      </c>
      <c r="K2086" s="266">
        <v>290.0</v>
      </c>
      <c r="L2086" s="266" t="s">
        <v>3460</v>
      </c>
      <c r="M2086" s="266">
        <v>3.0</v>
      </c>
      <c r="N2086" s="266">
        <v>2.0</v>
      </c>
      <c r="O2086" s="266">
        <v>2.0</v>
      </c>
      <c r="P2086" s="266" t="s">
        <v>166</v>
      </c>
      <c r="Q2086" s="266" t="s">
        <v>166</v>
      </c>
      <c r="R2086" s="497" t="s">
        <v>166</v>
      </c>
      <c r="S2086" s="497" t="s">
        <v>166</v>
      </c>
      <c r="T2086" s="496"/>
    </row>
    <row r="2087">
      <c r="A2087" s="494" t="s">
        <v>3401</v>
      </c>
      <c r="B2087" s="495" t="s">
        <v>4337</v>
      </c>
      <c r="C2087" s="174" t="str">
        <f t="shared" si="312"/>
        <v>Gigabyte</v>
      </c>
      <c r="D2087" s="452" t="s">
        <v>3551</v>
      </c>
      <c r="E2087" s="266">
        <v>283.0</v>
      </c>
      <c r="F2087" s="266">
        <v>115.0</v>
      </c>
      <c r="G2087" s="266">
        <v>50.0</v>
      </c>
      <c r="H2087" s="266">
        <v>2.0</v>
      </c>
      <c r="I2087" s="266">
        <v>1800.0</v>
      </c>
      <c r="J2087" s="266">
        <v>19.0</v>
      </c>
      <c r="K2087" s="266">
        <v>290.0</v>
      </c>
      <c r="L2087" s="266" t="s">
        <v>3460</v>
      </c>
      <c r="M2087" s="266">
        <v>3.0</v>
      </c>
      <c r="N2087" s="266">
        <v>2.0</v>
      </c>
      <c r="O2087" s="266">
        <v>2.0</v>
      </c>
      <c r="P2087" s="266" t="s">
        <v>166</v>
      </c>
      <c r="Q2087" s="266" t="s">
        <v>166</v>
      </c>
      <c r="R2087" s="497" t="s">
        <v>166</v>
      </c>
      <c r="S2087" s="497" t="s">
        <v>166</v>
      </c>
      <c r="T2087" s="496"/>
    </row>
    <row r="2088">
      <c r="A2088" s="494" t="s">
        <v>3401</v>
      </c>
      <c r="B2088" s="495" t="s">
        <v>4337</v>
      </c>
      <c r="C2088" s="174" t="str">
        <f t="shared" si="312"/>
        <v>Gigabyte</v>
      </c>
      <c r="D2088" s="452" t="s">
        <v>3630</v>
      </c>
      <c r="E2088" s="266">
        <v>320.0</v>
      </c>
      <c r="F2088" s="266">
        <v>129.0</v>
      </c>
      <c r="G2088" s="266">
        <v>55.0</v>
      </c>
      <c r="H2088" s="266">
        <v>2.0</v>
      </c>
      <c r="I2088" s="266">
        <v>1830.0</v>
      </c>
      <c r="J2088" s="266">
        <v>19.0</v>
      </c>
      <c r="K2088" s="266">
        <v>310.0</v>
      </c>
      <c r="L2088" s="266" t="s">
        <v>3460</v>
      </c>
      <c r="M2088" s="266">
        <v>3.0</v>
      </c>
      <c r="N2088" s="266">
        <v>2.0</v>
      </c>
      <c r="O2088" s="266">
        <v>2.0</v>
      </c>
      <c r="P2088" s="266" t="s">
        <v>166</v>
      </c>
      <c r="Q2088" s="266" t="s">
        <v>166</v>
      </c>
      <c r="R2088" s="497" t="s">
        <v>166</v>
      </c>
      <c r="S2088" s="497" t="s">
        <v>166</v>
      </c>
      <c r="T2088" s="496"/>
    </row>
    <row r="2089">
      <c r="A2089" s="494" t="s">
        <v>3401</v>
      </c>
      <c r="B2089" s="495" t="s">
        <v>4337</v>
      </c>
      <c r="C2089" s="174" t="str">
        <f t="shared" si="312"/>
        <v>Gigabyte</v>
      </c>
      <c r="D2089" s="452" t="s">
        <v>4134</v>
      </c>
      <c r="E2089" s="266">
        <v>320.0</v>
      </c>
      <c r="F2089" s="266">
        <v>126.0</v>
      </c>
      <c r="G2089" s="266">
        <v>55.0</v>
      </c>
      <c r="H2089" s="266">
        <v>2.0</v>
      </c>
      <c r="I2089" s="266">
        <v>1830.0</v>
      </c>
      <c r="J2089" s="266">
        <v>19.0</v>
      </c>
      <c r="K2089" s="266">
        <v>290.0</v>
      </c>
      <c r="L2089" s="266" t="s">
        <v>3460</v>
      </c>
      <c r="M2089" s="266">
        <v>3.0</v>
      </c>
      <c r="N2089" s="266">
        <v>2.0</v>
      </c>
      <c r="O2089" s="266">
        <v>2.0</v>
      </c>
      <c r="P2089" s="266" t="s">
        <v>166</v>
      </c>
      <c r="Q2089" s="266" t="s">
        <v>166</v>
      </c>
      <c r="R2089" s="497" t="s">
        <v>166</v>
      </c>
      <c r="S2089" s="497" t="s">
        <v>166</v>
      </c>
      <c r="T2089" s="496"/>
    </row>
    <row r="2090">
      <c r="A2090" s="494" t="s">
        <v>3401</v>
      </c>
      <c r="B2090" s="495" t="s">
        <v>4337</v>
      </c>
      <c r="C2090" s="174" t="str">
        <f t="shared" si="312"/>
        <v>Gigabyte</v>
      </c>
      <c r="D2090" s="452" t="s">
        <v>3725</v>
      </c>
      <c r="E2090" s="266">
        <v>324.0</v>
      </c>
      <c r="F2090" s="266">
        <v>124.0</v>
      </c>
      <c r="G2090" s="266">
        <v>70.0</v>
      </c>
      <c r="H2090" s="266">
        <v>2.0</v>
      </c>
      <c r="I2090" s="266">
        <v>1875.0</v>
      </c>
      <c r="J2090" s="266">
        <v>19.0</v>
      </c>
      <c r="K2090" s="266">
        <v>310.0</v>
      </c>
      <c r="L2090" s="266" t="s">
        <v>3751</v>
      </c>
      <c r="M2090" s="266">
        <v>3.0</v>
      </c>
      <c r="N2090" s="266">
        <v>3.0</v>
      </c>
      <c r="O2090" s="266">
        <v>3.0</v>
      </c>
      <c r="P2090" s="266" t="s">
        <v>166</v>
      </c>
      <c r="Q2090" s="266" t="s">
        <v>166</v>
      </c>
      <c r="R2090" s="497" t="s">
        <v>166</v>
      </c>
      <c r="S2090" s="497" t="s">
        <v>166</v>
      </c>
      <c r="T2090" s="496"/>
    </row>
    <row r="2091">
      <c r="A2091" s="494" t="s">
        <v>3401</v>
      </c>
      <c r="B2091" s="495" t="s">
        <v>4337</v>
      </c>
      <c r="C2091" s="452" t="str">
        <f t="shared" ref="C2091:C2094" si="313">HYPERLINK("http://www.inno3d.com/","Inno3D")</f>
        <v>Inno3D</v>
      </c>
      <c r="D2091" s="452" t="s">
        <v>351</v>
      </c>
      <c r="E2091" s="266">
        <v>300.0</v>
      </c>
      <c r="F2091" s="266">
        <v>112.0</v>
      </c>
      <c r="G2091" s="266">
        <v>40.0</v>
      </c>
      <c r="H2091" s="266">
        <v>2.0</v>
      </c>
      <c r="I2091" s="266">
        <v>1770.0</v>
      </c>
      <c r="J2091" s="266">
        <v>19.0</v>
      </c>
      <c r="K2091" s="266">
        <v>290.0</v>
      </c>
      <c r="L2091" s="266" t="s">
        <v>3460</v>
      </c>
      <c r="M2091" s="266">
        <v>3.0</v>
      </c>
      <c r="N2091" s="266">
        <v>3.0</v>
      </c>
      <c r="O2091" s="266">
        <v>1.0</v>
      </c>
      <c r="P2091" s="266" t="s">
        <v>166</v>
      </c>
      <c r="Q2091" s="266" t="s">
        <v>166</v>
      </c>
      <c r="R2091" s="497" t="s">
        <v>166</v>
      </c>
      <c r="S2091" s="497" t="s">
        <v>166</v>
      </c>
      <c r="T2091" s="496"/>
    </row>
    <row r="2092">
      <c r="A2092" s="494" t="s">
        <v>3401</v>
      </c>
      <c r="B2092" s="495" t="s">
        <v>4337</v>
      </c>
      <c r="C2092" s="452" t="str">
        <f t="shared" si="313"/>
        <v>Inno3D</v>
      </c>
      <c r="D2092" s="452" t="s">
        <v>4347</v>
      </c>
      <c r="E2092" s="266">
        <v>300.0</v>
      </c>
      <c r="F2092" s="266">
        <v>112.0</v>
      </c>
      <c r="G2092" s="266">
        <v>40.0</v>
      </c>
      <c r="H2092" s="266">
        <v>2.0</v>
      </c>
      <c r="I2092" s="266">
        <v>1785.0</v>
      </c>
      <c r="J2092" s="266">
        <v>19.0</v>
      </c>
      <c r="K2092" s="266">
        <v>290.0</v>
      </c>
      <c r="L2092" s="266" t="s">
        <v>3460</v>
      </c>
      <c r="M2092" s="266">
        <v>3.0</v>
      </c>
      <c r="N2092" s="266">
        <v>3.0</v>
      </c>
      <c r="O2092" s="266">
        <v>1.0</v>
      </c>
      <c r="P2092" s="266" t="s">
        <v>166</v>
      </c>
      <c r="Q2092" s="266" t="s">
        <v>166</v>
      </c>
      <c r="R2092" s="497" t="s">
        <v>166</v>
      </c>
      <c r="S2092" s="497" t="s">
        <v>166</v>
      </c>
      <c r="T2092" s="496"/>
    </row>
    <row r="2093">
      <c r="A2093" s="494" t="s">
        <v>3401</v>
      </c>
      <c r="B2093" s="495" t="s">
        <v>4337</v>
      </c>
      <c r="C2093" s="452" t="str">
        <f t="shared" si="313"/>
        <v>Inno3D</v>
      </c>
      <c r="D2093" s="452" t="s">
        <v>3921</v>
      </c>
      <c r="E2093" s="266">
        <v>300.0</v>
      </c>
      <c r="F2093" s="266">
        <v>135.0</v>
      </c>
      <c r="G2093" s="266">
        <v>60.0</v>
      </c>
      <c r="H2093" s="266">
        <v>2.0</v>
      </c>
      <c r="I2093" s="266">
        <v>1830.0</v>
      </c>
      <c r="J2093" s="266">
        <v>19.0</v>
      </c>
      <c r="K2093" s="266">
        <v>290.0</v>
      </c>
      <c r="L2093" s="266" t="s">
        <v>3460</v>
      </c>
      <c r="M2093" s="266">
        <v>3.0</v>
      </c>
      <c r="N2093" s="266">
        <v>3.0</v>
      </c>
      <c r="O2093" s="266">
        <v>1.0</v>
      </c>
      <c r="P2093" s="266" t="s">
        <v>166</v>
      </c>
      <c r="Q2093" s="266" t="s">
        <v>166</v>
      </c>
      <c r="R2093" s="497" t="s">
        <v>166</v>
      </c>
      <c r="S2093" s="497" t="s">
        <v>166</v>
      </c>
      <c r="T2093" s="496"/>
    </row>
    <row r="2094">
      <c r="A2094" s="494" t="s">
        <v>3401</v>
      </c>
      <c r="B2094" s="495" t="s">
        <v>4337</v>
      </c>
      <c r="C2094" s="452" t="str">
        <f t="shared" si="313"/>
        <v>Inno3D</v>
      </c>
      <c r="D2094" s="452" t="s">
        <v>4304</v>
      </c>
      <c r="E2094" s="266">
        <v>300.0</v>
      </c>
      <c r="F2094" s="266">
        <v>135.0</v>
      </c>
      <c r="G2094" s="266">
        <v>60.0</v>
      </c>
      <c r="H2094" s="266">
        <v>2.0</v>
      </c>
      <c r="I2094" s="266">
        <v>1830.0</v>
      </c>
      <c r="J2094" s="266">
        <v>19.0</v>
      </c>
      <c r="K2094" s="266">
        <v>290.0</v>
      </c>
      <c r="L2094" s="266" t="s">
        <v>3460</v>
      </c>
      <c r="M2094" s="266">
        <v>4.0</v>
      </c>
      <c r="N2094" s="266">
        <v>3.0</v>
      </c>
      <c r="O2094" s="266">
        <v>1.0</v>
      </c>
      <c r="P2094" s="266" t="s">
        <v>166</v>
      </c>
      <c r="Q2094" s="266" t="s">
        <v>166</v>
      </c>
      <c r="R2094" s="497" t="s">
        <v>166</v>
      </c>
      <c r="S2094" s="497" t="s">
        <v>166</v>
      </c>
      <c r="T2094" s="496"/>
    </row>
    <row r="2095">
      <c r="A2095" s="494" t="s">
        <v>3401</v>
      </c>
      <c r="B2095" s="495" t="s">
        <v>4337</v>
      </c>
      <c r="C2095" s="452" t="s">
        <v>3538</v>
      </c>
      <c r="D2095" s="537" t="s">
        <v>3600</v>
      </c>
      <c r="E2095" s="266">
        <v>323.0</v>
      </c>
      <c r="F2095" s="266">
        <v>122.0</v>
      </c>
      <c r="G2095" s="266">
        <v>63.0</v>
      </c>
      <c r="H2095" s="266">
        <v>2.0</v>
      </c>
      <c r="I2095" s="266">
        <v>1770.0</v>
      </c>
      <c r="J2095" s="266">
        <v>19.0</v>
      </c>
      <c r="K2095" s="266">
        <v>290.0</v>
      </c>
      <c r="L2095" s="266" t="s">
        <v>3460</v>
      </c>
      <c r="M2095" s="266">
        <v>3.0</v>
      </c>
      <c r="N2095" s="266">
        <v>3.0</v>
      </c>
      <c r="O2095" s="266">
        <v>1.0</v>
      </c>
      <c r="P2095" s="266" t="s">
        <v>166</v>
      </c>
      <c r="Q2095" s="266" t="s">
        <v>166</v>
      </c>
      <c r="R2095" s="497" t="s">
        <v>166</v>
      </c>
      <c r="S2095" s="497" t="s">
        <v>166</v>
      </c>
      <c r="T2095" s="496"/>
    </row>
    <row r="2096">
      <c r="A2096" s="494" t="s">
        <v>3401</v>
      </c>
      <c r="B2096" s="495" t="s">
        <v>4337</v>
      </c>
      <c r="C2096" s="452" t="str">
        <f t="shared" ref="C2096:C2099" si="314">HYPERLINK("http://manli.com/en","Manli")</f>
        <v>Manli</v>
      </c>
      <c r="D2096" s="452" t="s">
        <v>4348</v>
      </c>
      <c r="E2096" s="266">
        <v>317.0</v>
      </c>
      <c r="F2096" s="266">
        <v>115.0</v>
      </c>
      <c r="G2096" s="266">
        <v>60.0</v>
      </c>
      <c r="H2096" s="266">
        <v>2.0</v>
      </c>
      <c r="I2096" s="266">
        <v>1770.0</v>
      </c>
      <c r="J2096" s="266">
        <v>19.0</v>
      </c>
      <c r="K2096" s="266">
        <v>290.0</v>
      </c>
      <c r="L2096" s="266" t="s">
        <v>3460</v>
      </c>
      <c r="M2096" s="266">
        <v>3.0</v>
      </c>
      <c r="N2096" s="266">
        <v>3.0</v>
      </c>
      <c r="O2096" s="266">
        <v>1.0</v>
      </c>
      <c r="P2096" s="266" t="s">
        <v>166</v>
      </c>
      <c r="Q2096" s="266" t="s">
        <v>166</v>
      </c>
      <c r="R2096" s="497" t="s">
        <v>166</v>
      </c>
      <c r="S2096" s="497" t="s">
        <v>166</v>
      </c>
      <c r="T2096" s="496"/>
    </row>
    <row r="2097">
      <c r="A2097" s="494" t="s">
        <v>3401</v>
      </c>
      <c r="B2097" s="495" t="s">
        <v>4337</v>
      </c>
      <c r="C2097" s="452" t="str">
        <f t="shared" si="314"/>
        <v>Manli</v>
      </c>
      <c r="D2097" s="452" t="s">
        <v>4349</v>
      </c>
      <c r="E2097" s="266">
        <v>317.0</v>
      </c>
      <c r="F2097" s="266">
        <v>115.0</v>
      </c>
      <c r="G2097" s="266">
        <v>60.0</v>
      </c>
      <c r="H2097" s="266">
        <v>2.0</v>
      </c>
      <c r="I2097" s="266">
        <v>1770.0</v>
      </c>
      <c r="J2097" s="266">
        <v>19.0</v>
      </c>
      <c r="K2097" s="266">
        <v>290.0</v>
      </c>
      <c r="L2097" s="266" t="s">
        <v>3460</v>
      </c>
      <c r="M2097" s="266">
        <v>3.0</v>
      </c>
      <c r="N2097" s="266">
        <v>3.0</v>
      </c>
      <c r="O2097" s="266">
        <v>1.0</v>
      </c>
      <c r="P2097" s="266" t="s">
        <v>166</v>
      </c>
      <c r="Q2097" s="266" t="s">
        <v>166</v>
      </c>
      <c r="R2097" s="497" t="s">
        <v>166</v>
      </c>
      <c r="S2097" s="497" t="s">
        <v>166</v>
      </c>
      <c r="T2097" s="496"/>
    </row>
    <row r="2098">
      <c r="A2098" s="494" t="s">
        <v>3401</v>
      </c>
      <c r="B2098" s="495" t="s">
        <v>4337</v>
      </c>
      <c r="C2098" s="452" t="str">
        <f t="shared" si="314"/>
        <v>Manli</v>
      </c>
      <c r="D2098" s="452" t="s">
        <v>4350</v>
      </c>
      <c r="E2098" s="266">
        <v>317.0</v>
      </c>
      <c r="F2098" s="266">
        <v>115.0</v>
      </c>
      <c r="G2098" s="266">
        <v>60.0</v>
      </c>
      <c r="H2098" s="266">
        <v>2.0</v>
      </c>
      <c r="I2098" s="266">
        <v>1785.0</v>
      </c>
      <c r="J2098" s="266">
        <v>19.0</v>
      </c>
      <c r="K2098" s="266">
        <v>290.0</v>
      </c>
      <c r="L2098" s="266" t="s">
        <v>3460</v>
      </c>
      <c r="M2098" s="266">
        <v>3.0</v>
      </c>
      <c r="N2098" s="266">
        <v>3.0</v>
      </c>
      <c r="O2098" s="266">
        <v>1.0</v>
      </c>
      <c r="P2098" s="266" t="s">
        <v>166</v>
      </c>
      <c r="Q2098" s="266" t="s">
        <v>166</v>
      </c>
      <c r="R2098" s="497" t="s">
        <v>166</v>
      </c>
      <c r="S2098" s="497" t="s">
        <v>166</v>
      </c>
      <c r="T2098" s="496"/>
    </row>
    <row r="2099">
      <c r="A2099" s="494" t="s">
        <v>3401</v>
      </c>
      <c r="B2099" s="495" t="s">
        <v>4337</v>
      </c>
      <c r="C2099" s="452" t="str">
        <f t="shared" si="314"/>
        <v>Manli</v>
      </c>
      <c r="D2099" s="452" t="s">
        <v>4351</v>
      </c>
      <c r="E2099" s="266">
        <v>317.0</v>
      </c>
      <c r="F2099" s="266">
        <v>115.0</v>
      </c>
      <c r="G2099" s="266">
        <v>60.0</v>
      </c>
      <c r="H2099" s="266">
        <v>2.0</v>
      </c>
      <c r="I2099" s="266">
        <v>1785.0</v>
      </c>
      <c r="J2099" s="266">
        <v>19.0</v>
      </c>
      <c r="K2099" s="266">
        <v>290.0</v>
      </c>
      <c r="L2099" s="266" t="s">
        <v>3460</v>
      </c>
      <c r="M2099" s="266">
        <v>3.0</v>
      </c>
      <c r="N2099" s="266">
        <v>3.0</v>
      </c>
      <c r="O2099" s="266">
        <v>1.0</v>
      </c>
      <c r="P2099" s="266" t="s">
        <v>166</v>
      </c>
      <c r="Q2099" s="266" t="s">
        <v>166</v>
      </c>
      <c r="R2099" s="497" t="s">
        <v>166</v>
      </c>
      <c r="S2099" s="497" t="s">
        <v>166</v>
      </c>
      <c r="T2099" s="496"/>
    </row>
    <row r="2100">
      <c r="A2100" s="494" t="s">
        <v>3401</v>
      </c>
      <c r="B2100" s="495" t="s">
        <v>4337</v>
      </c>
      <c r="C2100" s="174" t="str">
        <f t="shared" ref="C2100:C2105" si="315">HYPERLINK("https://www.msi.com/index.php","MSI")</f>
        <v>MSI</v>
      </c>
      <c r="D2100" s="452" t="s">
        <v>4146</v>
      </c>
      <c r="E2100" s="266">
        <v>316.0</v>
      </c>
      <c r="F2100" s="266">
        <v>121.0</v>
      </c>
      <c r="G2100" s="266">
        <v>56.0</v>
      </c>
      <c r="H2100" s="266">
        <v>2.0</v>
      </c>
      <c r="I2100" s="266">
        <v>1770.0</v>
      </c>
      <c r="J2100" s="266">
        <v>19.0</v>
      </c>
      <c r="K2100" s="266">
        <v>290.0</v>
      </c>
      <c r="L2100" s="266" t="s">
        <v>3460</v>
      </c>
      <c r="M2100" s="266">
        <v>3.0</v>
      </c>
      <c r="N2100" s="266">
        <v>3.0</v>
      </c>
      <c r="O2100" s="266">
        <v>1.0</v>
      </c>
      <c r="P2100" s="266" t="s">
        <v>166</v>
      </c>
      <c r="Q2100" s="266" t="s">
        <v>166</v>
      </c>
      <c r="R2100" s="497" t="s">
        <v>166</v>
      </c>
      <c r="S2100" s="497" t="s">
        <v>166</v>
      </c>
      <c r="T2100" s="496"/>
    </row>
    <row r="2101">
      <c r="A2101" s="494" t="s">
        <v>3401</v>
      </c>
      <c r="B2101" s="495" t="s">
        <v>4337</v>
      </c>
      <c r="C2101" s="174" t="str">
        <f t="shared" si="315"/>
        <v>MSI</v>
      </c>
      <c r="D2101" s="452" t="s">
        <v>4147</v>
      </c>
      <c r="E2101" s="266">
        <v>316.0</v>
      </c>
      <c r="F2101" s="266">
        <v>121.0</v>
      </c>
      <c r="G2101" s="266">
        <v>56.0</v>
      </c>
      <c r="H2101" s="266">
        <v>2.0</v>
      </c>
      <c r="I2101" s="266">
        <v>1800.0</v>
      </c>
      <c r="J2101" s="266">
        <v>19.0</v>
      </c>
      <c r="K2101" s="266">
        <v>290.0</v>
      </c>
      <c r="L2101" s="266" t="s">
        <v>3460</v>
      </c>
      <c r="M2101" s="266">
        <v>3.0</v>
      </c>
      <c r="N2101" s="266">
        <v>3.0</v>
      </c>
      <c r="O2101" s="266">
        <v>1.0</v>
      </c>
      <c r="P2101" s="266" t="s">
        <v>166</v>
      </c>
      <c r="Q2101" s="266" t="s">
        <v>166</v>
      </c>
      <c r="R2101" s="497" t="s">
        <v>166</v>
      </c>
      <c r="S2101" s="497" t="s">
        <v>166</v>
      </c>
      <c r="T2101" s="496"/>
    </row>
    <row r="2102">
      <c r="A2102" s="494" t="s">
        <v>3401</v>
      </c>
      <c r="B2102" s="495" t="s">
        <v>4337</v>
      </c>
      <c r="C2102" s="174" t="str">
        <f t="shared" si="315"/>
        <v>MSI</v>
      </c>
      <c r="D2102" s="452" t="s">
        <v>3720</v>
      </c>
      <c r="E2102" s="266">
        <v>323.0</v>
      </c>
      <c r="F2102" s="266">
        <v>140.0</v>
      </c>
      <c r="G2102" s="266">
        <v>56.0</v>
      </c>
      <c r="H2102" s="266">
        <v>2.0</v>
      </c>
      <c r="I2102" s="266">
        <v>1800.0</v>
      </c>
      <c r="J2102" s="266">
        <v>19.0</v>
      </c>
      <c r="K2102" s="266">
        <v>310.0</v>
      </c>
      <c r="L2102" s="266" t="s">
        <v>3460</v>
      </c>
      <c r="M2102" s="266">
        <v>3.0</v>
      </c>
      <c r="N2102" s="266">
        <v>3.0</v>
      </c>
      <c r="O2102" s="266">
        <v>1.0</v>
      </c>
      <c r="P2102" s="266" t="s">
        <v>166</v>
      </c>
      <c r="Q2102" s="266" t="s">
        <v>166</v>
      </c>
      <c r="R2102" s="497" t="s">
        <v>166</v>
      </c>
      <c r="S2102" s="497" t="s">
        <v>166</v>
      </c>
      <c r="T2102" s="496"/>
    </row>
    <row r="2103">
      <c r="A2103" s="494" t="s">
        <v>3401</v>
      </c>
      <c r="B2103" s="495" t="s">
        <v>4337</v>
      </c>
      <c r="C2103" s="174" t="str">
        <f t="shared" si="315"/>
        <v>MSI</v>
      </c>
      <c r="D2103" s="452" t="s">
        <v>3721</v>
      </c>
      <c r="E2103" s="266">
        <v>323.0</v>
      </c>
      <c r="F2103" s="266">
        <v>140.0</v>
      </c>
      <c r="G2103" s="266">
        <v>56.0</v>
      </c>
      <c r="H2103" s="266">
        <v>2.0</v>
      </c>
      <c r="I2103" s="266">
        <v>1830.0</v>
      </c>
      <c r="J2103" s="266">
        <v>19.0</v>
      </c>
      <c r="K2103" s="266">
        <v>310.0</v>
      </c>
      <c r="L2103" s="266" t="s">
        <v>3460</v>
      </c>
      <c r="M2103" s="266">
        <v>3.0</v>
      </c>
      <c r="N2103" s="266">
        <v>3.0</v>
      </c>
      <c r="O2103" s="266">
        <v>1.0</v>
      </c>
      <c r="P2103" s="266" t="s">
        <v>166</v>
      </c>
      <c r="Q2103" s="266" t="s">
        <v>166</v>
      </c>
      <c r="R2103" s="497" t="s">
        <v>166</v>
      </c>
      <c r="S2103" s="497" t="s">
        <v>166</v>
      </c>
      <c r="T2103" s="496"/>
    </row>
    <row r="2104">
      <c r="A2104" s="494" t="s">
        <v>3401</v>
      </c>
      <c r="B2104" s="495" t="s">
        <v>4337</v>
      </c>
      <c r="C2104" s="174" t="str">
        <f t="shared" si="315"/>
        <v>MSI</v>
      </c>
      <c r="D2104" s="452" t="s">
        <v>4316</v>
      </c>
      <c r="E2104" s="266">
        <v>335.0</v>
      </c>
      <c r="F2104" s="266">
        <v>140.0</v>
      </c>
      <c r="G2104" s="266">
        <v>61.0</v>
      </c>
      <c r="H2104" s="266">
        <v>2.0</v>
      </c>
      <c r="I2104" s="266">
        <v>1845.0</v>
      </c>
      <c r="J2104" s="266">
        <v>19.0</v>
      </c>
      <c r="K2104" s="266">
        <v>310.0</v>
      </c>
      <c r="L2104" s="266" t="s">
        <v>3460</v>
      </c>
      <c r="M2104" s="266">
        <v>3.0</v>
      </c>
      <c r="N2104" s="266">
        <v>3.0</v>
      </c>
      <c r="O2104" s="266">
        <v>1.0</v>
      </c>
      <c r="P2104" s="266" t="s">
        <v>166</v>
      </c>
      <c r="Q2104" s="266" t="s">
        <v>166</v>
      </c>
      <c r="R2104" s="497" t="s">
        <v>166</v>
      </c>
      <c r="S2104" s="497" t="s">
        <v>166</v>
      </c>
      <c r="T2104" s="496"/>
    </row>
    <row r="2105">
      <c r="A2105" s="494" t="s">
        <v>3401</v>
      </c>
      <c r="B2105" s="495" t="s">
        <v>4337</v>
      </c>
      <c r="C2105" s="174" t="str">
        <f t="shared" si="315"/>
        <v>MSI</v>
      </c>
      <c r="D2105" s="452" t="s">
        <v>4318</v>
      </c>
      <c r="E2105" s="266">
        <v>335.0</v>
      </c>
      <c r="F2105" s="266">
        <v>140.0</v>
      </c>
      <c r="G2105" s="266">
        <v>61.0</v>
      </c>
      <c r="H2105" s="266">
        <v>2.0</v>
      </c>
      <c r="I2105" s="266">
        <v>1875.0</v>
      </c>
      <c r="J2105" s="266">
        <v>19.0</v>
      </c>
      <c r="K2105" s="266">
        <v>310.0</v>
      </c>
      <c r="L2105" s="266" t="s">
        <v>3460</v>
      </c>
      <c r="M2105" s="266">
        <v>3.0</v>
      </c>
      <c r="N2105" s="266">
        <v>3.0</v>
      </c>
      <c r="O2105" s="266">
        <v>1.0</v>
      </c>
      <c r="P2105" s="266" t="s">
        <v>166</v>
      </c>
      <c r="Q2105" s="266" t="s">
        <v>166</v>
      </c>
      <c r="R2105" s="497" t="s">
        <v>166</v>
      </c>
      <c r="S2105" s="497" t="s">
        <v>166</v>
      </c>
      <c r="T2105" s="496"/>
    </row>
    <row r="2106">
      <c r="A2106" s="494" t="s">
        <v>3401</v>
      </c>
      <c r="B2106" s="495" t="s">
        <v>4337</v>
      </c>
      <c r="C2106" s="452" t="str">
        <f>HYPERLINK("https://www.nvidia.com/en-us/","Nvidia")</f>
        <v>Nvidia</v>
      </c>
      <c r="D2106" s="452" t="s">
        <v>3812</v>
      </c>
      <c r="E2106" s="266">
        <v>267.0</v>
      </c>
      <c r="F2106" s="266">
        <v>112.0</v>
      </c>
      <c r="G2106" s="266">
        <v>40.0</v>
      </c>
      <c r="H2106" s="266">
        <v>2.0</v>
      </c>
      <c r="I2106" s="266">
        <v>1770.0</v>
      </c>
      <c r="J2106" s="266">
        <v>19.0</v>
      </c>
      <c r="K2106" s="266">
        <v>290.0</v>
      </c>
      <c r="L2106" s="266">
        <v>12.0</v>
      </c>
      <c r="M2106" s="266">
        <v>2.0</v>
      </c>
      <c r="N2106" s="266">
        <v>3.0</v>
      </c>
      <c r="O2106" s="266">
        <v>1.0</v>
      </c>
      <c r="P2106" s="266" t="s">
        <v>166</v>
      </c>
      <c r="Q2106" s="266" t="s">
        <v>166</v>
      </c>
      <c r="R2106" s="497" t="s">
        <v>166</v>
      </c>
      <c r="S2106" s="497" t="s">
        <v>166</v>
      </c>
      <c r="T2106" s="496"/>
    </row>
    <row r="2107">
      <c r="A2107" s="494" t="s">
        <v>3401</v>
      </c>
      <c r="B2107" s="495" t="s">
        <v>4337</v>
      </c>
      <c r="C2107" s="452" t="str">
        <f t="shared" ref="C2107:C2109" si="316">HYPERLINK("http://www.palit.com/palit/index.php?lang=en","Palit")</f>
        <v>Palit</v>
      </c>
      <c r="D2107" s="537" t="s">
        <v>4067</v>
      </c>
      <c r="E2107" s="266">
        <v>294.0</v>
      </c>
      <c r="F2107" s="266">
        <v>112.0</v>
      </c>
      <c r="G2107" s="266">
        <v>60.0</v>
      </c>
      <c r="H2107" s="266">
        <v>2.0</v>
      </c>
      <c r="I2107" s="266">
        <v>1770.0</v>
      </c>
      <c r="J2107" s="266">
        <v>19.0</v>
      </c>
      <c r="K2107" s="266">
        <v>290.0</v>
      </c>
      <c r="L2107" s="266" t="s">
        <v>3460</v>
      </c>
      <c r="M2107" s="507">
        <v>3.0</v>
      </c>
      <c r="N2107" s="266">
        <v>3.0</v>
      </c>
      <c r="O2107" s="266">
        <v>1.0</v>
      </c>
      <c r="P2107" s="266" t="s">
        <v>166</v>
      </c>
      <c r="Q2107" s="266" t="s">
        <v>166</v>
      </c>
      <c r="R2107" s="497" t="s">
        <v>166</v>
      </c>
      <c r="S2107" s="266" t="s">
        <v>166</v>
      </c>
      <c r="T2107" s="494"/>
    </row>
    <row r="2108">
      <c r="A2108" s="494" t="s">
        <v>3401</v>
      </c>
      <c r="B2108" s="495" t="s">
        <v>4337</v>
      </c>
      <c r="C2108" s="452" t="str">
        <f t="shared" si="316"/>
        <v>Palit</v>
      </c>
      <c r="D2108" s="537" t="s">
        <v>4000</v>
      </c>
      <c r="E2108" s="266">
        <v>304.0</v>
      </c>
      <c r="F2108" s="266">
        <v>136.0</v>
      </c>
      <c r="G2108" s="266">
        <v>60.0</v>
      </c>
      <c r="H2108" s="266">
        <v>2.0</v>
      </c>
      <c r="I2108" s="266">
        <v>1770.0</v>
      </c>
      <c r="J2108" s="266">
        <v>19.0</v>
      </c>
      <c r="K2108" s="266">
        <v>310.0</v>
      </c>
      <c r="L2108" s="266" t="s">
        <v>3460</v>
      </c>
      <c r="M2108" s="507">
        <v>3.0</v>
      </c>
      <c r="N2108" s="266">
        <v>3.0</v>
      </c>
      <c r="O2108" s="266">
        <v>1.0</v>
      </c>
      <c r="P2108" s="266" t="s">
        <v>166</v>
      </c>
      <c r="Q2108" s="266" t="s">
        <v>166</v>
      </c>
      <c r="R2108" s="497" t="s">
        <v>166</v>
      </c>
      <c r="S2108" s="266" t="s">
        <v>166</v>
      </c>
      <c r="T2108" s="494"/>
    </row>
    <row r="2109">
      <c r="A2109" s="494" t="s">
        <v>3401</v>
      </c>
      <c r="B2109" s="495" t="s">
        <v>4337</v>
      </c>
      <c r="C2109" s="452" t="str">
        <f t="shared" si="316"/>
        <v>Palit</v>
      </c>
      <c r="D2109" s="537" t="s">
        <v>4324</v>
      </c>
      <c r="E2109" s="266">
        <v>304.0</v>
      </c>
      <c r="F2109" s="266">
        <v>136.0</v>
      </c>
      <c r="G2109" s="266">
        <v>60.0</v>
      </c>
      <c r="H2109" s="266">
        <v>2.0</v>
      </c>
      <c r="I2109" s="266">
        <v>1845.0</v>
      </c>
      <c r="J2109" s="266">
        <v>19.0</v>
      </c>
      <c r="K2109" s="266">
        <v>330.0</v>
      </c>
      <c r="L2109" s="266" t="s">
        <v>3460</v>
      </c>
      <c r="M2109" s="507">
        <v>3.0</v>
      </c>
      <c r="N2109" s="266">
        <v>3.0</v>
      </c>
      <c r="O2109" s="266">
        <v>1.0</v>
      </c>
      <c r="P2109" s="266" t="s">
        <v>166</v>
      </c>
      <c r="Q2109" s="266" t="s">
        <v>166</v>
      </c>
      <c r="R2109" s="497" t="s">
        <v>166</v>
      </c>
      <c r="S2109" s="266" t="s">
        <v>166</v>
      </c>
      <c r="T2109" s="494"/>
    </row>
    <row r="2110">
      <c r="A2110" s="494" t="s">
        <v>3401</v>
      </c>
      <c r="B2110" s="495" t="s">
        <v>4337</v>
      </c>
      <c r="C2110" s="452" t="str">
        <f t="shared" ref="C2110:C2112" si="317">HYPERLINK("https://pny.com/","PNY")</f>
        <v>PNY</v>
      </c>
      <c r="D2110" s="537" t="s">
        <v>4352</v>
      </c>
      <c r="E2110" s="266">
        <v>305.31</v>
      </c>
      <c r="F2110" s="266">
        <v>120.14</v>
      </c>
      <c r="G2110" s="266">
        <v>57.4</v>
      </c>
      <c r="H2110" s="266">
        <v>2.0</v>
      </c>
      <c r="I2110" s="266">
        <v>1770.0</v>
      </c>
      <c r="J2110" s="266">
        <v>19.0</v>
      </c>
      <c r="K2110" s="266">
        <v>290.0</v>
      </c>
      <c r="L2110" s="266">
        <v>12.0</v>
      </c>
      <c r="M2110" s="507">
        <v>3.0</v>
      </c>
      <c r="N2110" s="266">
        <v>3.0</v>
      </c>
      <c r="O2110" s="266">
        <v>1.0</v>
      </c>
      <c r="P2110" s="266" t="s">
        <v>166</v>
      </c>
      <c r="Q2110" s="266" t="s">
        <v>166</v>
      </c>
      <c r="R2110" s="266" t="s">
        <v>166</v>
      </c>
      <c r="S2110" s="266" t="s">
        <v>166</v>
      </c>
      <c r="T2110" s="494"/>
    </row>
    <row r="2111">
      <c r="A2111" s="494" t="s">
        <v>3401</v>
      </c>
      <c r="B2111" s="495" t="s">
        <v>4337</v>
      </c>
      <c r="C2111" s="452" t="str">
        <f t="shared" si="317"/>
        <v>PNY</v>
      </c>
      <c r="D2111" s="537" t="s">
        <v>4326</v>
      </c>
      <c r="E2111" s="266">
        <v>294.0</v>
      </c>
      <c r="F2111" s="266">
        <v>112.0</v>
      </c>
      <c r="G2111" s="266">
        <v>56.0</v>
      </c>
      <c r="H2111" s="266">
        <v>2.0</v>
      </c>
      <c r="I2111" s="266">
        <v>1770.0</v>
      </c>
      <c r="J2111" s="266">
        <v>19.0</v>
      </c>
      <c r="K2111" s="266">
        <v>290.0</v>
      </c>
      <c r="L2111" s="266" t="s">
        <v>3460</v>
      </c>
      <c r="M2111" s="507">
        <v>3.0</v>
      </c>
      <c r="N2111" s="266">
        <v>3.0</v>
      </c>
      <c r="O2111" s="266">
        <v>1.0</v>
      </c>
      <c r="P2111" s="266" t="s">
        <v>166</v>
      </c>
      <c r="Q2111" s="266" t="s">
        <v>166</v>
      </c>
      <c r="R2111" s="497" t="s">
        <v>166</v>
      </c>
      <c r="S2111" s="266" t="s">
        <v>166</v>
      </c>
      <c r="T2111" s="494"/>
    </row>
    <row r="2112">
      <c r="A2112" s="494" t="s">
        <v>3401</v>
      </c>
      <c r="B2112" s="495" t="s">
        <v>4337</v>
      </c>
      <c r="C2112" s="452" t="str">
        <f t="shared" si="317"/>
        <v>PNY</v>
      </c>
      <c r="D2112" s="537" t="s">
        <v>4353</v>
      </c>
      <c r="E2112" s="266">
        <v>317.0</v>
      </c>
      <c r="F2112" s="266">
        <v>115.0</v>
      </c>
      <c r="G2112" s="266">
        <v>60.0</v>
      </c>
      <c r="H2112" s="266">
        <v>2.0</v>
      </c>
      <c r="I2112" s="266">
        <v>1770.0</v>
      </c>
      <c r="J2112" s="266">
        <v>19.0</v>
      </c>
      <c r="K2112" s="266">
        <v>290.0</v>
      </c>
      <c r="L2112" s="266" t="s">
        <v>3460</v>
      </c>
      <c r="M2112" s="507">
        <v>3.0</v>
      </c>
      <c r="N2112" s="266">
        <v>3.0</v>
      </c>
      <c r="O2112" s="266">
        <v>1.0</v>
      </c>
      <c r="P2112" s="266" t="s">
        <v>166</v>
      </c>
      <c r="Q2112" s="266" t="s">
        <v>166</v>
      </c>
      <c r="R2112" s="497" t="s">
        <v>166</v>
      </c>
      <c r="S2112" s="266" t="s">
        <v>166</v>
      </c>
      <c r="T2112" s="494"/>
    </row>
    <row r="2113">
      <c r="A2113" s="494" t="s">
        <v>3401</v>
      </c>
      <c r="B2113" s="495" t="s">
        <v>4337</v>
      </c>
      <c r="C2113" s="452" t="str">
        <f t="shared" ref="C2113:C2119" si="318">HYPERLINK("http://zotac.com/","ZOTAC")</f>
        <v>ZOTAC</v>
      </c>
      <c r="D2113" s="537" t="s">
        <v>4328</v>
      </c>
      <c r="E2113" s="266">
        <v>311.0</v>
      </c>
      <c r="F2113" s="266">
        <v>118.0</v>
      </c>
      <c r="G2113" s="266">
        <v>61.0</v>
      </c>
      <c r="H2113" s="266">
        <v>2.0</v>
      </c>
      <c r="I2113" s="266">
        <v>1785.0</v>
      </c>
      <c r="J2113" s="266">
        <v>19.0</v>
      </c>
      <c r="K2113" s="266">
        <v>290.0</v>
      </c>
      <c r="L2113" s="266" t="s">
        <v>3460</v>
      </c>
      <c r="M2113" s="507">
        <v>3.0</v>
      </c>
      <c r="N2113" s="266">
        <v>3.0</v>
      </c>
      <c r="O2113" s="266">
        <v>1.0</v>
      </c>
      <c r="P2113" s="266" t="s">
        <v>166</v>
      </c>
      <c r="Q2113" s="266" t="s">
        <v>166</v>
      </c>
      <c r="R2113" s="497" t="s">
        <v>166</v>
      </c>
      <c r="S2113" s="266" t="s">
        <v>166</v>
      </c>
      <c r="T2113" s="494"/>
    </row>
    <row r="2114">
      <c r="A2114" s="494" t="s">
        <v>3401</v>
      </c>
      <c r="B2114" s="495" t="s">
        <v>4337</v>
      </c>
      <c r="C2114" s="452" t="str">
        <f t="shared" si="318"/>
        <v>ZOTAC</v>
      </c>
      <c r="D2114" s="452" t="s">
        <v>4161</v>
      </c>
      <c r="E2114" s="266">
        <v>315.0</v>
      </c>
      <c r="F2114" s="266">
        <v>122.0</v>
      </c>
      <c r="G2114" s="266">
        <v>61.0</v>
      </c>
      <c r="H2114" s="266">
        <v>2.0</v>
      </c>
      <c r="I2114" s="266">
        <v>1800.0</v>
      </c>
      <c r="J2114" s="266">
        <v>19.0</v>
      </c>
      <c r="K2114" s="266">
        <v>320.0</v>
      </c>
      <c r="L2114" s="266" t="s">
        <v>3460</v>
      </c>
      <c r="M2114" s="507">
        <v>3.0</v>
      </c>
      <c r="N2114" s="266">
        <v>3.0</v>
      </c>
      <c r="O2114" s="266">
        <v>1.0</v>
      </c>
      <c r="P2114" s="266" t="s">
        <v>166</v>
      </c>
      <c r="Q2114" s="266" t="s">
        <v>166</v>
      </c>
      <c r="R2114" s="266" t="s">
        <v>166</v>
      </c>
      <c r="S2114" s="266" t="s">
        <v>166</v>
      </c>
      <c r="T2114" s="494"/>
    </row>
    <row r="2115">
      <c r="A2115" s="494" t="s">
        <v>3401</v>
      </c>
      <c r="B2115" s="495" t="s">
        <v>4337</v>
      </c>
      <c r="C2115" s="452" t="str">
        <f t="shared" si="318"/>
        <v>ZOTAC</v>
      </c>
      <c r="D2115" s="537" t="s">
        <v>4251</v>
      </c>
      <c r="E2115" s="266">
        <v>309.0</v>
      </c>
      <c r="F2115" s="266">
        <v>136.0</v>
      </c>
      <c r="G2115" s="266">
        <v>61.0</v>
      </c>
      <c r="H2115" s="266">
        <v>2.0</v>
      </c>
      <c r="I2115" s="266">
        <v>1830.0</v>
      </c>
      <c r="J2115" s="266">
        <v>19.0</v>
      </c>
      <c r="K2115" s="266">
        <v>330.0</v>
      </c>
      <c r="L2115" s="266" t="s">
        <v>3751</v>
      </c>
      <c r="M2115" s="507">
        <v>3.0</v>
      </c>
      <c r="N2115" s="266">
        <v>3.0</v>
      </c>
      <c r="O2115" s="266">
        <v>1.0</v>
      </c>
      <c r="P2115" s="266" t="s">
        <v>166</v>
      </c>
      <c r="Q2115" s="266" t="s">
        <v>166</v>
      </c>
      <c r="R2115" s="497" t="s">
        <v>166</v>
      </c>
      <c r="S2115" s="266" t="s">
        <v>166</v>
      </c>
      <c r="T2115" s="494"/>
    </row>
    <row r="2116">
      <c r="A2116" s="494" t="s">
        <v>3401</v>
      </c>
      <c r="B2116" s="495" t="s">
        <v>4337</v>
      </c>
      <c r="C2116" s="452" t="str">
        <f t="shared" si="318"/>
        <v>ZOTAC</v>
      </c>
      <c r="D2116" s="537" t="s">
        <v>4354</v>
      </c>
      <c r="E2116" s="266">
        <v>317.6</v>
      </c>
      <c r="F2116" s="266">
        <v>117.6</v>
      </c>
      <c r="G2116" s="266">
        <v>58.8</v>
      </c>
      <c r="H2116" s="266">
        <v>2.0</v>
      </c>
      <c r="I2116" s="266">
        <v>1770.0</v>
      </c>
      <c r="J2116" s="266">
        <v>19.0</v>
      </c>
      <c r="K2116" s="266">
        <v>290.0</v>
      </c>
      <c r="L2116" s="266" t="s">
        <v>3460</v>
      </c>
      <c r="M2116" s="507">
        <v>3.0</v>
      </c>
      <c r="N2116" s="266">
        <v>3.0</v>
      </c>
      <c r="O2116" s="266">
        <v>1.0</v>
      </c>
      <c r="P2116" s="266" t="s">
        <v>166</v>
      </c>
      <c r="Q2116" s="266" t="s">
        <v>166</v>
      </c>
      <c r="R2116" s="497" t="s">
        <v>166</v>
      </c>
      <c r="S2116" s="266" t="s">
        <v>166</v>
      </c>
      <c r="T2116" s="494"/>
    </row>
    <row r="2117">
      <c r="A2117" s="494" t="s">
        <v>3401</v>
      </c>
      <c r="B2117" s="495" t="s">
        <v>4337</v>
      </c>
      <c r="C2117" s="452" t="str">
        <f t="shared" si="318"/>
        <v>ZOTAC</v>
      </c>
      <c r="D2117" s="488" t="s">
        <v>4355</v>
      </c>
      <c r="E2117" s="266">
        <v>317.6</v>
      </c>
      <c r="F2117" s="266">
        <v>117.6</v>
      </c>
      <c r="G2117" s="266">
        <v>58.8</v>
      </c>
      <c r="H2117" s="266">
        <v>2.0</v>
      </c>
      <c r="I2117" s="527">
        <v>1800.0</v>
      </c>
      <c r="J2117" s="266">
        <v>19.0</v>
      </c>
      <c r="K2117" s="266">
        <v>310.0</v>
      </c>
      <c r="L2117" s="266" t="s">
        <v>3460</v>
      </c>
      <c r="M2117" s="507">
        <v>3.0</v>
      </c>
      <c r="N2117" s="266">
        <v>3.0</v>
      </c>
      <c r="O2117" s="266">
        <v>1.0</v>
      </c>
      <c r="P2117" s="266" t="s">
        <v>166</v>
      </c>
      <c r="Q2117" s="266" t="s">
        <v>166</v>
      </c>
      <c r="R2117" s="497" t="s">
        <v>166</v>
      </c>
      <c r="S2117" s="527" t="s">
        <v>166</v>
      </c>
      <c r="T2117" s="547"/>
    </row>
    <row r="2118">
      <c r="A2118" s="494" t="s">
        <v>3401</v>
      </c>
      <c r="B2118" s="495" t="s">
        <v>4337</v>
      </c>
      <c r="C2118" s="452" t="str">
        <f t="shared" si="318"/>
        <v>ZOTAC</v>
      </c>
      <c r="D2118" s="537" t="s">
        <v>4335</v>
      </c>
      <c r="E2118" s="266">
        <v>316.8</v>
      </c>
      <c r="F2118" s="266">
        <v>122.7</v>
      </c>
      <c r="G2118" s="266">
        <v>58.6</v>
      </c>
      <c r="H2118" s="266">
        <v>2.0</v>
      </c>
      <c r="I2118" s="266">
        <v>1830.0</v>
      </c>
      <c r="J2118" s="266">
        <v>19.0</v>
      </c>
      <c r="K2118" s="266">
        <v>310.0</v>
      </c>
      <c r="L2118" s="266" t="s">
        <v>3460</v>
      </c>
      <c r="M2118" s="266">
        <v>3.0</v>
      </c>
      <c r="N2118" s="266">
        <v>3.0</v>
      </c>
      <c r="O2118" s="266">
        <v>1.0</v>
      </c>
      <c r="P2118" s="266" t="s">
        <v>166</v>
      </c>
      <c r="Q2118" s="266" t="s">
        <v>166</v>
      </c>
      <c r="R2118" s="497" t="s">
        <v>166</v>
      </c>
      <c r="S2118" s="266" t="s">
        <v>166</v>
      </c>
      <c r="T2118" s="494"/>
    </row>
    <row r="2119">
      <c r="A2119" s="498" t="s">
        <v>3401</v>
      </c>
      <c r="B2119" s="499" t="s">
        <v>4337</v>
      </c>
      <c r="C2119" s="500" t="str">
        <f t="shared" si="318"/>
        <v>ZOTAC</v>
      </c>
      <c r="D2119" s="545" t="s">
        <v>4356</v>
      </c>
      <c r="E2119" s="501">
        <v>352.9</v>
      </c>
      <c r="F2119" s="501">
        <v>144.7</v>
      </c>
      <c r="G2119" s="501">
        <v>59.7</v>
      </c>
      <c r="H2119" s="501">
        <v>2.0</v>
      </c>
      <c r="I2119" s="501">
        <v>1890.0</v>
      </c>
      <c r="J2119" s="501">
        <v>19.0</v>
      </c>
      <c r="K2119" s="501">
        <v>310.0</v>
      </c>
      <c r="L2119" s="501" t="s">
        <v>3734</v>
      </c>
      <c r="M2119" s="501">
        <v>3.0</v>
      </c>
      <c r="N2119" s="501">
        <v>3.0</v>
      </c>
      <c r="O2119" s="501">
        <v>1.0</v>
      </c>
      <c r="P2119" s="501" t="s">
        <v>166</v>
      </c>
      <c r="Q2119" s="501" t="s">
        <v>166</v>
      </c>
      <c r="R2119" s="501" t="s">
        <v>166</v>
      </c>
      <c r="S2119" s="501" t="s">
        <v>166</v>
      </c>
      <c r="T2119" s="498"/>
    </row>
    <row r="2120">
      <c r="A2120" s="504" t="s">
        <v>3401</v>
      </c>
      <c r="B2120" s="505" t="s">
        <v>4357</v>
      </c>
      <c r="C2120" s="506" t="s">
        <v>3467</v>
      </c>
      <c r="D2120" s="544" t="s">
        <v>3884</v>
      </c>
      <c r="E2120" s="507">
        <v>315.0</v>
      </c>
      <c r="F2120" s="507">
        <v>114.0</v>
      </c>
      <c r="G2120" s="507">
        <v>56.0</v>
      </c>
      <c r="H2120" s="507">
        <v>2.0</v>
      </c>
      <c r="I2120" s="507">
        <v>1710.0</v>
      </c>
      <c r="J2120" s="507">
        <v>19.0</v>
      </c>
      <c r="K2120" s="507">
        <v>320.0</v>
      </c>
      <c r="L2120" s="507" t="s">
        <v>3460</v>
      </c>
      <c r="M2120" s="507">
        <v>3.0</v>
      </c>
      <c r="N2120" s="507">
        <v>3.0</v>
      </c>
      <c r="O2120" s="507">
        <v>1.0</v>
      </c>
      <c r="P2120" s="507" t="s">
        <v>166</v>
      </c>
      <c r="Q2120" s="507" t="s">
        <v>166</v>
      </c>
      <c r="R2120" s="497" t="s">
        <v>166</v>
      </c>
      <c r="S2120" s="507" t="s">
        <v>166</v>
      </c>
      <c r="T2120" s="504"/>
    </row>
    <row r="2121">
      <c r="A2121" s="494" t="s">
        <v>3401</v>
      </c>
      <c r="B2121" s="495" t="s">
        <v>4357</v>
      </c>
      <c r="C2121" s="452" t="str">
        <f t="shared" ref="C2121:C2137" si="319">HYPERLINK("https://www.asus.com/","Asus")</f>
        <v>Asus</v>
      </c>
      <c r="D2121" s="537" t="s">
        <v>3810</v>
      </c>
      <c r="E2121" s="266">
        <v>268.0</v>
      </c>
      <c r="F2121" s="266">
        <v>113.0</v>
      </c>
      <c r="G2121" s="266">
        <v>39.0</v>
      </c>
      <c r="H2121" s="266">
        <v>2.0</v>
      </c>
      <c r="I2121" s="266">
        <v>1740.0</v>
      </c>
      <c r="J2121" s="266">
        <v>19.0</v>
      </c>
      <c r="K2121" s="266">
        <v>320.0</v>
      </c>
      <c r="L2121" s="266" t="s">
        <v>3460</v>
      </c>
      <c r="M2121" s="266">
        <v>1.0</v>
      </c>
      <c r="N2121" s="266">
        <v>3.0</v>
      </c>
      <c r="O2121" s="266">
        <v>1.0</v>
      </c>
      <c r="P2121" s="266" t="s">
        <v>166</v>
      </c>
      <c r="Q2121" s="266" t="s">
        <v>166</v>
      </c>
      <c r="R2121" s="497" t="s">
        <v>166</v>
      </c>
      <c r="S2121" s="266" t="s">
        <v>174</v>
      </c>
      <c r="T2121" s="494"/>
    </row>
    <row r="2122">
      <c r="A2122" s="494" t="s">
        <v>3401</v>
      </c>
      <c r="B2122" s="495" t="s">
        <v>4357</v>
      </c>
      <c r="C2122" s="174" t="str">
        <f t="shared" si="319"/>
        <v>Asus</v>
      </c>
      <c r="D2122" s="452" t="s">
        <v>4265</v>
      </c>
      <c r="E2122" s="266">
        <v>268.0</v>
      </c>
      <c r="F2122" s="266">
        <v>113.0</v>
      </c>
      <c r="G2122" s="266">
        <v>39.0</v>
      </c>
      <c r="H2122" s="266">
        <v>2.0</v>
      </c>
      <c r="I2122" s="266">
        <v>1740.0</v>
      </c>
      <c r="J2122" s="266">
        <v>19.0</v>
      </c>
      <c r="K2122" s="266">
        <v>320.0</v>
      </c>
      <c r="L2122" s="266" t="s">
        <v>3460</v>
      </c>
      <c r="M2122" s="266">
        <v>1.0</v>
      </c>
      <c r="N2122" s="266">
        <v>3.0</v>
      </c>
      <c r="O2122" s="266">
        <v>1.0</v>
      </c>
      <c r="P2122" s="266" t="s">
        <v>166</v>
      </c>
      <c r="Q2122" s="266" t="s">
        <v>166</v>
      </c>
      <c r="R2122" s="497" t="s">
        <v>166</v>
      </c>
      <c r="S2122" s="266" t="s">
        <v>174</v>
      </c>
      <c r="T2122" s="494"/>
    </row>
    <row r="2123">
      <c r="A2123" s="504" t="s">
        <v>3401</v>
      </c>
      <c r="B2123" s="505" t="s">
        <v>4357</v>
      </c>
      <c r="C2123" s="282" t="str">
        <f t="shared" si="319"/>
        <v>Asus</v>
      </c>
      <c r="D2123" s="506" t="s">
        <v>3477</v>
      </c>
      <c r="E2123" s="266">
        <v>301.0</v>
      </c>
      <c r="F2123" s="266">
        <v>143.0</v>
      </c>
      <c r="G2123" s="266">
        <v>54.0</v>
      </c>
      <c r="H2123" s="507">
        <v>2.0</v>
      </c>
      <c r="I2123" s="507">
        <v>1740.0</v>
      </c>
      <c r="J2123" s="507">
        <v>19.0</v>
      </c>
      <c r="K2123" s="507">
        <v>320.0</v>
      </c>
      <c r="L2123" s="507" t="s">
        <v>3460</v>
      </c>
      <c r="M2123" s="507">
        <v>3.0</v>
      </c>
      <c r="N2123" s="507">
        <v>3.0</v>
      </c>
      <c r="O2123" s="507">
        <v>2.0</v>
      </c>
      <c r="P2123" s="507" t="s">
        <v>166</v>
      </c>
      <c r="Q2123" s="507" t="s">
        <v>166</v>
      </c>
      <c r="R2123" s="497" t="s">
        <v>166</v>
      </c>
      <c r="S2123" s="497" t="s">
        <v>166</v>
      </c>
      <c r="T2123" s="509"/>
    </row>
    <row r="2124">
      <c r="A2124" s="504" t="s">
        <v>3401</v>
      </c>
      <c r="B2124" s="505" t="s">
        <v>4357</v>
      </c>
      <c r="C2124" s="282" t="str">
        <f t="shared" si="319"/>
        <v>Asus</v>
      </c>
      <c r="D2124" s="506" t="s">
        <v>3479</v>
      </c>
      <c r="E2124" s="266">
        <v>301.0</v>
      </c>
      <c r="F2124" s="266">
        <v>143.0</v>
      </c>
      <c r="G2124" s="266">
        <v>54.0</v>
      </c>
      <c r="H2124" s="507">
        <v>2.0</v>
      </c>
      <c r="I2124" s="507">
        <v>1740.0</v>
      </c>
      <c r="J2124" s="507">
        <v>19.0</v>
      </c>
      <c r="K2124" s="507">
        <v>320.0</v>
      </c>
      <c r="L2124" s="507" t="s">
        <v>3460</v>
      </c>
      <c r="M2124" s="507">
        <v>3.0</v>
      </c>
      <c r="N2124" s="507">
        <v>3.0</v>
      </c>
      <c r="O2124" s="507">
        <v>2.0</v>
      </c>
      <c r="P2124" s="507" t="s">
        <v>166</v>
      </c>
      <c r="Q2124" s="507" t="s">
        <v>166</v>
      </c>
      <c r="R2124" s="497" t="s">
        <v>166</v>
      </c>
      <c r="S2124" s="497" t="s">
        <v>166</v>
      </c>
      <c r="T2124" s="494"/>
    </row>
    <row r="2125">
      <c r="A2125" s="494" t="s">
        <v>3401</v>
      </c>
      <c r="B2125" s="495" t="s">
        <v>4357</v>
      </c>
      <c r="C2125" s="174" t="str">
        <f t="shared" si="319"/>
        <v>Asus</v>
      </c>
      <c r="D2125" s="537" t="s">
        <v>3478</v>
      </c>
      <c r="E2125" s="266">
        <v>301.0</v>
      </c>
      <c r="F2125" s="266">
        <v>143.0</v>
      </c>
      <c r="G2125" s="266">
        <v>54.0</v>
      </c>
      <c r="H2125" s="266">
        <v>2.0</v>
      </c>
      <c r="I2125" s="266">
        <v>1815.0</v>
      </c>
      <c r="J2125" s="266">
        <v>19.0</v>
      </c>
      <c r="K2125" s="266">
        <v>340.0</v>
      </c>
      <c r="L2125" s="266" t="s">
        <v>3460</v>
      </c>
      <c r="M2125" s="266">
        <v>3.0</v>
      </c>
      <c r="N2125" s="266">
        <v>3.0</v>
      </c>
      <c r="O2125" s="266">
        <v>2.0</v>
      </c>
      <c r="P2125" s="266" t="s">
        <v>166</v>
      </c>
      <c r="Q2125" s="266" t="s">
        <v>166</v>
      </c>
      <c r="R2125" s="497" t="s">
        <v>166</v>
      </c>
      <c r="S2125" s="497" t="s">
        <v>166</v>
      </c>
      <c r="T2125" s="494"/>
    </row>
    <row r="2126">
      <c r="A2126" s="494" t="s">
        <v>3401</v>
      </c>
      <c r="B2126" s="495" t="s">
        <v>4357</v>
      </c>
      <c r="C2126" s="174" t="str">
        <f t="shared" si="319"/>
        <v>Asus</v>
      </c>
      <c r="D2126" s="537" t="s">
        <v>4094</v>
      </c>
      <c r="E2126" s="266">
        <v>301.0</v>
      </c>
      <c r="F2126" s="266">
        <v>143.0</v>
      </c>
      <c r="G2126" s="266">
        <v>54.0</v>
      </c>
      <c r="H2126" s="266">
        <v>2.0</v>
      </c>
      <c r="I2126" s="266">
        <v>1815.0</v>
      </c>
      <c r="J2126" s="266">
        <v>19.0</v>
      </c>
      <c r="K2126" s="266">
        <v>340.0</v>
      </c>
      <c r="L2126" s="266" t="s">
        <v>3460</v>
      </c>
      <c r="M2126" s="266">
        <v>3.0</v>
      </c>
      <c r="N2126" s="266">
        <v>3.0</v>
      </c>
      <c r="O2126" s="266">
        <v>2.0</v>
      </c>
      <c r="P2126" s="266" t="s">
        <v>166</v>
      </c>
      <c r="Q2126" s="266" t="s">
        <v>166</v>
      </c>
      <c r="R2126" s="497" t="s">
        <v>166</v>
      </c>
      <c r="S2126" s="497" t="s">
        <v>166</v>
      </c>
      <c r="T2126" s="494"/>
    </row>
    <row r="2127">
      <c r="A2127" s="494" t="s">
        <v>3401</v>
      </c>
      <c r="B2127" s="495" t="s">
        <v>4357</v>
      </c>
      <c r="C2127" s="174" t="str">
        <f t="shared" si="319"/>
        <v>Asus</v>
      </c>
      <c r="D2127" s="452" t="s">
        <v>4268</v>
      </c>
      <c r="E2127" s="266">
        <v>306.2</v>
      </c>
      <c r="F2127" s="266">
        <v>144.8</v>
      </c>
      <c r="G2127" s="266">
        <v>82.6</v>
      </c>
      <c r="H2127" s="266">
        <v>2.0</v>
      </c>
      <c r="I2127" s="266">
        <v>1815.0</v>
      </c>
      <c r="J2127" s="266">
        <v>19.0</v>
      </c>
      <c r="K2127" s="266">
        <v>320.0</v>
      </c>
      <c r="L2127" s="266" t="s">
        <v>3460</v>
      </c>
      <c r="M2127" s="266">
        <v>2.0</v>
      </c>
      <c r="N2127" s="266">
        <v>3.0</v>
      </c>
      <c r="O2127" s="266">
        <v>2.0</v>
      </c>
      <c r="P2127" s="266" t="s">
        <v>166</v>
      </c>
      <c r="Q2127" s="266" t="s">
        <v>166</v>
      </c>
      <c r="R2127" s="497" t="s">
        <v>166</v>
      </c>
      <c r="S2127" s="497" t="s">
        <v>166</v>
      </c>
      <c r="T2127" s="494"/>
    </row>
    <row r="2128">
      <c r="A2128" s="494" t="s">
        <v>3401</v>
      </c>
      <c r="B2128" s="495" t="s">
        <v>4357</v>
      </c>
      <c r="C2128" s="174" t="str">
        <f t="shared" si="319"/>
        <v>Asus</v>
      </c>
      <c r="D2128" s="452" t="s">
        <v>3631</v>
      </c>
      <c r="E2128" s="266">
        <v>318.5</v>
      </c>
      <c r="F2128" s="266">
        <v>140.1</v>
      </c>
      <c r="G2128" s="266">
        <v>57.8</v>
      </c>
      <c r="H2128" s="266">
        <v>2.0</v>
      </c>
      <c r="I2128" s="266">
        <v>1740.0</v>
      </c>
      <c r="J2128" s="266">
        <v>19.0</v>
      </c>
      <c r="K2128" s="266">
        <v>320.0</v>
      </c>
      <c r="L2128" s="266" t="s">
        <v>3734</v>
      </c>
      <c r="M2128" s="266">
        <v>3.0</v>
      </c>
      <c r="N2128" s="266">
        <v>3.0</v>
      </c>
      <c r="O2128" s="266">
        <v>2.0</v>
      </c>
      <c r="P2128" s="266" t="s">
        <v>166</v>
      </c>
      <c r="Q2128" s="266" t="s">
        <v>166</v>
      </c>
      <c r="R2128" s="497" t="s">
        <v>166</v>
      </c>
      <c r="S2128" s="497" t="s">
        <v>166</v>
      </c>
      <c r="T2128" s="496"/>
    </row>
    <row r="2129">
      <c r="A2129" s="494" t="s">
        <v>3401</v>
      </c>
      <c r="B2129" s="495" t="s">
        <v>4357</v>
      </c>
      <c r="C2129" s="174" t="str">
        <f t="shared" si="319"/>
        <v>Asus</v>
      </c>
      <c r="D2129" s="452" t="s">
        <v>4095</v>
      </c>
      <c r="E2129" s="266">
        <v>318.5</v>
      </c>
      <c r="F2129" s="266">
        <v>140.1</v>
      </c>
      <c r="G2129" s="266">
        <v>57.8</v>
      </c>
      <c r="H2129" s="266">
        <v>2.0</v>
      </c>
      <c r="I2129" s="266">
        <v>1740.0</v>
      </c>
      <c r="J2129" s="266">
        <v>19.0</v>
      </c>
      <c r="K2129" s="266">
        <v>320.0</v>
      </c>
      <c r="L2129" s="266" t="s">
        <v>3734</v>
      </c>
      <c r="M2129" s="266">
        <v>3.0</v>
      </c>
      <c r="N2129" s="266">
        <v>3.0</v>
      </c>
      <c r="O2129" s="266">
        <v>2.0</v>
      </c>
      <c r="P2129" s="266" t="s">
        <v>166</v>
      </c>
      <c r="Q2129" s="266" t="s">
        <v>166</v>
      </c>
      <c r="R2129" s="497" t="s">
        <v>166</v>
      </c>
      <c r="S2129" s="497" t="s">
        <v>166</v>
      </c>
      <c r="T2129" s="494"/>
    </row>
    <row r="2130">
      <c r="A2130" s="494" t="s">
        <v>3401</v>
      </c>
      <c r="B2130" s="495" t="s">
        <v>4357</v>
      </c>
      <c r="C2130" s="174" t="str">
        <f t="shared" si="319"/>
        <v>Asus</v>
      </c>
      <c r="D2130" s="452" t="s">
        <v>3643</v>
      </c>
      <c r="E2130" s="266">
        <v>318.5</v>
      </c>
      <c r="F2130" s="266">
        <v>140.1</v>
      </c>
      <c r="G2130" s="266">
        <v>57.8</v>
      </c>
      <c r="H2130" s="266">
        <v>2.0</v>
      </c>
      <c r="I2130" s="266">
        <v>1935.0</v>
      </c>
      <c r="J2130" s="266">
        <v>19.0</v>
      </c>
      <c r="K2130" s="266">
        <v>370.0</v>
      </c>
      <c r="L2130" s="266" t="s">
        <v>3734</v>
      </c>
      <c r="M2130" s="266">
        <v>3.0</v>
      </c>
      <c r="N2130" s="266">
        <v>3.0</v>
      </c>
      <c r="O2130" s="266">
        <v>2.0</v>
      </c>
      <c r="P2130" s="266" t="s">
        <v>166</v>
      </c>
      <c r="Q2130" s="266" t="s">
        <v>166</v>
      </c>
      <c r="R2130" s="497" t="s">
        <v>166</v>
      </c>
      <c r="S2130" s="497" t="s">
        <v>166</v>
      </c>
      <c r="T2130" s="496"/>
    </row>
    <row r="2131">
      <c r="A2131" s="494" t="s">
        <v>3401</v>
      </c>
      <c r="B2131" s="495" t="s">
        <v>4357</v>
      </c>
      <c r="C2131" s="174" t="str">
        <f t="shared" si="319"/>
        <v>Asus</v>
      </c>
      <c r="D2131" s="452" t="s">
        <v>4165</v>
      </c>
      <c r="E2131" s="266">
        <v>318.5</v>
      </c>
      <c r="F2131" s="266">
        <v>140.1</v>
      </c>
      <c r="G2131" s="266">
        <v>57.8</v>
      </c>
      <c r="H2131" s="266">
        <v>2.0</v>
      </c>
      <c r="I2131" s="266">
        <v>1935.0</v>
      </c>
      <c r="J2131" s="266">
        <v>19.0</v>
      </c>
      <c r="K2131" s="266">
        <v>370.0</v>
      </c>
      <c r="L2131" s="266" t="s">
        <v>3734</v>
      </c>
      <c r="M2131" s="266">
        <v>3.0</v>
      </c>
      <c r="N2131" s="266">
        <v>3.0</v>
      </c>
      <c r="O2131" s="266">
        <v>2.0</v>
      </c>
      <c r="P2131" s="266" t="s">
        <v>166</v>
      </c>
      <c r="Q2131" s="266" t="s">
        <v>166</v>
      </c>
      <c r="R2131" s="497" t="s">
        <v>166</v>
      </c>
      <c r="S2131" s="497" t="s">
        <v>166</v>
      </c>
      <c r="T2131" s="494"/>
    </row>
    <row r="2132">
      <c r="A2132" s="494" t="s">
        <v>3401</v>
      </c>
      <c r="B2132" s="495" t="s">
        <v>4357</v>
      </c>
      <c r="C2132" s="174" t="str">
        <f t="shared" si="319"/>
        <v>Asus</v>
      </c>
      <c r="D2132" s="537" t="s">
        <v>4358</v>
      </c>
      <c r="E2132" s="266">
        <v>318.5</v>
      </c>
      <c r="F2132" s="266">
        <v>140.1</v>
      </c>
      <c r="G2132" s="266">
        <v>57.8</v>
      </c>
      <c r="H2132" s="266">
        <v>2.0</v>
      </c>
      <c r="I2132" s="266">
        <v>1935.0</v>
      </c>
      <c r="J2132" s="266">
        <v>19.0</v>
      </c>
      <c r="K2132" s="266">
        <v>370.0</v>
      </c>
      <c r="L2132" s="266" t="s">
        <v>3734</v>
      </c>
      <c r="M2132" s="266">
        <v>3.0</v>
      </c>
      <c r="N2132" s="266">
        <v>3.0</v>
      </c>
      <c r="O2132" s="266">
        <v>2.0</v>
      </c>
      <c r="P2132" s="266" t="s">
        <v>166</v>
      </c>
      <c r="Q2132" s="266" t="s">
        <v>166</v>
      </c>
      <c r="R2132" s="497" t="s">
        <v>166</v>
      </c>
      <c r="S2132" s="497" t="s">
        <v>166</v>
      </c>
      <c r="T2132" s="494"/>
    </row>
    <row r="2133">
      <c r="A2133" s="494" t="s">
        <v>3401</v>
      </c>
      <c r="B2133" s="495" t="s">
        <v>4357</v>
      </c>
      <c r="C2133" s="174" t="str">
        <f t="shared" si="319"/>
        <v>Asus</v>
      </c>
      <c r="D2133" s="537" t="s">
        <v>4269</v>
      </c>
      <c r="E2133" s="266">
        <v>318.5</v>
      </c>
      <c r="F2133" s="266">
        <v>140.1</v>
      </c>
      <c r="G2133" s="266">
        <v>57.8</v>
      </c>
      <c r="H2133" s="266">
        <v>2.0</v>
      </c>
      <c r="I2133" s="266">
        <v>1740.0</v>
      </c>
      <c r="J2133" s="266">
        <v>19.0</v>
      </c>
      <c r="K2133" s="266">
        <v>320.0</v>
      </c>
      <c r="L2133" s="266" t="s">
        <v>3734</v>
      </c>
      <c r="M2133" s="266">
        <v>3.0</v>
      </c>
      <c r="N2133" s="266">
        <v>3.0</v>
      </c>
      <c r="O2133" s="266">
        <v>2.0</v>
      </c>
      <c r="P2133" s="266" t="s">
        <v>166</v>
      </c>
      <c r="Q2133" s="266" t="s">
        <v>166</v>
      </c>
      <c r="R2133" s="497" t="s">
        <v>166</v>
      </c>
      <c r="S2133" s="497" t="s">
        <v>166</v>
      </c>
      <c r="T2133" s="494"/>
    </row>
    <row r="2134">
      <c r="A2134" s="494" t="s">
        <v>3401</v>
      </c>
      <c r="B2134" s="495" t="s">
        <v>4357</v>
      </c>
      <c r="C2134" s="174" t="str">
        <f t="shared" si="319"/>
        <v>Asus</v>
      </c>
      <c r="D2134" s="537" t="s">
        <v>4270</v>
      </c>
      <c r="E2134" s="266">
        <v>318.5</v>
      </c>
      <c r="F2134" s="266">
        <v>140.1</v>
      </c>
      <c r="G2134" s="266">
        <v>57.8</v>
      </c>
      <c r="H2134" s="266">
        <v>2.0</v>
      </c>
      <c r="I2134" s="266">
        <v>1740.0</v>
      </c>
      <c r="J2134" s="266">
        <v>19.0</v>
      </c>
      <c r="K2134" s="266">
        <v>320.0</v>
      </c>
      <c r="L2134" s="266" t="s">
        <v>3734</v>
      </c>
      <c r="M2134" s="266">
        <v>3.0</v>
      </c>
      <c r="N2134" s="266">
        <v>3.0</v>
      </c>
      <c r="O2134" s="266">
        <v>2.0</v>
      </c>
      <c r="P2134" s="266" t="s">
        <v>166</v>
      </c>
      <c r="Q2134" s="266" t="s">
        <v>166</v>
      </c>
      <c r="R2134" s="497" t="s">
        <v>166</v>
      </c>
      <c r="S2134" s="497" t="s">
        <v>166</v>
      </c>
      <c r="T2134" s="494"/>
    </row>
    <row r="2135">
      <c r="A2135" s="494" t="s">
        <v>3401</v>
      </c>
      <c r="B2135" s="495" t="s">
        <v>4357</v>
      </c>
      <c r="C2135" s="174" t="str">
        <f t="shared" si="319"/>
        <v>Asus</v>
      </c>
      <c r="D2135" s="537" t="s">
        <v>4042</v>
      </c>
      <c r="E2135" s="266">
        <v>318.5</v>
      </c>
      <c r="F2135" s="266">
        <v>140.1</v>
      </c>
      <c r="G2135" s="266">
        <v>57.8</v>
      </c>
      <c r="H2135" s="266">
        <v>2.0</v>
      </c>
      <c r="I2135" s="266">
        <v>1935.0</v>
      </c>
      <c r="J2135" s="266">
        <v>19.0</v>
      </c>
      <c r="K2135" s="266">
        <v>370.0</v>
      </c>
      <c r="L2135" s="266" t="s">
        <v>3734</v>
      </c>
      <c r="M2135" s="266">
        <v>3.0</v>
      </c>
      <c r="N2135" s="266">
        <v>3.0</v>
      </c>
      <c r="O2135" s="266">
        <v>2.0</v>
      </c>
      <c r="P2135" s="266" t="s">
        <v>166</v>
      </c>
      <c r="Q2135" s="266" t="s">
        <v>166</v>
      </c>
      <c r="R2135" s="497" t="s">
        <v>166</v>
      </c>
      <c r="S2135" s="497" t="s">
        <v>166</v>
      </c>
      <c r="T2135" s="494"/>
    </row>
    <row r="2136">
      <c r="A2136" s="494" t="s">
        <v>3401</v>
      </c>
      <c r="B2136" s="495" t="s">
        <v>4357</v>
      </c>
      <c r="C2136" s="174" t="str">
        <f t="shared" si="319"/>
        <v>Asus</v>
      </c>
      <c r="D2136" s="537" t="s">
        <v>4271</v>
      </c>
      <c r="E2136" s="266">
        <v>318.5</v>
      </c>
      <c r="F2136" s="266">
        <v>140.1</v>
      </c>
      <c r="G2136" s="266">
        <v>57.8</v>
      </c>
      <c r="H2136" s="266">
        <v>2.0</v>
      </c>
      <c r="I2136" s="266">
        <v>1935.0</v>
      </c>
      <c r="J2136" s="266">
        <v>19.0</v>
      </c>
      <c r="K2136" s="266">
        <v>370.0</v>
      </c>
      <c r="L2136" s="266" t="s">
        <v>3734</v>
      </c>
      <c r="M2136" s="266">
        <v>3.0</v>
      </c>
      <c r="N2136" s="266">
        <v>3.0</v>
      </c>
      <c r="O2136" s="266">
        <v>2.0</v>
      </c>
      <c r="P2136" s="266" t="s">
        <v>166</v>
      </c>
      <c r="Q2136" s="266" t="s">
        <v>166</v>
      </c>
      <c r="R2136" s="497" t="s">
        <v>166</v>
      </c>
      <c r="S2136" s="497" t="s">
        <v>166</v>
      </c>
      <c r="T2136" s="494"/>
    </row>
    <row r="2137">
      <c r="A2137" s="494" t="s">
        <v>3401</v>
      </c>
      <c r="B2137" s="495" t="s">
        <v>4357</v>
      </c>
      <c r="C2137" s="174" t="str">
        <f t="shared" si="319"/>
        <v>Asus</v>
      </c>
      <c r="D2137" s="452" t="s">
        <v>2303</v>
      </c>
      <c r="E2137" s="266">
        <v>216.0</v>
      </c>
      <c r="F2137" s="266">
        <v>136.2</v>
      </c>
      <c r="G2137" s="266">
        <v>19.8</v>
      </c>
      <c r="H2137" s="266">
        <v>1.0</v>
      </c>
      <c r="I2137" s="266">
        <v>1740.0</v>
      </c>
      <c r="J2137" s="266">
        <v>19.0</v>
      </c>
      <c r="K2137" s="266">
        <v>320.0</v>
      </c>
      <c r="L2137" s="266" t="s">
        <v>3460</v>
      </c>
      <c r="M2137" s="266" t="s">
        <v>166</v>
      </c>
      <c r="N2137" s="266">
        <v>3.0</v>
      </c>
      <c r="O2137" s="266">
        <v>1.0</v>
      </c>
      <c r="P2137" s="266" t="s">
        <v>166</v>
      </c>
      <c r="Q2137" s="266" t="s">
        <v>166</v>
      </c>
      <c r="R2137" s="266" t="s">
        <v>174</v>
      </c>
      <c r="S2137" s="497" t="s">
        <v>166</v>
      </c>
      <c r="T2137" s="494"/>
    </row>
    <row r="2138">
      <c r="A2138" s="494" t="s">
        <v>3401</v>
      </c>
      <c r="B2138" s="495" t="s">
        <v>4357</v>
      </c>
      <c r="C2138" s="452" t="s">
        <v>3575</v>
      </c>
      <c r="D2138" s="537" t="s">
        <v>4359</v>
      </c>
      <c r="E2138" s="266">
        <f t="shared" ref="E2138:E2144" si="320">310-12</f>
        <v>298</v>
      </c>
      <c r="F2138" s="266">
        <f t="shared" ref="F2138:F2144" si="321">131.5-15</f>
        <v>116.5</v>
      </c>
      <c r="G2138" s="266">
        <v>57.0</v>
      </c>
      <c r="H2138" s="266">
        <v>2.0</v>
      </c>
      <c r="I2138" s="266">
        <v>1710.0</v>
      </c>
      <c r="J2138" s="266">
        <v>19.0</v>
      </c>
      <c r="K2138" s="266">
        <v>320.0</v>
      </c>
      <c r="L2138" s="266" t="s">
        <v>3460</v>
      </c>
      <c r="M2138" s="266">
        <v>3.0</v>
      </c>
      <c r="N2138" s="266">
        <v>3.0</v>
      </c>
      <c r="O2138" s="266">
        <v>1.0</v>
      </c>
      <c r="P2138" s="266" t="s">
        <v>166</v>
      </c>
      <c r="Q2138" s="266" t="s">
        <v>166</v>
      </c>
      <c r="R2138" s="497" t="s">
        <v>166</v>
      </c>
      <c r="S2138" s="497" t="s">
        <v>166</v>
      </c>
      <c r="T2138" s="494"/>
    </row>
    <row r="2139">
      <c r="A2139" s="494" t="s">
        <v>3401</v>
      </c>
      <c r="B2139" s="495" t="s">
        <v>4357</v>
      </c>
      <c r="C2139" s="452" t="s">
        <v>3575</v>
      </c>
      <c r="D2139" s="537" t="s">
        <v>3873</v>
      </c>
      <c r="E2139" s="266">
        <f t="shared" si="320"/>
        <v>298</v>
      </c>
      <c r="F2139" s="266">
        <f t="shared" si="321"/>
        <v>116.5</v>
      </c>
      <c r="G2139" s="266">
        <v>59.0</v>
      </c>
      <c r="H2139" s="266">
        <v>2.0</v>
      </c>
      <c r="I2139" s="266">
        <v>1710.0</v>
      </c>
      <c r="J2139" s="266">
        <v>19.0</v>
      </c>
      <c r="K2139" s="266">
        <v>320.0</v>
      </c>
      <c r="L2139" s="266" t="s">
        <v>3734</v>
      </c>
      <c r="M2139" s="266">
        <v>3.0</v>
      </c>
      <c r="N2139" s="266">
        <v>3.0</v>
      </c>
      <c r="O2139" s="266">
        <v>1.0</v>
      </c>
      <c r="P2139" s="266" t="s">
        <v>166</v>
      </c>
      <c r="Q2139" s="266" t="s">
        <v>166</v>
      </c>
      <c r="R2139" s="497" t="s">
        <v>166</v>
      </c>
      <c r="S2139" s="497" t="s">
        <v>166</v>
      </c>
      <c r="T2139" s="494"/>
    </row>
    <row r="2140">
      <c r="A2140" s="494" t="s">
        <v>3401</v>
      </c>
      <c r="B2140" s="495" t="s">
        <v>4357</v>
      </c>
      <c r="C2140" s="452" t="s">
        <v>3575</v>
      </c>
      <c r="D2140" s="537" t="s">
        <v>3878</v>
      </c>
      <c r="E2140" s="266">
        <f t="shared" si="320"/>
        <v>298</v>
      </c>
      <c r="F2140" s="266">
        <f t="shared" si="321"/>
        <v>116.5</v>
      </c>
      <c r="G2140" s="266">
        <v>59.0</v>
      </c>
      <c r="H2140" s="266">
        <v>2.0</v>
      </c>
      <c r="I2140" s="266">
        <v>1755.0</v>
      </c>
      <c r="J2140" s="266">
        <v>19.0</v>
      </c>
      <c r="K2140" s="266">
        <v>340.0</v>
      </c>
      <c r="L2140" s="266" t="s">
        <v>3734</v>
      </c>
      <c r="M2140" s="266">
        <v>3.0</v>
      </c>
      <c r="N2140" s="266">
        <v>3.0</v>
      </c>
      <c r="O2140" s="266">
        <v>1.0</v>
      </c>
      <c r="P2140" s="266" t="s">
        <v>166</v>
      </c>
      <c r="Q2140" s="266" t="s">
        <v>166</v>
      </c>
      <c r="R2140" s="497" t="s">
        <v>166</v>
      </c>
      <c r="S2140" s="497" t="s">
        <v>166</v>
      </c>
      <c r="T2140" s="494"/>
    </row>
    <row r="2141">
      <c r="A2141" s="494" t="s">
        <v>3401</v>
      </c>
      <c r="B2141" s="495" t="s">
        <v>4357</v>
      </c>
      <c r="C2141" s="452" t="s">
        <v>3575</v>
      </c>
      <c r="D2141" s="537" t="s">
        <v>4170</v>
      </c>
      <c r="E2141" s="266">
        <f t="shared" si="320"/>
        <v>298</v>
      </c>
      <c r="F2141" s="266">
        <f t="shared" si="321"/>
        <v>116.5</v>
      </c>
      <c r="G2141" s="266">
        <v>59.0</v>
      </c>
      <c r="H2141" s="266">
        <v>2.0</v>
      </c>
      <c r="I2141" s="266">
        <v>1755.0</v>
      </c>
      <c r="J2141" s="266">
        <v>19.0</v>
      </c>
      <c r="K2141" s="266">
        <v>340.0</v>
      </c>
      <c r="L2141" s="266" t="s">
        <v>3734</v>
      </c>
      <c r="M2141" s="266">
        <v>3.0</v>
      </c>
      <c r="N2141" s="266">
        <v>3.0</v>
      </c>
      <c r="O2141" s="266">
        <v>1.0</v>
      </c>
      <c r="P2141" s="266" t="s">
        <v>166</v>
      </c>
      <c r="Q2141" s="266" t="s">
        <v>166</v>
      </c>
      <c r="R2141" s="497" t="s">
        <v>166</v>
      </c>
      <c r="S2141" s="497" t="s">
        <v>166</v>
      </c>
      <c r="T2141" s="494"/>
    </row>
    <row r="2142">
      <c r="A2142" s="494" t="s">
        <v>3401</v>
      </c>
      <c r="B2142" s="495" t="s">
        <v>4357</v>
      </c>
      <c r="C2142" s="452" t="s">
        <v>3575</v>
      </c>
      <c r="D2142" s="537" t="s">
        <v>4103</v>
      </c>
      <c r="E2142" s="266">
        <f t="shared" si="320"/>
        <v>298</v>
      </c>
      <c r="F2142" s="266">
        <f t="shared" si="321"/>
        <v>116.5</v>
      </c>
      <c r="G2142" s="266">
        <v>59.0</v>
      </c>
      <c r="H2142" s="266">
        <v>2.0</v>
      </c>
      <c r="I2142" s="266">
        <v>1710.0</v>
      </c>
      <c r="J2142" s="266">
        <v>19.0</v>
      </c>
      <c r="K2142" s="266">
        <v>320.0</v>
      </c>
      <c r="L2142" s="266" t="s">
        <v>3734</v>
      </c>
      <c r="M2142" s="266">
        <v>3.0</v>
      </c>
      <c r="N2142" s="266">
        <v>3.0</v>
      </c>
      <c r="O2142" s="266">
        <v>1.0</v>
      </c>
      <c r="P2142" s="266" t="s">
        <v>166</v>
      </c>
      <c r="Q2142" s="266" t="s">
        <v>166</v>
      </c>
      <c r="R2142" s="497" t="s">
        <v>166</v>
      </c>
      <c r="S2142" s="497" t="s">
        <v>166</v>
      </c>
      <c r="T2142" s="494"/>
    </row>
    <row r="2143">
      <c r="A2143" s="494" t="s">
        <v>3401</v>
      </c>
      <c r="B2143" s="495" t="s">
        <v>4357</v>
      </c>
      <c r="C2143" s="452" t="s">
        <v>3575</v>
      </c>
      <c r="D2143" s="537" t="s">
        <v>4087</v>
      </c>
      <c r="E2143" s="266">
        <f t="shared" si="320"/>
        <v>298</v>
      </c>
      <c r="F2143" s="266">
        <f t="shared" si="321"/>
        <v>116.5</v>
      </c>
      <c r="G2143" s="266">
        <v>59.0</v>
      </c>
      <c r="H2143" s="266">
        <v>2.0</v>
      </c>
      <c r="I2143" s="266">
        <v>1755.0</v>
      </c>
      <c r="J2143" s="266">
        <v>19.0</v>
      </c>
      <c r="K2143" s="266">
        <v>340.0</v>
      </c>
      <c r="L2143" s="266" t="s">
        <v>3734</v>
      </c>
      <c r="M2143" s="266">
        <v>3.0</v>
      </c>
      <c r="N2143" s="266">
        <v>3.0</v>
      </c>
      <c r="O2143" s="266">
        <v>1.0</v>
      </c>
      <c r="P2143" s="266" t="s">
        <v>166</v>
      </c>
      <c r="Q2143" s="266" t="s">
        <v>166</v>
      </c>
      <c r="R2143" s="497" t="s">
        <v>166</v>
      </c>
      <c r="S2143" s="497" t="s">
        <v>166</v>
      </c>
      <c r="T2143" s="494"/>
    </row>
    <row r="2144">
      <c r="A2144" s="494" t="s">
        <v>3401</v>
      </c>
      <c r="B2144" s="495" t="s">
        <v>4357</v>
      </c>
      <c r="C2144" s="452" t="s">
        <v>3575</v>
      </c>
      <c r="D2144" s="537" t="s">
        <v>4171</v>
      </c>
      <c r="E2144" s="266">
        <f t="shared" si="320"/>
        <v>298</v>
      </c>
      <c r="F2144" s="266">
        <f t="shared" si="321"/>
        <v>116.5</v>
      </c>
      <c r="G2144" s="266">
        <v>59.0</v>
      </c>
      <c r="H2144" s="266">
        <v>2.0</v>
      </c>
      <c r="I2144" s="266">
        <v>1755.0</v>
      </c>
      <c r="J2144" s="266">
        <v>19.0</v>
      </c>
      <c r="K2144" s="266">
        <v>340.0</v>
      </c>
      <c r="L2144" s="266" t="s">
        <v>3734</v>
      </c>
      <c r="M2144" s="266">
        <v>3.0</v>
      </c>
      <c r="N2144" s="266">
        <v>3.0</v>
      </c>
      <c r="O2144" s="266">
        <v>1.0</v>
      </c>
      <c r="P2144" s="266" t="s">
        <v>166</v>
      </c>
      <c r="Q2144" s="266" t="s">
        <v>166</v>
      </c>
      <c r="R2144" s="497" t="s">
        <v>166</v>
      </c>
      <c r="S2144" s="497" t="s">
        <v>166</v>
      </c>
      <c r="T2144" s="494"/>
    </row>
    <row r="2145">
      <c r="A2145" s="494" t="s">
        <v>3401</v>
      </c>
      <c r="B2145" s="495" t="s">
        <v>4357</v>
      </c>
      <c r="C2145" s="452" t="s">
        <v>3575</v>
      </c>
      <c r="D2145" s="537" t="s">
        <v>4027</v>
      </c>
      <c r="E2145" s="266">
        <f t="shared" ref="E2145:E2147" si="322">315.5-12</f>
        <v>303.5</v>
      </c>
      <c r="F2145" s="266">
        <f t="shared" ref="F2145:F2147" si="323">131-15</f>
        <v>116</v>
      </c>
      <c r="G2145" s="266">
        <v>60.0</v>
      </c>
      <c r="H2145" s="266">
        <v>2.0</v>
      </c>
      <c r="I2145" s="266">
        <v>1710.0</v>
      </c>
      <c r="J2145" s="266">
        <v>19.0</v>
      </c>
      <c r="K2145" s="266">
        <v>320.0</v>
      </c>
      <c r="L2145" s="266" t="s">
        <v>3734</v>
      </c>
      <c r="M2145" s="266">
        <v>3.0</v>
      </c>
      <c r="N2145" s="266">
        <v>3.0</v>
      </c>
      <c r="O2145" s="266">
        <v>1.0</v>
      </c>
      <c r="P2145" s="266" t="s">
        <v>166</v>
      </c>
      <c r="Q2145" s="266" t="s">
        <v>166</v>
      </c>
      <c r="R2145" s="497" t="s">
        <v>166</v>
      </c>
      <c r="S2145" s="497" t="s">
        <v>166</v>
      </c>
      <c r="T2145" s="494"/>
    </row>
    <row r="2146">
      <c r="A2146" s="494" t="s">
        <v>3401</v>
      </c>
      <c r="B2146" s="495" t="s">
        <v>4357</v>
      </c>
      <c r="C2146" s="452" t="s">
        <v>3575</v>
      </c>
      <c r="D2146" s="537" t="s">
        <v>3889</v>
      </c>
      <c r="E2146" s="266">
        <f t="shared" si="322"/>
        <v>303.5</v>
      </c>
      <c r="F2146" s="266">
        <f t="shared" si="323"/>
        <v>116</v>
      </c>
      <c r="G2146" s="266">
        <v>60.0</v>
      </c>
      <c r="H2146" s="266">
        <v>2.0</v>
      </c>
      <c r="I2146" s="266">
        <v>1785.0</v>
      </c>
      <c r="J2146" s="266">
        <v>19.0</v>
      </c>
      <c r="K2146" s="266">
        <v>370.0</v>
      </c>
      <c r="L2146" s="266" t="s">
        <v>3734</v>
      </c>
      <c r="M2146" s="266">
        <v>3.0</v>
      </c>
      <c r="N2146" s="266">
        <v>3.0</v>
      </c>
      <c r="O2146" s="266">
        <v>1.0</v>
      </c>
      <c r="P2146" s="266" t="s">
        <v>166</v>
      </c>
      <c r="Q2146" s="266" t="s">
        <v>166</v>
      </c>
      <c r="R2146" s="497" t="s">
        <v>166</v>
      </c>
      <c r="S2146" s="497" t="s">
        <v>166</v>
      </c>
      <c r="T2146" s="494"/>
    </row>
    <row r="2147">
      <c r="A2147" s="494" t="s">
        <v>3401</v>
      </c>
      <c r="B2147" s="495" t="s">
        <v>4357</v>
      </c>
      <c r="C2147" s="452" t="s">
        <v>3575</v>
      </c>
      <c r="D2147" s="537" t="s">
        <v>4172</v>
      </c>
      <c r="E2147" s="266">
        <f t="shared" si="322"/>
        <v>303.5</v>
      </c>
      <c r="F2147" s="266">
        <f t="shared" si="323"/>
        <v>116</v>
      </c>
      <c r="G2147" s="266">
        <v>60.0</v>
      </c>
      <c r="H2147" s="266">
        <v>2.0</v>
      </c>
      <c r="I2147" s="266">
        <v>1785.0</v>
      </c>
      <c r="J2147" s="266">
        <v>19.0</v>
      </c>
      <c r="K2147" s="266">
        <v>370.0</v>
      </c>
      <c r="L2147" s="266" t="s">
        <v>3734</v>
      </c>
      <c r="M2147" s="266">
        <v>3.0</v>
      </c>
      <c r="N2147" s="266">
        <v>3.0</v>
      </c>
      <c r="O2147" s="266">
        <v>1.0</v>
      </c>
      <c r="P2147" s="266" t="s">
        <v>166</v>
      </c>
      <c r="Q2147" s="266" t="s">
        <v>166</v>
      </c>
      <c r="R2147" s="497" t="s">
        <v>166</v>
      </c>
      <c r="S2147" s="497" t="s">
        <v>166</v>
      </c>
      <c r="T2147" s="494"/>
    </row>
    <row r="2148">
      <c r="A2148" s="494" t="s">
        <v>3401</v>
      </c>
      <c r="B2148" s="495" t="s">
        <v>4357</v>
      </c>
      <c r="C2148" s="452" t="s">
        <v>3575</v>
      </c>
      <c r="D2148" s="537" t="s">
        <v>4173</v>
      </c>
      <c r="E2148" s="266">
        <f t="shared" ref="E2148:E2152" si="324">323-12</f>
        <v>311</v>
      </c>
      <c r="F2148" s="266">
        <f t="shared" ref="F2148:F2152" si="325">158.5-15</f>
        <v>143.5</v>
      </c>
      <c r="G2148" s="266">
        <v>60.5</v>
      </c>
      <c r="H2148" s="266">
        <v>2.0</v>
      </c>
      <c r="I2148" s="266">
        <v>1710.0</v>
      </c>
      <c r="J2148" s="266">
        <v>19.0</v>
      </c>
      <c r="K2148" s="266">
        <v>320.0</v>
      </c>
      <c r="L2148" s="266" t="s">
        <v>3734</v>
      </c>
      <c r="M2148" s="266">
        <v>3.0</v>
      </c>
      <c r="N2148" s="266">
        <v>3.0</v>
      </c>
      <c r="O2148" s="266">
        <v>1.0</v>
      </c>
      <c r="P2148" s="266" t="s">
        <v>166</v>
      </c>
      <c r="Q2148" s="266" t="s">
        <v>166</v>
      </c>
      <c r="R2148" s="497" t="s">
        <v>166</v>
      </c>
      <c r="S2148" s="497" t="s">
        <v>166</v>
      </c>
      <c r="T2148" s="494"/>
    </row>
    <row r="2149">
      <c r="A2149" s="494" t="s">
        <v>3401</v>
      </c>
      <c r="B2149" s="495" t="s">
        <v>4357</v>
      </c>
      <c r="C2149" s="452" t="s">
        <v>3575</v>
      </c>
      <c r="D2149" s="537" t="s">
        <v>4174</v>
      </c>
      <c r="E2149" s="266">
        <f t="shared" si="324"/>
        <v>311</v>
      </c>
      <c r="F2149" s="266">
        <f t="shared" si="325"/>
        <v>143.5</v>
      </c>
      <c r="G2149" s="266">
        <v>60.5</v>
      </c>
      <c r="H2149" s="266">
        <v>2.0</v>
      </c>
      <c r="I2149" s="266">
        <v>1710.0</v>
      </c>
      <c r="J2149" s="266">
        <v>19.0</v>
      </c>
      <c r="K2149" s="266">
        <v>320.0</v>
      </c>
      <c r="L2149" s="266" t="s">
        <v>3734</v>
      </c>
      <c r="M2149" s="266">
        <v>3.0</v>
      </c>
      <c r="N2149" s="266">
        <v>3.0</v>
      </c>
      <c r="O2149" s="266">
        <v>1.0</v>
      </c>
      <c r="P2149" s="266" t="s">
        <v>166</v>
      </c>
      <c r="Q2149" s="266" t="s">
        <v>166</v>
      </c>
      <c r="R2149" s="497" t="s">
        <v>166</v>
      </c>
      <c r="S2149" s="497" t="s">
        <v>166</v>
      </c>
      <c r="T2149" s="494"/>
    </row>
    <row r="2150">
      <c r="A2150" s="494" t="s">
        <v>3401</v>
      </c>
      <c r="B2150" s="495" t="s">
        <v>4357</v>
      </c>
      <c r="C2150" s="452" t="s">
        <v>3575</v>
      </c>
      <c r="D2150" s="537" t="s">
        <v>3943</v>
      </c>
      <c r="E2150" s="266">
        <f t="shared" si="324"/>
        <v>311</v>
      </c>
      <c r="F2150" s="266">
        <f t="shared" si="325"/>
        <v>143.5</v>
      </c>
      <c r="G2150" s="266">
        <v>60.5</v>
      </c>
      <c r="H2150" s="266">
        <v>2.0</v>
      </c>
      <c r="I2150" s="266">
        <v>1800.0</v>
      </c>
      <c r="J2150" s="266">
        <v>19.0</v>
      </c>
      <c r="K2150" s="266">
        <v>370.0</v>
      </c>
      <c r="L2150" s="266" t="s">
        <v>3734</v>
      </c>
      <c r="M2150" s="266">
        <v>3.0</v>
      </c>
      <c r="N2150" s="266">
        <v>3.0</v>
      </c>
      <c r="O2150" s="266">
        <v>1.0</v>
      </c>
      <c r="P2150" s="266" t="s">
        <v>166</v>
      </c>
      <c r="Q2150" s="266" t="s">
        <v>166</v>
      </c>
      <c r="R2150" s="497" t="s">
        <v>166</v>
      </c>
      <c r="S2150" s="497" t="s">
        <v>166</v>
      </c>
      <c r="T2150" s="494"/>
    </row>
    <row r="2151">
      <c r="A2151" s="494" t="s">
        <v>3401</v>
      </c>
      <c r="B2151" s="495" t="s">
        <v>4357</v>
      </c>
      <c r="C2151" s="452" t="s">
        <v>3575</v>
      </c>
      <c r="D2151" s="537" t="s">
        <v>4175</v>
      </c>
      <c r="E2151" s="266">
        <f t="shared" si="324"/>
        <v>311</v>
      </c>
      <c r="F2151" s="266">
        <f t="shared" si="325"/>
        <v>143.5</v>
      </c>
      <c r="G2151" s="266">
        <v>60.5</v>
      </c>
      <c r="H2151" s="266">
        <v>2.0</v>
      </c>
      <c r="I2151" s="266">
        <v>1800.0</v>
      </c>
      <c r="J2151" s="266">
        <v>19.0</v>
      </c>
      <c r="K2151" s="266">
        <v>370.0</v>
      </c>
      <c r="L2151" s="266" t="s">
        <v>3734</v>
      </c>
      <c r="M2151" s="266">
        <v>3.0</v>
      </c>
      <c r="N2151" s="266">
        <v>3.0</v>
      </c>
      <c r="O2151" s="266">
        <v>1.0</v>
      </c>
      <c r="P2151" s="266" t="s">
        <v>166</v>
      </c>
      <c r="Q2151" s="266" t="s">
        <v>166</v>
      </c>
      <c r="R2151" s="497" t="s">
        <v>166</v>
      </c>
      <c r="S2151" s="497" t="s">
        <v>166</v>
      </c>
      <c r="T2151" s="494"/>
    </row>
    <row r="2152">
      <c r="A2152" s="494" t="s">
        <v>3401</v>
      </c>
      <c r="B2152" s="495" t="s">
        <v>4357</v>
      </c>
      <c r="C2152" s="452" t="s">
        <v>3575</v>
      </c>
      <c r="D2152" s="537" t="s">
        <v>3814</v>
      </c>
      <c r="E2152" s="266">
        <f t="shared" si="324"/>
        <v>311</v>
      </c>
      <c r="F2152" s="266">
        <f t="shared" si="325"/>
        <v>143.5</v>
      </c>
      <c r="G2152" s="266">
        <v>60.5</v>
      </c>
      <c r="H2152" s="266">
        <v>2.0</v>
      </c>
      <c r="I2152" s="266">
        <v>1905.0</v>
      </c>
      <c r="J2152" s="266">
        <v>19.0</v>
      </c>
      <c r="K2152" s="266">
        <v>370.0</v>
      </c>
      <c r="L2152" s="266" t="s">
        <v>3734</v>
      </c>
      <c r="M2152" s="266">
        <v>3.0</v>
      </c>
      <c r="N2152" s="266">
        <v>3.0</v>
      </c>
      <c r="O2152" s="266">
        <v>1.0</v>
      </c>
      <c r="P2152" s="266" t="s">
        <v>166</v>
      </c>
      <c r="Q2152" s="266" t="s">
        <v>166</v>
      </c>
      <c r="R2152" s="497" t="s">
        <v>166</v>
      </c>
      <c r="S2152" s="497" t="s">
        <v>166</v>
      </c>
      <c r="T2152" s="494"/>
    </row>
    <row r="2153">
      <c r="A2153" s="494" t="s">
        <v>3401</v>
      </c>
      <c r="B2153" s="495" t="s">
        <v>4357</v>
      </c>
      <c r="C2153" s="452" t="s">
        <v>3575</v>
      </c>
      <c r="D2153" s="537" t="s">
        <v>4057</v>
      </c>
      <c r="E2153" s="266">
        <f t="shared" ref="E2153:E2155" si="326">295-12</f>
        <v>283</v>
      </c>
      <c r="F2153" s="266">
        <f t="shared" ref="F2153:F2155" si="327">150-15</f>
        <v>135</v>
      </c>
      <c r="G2153" s="266">
        <v>42.0</v>
      </c>
      <c r="H2153" s="266">
        <v>2.0</v>
      </c>
      <c r="I2153" s="266">
        <v>1710.0</v>
      </c>
      <c r="J2153" s="266">
        <v>19.0</v>
      </c>
      <c r="K2153" s="266">
        <v>320.0</v>
      </c>
      <c r="L2153" s="266" t="s">
        <v>3734</v>
      </c>
      <c r="M2153" s="266" t="s">
        <v>166</v>
      </c>
      <c r="N2153" s="266">
        <v>3.0</v>
      </c>
      <c r="O2153" s="266">
        <v>1.0</v>
      </c>
      <c r="P2153" s="266" t="s">
        <v>166</v>
      </c>
      <c r="Q2153" s="266" t="s">
        <v>166</v>
      </c>
      <c r="R2153" s="266" t="s">
        <v>174</v>
      </c>
      <c r="S2153" s="497" t="s">
        <v>166</v>
      </c>
      <c r="T2153" s="494"/>
    </row>
    <row r="2154">
      <c r="A2154" s="494" t="s">
        <v>3401</v>
      </c>
      <c r="B2154" s="495" t="s">
        <v>4357</v>
      </c>
      <c r="C2154" s="452" t="s">
        <v>3575</v>
      </c>
      <c r="D2154" s="537" t="s">
        <v>3970</v>
      </c>
      <c r="E2154" s="266">
        <f t="shared" si="326"/>
        <v>283</v>
      </c>
      <c r="F2154" s="266">
        <f t="shared" si="327"/>
        <v>135</v>
      </c>
      <c r="G2154" s="266">
        <v>42.0</v>
      </c>
      <c r="H2154" s="266">
        <v>2.0</v>
      </c>
      <c r="I2154" s="266">
        <v>1785.0</v>
      </c>
      <c r="J2154" s="266">
        <v>19.0</v>
      </c>
      <c r="K2154" s="266">
        <v>370.0</v>
      </c>
      <c r="L2154" s="266" t="s">
        <v>3734</v>
      </c>
      <c r="M2154" s="266" t="s">
        <v>166</v>
      </c>
      <c r="N2154" s="266">
        <v>3.0</v>
      </c>
      <c r="O2154" s="266">
        <v>1.0</v>
      </c>
      <c r="P2154" s="266" t="s">
        <v>166</v>
      </c>
      <c r="Q2154" s="266" t="s">
        <v>166</v>
      </c>
      <c r="R2154" s="266" t="s">
        <v>174</v>
      </c>
      <c r="S2154" s="497" t="s">
        <v>166</v>
      </c>
      <c r="T2154" s="494"/>
    </row>
    <row r="2155">
      <c r="A2155" s="494" t="s">
        <v>3401</v>
      </c>
      <c r="B2155" s="495" t="s">
        <v>4357</v>
      </c>
      <c r="C2155" s="452" t="s">
        <v>3575</v>
      </c>
      <c r="D2155" s="537" t="s">
        <v>4360</v>
      </c>
      <c r="E2155" s="266">
        <f t="shared" si="326"/>
        <v>283</v>
      </c>
      <c r="F2155" s="266">
        <f t="shared" si="327"/>
        <v>135</v>
      </c>
      <c r="G2155" s="266">
        <v>42.0</v>
      </c>
      <c r="H2155" s="266">
        <v>2.0</v>
      </c>
      <c r="I2155" s="266">
        <v>1785.0</v>
      </c>
      <c r="J2155" s="266">
        <v>19.0</v>
      </c>
      <c r="K2155" s="266">
        <v>370.0</v>
      </c>
      <c r="L2155" s="266" t="s">
        <v>3734</v>
      </c>
      <c r="M2155" s="266" t="s">
        <v>166</v>
      </c>
      <c r="N2155" s="266">
        <v>3.0</v>
      </c>
      <c r="O2155" s="266">
        <v>1.0</v>
      </c>
      <c r="P2155" s="266" t="s">
        <v>166</v>
      </c>
      <c r="Q2155" s="266" t="s">
        <v>166</v>
      </c>
      <c r="R2155" s="266" t="s">
        <v>174</v>
      </c>
      <c r="S2155" s="497" t="s">
        <v>166</v>
      </c>
      <c r="T2155" s="494"/>
    </row>
    <row r="2156">
      <c r="A2156" s="494" t="s">
        <v>3401</v>
      </c>
      <c r="B2156" s="495" t="s">
        <v>4357</v>
      </c>
      <c r="C2156" s="174" t="s">
        <v>3405</v>
      </c>
      <c r="D2156" s="537" t="s">
        <v>4272</v>
      </c>
      <c r="E2156" s="266">
        <v>294.0</v>
      </c>
      <c r="F2156" s="266">
        <v>112.0</v>
      </c>
      <c r="G2156" s="266">
        <v>55.0</v>
      </c>
      <c r="H2156" s="266">
        <v>2.0</v>
      </c>
      <c r="I2156" s="266">
        <v>1710.0</v>
      </c>
      <c r="J2156" s="266">
        <v>19.0</v>
      </c>
      <c r="K2156" s="266">
        <v>320.0</v>
      </c>
      <c r="L2156" s="266" t="s">
        <v>3460</v>
      </c>
      <c r="M2156" s="266">
        <v>3.0</v>
      </c>
      <c r="N2156" s="266">
        <v>3.0</v>
      </c>
      <c r="O2156" s="266">
        <v>1.0</v>
      </c>
      <c r="P2156" s="266" t="s">
        <v>166</v>
      </c>
      <c r="Q2156" s="266" t="s">
        <v>166</v>
      </c>
      <c r="R2156" s="497" t="s">
        <v>166</v>
      </c>
      <c r="S2156" s="497" t="s">
        <v>166</v>
      </c>
      <c r="T2156" s="496"/>
    </row>
    <row r="2157">
      <c r="A2157" s="494" t="s">
        <v>3401</v>
      </c>
      <c r="B2157" s="495" t="s">
        <v>4357</v>
      </c>
      <c r="C2157" s="174" t="s">
        <v>3405</v>
      </c>
      <c r="D2157" s="537" t="s">
        <v>4273</v>
      </c>
      <c r="E2157" s="266">
        <v>294.0</v>
      </c>
      <c r="F2157" s="266">
        <v>112.0</v>
      </c>
      <c r="G2157" s="266">
        <v>55.0</v>
      </c>
      <c r="H2157" s="266">
        <v>2.0</v>
      </c>
      <c r="I2157" s="266">
        <v>1740.0</v>
      </c>
      <c r="J2157" s="266">
        <v>19.0</v>
      </c>
      <c r="K2157" s="266">
        <v>320.0</v>
      </c>
      <c r="L2157" s="266" t="s">
        <v>3460</v>
      </c>
      <c r="M2157" s="266">
        <v>3.0</v>
      </c>
      <c r="N2157" s="266">
        <v>3.0</v>
      </c>
      <c r="O2157" s="266">
        <v>1.0</v>
      </c>
      <c r="P2157" s="266" t="s">
        <v>166</v>
      </c>
      <c r="Q2157" s="266" t="s">
        <v>166</v>
      </c>
      <c r="R2157" s="497" t="s">
        <v>166</v>
      </c>
      <c r="S2157" s="497" t="s">
        <v>166</v>
      </c>
      <c r="T2157" s="496"/>
    </row>
    <row r="2158">
      <c r="A2158" s="494" t="s">
        <v>3401</v>
      </c>
      <c r="B2158" s="495" t="s">
        <v>4357</v>
      </c>
      <c r="C2158" s="174" t="s">
        <v>3405</v>
      </c>
      <c r="D2158" s="537" t="s">
        <v>4274</v>
      </c>
      <c r="E2158" s="266">
        <v>294.0</v>
      </c>
      <c r="F2158" s="266">
        <v>112.0</v>
      </c>
      <c r="G2158" s="266">
        <v>55.0</v>
      </c>
      <c r="H2158" s="266">
        <v>2.0</v>
      </c>
      <c r="I2158" s="266">
        <v>1740.0</v>
      </c>
      <c r="J2158" s="266">
        <v>19.0</v>
      </c>
      <c r="K2158" s="266">
        <v>320.0</v>
      </c>
      <c r="L2158" s="266" t="s">
        <v>3460</v>
      </c>
      <c r="M2158" s="266">
        <v>3.0</v>
      </c>
      <c r="N2158" s="266">
        <v>3.0</v>
      </c>
      <c r="O2158" s="266">
        <v>1.0</v>
      </c>
      <c r="P2158" s="266" t="s">
        <v>166</v>
      </c>
      <c r="Q2158" s="266" t="s">
        <v>166</v>
      </c>
      <c r="R2158" s="497" t="s">
        <v>166</v>
      </c>
      <c r="S2158" s="497" t="s">
        <v>166</v>
      </c>
      <c r="T2158" s="494"/>
    </row>
    <row r="2159">
      <c r="A2159" s="494" t="s">
        <v>3401</v>
      </c>
      <c r="B2159" s="495" t="s">
        <v>4357</v>
      </c>
      <c r="C2159" s="174" t="s">
        <v>3405</v>
      </c>
      <c r="D2159" s="537" t="s">
        <v>4275</v>
      </c>
      <c r="E2159" s="266">
        <v>304.0</v>
      </c>
      <c r="F2159" s="266">
        <v>136.0</v>
      </c>
      <c r="G2159" s="266">
        <v>60.0</v>
      </c>
      <c r="H2159" s="266">
        <v>2.0</v>
      </c>
      <c r="I2159" s="266">
        <v>1860.0</v>
      </c>
      <c r="J2159" s="266">
        <v>19.0</v>
      </c>
      <c r="K2159" s="266">
        <v>320.0</v>
      </c>
      <c r="L2159" s="266" t="s">
        <v>3734</v>
      </c>
      <c r="M2159" s="266">
        <v>3.0</v>
      </c>
      <c r="N2159" s="266">
        <v>3.0</v>
      </c>
      <c r="O2159" s="266">
        <v>1.0</v>
      </c>
      <c r="P2159" s="266" t="s">
        <v>166</v>
      </c>
      <c r="Q2159" s="266" t="s">
        <v>166</v>
      </c>
      <c r="R2159" s="497" t="s">
        <v>166</v>
      </c>
      <c r="S2159" s="497" t="s">
        <v>166</v>
      </c>
      <c r="T2159" s="496"/>
    </row>
    <row r="2160">
      <c r="A2160" s="494" t="s">
        <v>3401</v>
      </c>
      <c r="B2160" s="495" t="s">
        <v>4357</v>
      </c>
      <c r="C2160" s="174" t="s">
        <v>3405</v>
      </c>
      <c r="D2160" s="537" t="s">
        <v>3947</v>
      </c>
      <c r="E2160" s="266">
        <v>304.0</v>
      </c>
      <c r="F2160" s="266">
        <v>136.0</v>
      </c>
      <c r="G2160" s="266">
        <v>60.0</v>
      </c>
      <c r="H2160" s="266">
        <v>2.0</v>
      </c>
      <c r="I2160" s="266">
        <v>1860.0</v>
      </c>
      <c r="J2160" s="266">
        <v>19.0</v>
      </c>
      <c r="K2160" s="266">
        <v>320.0</v>
      </c>
      <c r="L2160" s="266" t="s">
        <v>3734</v>
      </c>
      <c r="M2160" s="266">
        <v>3.0</v>
      </c>
      <c r="N2160" s="266">
        <v>3.0</v>
      </c>
      <c r="O2160" s="266">
        <v>1.0</v>
      </c>
      <c r="P2160" s="266" t="s">
        <v>166</v>
      </c>
      <c r="Q2160" s="266" t="s">
        <v>166</v>
      </c>
      <c r="R2160" s="497" t="s">
        <v>166</v>
      </c>
      <c r="S2160" s="497" t="s">
        <v>166</v>
      </c>
      <c r="T2160" s="496"/>
    </row>
    <row r="2161">
      <c r="A2161" s="494" t="s">
        <v>3401</v>
      </c>
      <c r="B2161" s="495" t="s">
        <v>4357</v>
      </c>
      <c r="C2161" s="174" t="s">
        <v>3405</v>
      </c>
      <c r="D2161" s="537" t="s">
        <v>4361</v>
      </c>
      <c r="E2161" s="266">
        <v>304.0</v>
      </c>
      <c r="F2161" s="266">
        <v>136.0</v>
      </c>
      <c r="G2161" s="266">
        <v>60.0</v>
      </c>
      <c r="H2161" s="266">
        <v>2.0</v>
      </c>
      <c r="I2161" s="266">
        <v>1860.0</v>
      </c>
      <c r="J2161" s="266">
        <v>19.0</v>
      </c>
      <c r="K2161" s="266">
        <v>320.0</v>
      </c>
      <c r="L2161" s="266" t="s">
        <v>3734</v>
      </c>
      <c r="M2161" s="266">
        <v>3.0</v>
      </c>
      <c r="N2161" s="266">
        <v>3.0</v>
      </c>
      <c r="O2161" s="266">
        <v>1.0</v>
      </c>
      <c r="P2161" s="266" t="s">
        <v>166</v>
      </c>
      <c r="Q2161" s="266" t="s">
        <v>166</v>
      </c>
      <c r="R2161" s="497" t="s">
        <v>166</v>
      </c>
      <c r="S2161" s="497" t="s">
        <v>166</v>
      </c>
      <c r="T2161" s="494"/>
    </row>
    <row r="2162">
      <c r="A2162" s="494" t="s">
        <v>3401</v>
      </c>
      <c r="B2162" s="495" t="s">
        <v>4357</v>
      </c>
      <c r="C2162" s="174" t="s">
        <v>3405</v>
      </c>
      <c r="D2162" s="537" t="s">
        <v>3950</v>
      </c>
      <c r="E2162" s="266">
        <v>304.0</v>
      </c>
      <c r="F2162" s="266">
        <v>136.0</v>
      </c>
      <c r="G2162" s="266">
        <v>60.0</v>
      </c>
      <c r="H2162" s="266">
        <v>2.0</v>
      </c>
      <c r="I2162" s="266">
        <v>1710.0</v>
      </c>
      <c r="J2162" s="266">
        <v>19.0</v>
      </c>
      <c r="K2162" s="266">
        <v>320.0</v>
      </c>
      <c r="L2162" s="266" t="s">
        <v>3734</v>
      </c>
      <c r="M2162" s="266">
        <v>3.0</v>
      </c>
      <c r="N2162" s="266">
        <v>3.0</v>
      </c>
      <c r="O2162" s="266">
        <v>1.0</v>
      </c>
      <c r="P2162" s="266" t="s">
        <v>166</v>
      </c>
      <c r="Q2162" s="266" t="s">
        <v>166</v>
      </c>
      <c r="R2162" s="497" t="s">
        <v>166</v>
      </c>
      <c r="S2162" s="497" t="s">
        <v>166</v>
      </c>
      <c r="T2162" s="496"/>
    </row>
    <row r="2163">
      <c r="A2163" s="494" t="s">
        <v>3401</v>
      </c>
      <c r="B2163" s="495" t="s">
        <v>4357</v>
      </c>
      <c r="C2163" s="174" t="s">
        <v>3405</v>
      </c>
      <c r="D2163" s="537" t="s">
        <v>3951</v>
      </c>
      <c r="E2163" s="266">
        <v>304.0</v>
      </c>
      <c r="F2163" s="266">
        <v>136.0</v>
      </c>
      <c r="G2163" s="266">
        <v>60.0</v>
      </c>
      <c r="H2163" s="266">
        <v>2.0</v>
      </c>
      <c r="I2163" s="266">
        <v>1860.0</v>
      </c>
      <c r="J2163" s="266">
        <v>19.0</v>
      </c>
      <c r="K2163" s="266">
        <v>320.0</v>
      </c>
      <c r="L2163" s="266" t="s">
        <v>3734</v>
      </c>
      <c r="M2163" s="266">
        <v>3.0</v>
      </c>
      <c r="N2163" s="266">
        <v>3.0</v>
      </c>
      <c r="O2163" s="266">
        <v>1.0</v>
      </c>
      <c r="P2163" s="266" t="s">
        <v>166</v>
      </c>
      <c r="Q2163" s="266" t="s">
        <v>166</v>
      </c>
      <c r="R2163" s="497" t="s">
        <v>166</v>
      </c>
      <c r="S2163" s="497" t="s">
        <v>166</v>
      </c>
      <c r="T2163" s="496"/>
    </row>
    <row r="2164">
      <c r="A2164" s="494" t="s">
        <v>3401</v>
      </c>
      <c r="B2164" s="495" t="s">
        <v>4357</v>
      </c>
      <c r="C2164" s="174" t="str">
        <f t="shared" ref="C2164:C2180" si="328">HYPERLINK("https://www.evga.com/","EVGA")</f>
        <v>EVGA</v>
      </c>
      <c r="D2164" s="537" t="s">
        <v>4362</v>
      </c>
      <c r="E2164" s="266">
        <v>285.37</v>
      </c>
      <c r="F2164" s="266">
        <v>111.15</v>
      </c>
      <c r="G2164" s="266">
        <v>40.9</v>
      </c>
      <c r="H2164" s="266">
        <v>2.0</v>
      </c>
      <c r="I2164" s="266">
        <v>1710.0</v>
      </c>
      <c r="J2164" s="266">
        <v>19.0</v>
      </c>
      <c r="K2164" s="266">
        <v>340.0</v>
      </c>
      <c r="L2164" s="266" t="s">
        <v>3460</v>
      </c>
      <c r="M2164" s="266">
        <v>3.0</v>
      </c>
      <c r="N2164" s="266">
        <v>3.0</v>
      </c>
      <c r="O2164" s="266">
        <v>1.0</v>
      </c>
      <c r="P2164" s="266" t="s">
        <v>166</v>
      </c>
      <c r="Q2164" s="266" t="s">
        <v>166</v>
      </c>
      <c r="R2164" s="497" t="s">
        <v>166</v>
      </c>
      <c r="S2164" s="497" t="s">
        <v>166</v>
      </c>
      <c r="T2164" s="496"/>
    </row>
    <row r="2165">
      <c r="A2165" s="494" t="s">
        <v>3401</v>
      </c>
      <c r="B2165" s="495" t="s">
        <v>4357</v>
      </c>
      <c r="C2165" s="174" t="str">
        <f t="shared" si="328"/>
        <v>EVGA</v>
      </c>
      <c r="D2165" s="628" t="s">
        <v>4363</v>
      </c>
      <c r="E2165" s="266">
        <v>285.37</v>
      </c>
      <c r="F2165" s="266">
        <v>111.15</v>
      </c>
      <c r="G2165" s="266">
        <v>40.9</v>
      </c>
      <c r="H2165" s="266">
        <v>2.0</v>
      </c>
      <c r="I2165" s="266">
        <v>1710.0</v>
      </c>
      <c r="J2165" s="266">
        <v>19.0</v>
      </c>
      <c r="K2165" s="266">
        <v>340.0</v>
      </c>
      <c r="L2165" s="266" t="s">
        <v>3460</v>
      </c>
      <c r="M2165" s="266">
        <v>3.0</v>
      </c>
      <c r="N2165" s="266">
        <v>3.0</v>
      </c>
      <c r="O2165" s="266">
        <v>1.0</v>
      </c>
      <c r="P2165" s="266" t="s">
        <v>166</v>
      </c>
      <c r="Q2165" s="266" t="s">
        <v>166</v>
      </c>
      <c r="R2165" s="497" t="s">
        <v>166</v>
      </c>
      <c r="S2165" s="497" t="s">
        <v>166</v>
      </c>
      <c r="T2165" s="494"/>
    </row>
    <row r="2166">
      <c r="A2166" s="494" t="s">
        <v>3401</v>
      </c>
      <c r="B2166" s="495" t="s">
        <v>4357</v>
      </c>
      <c r="C2166" s="174" t="str">
        <f t="shared" si="328"/>
        <v>EVGA</v>
      </c>
      <c r="D2166" s="537" t="s">
        <v>4364</v>
      </c>
      <c r="E2166" s="266">
        <v>285.37</v>
      </c>
      <c r="F2166" s="266">
        <v>111.15</v>
      </c>
      <c r="G2166" s="266">
        <v>45.9</v>
      </c>
      <c r="H2166" s="266">
        <v>2.0</v>
      </c>
      <c r="I2166" s="266">
        <v>1710.0</v>
      </c>
      <c r="J2166" s="266">
        <v>19.0</v>
      </c>
      <c r="K2166" s="266">
        <v>340.0</v>
      </c>
      <c r="L2166" s="266" t="s">
        <v>3460</v>
      </c>
      <c r="M2166" s="266">
        <v>3.0</v>
      </c>
      <c r="N2166" s="266">
        <v>3.0</v>
      </c>
      <c r="O2166" s="266">
        <v>1.0</v>
      </c>
      <c r="P2166" s="266" t="s">
        <v>166</v>
      </c>
      <c r="Q2166" s="266" t="s">
        <v>166</v>
      </c>
      <c r="R2166" s="497" t="s">
        <v>166</v>
      </c>
      <c r="S2166" s="497" t="s">
        <v>166</v>
      </c>
      <c r="T2166" s="496"/>
    </row>
    <row r="2167">
      <c r="A2167" s="494" t="s">
        <v>3401</v>
      </c>
      <c r="B2167" s="495" t="s">
        <v>4357</v>
      </c>
      <c r="C2167" s="174" t="str">
        <f t="shared" si="328"/>
        <v>EVGA</v>
      </c>
      <c r="D2167" s="628" t="s">
        <v>4365</v>
      </c>
      <c r="E2167" s="266">
        <v>285.37</v>
      </c>
      <c r="F2167" s="266">
        <v>111.15</v>
      </c>
      <c r="G2167" s="266">
        <v>45.9</v>
      </c>
      <c r="H2167" s="266">
        <v>2.0</v>
      </c>
      <c r="I2167" s="266">
        <v>1710.0</v>
      </c>
      <c r="J2167" s="266">
        <v>19.0</v>
      </c>
      <c r="K2167" s="266">
        <v>340.0</v>
      </c>
      <c r="L2167" s="266" t="s">
        <v>3460</v>
      </c>
      <c r="M2167" s="266">
        <v>3.0</v>
      </c>
      <c r="N2167" s="266">
        <v>3.0</v>
      </c>
      <c r="O2167" s="266">
        <v>1.0</v>
      </c>
      <c r="P2167" s="266" t="s">
        <v>166</v>
      </c>
      <c r="Q2167" s="266" t="s">
        <v>166</v>
      </c>
      <c r="R2167" s="497" t="s">
        <v>166</v>
      </c>
      <c r="S2167" s="497" t="s">
        <v>166</v>
      </c>
      <c r="T2167" s="494"/>
    </row>
    <row r="2168">
      <c r="A2168" s="494" t="s">
        <v>3401</v>
      </c>
      <c r="B2168" s="495" t="s">
        <v>4357</v>
      </c>
      <c r="C2168" s="174" t="str">
        <f t="shared" si="328"/>
        <v>EVGA</v>
      </c>
      <c r="D2168" s="537" t="s">
        <v>4366</v>
      </c>
      <c r="E2168" s="266">
        <v>285.37</v>
      </c>
      <c r="F2168" s="266">
        <v>111.15</v>
      </c>
      <c r="G2168" s="266">
        <v>45.9</v>
      </c>
      <c r="H2168" s="266">
        <v>2.0</v>
      </c>
      <c r="I2168" s="266">
        <v>1755.0</v>
      </c>
      <c r="J2168" s="266">
        <v>19.0</v>
      </c>
      <c r="K2168" s="266">
        <v>340.0</v>
      </c>
      <c r="L2168" s="266" t="s">
        <v>3460</v>
      </c>
      <c r="M2168" s="266">
        <v>3.0</v>
      </c>
      <c r="N2168" s="266">
        <v>3.0</v>
      </c>
      <c r="O2168" s="266">
        <v>1.0</v>
      </c>
      <c r="P2168" s="266" t="s">
        <v>166</v>
      </c>
      <c r="Q2168" s="266" t="s">
        <v>166</v>
      </c>
      <c r="R2168" s="497" t="s">
        <v>166</v>
      </c>
      <c r="S2168" s="497" t="s">
        <v>166</v>
      </c>
      <c r="T2168" s="496"/>
    </row>
    <row r="2169">
      <c r="A2169" s="494" t="s">
        <v>3401</v>
      </c>
      <c r="B2169" s="495" t="s">
        <v>4357</v>
      </c>
      <c r="C2169" s="174" t="str">
        <f t="shared" si="328"/>
        <v>EVGA</v>
      </c>
      <c r="D2169" s="628" t="s">
        <v>4367</v>
      </c>
      <c r="E2169" s="266">
        <v>285.37</v>
      </c>
      <c r="F2169" s="266">
        <v>111.15</v>
      </c>
      <c r="G2169" s="266">
        <v>45.9</v>
      </c>
      <c r="H2169" s="266">
        <v>2.0</v>
      </c>
      <c r="I2169" s="266">
        <v>1755.0</v>
      </c>
      <c r="J2169" s="266">
        <v>19.0</v>
      </c>
      <c r="K2169" s="266">
        <v>340.0</v>
      </c>
      <c r="L2169" s="266" t="s">
        <v>3460</v>
      </c>
      <c r="M2169" s="266">
        <v>3.0</v>
      </c>
      <c r="N2169" s="266">
        <v>3.0</v>
      </c>
      <c r="O2169" s="266">
        <v>1.0</v>
      </c>
      <c r="P2169" s="266" t="s">
        <v>166</v>
      </c>
      <c r="Q2169" s="266" t="s">
        <v>166</v>
      </c>
      <c r="R2169" s="497" t="s">
        <v>166</v>
      </c>
      <c r="S2169" s="497" t="s">
        <v>166</v>
      </c>
      <c r="T2169" s="494"/>
    </row>
    <row r="2170">
      <c r="A2170" s="494" t="s">
        <v>3401</v>
      </c>
      <c r="B2170" s="495" t="s">
        <v>4357</v>
      </c>
      <c r="C2170" s="174" t="str">
        <f t="shared" si="328"/>
        <v>EVGA</v>
      </c>
      <c r="D2170" s="537" t="s">
        <v>4368</v>
      </c>
      <c r="E2170" s="266">
        <v>300.0</v>
      </c>
      <c r="F2170" s="266">
        <v>136.75</v>
      </c>
      <c r="G2170" s="266">
        <v>56.35</v>
      </c>
      <c r="H2170" s="266">
        <v>2.0</v>
      </c>
      <c r="I2170" s="266">
        <v>1755.0</v>
      </c>
      <c r="J2170" s="266">
        <v>19.0</v>
      </c>
      <c r="K2170" s="266">
        <v>380.0</v>
      </c>
      <c r="L2170" s="266" t="s">
        <v>3734</v>
      </c>
      <c r="M2170" s="266">
        <v>3.0</v>
      </c>
      <c r="N2170" s="266">
        <v>3.0</v>
      </c>
      <c r="O2170" s="266">
        <v>1.0</v>
      </c>
      <c r="P2170" s="266" t="s">
        <v>166</v>
      </c>
      <c r="Q2170" s="266" t="s">
        <v>166</v>
      </c>
      <c r="R2170" s="497" t="s">
        <v>166</v>
      </c>
      <c r="S2170" s="497" t="s">
        <v>166</v>
      </c>
      <c r="T2170" s="496"/>
    </row>
    <row r="2171">
      <c r="A2171" s="494" t="s">
        <v>3401</v>
      </c>
      <c r="B2171" s="495" t="s">
        <v>4357</v>
      </c>
      <c r="C2171" s="174" t="str">
        <f t="shared" si="328"/>
        <v>EVGA</v>
      </c>
      <c r="D2171" s="628" t="s">
        <v>4369</v>
      </c>
      <c r="E2171" s="266">
        <v>300.0</v>
      </c>
      <c r="F2171" s="266">
        <v>136.75</v>
      </c>
      <c r="G2171" s="266">
        <v>56.35</v>
      </c>
      <c r="H2171" s="266">
        <v>2.0</v>
      </c>
      <c r="I2171" s="266">
        <v>1755.0</v>
      </c>
      <c r="J2171" s="266">
        <v>19.0</v>
      </c>
      <c r="K2171" s="266">
        <v>380.0</v>
      </c>
      <c r="L2171" s="266" t="s">
        <v>3734</v>
      </c>
      <c r="M2171" s="266">
        <v>3.0</v>
      </c>
      <c r="N2171" s="266">
        <v>3.0</v>
      </c>
      <c r="O2171" s="266">
        <v>1.0</v>
      </c>
      <c r="P2171" s="266" t="s">
        <v>166</v>
      </c>
      <c r="Q2171" s="266" t="s">
        <v>166</v>
      </c>
      <c r="R2171" s="497" t="s">
        <v>166</v>
      </c>
      <c r="S2171" s="497" t="s">
        <v>166</v>
      </c>
      <c r="T2171" s="494"/>
    </row>
    <row r="2172">
      <c r="A2172" s="494" t="s">
        <v>3401</v>
      </c>
      <c r="B2172" s="495" t="s">
        <v>4357</v>
      </c>
      <c r="C2172" s="174" t="str">
        <f t="shared" si="328"/>
        <v>EVGA</v>
      </c>
      <c r="D2172" s="537" t="s">
        <v>4370</v>
      </c>
      <c r="E2172" s="266">
        <v>300.0</v>
      </c>
      <c r="F2172" s="266">
        <v>136.75</v>
      </c>
      <c r="G2172" s="266">
        <v>56.35</v>
      </c>
      <c r="H2172" s="266">
        <v>2.0</v>
      </c>
      <c r="I2172" s="266">
        <v>1800.0</v>
      </c>
      <c r="J2172" s="266">
        <v>19.0</v>
      </c>
      <c r="K2172" s="266">
        <v>380.0</v>
      </c>
      <c r="L2172" s="266" t="s">
        <v>3734</v>
      </c>
      <c r="M2172" s="266">
        <v>3.0</v>
      </c>
      <c r="N2172" s="266">
        <v>3.0</v>
      </c>
      <c r="O2172" s="266">
        <v>1.0</v>
      </c>
      <c r="P2172" s="266" t="s">
        <v>166</v>
      </c>
      <c r="Q2172" s="266" t="s">
        <v>166</v>
      </c>
      <c r="R2172" s="497" t="s">
        <v>166</v>
      </c>
      <c r="S2172" s="497" t="s">
        <v>166</v>
      </c>
      <c r="T2172" s="496"/>
    </row>
    <row r="2173">
      <c r="A2173" s="494" t="s">
        <v>3401</v>
      </c>
      <c r="B2173" s="495" t="s">
        <v>4357</v>
      </c>
      <c r="C2173" s="174" t="str">
        <f t="shared" si="328"/>
        <v>EVGA</v>
      </c>
      <c r="D2173" s="537" t="s">
        <v>4371</v>
      </c>
      <c r="E2173" s="266">
        <v>300.0</v>
      </c>
      <c r="F2173" s="266">
        <v>136.75</v>
      </c>
      <c r="G2173" s="266">
        <v>56.35</v>
      </c>
      <c r="H2173" s="266">
        <v>2.0</v>
      </c>
      <c r="I2173" s="266">
        <v>1800.0</v>
      </c>
      <c r="J2173" s="266">
        <v>19.0</v>
      </c>
      <c r="K2173" s="266">
        <v>380.0</v>
      </c>
      <c r="L2173" s="266" t="s">
        <v>3734</v>
      </c>
      <c r="M2173" s="266">
        <v>3.0</v>
      </c>
      <c r="N2173" s="266">
        <v>3.0</v>
      </c>
      <c r="O2173" s="266">
        <v>1.0</v>
      </c>
      <c r="P2173" s="266" t="s">
        <v>166</v>
      </c>
      <c r="Q2173" s="266" t="s">
        <v>166</v>
      </c>
      <c r="R2173" s="497" t="s">
        <v>166</v>
      </c>
      <c r="S2173" s="497" t="s">
        <v>166</v>
      </c>
      <c r="T2173" s="494"/>
    </row>
    <row r="2174">
      <c r="A2174" s="494" t="s">
        <v>3401</v>
      </c>
      <c r="B2174" s="495" t="s">
        <v>4357</v>
      </c>
      <c r="C2174" s="174" t="str">
        <f t="shared" si="328"/>
        <v>EVGA</v>
      </c>
      <c r="D2174" s="537" t="s">
        <v>4372</v>
      </c>
      <c r="E2174" s="266">
        <v>262.8</v>
      </c>
      <c r="F2174" s="266">
        <v>112.1</v>
      </c>
      <c r="G2174" s="266">
        <v>40.0</v>
      </c>
      <c r="H2174" s="266">
        <v>2.0</v>
      </c>
      <c r="I2174" s="266">
        <v>1755.0</v>
      </c>
      <c r="J2174" s="266">
        <v>19.0</v>
      </c>
      <c r="K2174" s="266">
        <v>340.0</v>
      </c>
      <c r="L2174" s="266" t="s">
        <v>3460</v>
      </c>
      <c r="M2174" s="266">
        <v>1.0</v>
      </c>
      <c r="N2174" s="266">
        <v>3.0</v>
      </c>
      <c r="O2174" s="266">
        <v>1.0</v>
      </c>
      <c r="P2174" s="266" t="s">
        <v>166</v>
      </c>
      <c r="Q2174" s="266" t="s">
        <v>166</v>
      </c>
      <c r="R2174" s="266" t="s">
        <v>174</v>
      </c>
      <c r="S2174" s="497" t="s">
        <v>166</v>
      </c>
      <c r="T2174" s="494"/>
    </row>
    <row r="2175">
      <c r="A2175" s="494" t="s">
        <v>3401</v>
      </c>
      <c r="B2175" s="495" t="s">
        <v>4357</v>
      </c>
      <c r="C2175" s="174" t="str">
        <f t="shared" si="328"/>
        <v>EVGA</v>
      </c>
      <c r="D2175" s="628" t="s">
        <v>4373</v>
      </c>
      <c r="E2175" s="266">
        <v>262.8</v>
      </c>
      <c r="F2175" s="266">
        <v>112.1</v>
      </c>
      <c r="G2175" s="266">
        <v>40.0</v>
      </c>
      <c r="H2175" s="266">
        <v>2.0</v>
      </c>
      <c r="I2175" s="266">
        <v>1755.0</v>
      </c>
      <c r="J2175" s="266">
        <v>19.0</v>
      </c>
      <c r="K2175" s="266">
        <v>340.0</v>
      </c>
      <c r="L2175" s="266" t="s">
        <v>3460</v>
      </c>
      <c r="M2175" s="266">
        <v>1.0</v>
      </c>
      <c r="N2175" s="266">
        <v>3.0</v>
      </c>
      <c r="O2175" s="266">
        <v>1.0</v>
      </c>
      <c r="P2175" s="266" t="s">
        <v>166</v>
      </c>
      <c r="Q2175" s="266" t="s">
        <v>166</v>
      </c>
      <c r="R2175" s="266" t="s">
        <v>174</v>
      </c>
      <c r="S2175" s="497" t="s">
        <v>166</v>
      </c>
      <c r="T2175" s="494"/>
    </row>
    <row r="2176">
      <c r="A2176" s="494" t="s">
        <v>3401</v>
      </c>
      <c r="B2176" s="495" t="s">
        <v>4357</v>
      </c>
      <c r="C2176" s="174" t="str">
        <f t="shared" si="328"/>
        <v>EVGA</v>
      </c>
      <c r="D2176" s="537" t="s">
        <v>4374</v>
      </c>
      <c r="E2176" s="266">
        <v>288.9</v>
      </c>
      <c r="F2176" s="266">
        <v>137.8</v>
      </c>
      <c r="G2176" s="266">
        <v>40.0</v>
      </c>
      <c r="H2176" s="266">
        <v>2.0</v>
      </c>
      <c r="I2176" s="266">
        <v>1800.0</v>
      </c>
      <c r="J2176" s="266">
        <v>19.0</v>
      </c>
      <c r="K2176" s="266">
        <v>380.0</v>
      </c>
      <c r="L2176" s="266" t="s">
        <v>3734</v>
      </c>
      <c r="M2176" s="266">
        <v>1.0</v>
      </c>
      <c r="N2176" s="266">
        <v>3.0</v>
      </c>
      <c r="O2176" s="266">
        <v>1.0</v>
      </c>
      <c r="P2176" s="266" t="s">
        <v>166</v>
      </c>
      <c r="Q2176" s="266" t="s">
        <v>166</v>
      </c>
      <c r="R2176" s="266" t="s">
        <v>174</v>
      </c>
      <c r="S2176" s="497" t="s">
        <v>166</v>
      </c>
      <c r="T2176" s="494"/>
    </row>
    <row r="2177">
      <c r="A2177" s="494" t="s">
        <v>3401</v>
      </c>
      <c r="B2177" s="495" t="s">
        <v>4357</v>
      </c>
      <c r="C2177" s="174" t="str">
        <f t="shared" si="328"/>
        <v>EVGA</v>
      </c>
      <c r="D2177" s="628" t="s">
        <v>4375</v>
      </c>
      <c r="E2177" s="266">
        <v>288.9</v>
      </c>
      <c r="F2177" s="266">
        <v>137.8</v>
      </c>
      <c r="G2177" s="266">
        <v>40.0</v>
      </c>
      <c r="H2177" s="266">
        <v>2.0</v>
      </c>
      <c r="I2177" s="266">
        <v>1800.0</v>
      </c>
      <c r="J2177" s="266">
        <v>19.0</v>
      </c>
      <c r="K2177" s="266">
        <v>380.0</v>
      </c>
      <c r="L2177" s="266" t="s">
        <v>3734</v>
      </c>
      <c r="M2177" s="266">
        <v>1.0</v>
      </c>
      <c r="N2177" s="266">
        <v>3.0</v>
      </c>
      <c r="O2177" s="266">
        <v>1.0</v>
      </c>
      <c r="P2177" s="266" t="s">
        <v>166</v>
      </c>
      <c r="Q2177" s="266" t="s">
        <v>166</v>
      </c>
      <c r="R2177" s="266" t="s">
        <v>174</v>
      </c>
      <c r="S2177" s="497" t="s">
        <v>166</v>
      </c>
      <c r="T2177" s="494"/>
    </row>
    <row r="2178">
      <c r="A2178" s="494" t="s">
        <v>3401</v>
      </c>
      <c r="B2178" s="495" t="s">
        <v>4357</v>
      </c>
      <c r="C2178" s="174" t="str">
        <f t="shared" si="328"/>
        <v>EVGA</v>
      </c>
      <c r="D2178" s="537" t="s">
        <v>4376</v>
      </c>
      <c r="E2178" s="266">
        <v>262.8</v>
      </c>
      <c r="F2178" s="266">
        <v>132.1</v>
      </c>
      <c r="G2178" s="266">
        <v>24.0</v>
      </c>
      <c r="H2178" s="266">
        <v>2.0</v>
      </c>
      <c r="I2178" s="266">
        <v>1755.0</v>
      </c>
      <c r="J2178" s="266">
        <v>19.0</v>
      </c>
      <c r="K2178" s="266">
        <v>340.0</v>
      </c>
      <c r="L2178" s="266" t="s">
        <v>3460</v>
      </c>
      <c r="M2178" s="266" t="s">
        <v>166</v>
      </c>
      <c r="N2178" s="266">
        <v>3.0</v>
      </c>
      <c r="O2178" s="266">
        <v>1.0</v>
      </c>
      <c r="P2178" s="266" t="s">
        <v>166</v>
      </c>
      <c r="Q2178" s="266" t="s">
        <v>166</v>
      </c>
      <c r="R2178" s="266" t="s">
        <v>174</v>
      </c>
      <c r="S2178" s="497" t="s">
        <v>166</v>
      </c>
      <c r="T2178" s="494"/>
    </row>
    <row r="2179">
      <c r="A2179" s="494" t="s">
        <v>3401</v>
      </c>
      <c r="B2179" s="495" t="s">
        <v>4357</v>
      </c>
      <c r="C2179" s="174" t="str">
        <f t="shared" si="328"/>
        <v>EVGA</v>
      </c>
      <c r="D2179" s="537" t="s">
        <v>4377</v>
      </c>
      <c r="E2179" s="266">
        <v>288.9</v>
      </c>
      <c r="F2179" s="266">
        <v>157.3</v>
      </c>
      <c r="G2179" s="266">
        <v>24.0</v>
      </c>
      <c r="H2179" s="266">
        <v>2.0</v>
      </c>
      <c r="I2179" s="266">
        <v>1800.0</v>
      </c>
      <c r="J2179" s="266">
        <v>19.0</v>
      </c>
      <c r="K2179" s="266">
        <v>380.0</v>
      </c>
      <c r="L2179" s="266" t="s">
        <v>3734</v>
      </c>
      <c r="M2179" s="266" t="s">
        <v>166</v>
      </c>
      <c r="N2179" s="266">
        <v>3.0</v>
      </c>
      <c r="O2179" s="266">
        <v>1.0</v>
      </c>
      <c r="P2179" s="266" t="s">
        <v>166</v>
      </c>
      <c r="Q2179" s="266" t="s">
        <v>166</v>
      </c>
      <c r="R2179" s="266" t="s">
        <v>174</v>
      </c>
      <c r="S2179" s="497" t="s">
        <v>166</v>
      </c>
      <c r="T2179" s="494"/>
    </row>
    <row r="2180">
      <c r="A2180" s="494" t="s">
        <v>3401</v>
      </c>
      <c r="B2180" s="495" t="s">
        <v>4357</v>
      </c>
      <c r="C2180" s="174" t="str">
        <f t="shared" si="328"/>
        <v>EVGA</v>
      </c>
      <c r="D2180" s="628" t="s">
        <v>4378</v>
      </c>
      <c r="E2180" s="266">
        <v>288.9</v>
      </c>
      <c r="F2180" s="266">
        <v>157.3</v>
      </c>
      <c r="G2180" s="266">
        <v>24.0</v>
      </c>
      <c r="H2180" s="266">
        <v>2.0</v>
      </c>
      <c r="I2180" s="266">
        <v>1800.0</v>
      </c>
      <c r="J2180" s="266">
        <v>19.0</v>
      </c>
      <c r="K2180" s="266">
        <v>380.0</v>
      </c>
      <c r="L2180" s="266" t="s">
        <v>3734</v>
      </c>
      <c r="M2180" s="266" t="s">
        <v>166</v>
      </c>
      <c r="N2180" s="266">
        <v>3.0</v>
      </c>
      <c r="O2180" s="266">
        <v>1.0</v>
      </c>
      <c r="P2180" s="266" t="s">
        <v>166</v>
      </c>
      <c r="Q2180" s="266" t="s">
        <v>166</v>
      </c>
      <c r="R2180" s="266" t="s">
        <v>174</v>
      </c>
      <c r="S2180" s="497" t="s">
        <v>166</v>
      </c>
      <c r="T2180" s="494"/>
    </row>
    <row r="2181">
      <c r="A2181" s="494" t="s">
        <v>3401</v>
      </c>
      <c r="B2181" s="495" t="s">
        <v>4357</v>
      </c>
      <c r="C2181" s="452" t="str">
        <f t="shared" ref="C2181:C2202" si="329">HYPERLINK("http://www.gainward.com/main/index.php?lang=en","Gainward")</f>
        <v>Gainward</v>
      </c>
      <c r="D2181" s="452" t="s">
        <v>3592</v>
      </c>
      <c r="E2181" s="266">
        <v>329.0</v>
      </c>
      <c r="F2181" s="266">
        <v>137.0</v>
      </c>
      <c r="G2181" s="266">
        <v>60.0</v>
      </c>
      <c r="H2181" s="266">
        <v>2.0</v>
      </c>
      <c r="I2181" s="266">
        <v>1710.0</v>
      </c>
      <c r="J2181" s="266">
        <v>19.0</v>
      </c>
      <c r="K2181" s="266">
        <v>320.0</v>
      </c>
      <c r="L2181" s="266" t="s">
        <v>3460</v>
      </c>
      <c r="M2181" s="266">
        <v>3.0</v>
      </c>
      <c r="N2181" s="266">
        <v>3.0</v>
      </c>
      <c r="O2181" s="266">
        <v>1.0</v>
      </c>
      <c r="P2181" s="266" t="s">
        <v>166</v>
      </c>
      <c r="Q2181" s="266" t="s">
        <v>166</v>
      </c>
      <c r="R2181" s="497" t="s">
        <v>166</v>
      </c>
      <c r="S2181" s="497" t="s">
        <v>166</v>
      </c>
      <c r="T2181" s="496"/>
    </row>
    <row r="2182">
      <c r="A2182" s="494" t="s">
        <v>3401</v>
      </c>
      <c r="B2182" s="495" t="s">
        <v>4357</v>
      </c>
      <c r="C2182" s="452" t="str">
        <f t="shared" si="329"/>
        <v>Gainward</v>
      </c>
      <c r="D2182" s="452" t="s">
        <v>4183</v>
      </c>
      <c r="E2182" s="266">
        <v>329.0</v>
      </c>
      <c r="F2182" s="266">
        <v>137.0</v>
      </c>
      <c r="G2182" s="266">
        <v>60.0</v>
      </c>
      <c r="H2182" s="266">
        <v>2.0</v>
      </c>
      <c r="I2182" s="266">
        <v>1710.0</v>
      </c>
      <c r="J2182" s="266">
        <v>19.0</v>
      </c>
      <c r="K2182" s="266">
        <v>320.0</v>
      </c>
      <c r="L2182" s="266" t="s">
        <v>3460</v>
      </c>
      <c r="M2182" s="266">
        <v>3.0</v>
      </c>
      <c r="N2182" s="266">
        <v>3.0</v>
      </c>
      <c r="O2182" s="266">
        <v>1.0</v>
      </c>
      <c r="P2182" s="266" t="s">
        <v>166</v>
      </c>
      <c r="Q2182" s="266" t="s">
        <v>166</v>
      </c>
      <c r="R2182" s="497" t="s">
        <v>166</v>
      </c>
      <c r="S2182" s="497" t="s">
        <v>166</v>
      </c>
      <c r="T2182" s="494"/>
    </row>
    <row r="2183">
      <c r="A2183" s="494" t="s">
        <v>3401</v>
      </c>
      <c r="B2183" s="495" t="s">
        <v>4357</v>
      </c>
      <c r="C2183" s="452" t="str">
        <f t="shared" si="329"/>
        <v>Gainward</v>
      </c>
      <c r="D2183" s="452" t="s">
        <v>4284</v>
      </c>
      <c r="E2183" s="266">
        <v>329.0</v>
      </c>
      <c r="F2183" s="266">
        <v>137.0</v>
      </c>
      <c r="G2183" s="266">
        <v>60.0</v>
      </c>
      <c r="H2183" s="266">
        <v>2.0</v>
      </c>
      <c r="I2183" s="266">
        <v>1710.0</v>
      </c>
      <c r="J2183" s="266">
        <v>19.0</v>
      </c>
      <c r="K2183" s="266">
        <v>320.0</v>
      </c>
      <c r="L2183" s="266" t="s">
        <v>3460</v>
      </c>
      <c r="M2183" s="266">
        <v>3.0</v>
      </c>
      <c r="N2183" s="266">
        <v>3.0</v>
      </c>
      <c r="O2183" s="266">
        <v>1.0</v>
      </c>
      <c r="P2183" s="266" t="s">
        <v>166</v>
      </c>
      <c r="Q2183" s="266" t="s">
        <v>166</v>
      </c>
      <c r="R2183" s="497" t="s">
        <v>166</v>
      </c>
      <c r="S2183" s="497" t="s">
        <v>166</v>
      </c>
      <c r="T2183" s="494"/>
    </row>
    <row r="2184">
      <c r="A2184" s="494" t="s">
        <v>3401</v>
      </c>
      <c r="B2184" s="495" t="s">
        <v>4357</v>
      </c>
      <c r="C2184" s="452" t="str">
        <f t="shared" si="329"/>
        <v>Gainward</v>
      </c>
      <c r="D2184" s="452" t="s">
        <v>4184</v>
      </c>
      <c r="E2184" s="266">
        <v>329.0</v>
      </c>
      <c r="F2184" s="266">
        <v>137.0</v>
      </c>
      <c r="G2184" s="266">
        <v>60.0</v>
      </c>
      <c r="H2184" s="266">
        <v>2.0</v>
      </c>
      <c r="I2184" s="266">
        <v>1710.0</v>
      </c>
      <c r="J2184" s="266">
        <v>19.0</v>
      </c>
      <c r="K2184" s="266">
        <v>320.0</v>
      </c>
      <c r="L2184" s="266" t="s">
        <v>3460</v>
      </c>
      <c r="M2184" s="266">
        <v>3.0</v>
      </c>
      <c r="N2184" s="266">
        <v>3.0</v>
      </c>
      <c r="O2184" s="266">
        <v>1.0</v>
      </c>
      <c r="P2184" s="266" t="s">
        <v>166</v>
      </c>
      <c r="Q2184" s="266" t="s">
        <v>166</v>
      </c>
      <c r="R2184" s="497" t="s">
        <v>166</v>
      </c>
      <c r="S2184" s="497" t="s">
        <v>166</v>
      </c>
      <c r="T2184" s="494"/>
    </row>
    <row r="2185">
      <c r="A2185" s="494" t="s">
        <v>3401</v>
      </c>
      <c r="B2185" s="495" t="s">
        <v>4357</v>
      </c>
      <c r="C2185" s="452" t="str">
        <f t="shared" si="329"/>
        <v>Gainward</v>
      </c>
      <c r="D2185" s="452" t="s">
        <v>4185</v>
      </c>
      <c r="E2185" s="507">
        <v>329.5</v>
      </c>
      <c r="F2185" s="507">
        <v>136.0</v>
      </c>
      <c r="G2185" s="507">
        <v>65.5</v>
      </c>
      <c r="H2185" s="266">
        <v>2.0</v>
      </c>
      <c r="I2185" s="266">
        <v>1710.0</v>
      </c>
      <c r="J2185" s="266">
        <v>19.0</v>
      </c>
      <c r="K2185" s="266">
        <v>320.0</v>
      </c>
      <c r="L2185" s="266" t="s">
        <v>3460</v>
      </c>
      <c r="M2185" s="266">
        <v>3.0</v>
      </c>
      <c r="N2185" s="266">
        <v>3.0</v>
      </c>
      <c r="O2185" s="266">
        <v>1.0</v>
      </c>
      <c r="P2185" s="266" t="s">
        <v>166</v>
      </c>
      <c r="Q2185" s="266" t="s">
        <v>166</v>
      </c>
      <c r="R2185" s="497" t="s">
        <v>166</v>
      </c>
      <c r="S2185" s="497" t="s">
        <v>166</v>
      </c>
      <c r="T2185" s="496"/>
    </row>
    <row r="2186">
      <c r="A2186" s="494" t="s">
        <v>3401</v>
      </c>
      <c r="B2186" s="495" t="s">
        <v>4357</v>
      </c>
      <c r="C2186" s="452" t="str">
        <f t="shared" si="329"/>
        <v>Gainward</v>
      </c>
      <c r="D2186" s="452" t="s">
        <v>4186</v>
      </c>
      <c r="E2186" s="507">
        <v>329.5</v>
      </c>
      <c r="F2186" s="507">
        <v>136.0</v>
      </c>
      <c r="G2186" s="507">
        <v>65.5</v>
      </c>
      <c r="H2186" s="266">
        <v>2.0</v>
      </c>
      <c r="I2186" s="266">
        <v>1710.0</v>
      </c>
      <c r="J2186" s="266">
        <v>19.0</v>
      </c>
      <c r="K2186" s="266">
        <v>320.0</v>
      </c>
      <c r="L2186" s="266" t="s">
        <v>3460</v>
      </c>
      <c r="M2186" s="266">
        <v>3.0</v>
      </c>
      <c r="N2186" s="266">
        <v>3.0</v>
      </c>
      <c r="O2186" s="266">
        <v>1.0</v>
      </c>
      <c r="P2186" s="266" t="s">
        <v>166</v>
      </c>
      <c r="Q2186" s="266" t="s">
        <v>166</v>
      </c>
      <c r="R2186" s="497" t="s">
        <v>166</v>
      </c>
      <c r="S2186" s="497" t="s">
        <v>166</v>
      </c>
      <c r="T2186" s="494"/>
    </row>
    <row r="2187">
      <c r="A2187" s="494" t="s">
        <v>3401</v>
      </c>
      <c r="B2187" s="495" t="s">
        <v>4357</v>
      </c>
      <c r="C2187" s="452" t="str">
        <f t="shared" si="329"/>
        <v>Gainward</v>
      </c>
      <c r="D2187" s="452" t="s">
        <v>4189</v>
      </c>
      <c r="E2187" s="507">
        <v>329.5</v>
      </c>
      <c r="F2187" s="507">
        <v>136.0</v>
      </c>
      <c r="G2187" s="507">
        <v>65.5</v>
      </c>
      <c r="H2187" s="266">
        <v>2.0</v>
      </c>
      <c r="I2187" s="266">
        <v>1710.0</v>
      </c>
      <c r="J2187" s="266">
        <v>19.0</v>
      </c>
      <c r="K2187" s="266">
        <v>320.0</v>
      </c>
      <c r="L2187" s="266" t="s">
        <v>3460</v>
      </c>
      <c r="M2187" s="266">
        <v>3.0</v>
      </c>
      <c r="N2187" s="266">
        <v>3.0</v>
      </c>
      <c r="O2187" s="266">
        <v>1.0</v>
      </c>
      <c r="P2187" s="266" t="s">
        <v>166</v>
      </c>
      <c r="Q2187" s="266" t="s">
        <v>166</v>
      </c>
      <c r="R2187" s="497" t="s">
        <v>166</v>
      </c>
      <c r="S2187" s="497" t="s">
        <v>166</v>
      </c>
      <c r="T2187" s="496"/>
    </row>
    <row r="2188">
      <c r="A2188" s="494" t="s">
        <v>3401</v>
      </c>
      <c r="B2188" s="495" t="s">
        <v>4357</v>
      </c>
      <c r="C2188" s="452" t="str">
        <f t="shared" si="329"/>
        <v>Gainward</v>
      </c>
      <c r="D2188" s="452" t="s">
        <v>4190</v>
      </c>
      <c r="E2188" s="507">
        <v>329.5</v>
      </c>
      <c r="F2188" s="507">
        <v>136.0</v>
      </c>
      <c r="G2188" s="507">
        <v>65.5</v>
      </c>
      <c r="H2188" s="266">
        <v>2.0</v>
      </c>
      <c r="I2188" s="266">
        <v>1710.0</v>
      </c>
      <c r="J2188" s="266">
        <v>19.0</v>
      </c>
      <c r="K2188" s="266">
        <v>320.0</v>
      </c>
      <c r="L2188" s="266" t="s">
        <v>3460</v>
      </c>
      <c r="M2188" s="266">
        <v>3.0</v>
      </c>
      <c r="N2188" s="266">
        <v>3.0</v>
      </c>
      <c r="O2188" s="266">
        <v>1.0</v>
      </c>
      <c r="P2188" s="266" t="s">
        <v>166</v>
      </c>
      <c r="Q2188" s="266" t="s">
        <v>166</v>
      </c>
      <c r="R2188" s="497" t="s">
        <v>166</v>
      </c>
      <c r="S2188" s="497" t="s">
        <v>166</v>
      </c>
      <c r="T2188" s="494"/>
    </row>
    <row r="2189">
      <c r="A2189" s="494" t="s">
        <v>3401</v>
      </c>
      <c r="B2189" s="495" t="s">
        <v>4357</v>
      </c>
      <c r="C2189" s="452" t="str">
        <f t="shared" si="329"/>
        <v>Gainward</v>
      </c>
      <c r="D2189" s="452" t="s">
        <v>4193</v>
      </c>
      <c r="E2189" s="266">
        <v>329.0</v>
      </c>
      <c r="F2189" s="266">
        <v>136.0</v>
      </c>
      <c r="G2189" s="266">
        <v>63.0</v>
      </c>
      <c r="H2189" s="266">
        <v>2.0</v>
      </c>
      <c r="I2189" s="266">
        <v>1710.0</v>
      </c>
      <c r="J2189" s="266">
        <v>19.0</v>
      </c>
      <c r="K2189" s="266">
        <v>320.0</v>
      </c>
      <c r="L2189" s="266" t="s">
        <v>3460</v>
      </c>
      <c r="M2189" s="266">
        <v>3.0</v>
      </c>
      <c r="N2189" s="266">
        <v>3.0</v>
      </c>
      <c r="O2189" s="266">
        <v>1.0</v>
      </c>
      <c r="P2189" s="266" t="s">
        <v>166</v>
      </c>
      <c r="Q2189" s="266" t="s">
        <v>166</v>
      </c>
      <c r="R2189" s="497" t="s">
        <v>166</v>
      </c>
      <c r="S2189" s="497" t="s">
        <v>166</v>
      </c>
      <c r="T2189" s="496"/>
    </row>
    <row r="2190">
      <c r="A2190" s="494" t="s">
        <v>3401</v>
      </c>
      <c r="B2190" s="495" t="s">
        <v>4357</v>
      </c>
      <c r="C2190" s="452" t="str">
        <f t="shared" si="329"/>
        <v>Gainward</v>
      </c>
      <c r="D2190" s="452" t="s">
        <v>4194</v>
      </c>
      <c r="E2190" s="266">
        <v>329.0</v>
      </c>
      <c r="F2190" s="266">
        <v>136.0</v>
      </c>
      <c r="G2190" s="266">
        <v>63.0</v>
      </c>
      <c r="H2190" s="266">
        <v>2.0</v>
      </c>
      <c r="I2190" s="266">
        <v>1710.0</v>
      </c>
      <c r="J2190" s="266">
        <v>19.0</v>
      </c>
      <c r="K2190" s="266">
        <v>320.0</v>
      </c>
      <c r="L2190" s="266" t="s">
        <v>3460</v>
      </c>
      <c r="M2190" s="266">
        <v>3.0</v>
      </c>
      <c r="N2190" s="266">
        <v>3.0</v>
      </c>
      <c r="O2190" s="266">
        <v>1.0</v>
      </c>
      <c r="P2190" s="266" t="s">
        <v>166</v>
      </c>
      <c r="Q2190" s="266" t="s">
        <v>166</v>
      </c>
      <c r="R2190" s="497" t="s">
        <v>166</v>
      </c>
      <c r="S2190" s="497" t="s">
        <v>166</v>
      </c>
      <c r="T2190" s="494"/>
    </row>
    <row r="2191">
      <c r="A2191" s="494" t="s">
        <v>3401</v>
      </c>
      <c r="B2191" s="495" t="s">
        <v>4357</v>
      </c>
      <c r="C2191" s="452" t="str">
        <f t="shared" si="329"/>
        <v>Gainward</v>
      </c>
      <c r="D2191" s="452" t="s">
        <v>4195</v>
      </c>
      <c r="E2191" s="266">
        <v>329.0</v>
      </c>
      <c r="F2191" s="266">
        <v>136.0</v>
      </c>
      <c r="G2191" s="266">
        <v>63.0</v>
      </c>
      <c r="H2191" s="266">
        <v>2.0</v>
      </c>
      <c r="I2191" s="266" t="s">
        <v>170</v>
      </c>
      <c r="J2191" s="266">
        <v>19.0</v>
      </c>
      <c r="K2191" s="266">
        <v>320.0</v>
      </c>
      <c r="L2191" s="266" t="s">
        <v>3460</v>
      </c>
      <c r="M2191" s="266">
        <v>3.0</v>
      </c>
      <c r="N2191" s="266">
        <v>3.0</v>
      </c>
      <c r="O2191" s="266">
        <v>1.0</v>
      </c>
      <c r="P2191" s="266" t="s">
        <v>166</v>
      </c>
      <c r="Q2191" s="266" t="s">
        <v>166</v>
      </c>
      <c r="R2191" s="497" t="s">
        <v>166</v>
      </c>
      <c r="S2191" s="497" t="s">
        <v>166</v>
      </c>
      <c r="T2191" s="496"/>
    </row>
    <row r="2192">
      <c r="A2192" s="494" t="s">
        <v>3401</v>
      </c>
      <c r="B2192" s="495" t="s">
        <v>4357</v>
      </c>
      <c r="C2192" s="452" t="str">
        <f t="shared" si="329"/>
        <v>Gainward</v>
      </c>
      <c r="D2192" s="452" t="s">
        <v>4196</v>
      </c>
      <c r="E2192" s="266">
        <v>329.0</v>
      </c>
      <c r="F2192" s="266">
        <v>136.0</v>
      </c>
      <c r="G2192" s="266">
        <v>63.0</v>
      </c>
      <c r="H2192" s="266">
        <v>2.0</v>
      </c>
      <c r="I2192" s="266" t="s">
        <v>170</v>
      </c>
      <c r="J2192" s="266">
        <v>19.0</v>
      </c>
      <c r="K2192" s="266">
        <v>320.0</v>
      </c>
      <c r="L2192" s="266" t="s">
        <v>3460</v>
      </c>
      <c r="M2192" s="266">
        <v>3.0</v>
      </c>
      <c r="N2192" s="266">
        <v>3.0</v>
      </c>
      <c r="O2192" s="266">
        <v>1.0</v>
      </c>
      <c r="P2192" s="266" t="s">
        <v>166</v>
      </c>
      <c r="Q2192" s="266" t="s">
        <v>166</v>
      </c>
      <c r="R2192" s="497" t="s">
        <v>166</v>
      </c>
      <c r="S2192" s="497" t="s">
        <v>166</v>
      </c>
      <c r="T2192" s="494"/>
    </row>
    <row r="2193">
      <c r="A2193" s="494" t="s">
        <v>3401</v>
      </c>
      <c r="B2193" s="495" t="s">
        <v>4357</v>
      </c>
      <c r="C2193" s="452" t="str">
        <f t="shared" si="329"/>
        <v>Gainward</v>
      </c>
      <c r="D2193" s="452" t="s">
        <v>3371</v>
      </c>
      <c r="E2193" s="266">
        <v>294.0</v>
      </c>
      <c r="F2193" s="266">
        <v>112.0</v>
      </c>
      <c r="G2193" s="266">
        <v>54.0</v>
      </c>
      <c r="H2193" s="266">
        <v>2.0</v>
      </c>
      <c r="I2193" s="266">
        <v>1710.0</v>
      </c>
      <c r="J2193" s="266">
        <v>19.0</v>
      </c>
      <c r="K2193" s="266">
        <v>320.0</v>
      </c>
      <c r="L2193" s="266" t="s">
        <v>3460</v>
      </c>
      <c r="M2193" s="266">
        <v>3.0</v>
      </c>
      <c r="N2193" s="266">
        <v>3.0</v>
      </c>
      <c r="O2193" s="266">
        <v>1.0</v>
      </c>
      <c r="P2193" s="266" t="s">
        <v>166</v>
      </c>
      <c r="Q2193" s="266" t="s">
        <v>166</v>
      </c>
      <c r="R2193" s="497" t="s">
        <v>166</v>
      </c>
      <c r="S2193" s="497" t="s">
        <v>166</v>
      </c>
      <c r="T2193" s="496"/>
    </row>
    <row r="2194">
      <c r="A2194" s="494" t="s">
        <v>3401</v>
      </c>
      <c r="B2194" s="495" t="s">
        <v>4357</v>
      </c>
      <c r="C2194" s="452" t="str">
        <f t="shared" si="329"/>
        <v>Gainward</v>
      </c>
      <c r="D2194" s="452" t="s">
        <v>4010</v>
      </c>
      <c r="E2194" s="266">
        <v>294.0</v>
      </c>
      <c r="F2194" s="266">
        <v>112.0</v>
      </c>
      <c r="G2194" s="266">
        <v>54.0</v>
      </c>
      <c r="H2194" s="266">
        <v>2.0</v>
      </c>
      <c r="I2194" s="266">
        <v>1710.0</v>
      </c>
      <c r="J2194" s="266">
        <v>19.0</v>
      </c>
      <c r="K2194" s="266">
        <v>320.0</v>
      </c>
      <c r="L2194" s="266" t="s">
        <v>3460</v>
      </c>
      <c r="M2194" s="266">
        <v>3.0</v>
      </c>
      <c r="N2194" s="266">
        <v>3.0</v>
      </c>
      <c r="O2194" s="266">
        <v>1.0</v>
      </c>
      <c r="P2194" s="266" t="s">
        <v>166</v>
      </c>
      <c r="Q2194" s="266" t="s">
        <v>166</v>
      </c>
      <c r="R2194" s="497" t="s">
        <v>166</v>
      </c>
      <c r="S2194" s="497" t="s">
        <v>166</v>
      </c>
      <c r="T2194" s="494"/>
    </row>
    <row r="2195">
      <c r="A2195" s="494" t="s">
        <v>3401</v>
      </c>
      <c r="B2195" s="495" t="s">
        <v>4357</v>
      </c>
      <c r="C2195" s="452" t="str">
        <f t="shared" si="329"/>
        <v>Gainward</v>
      </c>
      <c r="D2195" s="452" t="s">
        <v>3917</v>
      </c>
      <c r="E2195" s="266">
        <v>294.0</v>
      </c>
      <c r="F2195" s="266">
        <v>112.0</v>
      </c>
      <c r="G2195" s="266">
        <v>54.0</v>
      </c>
      <c r="H2195" s="266">
        <v>2.0</v>
      </c>
      <c r="I2195" s="266">
        <v>1740.0</v>
      </c>
      <c r="J2195" s="266">
        <v>19.0</v>
      </c>
      <c r="K2195" s="266">
        <v>320.0</v>
      </c>
      <c r="L2195" s="266" t="s">
        <v>3460</v>
      </c>
      <c r="M2195" s="266">
        <v>3.0</v>
      </c>
      <c r="N2195" s="266">
        <v>3.0</v>
      </c>
      <c r="O2195" s="266">
        <v>1.0</v>
      </c>
      <c r="P2195" s="266" t="s">
        <v>166</v>
      </c>
      <c r="Q2195" s="266" t="s">
        <v>166</v>
      </c>
      <c r="R2195" s="497" t="s">
        <v>166</v>
      </c>
      <c r="S2195" s="497" t="s">
        <v>166</v>
      </c>
      <c r="T2195" s="496"/>
    </row>
    <row r="2196">
      <c r="A2196" s="494" t="s">
        <v>3401</v>
      </c>
      <c r="B2196" s="495" t="s">
        <v>4357</v>
      </c>
      <c r="C2196" s="452" t="str">
        <f t="shared" si="329"/>
        <v>Gainward</v>
      </c>
      <c r="D2196" s="452" t="s">
        <v>4199</v>
      </c>
      <c r="E2196" s="266">
        <v>294.0</v>
      </c>
      <c r="F2196" s="266">
        <v>112.0</v>
      </c>
      <c r="G2196" s="266">
        <v>54.0</v>
      </c>
      <c r="H2196" s="266">
        <v>2.0</v>
      </c>
      <c r="I2196" s="266">
        <v>1740.0</v>
      </c>
      <c r="J2196" s="266">
        <v>19.0</v>
      </c>
      <c r="K2196" s="266">
        <v>320.0</v>
      </c>
      <c r="L2196" s="266" t="s">
        <v>3460</v>
      </c>
      <c r="M2196" s="266">
        <v>3.0</v>
      </c>
      <c r="N2196" s="266">
        <v>3.0</v>
      </c>
      <c r="O2196" s="266">
        <v>1.0</v>
      </c>
      <c r="P2196" s="266" t="s">
        <v>166</v>
      </c>
      <c r="Q2196" s="266" t="s">
        <v>166</v>
      </c>
      <c r="R2196" s="497" t="s">
        <v>166</v>
      </c>
      <c r="S2196" s="497" t="s">
        <v>166</v>
      </c>
      <c r="T2196" s="494"/>
    </row>
    <row r="2197">
      <c r="A2197" s="494" t="s">
        <v>3401</v>
      </c>
      <c r="B2197" s="495" t="s">
        <v>4357</v>
      </c>
      <c r="C2197" s="452" t="str">
        <f t="shared" si="329"/>
        <v>Gainward</v>
      </c>
      <c r="D2197" s="452" t="s">
        <v>3953</v>
      </c>
      <c r="E2197" s="266">
        <v>304.0</v>
      </c>
      <c r="F2197" s="266">
        <v>136.0</v>
      </c>
      <c r="G2197" s="266">
        <v>54.0</v>
      </c>
      <c r="H2197" s="266">
        <v>2.0</v>
      </c>
      <c r="I2197" s="266">
        <v>1755.0</v>
      </c>
      <c r="J2197" s="266">
        <v>19.0</v>
      </c>
      <c r="K2197" s="266">
        <v>340.0</v>
      </c>
      <c r="L2197" s="266" t="s">
        <v>3734</v>
      </c>
      <c r="M2197" s="266">
        <v>3.0</v>
      </c>
      <c r="N2197" s="266">
        <v>3.0</v>
      </c>
      <c r="O2197" s="266">
        <v>1.0</v>
      </c>
      <c r="P2197" s="266" t="s">
        <v>166</v>
      </c>
      <c r="Q2197" s="266" t="s">
        <v>166</v>
      </c>
      <c r="R2197" s="497" t="s">
        <v>166</v>
      </c>
      <c r="S2197" s="497" t="s">
        <v>166</v>
      </c>
      <c r="T2197" s="496"/>
    </row>
    <row r="2198">
      <c r="A2198" s="494" t="s">
        <v>3401</v>
      </c>
      <c r="B2198" s="495" t="s">
        <v>4357</v>
      </c>
      <c r="C2198" s="452" t="str">
        <f t="shared" si="329"/>
        <v>Gainward</v>
      </c>
      <c r="D2198" s="452" t="s">
        <v>4285</v>
      </c>
      <c r="E2198" s="266">
        <v>304.0</v>
      </c>
      <c r="F2198" s="266">
        <v>136.0</v>
      </c>
      <c r="G2198" s="266">
        <v>54.0</v>
      </c>
      <c r="H2198" s="266">
        <v>2.0</v>
      </c>
      <c r="I2198" s="266">
        <v>1755.0</v>
      </c>
      <c r="J2198" s="266">
        <v>19.0</v>
      </c>
      <c r="K2198" s="266">
        <v>340.0</v>
      </c>
      <c r="L2198" s="266" t="s">
        <v>3734</v>
      </c>
      <c r="M2198" s="266">
        <v>3.0</v>
      </c>
      <c r="N2198" s="266">
        <v>3.0</v>
      </c>
      <c r="O2198" s="266">
        <v>1.0</v>
      </c>
      <c r="P2198" s="266" t="s">
        <v>166</v>
      </c>
      <c r="Q2198" s="266" t="s">
        <v>166</v>
      </c>
      <c r="R2198" s="497" t="s">
        <v>166</v>
      </c>
      <c r="S2198" s="497" t="s">
        <v>166</v>
      </c>
      <c r="T2198" s="494"/>
    </row>
    <row r="2199">
      <c r="A2199" s="494" t="s">
        <v>3401</v>
      </c>
      <c r="B2199" s="495" t="s">
        <v>4357</v>
      </c>
      <c r="C2199" s="452" t="str">
        <f t="shared" si="329"/>
        <v>Gainward</v>
      </c>
      <c r="D2199" s="452" t="s">
        <v>3954</v>
      </c>
      <c r="E2199" s="266">
        <v>304.0</v>
      </c>
      <c r="F2199" s="266">
        <v>136.0</v>
      </c>
      <c r="G2199" s="266">
        <v>54.0</v>
      </c>
      <c r="H2199" s="266">
        <v>2.0</v>
      </c>
      <c r="I2199" s="266">
        <v>1860.0</v>
      </c>
      <c r="J2199" s="266">
        <v>19.0</v>
      </c>
      <c r="K2199" s="266">
        <v>370.0</v>
      </c>
      <c r="L2199" s="266" t="s">
        <v>3734</v>
      </c>
      <c r="M2199" s="266">
        <v>3.0</v>
      </c>
      <c r="N2199" s="266">
        <v>3.0</v>
      </c>
      <c r="O2199" s="266">
        <v>1.0</v>
      </c>
      <c r="P2199" s="266" t="s">
        <v>166</v>
      </c>
      <c r="Q2199" s="266" t="s">
        <v>166</v>
      </c>
      <c r="R2199" s="497" t="s">
        <v>166</v>
      </c>
      <c r="S2199" s="497" t="s">
        <v>166</v>
      </c>
      <c r="T2199" s="496"/>
    </row>
    <row r="2200">
      <c r="A2200" s="494" t="s">
        <v>3401</v>
      </c>
      <c r="B2200" s="495" t="s">
        <v>4357</v>
      </c>
      <c r="C2200" s="452" t="str">
        <f t="shared" si="329"/>
        <v>Gainward</v>
      </c>
      <c r="D2200" s="452" t="s">
        <v>4286</v>
      </c>
      <c r="E2200" s="266">
        <v>304.0</v>
      </c>
      <c r="F2200" s="266">
        <v>136.0</v>
      </c>
      <c r="G2200" s="266">
        <v>54.0</v>
      </c>
      <c r="H2200" s="266">
        <v>2.0</v>
      </c>
      <c r="I2200" s="266">
        <v>1860.0</v>
      </c>
      <c r="J2200" s="266">
        <v>19.0</v>
      </c>
      <c r="K2200" s="266">
        <v>370.0</v>
      </c>
      <c r="L2200" s="266" t="s">
        <v>3734</v>
      </c>
      <c r="M2200" s="266">
        <v>3.0</v>
      </c>
      <c r="N2200" s="266">
        <v>3.0</v>
      </c>
      <c r="O2200" s="266">
        <v>1.0</v>
      </c>
      <c r="P2200" s="266" t="s">
        <v>166</v>
      </c>
      <c r="Q2200" s="266" t="s">
        <v>166</v>
      </c>
      <c r="R2200" s="497" t="s">
        <v>166</v>
      </c>
      <c r="S2200" s="497" t="s">
        <v>166</v>
      </c>
      <c r="T2200" s="494"/>
    </row>
    <row r="2201">
      <c r="A2201" s="494" t="s">
        <v>3401</v>
      </c>
      <c r="B2201" s="495" t="s">
        <v>4357</v>
      </c>
      <c r="C2201" s="452" t="str">
        <f t="shared" si="329"/>
        <v>Gainward</v>
      </c>
      <c r="D2201" s="452" t="s">
        <v>4287</v>
      </c>
      <c r="E2201" s="266">
        <v>304.0</v>
      </c>
      <c r="F2201" s="266">
        <v>138.0</v>
      </c>
      <c r="G2201" s="266">
        <v>54.0</v>
      </c>
      <c r="H2201" s="266">
        <v>2.0</v>
      </c>
      <c r="I2201" s="266">
        <v>1755.0</v>
      </c>
      <c r="J2201" s="266">
        <v>19.0</v>
      </c>
      <c r="K2201" s="266">
        <v>340.0</v>
      </c>
      <c r="L2201" s="266" t="s">
        <v>3734</v>
      </c>
      <c r="M2201" s="266">
        <v>3.0</v>
      </c>
      <c r="N2201" s="266">
        <v>3.0</v>
      </c>
      <c r="O2201" s="266">
        <v>1.0</v>
      </c>
      <c r="P2201" s="266" t="s">
        <v>166</v>
      </c>
      <c r="Q2201" s="266" t="s">
        <v>166</v>
      </c>
      <c r="R2201" s="497" t="s">
        <v>166</v>
      </c>
      <c r="S2201" s="497" t="s">
        <v>166</v>
      </c>
      <c r="T2201" s="494"/>
    </row>
    <row r="2202">
      <c r="A2202" s="494" t="s">
        <v>3401</v>
      </c>
      <c r="B2202" s="495" t="s">
        <v>4357</v>
      </c>
      <c r="C2202" s="452" t="str">
        <f t="shared" si="329"/>
        <v>Gainward</v>
      </c>
      <c r="D2202" s="452" t="s">
        <v>4288</v>
      </c>
      <c r="E2202" s="266">
        <v>304.0</v>
      </c>
      <c r="F2202" s="266">
        <v>138.0</v>
      </c>
      <c r="G2202" s="266">
        <v>54.0</v>
      </c>
      <c r="H2202" s="266">
        <v>2.0</v>
      </c>
      <c r="I2202" s="266">
        <v>1860.0</v>
      </c>
      <c r="J2202" s="266">
        <v>19.0</v>
      </c>
      <c r="K2202" s="266">
        <v>370.0</v>
      </c>
      <c r="L2202" s="266" t="s">
        <v>3734</v>
      </c>
      <c r="M2202" s="266">
        <v>3.0</v>
      </c>
      <c r="N2202" s="266">
        <v>3.0</v>
      </c>
      <c r="O2202" s="266">
        <v>1.0</v>
      </c>
      <c r="P2202" s="266" t="s">
        <v>166</v>
      </c>
      <c r="Q2202" s="266" t="s">
        <v>166</v>
      </c>
      <c r="R2202" s="497" t="s">
        <v>166</v>
      </c>
      <c r="S2202" s="497" t="s">
        <v>166</v>
      </c>
      <c r="T2202" s="494"/>
    </row>
    <row r="2203">
      <c r="A2203" s="494" t="s">
        <v>3401</v>
      </c>
      <c r="B2203" s="495" t="s">
        <v>4357</v>
      </c>
      <c r="C2203" s="174" t="s">
        <v>3456</v>
      </c>
      <c r="D2203" s="589" t="s">
        <v>262</v>
      </c>
      <c r="E2203" s="266">
        <v>295.0</v>
      </c>
      <c r="F2203" s="266">
        <v>110.0</v>
      </c>
      <c r="G2203" s="266">
        <v>41.0</v>
      </c>
      <c r="H2203" s="266">
        <v>2.0</v>
      </c>
      <c r="I2203" s="266">
        <v>1710.0</v>
      </c>
      <c r="J2203" s="266">
        <v>19.0</v>
      </c>
      <c r="K2203" s="266">
        <v>320.0</v>
      </c>
      <c r="L2203" s="266" t="s">
        <v>3460</v>
      </c>
      <c r="M2203" s="266">
        <v>1.0</v>
      </c>
      <c r="N2203" s="266">
        <v>3.0</v>
      </c>
      <c r="O2203" s="266">
        <v>1.0</v>
      </c>
      <c r="P2203" s="266" t="s">
        <v>166</v>
      </c>
      <c r="Q2203" s="266" t="s">
        <v>166</v>
      </c>
      <c r="R2203" s="497" t="s">
        <v>166</v>
      </c>
      <c r="S2203" s="266" t="s">
        <v>174</v>
      </c>
      <c r="T2203" s="494"/>
    </row>
    <row r="2204">
      <c r="A2204" s="494" t="s">
        <v>3401</v>
      </c>
      <c r="B2204" s="495" t="s">
        <v>4357</v>
      </c>
      <c r="C2204" s="174" t="s">
        <v>3456</v>
      </c>
      <c r="D2204" s="452" t="s">
        <v>4200</v>
      </c>
      <c r="E2204" s="266">
        <v>300.0</v>
      </c>
      <c r="F2204" s="266">
        <v>116.0</v>
      </c>
      <c r="G2204" s="266">
        <v>60.0</v>
      </c>
      <c r="H2204" s="266">
        <v>3.0</v>
      </c>
      <c r="I2204" s="266">
        <v>1710.0</v>
      </c>
      <c r="J2204" s="266">
        <v>19.0</v>
      </c>
      <c r="K2204" s="266">
        <v>320.0</v>
      </c>
      <c r="L2204" s="266" t="s">
        <v>3460</v>
      </c>
      <c r="M2204" s="266">
        <v>3.0</v>
      </c>
      <c r="N2204" s="266">
        <v>3.0</v>
      </c>
      <c r="O2204" s="266">
        <v>1.0</v>
      </c>
      <c r="P2204" s="266" t="s">
        <v>166</v>
      </c>
      <c r="Q2204" s="266" t="s">
        <v>166</v>
      </c>
      <c r="R2204" s="497" t="s">
        <v>166</v>
      </c>
      <c r="S2204" s="497" t="s">
        <v>166</v>
      </c>
      <c r="T2204" s="496"/>
    </row>
    <row r="2205">
      <c r="A2205" s="494" t="s">
        <v>3401</v>
      </c>
      <c r="B2205" s="495" t="s">
        <v>4357</v>
      </c>
      <c r="C2205" s="174" t="s">
        <v>3456</v>
      </c>
      <c r="D2205" s="452" t="s">
        <v>4201</v>
      </c>
      <c r="E2205" s="266">
        <v>300.0</v>
      </c>
      <c r="F2205" s="266">
        <v>116.0</v>
      </c>
      <c r="G2205" s="266">
        <v>60.0</v>
      </c>
      <c r="H2205" s="266">
        <v>3.0</v>
      </c>
      <c r="I2205" s="266">
        <v>1710.0</v>
      </c>
      <c r="J2205" s="266">
        <v>19.0</v>
      </c>
      <c r="K2205" s="266">
        <v>320.0</v>
      </c>
      <c r="L2205" s="266" t="s">
        <v>3460</v>
      </c>
      <c r="M2205" s="266">
        <v>3.0</v>
      </c>
      <c r="N2205" s="266">
        <v>3.0</v>
      </c>
      <c r="O2205" s="266">
        <v>1.0</v>
      </c>
      <c r="P2205" s="266" t="s">
        <v>166</v>
      </c>
      <c r="Q2205" s="266" t="s">
        <v>166</v>
      </c>
      <c r="R2205" s="497" t="s">
        <v>166</v>
      </c>
      <c r="S2205" s="497" t="s">
        <v>166</v>
      </c>
      <c r="T2205" s="494"/>
    </row>
    <row r="2206">
      <c r="A2206" s="494" t="s">
        <v>3401</v>
      </c>
      <c r="B2206" s="495" t="s">
        <v>4357</v>
      </c>
      <c r="C2206" s="174" t="s">
        <v>3456</v>
      </c>
      <c r="D2206" s="452" t="s">
        <v>4202</v>
      </c>
      <c r="E2206" s="266">
        <v>300.0</v>
      </c>
      <c r="F2206" s="266">
        <v>116.0</v>
      </c>
      <c r="G2206" s="266">
        <v>60.0</v>
      </c>
      <c r="H2206" s="266">
        <v>3.0</v>
      </c>
      <c r="I2206" s="266">
        <v>1740.0</v>
      </c>
      <c r="J2206" s="266">
        <v>19.0</v>
      </c>
      <c r="K2206" s="266">
        <v>320.0</v>
      </c>
      <c r="L2206" s="266" t="s">
        <v>3460</v>
      </c>
      <c r="M2206" s="266">
        <v>3.0</v>
      </c>
      <c r="N2206" s="266">
        <v>3.0</v>
      </c>
      <c r="O2206" s="266">
        <v>1.0</v>
      </c>
      <c r="P2206" s="266" t="s">
        <v>166</v>
      </c>
      <c r="Q2206" s="266" t="s">
        <v>166</v>
      </c>
      <c r="R2206" s="497" t="s">
        <v>166</v>
      </c>
      <c r="S2206" s="497" t="s">
        <v>166</v>
      </c>
      <c r="T2206" s="496"/>
    </row>
    <row r="2207">
      <c r="A2207" s="494" t="s">
        <v>3401</v>
      </c>
      <c r="B2207" s="495" t="s">
        <v>4357</v>
      </c>
      <c r="C2207" s="174" t="s">
        <v>3456</v>
      </c>
      <c r="D2207" s="452" t="s">
        <v>4203</v>
      </c>
      <c r="E2207" s="266">
        <v>300.0</v>
      </c>
      <c r="F2207" s="266">
        <v>116.0</v>
      </c>
      <c r="G2207" s="266">
        <v>60.0</v>
      </c>
      <c r="H2207" s="266">
        <v>3.0</v>
      </c>
      <c r="I2207" s="266">
        <v>1740.0</v>
      </c>
      <c r="J2207" s="266">
        <v>19.0</v>
      </c>
      <c r="K2207" s="266">
        <v>320.0</v>
      </c>
      <c r="L2207" s="266" t="s">
        <v>3460</v>
      </c>
      <c r="M2207" s="266">
        <v>3.0</v>
      </c>
      <c r="N2207" s="266">
        <v>3.0</v>
      </c>
      <c r="O2207" s="266">
        <v>1.0</v>
      </c>
      <c r="P2207" s="266" t="s">
        <v>166</v>
      </c>
      <c r="Q2207" s="266" t="s">
        <v>166</v>
      </c>
      <c r="R2207" s="497" t="s">
        <v>166</v>
      </c>
      <c r="S2207" s="497" t="s">
        <v>166</v>
      </c>
      <c r="T2207" s="494"/>
    </row>
    <row r="2208">
      <c r="A2208" s="494" t="s">
        <v>3401</v>
      </c>
      <c r="B2208" s="495" t="s">
        <v>4357</v>
      </c>
      <c r="C2208" s="174" t="s">
        <v>3456</v>
      </c>
      <c r="D2208" s="452" t="s">
        <v>4204</v>
      </c>
      <c r="E2208" s="266">
        <v>318.0</v>
      </c>
      <c r="F2208" s="266">
        <v>107.0</v>
      </c>
      <c r="G2208" s="266">
        <v>60.0</v>
      </c>
      <c r="H2208" s="266">
        <v>3.0</v>
      </c>
      <c r="I2208" s="266">
        <v>1710.0</v>
      </c>
      <c r="J2208" s="266">
        <v>19.0</v>
      </c>
      <c r="K2208" s="266">
        <v>320.0</v>
      </c>
      <c r="L2208" s="266" t="s">
        <v>3460</v>
      </c>
      <c r="M2208" s="266">
        <v>3.0</v>
      </c>
      <c r="N2208" s="266">
        <v>3.0</v>
      </c>
      <c r="O2208" s="266">
        <v>1.0</v>
      </c>
      <c r="P2208" s="266" t="s">
        <v>166</v>
      </c>
      <c r="Q2208" s="266" t="s">
        <v>166</v>
      </c>
      <c r="R2208" s="497" t="s">
        <v>166</v>
      </c>
      <c r="S2208" s="497" t="s">
        <v>166</v>
      </c>
      <c r="T2208" s="496"/>
    </row>
    <row r="2209">
      <c r="A2209" s="494" t="s">
        <v>3401</v>
      </c>
      <c r="B2209" s="495" t="s">
        <v>4357</v>
      </c>
      <c r="C2209" s="174" t="s">
        <v>3456</v>
      </c>
      <c r="D2209" s="452" t="s">
        <v>4205</v>
      </c>
      <c r="E2209" s="266">
        <v>318.0</v>
      </c>
      <c r="F2209" s="266">
        <v>107.0</v>
      </c>
      <c r="G2209" s="266">
        <v>60.0</v>
      </c>
      <c r="H2209" s="266">
        <v>3.0</v>
      </c>
      <c r="I2209" s="266">
        <v>1710.0</v>
      </c>
      <c r="J2209" s="266">
        <v>19.0</v>
      </c>
      <c r="K2209" s="266">
        <v>320.0</v>
      </c>
      <c r="L2209" s="266" t="s">
        <v>3460</v>
      </c>
      <c r="M2209" s="266">
        <v>3.0</v>
      </c>
      <c r="N2209" s="266">
        <v>3.0</v>
      </c>
      <c r="O2209" s="266">
        <v>1.0</v>
      </c>
      <c r="P2209" s="266" t="s">
        <v>166</v>
      </c>
      <c r="Q2209" s="266" t="s">
        <v>166</v>
      </c>
      <c r="R2209" s="497" t="s">
        <v>166</v>
      </c>
      <c r="S2209" s="497" t="s">
        <v>166</v>
      </c>
      <c r="T2209" s="494"/>
    </row>
    <row r="2210">
      <c r="A2210" s="494" t="s">
        <v>3401</v>
      </c>
      <c r="B2210" s="495" t="s">
        <v>4357</v>
      </c>
      <c r="C2210" s="174" t="s">
        <v>3456</v>
      </c>
      <c r="D2210" s="452" t="s">
        <v>4206</v>
      </c>
      <c r="E2210" s="266">
        <v>318.0</v>
      </c>
      <c r="F2210" s="266">
        <v>107.0</v>
      </c>
      <c r="G2210" s="266">
        <v>60.0</v>
      </c>
      <c r="H2210" s="266">
        <v>3.0</v>
      </c>
      <c r="I2210" s="266">
        <v>1740.0</v>
      </c>
      <c r="J2210" s="266">
        <v>19.0</v>
      </c>
      <c r="K2210" s="266">
        <v>320.0</v>
      </c>
      <c r="L2210" s="266" t="s">
        <v>3460</v>
      </c>
      <c r="M2210" s="266">
        <v>3.0</v>
      </c>
      <c r="N2210" s="266">
        <v>3.0</v>
      </c>
      <c r="O2210" s="266">
        <v>1.0</v>
      </c>
      <c r="P2210" s="266" t="s">
        <v>166</v>
      </c>
      <c r="Q2210" s="266" t="s">
        <v>166</v>
      </c>
      <c r="R2210" s="497" t="s">
        <v>166</v>
      </c>
      <c r="S2210" s="497" t="s">
        <v>166</v>
      </c>
      <c r="T2210" s="496"/>
    </row>
    <row r="2211">
      <c r="A2211" s="494" t="s">
        <v>3401</v>
      </c>
      <c r="B2211" s="495" t="s">
        <v>4357</v>
      </c>
      <c r="C2211" s="174" t="s">
        <v>3456</v>
      </c>
      <c r="D2211" s="452" t="s">
        <v>4207</v>
      </c>
      <c r="E2211" s="266">
        <v>318.0</v>
      </c>
      <c r="F2211" s="266">
        <v>107.0</v>
      </c>
      <c r="G2211" s="266">
        <v>60.0</v>
      </c>
      <c r="H2211" s="266">
        <v>3.0</v>
      </c>
      <c r="I2211" s="266">
        <v>1740.0</v>
      </c>
      <c r="J2211" s="266">
        <v>19.0</v>
      </c>
      <c r="K2211" s="266">
        <v>320.0</v>
      </c>
      <c r="L2211" s="266" t="s">
        <v>3460</v>
      </c>
      <c r="M2211" s="266">
        <v>3.0</v>
      </c>
      <c r="N2211" s="266">
        <v>3.0</v>
      </c>
      <c r="O2211" s="266">
        <v>1.0</v>
      </c>
      <c r="P2211" s="266" t="s">
        <v>166</v>
      </c>
      <c r="Q2211" s="266" t="s">
        <v>166</v>
      </c>
      <c r="R2211" s="497" t="s">
        <v>166</v>
      </c>
      <c r="S2211" s="497" t="s">
        <v>166</v>
      </c>
      <c r="T2211" s="494"/>
    </row>
    <row r="2212">
      <c r="A2212" s="494" t="s">
        <v>3401</v>
      </c>
      <c r="B2212" s="495" t="s">
        <v>4357</v>
      </c>
      <c r="C2212" s="174" t="s">
        <v>3456</v>
      </c>
      <c r="D2212" s="452" t="s">
        <v>4257</v>
      </c>
      <c r="E2212" s="266">
        <v>316.0</v>
      </c>
      <c r="F2212" s="266">
        <v>132.0</v>
      </c>
      <c r="G2212" s="266">
        <v>60.0</v>
      </c>
      <c r="H2212" s="266">
        <v>3.0</v>
      </c>
      <c r="I2212" s="266">
        <v>1710.0</v>
      </c>
      <c r="J2212" s="266">
        <v>19.0</v>
      </c>
      <c r="K2212" s="266">
        <v>320.0</v>
      </c>
      <c r="L2212" s="266" t="s">
        <v>3460</v>
      </c>
      <c r="M2212" s="266">
        <v>3.0</v>
      </c>
      <c r="N2212" s="266">
        <v>3.0</v>
      </c>
      <c r="O2212" s="266">
        <v>1.0</v>
      </c>
      <c r="P2212" s="266" t="s">
        <v>166</v>
      </c>
      <c r="Q2212" s="266" t="s">
        <v>166</v>
      </c>
      <c r="R2212" s="497" t="s">
        <v>166</v>
      </c>
      <c r="S2212" s="497" t="s">
        <v>166</v>
      </c>
      <c r="T2212" s="496"/>
    </row>
    <row r="2213">
      <c r="A2213" s="494" t="s">
        <v>3401</v>
      </c>
      <c r="B2213" s="495" t="s">
        <v>4357</v>
      </c>
      <c r="C2213" s="174" t="s">
        <v>3456</v>
      </c>
      <c r="D2213" s="452" t="s">
        <v>4208</v>
      </c>
      <c r="E2213" s="266">
        <v>316.0</v>
      </c>
      <c r="F2213" s="266">
        <v>132.0</v>
      </c>
      <c r="G2213" s="266">
        <v>60.0</v>
      </c>
      <c r="H2213" s="266">
        <v>3.0</v>
      </c>
      <c r="I2213" s="266">
        <v>1710.0</v>
      </c>
      <c r="J2213" s="266">
        <v>19.0</v>
      </c>
      <c r="K2213" s="266">
        <v>320.0</v>
      </c>
      <c r="L2213" s="266" t="s">
        <v>3460</v>
      </c>
      <c r="M2213" s="266">
        <v>3.0</v>
      </c>
      <c r="N2213" s="266">
        <v>3.0</v>
      </c>
      <c r="O2213" s="266">
        <v>1.0</v>
      </c>
      <c r="P2213" s="266" t="s">
        <v>166</v>
      </c>
      <c r="Q2213" s="266" t="s">
        <v>166</v>
      </c>
      <c r="R2213" s="497" t="s">
        <v>166</v>
      </c>
      <c r="S2213" s="497" t="s">
        <v>166</v>
      </c>
      <c r="T2213" s="494"/>
    </row>
    <row r="2214">
      <c r="A2214" s="494" t="s">
        <v>3401</v>
      </c>
      <c r="B2214" s="495" t="s">
        <v>4357</v>
      </c>
      <c r="C2214" s="174" t="s">
        <v>3456</v>
      </c>
      <c r="D2214" s="452" t="s">
        <v>4258</v>
      </c>
      <c r="E2214" s="266">
        <v>316.0</v>
      </c>
      <c r="F2214" s="266">
        <v>132.0</v>
      </c>
      <c r="G2214" s="266">
        <v>60.0</v>
      </c>
      <c r="H2214" s="266">
        <v>3.0</v>
      </c>
      <c r="I2214" s="266">
        <v>1770.0</v>
      </c>
      <c r="J2214" s="266">
        <v>19.0</v>
      </c>
      <c r="K2214" s="266">
        <v>340.0</v>
      </c>
      <c r="L2214" s="266" t="s">
        <v>3460</v>
      </c>
      <c r="M2214" s="266">
        <v>3.0</v>
      </c>
      <c r="N2214" s="266">
        <v>3.0</v>
      </c>
      <c r="O2214" s="266">
        <v>1.0</v>
      </c>
      <c r="P2214" s="266" t="s">
        <v>166</v>
      </c>
      <c r="Q2214" s="266" t="s">
        <v>166</v>
      </c>
      <c r="R2214" s="497" t="s">
        <v>166</v>
      </c>
      <c r="S2214" s="497" t="s">
        <v>166</v>
      </c>
      <c r="T2214" s="496"/>
    </row>
    <row r="2215">
      <c r="A2215" s="494" t="s">
        <v>3401</v>
      </c>
      <c r="B2215" s="495" t="s">
        <v>4357</v>
      </c>
      <c r="C2215" s="174" t="s">
        <v>3456</v>
      </c>
      <c r="D2215" s="452" t="s">
        <v>4293</v>
      </c>
      <c r="E2215" s="266">
        <v>316.0</v>
      </c>
      <c r="F2215" s="266">
        <v>132.0</v>
      </c>
      <c r="G2215" s="266">
        <v>60.0</v>
      </c>
      <c r="H2215" s="266">
        <v>3.0</v>
      </c>
      <c r="I2215" s="266">
        <v>1770.0</v>
      </c>
      <c r="J2215" s="266">
        <v>19.0</v>
      </c>
      <c r="K2215" s="266">
        <v>340.0</v>
      </c>
      <c r="L2215" s="266" t="s">
        <v>3460</v>
      </c>
      <c r="M2215" s="266">
        <v>3.0</v>
      </c>
      <c r="N2215" s="266">
        <v>3.0</v>
      </c>
      <c r="O2215" s="266">
        <v>1.0</v>
      </c>
      <c r="P2215" s="266" t="s">
        <v>166</v>
      </c>
      <c r="Q2215" s="266" t="s">
        <v>166</v>
      </c>
      <c r="R2215" s="497" t="s">
        <v>166</v>
      </c>
      <c r="S2215" s="497" t="s">
        <v>166</v>
      </c>
      <c r="T2215" s="494"/>
    </row>
    <row r="2216">
      <c r="A2216" s="494" t="s">
        <v>3401</v>
      </c>
      <c r="B2216" s="495" t="s">
        <v>4357</v>
      </c>
      <c r="C2216" s="174" t="s">
        <v>3456</v>
      </c>
      <c r="D2216" s="452" t="s">
        <v>4003</v>
      </c>
      <c r="E2216" s="266">
        <v>337.0</v>
      </c>
      <c r="F2216" s="266">
        <v>135.0</v>
      </c>
      <c r="G2216" s="266">
        <v>57.0</v>
      </c>
      <c r="H2216" s="266">
        <v>3.0</v>
      </c>
      <c r="I2216" s="266">
        <v>1710.0</v>
      </c>
      <c r="J2216" s="266">
        <v>19.0</v>
      </c>
      <c r="K2216" s="266">
        <v>320.0</v>
      </c>
      <c r="L2216" s="266" t="s">
        <v>3460</v>
      </c>
      <c r="M2216" s="266">
        <v>3.0</v>
      </c>
      <c r="N2216" s="266">
        <v>3.0</v>
      </c>
      <c r="O2216" s="266">
        <v>1.0</v>
      </c>
      <c r="P2216" s="266" t="s">
        <v>166</v>
      </c>
      <c r="Q2216" s="266" t="s">
        <v>166</v>
      </c>
      <c r="R2216" s="497" t="s">
        <v>166</v>
      </c>
      <c r="S2216" s="497" t="s">
        <v>166</v>
      </c>
      <c r="T2216" s="496"/>
    </row>
    <row r="2217">
      <c r="A2217" s="494" t="s">
        <v>3401</v>
      </c>
      <c r="B2217" s="495" t="s">
        <v>4357</v>
      </c>
      <c r="C2217" s="174" t="s">
        <v>3456</v>
      </c>
      <c r="D2217" s="452" t="s">
        <v>4211</v>
      </c>
      <c r="E2217" s="266">
        <v>337.0</v>
      </c>
      <c r="F2217" s="266">
        <v>135.0</v>
      </c>
      <c r="G2217" s="266">
        <v>57.0</v>
      </c>
      <c r="H2217" s="266">
        <v>3.0</v>
      </c>
      <c r="I2217" s="266">
        <v>1710.0</v>
      </c>
      <c r="J2217" s="266">
        <v>19.0</v>
      </c>
      <c r="K2217" s="266">
        <v>320.0</v>
      </c>
      <c r="L2217" s="266" t="s">
        <v>3460</v>
      </c>
      <c r="M2217" s="266">
        <v>3.0</v>
      </c>
      <c r="N2217" s="266">
        <v>3.0</v>
      </c>
      <c r="O2217" s="266">
        <v>1.0</v>
      </c>
      <c r="P2217" s="266" t="s">
        <v>166</v>
      </c>
      <c r="Q2217" s="266" t="s">
        <v>166</v>
      </c>
      <c r="R2217" s="497" t="s">
        <v>166</v>
      </c>
      <c r="S2217" s="497" t="s">
        <v>166</v>
      </c>
      <c r="T2217" s="494"/>
    </row>
    <row r="2218">
      <c r="A2218" s="494" t="s">
        <v>3401</v>
      </c>
      <c r="B2218" s="495" t="s">
        <v>4357</v>
      </c>
      <c r="C2218" s="174" t="s">
        <v>3456</v>
      </c>
      <c r="D2218" s="452" t="s">
        <v>4004</v>
      </c>
      <c r="E2218" s="266">
        <v>337.0</v>
      </c>
      <c r="F2218" s="266">
        <v>135.0</v>
      </c>
      <c r="G2218" s="266">
        <v>57.0</v>
      </c>
      <c r="H2218" s="266">
        <v>3.0</v>
      </c>
      <c r="I2218" s="266">
        <v>1785.0</v>
      </c>
      <c r="J2218" s="266">
        <v>19.0</v>
      </c>
      <c r="K2218" s="266">
        <v>340.0</v>
      </c>
      <c r="L2218" s="266" t="s">
        <v>3460</v>
      </c>
      <c r="M2218" s="266">
        <v>3.0</v>
      </c>
      <c r="N2218" s="266">
        <v>3.0</v>
      </c>
      <c r="O2218" s="266">
        <v>1.0</v>
      </c>
      <c r="P2218" s="266" t="s">
        <v>166</v>
      </c>
      <c r="Q2218" s="266" t="s">
        <v>166</v>
      </c>
      <c r="R2218" s="497" t="s">
        <v>166</v>
      </c>
      <c r="S2218" s="497" t="s">
        <v>166</v>
      </c>
      <c r="T2218" s="496"/>
    </row>
    <row r="2219">
      <c r="A2219" s="494" t="s">
        <v>3401</v>
      </c>
      <c r="B2219" s="495" t="s">
        <v>4357</v>
      </c>
      <c r="C2219" s="174" t="s">
        <v>3456</v>
      </c>
      <c r="D2219" s="452" t="s">
        <v>4212</v>
      </c>
      <c r="E2219" s="266">
        <v>337.0</v>
      </c>
      <c r="F2219" s="266">
        <v>135.0</v>
      </c>
      <c r="G2219" s="266">
        <v>57.0</v>
      </c>
      <c r="H2219" s="266">
        <v>3.0</v>
      </c>
      <c r="I2219" s="266">
        <v>1785.0</v>
      </c>
      <c r="J2219" s="266">
        <v>19.0</v>
      </c>
      <c r="K2219" s="266">
        <v>340.0</v>
      </c>
      <c r="L2219" s="266" t="s">
        <v>3460</v>
      </c>
      <c r="M2219" s="266">
        <v>3.0</v>
      </c>
      <c r="N2219" s="266">
        <v>3.0</v>
      </c>
      <c r="O2219" s="266">
        <v>1.0</v>
      </c>
      <c r="P2219" s="266" t="s">
        <v>166</v>
      </c>
      <c r="Q2219" s="266" t="s">
        <v>166</v>
      </c>
      <c r="R2219" s="497" t="s">
        <v>166</v>
      </c>
      <c r="S2219" s="497" t="s">
        <v>166</v>
      </c>
      <c r="T2219" s="494"/>
    </row>
    <row r="2220">
      <c r="A2220" s="494" t="s">
        <v>3401</v>
      </c>
      <c r="B2220" s="495" t="s">
        <v>4357</v>
      </c>
      <c r="C2220" s="174" t="s">
        <v>3456</v>
      </c>
      <c r="D2220" s="452" t="s">
        <v>4062</v>
      </c>
      <c r="E2220" s="266">
        <v>317.0</v>
      </c>
      <c r="F2220" s="266">
        <v>113.0</v>
      </c>
      <c r="G2220" s="266">
        <v>61.0</v>
      </c>
      <c r="H2220" s="266">
        <v>2.0</v>
      </c>
      <c r="I2220" s="266">
        <v>1725.0</v>
      </c>
      <c r="J2220" s="266">
        <v>19.0</v>
      </c>
      <c r="K2220" s="266">
        <v>320.0</v>
      </c>
      <c r="L2220" s="266" t="s">
        <v>3460</v>
      </c>
      <c r="M2220" s="266">
        <v>3.0</v>
      </c>
      <c r="N2220" s="266">
        <v>3.0</v>
      </c>
      <c r="O2220" s="266">
        <v>1.0</v>
      </c>
      <c r="P2220" s="266" t="s">
        <v>166</v>
      </c>
      <c r="Q2220" s="266" t="s">
        <v>166</v>
      </c>
      <c r="R2220" s="497" t="s">
        <v>166</v>
      </c>
      <c r="S2220" s="497" t="s">
        <v>166</v>
      </c>
      <c r="T2220" s="496"/>
    </row>
    <row r="2221">
      <c r="A2221" s="494" t="s">
        <v>3401</v>
      </c>
      <c r="B2221" s="495" t="s">
        <v>4357</v>
      </c>
      <c r="C2221" s="174" t="s">
        <v>3456</v>
      </c>
      <c r="D2221" s="452" t="s">
        <v>4296</v>
      </c>
      <c r="E2221" s="266">
        <v>317.0</v>
      </c>
      <c r="F2221" s="266">
        <v>113.0</v>
      </c>
      <c r="G2221" s="266">
        <v>61.0</v>
      </c>
      <c r="H2221" s="266">
        <v>2.0</v>
      </c>
      <c r="I2221" s="266">
        <v>1725.0</v>
      </c>
      <c r="J2221" s="266">
        <v>19.0</v>
      </c>
      <c r="K2221" s="266">
        <v>320.0</v>
      </c>
      <c r="L2221" s="266" t="s">
        <v>3460</v>
      </c>
      <c r="M2221" s="266">
        <v>3.0</v>
      </c>
      <c r="N2221" s="266">
        <v>3.0</v>
      </c>
      <c r="O2221" s="266">
        <v>1.0</v>
      </c>
      <c r="P2221" s="266" t="s">
        <v>166</v>
      </c>
      <c r="Q2221" s="266" t="s">
        <v>166</v>
      </c>
      <c r="R2221" s="497" t="s">
        <v>166</v>
      </c>
      <c r="S2221" s="497" t="s">
        <v>166</v>
      </c>
      <c r="T2221" s="494"/>
    </row>
    <row r="2222">
      <c r="A2222" s="494" t="s">
        <v>3401</v>
      </c>
      <c r="B2222" s="495" t="s">
        <v>4357</v>
      </c>
      <c r="C2222" s="174" t="s">
        <v>3456</v>
      </c>
      <c r="D2222" s="452" t="s">
        <v>3983</v>
      </c>
      <c r="E2222" s="266">
        <v>316.0</v>
      </c>
      <c r="F2222" s="266">
        <v>124.0</v>
      </c>
      <c r="G2222" s="266">
        <v>58.0</v>
      </c>
      <c r="H2222" s="266">
        <v>2.0</v>
      </c>
      <c r="I2222" s="266">
        <v>1770.0</v>
      </c>
      <c r="J2222" s="266">
        <v>19.0</v>
      </c>
      <c r="K2222" s="266">
        <v>340.0</v>
      </c>
      <c r="L2222" s="266" t="s">
        <v>3460</v>
      </c>
      <c r="M2222" s="266">
        <v>3.0</v>
      </c>
      <c r="N2222" s="266">
        <v>3.0</v>
      </c>
      <c r="O2222" s="266">
        <v>1.0</v>
      </c>
      <c r="P2222" s="266" t="s">
        <v>166</v>
      </c>
      <c r="Q2222" s="266" t="s">
        <v>166</v>
      </c>
      <c r="R2222" s="497" t="s">
        <v>166</v>
      </c>
      <c r="S2222" s="497" t="s">
        <v>166</v>
      </c>
      <c r="T2222" s="496"/>
    </row>
    <row r="2223">
      <c r="A2223" s="494" t="s">
        <v>3401</v>
      </c>
      <c r="B2223" s="495" t="s">
        <v>4357</v>
      </c>
      <c r="C2223" s="174" t="s">
        <v>3456</v>
      </c>
      <c r="D2223" s="452" t="s">
        <v>4298</v>
      </c>
      <c r="E2223" s="266">
        <v>316.0</v>
      </c>
      <c r="F2223" s="266">
        <v>124.0</v>
      </c>
      <c r="G2223" s="266">
        <v>58.0</v>
      </c>
      <c r="H2223" s="266">
        <v>2.0</v>
      </c>
      <c r="I2223" s="266">
        <v>1770.0</v>
      </c>
      <c r="J2223" s="266">
        <v>19.0</v>
      </c>
      <c r="K2223" s="266">
        <v>340.0</v>
      </c>
      <c r="L2223" s="266" t="s">
        <v>3460</v>
      </c>
      <c r="M2223" s="266">
        <v>3.0</v>
      </c>
      <c r="N2223" s="266">
        <v>3.0</v>
      </c>
      <c r="O2223" s="266">
        <v>1.0</v>
      </c>
      <c r="P2223" s="266" t="s">
        <v>166</v>
      </c>
      <c r="Q2223" s="266" t="s">
        <v>166</v>
      </c>
      <c r="R2223" s="497" t="s">
        <v>166</v>
      </c>
      <c r="S2223" s="497" t="s">
        <v>166</v>
      </c>
      <c r="T2223" s="494"/>
    </row>
    <row r="2224">
      <c r="A2224" s="494" t="s">
        <v>3401</v>
      </c>
      <c r="B2224" s="495" t="s">
        <v>4357</v>
      </c>
      <c r="C2224" s="174" t="s">
        <v>3456</v>
      </c>
      <c r="D2224" s="452" t="s">
        <v>4299</v>
      </c>
      <c r="E2224" s="266">
        <v>316.0</v>
      </c>
      <c r="F2224" s="266">
        <v>124.0</v>
      </c>
      <c r="G2224" s="266">
        <v>58.0</v>
      </c>
      <c r="H2224" s="266">
        <v>2.0</v>
      </c>
      <c r="I2224" s="266">
        <v>1770.0</v>
      </c>
      <c r="J2224" s="266">
        <v>19.0</v>
      </c>
      <c r="K2224" s="266">
        <v>340.0</v>
      </c>
      <c r="L2224" s="266" t="s">
        <v>3460</v>
      </c>
      <c r="M2224" s="266">
        <v>3.0</v>
      </c>
      <c r="N2224" s="266">
        <v>3.0</v>
      </c>
      <c r="O2224" s="266">
        <v>1.0</v>
      </c>
      <c r="P2224" s="266" t="s">
        <v>166</v>
      </c>
      <c r="Q2224" s="266" t="s">
        <v>166</v>
      </c>
      <c r="R2224" s="497" t="s">
        <v>166</v>
      </c>
      <c r="S2224" s="497" t="s">
        <v>166</v>
      </c>
      <c r="T2224" s="496"/>
    </row>
    <row r="2225">
      <c r="A2225" s="494" t="s">
        <v>3401</v>
      </c>
      <c r="B2225" s="495" t="s">
        <v>4357</v>
      </c>
      <c r="C2225" s="174" t="s">
        <v>3456</v>
      </c>
      <c r="D2225" s="452" t="s">
        <v>4300</v>
      </c>
      <c r="E2225" s="266">
        <v>316.0</v>
      </c>
      <c r="F2225" s="266">
        <v>124.0</v>
      </c>
      <c r="G2225" s="266">
        <v>58.0</v>
      </c>
      <c r="H2225" s="266">
        <v>2.0</v>
      </c>
      <c r="I2225" s="266">
        <v>1770.0</v>
      </c>
      <c r="J2225" s="266">
        <v>19.0</v>
      </c>
      <c r="K2225" s="266">
        <v>340.0</v>
      </c>
      <c r="L2225" s="266" t="s">
        <v>3460</v>
      </c>
      <c r="M2225" s="266">
        <v>3.0</v>
      </c>
      <c r="N2225" s="266">
        <v>3.0</v>
      </c>
      <c r="O2225" s="266">
        <v>1.0</v>
      </c>
      <c r="P2225" s="266" t="s">
        <v>166</v>
      </c>
      <c r="Q2225" s="266" t="s">
        <v>166</v>
      </c>
      <c r="R2225" s="497" t="s">
        <v>166</v>
      </c>
      <c r="S2225" s="497" t="s">
        <v>166</v>
      </c>
      <c r="T2225" s="496"/>
    </row>
    <row r="2226">
      <c r="A2226" s="494" t="s">
        <v>3401</v>
      </c>
      <c r="B2226" s="495" t="s">
        <v>4357</v>
      </c>
      <c r="C2226" s="174" t="s">
        <v>3456</v>
      </c>
      <c r="D2226" s="452" t="s">
        <v>4301</v>
      </c>
      <c r="E2226" s="266">
        <v>316.0</v>
      </c>
      <c r="F2226" s="266">
        <v>124.0</v>
      </c>
      <c r="G2226" s="266">
        <v>58.0</v>
      </c>
      <c r="H2226" s="266">
        <v>2.0</v>
      </c>
      <c r="I2226" s="266">
        <v>1770.0</v>
      </c>
      <c r="J2226" s="266">
        <v>19.0</v>
      </c>
      <c r="K2226" s="266">
        <v>340.0</v>
      </c>
      <c r="L2226" s="266" t="s">
        <v>3460</v>
      </c>
      <c r="M2226" s="266">
        <v>3.0</v>
      </c>
      <c r="N2226" s="266">
        <v>3.0</v>
      </c>
      <c r="O2226" s="266">
        <v>1.0</v>
      </c>
      <c r="P2226" s="266" t="s">
        <v>166</v>
      </c>
      <c r="Q2226" s="266" t="s">
        <v>166</v>
      </c>
      <c r="R2226" s="497" t="s">
        <v>166</v>
      </c>
      <c r="S2226" s="266" t="s">
        <v>166</v>
      </c>
      <c r="T2226" s="494"/>
    </row>
    <row r="2227">
      <c r="A2227" s="494" t="s">
        <v>3401</v>
      </c>
      <c r="B2227" s="495" t="s">
        <v>4357</v>
      </c>
      <c r="C2227" s="174" t="str">
        <f t="shared" ref="C2227:C2247" si="330">HYPERLINK("https://www.gigabyte.com/","Gigabyte")</f>
        <v>Gigabyte</v>
      </c>
      <c r="D2227" s="452" t="s">
        <v>4037</v>
      </c>
      <c r="E2227" s="266">
        <v>267.0</v>
      </c>
      <c r="F2227" s="266">
        <v>111.0</v>
      </c>
      <c r="G2227" s="266">
        <v>40.0</v>
      </c>
      <c r="H2227" s="266">
        <v>2.0</v>
      </c>
      <c r="I2227" s="266">
        <v>1710.0</v>
      </c>
      <c r="J2227" s="266">
        <v>19.0</v>
      </c>
      <c r="K2227" s="266">
        <v>320.0</v>
      </c>
      <c r="L2227" s="266" t="s">
        <v>3460</v>
      </c>
      <c r="M2227" s="266">
        <v>1.0</v>
      </c>
      <c r="N2227" s="266">
        <v>2.0</v>
      </c>
      <c r="O2227" s="266">
        <v>2.0</v>
      </c>
      <c r="P2227" s="266" t="s">
        <v>166</v>
      </c>
      <c r="Q2227" s="266" t="s">
        <v>166</v>
      </c>
      <c r="R2227" s="497" t="s">
        <v>166</v>
      </c>
      <c r="S2227" s="266" t="s">
        <v>174</v>
      </c>
      <c r="T2227" s="494"/>
    </row>
    <row r="2228">
      <c r="A2228" s="494" t="s">
        <v>3401</v>
      </c>
      <c r="B2228" s="495" t="s">
        <v>4357</v>
      </c>
      <c r="C2228" s="174" t="str">
        <f t="shared" si="330"/>
        <v>Gigabyte</v>
      </c>
      <c r="D2228" s="452" t="s">
        <v>4379</v>
      </c>
      <c r="E2228" s="266">
        <v>267.0</v>
      </c>
      <c r="F2228" s="266">
        <v>111.0</v>
      </c>
      <c r="G2228" s="266">
        <v>40.0</v>
      </c>
      <c r="H2228" s="266">
        <v>2.0</v>
      </c>
      <c r="I2228" s="266">
        <v>1710.0</v>
      </c>
      <c r="J2228" s="266">
        <v>19.0</v>
      </c>
      <c r="K2228" s="266">
        <v>320.0</v>
      </c>
      <c r="L2228" s="266" t="s">
        <v>3460</v>
      </c>
      <c r="M2228" s="266">
        <v>1.0</v>
      </c>
      <c r="N2228" s="266">
        <v>2.0</v>
      </c>
      <c r="O2228" s="266">
        <v>2.0</v>
      </c>
      <c r="P2228" s="266" t="s">
        <v>166</v>
      </c>
      <c r="Q2228" s="266" t="s">
        <v>166</v>
      </c>
      <c r="R2228" s="497" t="s">
        <v>166</v>
      </c>
      <c r="S2228" s="266" t="s">
        <v>174</v>
      </c>
      <c r="T2228" s="494"/>
    </row>
    <row r="2229">
      <c r="A2229" s="494" t="s">
        <v>3401</v>
      </c>
      <c r="B2229" s="495" t="s">
        <v>4357</v>
      </c>
      <c r="C2229" s="174" t="str">
        <f t="shared" si="330"/>
        <v>Gigabyte</v>
      </c>
      <c r="D2229" s="452" t="s">
        <v>3374</v>
      </c>
      <c r="E2229" s="266">
        <v>320.0</v>
      </c>
      <c r="F2229" s="266">
        <v>128.0</v>
      </c>
      <c r="G2229" s="266">
        <v>56.0</v>
      </c>
      <c r="H2229" s="266">
        <v>2.0</v>
      </c>
      <c r="I2229" s="266">
        <v>1710.0</v>
      </c>
      <c r="J2229" s="266">
        <v>19.0</v>
      </c>
      <c r="K2229" s="266">
        <v>320.0</v>
      </c>
      <c r="L2229" s="266" t="s">
        <v>3460</v>
      </c>
      <c r="M2229" s="266">
        <v>3.0</v>
      </c>
      <c r="N2229" s="266">
        <v>3.0</v>
      </c>
      <c r="O2229" s="266">
        <v>2.0</v>
      </c>
      <c r="P2229" s="266" t="s">
        <v>166</v>
      </c>
      <c r="Q2229" s="266" t="s">
        <v>166</v>
      </c>
      <c r="R2229" s="497" t="s">
        <v>166</v>
      </c>
      <c r="S2229" s="497" t="s">
        <v>166</v>
      </c>
      <c r="T2229" s="496"/>
    </row>
    <row r="2230">
      <c r="A2230" s="494" t="s">
        <v>3401</v>
      </c>
      <c r="B2230" s="495" t="s">
        <v>4357</v>
      </c>
      <c r="C2230" s="174" t="str">
        <f t="shared" si="330"/>
        <v>Gigabyte</v>
      </c>
      <c r="D2230" s="452" t="s">
        <v>4131</v>
      </c>
      <c r="E2230" s="266">
        <v>320.0</v>
      </c>
      <c r="F2230" s="266">
        <v>128.0</v>
      </c>
      <c r="G2230" s="266">
        <v>56.0</v>
      </c>
      <c r="H2230" s="266">
        <v>2.0</v>
      </c>
      <c r="I2230" s="266">
        <v>1710.0</v>
      </c>
      <c r="J2230" s="266">
        <v>19.0</v>
      </c>
      <c r="K2230" s="266">
        <v>320.0</v>
      </c>
      <c r="L2230" s="266" t="s">
        <v>3460</v>
      </c>
      <c r="M2230" s="266">
        <v>3.0</v>
      </c>
      <c r="N2230" s="266">
        <v>3.0</v>
      </c>
      <c r="O2230" s="266">
        <v>2.0</v>
      </c>
      <c r="P2230" s="266" t="s">
        <v>166</v>
      </c>
      <c r="Q2230" s="266" t="s">
        <v>166</v>
      </c>
      <c r="R2230" s="497" t="s">
        <v>166</v>
      </c>
      <c r="S2230" s="497" t="s">
        <v>166</v>
      </c>
      <c r="T2230" s="494"/>
    </row>
    <row r="2231">
      <c r="A2231" s="494" t="s">
        <v>3401</v>
      </c>
      <c r="B2231" s="495" t="s">
        <v>4357</v>
      </c>
      <c r="C2231" s="174" t="str">
        <f t="shared" si="330"/>
        <v>Gigabyte</v>
      </c>
      <c r="D2231" s="452" t="s">
        <v>3551</v>
      </c>
      <c r="E2231" s="266">
        <v>320.0</v>
      </c>
      <c r="F2231" s="266">
        <v>128.0</v>
      </c>
      <c r="G2231" s="266">
        <v>56.0</v>
      </c>
      <c r="H2231" s="266">
        <v>2.0</v>
      </c>
      <c r="I2231" s="266">
        <v>1755.0</v>
      </c>
      <c r="J2231" s="266">
        <v>19.0</v>
      </c>
      <c r="K2231" s="266">
        <v>340.0</v>
      </c>
      <c r="L2231" s="266" t="s">
        <v>3460</v>
      </c>
      <c r="M2231" s="266">
        <v>3.0</v>
      </c>
      <c r="N2231" s="266">
        <v>3.0</v>
      </c>
      <c r="O2231" s="266">
        <v>2.0</v>
      </c>
      <c r="P2231" s="266" t="s">
        <v>166</v>
      </c>
      <c r="Q2231" s="266" t="s">
        <v>166</v>
      </c>
      <c r="R2231" s="497" t="s">
        <v>166</v>
      </c>
      <c r="S2231" s="497" t="s">
        <v>166</v>
      </c>
      <c r="T2231" s="496"/>
    </row>
    <row r="2232">
      <c r="A2232" s="494" t="s">
        <v>3401</v>
      </c>
      <c r="B2232" s="495" t="s">
        <v>4357</v>
      </c>
      <c r="C2232" s="174" t="str">
        <f t="shared" si="330"/>
        <v>Gigabyte</v>
      </c>
      <c r="D2232" s="452" t="s">
        <v>4132</v>
      </c>
      <c r="E2232" s="266">
        <v>320.0</v>
      </c>
      <c r="F2232" s="266">
        <v>128.0</v>
      </c>
      <c r="G2232" s="266">
        <v>56.0</v>
      </c>
      <c r="H2232" s="266">
        <v>2.0</v>
      </c>
      <c r="I2232" s="266">
        <v>1755.0</v>
      </c>
      <c r="J2232" s="266">
        <v>19.0</v>
      </c>
      <c r="K2232" s="266">
        <v>340.0</v>
      </c>
      <c r="L2232" s="266" t="s">
        <v>3460</v>
      </c>
      <c r="M2232" s="266">
        <v>3.0</v>
      </c>
      <c r="N2232" s="266">
        <v>3.0</v>
      </c>
      <c r="O2232" s="266">
        <v>2.0</v>
      </c>
      <c r="P2232" s="266" t="s">
        <v>166</v>
      </c>
      <c r="Q2232" s="266" t="s">
        <v>166</v>
      </c>
      <c r="R2232" s="497" t="s">
        <v>166</v>
      </c>
      <c r="S2232" s="497" t="s">
        <v>166</v>
      </c>
      <c r="T2232" s="494"/>
    </row>
    <row r="2233">
      <c r="A2233" s="494" t="s">
        <v>3401</v>
      </c>
      <c r="B2233" s="495" t="s">
        <v>4357</v>
      </c>
      <c r="C2233" s="174" t="str">
        <f t="shared" si="330"/>
        <v>Gigabyte</v>
      </c>
      <c r="D2233" s="452" t="s">
        <v>3630</v>
      </c>
      <c r="E2233" s="266">
        <v>320.0</v>
      </c>
      <c r="F2233" s="266">
        <v>129.0</v>
      </c>
      <c r="G2233" s="266">
        <v>55.0</v>
      </c>
      <c r="H2233" s="266">
        <v>2.0</v>
      </c>
      <c r="I2233" s="266">
        <v>1800.0</v>
      </c>
      <c r="J2233" s="266">
        <v>19.0</v>
      </c>
      <c r="K2233" s="266">
        <v>370.0</v>
      </c>
      <c r="L2233" s="266" t="s">
        <v>3460</v>
      </c>
      <c r="M2233" s="266">
        <v>3.0</v>
      </c>
      <c r="N2233" s="266">
        <v>3.0</v>
      </c>
      <c r="O2233" s="266">
        <v>2.0</v>
      </c>
      <c r="P2233" s="266" t="s">
        <v>166</v>
      </c>
      <c r="Q2233" s="266" t="s">
        <v>166</v>
      </c>
      <c r="R2233" s="497" t="s">
        <v>166</v>
      </c>
      <c r="S2233" s="497" t="s">
        <v>166</v>
      </c>
      <c r="T2233" s="496"/>
    </row>
    <row r="2234">
      <c r="A2234" s="494" t="s">
        <v>3401</v>
      </c>
      <c r="B2234" s="495" t="s">
        <v>4357</v>
      </c>
      <c r="C2234" s="174" t="str">
        <f t="shared" si="330"/>
        <v>Gigabyte</v>
      </c>
      <c r="D2234" s="452" t="s">
        <v>4133</v>
      </c>
      <c r="E2234" s="266">
        <v>320.0</v>
      </c>
      <c r="F2234" s="266">
        <v>129.0</v>
      </c>
      <c r="G2234" s="266">
        <v>55.0</v>
      </c>
      <c r="H2234" s="266">
        <v>2.0</v>
      </c>
      <c r="I2234" s="266">
        <v>1800.0</v>
      </c>
      <c r="J2234" s="266">
        <v>19.0</v>
      </c>
      <c r="K2234" s="266">
        <v>370.0</v>
      </c>
      <c r="L2234" s="266" t="s">
        <v>3460</v>
      </c>
      <c r="M2234" s="266">
        <v>3.0</v>
      </c>
      <c r="N2234" s="266">
        <v>3.0</v>
      </c>
      <c r="O2234" s="266">
        <v>2.0</v>
      </c>
      <c r="P2234" s="266" t="s">
        <v>166</v>
      </c>
      <c r="Q2234" s="266" t="s">
        <v>166</v>
      </c>
      <c r="R2234" s="497" t="s">
        <v>166</v>
      </c>
      <c r="S2234" s="497" t="s">
        <v>166</v>
      </c>
      <c r="T2234" s="494"/>
    </row>
    <row r="2235">
      <c r="A2235" s="494" t="s">
        <v>3401</v>
      </c>
      <c r="B2235" s="495" t="s">
        <v>4357</v>
      </c>
      <c r="C2235" s="174" t="str">
        <f t="shared" si="330"/>
        <v>Gigabyte</v>
      </c>
      <c r="D2235" s="452" t="s">
        <v>4134</v>
      </c>
      <c r="E2235" s="266">
        <v>320.0</v>
      </c>
      <c r="F2235" s="266">
        <v>126.0</v>
      </c>
      <c r="G2235" s="266">
        <v>55.0</v>
      </c>
      <c r="H2235" s="266">
        <v>2.0</v>
      </c>
      <c r="I2235" s="266">
        <v>1800.0</v>
      </c>
      <c r="J2235" s="266">
        <v>19.0</v>
      </c>
      <c r="K2235" s="266">
        <v>370.0</v>
      </c>
      <c r="L2235" s="266" t="s">
        <v>3460</v>
      </c>
      <c r="M2235" s="266">
        <v>3.0</v>
      </c>
      <c r="N2235" s="266">
        <v>3.0</v>
      </c>
      <c r="O2235" s="266">
        <v>2.0</v>
      </c>
      <c r="P2235" s="266" t="s">
        <v>166</v>
      </c>
      <c r="Q2235" s="266" t="s">
        <v>166</v>
      </c>
      <c r="R2235" s="497" t="s">
        <v>166</v>
      </c>
      <c r="S2235" s="497" t="s">
        <v>166</v>
      </c>
      <c r="T2235" s="496"/>
    </row>
    <row r="2236">
      <c r="A2236" s="494" t="s">
        <v>3401</v>
      </c>
      <c r="B2236" s="495" t="s">
        <v>4357</v>
      </c>
      <c r="C2236" s="174" t="str">
        <f t="shared" si="330"/>
        <v>Gigabyte</v>
      </c>
      <c r="D2236" s="452" t="s">
        <v>4135</v>
      </c>
      <c r="E2236" s="266">
        <v>320.0</v>
      </c>
      <c r="F2236" s="266">
        <v>126.0</v>
      </c>
      <c r="G2236" s="266">
        <v>55.0</v>
      </c>
      <c r="H2236" s="266">
        <v>2.0</v>
      </c>
      <c r="I2236" s="266">
        <v>1800.0</v>
      </c>
      <c r="J2236" s="266">
        <v>19.0</v>
      </c>
      <c r="K2236" s="266">
        <v>370.0</v>
      </c>
      <c r="L2236" s="266" t="s">
        <v>3460</v>
      </c>
      <c r="M2236" s="266">
        <v>3.0</v>
      </c>
      <c r="N2236" s="266">
        <v>3.0</v>
      </c>
      <c r="O2236" s="266">
        <v>2.0</v>
      </c>
      <c r="P2236" s="266" t="s">
        <v>166</v>
      </c>
      <c r="Q2236" s="266" t="s">
        <v>166</v>
      </c>
      <c r="R2236" s="497" t="s">
        <v>166</v>
      </c>
      <c r="S2236" s="497" t="s">
        <v>166</v>
      </c>
      <c r="T2236" s="494"/>
    </row>
    <row r="2237">
      <c r="A2237" s="494" t="s">
        <v>3401</v>
      </c>
      <c r="B2237" s="495" t="s">
        <v>4357</v>
      </c>
      <c r="C2237" s="174" t="str">
        <f t="shared" si="330"/>
        <v>Gigabyte</v>
      </c>
      <c r="D2237" s="452" t="s">
        <v>3725</v>
      </c>
      <c r="E2237" s="266">
        <v>319.0</v>
      </c>
      <c r="F2237" s="266">
        <v>140.0</v>
      </c>
      <c r="G2237" s="266">
        <v>70.0</v>
      </c>
      <c r="H2237" s="266">
        <v>2.0</v>
      </c>
      <c r="I2237" s="266">
        <v>1845.0</v>
      </c>
      <c r="J2237" s="266">
        <v>19.0</v>
      </c>
      <c r="K2237" s="266">
        <v>370.0</v>
      </c>
      <c r="L2237" s="266" t="s">
        <v>3460</v>
      </c>
      <c r="M2237" s="266">
        <v>3.0</v>
      </c>
      <c r="N2237" s="266">
        <v>3.0</v>
      </c>
      <c r="O2237" s="266">
        <v>3.0</v>
      </c>
      <c r="P2237" s="266" t="s">
        <v>166</v>
      </c>
      <c r="Q2237" s="266" t="s">
        <v>166</v>
      </c>
      <c r="R2237" s="497" t="s">
        <v>166</v>
      </c>
      <c r="S2237" s="497" t="s">
        <v>166</v>
      </c>
      <c r="T2237" s="496"/>
    </row>
    <row r="2238">
      <c r="A2238" s="494" t="s">
        <v>3401</v>
      </c>
      <c r="B2238" s="495" t="s">
        <v>4357</v>
      </c>
      <c r="C2238" s="174" t="str">
        <f t="shared" si="330"/>
        <v>Gigabyte</v>
      </c>
      <c r="D2238" s="452" t="s">
        <v>4380</v>
      </c>
      <c r="E2238" s="266">
        <v>319.0</v>
      </c>
      <c r="F2238" s="266">
        <v>140.0</v>
      </c>
      <c r="G2238" s="266">
        <v>70.0</v>
      </c>
      <c r="H2238" s="266">
        <v>2.0</v>
      </c>
      <c r="I2238" s="266">
        <v>1845.0</v>
      </c>
      <c r="J2238" s="266">
        <v>19.0</v>
      </c>
      <c r="K2238" s="266">
        <v>370.0</v>
      </c>
      <c r="L2238" s="266" t="s">
        <v>3734</v>
      </c>
      <c r="M2238" s="266">
        <v>3.0</v>
      </c>
      <c r="N2238" s="266">
        <v>3.0</v>
      </c>
      <c r="O2238" s="266">
        <v>3.0</v>
      </c>
      <c r="P2238" s="266" t="s">
        <v>166</v>
      </c>
      <c r="Q2238" s="266" t="s">
        <v>166</v>
      </c>
      <c r="R2238" s="497" t="s">
        <v>166</v>
      </c>
      <c r="S2238" s="497" t="s">
        <v>166</v>
      </c>
      <c r="T2238" s="494"/>
    </row>
    <row r="2239">
      <c r="A2239" s="494" t="s">
        <v>3401</v>
      </c>
      <c r="B2239" s="495" t="s">
        <v>4357</v>
      </c>
      <c r="C2239" s="174" t="str">
        <f t="shared" si="330"/>
        <v>Gigabyte</v>
      </c>
      <c r="D2239" s="452" t="s">
        <v>4381</v>
      </c>
      <c r="E2239" s="266">
        <v>319.0</v>
      </c>
      <c r="F2239" s="266">
        <v>140.0</v>
      </c>
      <c r="G2239" s="266">
        <v>70.0</v>
      </c>
      <c r="H2239" s="266">
        <v>2.0</v>
      </c>
      <c r="I2239" s="266">
        <v>1845.0</v>
      </c>
      <c r="J2239" s="266">
        <v>19.0</v>
      </c>
      <c r="K2239" s="266">
        <v>370.0</v>
      </c>
      <c r="L2239" s="266" t="s">
        <v>3734</v>
      </c>
      <c r="M2239" s="266">
        <v>3.0</v>
      </c>
      <c r="N2239" s="266">
        <v>3.0</v>
      </c>
      <c r="O2239" s="266">
        <v>3.0</v>
      </c>
      <c r="P2239" s="266" t="s">
        <v>166</v>
      </c>
      <c r="Q2239" s="266" t="s">
        <v>166</v>
      </c>
      <c r="R2239" s="497" t="s">
        <v>166</v>
      </c>
      <c r="S2239" s="497" t="s">
        <v>166</v>
      </c>
      <c r="T2239" s="494"/>
    </row>
    <row r="2240">
      <c r="A2240" s="494" t="s">
        <v>3401</v>
      </c>
      <c r="B2240" s="495" t="s">
        <v>4357</v>
      </c>
      <c r="C2240" s="174" t="str">
        <f t="shared" si="330"/>
        <v>Gigabyte</v>
      </c>
      <c r="D2240" s="452" t="s">
        <v>3919</v>
      </c>
      <c r="E2240" s="266">
        <v>319.0</v>
      </c>
      <c r="F2240" s="266">
        <v>140.0</v>
      </c>
      <c r="G2240" s="266">
        <v>70.0</v>
      </c>
      <c r="H2240" s="266">
        <v>2.0</v>
      </c>
      <c r="I2240" s="266">
        <v>1905.0</v>
      </c>
      <c r="J2240" s="266">
        <v>19.0</v>
      </c>
      <c r="K2240" s="266">
        <v>370.0</v>
      </c>
      <c r="L2240" s="266" t="s">
        <v>3734</v>
      </c>
      <c r="M2240" s="266">
        <v>3.0</v>
      </c>
      <c r="N2240" s="266">
        <v>3.0</v>
      </c>
      <c r="O2240" s="266">
        <v>3.0</v>
      </c>
      <c r="P2240" s="266" t="s">
        <v>166</v>
      </c>
      <c r="Q2240" s="266" t="s">
        <v>166</v>
      </c>
      <c r="R2240" s="497" t="s">
        <v>166</v>
      </c>
      <c r="S2240" s="497" t="s">
        <v>166</v>
      </c>
      <c r="T2240" s="496"/>
    </row>
    <row r="2241">
      <c r="A2241" s="494" t="s">
        <v>3401</v>
      </c>
      <c r="B2241" s="495" t="s">
        <v>4357</v>
      </c>
      <c r="C2241" s="174" t="str">
        <f t="shared" si="330"/>
        <v>Gigabyte</v>
      </c>
      <c r="D2241" s="452" t="s">
        <v>4382</v>
      </c>
      <c r="E2241" s="266">
        <v>319.0</v>
      </c>
      <c r="F2241" s="266">
        <v>140.0</v>
      </c>
      <c r="G2241" s="266">
        <v>70.0</v>
      </c>
      <c r="H2241" s="266">
        <v>2.0</v>
      </c>
      <c r="I2241" s="266">
        <v>1905.0</v>
      </c>
      <c r="J2241" s="266">
        <v>19.0</v>
      </c>
      <c r="K2241" s="266">
        <v>370.0</v>
      </c>
      <c r="L2241" s="266" t="s">
        <v>3734</v>
      </c>
      <c r="M2241" s="266">
        <v>3.0</v>
      </c>
      <c r="N2241" s="266">
        <v>3.0</v>
      </c>
      <c r="O2241" s="266">
        <v>3.0</v>
      </c>
      <c r="P2241" s="266" t="s">
        <v>166</v>
      </c>
      <c r="Q2241" s="266" t="s">
        <v>166</v>
      </c>
      <c r="R2241" s="497" t="s">
        <v>166</v>
      </c>
      <c r="S2241" s="497" t="s">
        <v>166</v>
      </c>
      <c r="T2241" s="494"/>
    </row>
    <row r="2242">
      <c r="A2242" s="494" t="s">
        <v>3401</v>
      </c>
      <c r="B2242" s="495" t="s">
        <v>4357</v>
      </c>
      <c r="C2242" s="174" t="str">
        <f t="shared" si="330"/>
        <v>Gigabyte</v>
      </c>
      <c r="D2242" s="537" t="s">
        <v>4048</v>
      </c>
      <c r="E2242" s="266">
        <v>310.0</v>
      </c>
      <c r="F2242" s="266">
        <v>134.0</v>
      </c>
      <c r="G2242" s="266">
        <v>40.0</v>
      </c>
      <c r="H2242" s="266">
        <v>2.0</v>
      </c>
      <c r="I2242" s="266">
        <v>1800.0</v>
      </c>
      <c r="J2242" s="266">
        <v>19.0</v>
      </c>
      <c r="K2242" s="266">
        <v>370.0</v>
      </c>
      <c r="L2242" s="266" t="s">
        <v>3460</v>
      </c>
      <c r="M2242" s="266" t="s">
        <v>166</v>
      </c>
      <c r="N2242" s="266">
        <v>3.0</v>
      </c>
      <c r="O2242" s="266">
        <v>2.0</v>
      </c>
      <c r="P2242" s="266" t="s">
        <v>166</v>
      </c>
      <c r="Q2242" s="266" t="s">
        <v>166</v>
      </c>
      <c r="R2242" s="266" t="s">
        <v>174</v>
      </c>
      <c r="S2242" s="497" t="s">
        <v>166</v>
      </c>
      <c r="T2242" s="494"/>
    </row>
    <row r="2243">
      <c r="A2243" s="494" t="s">
        <v>3401</v>
      </c>
      <c r="B2243" s="495" t="s">
        <v>4357</v>
      </c>
      <c r="C2243" s="174" t="str">
        <f t="shared" si="330"/>
        <v>Gigabyte</v>
      </c>
      <c r="D2243" s="537" t="s">
        <v>4383</v>
      </c>
      <c r="E2243" s="266">
        <v>310.0</v>
      </c>
      <c r="F2243" s="266">
        <v>134.0</v>
      </c>
      <c r="G2243" s="266">
        <v>40.0</v>
      </c>
      <c r="H2243" s="266">
        <v>2.0</v>
      </c>
      <c r="I2243" s="266">
        <v>1800.0</v>
      </c>
      <c r="J2243" s="266">
        <v>19.0</v>
      </c>
      <c r="K2243" s="266">
        <v>370.0</v>
      </c>
      <c r="L2243" s="266" t="s">
        <v>3460</v>
      </c>
      <c r="M2243" s="266" t="s">
        <v>166</v>
      </c>
      <c r="N2243" s="266">
        <v>3.0</v>
      </c>
      <c r="O2243" s="266">
        <v>2.0</v>
      </c>
      <c r="P2243" s="266" t="s">
        <v>166</v>
      </c>
      <c r="Q2243" s="266" t="s">
        <v>166</v>
      </c>
      <c r="R2243" s="266" t="s">
        <v>174</v>
      </c>
      <c r="S2243" s="497" t="s">
        <v>166</v>
      </c>
      <c r="T2243" s="494"/>
    </row>
    <row r="2244">
      <c r="A2244" s="494" t="s">
        <v>3401</v>
      </c>
      <c r="B2244" s="495" t="s">
        <v>4357</v>
      </c>
      <c r="C2244" s="174" t="str">
        <f t="shared" si="330"/>
        <v>Gigabyte</v>
      </c>
      <c r="D2244" s="537" t="s">
        <v>4039</v>
      </c>
      <c r="E2244" s="266">
        <v>252.0</v>
      </c>
      <c r="F2244" s="266">
        <v>135.0</v>
      </c>
      <c r="G2244" s="266">
        <v>40.0</v>
      </c>
      <c r="H2244" s="266">
        <v>2.0</v>
      </c>
      <c r="I2244" s="266">
        <v>1845.0</v>
      </c>
      <c r="J2244" s="266">
        <v>19.0</v>
      </c>
      <c r="K2244" s="266">
        <v>370.0</v>
      </c>
      <c r="L2244" s="266" t="s">
        <v>3460</v>
      </c>
      <c r="M2244" s="266" t="s">
        <v>166</v>
      </c>
      <c r="N2244" s="266">
        <v>3.0</v>
      </c>
      <c r="O2244" s="266">
        <v>3.0</v>
      </c>
      <c r="P2244" s="266" t="s">
        <v>166</v>
      </c>
      <c r="Q2244" s="266" t="s">
        <v>166</v>
      </c>
      <c r="R2244" s="266" t="s">
        <v>174</v>
      </c>
      <c r="S2244" s="497" t="s">
        <v>166</v>
      </c>
      <c r="T2244" s="494"/>
    </row>
    <row r="2245">
      <c r="A2245" s="494" t="s">
        <v>3401</v>
      </c>
      <c r="B2245" s="495" t="s">
        <v>4357</v>
      </c>
      <c r="C2245" s="174" t="str">
        <f t="shared" si="330"/>
        <v>Gigabyte</v>
      </c>
      <c r="D2245" s="537" t="s">
        <v>4384</v>
      </c>
      <c r="E2245" s="266">
        <v>252.0</v>
      </c>
      <c r="F2245" s="266">
        <v>135.0</v>
      </c>
      <c r="G2245" s="266">
        <v>40.0</v>
      </c>
      <c r="H2245" s="266">
        <v>2.0</v>
      </c>
      <c r="I2245" s="266">
        <v>1845.0</v>
      </c>
      <c r="J2245" s="266">
        <v>19.0</v>
      </c>
      <c r="K2245" s="266">
        <v>370.0</v>
      </c>
      <c r="L2245" s="266" t="s">
        <v>3460</v>
      </c>
      <c r="M2245" s="266" t="s">
        <v>166</v>
      </c>
      <c r="N2245" s="266">
        <v>3.0</v>
      </c>
      <c r="O2245" s="266">
        <v>3.0</v>
      </c>
      <c r="P2245" s="266" t="s">
        <v>166</v>
      </c>
      <c r="Q2245" s="266" t="s">
        <v>166</v>
      </c>
      <c r="R2245" s="266" t="s">
        <v>174</v>
      </c>
      <c r="S2245" s="497" t="s">
        <v>166</v>
      </c>
      <c r="T2245" s="494"/>
    </row>
    <row r="2246">
      <c r="A2246" s="494" t="s">
        <v>3401</v>
      </c>
      <c r="B2246" s="495" t="s">
        <v>4357</v>
      </c>
      <c r="C2246" s="174" t="str">
        <f t="shared" si="330"/>
        <v>Gigabyte</v>
      </c>
      <c r="D2246" s="537" t="s">
        <v>3748</v>
      </c>
      <c r="E2246" s="266">
        <v>252.0</v>
      </c>
      <c r="F2246" s="266">
        <v>163.0</v>
      </c>
      <c r="G2246" s="266">
        <v>29.0</v>
      </c>
      <c r="H2246" s="266">
        <v>2.0</v>
      </c>
      <c r="I2246" s="266">
        <v>1845.0</v>
      </c>
      <c r="J2246" s="266">
        <v>19.0</v>
      </c>
      <c r="K2246" s="266">
        <v>370.0</v>
      </c>
      <c r="L2246" s="266" t="s">
        <v>3460</v>
      </c>
      <c r="M2246" s="266" t="s">
        <v>166</v>
      </c>
      <c r="N2246" s="266">
        <v>3.0</v>
      </c>
      <c r="O2246" s="266">
        <v>3.0</v>
      </c>
      <c r="P2246" s="266" t="s">
        <v>166</v>
      </c>
      <c r="Q2246" s="266" t="s">
        <v>166</v>
      </c>
      <c r="R2246" s="266" t="s">
        <v>174</v>
      </c>
      <c r="S2246" s="497" t="s">
        <v>166</v>
      </c>
      <c r="T2246" s="494"/>
    </row>
    <row r="2247">
      <c r="A2247" s="494" t="s">
        <v>3401</v>
      </c>
      <c r="B2247" s="495" t="s">
        <v>4357</v>
      </c>
      <c r="C2247" s="174" t="str">
        <f t="shared" si="330"/>
        <v>Gigabyte</v>
      </c>
      <c r="D2247" s="537" t="s">
        <v>4385</v>
      </c>
      <c r="E2247" s="266">
        <v>252.0</v>
      </c>
      <c r="F2247" s="266">
        <v>163.0</v>
      </c>
      <c r="G2247" s="266">
        <v>29.0</v>
      </c>
      <c r="H2247" s="266">
        <v>2.0</v>
      </c>
      <c r="I2247" s="266">
        <v>1845.0</v>
      </c>
      <c r="J2247" s="266">
        <v>19.0</v>
      </c>
      <c r="K2247" s="266">
        <v>370.0</v>
      </c>
      <c r="L2247" s="266" t="s">
        <v>3460</v>
      </c>
      <c r="M2247" s="266" t="s">
        <v>166</v>
      </c>
      <c r="N2247" s="266">
        <v>3.0</v>
      </c>
      <c r="O2247" s="266">
        <v>3.0</v>
      </c>
      <c r="P2247" s="266" t="s">
        <v>166</v>
      </c>
      <c r="Q2247" s="266" t="s">
        <v>166</v>
      </c>
      <c r="R2247" s="266" t="s">
        <v>174</v>
      </c>
      <c r="S2247" s="497" t="s">
        <v>166</v>
      </c>
      <c r="T2247" s="494"/>
    </row>
    <row r="2248">
      <c r="A2248" s="494" t="s">
        <v>3401</v>
      </c>
      <c r="B2248" s="495" t="s">
        <v>4357</v>
      </c>
      <c r="C2248" s="452" t="str">
        <f t="shared" ref="C2248:C2257" si="331">HYPERLINK("http://www.inno3d.com/","Inno3D")</f>
        <v>Inno3D</v>
      </c>
      <c r="D2248" s="452" t="s">
        <v>3882</v>
      </c>
      <c r="E2248" s="266">
        <v>274.0</v>
      </c>
      <c r="F2248" s="266">
        <v>120.0</v>
      </c>
      <c r="G2248" s="266">
        <v>60.0</v>
      </c>
      <c r="H2248" s="266">
        <v>2.0</v>
      </c>
      <c r="I2248" s="266">
        <v>1725.0</v>
      </c>
      <c r="J2248" s="266">
        <v>19.0</v>
      </c>
      <c r="K2248" s="266">
        <v>320.0</v>
      </c>
      <c r="L2248" s="266" t="s">
        <v>3460</v>
      </c>
      <c r="M2248" s="266">
        <v>2.0</v>
      </c>
      <c r="N2248" s="266">
        <v>3.0</v>
      </c>
      <c r="O2248" s="266">
        <v>1.0</v>
      </c>
      <c r="P2248" s="266" t="s">
        <v>166</v>
      </c>
      <c r="Q2248" s="266" t="s">
        <v>166</v>
      </c>
      <c r="R2248" s="497" t="s">
        <v>166</v>
      </c>
      <c r="S2248" s="497" t="s">
        <v>166</v>
      </c>
      <c r="T2248" s="496"/>
    </row>
    <row r="2249">
      <c r="A2249" s="494" t="s">
        <v>3401</v>
      </c>
      <c r="B2249" s="495" t="s">
        <v>4357</v>
      </c>
      <c r="C2249" s="452" t="str">
        <f t="shared" si="331"/>
        <v>Inno3D</v>
      </c>
      <c r="D2249" s="452" t="s">
        <v>4223</v>
      </c>
      <c r="E2249" s="266">
        <v>274.0</v>
      </c>
      <c r="F2249" s="266">
        <v>120.0</v>
      </c>
      <c r="G2249" s="266">
        <v>60.0</v>
      </c>
      <c r="H2249" s="266">
        <v>2.0</v>
      </c>
      <c r="I2249" s="266">
        <v>1725.0</v>
      </c>
      <c r="J2249" s="266">
        <v>19.0</v>
      </c>
      <c r="K2249" s="266">
        <v>320.0</v>
      </c>
      <c r="L2249" s="266" t="s">
        <v>3460</v>
      </c>
      <c r="M2249" s="266">
        <v>2.0</v>
      </c>
      <c r="N2249" s="266">
        <v>3.0</v>
      </c>
      <c r="O2249" s="266">
        <v>1.0</v>
      </c>
      <c r="P2249" s="266" t="s">
        <v>166</v>
      </c>
      <c r="Q2249" s="266" t="s">
        <v>166</v>
      </c>
      <c r="R2249" s="497" t="s">
        <v>166</v>
      </c>
      <c r="S2249" s="497" t="s">
        <v>166</v>
      </c>
      <c r="T2249" s="494"/>
    </row>
    <row r="2250">
      <c r="A2250" s="494" t="s">
        <v>3401</v>
      </c>
      <c r="B2250" s="495" t="s">
        <v>4357</v>
      </c>
      <c r="C2250" s="452" t="str">
        <f t="shared" si="331"/>
        <v>Inno3D</v>
      </c>
      <c r="D2250" s="452" t="s">
        <v>4386</v>
      </c>
      <c r="E2250" s="266">
        <v>300.0</v>
      </c>
      <c r="F2250" s="266">
        <v>112.0</v>
      </c>
      <c r="G2250" s="266">
        <v>40.0</v>
      </c>
      <c r="H2250" s="266">
        <v>2.0</v>
      </c>
      <c r="I2250" s="266">
        <v>1725.0</v>
      </c>
      <c r="J2250" s="266">
        <v>19.0</v>
      </c>
      <c r="K2250" s="266">
        <v>320.0</v>
      </c>
      <c r="L2250" s="266" t="s">
        <v>3460</v>
      </c>
      <c r="M2250" s="266">
        <v>3.0</v>
      </c>
      <c r="N2250" s="266">
        <v>3.0</v>
      </c>
      <c r="O2250" s="266">
        <v>1.0</v>
      </c>
      <c r="P2250" s="266" t="s">
        <v>166</v>
      </c>
      <c r="Q2250" s="266" t="s">
        <v>166</v>
      </c>
      <c r="R2250" s="497" t="s">
        <v>166</v>
      </c>
      <c r="S2250" s="497" t="s">
        <v>166</v>
      </c>
      <c r="T2250" s="494"/>
    </row>
    <row r="2251">
      <c r="A2251" s="494" t="s">
        <v>3401</v>
      </c>
      <c r="B2251" s="495" t="s">
        <v>4357</v>
      </c>
      <c r="C2251" s="452" t="str">
        <f t="shared" si="331"/>
        <v>Inno3D</v>
      </c>
      <c r="D2251" s="452" t="s">
        <v>3921</v>
      </c>
      <c r="E2251" s="266">
        <v>300.0</v>
      </c>
      <c r="F2251" s="266">
        <v>135.0</v>
      </c>
      <c r="G2251" s="266">
        <v>60.0</v>
      </c>
      <c r="H2251" s="266">
        <v>2.0</v>
      </c>
      <c r="I2251" s="266">
        <v>1770.0</v>
      </c>
      <c r="J2251" s="266">
        <v>19.0</v>
      </c>
      <c r="K2251" s="266">
        <v>340.0</v>
      </c>
      <c r="L2251" s="266" t="s">
        <v>3460</v>
      </c>
      <c r="M2251" s="266">
        <v>3.0</v>
      </c>
      <c r="N2251" s="266">
        <v>3.0</v>
      </c>
      <c r="O2251" s="266">
        <v>1.0</v>
      </c>
      <c r="P2251" s="266" t="s">
        <v>166</v>
      </c>
      <c r="Q2251" s="266" t="s">
        <v>166</v>
      </c>
      <c r="R2251" s="497" t="s">
        <v>166</v>
      </c>
      <c r="S2251" s="497" t="s">
        <v>166</v>
      </c>
      <c r="T2251" s="496"/>
    </row>
    <row r="2252">
      <c r="A2252" s="494" t="s">
        <v>3401</v>
      </c>
      <c r="B2252" s="495" t="s">
        <v>4357</v>
      </c>
      <c r="C2252" s="452" t="str">
        <f t="shared" si="331"/>
        <v>Inno3D</v>
      </c>
      <c r="D2252" s="452" t="s">
        <v>4303</v>
      </c>
      <c r="E2252" s="266">
        <v>300.0</v>
      </c>
      <c r="F2252" s="266">
        <v>135.0</v>
      </c>
      <c r="G2252" s="266">
        <v>60.0</v>
      </c>
      <c r="H2252" s="266">
        <v>2.0</v>
      </c>
      <c r="I2252" s="266">
        <v>1770.0</v>
      </c>
      <c r="J2252" s="266">
        <v>19.0</v>
      </c>
      <c r="K2252" s="266">
        <v>340.0</v>
      </c>
      <c r="L2252" s="266" t="s">
        <v>3460</v>
      </c>
      <c r="M2252" s="266">
        <v>3.0</v>
      </c>
      <c r="N2252" s="266">
        <v>3.0</v>
      </c>
      <c r="O2252" s="266">
        <v>1.0</v>
      </c>
      <c r="P2252" s="266" t="s">
        <v>166</v>
      </c>
      <c r="Q2252" s="266" t="s">
        <v>166</v>
      </c>
      <c r="R2252" s="497" t="s">
        <v>166</v>
      </c>
      <c r="S2252" s="497" t="s">
        <v>166</v>
      </c>
      <c r="T2252" s="494"/>
    </row>
    <row r="2253">
      <c r="A2253" s="494" t="s">
        <v>3401</v>
      </c>
      <c r="B2253" s="495" t="s">
        <v>4357</v>
      </c>
      <c r="C2253" s="452" t="str">
        <f t="shared" si="331"/>
        <v>Inno3D</v>
      </c>
      <c r="D2253" s="452" t="s">
        <v>4304</v>
      </c>
      <c r="E2253" s="266">
        <v>300.0</v>
      </c>
      <c r="F2253" s="266">
        <v>135.0</v>
      </c>
      <c r="G2253" s="266">
        <v>60.0</v>
      </c>
      <c r="H2253" s="266">
        <v>2.0</v>
      </c>
      <c r="I2253" s="266">
        <v>1770.0</v>
      </c>
      <c r="J2253" s="266">
        <v>19.0</v>
      </c>
      <c r="K2253" s="266">
        <v>340.0</v>
      </c>
      <c r="L2253" s="266" t="s">
        <v>3460</v>
      </c>
      <c r="M2253" s="266">
        <v>4.0</v>
      </c>
      <c r="N2253" s="266">
        <v>3.0</v>
      </c>
      <c r="O2253" s="266">
        <v>1.0</v>
      </c>
      <c r="P2253" s="266" t="s">
        <v>166</v>
      </c>
      <c r="Q2253" s="266" t="s">
        <v>166</v>
      </c>
      <c r="R2253" s="497" t="s">
        <v>166</v>
      </c>
      <c r="S2253" s="497" t="s">
        <v>166</v>
      </c>
      <c r="T2253" s="496"/>
    </row>
    <row r="2254">
      <c r="A2254" s="494" t="s">
        <v>3401</v>
      </c>
      <c r="B2254" s="495" t="s">
        <v>4357</v>
      </c>
      <c r="C2254" s="452" t="str">
        <f t="shared" si="331"/>
        <v>Inno3D</v>
      </c>
      <c r="D2254" s="452" t="s">
        <v>4305</v>
      </c>
      <c r="E2254" s="266">
        <v>300.0</v>
      </c>
      <c r="F2254" s="266">
        <v>135.0</v>
      </c>
      <c r="G2254" s="266">
        <v>60.0</v>
      </c>
      <c r="H2254" s="266">
        <v>2.0</v>
      </c>
      <c r="I2254" s="266">
        <v>1770.0</v>
      </c>
      <c r="J2254" s="266">
        <v>19.0</v>
      </c>
      <c r="K2254" s="266">
        <v>340.0</v>
      </c>
      <c r="L2254" s="266" t="s">
        <v>3460</v>
      </c>
      <c r="M2254" s="266">
        <v>4.0</v>
      </c>
      <c r="N2254" s="266">
        <v>3.0</v>
      </c>
      <c r="O2254" s="266">
        <v>1.0</v>
      </c>
      <c r="P2254" s="266" t="s">
        <v>166</v>
      </c>
      <c r="Q2254" s="266" t="s">
        <v>166</v>
      </c>
      <c r="R2254" s="497" t="s">
        <v>166</v>
      </c>
      <c r="S2254" s="497" t="s">
        <v>166</v>
      </c>
      <c r="T2254" s="494"/>
    </row>
    <row r="2255">
      <c r="A2255" s="494" t="s">
        <v>3401</v>
      </c>
      <c r="B2255" s="495" t="s">
        <v>4357</v>
      </c>
      <c r="C2255" s="452" t="str">
        <f t="shared" si="331"/>
        <v>Inno3D</v>
      </c>
      <c r="D2255" s="452" t="s">
        <v>4387</v>
      </c>
      <c r="E2255" s="266">
        <v>226.0</v>
      </c>
      <c r="F2255" s="266">
        <v>119.0</v>
      </c>
      <c r="G2255" s="266">
        <v>40.0</v>
      </c>
      <c r="H2255" s="266">
        <v>2.0</v>
      </c>
      <c r="I2255" s="266">
        <v>1770.0</v>
      </c>
      <c r="J2255" s="266">
        <v>19.0</v>
      </c>
      <c r="K2255" s="266">
        <v>340.0</v>
      </c>
      <c r="L2255" s="266" t="s">
        <v>3460</v>
      </c>
      <c r="M2255" s="266">
        <v>1.0</v>
      </c>
      <c r="N2255" s="266">
        <v>3.0</v>
      </c>
      <c r="O2255" s="266">
        <v>1.0</v>
      </c>
      <c r="P2255" s="266" t="s">
        <v>166</v>
      </c>
      <c r="Q2255" s="266" t="s">
        <v>166</v>
      </c>
      <c r="R2255" s="266" t="s">
        <v>174</v>
      </c>
      <c r="S2255" s="497" t="s">
        <v>166</v>
      </c>
      <c r="T2255" s="494"/>
    </row>
    <row r="2256">
      <c r="A2256" s="494" t="s">
        <v>3401</v>
      </c>
      <c r="B2256" s="495" t="s">
        <v>4357</v>
      </c>
      <c r="C2256" s="452" t="str">
        <f t="shared" si="331"/>
        <v>Inno3D</v>
      </c>
      <c r="D2256" s="452" t="s">
        <v>3618</v>
      </c>
      <c r="E2256" s="266">
        <v>226.0</v>
      </c>
      <c r="F2256" s="266">
        <v>135.0</v>
      </c>
      <c r="G2256" s="266">
        <v>30.0</v>
      </c>
      <c r="H2256" s="266">
        <v>2.0</v>
      </c>
      <c r="I2256" s="266">
        <v>1770.0</v>
      </c>
      <c r="J2256" s="266">
        <v>19.0</v>
      </c>
      <c r="K2256" s="266">
        <v>340.0</v>
      </c>
      <c r="L2256" s="266" t="s">
        <v>3460</v>
      </c>
      <c r="M2256" s="266" t="s">
        <v>166</v>
      </c>
      <c r="N2256" s="266">
        <v>3.0</v>
      </c>
      <c r="O2256" s="266">
        <v>1.0</v>
      </c>
      <c r="P2256" s="266" t="s">
        <v>166</v>
      </c>
      <c r="Q2256" s="266" t="s">
        <v>166</v>
      </c>
      <c r="R2256" s="266" t="s">
        <v>174</v>
      </c>
      <c r="S2256" s="497" t="s">
        <v>166</v>
      </c>
      <c r="T2256" s="494"/>
    </row>
    <row r="2257">
      <c r="A2257" s="494" t="s">
        <v>3401</v>
      </c>
      <c r="B2257" s="495" t="s">
        <v>4357</v>
      </c>
      <c r="C2257" s="452" t="str">
        <f t="shared" si="331"/>
        <v>Inno3D</v>
      </c>
      <c r="D2257" s="452" t="s">
        <v>4388</v>
      </c>
      <c r="E2257" s="266">
        <v>226.0</v>
      </c>
      <c r="F2257" s="266">
        <v>135.0</v>
      </c>
      <c r="G2257" s="266">
        <v>30.0</v>
      </c>
      <c r="H2257" s="266">
        <v>2.0</v>
      </c>
      <c r="I2257" s="266">
        <v>1770.0</v>
      </c>
      <c r="J2257" s="266">
        <v>19.0</v>
      </c>
      <c r="K2257" s="266">
        <v>340.0</v>
      </c>
      <c r="L2257" s="266" t="s">
        <v>3460</v>
      </c>
      <c r="M2257" s="266" t="s">
        <v>166</v>
      </c>
      <c r="N2257" s="266">
        <v>3.0</v>
      </c>
      <c r="O2257" s="266">
        <v>1.0</v>
      </c>
      <c r="P2257" s="266" t="s">
        <v>166</v>
      </c>
      <c r="Q2257" s="266" t="s">
        <v>166</v>
      </c>
      <c r="R2257" s="266" t="s">
        <v>174</v>
      </c>
      <c r="S2257" s="497" t="s">
        <v>166</v>
      </c>
      <c r="T2257" s="494"/>
    </row>
    <row r="2258">
      <c r="A2258" s="494" t="s">
        <v>3401</v>
      </c>
      <c r="B2258" s="495" t="s">
        <v>4357</v>
      </c>
      <c r="C2258" s="452" t="s">
        <v>3538</v>
      </c>
      <c r="D2258" s="452" t="s">
        <v>3600</v>
      </c>
      <c r="E2258" s="266">
        <v>323.0</v>
      </c>
      <c r="F2258" s="266">
        <v>122.0</v>
      </c>
      <c r="G2258" s="266">
        <v>63.0</v>
      </c>
      <c r="H2258" s="266">
        <v>2.0</v>
      </c>
      <c r="I2258" s="266">
        <v>1710.0</v>
      </c>
      <c r="J2258" s="266">
        <v>19.0</v>
      </c>
      <c r="K2258" s="266">
        <v>320.0</v>
      </c>
      <c r="L2258" s="266" t="s">
        <v>3460</v>
      </c>
      <c r="M2258" s="266">
        <v>3.0</v>
      </c>
      <c r="N2258" s="266">
        <v>3.0</v>
      </c>
      <c r="O2258" s="266">
        <v>1.0</v>
      </c>
      <c r="P2258" s="266" t="s">
        <v>166</v>
      </c>
      <c r="Q2258" s="266" t="s">
        <v>166</v>
      </c>
      <c r="R2258" s="497" t="s">
        <v>166</v>
      </c>
      <c r="S2258" s="497" t="s">
        <v>166</v>
      </c>
      <c r="T2258" s="496"/>
    </row>
    <row r="2259">
      <c r="A2259" s="494" t="s">
        <v>3401</v>
      </c>
      <c r="B2259" s="495" t="s">
        <v>4357</v>
      </c>
      <c r="C2259" s="452" t="str">
        <f t="shared" ref="C2259:C2263" si="332">HYPERLINK("http://manli.com/en","Manli")</f>
        <v>Manli</v>
      </c>
      <c r="D2259" s="452" t="s">
        <v>4389</v>
      </c>
      <c r="E2259" s="266">
        <v>317.0</v>
      </c>
      <c r="F2259" s="266">
        <v>115.0</v>
      </c>
      <c r="G2259" s="266">
        <v>60.0</v>
      </c>
      <c r="H2259" s="266">
        <v>2.0</v>
      </c>
      <c r="I2259" s="266">
        <v>1710.0</v>
      </c>
      <c r="J2259" s="266">
        <v>19.0</v>
      </c>
      <c r="K2259" s="266">
        <v>320.0</v>
      </c>
      <c r="L2259" s="266" t="s">
        <v>3460</v>
      </c>
      <c r="M2259" s="266">
        <v>3.0</v>
      </c>
      <c r="N2259" s="266">
        <v>3.0</v>
      </c>
      <c r="O2259" s="266">
        <v>1.0</v>
      </c>
      <c r="P2259" s="266" t="s">
        <v>166</v>
      </c>
      <c r="Q2259" s="266" t="s">
        <v>166</v>
      </c>
      <c r="R2259" s="497" t="s">
        <v>166</v>
      </c>
      <c r="S2259" s="497" t="s">
        <v>166</v>
      </c>
      <c r="T2259" s="496"/>
    </row>
    <row r="2260">
      <c r="A2260" s="494" t="s">
        <v>3401</v>
      </c>
      <c r="B2260" s="495" t="s">
        <v>4357</v>
      </c>
      <c r="C2260" s="452" t="str">
        <f t="shared" si="332"/>
        <v>Manli</v>
      </c>
      <c r="D2260" s="452" t="s">
        <v>4390</v>
      </c>
      <c r="E2260" s="266">
        <v>317.0</v>
      </c>
      <c r="F2260" s="266">
        <v>115.0</v>
      </c>
      <c r="G2260" s="266">
        <v>60.0</v>
      </c>
      <c r="H2260" s="266">
        <v>2.0</v>
      </c>
      <c r="I2260" s="266">
        <v>1710.0</v>
      </c>
      <c r="J2260" s="266">
        <v>19.0</v>
      </c>
      <c r="K2260" s="266">
        <v>320.0</v>
      </c>
      <c r="L2260" s="266" t="s">
        <v>3460</v>
      </c>
      <c r="M2260" s="266">
        <v>3.0</v>
      </c>
      <c r="N2260" s="266">
        <v>3.0</v>
      </c>
      <c r="O2260" s="266">
        <v>1.0</v>
      </c>
      <c r="P2260" s="266" t="s">
        <v>166</v>
      </c>
      <c r="Q2260" s="266" t="s">
        <v>166</v>
      </c>
      <c r="R2260" s="497" t="s">
        <v>166</v>
      </c>
      <c r="S2260" s="497" t="s">
        <v>166</v>
      </c>
      <c r="T2260" s="494"/>
    </row>
    <row r="2261">
      <c r="A2261" s="494" t="s">
        <v>3401</v>
      </c>
      <c r="B2261" s="495" t="s">
        <v>4357</v>
      </c>
      <c r="C2261" s="452" t="str">
        <f t="shared" si="332"/>
        <v>Manli</v>
      </c>
      <c r="D2261" s="452" t="s">
        <v>4391</v>
      </c>
      <c r="E2261" s="266">
        <v>317.0</v>
      </c>
      <c r="F2261" s="266">
        <v>115.0</v>
      </c>
      <c r="G2261" s="266">
        <v>60.0</v>
      </c>
      <c r="H2261" s="266">
        <v>2.0</v>
      </c>
      <c r="I2261" s="266">
        <v>1725.0</v>
      </c>
      <c r="J2261" s="266">
        <v>19.0</v>
      </c>
      <c r="K2261" s="266">
        <v>320.0</v>
      </c>
      <c r="L2261" s="266" t="s">
        <v>3460</v>
      </c>
      <c r="M2261" s="266">
        <v>3.0</v>
      </c>
      <c r="N2261" s="266">
        <v>3.0</v>
      </c>
      <c r="O2261" s="266">
        <v>1.0</v>
      </c>
      <c r="P2261" s="266" t="s">
        <v>166</v>
      </c>
      <c r="Q2261" s="266" t="s">
        <v>166</v>
      </c>
      <c r="R2261" s="497" t="s">
        <v>166</v>
      </c>
      <c r="S2261" s="497" t="s">
        <v>166</v>
      </c>
      <c r="T2261" s="496"/>
    </row>
    <row r="2262">
      <c r="A2262" s="494" t="s">
        <v>3401</v>
      </c>
      <c r="B2262" s="495" t="s">
        <v>4357</v>
      </c>
      <c r="C2262" s="452" t="str">
        <f t="shared" si="332"/>
        <v>Manli</v>
      </c>
      <c r="D2262" s="452" t="s">
        <v>4392</v>
      </c>
      <c r="E2262" s="266">
        <v>317.0</v>
      </c>
      <c r="F2262" s="266">
        <v>115.0</v>
      </c>
      <c r="G2262" s="266">
        <v>60.0</v>
      </c>
      <c r="H2262" s="266">
        <v>2.0</v>
      </c>
      <c r="I2262" s="266">
        <v>1725.0</v>
      </c>
      <c r="J2262" s="266">
        <v>19.0</v>
      </c>
      <c r="K2262" s="266">
        <v>320.0</v>
      </c>
      <c r="L2262" s="266" t="s">
        <v>3460</v>
      </c>
      <c r="M2262" s="266">
        <v>3.0</v>
      </c>
      <c r="N2262" s="266">
        <v>3.0</v>
      </c>
      <c r="O2262" s="266">
        <v>1.0</v>
      </c>
      <c r="P2262" s="266" t="s">
        <v>166</v>
      </c>
      <c r="Q2262" s="266" t="s">
        <v>166</v>
      </c>
      <c r="R2262" s="497" t="s">
        <v>166</v>
      </c>
      <c r="S2262" s="497" t="s">
        <v>166</v>
      </c>
      <c r="T2262" s="496"/>
    </row>
    <row r="2263">
      <c r="A2263" s="494" t="s">
        <v>3401</v>
      </c>
      <c r="B2263" s="495" t="s">
        <v>4357</v>
      </c>
      <c r="C2263" s="452" t="str">
        <f t="shared" si="332"/>
        <v>Manli</v>
      </c>
      <c r="D2263" s="452" t="s">
        <v>4393</v>
      </c>
      <c r="E2263" s="266">
        <v>317.0</v>
      </c>
      <c r="F2263" s="266">
        <v>115.0</v>
      </c>
      <c r="G2263" s="266">
        <v>60.0</v>
      </c>
      <c r="H2263" s="266">
        <v>2.0</v>
      </c>
      <c r="I2263" s="266">
        <v>1725.0</v>
      </c>
      <c r="J2263" s="266">
        <v>19.0</v>
      </c>
      <c r="K2263" s="266">
        <v>320.0</v>
      </c>
      <c r="L2263" s="266" t="s">
        <v>3460</v>
      </c>
      <c r="M2263" s="266">
        <v>3.0</v>
      </c>
      <c r="N2263" s="266">
        <v>3.0</v>
      </c>
      <c r="O2263" s="266">
        <v>1.0</v>
      </c>
      <c r="P2263" s="266" t="s">
        <v>166</v>
      </c>
      <c r="Q2263" s="266" t="s">
        <v>166</v>
      </c>
      <c r="R2263" s="497" t="s">
        <v>166</v>
      </c>
      <c r="S2263" s="497" t="s">
        <v>166</v>
      </c>
      <c r="T2263" s="494"/>
    </row>
    <row r="2264">
      <c r="A2264" s="494" t="s">
        <v>3401</v>
      </c>
      <c r="B2264" s="495" t="s">
        <v>4357</v>
      </c>
      <c r="C2264" s="174" t="s">
        <v>3565</v>
      </c>
      <c r="D2264" s="452" t="s">
        <v>4079</v>
      </c>
      <c r="E2264" s="266">
        <v>317.0</v>
      </c>
      <c r="F2264" s="266">
        <v>124.0</v>
      </c>
      <c r="G2264" s="266">
        <v>60.0</v>
      </c>
      <c r="H2264" s="266">
        <v>2.0</v>
      </c>
      <c r="I2264" s="266">
        <v>1710.0</v>
      </c>
      <c r="J2264" s="266">
        <v>19.0</v>
      </c>
      <c r="K2264" s="266">
        <v>320.0</v>
      </c>
      <c r="L2264" s="266" t="s">
        <v>3460</v>
      </c>
      <c r="M2264" s="266">
        <v>3.0</v>
      </c>
      <c r="N2264" s="266">
        <v>3.0</v>
      </c>
      <c r="O2264" s="266">
        <v>1.0</v>
      </c>
      <c r="P2264" s="266" t="s">
        <v>166</v>
      </c>
      <c r="Q2264" s="266" t="s">
        <v>166</v>
      </c>
      <c r="R2264" s="497" t="s">
        <v>166</v>
      </c>
      <c r="S2264" s="497" t="s">
        <v>166</v>
      </c>
      <c r="T2264" s="496"/>
    </row>
    <row r="2265">
      <c r="A2265" s="494" t="s">
        <v>3401</v>
      </c>
      <c r="B2265" s="495" t="s">
        <v>4357</v>
      </c>
      <c r="C2265" s="174" t="s">
        <v>3565</v>
      </c>
      <c r="D2265" s="452" t="s">
        <v>4229</v>
      </c>
      <c r="E2265" s="266">
        <v>317.0</v>
      </c>
      <c r="F2265" s="266">
        <v>124.0</v>
      </c>
      <c r="G2265" s="266">
        <v>60.0</v>
      </c>
      <c r="H2265" s="266">
        <v>2.0</v>
      </c>
      <c r="I2265" s="266">
        <v>1740.0</v>
      </c>
      <c r="J2265" s="266">
        <v>19.0</v>
      </c>
      <c r="K2265" s="266">
        <v>320.0</v>
      </c>
      <c r="L2265" s="266" t="s">
        <v>3460</v>
      </c>
      <c r="M2265" s="266">
        <v>3.0</v>
      </c>
      <c r="N2265" s="266">
        <v>3.0</v>
      </c>
      <c r="O2265" s="266">
        <v>1.0</v>
      </c>
      <c r="P2265" s="266" t="s">
        <v>166</v>
      </c>
      <c r="Q2265" s="266" t="s">
        <v>166</v>
      </c>
      <c r="R2265" s="497" t="s">
        <v>166</v>
      </c>
      <c r="S2265" s="497" t="s">
        <v>166</v>
      </c>
      <c r="T2265" s="496"/>
    </row>
    <row r="2266">
      <c r="A2266" s="494" t="s">
        <v>3401</v>
      </c>
      <c r="B2266" s="495" t="s">
        <v>4357</v>
      </c>
      <c r="C2266" s="174" t="str">
        <f t="shared" ref="C2266:C2288" si="333">HYPERLINK("https://www.msi.com/index.php","MSI")</f>
        <v>MSI</v>
      </c>
      <c r="D2266" s="452" t="s">
        <v>4146</v>
      </c>
      <c r="E2266" s="266">
        <v>305.0</v>
      </c>
      <c r="F2266" s="266">
        <v>120.0</v>
      </c>
      <c r="G2266" s="266">
        <v>57.0</v>
      </c>
      <c r="H2266" s="266">
        <v>2.0</v>
      </c>
      <c r="I2266" s="266">
        <v>1710.0</v>
      </c>
      <c r="J2266" s="266">
        <v>19.0</v>
      </c>
      <c r="K2266" s="266">
        <v>320.0</v>
      </c>
      <c r="L2266" s="266" t="s">
        <v>3460</v>
      </c>
      <c r="M2266" s="266">
        <v>3.0</v>
      </c>
      <c r="N2266" s="266">
        <v>3.0</v>
      </c>
      <c r="O2266" s="266">
        <v>1.0</v>
      </c>
      <c r="P2266" s="266" t="s">
        <v>166</v>
      </c>
      <c r="Q2266" s="266" t="s">
        <v>166</v>
      </c>
      <c r="R2266" s="497" t="s">
        <v>166</v>
      </c>
      <c r="S2266" s="497" t="s">
        <v>166</v>
      </c>
      <c r="T2266" s="496"/>
    </row>
    <row r="2267">
      <c r="A2267" s="494" t="s">
        <v>3401</v>
      </c>
      <c r="B2267" s="495" t="s">
        <v>4357</v>
      </c>
      <c r="C2267" s="174" t="str">
        <f t="shared" si="333"/>
        <v>MSI</v>
      </c>
      <c r="D2267" s="452" t="s">
        <v>4147</v>
      </c>
      <c r="E2267" s="266">
        <v>305.0</v>
      </c>
      <c r="F2267" s="266">
        <v>120.0</v>
      </c>
      <c r="G2267" s="266">
        <v>57.0</v>
      </c>
      <c r="H2267" s="266">
        <v>2.0</v>
      </c>
      <c r="I2267" s="266">
        <v>1740.0</v>
      </c>
      <c r="J2267" s="266">
        <v>19.0</v>
      </c>
      <c r="K2267" s="266">
        <v>320.0</v>
      </c>
      <c r="L2267" s="266" t="s">
        <v>3460</v>
      </c>
      <c r="M2267" s="266">
        <v>3.0</v>
      </c>
      <c r="N2267" s="266">
        <v>3.0</v>
      </c>
      <c r="O2267" s="266">
        <v>1.0</v>
      </c>
      <c r="P2267" s="266" t="s">
        <v>166</v>
      </c>
      <c r="Q2267" s="266" t="s">
        <v>166</v>
      </c>
      <c r="R2267" s="497" t="s">
        <v>166</v>
      </c>
      <c r="S2267" s="497" t="s">
        <v>166</v>
      </c>
      <c r="T2267" s="496"/>
    </row>
    <row r="2268">
      <c r="A2268" s="494" t="s">
        <v>3401</v>
      </c>
      <c r="B2268" s="495" t="s">
        <v>4357</v>
      </c>
      <c r="C2268" s="174" t="str">
        <f t="shared" si="333"/>
        <v>MSI</v>
      </c>
      <c r="D2268" s="452" t="s">
        <v>4237</v>
      </c>
      <c r="E2268" s="266">
        <v>305.0</v>
      </c>
      <c r="F2268" s="266">
        <v>120.0</v>
      </c>
      <c r="G2268" s="266">
        <v>57.0</v>
      </c>
      <c r="H2268" s="266">
        <v>2.0</v>
      </c>
      <c r="I2268" s="266">
        <v>1710.0</v>
      </c>
      <c r="J2268" s="266">
        <v>19.0</v>
      </c>
      <c r="K2268" s="266">
        <v>320.0</v>
      </c>
      <c r="L2268" s="266" t="s">
        <v>3460</v>
      </c>
      <c r="M2268" s="266">
        <v>3.0</v>
      </c>
      <c r="N2268" s="266">
        <v>3.0</v>
      </c>
      <c r="O2268" s="266">
        <v>1.0</v>
      </c>
      <c r="P2268" s="266" t="s">
        <v>166</v>
      </c>
      <c r="Q2268" s="266" t="s">
        <v>166</v>
      </c>
      <c r="R2268" s="497" t="s">
        <v>166</v>
      </c>
      <c r="S2268" s="497" t="s">
        <v>166</v>
      </c>
      <c r="T2268" s="494"/>
    </row>
    <row r="2269">
      <c r="A2269" s="494" t="s">
        <v>3401</v>
      </c>
      <c r="B2269" s="495" t="s">
        <v>4357</v>
      </c>
      <c r="C2269" s="174" t="str">
        <f t="shared" si="333"/>
        <v>MSI</v>
      </c>
      <c r="D2269" s="452" t="s">
        <v>4238</v>
      </c>
      <c r="E2269" s="266">
        <v>305.0</v>
      </c>
      <c r="F2269" s="266">
        <v>120.0</v>
      </c>
      <c r="G2269" s="266">
        <v>57.0</v>
      </c>
      <c r="H2269" s="266">
        <v>2.0</v>
      </c>
      <c r="I2269" s="266">
        <v>1740.0</v>
      </c>
      <c r="J2269" s="266">
        <v>19.0</v>
      </c>
      <c r="K2269" s="266">
        <v>320.0</v>
      </c>
      <c r="L2269" s="266" t="s">
        <v>3460</v>
      </c>
      <c r="M2269" s="266">
        <v>3.0</v>
      </c>
      <c r="N2269" s="266">
        <v>3.0</v>
      </c>
      <c r="O2269" s="266">
        <v>1.0</v>
      </c>
      <c r="P2269" s="266" t="s">
        <v>166</v>
      </c>
      <c r="Q2269" s="266" t="s">
        <v>166</v>
      </c>
      <c r="R2269" s="497" t="s">
        <v>166</v>
      </c>
      <c r="S2269" s="497" t="s">
        <v>166</v>
      </c>
      <c r="T2269" s="494"/>
    </row>
    <row r="2270">
      <c r="A2270" s="494" t="s">
        <v>3401</v>
      </c>
      <c r="B2270" s="495" t="s">
        <v>4357</v>
      </c>
      <c r="C2270" s="174" t="str">
        <f t="shared" si="333"/>
        <v>MSI</v>
      </c>
      <c r="D2270" s="452" t="s">
        <v>4394</v>
      </c>
      <c r="E2270" s="266">
        <v>305.0</v>
      </c>
      <c r="F2270" s="266">
        <v>120.0</v>
      </c>
      <c r="G2270" s="266">
        <v>57.0</v>
      </c>
      <c r="H2270" s="266">
        <v>2.0</v>
      </c>
      <c r="I2270" s="266">
        <v>1710.0</v>
      </c>
      <c r="J2270" s="266">
        <v>19.0</v>
      </c>
      <c r="K2270" s="266">
        <v>320.0</v>
      </c>
      <c r="L2270" s="266" t="s">
        <v>3460</v>
      </c>
      <c r="M2270" s="266">
        <v>3.0</v>
      </c>
      <c r="N2270" s="266">
        <v>3.0</v>
      </c>
      <c r="O2270" s="266">
        <v>1.0</v>
      </c>
      <c r="P2270" s="266" t="s">
        <v>166</v>
      </c>
      <c r="Q2270" s="266" t="s">
        <v>166</v>
      </c>
      <c r="R2270" s="497" t="s">
        <v>166</v>
      </c>
      <c r="S2270" s="497" t="s">
        <v>166</v>
      </c>
      <c r="T2270" s="494"/>
    </row>
    <row r="2271">
      <c r="A2271" s="494" t="s">
        <v>3401</v>
      </c>
      <c r="B2271" s="495" t="s">
        <v>4357</v>
      </c>
      <c r="C2271" s="174" t="str">
        <f t="shared" si="333"/>
        <v>MSI</v>
      </c>
      <c r="D2271" s="452" t="s">
        <v>4395</v>
      </c>
      <c r="E2271" s="266">
        <v>305.0</v>
      </c>
      <c r="F2271" s="266">
        <v>120.0</v>
      </c>
      <c r="G2271" s="266">
        <v>57.0</v>
      </c>
      <c r="H2271" s="266">
        <v>2.0</v>
      </c>
      <c r="I2271" s="266">
        <v>1740.0</v>
      </c>
      <c r="J2271" s="266">
        <v>19.0</v>
      </c>
      <c r="K2271" s="266">
        <v>320.0</v>
      </c>
      <c r="L2271" s="266" t="s">
        <v>3460</v>
      </c>
      <c r="M2271" s="266">
        <v>3.0</v>
      </c>
      <c r="N2271" s="266">
        <v>3.0</v>
      </c>
      <c r="O2271" s="266">
        <v>1.0</v>
      </c>
      <c r="P2271" s="266" t="s">
        <v>166</v>
      </c>
      <c r="Q2271" s="266" t="s">
        <v>166</v>
      </c>
      <c r="R2271" s="497" t="s">
        <v>166</v>
      </c>
      <c r="S2271" s="497" t="s">
        <v>166</v>
      </c>
      <c r="T2271" s="494"/>
    </row>
    <row r="2272">
      <c r="A2272" s="494" t="s">
        <v>3401</v>
      </c>
      <c r="B2272" s="495" t="s">
        <v>4357</v>
      </c>
      <c r="C2272" s="174" t="str">
        <f t="shared" si="333"/>
        <v>MSI</v>
      </c>
      <c r="D2272" s="452" t="s">
        <v>4396</v>
      </c>
      <c r="E2272" s="266">
        <v>305.0</v>
      </c>
      <c r="F2272" s="266">
        <v>120.0</v>
      </c>
      <c r="G2272" s="266">
        <v>57.0</v>
      </c>
      <c r="H2272" s="266">
        <v>2.0</v>
      </c>
      <c r="I2272" s="266">
        <v>1710.0</v>
      </c>
      <c r="J2272" s="266">
        <v>19.0</v>
      </c>
      <c r="K2272" s="266">
        <v>320.0</v>
      </c>
      <c r="L2272" s="266" t="s">
        <v>3460</v>
      </c>
      <c r="M2272" s="266">
        <v>3.0</v>
      </c>
      <c r="N2272" s="266">
        <v>3.0</v>
      </c>
      <c r="O2272" s="266">
        <v>1.0</v>
      </c>
      <c r="P2272" s="266" t="s">
        <v>166</v>
      </c>
      <c r="Q2272" s="266" t="s">
        <v>166</v>
      </c>
      <c r="R2272" s="497" t="s">
        <v>166</v>
      </c>
      <c r="S2272" s="497" t="s">
        <v>166</v>
      </c>
      <c r="T2272" s="494"/>
    </row>
    <row r="2273">
      <c r="A2273" s="494" t="s">
        <v>3401</v>
      </c>
      <c r="B2273" s="495" t="s">
        <v>4357</v>
      </c>
      <c r="C2273" s="174" t="str">
        <f t="shared" si="333"/>
        <v>MSI</v>
      </c>
      <c r="D2273" s="452" t="s">
        <v>4397</v>
      </c>
      <c r="E2273" s="266">
        <v>305.0</v>
      </c>
      <c r="F2273" s="266">
        <v>120.0</v>
      </c>
      <c r="G2273" s="266">
        <v>57.0</v>
      </c>
      <c r="H2273" s="266">
        <v>2.0</v>
      </c>
      <c r="I2273" s="266">
        <v>1740.0</v>
      </c>
      <c r="J2273" s="266">
        <v>19.0</v>
      </c>
      <c r="K2273" s="266">
        <v>320.0</v>
      </c>
      <c r="L2273" s="266" t="s">
        <v>3460</v>
      </c>
      <c r="M2273" s="266">
        <v>3.0</v>
      </c>
      <c r="N2273" s="266">
        <v>3.0</v>
      </c>
      <c r="O2273" s="266">
        <v>1.0</v>
      </c>
      <c r="P2273" s="266" t="s">
        <v>166</v>
      </c>
      <c r="Q2273" s="266" t="s">
        <v>166</v>
      </c>
      <c r="R2273" s="497" t="s">
        <v>166</v>
      </c>
      <c r="S2273" s="497" t="s">
        <v>166</v>
      </c>
      <c r="T2273" s="494"/>
    </row>
    <row r="2274">
      <c r="A2274" s="494" t="s">
        <v>3401</v>
      </c>
      <c r="B2274" s="495" t="s">
        <v>4357</v>
      </c>
      <c r="C2274" s="174" t="str">
        <f t="shared" si="333"/>
        <v>MSI</v>
      </c>
      <c r="D2274" s="452" t="s">
        <v>3720</v>
      </c>
      <c r="E2274" s="266">
        <v>323.0</v>
      </c>
      <c r="F2274" s="266">
        <v>140.0</v>
      </c>
      <c r="G2274" s="266">
        <v>56.0</v>
      </c>
      <c r="H2274" s="266">
        <v>2.0</v>
      </c>
      <c r="I2274" s="266">
        <v>1755.0</v>
      </c>
      <c r="J2274" s="266">
        <v>19.0</v>
      </c>
      <c r="K2274" s="266">
        <v>340.0</v>
      </c>
      <c r="L2274" s="266" t="s">
        <v>3734</v>
      </c>
      <c r="M2274" s="266">
        <v>3.0</v>
      </c>
      <c r="N2274" s="266">
        <v>3.0</v>
      </c>
      <c r="O2274" s="266">
        <v>1.0</v>
      </c>
      <c r="P2274" s="266" t="s">
        <v>166</v>
      </c>
      <c r="Q2274" s="266" t="s">
        <v>166</v>
      </c>
      <c r="R2274" s="497" t="s">
        <v>166</v>
      </c>
      <c r="S2274" s="497" t="s">
        <v>166</v>
      </c>
      <c r="T2274" s="496"/>
    </row>
    <row r="2275">
      <c r="A2275" s="494" t="s">
        <v>3401</v>
      </c>
      <c r="B2275" s="495" t="s">
        <v>4357</v>
      </c>
      <c r="C2275" s="174" t="str">
        <f t="shared" si="333"/>
        <v>MSI</v>
      </c>
      <c r="D2275" s="452" t="s">
        <v>3726</v>
      </c>
      <c r="E2275" s="266">
        <v>323.0</v>
      </c>
      <c r="F2275" s="266">
        <v>140.0</v>
      </c>
      <c r="G2275" s="266">
        <v>56.0</v>
      </c>
      <c r="H2275" s="266">
        <v>2.0</v>
      </c>
      <c r="I2275" s="266">
        <v>1755.0</v>
      </c>
      <c r="J2275" s="266">
        <v>19.0</v>
      </c>
      <c r="K2275" s="266">
        <v>340.0</v>
      </c>
      <c r="L2275" s="266" t="s">
        <v>3734</v>
      </c>
      <c r="M2275" s="266">
        <v>3.0</v>
      </c>
      <c r="N2275" s="266">
        <v>3.0</v>
      </c>
      <c r="O2275" s="266">
        <v>1.0</v>
      </c>
      <c r="P2275" s="266" t="s">
        <v>166</v>
      </c>
      <c r="Q2275" s="266" t="s">
        <v>166</v>
      </c>
      <c r="R2275" s="497" t="s">
        <v>166</v>
      </c>
      <c r="S2275" s="497" t="s">
        <v>166</v>
      </c>
      <c r="T2275" s="496"/>
    </row>
    <row r="2276">
      <c r="A2276" s="494" t="s">
        <v>3401</v>
      </c>
      <c r="B2276" s="495" t="s">
        <v>4357</v>
      </c>
      <c r="C2276" s="174" t="str">
        <f t="shared" si="333"/>
        <v>MSI</v>
      </c>
      <c r="D2276" s="452" t="s">
        <v>4241</v>
      </c>
      <c r="E2276" s="266">
        <v>323.0</v>
      </c>
      <c r="F2276" s="266">
        <v>140.0</v>
      </c>
      <c r="G2276" s="266">
        <v>56.0</v>
      </c>
      <c r="H2276" s="266">
        <v>2.0</v>
      </c>
      <c r="I2276" s="266">
        <v>1755.0</v>
      </c>
      <c r="J2276" s="266">
        <v>19.0</v>
      </c>
      <c r="K2276" s="266">
        <v>340.0</v>
      </c>
      <c r="L2276" s="266" t="s">
        <v>3734</v>
      </c>
      <c r="M2276" s="266">
        <v>3.0</v>
      </c>
      <c r="N2276" s="266">
        <v>3.0</v>
      </c>
      <c r="O2276" s="266">
        <v>1.0</v>
      </c>
      <c r="P2276" s="266" t="s">
        <v>166</v>
      </c>
      <c r="Q2276" s="266" t="s">
        <v>166</v>
      </c>
      <c r="R2276" s="497" t="s">
        <v>166</v>
      </c>
      <c r="S2276" s="497" t="s">
        <v>166</v>
      </c>
      <c r="T2276" s="494"/>
    </row>
    <row r="2277">
      <c r="A2277" s="494" t="s">
        <v>3401</v>
      </c>
      <c r="B2277" s="495" t="s">
        <v>4357</v>
      </c>
      <c r="C2277" s="174" t="str">
        <f t="shared" si="333"/>
        <v>MSI</v>
      </c>
      <c r="D2277" s="452" t="s">
        <v>3721</v>
      </c>
      <c r="E2277" s="266">
        <v>323.0</v>
      </c>
      <c r="F2277" s="266">
        <v>140.0</v>
      </c>
      <c r="G2277" s="266">
        <v>56.0</v>
      </c>
      <c r="H2277" s="266">
        <v>2.0</v>
      </c>
      <c r="I2277" s="266">
        <v>1815.0</v>
      </c>
      <c r="J2277" s="266">
        <v>19.0</v>
      </c>
      <c r="K2277" s="266">
        <v>340.0</v>
      </c>
      <c r="L2277" s="266" t="s">
        <v>3734</v>
      </c>
      <c r="M2277" s="266">
        <v>3.0</v>
      </c>
      <c r="N2277" s="266">
        <v>3.0</v>
      </c>
      <c r="O2277" s="266">
        <v>1.0</v>
      </c>
      <c r="P2277" s="266" t="s">
        <v>166</v>
      </c>
      <c r="Q2277" s="266" t="s">
        <v>166</v>
      </c>
      <c r="R2277" s="497" t="s">
        <v>166</v>
      </c>
      <c r="S2277" s="497" t="s">
        <v>166</v>
      </c>
      <c r="T2277" s="496"/>
    </row>
    <row r="2278">
      <c r="A2278" s="494" t="s">
        <v>3401</v>
      </c>
      <c r="B2278" s="495" t="s">
        <v>4357</v>
      </c>
      <c r="C2278" s="174" t="str">
        <f t="shared" si="333"/>
        <v>MSI</v>
      </c>
      <c r="D2278" s="537" t="s">
        <v>3727</v>
      </c>
      <c r="E2278" s="266">
        <v>323.0</v>
      </c>
      <c r="F2278" s="266">
        <v>140.0</v>
      </c>
      <c r="G2278" s="266">
        <v>56.0</v>
      </c>
      <c r="H2278" s="266">
        <v>2.0</v>
      </c>
      <c r="I2278" s="266">
        <v>1830.0</v>
      </c>
      <c r="J2278" s="266">
        <v>19.0</v>
      </c>
      <c r="K2278" s="266">
        <v>370.0</v>
      </c>
      <c r="L2278" s="266" t="s">
        <v>3734</v>
      </c>
      <c r="M2278" s="266">
        <v>3.0</v>
      </c>
      <c r="N2278" s="266">
        <v>3.0</v>
      </c>
      <c r="O2278" s="266">
        <v>1.0</v>
      </c>
      <c r="P2278" s="266" t="s">
        <v>166</v>
      </c>
      <c r="Q2278" s="266" t="s">
        <v>166</v>
      </c>
      <c r="R2278" s="497" t="s">
        <v>166</v>
      </c>
      <c r="S2278" s="497" t="s">
        <v>166</v>
      </c>
      <c r="T2278" s="496"/>
    </row>
    <row r="2279">
      <c r="A2279" s="494" t="s">
        <v>3401</v>
      </c>
      <c r="B2279" s="495" t="s">
        <v>4357</v>
      </c>
      <c r="C2279" s="174" t="str">
        <f t="shared" si="333"/>
        <v>MSI</v>
      </c>
      <c r="D2279" s="537" t="s">
        <v>4242</v>
      </c>
      <c r="E2279" s="266">
        <v>323.0</v>
      </c>
      <c r="F2279" s="266">
        <v>140.0</v>
      </c>
      <c r="G2279" s="266">
        <v>56.0</v>
      </c>
      <c r="H2279" s="266">
        <v>2.0</v>
      </c>
      <c r="I2279" s="266">
        <v>1830.0</v>
      </c>
      <c r="J2279" s="266">
        <v>19.0</v>
      </c>
      <c r="K2279" s="266">
        <v>370.0</v>
      </c>
      <c r="L2279" s="266" t="s">
        <v>3734</v>
      </c>
      <c r="M2279" s="266">
        <v>3.0</v>
      </c>
      <c r="N2279" s="266">
        <v>3.0</v>
      </c>
      <c r="O2279" s="266">
        <v>1.0</v>
      </c>
      <c r="P2279" s="266" t="s">
        <v>166</v>
      </c>
      <c r="Q2279" s="266" t="s">
        <v>166</v>
      </c>
      <c r="R2279" s="497" t="s">
        <v>166</v>
      </c>
      <c r="S2279" s="497" t="s">
        <v>166</v>
      </c>
      <c r="T2279" s="494"/>
    </row>
    <row r="2280">
      <c r="A2280" s="494" t="s">
        <v>3401</v>
      </c>
      <c r="B2280" s="495" t="s">
        <v>4357</v>
      </c>
      <c r="C2280" s="174" t="str">
        <f t="shared" si="333"/>
        <v>MSI</v>
      </c>
      <c r="D2280" s="537" t="s">
        <v>4314</v>
      </c>
      <c r="E2280" s="266">
        <v>336.0</v>
      </c>
      <c r="F2280" s="266">
        <v>140.0</v>
      </c>
      <c r="G2280" s="266">
        <v>61.0</v>
      </c>
      <c r="H2280" s="266">
        <v>2.0</v>
      </c>
      <c r="I2280" s="266">
        <v>1770.0</v>
      </c>
      <c r="J2280" s="266">
        <v>19.0</v>
      </c>
      <c r="K2280" s="266">
        <v>370.0</v>
      </c>
      <c r="L2280" s="266" t="s">
        <v>3734</v>
      </c>
      <c r="M2280" s="266">
        <v>3.0</v>
      </c>
      <c r="N2280" s="266">
        <v>3.0</v>
      </c>
      <c r="O2280" s="266">
        <v>1.0</v>
      </c>
      <c r="P2280" s="266" t="s">
        <v>166</v>
      </c>
      <c r="Q2280" s="266" t="s">
        <v>166</v>
      </c>
      <c r="R2280" s="497" t="s">
        <v>166</v>
      </c>
      <c r="S2280" s="497" t="s">
        <v>166</v>
      </c>
      <c r="T2280" s="496"/>
    </row>
    <row r="2281">
      <c r="A2281" s="494" t="s">
        <v>3401</v>
      </c>
      <c r="B2281" s="495" t="s">
        <v>4357</v>
      </c>
      <c r="C2281" s="174" t="str">
        <f t="shared" si="333"/>
        <v>MSI</v>
      </c>
      <c r="D2281" s="537" t="s">
        <v>4315</v>
      </c>
      <c r="E2281" s="266">
        <v>336.0</v>
      </c>
      <c r="F2281" s="266">
        <v>140.0</v>
      </c>
      <c r="G2281" s="266">
        <v>61.0</v>
      </c>
      <c r="H2281" s="266">
        <v>2.0</v>
      </c>
      <c r="I2281" s="266">
        <v>1770.0</v>
      </c>
      <c r="J2281" s="266">
        <v>19.0</v>
      </c>
      <c r="K2281" s="266">
        <v>370.0</v>
      </c>
      <c r="L2281" s="266" t="s">
        <v>3734</v>
      </c>
      <c r="M2281" s="266">
        <v>3.0</v>
      </c>
      <c r="N2281" s="266">
        <v>3.0</v>
      </c>
      <c r="O2281" s="266">
        <v>1.0</v>
      </c>
      <c r="P2281" s="266" t="s">
        <v>166</v>
      </c>
      <c r="Q2281" s="266" t="s">
        <v>166</v>
      </c>
      <c r="R2281" s="497" t="s">
        <v>166</v>
      </c>
      <c r="S2281" s="497" t="s">
        <v>166</v>
      </c>
      <c r="T2281" s="494"/>
    </row>
    <row r="2282">
      <c r="A2282" s="494" t="s">
        <v>3401</v>
      </c>
      <c r="B2282" s="495" t="s">
        <v>4357</v>
      </c>
      <c r="C2282" s="174" t="str">
        <f t="shared" si="333"/>
        <v>MSI</v>
      </c>
      <c r="D2282" s="537" t="s">
        <v>4316</v>
      </c>
      <c r="E2282" s="266">
        <v>336.0</v>
      </c>
      <c r="F2282" s="266">
        <v>140.0</v>
      </c>
      <c r="G2282" s="266">
        <v>61.0</v>
      </c>
      <c r="H2282" s="266">
        <v>2.0</v>
      </c>
      <c r="I2282" s="266">
        <v>1800.0</v>
      </c>
      <c r="J2282" s="266">
        <v>19.0</v>
      </c>
      <c r="K2282" s="266">
        <v>370.0</v>
      </c>
      <c r="L2282" s="266" t="s">
        <v>3734</v>
      </c>
      <c r="M2282" s="266">
        <v>3.0</v>
      </c>
      <c r="N2282" s="266">
        <v>3.0</v>
      </c>
      <c r="O2282" s="266">
        <v>1.0</v>
      </c>
      <c r="P2282" s="266" t="s">
        <v>166</v>
      </c>
      <c r="Q2282" s="266" t="s">
        <v>166</v>
      </c>
      <c r="R2282" s="497" t="s">
        <v>166</v>
      </c>
      <c r="S2282" s="497" t="s">
        <v>166</v>
      </c>
      <c r="T2282" s="496"/>
    </row>
    <row r="2283">
      <c r="A2283" s="494" t="s">
        <v>3401</v>
      </c>
      <c r="B2283" s="495" t="s">
        <v>4357</v>
      </c>
      <c r="C2283" s="174" t="str">
        <f t="shared" si="333"/>
        <v>MSI</v>
      </c>
      <c r="D2283" s="537" t="s">
        <v>4317</v>
      </c>
      <c r="E2283" s="266">
        <v>336.0</v>
      </c>
      <c r="F2283" s="266">
        <v>140.0</v>
      </c>
      <c r="G2283" s="266">
        <v>61.0</v>
      </c>
      <c r="H2283" s="266">
        <v>2.0</v>
      </c>
      <c r="I2283" s="266">
        <v>1800.0</v>
      </c>
      <c r="J2283" s="266">
        <v>19.0</v>
      </c>
      <c r="K2283" s="266">
        <v>370.0</v>
      </c>
      <c r="L2283" s="266" t="s">
        <v>3734</v>
      </c>
      <c r="M2283" s="266">
        <v>3.0</v>
      </c>
      <c r="N2283" s="266">
        <v>3.0</v>
      </c>
      <c r="O2283" s="266">
        <v>1.0</v>
      </c>
      <c r="P2283" s="266" t="s">
        <v>166</v>
      </c>
      <c r="Q2283" s="266" t="s">
        <v>166</v>
      </c>
      <c r="R2283" s="497" t="s">
        <v>166</v>
      </c>
      <c r="S2283" s="497" t="s">
        <v>166</v>
      </c>
      <c r="T2283" s="494"/>
    </row>
    <row r="2284">
      <c r="A2284" s="494" t="s">
        <v>3401</v>
      </c>
      <c r="B2284" s="495" t="s">
        <v>4357</v>
      </c>
      <c r="C2284" s="174" t="str">
        <f t="shared" si="333"/>
        <v>MSI</v>
      </c>
      <c r="D2284" s="537" t="s">
        <v>4318</v>
      </c>
      <c r="E2284" s="266">
        <v>336.0</v>
      </c>
      <c r="F2284" s="266">
        <v>140.0</v>
      </c>
      <c r="G2284" s="266">
        <v>61.0</v>
      </c>
      <c r="H2284" s="266">
        <v>2.0</v>
      </c>
      <c r="I2284" s="266">
        <v>1920.0</v>
      </c>
      <c r="J2284" s="266">
        <v>19.0</v>
      </c>
      <c r="K2284" s="266">
        <v>370.0</v>
      </c>
      <c r="L2284" s="266" t="s">
        <v>3734</v>
      </c>
      <c r="M2284" s="266">
        <v>3.0</v>
      </c>
      <c r="N2284" s="266">
        <v>3.0</v>
      </c>
      <c r="O2284" s="266">
        <v>1.0</v>
      </c>
      <c r="P2284" s="266" t="s">
        <v>166</v>
      </c>
      <c r="Q2284" s="266" t="s">
        <v>166</v>
      </c>
      <c r="R2284" s="497" t="s">
        <v>166</v>
      </c>
      <c r="S2284" s="497" t="s">
        <v>166</v>
      </c>
      <c r="T2284" s="496"/>
    </row>
    <row r="2285">
      <c r="A2285" s="494" t="s">
        <v>3401</v>
      </c>
      <c r="B2285" s="495" t="s">
        <v>4357</v>
      </c>
      <c r="C2285" s="174" t="str">
        <f t="shared" si="333"/>
        <v>MSI</v>
      </c>
      <c r="D2285" s="537" t="s">
        <v>4319</v>
      </c>
      <c r="E2285" s="266">
        <v>336.0</v>
      </c>
      <c r="F2285" s="266">
        <v>140.0</v>
      </c>
      <c r="G2285" s="266">
        <v>61.0</v>
      </c>
      <c r="H2285" s="266">
        <v>2.0</v>
      </c>
      <c r="I2285" s="266">
        <v>1920.0</v>
      </c>
      <c r="J2285" s="266">
        <v>19.0</v>
      </c>
      <c r="K2285" s="266">
        <v>370.0</v>
      </c>
      <c r="L2285" s="266" t="s">
        <v>3734</v>
      </c>
      <c r="M2285" s="266">
        <v>3.0</v>
      </c>
      <c r="N2285" s="266">
        <v>3.0</v>
      </c>
      <c r="O2285" s="266">
        <v>1.0</v>
      </c>
      <c r="P2285" s="266" t="s">
        <v>166</v>
      </c>
      <c r="Q2285" s="266" t="s">
        <v>166</v>
      </c>
      <c r="R2285" s="497" t="s">
        <v>166</v>
      </c>
      <c r="S2285" s="497" t="s">
        <v>166</v>
      </c>
      <c r="T2285" s="494"/>
    </row>
    <row r="2286">
      <c r="A2286" s="494" t="s">
        <v>3401</v>
      </c>
      <c r="B2286" s="495" t="s">
        <v>4357</v>
      </c>
      <c r="C2286" s="174" t="str">
        <f t="shared" si="333"/>
        <v>MSI</v>
      </c>
      <c r="D2286" s="537" t="s">
        <v>4398</v>
      </c>
      <c r="E2286" s="266">
        <v>271.4</v>
      </c>
      <c r="F2286" s="266">
        <v>125.8</v>
      </c>
      <c r="G2286" s="266">
        <v>44.3</v>
      </c>
      <c r="H2286" s="266">
        <v>2.0</v>
      </c>
      <c r="I2286" s="266">
        <v>1740.0</v>
      </c>
      <c r="J2286" s="266">
        <v>19.0</v>
      </c>
      <c r="K2286" s="266">
        <v>320.0</v>
      </c>
      <c r="L2286" s="266" t="s">
        <v>3460</v>
      </c>
      <c r="M2286" s="266">
        <v>1.0</v>
      </c>
      <c r="N2286" s="266">
        <v>3.0</v>
      </c>
      <c r="O2286" s="266">
        <v>1.0</v>
      </c>
      <c r="P2286" s="266" t="s">
        <v>166</v>
      </c>
      <c r="Q2286" s="266" t="s">
        <v>166</v>
      </c>
      <c r="R2286" s="266" t="s">
        <v>174</v>
      </c>
      <c r="S2286" s="497" t="s">
        <v>166</v>
      </c>
      <c r="T2286" s="494"/>
    </row>
    <row r="2287">
      <c r="A2287" s="494" t="s">
        <v>3401</v>
      </c>
      <c r="B2287" s="495" t="s">
        <v>4357</v>
      </c>
      <c r="C2287" s="174" t="str">
        <f t="shared" si="333"/>
        <v>MSI</v>
      </c>
      <c r="D2287" s="537" t="s">
        <v>3859</v>
      </c>
      <c r="E2287" s="266">
        <v>271.4</v>
      </c>
      <c r="F2287" s="266">
        <v>125.8</v>
      </c>
      <c r="G2287" s="266">
        <v>44.3</v>
      </c>
      <c r="H2287" s="266">
        <v>2.0</v>
      </c>
      <c r="I2287" s="266">
        <v>1785.0</v>
      </c>
      <c r="J2287" s="266">
        <v>19.0</v>
      </c>
      <c r="K2287" s="266">
        <v>320.0</v>
      </c>
      <c r="L2287" s="266" t="s">
        <v>3460</v>
      </c>
      <c r="M2287" s="266">
        <v>1.0</v>
      </c>
      <c r="N2287" s="266">
        <v>3.0</v>
      </c>
      <c r="O2287" s="266">
        <v>1.0</v>
      </c>
      <c r="P2287" s="266" t="s">
        <v>166</v>
      </c>
      <c r="Q2287" s="266" t="s">
        <v>166</v>
      </c>
      <c r="R2287" s="266" t="s">
        <v>174</v>
      </c>
      <c r="S2287" s="497" t="s">
        <v>166</v>
      </c>
      <c r="T2287" s="494"/>
    </row>
    <row r="2288">
      <c r="A2288" s="494" t="s">
        <v>3401</v>
      </c>
      <c r="B2288" s="495" t="s">
        <v>4357</v>
      </c>
      <c r="C2288" s="174" t="str">
        <f t="shared" si="333"/>
        <v>MSI</v>
      </c>
      <c r="D2288" s="452" t="s">
        <v>4399</v>
      </c>
      <c r="E2288" s="266">
        <v>271.4</v>
      </c>
      <c r="F2288" s="266">
        <v>125.8</v>
      </c>
      <c r="G2288" s="266">
        <v>44.3</v>
      </c>
      <c r="H2288" s="266">
        <v>2.0</v>
      </c>
      <c r="I2288" s="266">
        <v>1785.0</v>
      </c>
      <c r="J2288" s="266">
        <v>19.0</v>
      </c>
      <c r="K2288" s="266">
        <v>320.0</v>
      </c>
      <c r="L2288" s="266" t="s">
        <v>3460</v>
      </c>
      <c r="M2288" s="266">
        <v>1.0</v>
      </c>
      <c r="N2288" s="266">
        <v>3.0</v>
      </c>
      <c r="O2288" s="266">
        <v>1.0</v>
      </c>
      <c r="P2288" s="266" t="s">
        <v>166</v>
      </c>
      <c r="Q2288" s="266" t="s">
        <v>166</v>
      </c>
      <c r="R2288" s="266" t="s">
        <v>174</v>
      </c>
      <c r="S2288" s="497" t="s">
        <v>166</v>
      </c>
      <c r="T2288" s="494"/>
    </row>
    <row r="2289">
      <c r="A2289" s="494" t="s">
        <v>3401</v>
      </c>
      <c r="B2289" s="495" t="s">
        <v>4357</v>
      </c>
      <c r="C2289" s="452" t="str">
        <f>HYPERLINK("https://www.nvidia.com/en-us/","Nvidia")</f>
        <v>Nvidia</v>
      </c>
      <c r="D2289" s="452" t="s">
        <v>3812</v>
      </c>
      <c r="E2289" s="266">
        <v>285.0</v>
      </c>
      <c r="F2289" s="266">
        <v>112.0</v>
      </c>
      <c r="G2289" s="266">
        <v>40.0</v>
      </c>
      <c r="H2289" s="266">
        <v>2.0</v>
      </c>
      <c r="I2289" s="266">
        <v>1710.0</v>
      </c>
      <c r="J2289" s="266">
        <v>19.0</v>
      </c>
      <c r="K2289" s="266">
        <v>320.0</v>
      </c>
      <c r="L2289" s="266">
        <v>12.0</v>
      </c>
      <c r="M2289" s="266">
        <v>2.0</v>
      </c>
      <c r="N2289" s="266">
        <v>3.0</v>
      </c>
      <c r="O2289" s="266">
        <v>1.0</v>
      </c>
      <c r="P2289" s="266" t="s">
        <v>166</v>
      </c>
      <c r="Q2289" s="266" t="s">
        <v>166</v>
      </c>
      <c r="R2289" s="497" t="s">
        <v>166</v>
      </c>
      <c r="S2289" s="497" t="s">
        <v>166</v>
      </c>
      <c r="T2289" s="496"/>
    </row>
    <row r="2290">
      <c r="A2290" s="494" t="s">
        <v>3401</v>
      </c>
      <c r="B2290" s="495" t="s">
        <v>4357</v>
      </c>
      <c r="C2290" s="452" t="str">
        <f t="shared" ref="C2290:C2297" si="334">HYPERLINK("http://www.palit.com/palit/index.php?lang=en","Palit")</f>
        <v>Palit</v>
      </c>
      <c r="D2290" s="452" t="s">
        <v>4067</v>
      </c>
      <c r="E2290" s="266">
        <v>294.0</v>
      </c>
      <c r="F2290" s="266">
        <v>112.0</v>
      </c>
      <c r="G2290" s="266">
        <v>60.0</v>
      </c>
      <c r="H2290" s="266">
        <v>2.0</v>
      </c>
      <c r="I2290" s="266">
        <v>1710.0</v>
      </c>
      <c r="J2290" s="266">
        <v>19.0</v>
      </c>
      <c r="K2290" s="266">
        <v>320.0</v>
      </c>
      <c r="L2290" s="266" t="s">
        <v>3460</v>
      </c>
      <c r="M2290" s="266">
        <v>3.0</v>
      </c>
      <c r="N2290" s="266">
        <v>3.0</v>
      </c>
      <c r="O2290" s="266">
        <v>1.0</v>
      </c>
      <c r="P2290" s="266" t="s">
        <v>166</v>
      </c>
      <c r="Q2290" s="266" t="s">
        <v>166</v>
      </c>
      <c r="R2290" s="497" t="s">
        <v>166</v>
      </c>
      <c r="S2290" s="497" t="s">
        <v>166</v>
      </c>
      <c r="T2290" s="496"/>
    </row>
    <row r="2291">
      <c r="A2291" s="494" t="s">
        <v>3401</v>
      </c>
      <c r="B2291" s="495" t="s">
        <v>4357</v>
      </c>
      <c r="C2291" s="452" t="str">
        <f t="shared" si="334"/>
        <v>Palit</v>
      </c>
      <c r="D2291" s="452" t="s">
        <v>4246</v>
      </c>
      <c r="E2291" s="266">
        <v>294.0</v>
      </c>
      <c r="F2291" s="266">
        <v>112.0</v>
      </c>
      <c r="G2291" s="266">
        <v>60.0</v>
      </c>
      <c r="H2291" s="266">
        <v>2.0</v>
      </c>
      <c r="I2291" s="266">
        <v>1710.0</v>
      </c>
      <c r="J2291" s="266">
        <v>19.0</v>
      </c>
      <c r="K2291" s="266">
        <v>320.0</v>
      </c>
      <c r="L2291" s="266" t="s">
        <v>3460</v>
      </c>
      <c r="M2291" s="266">
        <v>3.0</v>
      </c>
      <c r="N2291" s="266">
        <v>3.0</v>
      </c>
      <c r="O2291" s="266">
        <v>1.0</v>
      </c>
      <c r="P2291" s="266" t="s">
        <v>166</v>
      </c>
      <c r="Q2291" s="266" t="s">
        <v>166</v>
      </c>
      <c r="R2291" s="266" t="s">
        <v>166</v>
      </c>
      <c r="S2291" s="266" t="s">
        <v>166</v>
      </c>
      <c r="T2291" s="494"/>
    </row>
    <row r="2292">
      <c r="A2292" s="494" t="s">
        <v>3401</v>
      </c>
      <c r="B2292" s="495" t="s">
        <v>4357</v>
      </c>
      <c r="C2292" s="452" t="str">
        <f t="shared" si="334"/>
        <v>Palit</v>
      </c>
      <c r="D2292" s="452" t="s">
        <v>4068</v>
      </c>
      <c r="E2292" s="266">
        <v>294.0</v>
      </c>
      <c r="F2292" s="266">
        <v>112.0</v>
      </c>
      <c r="G2292" s="266">
        <v>60.0</v>
      </c>
      <c r="H2292" s="266">
        <v>2.0</v>
      </c>
      <c r="I2292" s="266">
        <v>1740.0</v>
      </c>
      <c r="J2292" s="266">
        <v>19.0</v>
      </c>
      <c r="K2292" s="266">
        <v>320.0</v>
      </c>
      <c r="L2292" s="266" t="s">
        <v>3460</v>
      </c>
      <c r="M2292" s="266">
        <v>3.0</v>
      </c>
      <c r="N2292" s="266">
        <v>3.0</v>
      </c>
      <c r="O2292" s="266">
        <v>1.0</v>
      </c>
      <c r="P2292" s="266" t="s">
        <v>166</v>
      </c>
      <c r="Q2292" s="266" t="s">
        <v>166</v>
      </c>
      <c r="R2292" s="497" t="s">
        <v>166</v>
      </c>
      <c r="S2292" s="497" t="s">
        <v>166</v>
      </c>
      <c r="T2292" s="496"/>
    </row>
    <row r="2293">
      <c r="A2293" s="494" t="s">
        <v>3401</v>
      </c>
      <c r="B2293" s="495" t="s">
        <v>4357</v>
      </c>
      <c r="C2293" s="452" t="str">
        <f t="shared" si="334"/>
        <v>Palit</v>
      </c>
      <c r="D2293" s="452" t="s">
        <v>4247</v>
      </c>
      <c r="E2293" s="266">
        <v>294.0</v>
      </c>
      <c r="F2293" s="266">
        <v>112.0</v>
      </c>
      <c r="G2293" s="266">
        <v>60.0</v>
      </c>
      <c r="H2293" s="266">
        <v>2.0</v>
      </c>
      <c r="I2293" s="266">
        <v>1740.0</v>
      </c>
      <c r="J2293" s="266">
        <v>19.0</v>
      </c>
      <c r="K2293" s="266">
        <v>320.0</v>
      </c>
      <c r="L2293" s="266" t="s">
        <v>3460</v>
      </c>
      <c r="M2293" s="266">
        <v>3.0</v>
      </c>
      <c r="N2293" s="266">
        <v>3.0</v>
      </c>
      <c r="O2293" s="266">
        <v>1.0</v>
      </c>
      <c r="P2293" s="266" t="s">
        <v>166</v>
      </c>
      <c r="Q2293" s="266" t="s">
        <v>166</v>
      </c>
      <c r="R2293" s="266" t="s">
        <v>166</v>
      </c>
      <c r="S2293" s="266" t="s">
        <v>166</v>
      </c>
      <c r="T2293" s="494"/>
    </row>
    <row r="2294">
      <c r="A2294" s="494" t="s">
        <v>3401</v>
      </c>
      <c r="B2294" s="495" t="s">
        <v>4357</v>
      </c>
      <c r="C2294" s="452" t="str">
        <f t="shared" si="334"/>
        <v>Palit</v>
      </c>
      <c r="D2294" s="452" t="s">
        <v>4000</v>
      </c>
      <c r="E2294" s="266">
        <v>304.0</v>
      </c>
      <c r="F2294" s="266">
        <v>136.0</v>
      </c>
      <c r="G2294" s="266">
        <v>60.0</v>
      </c>
      <c r="H2294" s="266">
        <v>2.0</v>
      </c>
      <c r="I2294" s="266">
        <v>1755.0</v>
      </c>
      <c r="J2294" s="266">
        <v>19.0</v>
      </c>
      <c r="K2294" s="266">
        <v>340.0</v>
      </c>
      <c r="L2294" s="266" t="s">
        <v>3734</v>
      </c>
      <c r="M2294" s="266">
        <v>3.0</v>
      </c>
      <c r="N2294" s="266">
        <v>3.0</v>
      </c>
      <c r="O2294" s="266">
        <v>1.0</v>
      </c>
      <c r="P2294" s="266" t="s">
        <v>166</v>
      </c>
      <c r="Q2294" s="266" t="s">
        <v>166</v>
      </c>
      <c r="R2294" s="497" t="s">
        <v>166</v>
      </c>
      <c r="S2294" s="497" t="s">
        <v>166</v>
      </c>
      <c r="T2294" s="496"/>
    </row>
    <row r="2295">
      <c r="A2295" s="494" t="s">
        <v>3401</v>
      </c>
      <c r="B2295" s="495" t="s">
        <v>4357</v>
      </c>
      <c r="C2295" s="452" t="str">
        <f t="shared" si="334"/>
        <v>Palit</v>
      </c>
      <c r="D2295" s="452" t="s">
        <v>4323</v>
      </c>
      <c r="E2295" s="266">
        <v>304.0</v>
      </c>
      <c r="F2295" s="266">
        <v>136.0</v>
      </c>
      <c r="G2295" s="266">
        <v>60.0</v>
      </c>
      <c r="H2295" s="266">
        <v>2.0</v>
      </c>
      <c r="I2295" s="266">
        <v>1755.0</v>
      </c>
      <c r="J2295" s="266">
        <v>19.0</v>
      </c>
      <c r="K2295" s="266">
        <v>340.0</v>
      </c>
      <c r="L2295" s="266" t="s">
        <v>3734</v>
      </c>
      <c r="M2295" s="266">
        <v>3.0</v>
      </c>
      <c r="N2295" s="266">
        <v>3.0</v>
      </c>
      <c r="O2295" s="266">
        <v>1.0</v>
      </c>
      <c r="P2295" s="266" t="s">
        <v>166</v>
      </c>
      <c r="Q2295" s="266" t="s">
        <v>166</v>
      </c>
      <c r="R2295" s="266" t="s">
        <v>166</v>
      </c>
      <c r="S2295" s="266" t="s">
        <v>166</v>
      </c>
      <c r="T2295" s="494"/>
    </row>
    <row r="2296">
      <c r="A2296" s="494" t="s">
        <v>3401</v>
      </c>
      <c r="B2296" s="495" t="s">
        <v>4357</v>
      </c>
      <c r="C2296" s="452" t="str">
        <f t="shared" si="334"/>
        <v>Palit</v>
      </c>
      <c r="D2296" s="452" t="s">
        <v>4324</v>
      </c>
      <c r="E2296" s="266">
        <v>304.0</v>
      </c>
      <c r="F2296" s="266">
        <v>136.0</v>
      </c>
      <c r="G2296" s="266">
        <v>60.0</v>
      </c>
      <c r="H2296" s="266">
        <v>2.0</v>
      </c>
      <c r="I2296" s="266">
        <v>1860.0</v>
      </c>
      <c r="J2296" s="266">
        <v>19.0</v>
      </c>
      <c r="K2296" s="266">
        <v>370.0</v>
      </c>
      <c r="L2296" s="266" t="s">
        <v>3734</v>
      </c>
      <c r="M2296" s="266">
        <v>3.0</v>
      </c>
      <c r="N2296" s="266">
        <v>3.0</v>
      </c>
      <c r="O2296" s="266">
        <v>1.0</v>
      </c>
      <c r="P2296" s="266" t="s">
        <v>166</v>
      </c>
      <c r="Q2296" s="266" t="s">
        <v>166</v>
      </c>
      <c r="R2296" s="497" t="s">
        <v>166</v>
      </c>
      <c r="S2296" s="497" t="s">
        <v>166</v>
      </c>
      <c r="T2296" s="496"/>
    </row>
    <row r="2297">
      <c r="A2297" s="494" t="s">
        <v>3401</v>
      </c>
      <c r="B2297" s="495" t="s">
        <v>4357</v>
      </c>
      <c r="C2297" s="452" t="str">
        <f t="shared" si="334"/>
        <v>Palit</v>
      </c>
      <c r="D2297" s="452" t="s">
        <v>4325</v>
      </c>
      <c r="E2297" s="266">
        <v>304.0</v>
      </c>
      <c r="F2297" s="266">
        <v>136.0</v>
      </c>
      <c r="G2297" s="266">
        <v>60.0</v>
      </c>
      <c r="H2297" s="266">
        <v>2.0</v>
      </c>
      <c r="I2297" s="266">
        <v>1860.0</v>
      </c>
      <c r="J2297" s="266">
        <v>19.0</v>
      </c>
      <c r="K2297" s="266">
        <v>370.0</v>
      </c>
      <c r="L2297" s="266" t="s">
        <v>3734</v>
      </c>
      <c r="M2297" s="266">
        <v>3.0</v>
      </c>
      <c r="N2297" s="266">
        <v>3.0</v>
      </c>
      <c r="O2297" s="266">
        <v>1.0</v>
      </c>
      <c r="P2297" s="266" t="s">
        <v>166</v>
      </c>
      <c r="Q2297" s="266" t="s">
        <v>166</v>
      </c>
      <c r="R2297" s="266" t="s">
        <v>166</v>
      </c>
      <c r="S2297" s="266" t="s">
        <v>166</v>
      </c>
      <c r="T2297" s="494"/>
    </row>
    <row r="2298">
      <c r="A2298" s="494" t="s">
        <v>3401</v>
      </c>
      <c r="B2298" s="495" t="s">
        <v>4357</v>
      </c>
      <c r="C2298" s="452" t="str">
        <f t="shared" ref="C2298:C2301" si="335">HYPERLINK("https://pny.com/","PNY")</f>
        <v>PNY</v>
      </c>
      <c r="D2298" s="452" t="s">
        <v>4326</v>
      </c>
      <c r="E2298" s="266">
        <v>294.0</v>
      </c>
      <c r="F2298" s="266">
        <v>112.0</v>
      </c>
      <c r="G2298" s="266">
        <v>56.0</v>
      </c>
      <c r="H2298" s="266">
        <v>2.0</v>
      </c>
      <c r="I2298" s="266">
        <v>1710.0</v>
      </c>
      <c r="J2298" s="266">
        <v>19.0</v>
      </c>
      <c r="K2298" s="266">
        <v>320.0</v>
      </c>
      <c r="L2298" s="266" t="s">
        <v>3460</v>
      </c>
      <c r="M2298" s="266">
        <v>3.0</v>
      </c>
      <c r="N2298" s="266">
        <v>3.0</v>
      </c>
      <c r="O2298" s="266">
        <v>1.0</v>
      </c>
      <c r="P2298" s="266" t="s">
        <v>166</v>
      </c>
      <c r="Q2298" s="266" t="s">
        <v>166</v>
      </c>
      <c r="R2298" s="497" t="s">
        <v>166</v>
      </c>
      <c r="S2298" s="497" t="s">
        <v>166</v>
      </c>
      <c r="T2298" s="496"/>
    </row>
    <row r="2299">
      <c r="A2299" s="494" t="s">
        <v>3401</v>
      </c>
      <c r="B2299" s="495" t="s">
        <v>4357</v>
      </c>
      <c r="C2299" s="452" t="str">
        <f t="shared" si="335"/>
        <v>PNY</v>
      </c>
      <c r="D2299" s="452" t="s">
        <v>4327</v>
      </c>
      <c r="E2299" s="266">
        <v>294.0</v>
      </c>
      <c r="F2299" s="266">
        <v>112.0</v>
      </c>
      <c r="G2299" s="266">
        <v>56.0</v>
      </c>
      <c r="H2299" s="266">
        <v>2.0</v>
      </c>
      <c r="I2299" s="266">
        <v>1710.0</v>
      </c>
      <c r="J2299" s="266">
        <v>19.0</v>
      </c>
      <c r="K2299" s="266">
        <v>320.0</v>
      </c>
      <c r="L2299" s="266" t="s">
        <v>3460</v>
      </c>
      <c r="M2299" s="266">
        <v>3.0</v>
      </c>
      <c r="N2299" s="266">
        <v>3.0</v>
      </c>
      <c r="O2299" s="266">
        <v>1.0</v>
      </c>
      <c r="P2299" s="266" t="s">
        <v>166</v>
      </c>
      <c r="Q2299" s="266" t="s">
        <v>166</v>
      </c>
      <c r="R2299" s="266" t="s">
        <v>166</v>
      </c>
      <c r="S2299" s="266" t="s">
        <v>166</v>
      </c>
      <c r="T2299" s="494"/>
    </row>
    <row r="2300">
      <c r="A2300" s="494" t="s">
        <v>3401</v>
      </c>
      <c r="B2300" s="495" t="s">
        <v>4357</v>
      </c>
      <c r="C2300" s="452" t="str">
        <f t="shared" si="335"/>
        <v>PNY</v>
      </c>
      <c r="D2300" s="452" t="s">
        <v>4353</v>
      </c>
      <c r="E2300" s="266">
        <v>294.0</v>
      </c>
      <c r="F2300" s="266">
        <v>112.0</v>
      </c>
      <c r="G2300" s="266">
        <v>56.0</v>
      </c>
      <c r="H2300" s="266">
        <v>2.0</v>
      </c>
      <c r="I2300" s="266">
        <v>1710.0</v>
      </c>
      <c r="J2300" s="266">
        <v>19.0</v>
      </c>
      <c r="K2300" s="266">
        <v>320.0</v>
      </c>
      <c r="L2300" s="266" t="s">
        <v>3460</v>
      </c>
      <c r="M2300" s="266">
        <v>3.0</v>
      </c>
      <c r="N2300" s="266">
        <v>3.0</v>
      </c>
      <c r="O2300" s="266">
        <v>1.0</v>
      </c>
      <c r="P2300" s="266" t="s">
        <v>166</v>
      </c>
      <c r="Q2300" s="266" t="s">
        <v>166</v>
      </c>
      <c r="R2300" s="497" t="s">
        <v>166</v>
      </c>
      <c r="S2300" s="497" t="s">
        <v>166</v>
      </c>
      <c r="T2300" s="496"/>
    </row>
    <row r="2301">
      <c r="A2301" s="494" t="s">
        <v>3401</v>
      </c>
      <c r="B2301" s="495" t="s">
        <v>4357</v>
      </c>
      <c r="C2301" s="452" t="str">
        <f t="shared" si="335"/>
        <v>PNY</v>
      </c>
      <c r="D2301" s="452" t="s">
        <v>4400</v>
      </c>
      <c r="E2301" s="266">
        <v>294.0</v>
      </c>
      <c r="F2301" s="266">
        <v>112.0</v>
      </c>
      <c r="G2301" s="266">
        <v>56.0</v>
      </c>
      <c r="H2301" s="266">
        <v>2.0</v>
      </c>
      <c r="I2301" s="266">
        <v>1710.0</v>
      </c>
      <c r="J2301" s="266">
        <v>19.0</v>
      </c>
      <c r="K2301" s="266">
        <v>320.0</v>
      </c>
      <c r="L2301" s="266" t="s">
        <v>3460</v>
      </c>
      <c r="M2301" s="266">
        <v>3.0</v>
      </c>
      <c r="N2301" s="266">
        <v>3.0</v>
      </c>
      <c r="O2301" s="266">
        <v>1.0</v>
      </c>
      <c r="P2301" s="266" t="s">
        <v>166</v>
      </c>
      <c r="Q2301" s="266" t="s">
        <v>166</v>
      </c>
      <c r="R2301" s="266" t="s">
        <v>166</v>
      </c>
      <c r="S2301" s="266" t="s">
        <v>166</v>
      </c>
      <c r="T2301" s="494"/>
    </row>
    <row r="2302">
      <c r="A2302" s="494" t="s">
        <v>3401</v>
      </c>
      <c r="B2302" s="495" t="s">
        <v>4357</v>
      </c>
      <c r="C2302" s="452" t="s">
        <v>3378</v>
      </c>
      <c r="D2302" s="452" t="s">
        <v>3777</v>
      </c>
      <c r="E2302" s="266">
        <v>301.0</v>
      </c>
      <c r="F2302" s="266">
        <v>132.0</v>
      </c>
      <c r="G2302" s="266">
        <v>49.0</v>
      </c>
      <c r="H2302" s="266">
        <v>2.0</v>
      </c>
      <c r="I2302" s="266">
        <v>1710.0</v>
      </c>
      <c r="J2302" s="266">
        <v>19.0</v>
      </c>
      <c r="K2302" s="266">
        <v>320.0</v>
      </c>
      <c r="L2302" s="266" t="s">
        <v>3460</v>
      </c>
      <c r="M2302" s="266">
        <v>3.0</v>
      </c>
      <c r="N2302" s="266">
        <v>3.0</v>
      </c>
      <c r="O2302" s="266">
        <v>1.0</v>
      </c>
      <c r="P2302" s="266" t="s">
        <v>166</v>
      </c>
      <c r="Q2302" s="266" t="s">
        <v>166</v>
      </c>
      <c r="R2302" s="497" t="s">
        <v>166</v>
      </c>
      <c r="S2302" s="497" t="s">
        <v>166</v>
      </c>
      <c r="T2302" s="496"/>
    </row>
    <row r="2303">
      <c r="A2303" s="494" t="s">
        <v>3401</v>
      </c>
      <c r="B2303" s="495" t="s">
        <v>4357</v>
      </c>
      <c r="C2303" s="452" t="str">
        <f t="shared" ref="C2303:C2317" si="336">HYPERLINK("http://zotac.com/","ZOTAC")</f>
        <v>ZOTAC</v>
      </c>
      <c r="D2303" s="452" t="s">
        <v>4328</v>
      </c>
      <c r="E2303" s="266">
        <v>311.0</v>
      </c>
      <c r="F2303" s="266">
        <v>118.0</v>
      </c>
      <c r="G2303" s="266">
        <v>61.0</v>
      </c>
      <c r="H2303" s="266">
        <v>2.0</v>
      </c>
      <c r="I2303" s="266">
        <v>1725.0</v>
      </c>
      <c r="J2303" s="266">
        <v>19.0</v>
      </c>
      <c r="K2303" s="266">
        <v>320.0</v>
      </c>
      <c r="L2303" s="266" t="s">
        <v>3460</v>
      </c>
      <c r="M2303" s="266">
        <v>3.0</v>
      </c>
      <c r="N2303" s="266">
        <v>3.0</v>
      </c>
      <c r="O2303" s="266">
        <v>1.0</v>
      </c>
      <c r="P2303" s="266" t="s">
        <v>166</v>
      </c>
      <c r="Q2303" s="266" t="s">
        <v>166</v>
      </c>
      <c r="R2303" s="497" t="s">
        <v>166</v>
      </c>
      <c r="S2303" s="497" t="s">
        <v>166</v>
      </c>
      <c r="T2303" s="496"/>
    </row>
    <row r="2304">
      <c r="A2304" s="494" t="s">
        <v>3401</v>
      </c>
      <c r="B2304" s="495" t="s">
        <v>4357</v>
      </c>
      <c r="C2304" s="452" t="str">
        <f t="shared" si="336"/>
        <v>ZOTAC</v>
      </c>
      <c r="D2304" s="452" t="s">
        <v>4329</v>
      </c>
      <c r="E2304" s="266">
        <v>311.0</v>
      </c>
      <c r="F2304" s="266">
        <v>118.0</v>
      </c>
      <c r="G2304" s="266">
        <v>61.0</v>
      </c>
      <c r="H2304" s="266">
        <v>2.0</v>
      </c>
      <c r="I2304" s="266">
        <v>1725.0</v>
      </c>
      <c r="J2304" s="266">
        <v>19.0</v>
      </c>
      <c r="K2304" s="266">
        <v>320.0</v>
      </c>
      <c r="L2304" s="266" t="s">
        <v>3460</v>
      </c>
      <c r="M2304" s="266">
        <v>3.0</v>
      </c>
      <c r="N2304" s="266">
        <v>3.0</v>
      </c>
      <c r="O2304" s="266">
        <v>1.0</v>
      </c>
      <c r="P2304" s="266" t="s">
        <v>166</v>
      </c>
      <c r="Q2304" s="266" t="s">
        <v>166</v>
      </c>
      <c r="R2304" s="266" t="s">
        <v>166</v>
      </c>
      <c r="S2304" s="266" t="s">
        <v>166</v>
      </c>
      <c r="T2304" s="494"/>
    </row>
    <row r="2305">
      <c r="A2305" s="494" t="s">
        <v>3401</v>
      </c>
      <c r="B2305" s="495" t="s">
        <v>4357</v>
      </c>
      <c r="C2305" s="452" t="str">
        <f t="shared" si="336"/>
        <v>ZOTAC</v>
      </c>
      <c r="D2305" s="452" t="s">
        <v>4160</v>
      </c>
      <c r="E2305" s="266">
        <v>315.0</v>
      </c>
      <c r="F2305" s="266">
        <v>122.0</v>
      </c>
      <c r="G2305" s="266">
        <v>61.0</v>
      </c>
      <c r="H2305" s="266">
        <v>2.0</v>
      </c>
      <c r="I2305" s="266">
        <v>1740.0</v>
      </c>
      <c r="J2305" s="266">
        <v>19.0</v>
      </c>
      <c r="K2305" s="266">
        <v>320.0</v>
      </c>
      <c r="L2305" s="266" t="s">
        <v>3460</v>
      </c>
      <c r="M2305" s="266">
        <v>3.0</v>
      </c>
      <c r="N2305" s="266">
        <v>3.0</v>
      </c>
      <c r="O2305" s="266">
        <v>1.0</v>
      </c>
      <c r="P2305" s="266" t="s">
        <v>166</v>
      </c>
      <c r="Q2305" s="266" t="s">
        <v>166</v>
      </c>
      <c r="R2305" s="497" t="s">
        <v>166</v>
      </c>
      <c r="S2305" s="497" t="s">
        <v>166</v>
      </c>
      <c r="T2305" s="496"/>
    </row>
    <row r="2306">
      <c r="A2306" s="494" t="s">
        <v>3401</v>
      </c>
      <c r="B2306" s="495" t="s">
        <v>4357</v>
      </c>
      <c r="C2306" s="452" t="str">
        <f t="shared" si="336"/>
        <v>ZOTAC</v>
      </c>
      <c r="D2306" s="452" t="s">
        <v>4161</v>
      </c>
      <c r="E2306" s="266">
        <v>315.0</v>
      </c>
      <c r="F2306" s="266">
        <v>122.0</v>
      </c>
      <c r="G2306" s="266">
        <v>61.0</v>
      </c>
      <c r="H2306" s="266">
        <v>2.0</v>
      </c>
      <c r="I2306" s="266">
        <v>1740.0</v>
      </c>
      <c r="J2306" s="266">
        <v>19.0</v>
      </c>
      <c r="K2306" s="266">
        <v>320.0</v>
      </c>
      <c r="L2306" s="266" t="s">
        <v>3460</v>
      </c>
      <c r="M2306" s="266">
        <v>3.0</v>
      </c>
      <c r="N2306" s="266">
        <v>3.0</v>
      </c>
      <c r="O2306" s="266">
        <v>1.0</v>
      </c>
      <c r="P2306" s="266" t="s">
        <v>166</v>
      </c>
      <c r="Q2306" s="266" t="s">
        <v>166</v>
      </c>
      <c r="R2306" s="266" t="s">
        <v>166</v>
      </c>
      <c r="S2306" s="266" t="s">
        <v>166</v>
      </c>
      <c r="T2306" s="494"/>
    </row>
    <row r="2307">
      <c r="A2307" s="494" t="s">
        <v>3401</v>
      </c>
      <c r="B2307" s="495" t="s">
        <v>4357</v>
      </c>
      <c r="C2307" s="452" t="str">
        <f t="shared" si="336"/>
        <v>ZOTAC</v>
      </c>
      <c r="D2307" s="452" t="s">
        <v>4251</v>
      </c>
      <c r="E2307" s="266">
        <v>309.0</v>
      </c>
      <c r="F2307" s="266">
        <v>136.0</v>
      </c>
      <c r="G2307" s="266">
        <v>61.0</v>
      </c>
      <c r="H2307" s="266">
        <v>2.0</v>
      </c>
      <c r="I2307" s="266">
        <v>1770.0</v>
      </c>
      <c r="J2307" s="266">
        <v>19.0</v>
      </c>
      <c r="K2307" s="266">
        <v>340.0</v>
      </c>
      <c r="L2307" s="266" t="s">
        <v>3734</v>
      </c>
      <c r="M2307" s="266">
        <v>3.0</v>
      </c>
      <c r="N2307" s="266">
        <v>3.0</v>
      </c>
      <c r="O2307" s="266">
        <v>1.0</v>
      </c>
      <c r="P2307" s="266" t="s">
        <v>166</v>
      </c>
      <c r="Q2307" s="266" t="s">
        <v>166</v>
      </c>
      <c r="R2307" s="497" t="s">
        <v>166</v>
      </c>
      <c r="S2307" s="497" t="s">
        <v>166</v>
      </c>
      <c r="T2307" s="496"/>
    </row>
    <row r="2308">
      <c r="A2308" s="494" t="s">
        <v>3401</v>
      </c>
      <c r="B2308" s="495" t="s">
        <v>4357</v>
      </c>
      <c r="C2308" s="452" t="str">
        <f t="shared" si="336"/>
        <v>ZOTAC</v>
      </c>
      <c r="D2308" s="452" t="s">
        <v>4162</v>
      </c>
      <c r="E2308" s="266">
        <v>309.0</v>
      </c>
      <c r="F2308" s="266">
        <v>136.0</v>
      </c>
      <c r="G2308" s="266">
        <v>61.0</v>
      </c>
      <c r="H2308" s="266">
        <v>2.0</v>
      </c>
      <c r="I2308" s="266">
        <v>1770.0</v>
      </c>
      <c r="J2308" s="266">
        <v>19.0</v>
      </c>
      <c r="K2308" s="266">
        <v>340.0</v>
      </c>
      <c r="L2308" s="266" t="s">
        <v>3734</v>
      </c>
      <c r="M2308" s="266">
        <v>3.0</v>
      </c>
      <c r="N2308" s="266">
        <v>3.0</v>
      </c>
      <c r="O2308" s="266">
        <v>1.0</v>
      </c>
      <c r="P2308" s="266" t="s">
        <v>166</v>
      </c>
      <c r="Q2308" s="266" t="s">
        <v>166</v>
      </c>
      <c r="R2308" s="266" t="s">
        <v>166</v>
      </c>
      <c r="S2308" s="266" t="s">
        <v>166</v>
      </c>
      <c r="T2308" s="494"/>
    </row>
    <row r="2309">
      <c r="A2309" s="494" t="s">
        <v>3401</v>
      </c>
      <c r="B2309" s="495" t="s">
        <v>4357</v>
      </c>
      <c r="C2309" s="452" t="str">
        <f t="shared" si="336"/>
        <v>ZOTAC</v>
      </c>
      <c r="D2309" s="452" t="s">
        <v>4354</v>
      </c>
      <c r="E2309" s="266">
        <v>317.8</v>
      </c>
      <c r="F2309" s="266">
        <v>120.7</v>
      </c>
      <c r="G2309" s="266">
        <v>58.0</v>
      </c>
      <c r="H2309" s="266">
        <v>2.0</v>
      </c>
      <c r="I2309" s="266">
        <v>1710.0</v>
      </c>
      <c r="J2309" s="266">
        <v>19.0</v>
      </c>
      <c r="K2309" s="266">
        <v>320.0</v>
      </c>
      <c r="L2309" s="266" t="s">
        <v>3460</v>
      </c>
      <c r="M2309" s="266">
        <v>3.0</v>
      </c>
      <c r="N2309" s="266">
        <v>3.0</v>
      </c>
      <c r="O2309" s="266">
        <v>1.0</v>
      </c>
      <c r="P2309" s="266" t="s">
        <v>166</v>
      </c>
      <c r="Q2309" s="266" t="s">
        <v>166</v>
      </c>
      <c r="R2309" s="497" t="s">
        <v>166</v>
      </c>
      <c r="S2309" s="497" t="s">
        <v>166</v>
      </c>
      <c r="T2309" s="496"/>
    </row>
    <row r="2310">
      <c r="A2310" s="494" t="s">
        <v>3401</v>
      </c>
      <c r="B2310" s="495" t="s">
        <v>4357</v>
      </c>
      <c r="C2310" s="452" t="str">
        <f t="shared" si="336"/>
        <v>ZOTAC</v>
      </c>
      <c r="D2310" s="452" t="s">
        <v>4401</v>
      </c>
      <c r="E2310" s="266">
        <v>317.8</v>
      </c>
      <c r="F2310" s="266">
        <v>120.7</v>
      </c>
      <c r="G2310" s="266">
        <v>58.0</v>
      </c>
      <c r="H2310" s="266">
        <v>2.0</v>
      </c>
      <c r="I2310" s="266">
        <v>1710.0</v>
      </c>
      <c r="J2310" s="266">
        <v>19.0</v>
      </c>
      <c r="K2310" s="266">
        <v>320.0</v>
      </c>
      <c r="L2310" s="266" t="s">
        <v>3460</v>
      </c>
      <c r="M2310" s="266">
        <v>3.0</v>
      </c>
      <c r="N2310" s="266">
        <v>3.0</v>
      </c>
      <c r="O2310" s="266">
        <v>1.0</v>
      </c>
      <c r="P2310" s="266" t="s">
        <v>166</v>
      </c>
      <c r="Q2310" s="266" t="s">
        <v>166</v>
      </c>
      <c r="R2310" s="266" t="s">
        <v>166</v>
      </c>
      <c r="S2310" s="266" t="s">
        <v>166</v>
      </c>
      <c r="T2310" s="494"/>
    </row>
    <row r="2311">
      <c r="A2311" s="494" t="s">
        <v>3401</v>
      </c>
      <c r="B2311" s="495" t="s">
        <v>4357</v>
      </c>
      <c r="C2311" s="452" t="str">
        <f t="shared" si="336"/>
        <v>ZOTAC</v>
      </c>
      <c r="D2311" s="452" t="s">
        <v>4355</v>
      </c>
      <c r="E2311" s="266">
        <v>317.8</v>
      </c>
      <c r="F2311" s="266">
        <v>120.7</v>
      </c>
      <c r="G2311" s="266">
        <v>58.0</v>
      </c>
      <c r="H2311" s="266">
        <v>2.0</v>
      </c>
      <c r="I2311" s="266">
        <v>1725.0</v>
      </c>
      <c r="J2311" s="266">
        <v>19.0</v>
      </c>
      <c r="K2311" s="266">
        <v>320.0</v>
      </c>
      <c r="L2311" s="266" t="s">
        <v>3460</v>
      </c>
      <c r="M2311" s="266">
        <v>3.0</v>
      </c>
      <c r="N2311" s="266">
        <v>3.0</v>
      </c>
      <c r="O2311" s="266">
        <v>1.0</v>
      </c>
      <c r="P2311" s="266" t="s">
        <v>166</v>
      </c>
      <c r="Q2311" s="266" t="s">
        <v>166</v>
      </c>
      <c r="R2311" s="497" t="s">
        <v>166</v>
      </c>
      <c r="S2311" s="497" t="s">
        <v>166</v>
      </c>
      <c r="T2311" s="496"/>
    </row>
    <row r="2312">
      <c r="A2312" s="494" t="s">
        <v>3401</v>
      </c>
      <c r="B2312" s="495" t="s">
        <v>4357</v>
      </c>
      <c r="C2312" s="452" t="str">
        <f t="shared" si="336"/>
        <v>ZOTAC</v>
      </c>
      <c r="D2312" s="452" t="s">
        <v>4402</v>
      </c>
      <c r="E2312" s="266">
        <v>317.8</v>
      </c>
      <c r="F2312" s="266">
        <v>120.7</v>
      </c>
      <c r="G2312" s="266">
        <v>58.0</v>
      </c>
      <c r="H2312" s="266">
        <v>2.0</v>
      </c>
      <c r="I2312" s="266">
        <v>1725.0</v>
      </c>
      <c r="J2312" s="266">
        <v>19.0</v>
      </c>
      <c r="K2312" s="266">
        <v>320.0</v>
      </c>
      <c r="L2312" s="266" t="s">
        <v>3460</v>
      </c>
      <c r="M2312" s="266">
        <v>3.0</v>
      </c>
      <c r="N2312" s="266">
        <v>3.0</v>
      </c>
      <c r="O2312" s="266">
        <v>1.0</v>
      </c>
      <c r="P2312" s="266" t="s">
        <v>166</v>
      </c>
      <c r="Q2312" s="266" t="s">
        <v>166</v>
      </c>
      <c r="R2312" s="266" t="s">
        <v>166</v>
      </c>
      <c r="S2312" s="266" t="s">
        <v>166</v>
      </c>
      <c r="T2312" s="494"/>
    </row>
    <row r="2313">
      <c r="A2313" s="494" t="s">
        <v>3401</v>
      </c>
      <c r="B2313" s="495" t="s">
        <v>4357</v>
      </c>
      <c r="C2313" s="452" t="str">
        <f t="shared" si="336"/>
        <v>ZOTAC</v>
      </c>
      <c r="D2313" s="452" t="s">
        <v>4403</v>
      </c>
      <c r="E2313" s="266">
        <v>317.8</v>
      </c>
      <c r="F2313" s="266">
        <v>120.7</v>
      </c>
      <c r="G2313" s="266">
        <v>58.0</v>
      </c>
      <c r="H2313" s="266">
        <v>2.0</v>
      </c>
      <c r="I2313" s="266">
        <v>1740.0</v>
      </c>
      <c r="J2313" s="266">
        <v>19.0</v>
      </c>
      <c r="K2313" s="266">
        <v>320.0</v>
      </c>
      <c r="L2313" s="266" t="s">
        <v>3460</v>
      </c>
      <c r="M2313" s="266">
        <v>3.0</v>
      </c>
      <c r="N2313" s="266">
        <v>3.0</v>
      </c>
      <c r="O2313" s="266">
        <v>1.0</v>
      </c>
      <c r="P2313" s="266" t="s">
        <v>166</v>
      </c>
      <c r="Q2313" s="266" t="s">
        <v>166</v>
      </c>
      <c r="R2313" s="497" t="s">
        <v>166</v>
      </c>
      <c r="S2313" s="497" t="s">
        <v>166</v>
      </c>
      <c r="T2313" s="496"/>
    </row>
    <row r="2314">
      <c r="A2314" s="494" t="s">
        <v>3401</v>
      </c>
      <c r="B2314" s="495" t="s">
        <v>4357</v>
      </c>
      <c r="C2314" s="452" t="str">
        <f t="shared" si="336"/>
        <v>ZOTAC</v>
      </c>
      <c r="D2314" s="452" t="s">
        <v>4404</v>
      </c>
      <c r="E2314" s="266">
        <v>317.8</v>
      </c>
      <c r="F2314" s="266">
        <v>120.7</v>
      </c>
      <c r="G2314" s="266">
        <v>58.0</v>
      </c>
      <c r="H2314" s="266">
        <v>2.0</v>
      </c>
      <c r="I2314" s="266">
        <v>1740.0</v>
      </c>
      <c r="J2314" s="266">
        <v>19.0</v>
      </c>
      <c r="K2314" s="266">
        <v>320.0</v>
      </c>
      <c r="L2314" s="266" t="s">
        <v>3460</v>
      </c>
      <c r="M2314" s="266">
        <v>3.0</v>
      </c>
      <c r="N2314" s="266">
        <v>3.0</v>
      </c>
      <c r="O2314" s="266">
        <v>1.0</v>
      </c>
      <c r="P2314" s="266" t="s">
        <v>166</v>
      </c>
      <c r="Q2314" s="266" t="s">
        <v>166</v>
      </c>
      <c r="R2314" s="266" t="s">
        <v>166</v>
      </c>
      <c r="S2314" s="266" t="s">
        <v>166</v>
      </c>
      <c r="T2314" s="494"/>
    </row>
    <row r="2315">
      <c r="A2315" s="494" t="s">
        <v>3401</v>
      </c>
      <c r="B2315" s="495" t="s">
        <v>4357</v>
      </c>
      <c r="C2315" s="452" t="str">
        <f t="shared" si="336"/>
        <v>ZOTAC</v>
      </c>
      <c r="D2315" s="452" t="s">
        <v>4335</v>
      </c>
      <c r="E2315" s="266">
        <v>317.8</v>
      </c>
      <c r="F2315" s="266">
        <v>131.8</v>
      </c>
      <c r="G2315" s="266">
        <v>59.6</v>
      </c>
      <c r="H2315" s="266">
        <v>2.0</v>
      </c>
      <c r="I2315" s="266">
        <v>1770.0</v>
      </c>
      <c r="J2315" s="266">
        <v>19.0</v>
      </c>
      <c r="K2315" s="266">
        <v>340.0</v>
      </c>
      <c r="L2315" s="266" t="s">
        <v>3460</v>
      </c>
      <c r="M2315" s="266">
        <v>3.0</v>
      </c>
      <c r="N2315" s="266">
        <v>3.0</v>
      </c>
      <c r="O2315" s="266">
        <v>1.0</v>
      </c>
      <c r="P2315" s="266" t="s">
        <v>166</v>
      </c>
      <c r="Q2315" s="266" t="s">
        <v>166</v>
      </c>
      <c r="R2315" s="497" t="s">
        <v>166</v>
      </c>
      <c r="S2315" s="497" t="s">
        <v>166</v>
      </c>
      <c r="T2315" s="496"/>
    </row>
    <row r="2316">
      <c r="A2316" s="494" t="s">
        <v>3401</v>
      </c>
      <c r="B2316" s="495" t="s">
        <v>4357</v>
      </c>
      <c r="C2316" s="452" t="str">
        <f t="shared" si="336"/>
        <v>ZOTAC</v>
      </c>
      <c r="D2316" s="452" t="s">
        <v>4336</v>
      </c>
      <c r="E2316" s="266">
        <v>317.8</v>
      </c>
      <c r="F2316" s="266">
        <v>131.8</v>
      </c>
      <c r="G2316" s="266">
        <v>59.6</v>
      </c>
      <c r="H2316" s="266">
        <v>2.0</v>
      </c>
      <c r="I2316" s="266">
        <v>1770.0</v>
      </c>
      <c r="J2316" s="266">
        <v>19.0</v>
      </c>
      <c r="K2316" s="266">
        <v>340.0</v>
      </c>
      <c r="L2316" s="266" t="s">
        <v>3460</v>
      </c>
      <c r="M2316" s="266">
        <v>3.0</v>
      </c>
      <c r="N2316" s="266">
        <v>3.0</v>
      </c>
      <c r="O2316" s="266">
        <v>1.0</v>
      </c>
      <c r="P2316" s="266" t="s">
        <v>166</v>
      </c>
      <c r="Q2316" s="266" t="s">
        <v>166</v>
      </c>
      <c r="R2316" s="266" t="s">
        <v>166</v>
      </c>
      <c r="S2316" s="266" t="s">
        <v>166</v>
      </c>
      <c r="T2316" s="494"/>
    </row>
    <row r="2317">
      <c r="A2317" s="538" t="s">
        <v>3401</v>
      </c>
      <c r="B2317" s="539" t="s">
        <v>4357</v>
      </c>
      <c r="C2317" s="290" t="str">
        <f t="shared" si="336"/>
        <v>ZOTAC</v>
      </c>
      <c r="D2317" s="640" t="s">
        <v>4356</v>
      </c>
      <c r="E2317" s="519">
        <v>327.7</v>
      </c>
      <c r="F2317" s="519">
        <v>137.2</v>
      </c>
      <c r="G2317" s="519">
        <v>58.6</v>
      </c>
      <c r="H2317" s="519">
        <v>2.0</v>
      </c>
      <c r="I2317" s="519">
        <v>1800.0</v>
      </c>
      <c r="J2317" s="519">
        <v>19.0</v>
      </c>
      <c r="K2317" s="519">
        <v>320.0</v>
      </c>
      <c r="L2317" s="519" t="s">
        <v>3734</v>
      </c>
      <c r="M2317" s="519">
        <v>3.0</v>
      </c>
      <c r="N2317" s="519">
        <v>3.0</v>
      </c>
      <c r="O2317" s="519">
        <v>1.0</v>
      </c>
      <c r="P2317" s="519" t="s">
        <v>166</v>
      </c>
      <c r="Q2317" s="519" t="s">
        <v>166</v>
      </c>
      <c r="R2317" s="540" t="s">
        <v>166</v>
      </c>
      <c r="S2317" s="540" t="s">
        <v>166</v>
      </c>
      <c r="T2317" s="541"/>
    </row>
    <row r="2318">
      <c r="A2318" s="504" t="s">
        <v>3401</v>
      </c>
      <c r="B2318" s="505" t="s">
        <v>4405</v>
      </c>
      <c r="C2318" s="174" t="str">
        <f t="shared" ref="C2318:C2322" si="337">HYPERLINK("https://www.asus.com/","Asus")</f>
        <v>Asus</v>
      </c>
      <c r="D2318" s="544" t="s">
        <v>3477</v>
      </c>
      <c r="E2318" s="507">
        <v>299.9</v>
      </c>
      <c r="F2318" s="507">
        <v>126.9</v>
      </c>
      <c r="G2318" s="507">
        <v>51.7</v>
      </c>
      <c r="H2318" s="507">
        <v>2.0</v>
      </c>
      <c r="I2318" s="507">
        <v>1740.0</v>
      </c>
      <c r="J2318" s="507">
        <v>19.0</v>
      </c>
      <c r="K2318" s="507">
        <v>350.0</v>
      </c>
      <c r="L2318" s="507" t="s">
        <v>3460</v>
      </c>
      <c r="M2318" s="507">
        <v>3.0</v>
      </c>
      <c r="N2318" s="507">
        <v>3.0</v>
      </c>
      <c r="O2318" s="507">
        <v>2.0</v>
      </c>
      <c r="P2318" s="507" t="s">
        <v>166</v>
      </c>
      <c r="Q2318" s="507" t="s">
        <v>166</v>
      </c>
      <c r="R2318" s="507" t="s">
        <v>166</v>
      </c>
      <c r="S2318" s="507" t="s">
        <v>166</v>
      </c>
      <c r="T2318" s="494"/>
    </row>
    <row r="2319">
      <c r="A2319" s="504" t="s">
        <v>3401</v>
      </c>
      <c r="B2319" s="505" t="s">
        <v>4405</v>
      </c>
      <c r="C2319" s="174" t="str">
        <f t="shared" si="337"/>
        <v>Asus</v>
      </c>
      <c r="D2319" s="544" t="s">
        <v>3478</v>
      </c>
      <c r="E2319" s="507">
        <v>299.9</v>
      </c>
      <c r="F2319" s="507">
        <v>126.9</v>
      </c>
      <c r="G2319" s="507">
        <v>51.7</v>
      </c>
      <c r="H2319" s="507">
        <v>2.0</v>
      </c>
      <c r="I2319" s="507">
        <v>1815.0</v>
      </c>
      <c r="J2319" s="507">
        <v>19.0</v>
      </c>
      <c r="K2319" s="507">
        <v>350.0</v>
      </c>
      <c r="L2319" s="507" t="s">
        <v>3460</v>
      </c>
      <c r="M2319" s="507">
        <v>3.0</v>
      </c>
      <c r="N2319" s="507">
        <v>3.0</v>
      </c>
      <c r="O2319" s="507">
        <v>2.0</v>
      </c>
      <c r="P2319" s="507" t="s">
        <v>166</v>
      </c>
      <c r="Q2319" s="507" t="s">
        <v>166</v>
      </c>
      <c r="R2319" s="507" t="s">
        <v>166</v>
      </c>
      <c r="S2319" s="507" t="s">
        <v>166</v>
      </c>
      <c r="T2319" s="494"/>
    </row>
    <row r="2320">
      <c r="A2320" s="504" t="s">
        <v>3401</v>
      </c>
      <c r="B2320" s="505" t="s">
        <v>4405</v>
      </c>
      <c r="C2320" s="174" t="str">
        <f t="shared" si="337"/>
        <v>Asus</v>
      </c>
      <c r="D2320" s="544" t="s">
        <v>3631</v>
      </c>
      <c r="E2320" s="507">
        <v>318.5</v>
      </c>
      <c r="F2320" s="507">
        <v>140.1</v>
      </c>
      <c r="G2320" s="507">
        <v>57.78</v>
      </c>
      <c r="H2320" s="507">
        <v>2.0</v>
      </c>
      <c r="I2320" s="507">
        <v>1740.0</v>
      </c>
      <c r="J2320" s="507">
        <v>19.0</v>
      </c>
      <c r="K2320" s="507">
        <v>350.0</v>
      </c>
      <c r="L2320" s="507" t="s">
        <v>3734</v>
      </c>
      <c r="M2320" s="507">
        <v>3.0</v>
      </c>
      <c r="N2320" s="507">
        <v>3.0</v>
      </c>
      <c r="O2320" s="507">
        <v>2.0</v>
      </c>
      <c r="P2320" s="507" t="s">
        <v>166</v>
      </c>
      <c r="Q2320" s="507" t="s">
        <v>166</v>
      </c>
      <c r="R2320" s="507" t="s">
        <v>166</v>
      </c>
      <c r="S2320" s="507" t="s">
        <v>166</v>
      </c>
      <c r="T2320" s="494"/>
    </row>
    <row r="2321">
      <c r="A2321" s="504" t="s">
        <v>3401</v>
      </c>
      <c r="B2321" s="505" t="s">
        <v>4405</v>
      </c>
      <c r="C2321" s="174" t="str">
        <f t="shared" si="337"/>
        <v>Asus</v>
      </c>
      <c r="D2321" s="544" t="s">
        <v>3643</v>
      </c>
      <c r="E2321" s="507">
        <v>318.5</v>
      </c>
      <c r="F2321" s="507">
        <v>140.1</v>
      </c>
      <c r="G2321" s="507">
        <v>57.78</v>
      </c>
      <c r="H2321" s="507">
        <v>2.0</v>
      </c>
      <c r="I2321" s="507">
        <v>1890.0</v>
      </c>
      <c r="J2321" s="507">
        <v>19.0</v>
      </c>
      <c r="K2321" s="507">
        <v>390.0</v>
      </c>
      <c r="L2321" s="507" t="s">
        <v>3734</v>
      </c>
      <c r="M2321" s="507">
        <v>3.0</v>
      </c>
      <c r="N2321" s="507">
        <v>3.0</v>
      </c>
      <c r="O2321" s="507">
        <v>2.0</v>
      </c>
      <c r="P2321" s="507" t="s">
        <v>166</v>
      </c>
      <c r="Q2321" s="507" t="s">
        <v>166</v>
      </c>
      <c r="R2321" s="507" t="s">
        <v>166</v>
      </c>
      <c r="S2321" s="507" t="s">
        <v>166</v>
      </c>
      <c r="T2321" s="494"/>
    </row>
    <row r="2322">
      <c r="A2322" s="504" t="s">
        <v>3401</v>
      </c>
      <c r="B2322" s="505" t="s">
        <v>4405</v>
      </c>
      <c r="C2322" s="174" t="str">
        <f t="shared" si="337"/>
        <v>Asus</v>
      </c>
      <c r="D2322" s="544" t="s">
        <v>4406</v>
      </c>
      <c r="E2322" s="507">
        <v>318.5</v>
      </c>
      <c r="F2322" s="507">
        <v>140.1</v>
      </c>
      <c r="G2322" s="507">
        <v>57.78</v>
      </c>
      <c r="H2322" s="507">
        <v>2.0</v>
      </c>
      <c r="I2322" s="507">
        <v>1890.0</v>
      </c>
      <c r="J2322" s="507">
        <v>19.0</v>
      </c>
      <c r="K2322" s="507">
        <v>390.0</v>
      </c>
      <c r="L2322" s="507" t="s">
        <v>3734</v>
      </c>
      <c r="M2322" s="507">
        <v>3.0</v>
      </c>
      <c r="N2322" s="507">
        <v>3.0</v>
      </c>
      <c r="O2322" s="507">
        <v>2.0</v>
      </c>
      <c r="P2322" s="507" t="s">
        <v>166</v>
      </c>
      <c r="Q2322" s="507" t="s">
        <v>166</v>
      </c>
      <c r="R2322" s="507" t="s">
        <v>166</v>
      </c>
      <c r="S2322" s="507" t="s">
        <v>166</v>
      </c>
      <c r="T2322" s="494"/>
    </row>
    <row r="2323">
      <c r="A2323" s="504" t="s">
        <v>3401</v>
      </c>
      <c r="B2323" s="505" t="s">
        <v>4405</v>
      </c>
      <c r="C2323" s="452" t="s">
        <v>3575</v>
      </c>
      <c r="D2323" s="544" t="s">
        <v>4407</v>
      </c>
      <c r="E2323" s="507">
        <f>317-12</f>
        <v>305</v>
      </c>
      <c r="F2323" s="507">
        <f>135-15</f>
        <v>120</v>
      </c>
      <c r="G2323" s="507">
        <v>60.0</v>
      </c>
      <c r="H2323" s="507">
        <v>2.0</v>
      </c>
      <c r="I2323" s="507">
        <v>1710.0</v>
      </c>
      <c r="J2323" s="507">
        <v>19.0</v>
      </c>
      <c r="K2323" s="507">
        <v>350.0</v>
      </c>
      <c r="L2323" s="507" t="s">
        <v>3460</v>
      </c>
      <c r="M2323" s="507">
        <v>3.0</v>
      </c>
      <c r="N2323" s="507">
        <v>3.0</v>
      </c>
      <c r="O2323" s="507">
        <v>1.0</v>
      </c>
      <c r="P2323" s="507" t="s">
        <v>166</v>
      </c>
      <c r="Q2323" s="507" t="s">
        <v>166</v>
      </c>
      <c r="R2323" s="507" t="s">
        <v>166</v>
      </c>
      <c r="S2323" s="507" t="s">
        <v>166</v>
      </c>
      <c r="T2323" s="494"/>
    </row>
    <row r="2324">
      <c r="A2324" s="504" t="s">
        <v>3401</v>
      </c>
      <c r="B2324" s="505" t="s">
        <v>4405</v>
      </c>
      <c r="C2324" s="452" t="s">
        <v>3575</v>
      </c>
      <c r="D2324" s="544" t="s">
        <v>4408</v>
      </c>
      <c r="E2324" s="507">
        <f>310-12</f>
        <v>298</v>
      </c>
      <c r="F2324" s="507">
        <f>131.5-15</f>
        <v>116.5</v>
      </c>
      <c r="G2324" s="507">
        <v>59.0</v>
      </c>
      <c r="H2324" s="507">
        <v>2.0</v>
      </c>
      <c r="I2324" s="507">
        <v>1740.0</v>
      </c>
      <c r="J2324" s="507">
        <v>19.0</v>
      </c>
      <c r="K2324" s="507">
        <v>360.0</v>
      </c>
      <c r="L2324" s="507" t="s">
        <v>3734</v>
      </c>
      <c r="M2324" s="507">
        <v>3.0</v>
      </c>
      <c r="N2324" s="507">
        <v>3.0</v>
      </c>
      <c r="O2324" s="507">
        <v>1.0</v>
      </c>
      <c r="P2324" s="507" t="s">
        <v>166</v>
      </c>
      <c r="Q2324" s="507" t="s">
        <v>166</v>
      </c>
      <c r="R2324" s="507" t="s">
        <v>166</v>
      </c>
      <c r="S2324" s="507" t="s">
        <v>166</v>
      </c>
      <c r="T2324" s="494"/>
    </row>
    <row r="2325">
      <c r="A2325" s="504" t="s">
        <v>3401</v>
      </c>
      <c r="B2325" s="505" t="s">
        <v>4405</v>
      </c>
      <c r="C2325" s="452" t="s">
        <v>3575</v>
      </c>
      <c r="D2325" s="544" t="s">
        <v>4409</v>
      </c>
      <c r="E2325" s="507">
        <f>315.5-12</f>
        <v>303.5</v>
      </c>
      <c r="F2325" s="507">
        <f>131-15</f>
        <v>116</v>
      </c>
      <c r="G2325" s="507">
        <v>60.0</v>
      </c>
      <c r="H2325" s="507">
        <v>2.0</v>
      </c>
      <c r="I2325" s="507">
        <v>1770.0</v>
      </c>
      <c r="J2325" s="507">
        <v>19.0</v>
      </c>
      <c r="K2325" s="507">
        <v>390.0</v>
      </c>
      <c r="L2325" s="507" t="s">
        <v>3734</v>
      </c>
      <c r="M2325" s="507">
        <v>3.0</v>
      </c>
      <c r="N2325" s="507">
        <v>3.0</v>
      </c>
      <c r="O2325" s="507">
        <v>1.0</v>
      </c>
      <c r="P2325" s="507" t="s">
        <v>166</v>
      </c>
      <c r="Q2325" s="507" t="s">
        <v>166</v>
      </c>
      <c r="R2325" s="507" t="s">
        <v>166</v>
      </c>
      <c r="S2325" s="507" t="s">
        <v>166</v>
      </c>
      <c r="T2325" s="494"/>
    </row>
    <row r="2326">
      <c r="A2326" s="504" t="s">
        <v>3401</v>
      </c>
      <c r="B2326" s="505" t="s">
        <v>4405</v>
      </c>
      <c r="C2326" s="452" t="s">
        <v>3575</v>
      </c>
      <c r="D2326" s="544" t="s">
        <v>4410</v>
      </c>
      <c r="E2326" s="507">
        <f>322.9-12</f>
        <v>310.9</v>
      </c>
      <c r="F2326" s="507">
        <f>158.2-15</f>
        <v>143.2</v>
      </c>
      <c r="G2326" s="507">
        <v>60.4</v>
      </c>
      <c r="H2326" s="507">
        <v>2.0</v>
      </c>
      <c r="I2326" s="507">
        <v>1800.0</v>
      </c>
      <c r="J2326" s="507">
        <v>19.0</v>
      </c>
      <c r="K2326" s="507">
        <v>390.0</v>
      </c>
      <c r="L2326" s="507" t="s">
        <v>3734</v>
      </c>
      <c r="M2326" s="507">
        <v>3.0</v>
      </c>
      <c r="N2326" s="507">
        <v>3.0</v>
      </c>
      <c r="O2326" s="507">
        <v>1.0</v>
      </c>
      <c r="P2326" s="507" t="s">
        <v>166</v>
      </c>
      <c r="Q2326" s="507" t="s">
        <v>166</v>
      </c>
      <c r="R2326" s="507" t="s">
        <v>166</v>
      </c>
      <c r="S2326" s="507" t="s">
        <v>166</v>
      </c>
      <c r="T2326" s="494"/>
    </row>
    <row r="2327">
      <c r="A2327" s="504" t="s">
        <v>3401</v>
      </c>
      <c r="B2327" s="505" t="s">
        <v>4405</v>
      </c>
      <c r="C2327" s="174" t="str">
        <f t="shared" ref="C2327:C2335" si="338">HYPERLINK("https://www.evga.com/","EVGA")</f>
        <v>EVGA</v>
      </c>
      <c r="D2327" s="641" t="s">
        <v>4411</v>
      </c>
      <c r="E2327" s="507">
        <v>285.37</v>
      </c>
      <c r="F2327" s="507">
        <v>111.15</v>
      </c>
      <c r="G2327" s="507">
        <v>40.9</v>
      </c>
      <c r="H2327" s="507">
        <v>2.0</v>
      </c>
      <c r="I2327" s="507">
        <v>1710.0</v>
      </c>
      <c r="J2327" s="507">
        <v>19.0</v>
      </c>
      <c r="K2327" s="507">
        <v>350.0</v>
      </c>
      <c r="L2327" s="507" t="s">
        <v>3460</v>
      </c>
      <c r="M2327" s="507">
        <v>3.0</v>
      </c>
      <c r="N2327" s="507">
        <v>3.0</v>
      </c>
      <c r="O2327" s="507">
        <v>1.0</v>
      </c>
      <c r="P2327" s="507" t="s">
        <v>166</v>
      </c>
      <c r="Q2327" s="507" t="s">
        <v>166</v>
      </c>
      <c r="R2327" s="507" t="s">
        <v>166</v>
      </c>
      <c r="S2327" s="507" t="s">
        <v>166</v>
      </c>
      <c r="T2327" s="494"/>
    </row>
    <row r="2328">
      <c r="A2328" s="504" t="s">
        <v>3401</v>
      </c>
      <c r="B2328" s="505" t="s">
        <v>4405</v>
      </c>
      <c r="C2328" s="174" t="str">
        <f t="shared" si="338"/>
        <v>EVGA</v>
      </c>
      <c r="D2328" s="641" t="s">
        <v>4279</v>
      </c>
      <c r="E2328" s="507">
        <v>285.37</v>
      </c>
      <c r="F2328" s="507">
        <v>111.15</v>
      </c>
      <c r="G2328" s="507">
        <v>40.9</v>
      </c>
      <c r="H2328" s="507">
        <v>2.0</v>
      </c>
      <c r="I2328" s="507">
        <v>1710.0</v>
      </c>
      <c r="J2328" s="507">
        <v>19.0</v>
      </c>
      <c r="K2328" s="507">
        <v>350.0</v>
      </c>
      <c r="L2328" s="507" t="s">
        <v>3460</v>
      </c>
      <c r="M2328" s="507">
        <v>3.0</v>
      </c>
      <c r="N2328" s="507">
        <v>3.0</v>
      </c>
      <c r="O2328" s="507">
        <v>1.0</v>
      </c>
      <c r="P2328" s="507" t="s">
        <v>166</v>
      </c>
      <c r="Q2328" s="507" t="s">
        <v>166</v>
      </c>
      <c r="R2328" s="507" t="s">
        <v>166</v>
      </c>
      <c r="S2328" s="507" t="s">
        <v>166</v>
      </c>
      <c r="T2328" s="494"/>
    </row>
    <row r="2329">
      <c r="A2329" s="504" t="s">
        <v>3401</v>
      </c>
      <c r="B2329" s="505" t="s">
        <v>4405</v>
      </c>
      <c r="C2329" s="174" t="str">
        <f t="shared" si="338"/>
        <v>EVGA</v>
      </c>
      <c r="D2329" s="641" t="s">
        <v>4340</v>
      </c>
      <c r="E2329" s="507">
        <v>285.37</v>
      </c>
      <c r="F2329" s="507">
        <v>111.15</v>
      </c>
      <c r="G2329" s="507">
        <v>45.9</v>
      </c>
      <c r="H2329" s="507">
        <v>2.0</v>
      </c>
      <c r="I2329" s="507">
        <v>1755.0</v>
      </c>
      <c r="J2329" s="507">
        <v>19.0</v>
      </c>
      <c r="K2329" s="507">
        <v>350.0</v>
      </c>
      <c r="L2329" s="507" t="s">
        <v>3460</v>
      </c>
      <c r="M2329" s="507">
        <v>3.0</v>
      </c>
      <c r="N2329" s="507">
        <v>3.0</v>
      </c>
      <c r="O2329" s="507">
        <v>1.0</v>
      </c>
      <c r="P2329" s="507" t="s">
        <v>166</v>
      </c>
      <c r="Q2329" s="507" t="s">
        <v>166</v>
      </c>
      <c r="R2329" s="507" t="s">
        <v>166</v>
      </c>
      <c r="S2329" s="507" t="s">
        <v>166</v>
      </c>
      <c r="T2329" s="494"/>
    </row>
    <row r="2330">
      <c r="A2330" s="504" t="s">
        <v>3401</v>
      </c>
      <c r="B2330" s="505" t="s">
        <v>4405</v>
      </c>
      <c r="C2330" s="174" t="str">
        <f t="shared" si="338"/>
        <v>EVGA</v>
      </c>
      <c r="D2330" s="641" t="s">
        <v>3823</v>
      </c>
      <c r="E2330" s="507">
        <v>300.0</v>
      </c>
      <c r="F2330" s="507">
        <v>136.75</v>
      </c>
      <c r="G2330" s="507">
        <v>56.35</v>
      </c>
      <c r="H2330" s="507">
        <v>2.0</v>
      </c>
      <c r="I2330" s="507">
        <v>1755.0</v>
      </c>
      <c r="J2330" s="507">
        <v>19.0</v>
      </c>
      <c r="K2330" s="507">
        <v>350.0</v>
      </c>
      <c r="L2330" s="507" t="s">
        <v>3460</v>
      </c>
      <c r="M2330" s="507">
        <v>3.0</v>
      </c>
      <c r="N2330" s="507">
        <v>3.0</v>
      </c>
      <c r="O2330" s="507">
        <v>1.0</v>
      </c>
      <c r="P2330" s="507" t="s">
        <v>166</v>
      </c>
      <c r="Q2330" s="507" t="s">
        <v>166</v>
      </c>
      <c r="R2330" s="507" t="s">
        <v>166</v>
      </c>
      <c r="S2330" s="507" t="s">
        <v>166</v>
      </c>
      <c r="T2330" s="494"/>
    </row>
    <row r="2331">
      <c r="A2331" s="504" t="s">
        <v>3401</v>
      </c>
      <c r="B2331" s="505" t="s">
        <v>4405</v>
      </c>
      <c r="C2331" s="174" t="str">
        <f t="shared" si="338"/>
        <v>EVGA</v>
      </c>
      <c r="D2331" s="641" t="s">
        <v>3979</v>
      </c>
      <c r="E2331" s="507">
        <v>300.0</v>
      </c>
      <c r="F2331" s="507">
        <v>136.75</v>
      </c>
      <c r="G2331" s="507">
        <v>56.35</v>
      </c>
      <c r="H2331" s="507">
        <v>2.0</v>
      </c>
      <c r="I2331" s="507">
        <v>1800.0</v>
      </c>
      <c r="J2331" s="507">
        <v>19.0</v>
      </c>
      <c r="K2331" s="507">
        <v>400.0</v>
      </c>
      <c r="L2331" s="507" t="s">
        <v>3734</v>
      </c>
      <c r="M2331" s="507">
        <v>3.0</v>
      </c>
      <c r="N2331" s="507">
        <v>3.0</v>
      </c>
      <c r="O2331" s="507">
        <v>1.0</v>
      </c>
      <c r="P2331" s="507" t="s">
        <v>166</v>
      </c>
      <c r="Q2331" s="507" t="s">
        <v>166</v>
      </c>
      <c r="R2331" s="507" t="s">
        <v>166</v>
      </c>
      <c r="S2331" s="507" t="s">
        <v>166</v>
      </c>
      <c r="T2331" s="494"/>
    </row>
    <row r="2332">
      <c r="A2332" s="504" t="s">
        <v>3401</v>
      </c>
      <c r="B2332" s="505" t="s">
        <v>4405</v>
      </c>
      <c r="C2332" s="174" t="str">
        <f t="shared" si="338"/>
        <v>EVGA</v>
      </c>
      <c r="D2332" s="641" t="s">
        <v>4412</v>
      </c>
      <c r="E2332" s="507">
        <v>262.8</v>
      </c>
      <c r="F2332" s="507">
        <v>112.1</v>
      </c>
      <c r="G2332" s="507">
        <v>40.0</v>
      </c>
      <c r="H2332" s="507">
        <v>2.0</v>
      </c>
      <c r="I2332" s="507">
        <v>1755.0</v>
      </c>
      <c r="J2332" s="507">
        <v>19.0</v>
      </c>
      <c r="K2332" s="507">
        <v>350.0</v>
      </c>
      <c r="L2332" s="507" t="s">
        <v>3460</v>
      </c>
      <c r="M2332" s="507">
        <v>1.0</v>
      </c>
      <c r="N2332" s="507">
        <v>3.0</v>
      </c>
      <c r="O2332" s="507">
        <v>1.0</v>
      </c>
      <c r="P2332" s="507" t="s">
        <v>166</v>
      </c>
      <c r="Q2332" s="507" t="s">
        <v>166</v>
      </c>
      <c r="R2332" s="507" t="s">
        <v>174</v>
      </c>
      <c r="S2332" s="507" t="s">
        <v>166</v>
      </c>
      <c r="T2332" s="494"/>
    </row>
    <row r="2333">
      <c r="A2333" s="504" t="s">
        <v>3401</v>
      </c>
      <c r="B2333" s="505" t="s">
        <v>4405</v>
      </c>
      <c r="C2333" s="174" t="str">
        <f t="shared" si="338"/>
        <v>EVGA</v>
      </c>
      <c r="D2333" s="641" t="s">
        <v>4031</v>
      </c>
      <c r="E2333" s="507">
        <v>288.9</v>
      </c>
      <c r="F2333" s="507">
        <v>137.8</v>
      </c>
      <c r="G2333" s="507">
        <v>40.0</v>
      </c>
      <c r="H2333" s="507">
        <v>2.0</v>
      </c>
      <c r="I2333" s="507">
        <v>1800.0</v>
      </c>
      <c r="J2333" s="507">
        <v>19.0</v>
      </c>
      <c r="K2333" s="507">
        <v>400.0</v>
      </c>
      <c r="L2333" s="507" t="s">
        <v>3734</v>
      </c>
      <c r="M2333" s="507">
        <v>1.0</v>
      </c>
      <c r="N2333" s="507">
        <v>3.0</v>
      </c>
      <c r="O2333" s="507">
        <v>1.0</v>
      </c>
      <c r="P2333" s="507" t="s">
        <v>166</v>
      </c>
      <c r="Q2333" s="507" t="s">
        <v>166</v>
      </c>
      <c r="R2333" s="507" t="s">
        <v>174</v>
      </c>
      <c r="S2333" s="507" t="s">
        <v>166</v>
      </c>
      <c r="T2333" s="494"/>
    </row>
    <row r="2334">
      <c r="A2334" s="504" t="s">
        <v>3401</v>
      </c>
      <c r="B2334" s="505" t="s">
        <v>4405</v>
      </c>
      <c r="C2334" s="174" t="str">
        <f t="shared" si="338"/>
        <v>EVGA</v>
      </c>
      <c r="D2334" s="641" t="s">
        <v>4376</v>
      </c>
      <c r="E2334" s="507">
        <v>262.8</v>
      </c>
      <c r="F2334" s="507">
        <v>132.1</v>
      </c>
      <c r="G2334" s="507">
        <v>24.0</v>
      </c>
      <c r="H2334" s="507">
        <v>1.0</v>
      </c>
      <c r="I2334" s="507">
        <v>1755.0</v>
      </c>
      <c r="J2334" s="507">
        <v>19.0</v>
      </c>
      <c r="K2334" s="507">
        <v>350.0</v>
      </c>
      <c r="L2334" s="507" t="s">
        <v>3460</v>
      </c>
      <c r="M2334" s="507" t="s">
        <v>166</v>
      </c>
      <c r="N2334" s="507">
        <v>3.0</v>
      </c>
      <c r="O2334" s="507">
        <v>1.0</v>
      </c>
      <c r="P2334" s="507" t="s">
        <v>166</v>
      </c>
      <c r="Q2334" s="507" t="s">
        <v>166</v>
      </c>
      <c r="R2334" s="507" t="s">
        <v>174</v>
      </c>
      <c r="S2334" s="507" t="s">
        <v>166</v>
      </c>
      <c r="T2334" s="494"/>
    </row>
    <row r="2335">
      <c r="A2335" s="504" t="s">
        <v>3401</v>
      </c>
      <c r="B2335" s="505" t="s">
        <v>4405</v>
      </c>
      <c r="C2335" s="174" t="str">
        <f t="shared" si="338"/>
        <v>EVGA</v>
      </c>
      <c r="D2335" s="641" t="s">
        <v>4032</v>
      </c>
      <c r="E2335" s="507">
        <v>288.9</v>
      </c>
      <c r="F2335" s="507">
        <v>157.3</v>
      </c>
      <c r="G2335" s="507">
        <v>24.0</v>
      </c>
      <c r="H2335" s="507">
        <v>1.0</v>
      </c>
      <c r="I2335" s="507">
        <v>1800.0</v>
      </c>
      <c r="J2335" s="507">
        <v>19.0</v>
      </c>
      <c r="K2335" s="507">
        <v>400.0</v>
      </c>
      <c r="L2335" s="507" t="s">
        <v>3734</v>
      </c>
      <c r="M2335" s="507" t="s">
        <v>166</v>
      </c>
      <c r="N2335" s="507">
        <v>3.0</v>
      </c>
      <c r="O2335" s="507">
        <v>1.0</v>
      </c>
      <c r="P2335" s="507" t="s">
        <v>166</v>
      </c>
      <c r="Q2335" s="507" t="s">
        <v>166</v>
      </c>
      <c r="R2335" s="507" t="s">
        <v>174</v>
      </c>
      <c r="S2335" s="507" t="s">
        <v>166</v>
      </c>
      <c r="T2335" s="494"/>
    </row>
    <row r="2336">
      <c r="A2336" s="504" t="s">
        <v>3401</v>
      </c>
      <c r="B2336" s="505" t="s">
        <v>4405</v>
      </c>
      <c r="C2336" s="174" t="str">
        <f t="shared" ref="C2336:C2339" si="339">HYPERLINK("http://www.gainward.com/main/index.php?lang=en","Gainward")</f>
        <v>Gainward</v>
      </c>
      <c r="D2336" s="544" t="s">
        <v>3371</v>
      </c>
      <c r="E2336" s="507">
        <v>294.0</v>
      </c>
      <c r="F2336" s="507">
        <v>112.0</v>
      </c>
      <c r="G2336" s="507">
        <v>54.0</v>
      </c>
      <c r="H2336" s="507">
        <v>2.0</v>
      </c>
      <c r="I2336" s="507">
        <v>1710.0</v>
      </c>
      <c r="J2336" s="507">
        <v>19.0</v>
      </c>
      <c r="K2336" s="507">
        <v>350.0</v>
      </c>
      <c r="L2336" s="507" t="s">
        <v>3460</v>
      </c>
      <c r="M2336" s="507">
        <v>3.0</v>
      </c>
      <c r="N2336" s="507">
        <v>3.0</v>
      </c>
      <c r="O2336" s="507">
        <v>1.0</v>
      </c>
      <c r="P2336" s="507" t="s">
        <v>166</v>
      </c>
      <c r="Q2336" s="507" t="s">
        <v>166</v>
      </c>
      <c r="R2336" s="507" t="s">
        <v>166</v>
      </c>
      <c r="S2336" s="507" t="s">
        <v>166</v>
      </c>
      <c r="T2336" s="494"/>
    </row>
    <row r="2337">
      <c r="A2337" s="504" t="s">
        <v>3401</v>
      </c>
      <c r="B2337" s="505" t="s">
        <v>4405</v>
      </c>
      <c r="C2337" s="174" t="str">
        <f t="shared" si="339"/>
        <v>Gainward</v>
      </c>
      <c r="D2337" s="544" t="s">
        <v>4413</v>
      </c>
      <c r="E2337" s="507">
        <v>294.0</v>
      </c>
      <c r="F2337" s="507">
        <v>112.0</v>
      </c>
      <c r="G2337" s="507">
        <v>54.0</v>
      </c>
      <c r="H2337" s="507">
        <v>2.0</v>
      </c>
      <c r="I2337" s="507">
        <v>1740.0</v>
      </c>
      <c r="J2337" s="507">
        <v>19.0</v>
      </c>
      <c r="K2337" s="507">
        <v>350.0</v>
      </c>
      <c r="L2337" s="507" t="s">
        <v>3460</v>
      </c>
      <c r="M2337" s="507">
        <v>3.0</v>
      </c>
      <c r="N2337" s="507">
        <v>3.0</v>
      </c>
      <c r="O2337" s="507">
        <v>1.0</v>
      </c>
      <c r="P2337" s="507" t="s">
        <v>166</v>
      </c>
      <c r="Q2337" s="507" t="s">
        <v>166</v>
      </c>
      <c r="R2337" s="507" t="s">
        <v>166</v>
      </c>
      <c r="S2337" s="507" t="s">
        <v>166</v>
      </c>
      <c r="T2337" s="494"/>
    </row>
    <row r="2338">
      <c r="A2338" s="504" t="s">
        <v>3401</v>
      </c>
      <c r="B2338" s="505" t="s">
        <v>4405</v>
      </c>
      <c r="C2338" s="174" t="str">
        <f t="shared" si="339"/>
        <v>Gainward</v>
      </c>
      <c r="D2338" s="544" t="s">
        <v>3953</v>
      </c>
      <c r="E2338" s="507">
        <v>304.0</v>
      </c>
      <c r="F2338" s="507">
        <v>138.0</v>
      </c>
      <c r="G2338" s="507">
        <v>54.0</v>
      </c>
      <c r="H2338" s="507">
        <v>2.0</v>
      </c>
      <c r="I2338" s="507">
        <v>1710.0</v>
      </c>
      <c r="J2338" s="507">
        <v>19.0</v>
      </c>
      <c r="K2338" s="507">
        <v>350.0</v>
      </c>
      <c r="L2338" s="507" t="s">
        <v>3734</v>
      </c>
      <c r="M2338" s="507">
        <v>3.0</v>
      </c>
      <c r="N2338" s="507">
        <v>3.0</v>
      </c>
      <c r="O2338" s="507">
        <v>1.0</v>
      </c>
      <c r="P2338" s="507" t="s">
        <v>166</v>
      </c>
      <c r="Q2338" s="507" t="s">
        <v>166</v>
      </c>
      <c r="R2338" s="507" t="s">
        <v>166</v>
      </c>
      <c r="S2338" s="507" t="s">
        <v>166</v>
      </c>
      <c r="T2338" s="494"/>
    </row>
    <row r="2339">
      <c r="A2339" s="504" t="s">
        <v>3401</v>
      </c>
      <c r="B2339" s="505" t="s">
        <v>4405</v>
      </c>
      <c r="C2339" s="174" t="str">
        <f t="shared" si="339"/>
        <v>Gainward</v>
      </c>
      <c r="D2339" s="544" t="s">
        <v>3954</v>
      </c>
      <c r="E2339" s="507">
        <v>304.0</v>
      </c>
      <c r="F2339" s="507">
        <v>138.0</v>
      </c>
      <c r="G2339" s="507">
        <v>54.0</v>
      </c>
      <c r="H2339" s="507">
        <v>2.0</v>
      </c>
      <c r="I2339" s="507">
        <v>1815.0</v>
      </c>
      <c r="J2339" s="507">
        <v>19.0</v>
      </c>
      <c r="K2339" s="507">
        <v>350.0</v>
      </c>
      <c r="L2339" s="507" t="s">
        <v>3734</v>
      </c>
      <c r="M2339" s="507">
        <v>3.0</v>
      </c>
      <c r="N2339" s="507">
        <v>3.0</v>
      </c>
      <c r="O2339" s="507">
        <v>1.0</v>
      </c>
      <c r="P2339" s="507" t="s">
        <v>166</v>
      </c>
      <c r="Q2339" s="507" t="s">
        <v>166</v>
      </c>
      <c r="R2339" s="507" t="s">
        <v>166</v>
      </c>
      <c r="S2339" s="507" t="s">
        <v>166</v>
      </c>
      <c r="T2339" s="494"/>
    </row>
    <row r="2340">
      <c r="A2340" s="504" t="s">
        <v>3401</v>
      </c>
      <c r="B2340" s="505" t="s">
        <v>4405</v>
      </c>
      <c r="C2340" s="174" t="s">
        <v>3456</v>
      </c>
      <c r="D2340" s="544" t="s">
        <v>4296</v>
      </c>
      <c r="E2340" s="507">
        <v>317.0</v>
      </c>
      <c r="F2340" s="507">
        <v>113.0</v>
      </c>
      <c r="G2340" s="507">
        <v>61.0</v>
      </c>
      <c r="H2340" s="507">
        <v>2.0</v>
      </c>
      <c r="I2340" s="507">
        <v>1755.0</v>
      </c>
      <c r="J2340" s="507">
        <v>19.0</v>
      </c>
      <c r="K2340" s="507">
        <v>350.0</v>
      </c>
      <c r="L2340" s="507" t="s">
        <v>3460</v>
      </c>
      <c r="M2340" s="507">
        <v>3.0</v>
      </c>
      <c r="N2340" s="507">
        <v>3.0</v>
      </c>
      <c r="O2340" s="507">
        <v>1.0</v>
      </c>
      <c r="P2340" s="507" t="s">
        <v>166</v>
      </c>
      <c r="Q2340" s="507" t="s">
        <v>166</v>
      </c>
      <c r="R2340" s="507" t="s">
        <v>166</v>
      </c>
      <c r="S2340" s="507" t="s">
        <v>166</v>
      </c>
      <c r="T2340" s="494"/>
    </row>
    <row r="2341">
      <c r="A2341" s="504" t="s">
        <v>3401</v>
      </c>
      <c r="B2341" s="505" t="s">
        <v>4405</v>
      </c>
      <c r="C2341" s="174" t="s">
        <v>3456</v>
      </c>
      <c r="D2341" s="544" t="s">
        <v>4298</v>
      </c>
      <c r="E2341" s="507">
        <v>316.0</v>
      </c>
      <c r="F2341" s="507">
        <v>124.0</v>
      </c>
      <c r="G2341" s="507">
        <v>58.0</v>
      </c>
      <c r="H2341" s="507">
        <v>2.0</v>
      </c>
      <c r="I2341" s="507">
        <v>1770.0</v>
      </c>
      <c r="J2341" s="507">
        <v>19.0</v>
      </c>
      <c r="K2341" s="507">
        <v>350.0</v>
      </c>
      <c r="L2341" s="507" t="s">
        <v>3460</v>
      </c>
      <c r="M2341" s="507">
        <v>3.0</v>
      </c>
      <c r="N2341" s="507">
        <v>3.0</v>
      </c>
      <c r="O2341" s="507">
        <v>1.0</v>
      </c>
      <c r="P2341" s="507" t="s">
        <v>166</v>
      </c>
      <c r="Q2341" s="507" t="s">
        <v>166</v>
      </c>
      <c r="R2341" s="507" t="s">
        <v>166</v>
      </c>
      <c r="S2341" s="507" t="s">
        <v>166</v>
      </c>
      <c r="T2341" s="494"/>
    </row>
    <row r="2342">
      <c r="A2342" s="504" t="s">
        <v>3401</v>
      </c>
      <c r="B2342" s="505" t="s">
        <v>4405</v>
      </c>
      <c r="C2342" s="174" t="str">
        <f t="shared" ref="C2342:C2346" si="340">HYPERLINK("https://www.gigabyte.com/","Gigabyte")</f>
        <v>Gigabyte</v>
      </c>
      <c r="D2342" s="544" t="s">
        <v>3374</v>
      </c>
      <c r="E2342" s="507">
        <v>320.0</v>
      </c>
      <c r="F2342" s="507">
        <v>128.0</v>
      </c>
      <c r="G2342" s="507">
        <v>56.0</v>
      </c>
      <c r="H2342" s="507">
        <v>2.0</v>
      </c>
      <c r="I2342" s="507">
        <v>1710.0</v>
      </c>
      <c r="J2342" s="507">
        <v>19.0</v>
      </c>
      <c r="K2342" s="507">
        <v>350.0</v>
      </c>
      <c r="L2342" s="507" t="s">
        <v>3460</v>
      </c>
      <c r="M2342" s="507">
        <v>3.0</v>
      </c>
      <c r="N2342" s="507">
        <v>3.0</v>
      </c>
      <c r="O2342" s="507">
        <v>2.0</v>
      </c>
      <c r="P2342" s="507" t="s">
        <v>166</v>
      </c>
      <c r="Q2342" s="507" t="s">
        <v>166</v>
      </c>
      <c r="R2342" s="507" t="s">
        <v>166</v>
      </c>
      <c r="S2342" s="507" t="s">
        <v>166</v>
      </c>
      <c r="T2342" s="494"/>
    </row>
    <row r="2343">
      <c r="A2343" s="504" t="s">
        <v>3401</v>
      </c>
      <c r="B2343" s="505" t="s">
        <v>4405</v>
      </c>
      <c r="C2343" s="174" t="str">
        <f t="shared" si="340"/>
        <v>Gigabyte</v>
      </c>
      <c r="D2343" s="544" t="s">
        <v>3630</v>
      </c>
      <c r="E2343" s="507">
        <v>320.0</v>
      </c>
      <c r="F2343" s="507">
        <v>129.0</v>
      </c>
      <c r="G2343" s="507">
        <v>55.0</v>
      </c>
      <c r="H2343" s="507">
        <v>2.0</v>
      </c>
      <c r="I2343" s="507">
        <v>1755.0</v>
      </c>
      <c r="J2343" s="507">
        <v>19.0</v>
      </c>
      <c r="K2343" s="507">
        <v>370.0</v>
      </c>
      <c r="L2343" s="507" t="s">
        <v>3460</v>
      </c>
      <c r="M2343" s="507">
        <v>3.0</v>
      </c>
      <c r="N2343" s="507">
        <v>3.0</v>
      </c>
      <c r="O2343" s="507">
        <v>2.0</v>
      </c>
      <c r="P2343" s="507" t="s">
        <v>166</v>
      </c>
      <c r="Q2343" s="507" t="s">
        <v>166</v>
      </c>
      <c r="R2343" s="507" t="s">
        <v>166</v>
      </c>
      <c r="S2343" s="507" t="s">
        <v>166</v>
      </c>
      <c r="T2343" s="494"/>
    </row>
    <row r="2344">
      <c r="A2344" s="504" t="s">
        <v>3401</v>
      </c>
      <c r="B2344" s="505" t="s">
        <v>4405</v>
      </c>
      <c r="C2344" s="174" t="str">
        <f t="shared" si="340"/>
        <v>Gigabyte</v>
      </c>
      <c r="D2344" s="544" t="s">
        <v>3725</v>
      </c>
      <c r="E2344" s="507">
        <v>319.0</v>
      </c>
      <c r="F2344" s="507">
        <v>140.0</v>
      </c>
      <c r="G2344" s="507">
        <v>70.0</v>
      </c>
      <c r="H2344" s="507">
        <v>2.0</v>
      </c>
      <c r="I2344" s="507">
        <v>1830.0</v>
      </c>
      <c r="J2344" s="507">
        <v>19.0</v>
      </c>
      <c r="K2344" s="507">
        <v>350.0</v>
      </c>
      <c r="L2344" s="507" t="s">
        <v>3734</v>
      </c>
      <c r="M2344" s="507">
        <v>3.0</v>
      </c>
      <c r="N2344" s="507">
        <v>3.0</v>
      </c>
      <c r="O2344" s="507">
        <v>3.0</v>
      </c>
      <c r="P2344" s="507" t="s">
        <v>166</v>
      </c>
      <c r="Q2344" s="507" t="s">
        <v>166</v>
      </c>
      <c r="R2344" s="507" t="s">
        <v>166</v>
      </c>
      <c r="S2344" s="507" t="s">
        <v>166</v>
      </c>
      <c r="T2344" s="494"/>
    </row>
    <row r="2345">
      <c r="A2345" s="504" t="s">
        <v>3401</v>
      </c>
      <c r="B2345" s="505" t="s">
        <v>4405</v>
      </c>
      <c r="C2345" s="174" t="str">
        <f t="shared" si="340"/>
        <v>Gigabyte</v>
      </c>
      <c r="D2345" s="544" t="s">
        <v>4414</v>
      </c>
      <c r="E2345" s="507">
        <v>252.0</v>
      </c>
      <c r="F2345" s="507">
        <v>135.0</v>
      </c>
      <c r="G2345" s="507">
        <v>40.0</v>
      </c>
      <c r="H2345" s="507">
        <v>2.0</v>
      </c>
      <c r="I2345" s="507">
        <v>1830.0</v>
      </c>
      <c r="J2345" s="507">
        <v>19.0</v>
      </c>
      <c r="K2345" s="507">
        <v>350.0</v>
      </c>
      <c r="L2345" s="507" t="s">
        <v>3460</v>
      </c>
      <c r="M2345" s="507" t="s">
        <v>166</v>
      </c>
      <c r="N2345" s="507">
        <v>3.0</v>
      </c>
      <c r="O2345" s="507">
        <v>3.0</v>
      </c>
      <c r="P2345" s="507" t="s">
        <v>166</v>
      </c>
      <c r="Q2345" s="507" t="s">
        <v>166</v>
      </c>
      <c r="R2345" s="507" t="s">
        <v>174</v>
      </c>
      <c r="S2345" s="507" t="s">
        <v>166</v>
      </c>
      <c r="T2345" s="494"/>
    </row>
    <row r="2346">
      <c r="A2346" s="504" t="s">
        <v>3401</v>
      </c>
      <c r="B2346" s="505" t="s">
        <v>4405</v>
      </c>
      <c r="C2346" s="174" t="str">
        <f t="shared" si="340"/>
        <v>Gigabyte</v>
      </c>
      <c r="D2346" s="544" t="s">
        <v>4415</v>
      </c>
      <c r="E2346" s="507">
        <v>252.0</v>
      </c>
      <c r="F2346" s="507">
        <v>163.0</v>
      </c>
      <c r="G2346" s="507">
        <v>29.0</v>
      </c>
      <c r="H2346" s="507">
        <v>2.0</v>
      </c>
      <c r="I2346" s="507">
        <v>1830.0</v>
      </c>
      <c r="J2346" s="507">
        <v>19.0</v>
      </c>
      <c r="K2346" s="507">
        <v>350.0</v>
      </c>
      <c r="L2346" s="507" t="s">
        <v>3460</v>
      </c>
      <c r="M2346" s="507" t="s">
        <v>166</v>
      </c>
      <c r="N2346" s="507">
        <v>3.0</v>
      </c>
      <c r="O2346" s="507">
        <v>3.0</v>
      </c>
      <c r="P2346" s="507" t="s">
        <v>166</v>
      </c>
      <c r="Q2346" s="507" t="s">
        <v>166</v>
      </c>
      <c r="R2346" s="507" t="s">
        <v>174</v>
      </c>
      <c r="S2346" s="507" t="s">
        <v>166</v>
      </c>
      <c r="T2346" s="494"/>
    </row>
    <row r="2347">
      <c r="A2347" s="504" t="s">
        <v>3401</v>
      </c>
      <c r="B2347" s="505" t="s">
        <v>4405</v>
      </c>
      <c r="C2347" s="452" t="str">
        <f t="shared" ref="C2347:C2351" si="341">HYPERLINK("http://www.inno3d.com/","Inno3D")</f>
        <v>Inno3D</v>
      </c>
      <c r="D2347" s="544" t="s">
        <v>4386</v>
      </c>
      <c r="E2347" s="507">
        <v>300.0</v>
      </c>
      <c r="F2347" s="507">
        <v>112.0</v>
      </c>
      <c r="G2347" s="507">
        <v>40.0</v>
      </c>
      <c r="H2347" s="507">
        <v>2.0</v>
      </c>
      <c r="I2347" s="507">
        <v>1725.0</v>
      </c>
      <c r="J2347" s="507">
        <v>19.0</v>
      </c>
      <c r="K2347" s="507">
        <v>350.0</v>
      </c>
      <c r="L2347" s="507" t="s">
        <v>3460</v>
      </c>
      <c r="M2347" s="507">
        <v>3.0</v>
      </c>
      <c r="N2347" s="507">
        <v>3.0</v>
      </c>
      <c r="O2347" s="507">
        <v>1.0</v>
      </c>
      <c r="P2347" s="507" t="s">
        <v>166</v>
      </c>
      <c r="Q2347" s="507" t="s">
        <v>166</v>
      </c>
      <c r="R2347" s="507" t="s">
        <v>166</v>
      </c>
      <c r="S2347" s="507" t="s">
        <v>166</v>
      </c>
      <c r="T2347" s="494"/>
    </row>
    <row r="2348">
      <c r="A2348" s="504" t="s">
        <v>3401</v>
      </c>
      <c r="B2348" s="505" t="s">
        <v>4405</v>
      </c>
      <c r="C2348" s="452" t="str">
        <f t="shared" si="341"/>
        <v>Inno3D</v>
      </c>
      <c r="D2348" s="544" t="s">
        <v>4303</v>
      </c>
      <c r="E2348" s="507">
        <v>300.0</v>
      </c>
      <c r="F2348" s="507">
        <v>135.0</v>
      </c>
      <c r="G2348" s="507">
        <v>60.0</v>
      </c>
      <c r="H2348" s="507">
        <v>2.0</v>
      </c>
      <c r="I2348" s="507">
        <v>1755.0</v>
      </c>
      <c r="J2348" s="507">
        <v>19.0</v>
      </c>
      <c r="K2348" s="507">
        <v>350.0</v>
      </c>
      <c r="L2348" s="507" t="s">
        <v>3460</v>
      </c>
      <c r="M2348" s="507">
        <v>3.0</v>
      </c>
      <c r="N2348" s="507">
        <v>3.0</v>
      </c>
      <c r="O2348" s="507">
        <v>1.0</v>
      </c>
      <c r="P2348" s="507" t="s">
        <v>166</v>
      </c>
      <c r="Q2348" s="507" t="s">
        <v>166</v>
      </c>
      <c r="R2348" s="507" t="s">
        <v>166</v>
      </c>
      <c r="S2348" s="507" t="s">
        <v>166</v>
      </c>
      <c r="T2348" s="494"/>
    </row>
    <row r="2349">
      <c r="A2349" s="504" t="s">
        <v>3401</v>
      </c>
      <c r="B2349" s="505" t="s">
        <v>4405</v>
      </c>
      <c r="C2349" s="452" t="str">
        <f t="shared" si="341"/>
        <v>Inno3D</v>
      </c>
      <c r="D2349" s="544" t="s">
        <v>4305</v>
      </c>
      <c r="E2349" s="507">
        <v>300.0</v>
      </c>
      <c r="F2349" s="507">
        <v>135.0</v>
      </c>
      <c r="G2349" s="507">
        <v>60.0</v>
      </c>
      <c r="H2349" s="507">
        <v>2.0</v>
      </c>
      <c r="I2349" s="507">
        <v>1755.0</v>
      </c>
      <c r="J2349" s="507">
        <v>19.0</v>
      </c>
      <c r="K2349" s="507">
        <v>350.0</v>
      </c>
      <c r="L2349" s="507" t="s">
        <v>3460</v>
      </c>
      <c r="M2349" s="507">
        <v>4.0</v>
      </c>
      <c r="N2349" s="507">
        <v>3.0</v>
      </c>
      <c r="O2349" s="507">
        <v>1.0</v>
      </c>
      <c r="P2349" s="507" t="s">
        <v>166</v>
      </c>
      <c r="Q2349" s="507" t="s">
        <v>166</v>
      </c>
      <c r="R2349" s="507" t="s">
        <v>166</v>
      </c>
      <c r="S2349" s="507" t="s">
        <v>166</v>
      </c>
      <c r="T2349" s="494"/>
    </row>
    <row r="2350">
      <c r="A2350" s="504" t="s">
        <v>3401</v>
      </c>
      <c r="B2350" s="505" t="s">
        <v>4405</v>
      </c>
      <c r="C2350" s="452" t="str">
        <f t="shared" si="341"/>
        <v>Inno3D</v>
      </c>
      <c r="D2350" s="544" t="s">
        <v>4387</v>
      </c>
      <c r="E2350" s="507">
        <v>226.0</v>
      </c>
      <c r="F2350" s="507">
        <v>119.0</v>
      </c>
      <c r="G2350" s="507">
        <v>40.0</v>
      </c>
      <c r="H2350" s="507">
        <v>2.0</v>
      </c>
      <c r="I2350" s="507">
        <v>1755.0</v>
      </c>
      <c r="J2350" s="507">
        <v>19.0</v>
      </c>
      <c r="K2350" s="507">
        <v>350.0</v>
      </c>
      <c r="L2350" s="507" t="s">
        <v>3460</v>
      </c>
      <c r="M2350" s="507">
        <v>1.0</v>
      </c>
      <c r="N2350" s="507">
        <v>3.0</v>
      </c>
      <c r="O2350" s="507">
        <v>1.0</v>
      </c>
      <c r="P2350" s="507" t="s">
        <v>166</v>
      </c>
      <c r="Q2350" s="507" t="s">
        <v>166</v>
      </c>
      <c r="R2350" s="507" t="s">
        <v>174</v>
      </c>
      <c r="S2350" s="507" t="s">
        <v>166</v>
      </c>
      <c r="T2350" s="494"/>
    </row>
    <row r="2351">
      <c r="A2351" s="504" t="s">
        <v>3401</v>
      </c>
      <c r="B2351" s="505" t="s">
        <v>4405</v>
      </c>
      <c r="C2351" s="452" t="str">
        <f t="shared" si="341"/>
        <v>Inno3D</v>
      </c>
      <c r="D2351" s="544" t="s">
        <v>4388</v>
      </c>
      <c r="E2351" s="507">
        <v>226.0</v>
      </c>
      <c r="F2351" s="507">
        <v>119.0</v>
      </c>
      <c r="G2351" s="507">
        <v>40.0</v>
      </c>
      <c r="H2351" s="507">
        <v>2.0</v>
      </c>
      <c r="I2351" s="507">
        <v>1755.0</v>
      </c>
      <c r="J2351" s="507">
        <v>19.0</v>
      </c>
      <c r="K2351" s="507">
        <v>350.0</v>
      </c>
      <c r="L2351" s="507" t="s">
        <v>3460</v>
      </c>
      <c r="M2351" s="507" t="s">
        <v>166</v>
      </c>
      <c r="N2351" s="507">
        <v>3.0</v>
      </c>
      <c r="O2351" s="507">
        <v>1.0</v>
      </c>
      <c r="P2351" s="507" t="s">
        <v>166</v>
      </c>
      <c r="Q2351" s="507" t="s">
        <v>166</v>
      </c>
      <c r="R2351" s="507" t="s">
        <v>174</v>
      </c>
      <c r="S2351" s="507" t="s">
        <v>166</v>
      </c>
      <c r="T2351" s="494"/>
    </row>
    <row r="2352">
      <c r="A2352" s="504" t="s">
        <v>3401</v>
      </c>
      <c r="B2352" s="505" t="s">
        <v>4405</v>
      </c>
      <c r="C2352" s="452" t="s">
        <v>3538</v>
      </c>
      <c r="D2352" s="544" t="s">
        <v>4416</v>
      </c>
      <c r="E2352" s="507">
        <v>323.0</v>
      </c>
      <c r="F2352" s="507">
        <v>122.0</v>
      </c>
      <c r="G2352" s="507">
        <v>63.0</v>
      </c>
      <c r="H2352" s="507">
        <v>2.0</v>
      </c>
      <c r="I2352" s="507">
        <v>1710.0</v>
      </c>
      <c r="J2352" s="507">
        <v>19.0</v>
      </c>
      <c r="K2352" s="507">
        <v>350.0</v>
      </c>
      <c r="L2352" s="507" t="s">
        <v>3460</v>
      </c>
      <c r="M2352" s="507">
        <v>3.0</v>
      </c>
      <c r="N2352" s="507">
        <v>3.0</v>
      </c>
      <c r="O2352" s="507">
        <v>1.0</v>
      </c>
      <c r="P2352" s="507" t="s">
        <v>166</v>
      </c>
      <c r="Q2352" s="507" t="s">
        <v>166</v>
      </c>
      <c r="R2352" s="507" t="s">
        <v>166</v>
      </c>
      <c r="S2352" s="507" t="s">
        <v>166</v>
      </c>
      <c r="T2352" s="494"/>
    </row>
    <row r="2353">
      <c r="A2353" s="504" t="s">
        <v>3401</v>
      </c>
      <c r="B2353" s="505" t="s">
        <v>4405</v>
      </c>
      <c r="C2353" s="452" t="str">
        <f t="shared" ref="C2353:C2354" si="342">HYPERLINK("http://manli.com/en","Manli")</f>
        <v>Manli</v>
      </c>
      <c r="D2353" s="544" t="s">
        <v>4417</v>
      </c>
      <c r="E2353" s="507">
        <v>317.0</v>
      </c>
      <c r="F2353" s="507">
        <v>115.0</v>
      </c>
      <c r="G2353" s="507">
        <v>60.0</v>
      </c>
      <c r="H2353" s="507">
        <v>2.0</v>
      </c>
      <c r="I2353" s="507">
        <v>1710.0</v>
      </c>
      <c r="J2353" s="507">
        <v>19.0</v>
      </c>
      <c r="K2353" s="507">
        <v>350.0</v>
      </c>
      <c r="L2353" s="507" t="s">
        <v>3460</v>
      </c>
      <c r="M2353" s="507">
        <v>3.0</v>
      </c>
      <c r="N2353" s="507">
        <v>3.0</v>
      </c>
      <c r="O2353" s="507">
        <v>1.0</v>
      </c>
      <c r="P2353" s="507" t="s">
        <v>166</v>
      </c>
      <c r="Q2353" s="507" t="s">
        <v>166</v>
      </c>
      <c r="R2353" s="507" t="s">
        <v>166</v>
      </c>
      <c r="S2353" s="507" t="s">
        <v>166</v>
      </c>
      <c r="T2353" s="494"/>
    </row>
    <row r="2354">
      <c r="A2354" s="504" t="s">
        <v>3401</v>
      </c>
      <c r="B2354" s="505" t="s">
        <v>4405</v>
      </c>
      <c r="C2354" s="452" t="str">
        <f t="shared" si="342"/>
        <v>Manli</v>
      </c>
      <c r="D2354" s="544" t="s">
        <v>4418</v>
      </c>
      <c r="E2354" s="507">
        <v>317.0</v>
      </c>
      <c r="F2354" s="507">
        <v>115.0</v>
      </c>
      <c r="G2354" s="507">
        <v>60.0</v>
      </c>
      <c r="H2354" s="507">
        <v>2.0</v>
      </c>
      <c r="I2354" s="507">
        <v>1725.0</v>
      </c>
      <c r="J2354" s="507">
        <v>19.0</v>
      </c>
      <c r="K2354" s="507">
        <v>350.0</v>
      </c>
      <c r="L2354" s="507" t="s">
        <v>3460</v>
      </c>
      <c r="M2354" s="507">
        <v>3.0</v>
      </c>
      <c r="N2354" s="507">
        <v>3.0</v>
      </c>
      <c r="O2354" s="507">
        <v>1.0</v>
      </c>
      <c r="P2354" s="507" t="s">
        <v>166</v>
      </c>
      <c r="Q2354" s="507" t="s">
        <v>166</v>
      </c>
      <c r="R2354" s="507" t="s">
        <v>166</v>
      </c>
      <c r="S2354" s="507" t="s">
        <v>166</v>
      </c>
      <c r="T2354" s="494"/>
    </row>
    <row r="2355">
      <c r="A2355" s="504" t="s">
        <v>3401</v>
      </c>
      <c r="B2355" s="505" t="s">
        <v>4405</v>
      </c>
      <c r="C2355" s="174" t="str">
        <f t="shared" ref="C2355:C2361" si="343">HYPERLINK("https://www.msi.com/index.php","MSI")</f>
        <v>MSI</v>
      </c>
      <c r="D2355" s="544" t="s">
        <v>4394</v>
      </c>
      <c r="E2355" s="507">
        <v>305.0</v>
      </c>
      <c r="F2355" s="507">
        <v>120.0</v>
      </c>
      <c r="G2355" s="507">
        <v>57.0</v>
      </c>
      <c r="H2355" s="507">
        <v>2.0</v>
      </c>
      <c r="I2355" s="507">
        <v>1710.0</v>
      </c>
      <c r="J2355" s="507">
        <v>19.0</v>
      </c>
      <c r="K2355" s="507">
        <v>350.0</v>
      </c>
      <c r="L2355" s="507" t="s">
        <v>3460</v>
      </c>
      <c r="M2355" s="507">
        <v>3.0</v>
      </c>
      <c r="N2355" s="507">
        <v>3.0</v>
      </c>
      <c r="O2355" s="507">
        <v>1.0</v>
      </c>
      <c r="P2355" s="507" t="s">
        <v>166</v>
      </c>
      <c r="Q2355" s="507" t="s">
        <v>166</v>
      </c>
      <c r="R2355" s="507" t="s">
        <v>166</v>
      </c>
      <c r="S2355" s="507" t="s">
        <v>166</v>
      </c>
      <c r="T2355" s="494"/>
    </row>
    <row r="2356">
      <c r="A2356" s="504" t="s">
        <v>3401</v>
      </c>
      <c r="B2356" s="505" t="s">
        <v>4405</v>
      </c>
      <c r="C2356" s="174" t="str">
        <f t="shared" si="343"/>
        <v>MSI</v>
      </c>
      <c r="D2356" s="544" t="s">
        <v>4395</v>
      </c>
      <c r="E2356" s="507">
        <v>305.0</v>
      </c>
      <c r="F2356" s="507">
        <v>120.0</v>
      </c>
      <c r="G2356" s="507">
        <v>57.0</v>
      </c>
      <c r="H2356" s="507">
        <v>2.0</v>
      </c>
      <c r="I2356" s="507">
        <v>1740.0</v>
      </c>
      <c r="J2356" s="507">
        <v>19.0</v>
      </c>
      <c r="K2356" s="507">
        <v>350.0</v>
      </c>
      <c r="L2356" s="507" t="s">
        <v>3460</v>
      </c>
      <c r="M2356" s="507">
        <v>3.0</v>
      </c>
      <c r="N2356" s="507">
        <v>3.0</v>
      </c>
      <c r="O2356" s="507">
        <v>1.0</v>
      </c>
      <c r="P2356" s="507" t="s">
        <v>166</v>
      </c>
      <c r="Q2356" s="507" t="s">
        <v>166</v>
      </c>
      <c r="R2356" s="507" t="s">
        <v>166</v>
      </c>
      <c r="S2356" s="507" t="s">
        <v>166</v>
      </c>
      <c r="T2356" s="494"/>
    </row>
    <row r="2357">
      <c r="A2357" s="504" t="s">
        <v>3401</v>
      </c>
      <c r="B2357" s="505" t="s">
        <v>4405</v>
      </c>
      <c r="C2357" s="174" t="str">
        <f t="shared" si="343"/>
        <v>MSI</v>
      </c>
      <c r="D2357" s="544" t="s">
        <v>4241</v>
      </c>
      <c r="E2357" s="507">
        <v>323.0</v>
      </c>
      <c r="F2357" s="507">
        <v>140.0</v>
      </c>
      <c r="G2357" s="507">
        <v>56.0</v>
      </c>
      <c r="H2357" s="507">
        <v>2.0</v>
      </c>
      <c r="I2357" s="507">
        <v>1755.0</v>
      </c>
      <c r="J2357" s="507">
        <v>19.0</v>
      </c>
      <c r="K2357" s="507">
        <v>350.0</v>
      </c>
      <c r="L2357" s="507" t="s">
        <v>3734</v>
      </c>
      <c r="M2357" s="507">
        <v>3.0</v>
      </c>
      <c r="N2357" s="507">
        <v>3.0</v>
      </c>
      <c r="O2357" s="507">
        <v>1.0</v>
      </c>
      <c r="P2357" s="507" t="s">
        <v>166</v>
      </c>
      <c r="Q2357" s="507" t="s">
        <v>166</v>
      </c>
      <c r="R2357" s="507" t="s">
        <v>166</v>
      </c>
      <c r="S2357" s="507" t="s">
        <v>166</v>
      </c>
      <c r="T2357" s="494"/>
    </row>
    <row r="2358">
      <c r="A2358" s="504" t="s">
        <v>3401</v>
      </c>
      <c r="B2358" s="505" t="s">
        <v>4405</v>
      </c>
      <c r="C2358" s="174" t="str">
        <f t="shared" si="343"/>
        <v>MSI</v>
      </c>
      <c r="D2358" s="544" t="s">
        <v>4242</v>
      </c>
      <c r="E2358" s="507">
        <v>323.0</v>
      </c>
      <c r="F2358" s="507">
        <v>140.0</v>
      </c>
      <c r="G2358" s="507">
        <v>56.0</v>
      </c>
      <c r="H2358" s="507">
        <v>2.0</v>
      </c>
      <c r="I2358" s="507">
        <v>1815.0</v>
      </c>
      <c r="J2358" s="507">
        <v>19.0</v>
      </c>
      <c r="K2358" s="507">
        <v>390.0</v>
      </c>
      <c r="L2358" s="507" t="s">
        <v>3734</v>
      </c>
      <c r="M2358" s="507">
        <v>3.0</v>
      </c>
      <c r="N2358" s="507">
        <v>3.0</v>
      </c>
      <c r="O2358" s="507">
        <v>1.0</v>
      </c>
      <c r="P2358" s="507" t="s">
        <v>166</v>
      </c>
      <c r="Q2358" s="507" t="s">
        <v>166</v>
      </c>
      <c r="R2358" s="507" t="s">
        <v>166</v>
      </c>
      <c r="S2358" s="507" t="s">
        <v>166</v>
      </c>
      <c r="T2358" s="494"/>
    </row>
    <row r="2359">
      <c r="A2359" s="504" t="s">
        <v>3401</v>
      </c>
      <c r="B2359" s="505" t="s">
        <v>4405</v>
      </c>
      <c r="C2359" s="174" t="str">
        <f t="shared" si="343"/>
        <v>MSI</v>
      </c>
      <c r="D2359" s="544" t="s">
        <v>4315</v>
      </c>
      <c r="E2359" s="507">
        <v>336.0</v>
      </c>
      <c r="F2359" s="507">
        <v>140.0</v>
      </c>
      <c r="G2359" s="507">
        <v>61.0</v>
      </c>
      <c r="H2359" s="507">
        <v>2.0</v>
      </c>
      <c r="I2359" s="507">
        <v>1755.0</v>
      </c>
      <c r="J2359" s="507">
        <v>19.0</v>
      </c>
      <c r="K2359" s="507">
        <v>350.0</v>
      </c>
      <c r="L2359" s="507" t="s">
        <v>3734</v>
      </c>
      <c r="M2359" s="507">
        <v>3.0</v>
      </c>
      <c r="N2359" s="507">
        <v>3.0</v>
      </c>
      <c r="O2359" s="507">
        <v>1.0</v>
      </c>
      <c r="P2359" s="507" t="s">
        <v>166</v>
      </c>
      <c r="Q2359" s="507" t="s">
        <v>166</v>
      </c>
      <c r="R2359" s="507" t="s">
        <v>166</v>
      </c>
      <c r="S2359" s="507" t="s">
        <v>166</v>
      </c>
      <c r="T2359" s="494"/>
    </row>
    <row r="2360">
      <c r="A2360" s="504" t="s">
        <v>3401</v>
      </c>
      <c r="B2360" s="505" t="s">
        <v>4405</v>
      </c>
      <c r="C2360" s="174" t="str">
        <f t="shared" si="343"/>
        <v>MSI</v>
      </c>
      <c r="D2360" s="544" t="s">
        <v>4317</v>
      </c>
      <c r="E2360" s="507">
        <v>336.0</v>
      </c>
      <c r="F2360" s="507">
        <v>140.0</v>
      </c>
      <c r="G2360" s="507">
        <v>61.0</v>
      </c>
      <c r="H2360" s="507">
        <v>2.0</v>
      </c>
      <c r="I2360" s="507">
        <v>1830.0</v>
      </c>
      <c r="J2360" s="507">
        <v>19.0</v>
      </c>
      <c r="K2360" s="507">
        <v>390.0</v>
      </c>
      <c r="L2360" s="507" t="s">
        <v>3734</v>
      </c>
      <c r="M2360" s="507">
        <v>3.0</v>
      </c>
      <c r="N2360" s="507">
        <v>3.0</v>
      </c>
      <c r="O2360" s="507">
        <v>1.0</v>
      </c>
      <c r="P2360" s="507" t="s">
        <v>166</v>
      </c>
      <c r="Q2360" s="507" t="s">
        <v>166</v>
      </c>
      <c r="R2360" s="507" t="s">
        <v>166</v>
      </c>
      <c r="S2360" s="507" t="s">
        <v>166</v>
      </c>
      <c r="T2360" s="494"/>
    </row>
    <row r="2361">
      <c r="A2361" s="504" t="s">
        <v>3401</v>
      </c>
      <c r="B2361" s="505" t="s">
        <v>4405</v>
      </c>
      <c r="C2361" s="174" t="str">
        <f t="shared" si="343"/>
        <v>MSI</v>
      </c>
      <c r="D2361" s="544" t="s">
        <v>4319</v>
      </c>
      <c r="E2361" s="507">
        <v>336.0</v>
      </c>
      <c r="F2361" s="507">
        <v>140.0</v>
      </c>
      <c r="G2361" s="507">
        <v>61.0</v>
      </c>
      <c r="H2361" s="507">
        <v>2.0</v>
      </c>
      <c r="I2361" s="507">
        <v>1905.0</v>
      </c>
      <c r="J2361" s="507">
        <v>19.0</v>
      </c>
      <c r="K2361" s="507">
        <v>390.0</v>
      </c>
      <c r="L2361" s="507" t="s">
        <v>3734</v>
      </c>
      <c r="M2361" s="507">
        <v>3.0</v>
      </c>
      <c r="N2361" s="507">
        <v>3.0</v>
      </c>
      <c r="O2361" s="507">
        <v>1.0</v>
      </c>
      <c r="P2361" s="507" t="s">
        <v>166</v>
      </c>
      <c r="Q2361" s="507" t="s">
        <v>166</v>
      </c>
      <c r="R2361" s="507" t="s">
        <v>166</v>
      </c>
      <c r="S2361" s="507" t="s">
        <v>166</v>
      </c>
      <c r="T2361" s="494"/>
    </row>
    <row r="2362">
      <c r="A2362" s="504" t="s">
        <v>3401</v>
      </c>
      <c r="B2362" s="505" t="s">
        <v>4405</v>
      </c>
      <c r="C2362" s="452" t="str">
        <f t="shared" ref="C2362:C2365" si="344">HYPERLINK("http://www.palit.com/palit/index.php?lang=en","Palit")</f>
        <v>Palit</v>
      </c>
      <c r="D2362" s="544" t="s">
        <v>4067</v>
      </c>
      <c r="E2362" s="507">
        <v>294.0</v>
      </c>
      <c r="F2362" s="507">
        <v>112.0</v>
      </c>
      <c r="G2362" s="507">
        <v>60.0</v>
      </c>
      <c r="H2362" s="507">
        <v>2.0</v>
      </c>
      <c r="I2362" s="507">
        <v>1710.0</v>
      </c>
      <c r="J2362" s="507">
        <v>19.0</v>
      </c>
      <c r="K2362" s="507">
        <v>350.0</v>
      </c>
      <c r="L2362" s="507" t="s">
        <v>3460</v>
      </c>
      <c r="M2362" s="507">
        <v>3.0</v>
      </c>
      <c r="N2362" s="507">
        <v>3.0</v>
      </c>
      <c r="O2362" s="507">
        <v>1.0</v>
      </c>
      <c r="P2362" s="507" t="s">
        <v>166</v>
      </c>
      <c r="Q2362" s="507" t="s">
        <v>166</v>
      </c>
      <c r="R2362" s="507" t="s">
        <v>166</v>
      </c>
      <c r="S2362" s="507" t="s">
        <v>166</v>
      </c>
      <c r="T2362" s="494"/>
    </row>
    <row r="2363">
      <c r="A2363" s="504" t="s">
        <v>3401</v>
      </c>
      <c r="B2363" s="505" t="s">
        <v>4405</v>
      </c>
      <c r="C2363" s="452" t="str">
        <f t="shared" si="344"/>
        <v>Palit</v>
      </c>
      <c r="D2363" s="544" t="s">
        <v>4068</v>
      </c>
      <c r="E2363" s="507">
        <v>294.0</v>
      </c>
      <c r="F2363" s="507">
        <v>112.0</v>
      </c>
      <c r="G2363" s="507">
        <v>60.0</v>
      </c>
      <c r="H2363" s="507">
        <v>2.0</v>
      </c>
      <c r="I2363" s="507">
        <v>1740.0</v>
      </c>
      <c r="J2363" s="507">
        <v>19.0</v>
      </c>
      <c r="K2363" s="507">
        <v>350.0</v>
      </c>
      <c r="L2363" s="507" t="s">
        <v>3460</v>
      </c>
      <c r="M2363" s="507">
        <v>3.0</v>
      </c>
      <c r="N2363" s="507">
        <v>3.0</v>
      </c>
      <c r="O2363" s="507">
        <v>1.0</v>
      </c>
      <c r="P2363" s="507" t="s">
        <v>166</v>
      </c>
      <c r="Q2363" s="507" t="s">
        <v>166</v>
      </c>
      <c r="R2363" s="507" t="s">
        <v>166</v>
      </c>
      <c r="S2363" s="507" t="s">
        <v>166</v>
      </c>
      <c r="T2363" s="494"/>
    </row>
    <row r="2364">
      <c r="A2364" s="504" t="s">
        <v>3401</v>
      </c>
      <c r="B2364" s="505" t="s">
        <v>4405</v>
      </c>
      <c r="C2364" s="452" t="str">
        <f t="shared" si="344"/>
        <v>Palit</v>
      </c>
      <c r="D2364" s="544" t="s">
        <v>4000</v>
      </c>
      <c r="E2364" s="507">
        <v>304.0</v>
      </c>
      <c r="F2364" s="507">
        <v>136.0</v>
      </c>
      <c r="G2364" s="507">
        <v>60.0</v>
      </c>
      <c r="H2364" s="507">
        <v>2.0</v>
      </c>
      <c r="I2364" s="507">
        <v>1710.0</v>
      </c>
      <c r="J2364" s="507">
        <v>19.0</v>
      </c>
      <c r="K2364" s="507">
        <v>350.0</v>
      </c>
      <c r="L2364" s="507" t="s">
        <v>3734</v>
      </c>
      <c r="M2364" s="507">
        <v>3.0</v>
      </c>
      <c r="N2364" s="507">
        <v>3.0</v>
      </c>
      <c r="O2364" s="507">
        <v>1.0</v>
      </c>
      <c r="P2364" s="507" t="s">
        <v>166</v>
      </c>
      <c r="Q2364" s="507" t="s">
        <v>166</v>
      </c>
      <c r="R2364" s="507" t="s">
        <v>166</v>
      </c>
      <c r="S2364" s="507" t="s">
        <v>166</v>
      </c>
      <c r="T2364" s="494"/>
    </row>
    <row r="2365">
      <c r="A2365" s="504" t="s">
        <v>3401</v>
      </c>
      <c r="B2365" s="505" t="s">
        <v>4405</v>
      </c>
      <c r="C2365" s="452" t="str">
        <f t="shared" si="344"/>
        <v>Palit</v>
      </c>
      <c r="D2365" s="544" t="s">
        <v>4324</v>
      </c>
      <c r="E2365" s="507">
        <v>304.0</v>
      </c>
      <c r="F2365" s="507">
        <v>136.0</v>
      </c>
      <c r="G2365" s="507">
        <v>60.0</v>
      </c>
      <c r="H2365" s="507">
        <v>2.0</v>
      </c>
      <c r="I2365" s="507">
        <v>1815.0</v>
      </c>
      <c r="J2365" s="507">
        <v>19.0</v>
      </c>
      <c r="K2365" s="507">
        <v>390.0</v>
      </c>
      <c r="L2365" s="507" t="s">
        <v>3734</v>
      </c>
      <c r="M2365" s="507">
        <v>3.0</v>
      </c>
      <c r="N2365" s="507">
        <v>3.0</v>
      </c>
      <c r="O2365" s="507">
        <v>1.0</v>
      </c>
      <c r="P2365" s="507" t="s">
        <v>166</v>
      </c>
      <c r="Q2365" s="507" t="s">
        <v>166</v>
      </c>
      <c r="R2365" s="507" t="s">
        <v>166</v>
      </c>
      <c r="S2365" s="507" t="s">
        <v>166</v>
      </c>
      <c r="T2365" s="494"/>
    </row>
    <row r="2366">
      <c r="A2366" s="504" t="s">
        <v>3401</v>
      </c>
      <c r="B2366" s="505" t="s">
        <v>4405</v>
      </c>
      <c r="C2366" s="452" t="str">
        <f t="shared" ref="C2366:C2368" si="345">HYPERLINK("https://pny.com/","PNY")</f>
        <v>PNY</v>
      </c>
      <c r="D2366" s="544" t="s">
        <v>4327</v>
      </c>
      <c r="E2366" s="507">
        <v>294.0</v>
      </c>
      <c r="F2366" s="507">
        <v>112.0</v>
      </c>
      <c r="G2366" s="507">
        <v>56.0</v>
      </c>
      <c r="H2366" s="507">
        <v>2.0</v>
      </c>
      <c r="I2366" s="507">
        <v>1710.0</v>
      </c>
      <c r="J2366" s="507">
        <v>19.0</v>
      </c>
      <c r="K2366" s="507">
        <v>350.0</v>
      </c>
      <c r="L2366" s="507" t="s">
        <v>3460</v>
      </c>
      <c r="M2366" s="507">
        <v>3.0</v>
      </c>
      <c r="N2366" s="507">
        <v>3.0</v>
      </c>
      <c r="O2366" s="507">
        <v>1.0</v>
      </c>
      <c r="P2366" s="507" t="s">
        <v>166</v>
      </c>
      <c r="Q2366" s="507" t="s">
        <v>166</v>
      </c>
      <c r="R2366" s="507" t="s">
        <v>166</v>
      </c>
      <c r="S2366" s="507" t="s">
        <v>166</v>
      </c>
      <c r="T2366" s="494"/>
    </row>
    <row r="2367">
      <c r="A2367" s="504" t="s">
        <v>3401</v>
      </c>
      <c r="B2367" s="505" t="s">
        <v>4405</v>
      </c>
      <c r="C2367" s="452" t="str">
        <f t="shared" si="345"/>
        <v>PNY</v>
      </c>
      <c r="D2367" s="544" t="s">
        <v>4419</v>
      </c>
      <c r="E2367" s="507">
        <v>317.0</v>
      </c>
      <c r="F2367" s="507">
        <v>115.0</v>
      </c>
      <c r="G2367" s="507">
        <v>60.0</v>
      </c>
      <c r="H2367" s="507">
        <v>2.0</v>
      </c>
      <c r="I2367" s="507">
        <v>1710.0</v>
      </c>
      <c r="J2367" s="507">
        <v>19.0</v>
      </c>
      <c r="K2367" s="507">
        <v>350.0</v>
      </c>
      <c r="L2367" s="507" t="s">
        <v>3460</v>
      </c>
      <c r="M2367" s="507">
        <v>3.0</v>
      </c>
      <c r="N2367" s="507">
        <v>3.0</v>
      </c>
      <c r="O2367" s="507">
        <v>1.0</v>
      </c>
      <c r="P2367" s="507" t="s">
        <v>166</v>
      </c>
      <c r="Q2367" s="507" t="s">
        <v>166</v>
      </c>
      <c r="R2367" s="507" t="s">
        <v>166</v>
      </c>
      <c r="S2367" s="507" t="s">
        <v>166</v>
      </c>
      <c r="T2367" s="494"/>
    </row>
    <row r="2368">
      <c r="A2368" s="504" t="s">
        <v>3401</v>
      </c>
      <c r="B2368" s="505" t="s">
        <v>4405</v>
      </c>
      <c r="C2368" s="452" t="str">
        <f t="shared" si="345"/>
        <v>PNY</v>
      </c>
      <c r="D2368" s="544" t="s">
        <v>4420</v>
      </c>
      <c r="E2368" s="507">
        <v>317.0</v>
      </c>
      <c r="F2368" s="507">
        <v>115.0</v>
      </c>
      <c r="G2368" s="507">
        <v>60.0</v>
      </c>
      <c r="H2368" s="507">
        <v>2.0</v>
      </c>
      <c r="I2368" s="507">
        <v>1725.0</v>
      </c>
      <c r="J2368" s="507">
        <v>19.0</v>
      </c>
      <c r="K2368" s="507">
        <v>350.0</v>
      </c>
      <c r="L2368" s="507" t="s">
        <v>3460</v>
      </c>
      <c r="M2368" s="507">
        <v>3.0</v>
      </c>
      <c r="N2368" s="507">
        <v>3.0</v>
      </c>
      <c r="O2368" s="507">
        <v>1.0</v>
      </c>
      <c r="P2368" s="507" t="s">
        <v>166</v>
      </c>
      <c r="Q2368" s="507" t="s">
        <v>166</v>
      </c>
      <c r="R2368" s="507" t="s">
        <v>166</v>
      </c>
      <c r="S2368" s="507" t="s">
        <v>166</v>
      </c>
      <c r="T2368" s="494"/>
    </row>
    <row r="2369">
      <c r="A2369" s="504" t="s">
        <v>3401</v>
      </c>
      <c r="B2369" s="505" t="s">
        <v>4405</v>
      </c>
      <c r="C2369" s="452" t="str">
        <f t="shared" ref="C2369:C2372" si="346">HYPERLINK("http://zotac.com/","ZOTAC")</f>
        <v>ZOTAC</v>
      </c>
      <c r="D2369" s="544" t="s">
        <v>4401</v>
      </c>
      <c r="E2369" s="507">
        <v>317.8</v>
      </c>
      <c r="F2369" s="507">
        <v>120.7</v>
      </c>
      <c r="G2369" s="507">
        <v>63.0</v>
      </c>
      <c r="H2369" s="507">
        <v>2.0</v>
      </c>
      <c r="I2369" s="507">
        <v>1710.0</v>
      </c>
      <c r="J2369" s="507">
        <v>19.0</v>
      </c>
      <c r="K2369" s="507">
        <v>350.0</v>
      </c>
      <c r="L2369" s="507" t="s">
        <v>3460</v>
      </c>
      <c r="M2369" s="507">
        <v>3.0</v>
      </c>
      <c r="N2369" s="507">
        <v>3.0</v>
      </c>
      <c r="O2369" s="507">
        <v>1.0</v>
      </c>
      <c r="P2369" s="507" t="s">
        <v>166</v>
      </c>
      <c r="Q2369" s="507" t="s">
        <v>166</v>
      </c>
      <c r="R2369" s="507" t="s">
        <v>166</v>
      </c>
      <c r="S2369" s="507" t="s">
        <v>166</v>
      </c>
      <c r="T2369" s="494"/>
    </row>
    <row r="2370">
      <c r="A2370" s="504" t="s">
        <v>3401</v>
      </c>
      <c r="B2370" s="505" t="s">
        <v>4405</v>
      </c>
      <c r="C2370" s="452" t="str">
        <f t="shared" si="346"/>
        <v>ZOTAC</v>
      </c>
      <c r="D2370" s="544" t="s">
        <v>4402</v>
      </c>
      <c r="E2370" s="507">
        <v>317.8</v>
      </c>
      <c r="F2370" s="507">
        <v>120.7</v>
      </c>
      <c r="G2370" s="507">
        <v>63.0</v>
      </c>
      <c r="H2370" s="507">
        <v>2.0</v>
      </c>
      <c r="I2370" s="507">
        <v>1725.0</v>
      </c>
      <c r="J2370" s="507">
        <v>19.0</v>
      </c>
      <c r="K2370" s="507">
        <v>350.0</v>
      </c>
      <c r="L2370" s="507" t="s">
        <v>3460</v>
      </c>
      <c r="M2370" s="507">
        <v>3.0</v>
      </c>
      <c r="N2370" s="507">
        <v>3.0</v>
      </c>
      <c r="O2370" s="507">
        <v>1.0</v>
      </c>
      <c r="P2370" s="507" t="s">
        <v>166</v>
      </c>
      <c r="Q2370" s="507" t="s">
        <v>166</v>
      </c>
      <c r="R2370" s="507" t="s">
        <v>166</v>
      </c>
      <c r="S2370" s="507" t="s">
        <v>166</v>
      </c>
      <c r="T2370" s="494"/>
    </row>
    <row r="2371">
      <c r="A2371" s="504" t="s">
        <v>3401</v>
      </c>
      <c r="B2371" s="505" t="s">
        <v>4405</v>
      </c>
      <c r="C2371" s="452" t="str">
        <f t="shared" si="346"/>
        <v>ZOTAC</v>
      </c>
      <c r="D2371" s="544" t="s">
        <v>4336</v>
      </c>
      <c r="E2371" s="507">
        <v>317.8</v>
      </c>
      <c r="F2371" s="507">
        <v>131.8</v>
      </c>
      <c r="G2371" s="507">
        <v>64.6</v>
      </c>
      <c r="H2371" s="507">
        <v>2.0</v>
      </c>
      <c r="I2371" s="507">
        <v>1755.0</v>
      </c>
      <c r="J2371" s="507">
        <v>19.0</v>
      </c>
      <c r="K2371" s="507">
        <v>350.0</v>
      </c>
      <c r="L2371" s="507" t="s">
        <v>3460</v>
      </c>
      <c r="M2371" s="507">
        <v>3.0</v>
      </c>
      <c r="N2371" s="507">
        <v>3.0</v>
      </c>
      <c r="O2371" s="507">
        <v>1.0</v>
      </c>
      <c r="P2371" s="507" t="s">
        <v>166</v>
      </c>
      <c r="Q2371" s="507" t="s">
        <v>166</v>
      </c>
      <c r="R2371" s="507" t="s">
        <v>166</v>
      </c>
      <c r="S2371" s="507" t="s">
        <v>166</v>
      </c>
      <c r="T2371" s="494"/>
    </row>
    <row r="2372">
      <c r="A2372" s="538" t="s">
        <v>3401</v>
      </c>
      <c r="B2372" s="539" t="s">
        <v>4405</v>
      </c>
      <c r="C2372" s="500" t="str">
        <f t="shared" si="346"/>
        <v>ZOTAC</v>
      </c>
      <c r="D2372" s="549" t="s">
        <v>4421</v>
      </c>
      <c r="E2372" s="519">
        <v>355.9</v>
      </c>
      <c r="F2372" s="519">
        <v>145.7</v>
      </c>
      <c r="G2372" s="519">
        <v>59.7</v>
      </c>
      <c r="H2372" s="519">
        <v>2.0</v>
      </c>
      <c r="I2372" s="519">
        <v>1785.0</v>
      </c>
      <c r="J2372" s="519">
        <v>19.0</v>
      </c>
      <c r="K2372" s="519">
        <v>390.0</v>
      </c>
      <c r="L2372" s="519" t="s">
        <v>3734</v>
      </c>
      <c r="M2372" s="519">
        <v>3.0</v>
      </c>
      <c r="N2372" s="519">
        <v>3.0</v>
      </c>
      <c r="O2372" s="519">
        <v>1.0</v>
      </c>
      <c r="P2372" s="519" t="s">
        <v>166</v>
      </c>
      <c r="Q2372" s="519" t="s">
        <v>166</v>
      </c>
      <c r="R2372" s="519" t="s">
        <v>166</v>
      </c>
      <c r="S2372" s="519" t="s">
        <v>166</v>
      </c>
      <c r="T2372" s="498"/>
    </row>
    <row r="2373">
      <c r="A2373" s="504" t="s">
        <v>3401</v>
      </c>
      <c r="B2373" s="505" t="s">
        <v>4422</v>
      </c>
      <c r="C2373" s="282" t="str">
        <f t="shared" ref="C2373:C2378" si="347">HYPERLINK("https://www.asus.com/","Asus")</f>
        <v>Asus</v>
      </c>
      <c r="D2373" s="544" t="s">
        <v>3477</v>
      </c>
      <c r="E2373" s="507">
        <v>299.9</v>
      </c>
      <c r="F2373" s="507">
        <v>126.9</v>
      </c>
      <c r="G2373" s="507">
        <v>51.7</v>
      </c>
      <c r="H2373" s="507">
        <v>2.0</v>
      </c>
      <c r="I2373" s="507">
        <v>1695.0</v>
      </c>
      <c r="J2373" s="507">
        <v>19.0</v>
      </c>
      <c r="K2373" s="507">
        <v>350.0</v>
      </c>
      <c r="L2373" s="507" t="s">
        <v>3460</v>
      </c>
      <c r="M2373" s="507">
        <v>3.0</v>
      </c>
      <c r="N2373" s="507">
        <v>3.0</v>
      </c>
      <c r="O2373" s="507">
        <v>2.0</v>
      </c>
      <c r="P2373" s="507" t="s">
        <v>166</v>
      </c>
      <c r="Q2373" s="507" t="s">
        <v>166</v>
      </c>
      <c r="R2373" s="266" t="s">
        <v>166</v>
      </c>
      <c r="S2373" s="508" t="s">
        <v>166</v>
      </c>
      <c r="T2373" s="509"/>
    </row>
    <row r="2374">
      <c r="A2374" s="504" t="s">
        <v>3401</v>
      </c>
      <c r="B2374" s="505" t="s">
        <v>4422</v>
      </c>
      <c r="C2374" s="174" t="str">
        <f t="shared" si="347"/>
        <v>Asus</v>
      </c>
      <c r="D2374" s="544" t="s">
        <v>3478</v>
      </c>
      <c r="E2374" s="507">
        <v>299.9</v>
      </c>
      <c r="F2374" s="507">
        <v>126.9</v>
      </c>
      <c r="G2374" s="507">
        <v>51.7</v>
      </c>
      <c r="H2374" s="507">
        <v>2.0</v>
      </c>
      <c r="I2374" s="507">
        <v>1785.0</v>
      </c>
      <c r="J2374" s="507">
        <v>19.0</v>
      </c>
      <c r="K2374" s="507">
        <v>350.0</v>
      </c>
      <c r="L2374" s="507" t="s">
        <v>3460</v>
      </c>
      <c r="M2374" s="507">
        <v>3.0</v>
      </c>
      <c r="N2374" s="507">
        <v>3.0</v>
      </c>
      <c r="O2374" s="507">
        <v>2.0</v>
      </c>
      <c r="P2374" s="507" t="s">
        <v>166</v>
      </c>
      <c r="Q2374" s="507" t="s">
        <v>166</v>
      </c>
      <c r="R2374" s="266" t="s">
        <v>166</v>
      </c>
      <c r="S2374" s="508" t="s">
        <v>166</v>
      </c>
      <c r="T2374" s="509"/>
    </row>
    <row r="2375">
      <c r="A2375" s="504" t="s">
        <v>3401</v>
      </c>
      <c r="B2375" s="505" t="s">
        <v>4422</v>
      </c>
      <c r="C2375" s="174" t="str">
        <f t="shared" si="347"/>
        <v>Asus</v>
      </c>
      <c r="D2375" s="544" t="s">
        <v>3631</v>
      </c>
      <c r="E2375" s="507">
        <v>318.5</v>
      </c>
      <c r="F2375" s="507">
        <v>140.1</v>
      </c>
      <c r="G2375" s="507">
        <v>57.78</v>
      </c>
      <c r="H2375" s="507">
        <v>2.0</v>
      </c>
      <c r="I2375" s="507">
        <v>1695.0</v>
      </c>
      <c r="J2375" s="507">
        <v>19.0</v>
      </c>
      <c r="K2375" s="507">
        <v>350.0</v>
      </c>
      <c r="L2375" s="507" t="s">
        <v>3734</v>
      </c>
      <c r="M2375" s="507">
        <v>3.0</v>
      </c>
      <c r="N2375" s="507">
        <v>3.0</v>
      </c>
      <c r="O2375" s="507">
        <v>2.0</v>
      </c>
      <c r="P2375" s="507" t="s">
        <v>166</v>
      </c>
      <c r="Q2375" s="507" t="s">
        <v>166</v>
      </c>
      <c r="R2375" s="266" t="s">
        <v>166</v>
      </c>
      <c r="S2375" s="508" t="s">
        <v>166</v>
      </c>
      <c r="T2375" s="509"/>
    </row>
    <row r="2376">
      <c r="A2376" s="504" t="s">
        <v>3401</v>
      </c>
      <c r="B2376" s="505" t="s">
        <v>4422</v>
      </c>
      <c r="C2376" s="174" t="str">
        <f t="shared" si="347"/>
        <v>Asus</v>
      </c>
      <c r="D2376" s="544" t="s">
        <v>3643</v>
      </c>
      <c r="E2376" s="507">
        <v>318.5</v>
      </c>
      <c r="F2376" s="507">
        <v>140.1</v>
      </c>
      <c r="G2376" s="507">
        <v>57.78</v>
      </c>
      <c r="H2376" s="507">
        <v>2.0</v>
      </c>
      <c r="I2376" s="507">
        <v>1845.0</v>
      </c>
      <c r="J2376" s="507">
        <v>19.0</v>
      </c>
      <c r="K2376" s="507">
        <v>400.0</v>
      </c>
      <c r="L2376" s="507" t="s">
        <v>3734</v>
      </c>
      <c r="M2376" s="507">
        <v>3.0</v>
      </c>
      <c r="N2376" s="507">
        <v>3.0</v>
      </c>
      <c r="O2376" s="507">
        <v>2.0</v>
      </c>
      <c r="P2376" s="507" t="s">
        <v>166</v>
      </c>
      <c r="Q2376" s="507" t="s">
        <v>166</v>
      </c>
      <c r="R2376" s="266" t="s">
        <v>166</v>
      </c>
      <c r="S2376" s="508" t="s">
        <v>166</v>
      </c>
      <c r="T2376" s="509"/>
    </row>
    <row r="2377">
      <c r="A2377" s="504" t="s">
        <v>3401</v>
      </c>
      <c r="B2377" s="505" t="s">
        <v>4422</v>
      </c>
      <c r="C2377" s="174" t="str">
        <f t="shared" si="347"/>
        <v>Asus</v>
      </c>
      <c r="D2377" s="544" t="s">
        <v>3736</v>
      </c>
      <c r="E2377" s="507">
        <v>293.0</v>
      </c>
      <c r="F2377" s="507">
        <v>133.0</v>
      </c>
      <c r="G2377" s="507">
        <v>52.0</v>
      </c>
      <c r="H2377" s="507">
        <v>2.0</v>
      </c>
      <c r="I2377" s="507">
        <v>1695.0</v>
      </c>
      <c r="J2377" s="507">
        <v>19.0</v>
      </c>
      <c r="K2377" s="507">
        <v>350.0</v>
      </c>
      <c r="L2377" s="507" t="s">
        <v>3734</v>
      </c>
      <c r="M2377" s="507">
        <v>1.0</v>
      </c>
      <c r="N2377" s="507">
        <v>3.0</v>
      </c>
      <c r="O2377" s="507">
        <v>2.0</v>
      </c>
      <c r="P2377" s="507" t="s">
        <v>166</v>
      </c>
      <c r="Q2377" s="507" t="s">
        <v>166</v>
      </c>
      <c r="R2377" s="507" t="s">
        <v>174</v>
      </c>
      <c r="S2377" s="507" t="s">
        <v>166</v>
      </c>
      <c r="T2377" s="504"/>
    </row>
    <row r="2378">
      <c r="A2378" s="504" t="s">
        <v>3401</v>
      </c>
      <c r="B2378" s="505" t="s">
        <v>4422</v>
      </c>
      <c r="C2378" s="174" t="str">
        <f t="shared" si="347"/>
        <v>Asus</v>
      </c>
      <c r="D2378" s="544" t="s">
        <v>3760</v>
      </c>
      <c r="E2378" s="507">
        <v>293.0</v>
      </c>
      <c r="F2378" s="507">
        <v>133.0</v>
      </c>
      <c r="G2378" s="507">
        <v>52.0</v>
      </c>
      <c r="H2378" s="507">
        <v>2.0</v>
      </c>
      <c r="I2378" s="507">
        <v>1860.0</v>
      </c>
      <c r="J2378" s="507">
        <v>19.0</v>
      </c>
      <c r="K2378" s="507">
        <v>400.0</v>
      </c>
      <c r="L2378" s="507" t="s">
        <v>3734</v>
      </c>
      <c r="M2378" s="507">
        <v>1.0</v>
      </c>
      <c r="N2378" s="507">
        <v>3.0</v>
      </c>
      <c r="O2378" s="507">
        <v>2.0</v>
      </c>
      <c r="P2378" s="507" t="s">
        <v>166</v>
      </c>
      <c r="Q2378" s="507" t="s">
        <v>166</v>
      </c>
      <c r="R2378" s="507" t="s">
        <v>174</v>
      </c>
      <c r="S2378" s="507" t="s">
        <v>166</v>
      </c>
      <c r="T2378" s="504"/>
    </row>
    <row r="2379">
      <c r="A2379" s="504" t="s">
        <v>3401</v>
      </c>
      <c r="B2379" s="505" t="s">
        <v>4422</v>
      </c>
      <c r="C2379" s="452" t="s">
        <v>3575</v>
      </c>
      <c r="D2379" s="544" t="s">
        <v>3870</v>
      </c>
      <c r="E2379" s="507">
        <f>310-12</f>
        <v>298</v>
      </c>
      <c r="F2379" s="507">
        <f t="shared" ref="F2379:F2381" si="348">131-15</f>
        <v>116</v>
      </c>
      <c r="G2379" s="507">
        <v>57.0</v>
      </c>
      <c r="H2379" s="507">
        <v>2.0</v>
      </c>
      <c r="I2379" s="507">
        <v>1665.0</v>
      </c>
      <c r="J2379" s="507">
        <v>19.0</v>
      </c>
      <c r="K2379" s="507">
        <v>350.0</v>
      </c>
      <c r="L2379" s="507" t="s">
        <v>3460</v>
      </c>
      <c r="M2379" s="507">
        <v>3.0</v>
      </c>
      <c r="N2379" s="507">
        <v>3.0</v>
      </c>
      <c r="O2379" s="507">
        <v>1.0</v>
      </c>
      <c r="P2379" s="507" t="s">
        <v>166</v>
      </c>
      <c r="Q2379" s="507" t="s">
        <v>166</v>
      </c>
      <c r="R2379" s="266" t="s">
        <v>166</v>
      </c>
      <c r="S2379" s="508" t="s">
        <v>166</v>
      </c>
      <c r="T2379" s="509"/>
    </row>
    <row r="2380">
      <c r="A2380" s="504" t="s">
        <v>3401</v>
      </c>
      <c r="B2380" s="505" t="s">
        <v>4422</v>
      </c>
      <c r="C2380" s="452" t="s">
        <v>3575</v>
      </c>
      <c r="D2380" s="544" t="s">
        <v>4027</v>
      </c>
      <c r="E2380" s="507">
        <f t="shared" ref="E2380:E2381" si="349">315.5-12</f>
        <v>303.5</v>
      </c>
      <c r="F2380" s="507">
        <f t="shared" si="348"/>
        <v>116</v>
      </c>
      <c r="G2380" s="507">
        <v>60.0</v>
      </c>
      <c r="H2380" s="507">
        <v>2.0</v>
      </c>
      <c r="I2380" s="507">
        <v>1665.0</v>
      </c>
      <c r="J2380" s="507">
        <v>19.0</v>
      </c>
      <c r="K2380" s="507">
        <v>350.0</v>
      </c>
      <c r="L2380" s="507" t="s">
        <v>3734</v>
      </c>
      <c r="M2380" s="507">
        <v>3.0</v>
      </c>
      <c r="N2380" s="507">
        <v>3.0</v>
      </c>
      <c r="O2380" s="507">
        <v>1.0</v>
      </c>
      <c r="P2380" s="507" t="s">
        <v>166</v>
      </c>
      <c r="Q2380" s="507" t="s">
        <v>166</v>
      </c>
      <c r="R2380" s="266" t="s">
        <v>166</v>
      </c>
      <c r="S2380" s="497" t="s">
        <v>166</v>
      </c>
      <c r="T2380" s="509"/>
    </row>
    <row r="2381">
      <c r="A2381" s="504" t="s">
        <v>3401</v>
      </c>
      <c r="B2381" s="505" t="s">
        <v>4422</v>
      </c>
      <c r="C2381" s="452" t="s">
        <v>3575</v>
      </c>
      <c r="D2381" s="544" t="s">
        <v>3889</v>
      </c>
      <c r="E2381" s="507">
        <f t="shared" si="349"/>
        <v>303.5</v>
      </c>
      <c r="F2381" s="507">
        <f t="shared" si="348"/>
        <v>116</v>
      </c>
      <c r="G2381" s="507">
        <v>60.0</v>
      </c>
      <c r="H2381" s="507">
        <v>2.0</v>
      </c>
      <c r="I2381" s="507">
        <v>1695.0</v>
      </c>
      <c r="J2381" s="507">
        <v>19.0</v>
      </c>
      <c r="K2381" s="507">
        <v>370.0</v>
      </c>
      <c r="L2381" s="507" t="s">
        <v>3734</v>
      </c>
      <c r="M2381" s="507">
        <v>3.0</v>
      </c>
      <c r="N2381" s="507">
        <v>3.0</v>
      </c>
      <c r="O2381" s="507">
        <v>1.0</v>
      </c>
      <c r="P2381" s="507" t="s">
        <v>166</v>
      </c>
      <c r="Q2381" s="507" t="s">
        <v>166</v>
      </c>
      <c r="R2381" s="266" t="s">
        <v>166</v>
      </c>
      <c r="S2381" s="497" t="s">
        <v>166</v>
      </c>
      <c r="T2381" s="509"/>
    </row>
    <row r="2382">
      <c r="A2382" s="504" t="s">
        <v>3401</v>
      </c>
      <c r="B2382" s="505" t="s">
        <v>4422</v>
      </c>
      <c r="C2382" s="452" t="s">
        <v>3575</v>
      </c>
      <c r="D2382" s="544" t="s">
        <v>4173</v>
      </c>
      <c r="E2382" s="507">
        <f t="shared" ref="E2382:E2384" si="350">323-12</f>
        <v>311</v>
      </c>
      <c r="F2382" s="507">
        <f t="shared" ref="F2382:F2384" si="351">158-15</f>
        <v>143</v>
      </c>
      <c r="G2382" s="507">
        <v>60.0</v>
      </c>
      <c r="H2382" s="507">
        <v>2.0</v>
      </c>
      <c r="I2382" s="507">
        <v>1665.0</v>
      </c>
      <c r="J2382" s="507">
        <v>19.0</v>
      </c>
      <c r="K2382" s="507">
        <v>350.0</v>
      </c>
      <c r="L2382" s="507" t="s">
        <v>3734</v>
      </c>
      <c r="M2382" s="507">
        <v>3.0</v>
      </c>
      <c r="N2382" s="507">
        <v>3.0</v>
      </c>
      <c r="O2382" s="507">
        <v>1.0</v>
      </c>
      <c r="P2382" s="507" t="s">
        <v>166</v>
      </c>
      <c r="Q2382" s="507" t="s">
        <v>166</v>
      </c>
      <c r="R2382" s="266" t="s">
        <v>166</v>
      </c>
      <c r="S2382" s="497" t="s">
        <v>166</v>
      </c>
      <c r="T2382" s="509"/>
    </row>
    <row r="2383">
      <c r="A2383" s="504" t="s">
        <v>3401</v>
      </c>
      <c r="B2383" s="505" t="s">
        <v>4422</v>
      </c>
      <c r="C2383" s="452" t="s">
        <v>3575</v>
      </c>
      <c r="D2383" s="544" t="s">
        <v>3943</v>
      </c>
      <c r="E2383" s="507">
        <f t="shared" si="350"/>
        <v>311</v>
      </c>
      <c r="F2383" s="507">
        <f t="shared" si="351"/>
        <v>143</v>
      </c>
      <c r="G2383" s="507">
        <v>60.0</v>
      </c>
      <c r="H2383" s="507">
        <v>2.0</v>
      </c>
      <c r="I2383" s="507">
        <v>1710.0</v>
      </c>
      <c r="J2383" s="507">
        <v>19.0</v>
      </c>
      <c r="K2383" s="507">
        <v>370.0</v>
      </c>
      <c r="L2383" s="507" t="s">
        <v>3734</v>
      </c>
      <c r="M2383" s="507">
        <v>3.0</v>
      </c>
      <c r="N2383" s="507">
        <v>3.0</v>
      </c>
      <c r="O2383" s="507">
        <v>1.0</v>
      </c>
      <c r="P2383" s="507" t="s">
        <v>166</v>
      </c>
      <c r="Q2383" s="507" t="s">
        <v>166</v>
      </c>
      <c r="R2383" s="266" t="s">
        <v>166</v>
      </c>
      <c r="S2383" s="497" t="s">
        <v>166</v>
      </c>
      <c r="T2383" s="509"/>
    </row>
    <row r="2384">
      <c r="A2384" s="504" t="s">
        <v>3401</v>
      </c>
      <c r="B2384" s="505" t="s">
        <v>4422</v>
      </c>
      <c r="C2384" s="452" t="s">
        <v>3575</v>
      </c>
      <c r="D2384" s="506" t="s">
        <v>3814</v>
      </c>
      <c r="E2384" s="507">
        <f t="shared" si="350"/>
        <v>311</v>
      </c>
      <c r="F2384" s="507">
        <f t="shared" si="351"/>
        <v>143</v>
      </c>
      <c r="G2384" s="507">
        <v>60.0</v>
      </c>
      <c r="H2384" s="507">
        <v>2.0</v>
      </c>
      <c r="I2384" s="507">
        <v>1770.0</v>
      </c>
      <c r="J2384" s="507">
        <v>19.0</v>
      </c>
      <c r="K2384" s="507">
        <v>370.0</v>
      </c>
      <c r="L2384" s="507" t="s">
        <v>3734</v>
      </c>
      <c r="M2384" s="507">
        <v>3.0</v>
      </c>
      <c r="N2384" s="507">
        <v>3.0</v>
      </c>
      <c r="O2384" s="507">
        <v>1.0</v>
      </c>
      <c r="P2384" s="507" t="s">
        <v>166</v>
      </c>
      <c r="Q2384" s="507" t="s">
        <v>166</v>
      </c>
      <c r="R2384" s="266" t="s">
        <v>166</v>
      </c>
      <c r="S2384" s="497" t="s">
        <v>166</v>
      </c>
      <c r="T2384" s="509"/>
    </row>
    <row r="2385">
      <c r="A2385" s="504" t="s">
        <v>3401</v>
      </c>
      <c r="B2385" s="505" t="s">
        <v>4422</v>
      </c>
      <c r="C2385" s="174" t="s">
        <v>3405</v>
      </c>
      <c r="D2385" s="506" t="s">
        <v>4272</v>
      </c>
      <c r="E2385" s="507">
        <v>294.0</v>
      </c>
      <c r="F2385" s="507">
        <v>112.0</v>
      </c>
      <c r="G2385" s="507">
        <v>55.0</v>
      </c>
      <c r="H2385" s="507">
        <v>2.0</v>
      </c>
      <c r="I2385" s="507">
        <v>1665.0</v>
      </c>
      <c r="J2385" s="507">
        <v>19.0</v>
      </c>
      <c r="K2385" s="507">
        <v>350.0</v>
      </c>
      <c r="L2385" s="507" t="s">
        <v>3460</v>
      </c>
      <c r="M2385" s="507">
        <v>3.0</v>
      </c>
      <c r="N2385" s="507">
        <v>3.0</v>
      </c>
      <c r="O2385" s="507">
        <v>1.0</v>
      </c>
      <c r="P2385" s="507" t="s">
        <v>166</v>
      </c>
      <c r="Q2385" s="507" t="s">
        <v>166</v>
      </c>
      <c r="R2385" s="266" t="s">
        <v>166</v>
      </c>
      <c r="S2385" s="497" t="s">
        <v>166</v>
      </c>
      <c r="T2385" s="509"/>
    </row>
    <row r="2386">
      <c r="A2386" s="504" t="s">
        <v>3401</v>
      </c>
      <c r="B2386" s="505" t="s">
        <v>4422</v>
      </c>
      <c r="C2386" s="174" t="str">
        <f t="shared" ref="C2386:C2393" si="352">HYPERLINK("https://www.evga.com/","EVGA")</f>
        <v>EVGA</v>
      </c>
      <c r="D2386" s="506" t="s">
        <v>4279</v>
      </c>
      <c r="E2386" s="507">
        <v>285.37</v>
      </c>
      <c r="F2386" s="507">
        <v>111.15</v>
      </c>
      <c r="G2386" s="507">
        <v>45.9</v>
      </c>
      <c r="H2386" s="507">
        <v>2.0</v>
      </c>
      <c r="I2386" s="507">
        <v>1665.0</v>
      </c>
      <c r="J2386" s="507">
        <v>19.0</v>
      </c>
      <c r="K2386" s="507">
        <v>350.0</v>
      </c>
      <c r="L2386" s="507" t="s">
        <v>3460</v>
      </c>
      <c r="M2386" s="507">
        <v>3.0</v>
      </c>
      <c r="N2386" s="507">
        <v>3.0</v>
      </c>
      <c r="O2386" s="507">
        <v>1.0</v>
      </c>
      <c r="P2386" s="507" t="s">
        <v>166</v>
      </c>
      <c r="Q2386" s="507" t="s">
        <v>166</v>
      </c>
      <c r="R2386" s="266" t="s">
        <v>166</v>
      </c>
      <c r="S2386" s="497" t="s">
        <v>166</v>
      </c>
      <c r="T2386" s="509"/>
    </row>
    <row r="2387">
      <c r="A2387" s="504" t="s">
        <v>3401</v>
      </c>
      <c r="B2387" s="505" t="s">
        <v>4422</v>
      </c>
      <c r="C2387" s="174" t="str">
        <f t="shared" si="352"/>
        <v>EVGA</v>
      </c>
      <c r="D2387" s="506" t="s">
        <v>4340</v>
      </c>
      <c r="E2387" s="507">
        <v>285.37</v>
      </c>
      <c r="F2387" s="507">
        <v>111.15</v>
      </c>
      <c r="G2387" s="507">
        <v>45.9</v>
      </c>
      <c r="H2387" s="507">
        <v>2.0</v>
      </c>
      <c r="I2387" s="507">
        <v>1725.0</v>
      </c>
      <c r="J2387" s="507">
        <v>19.0</v>
      </c>
      <c r="K2387" s="507">
        <v>350.0</v>
      </c>
      <c r="L2387" s="507" t="s">
        <v>3460</v>
      </c>
      <c r="M2387" s="507">
        <v>3.0</v>
      </c>
      <c r="N2387" s="507">
        <v>3.0</v>
      </c>
      <c r="O2387" s="507">
        <v>1.0</v>
      </c>
      <c r="P2387" s="507" t="s">
        <v>166</v>
      </c>
      <c r="Q2387" s="507" t="s">
        <v>166</v>
      </c>
      <c r="R2387" s="266" t="s">
        <v>166</v>
      </c>
      <c r="S2387" s="497" t="s">
        <v>166</v>
      </c>
      <c r="T2387" s="509"/>
    </row>
    <row r="2388">
      <c r="A2388" s="504" t="s">
        <v>3401</v>
      </c>
      <c r="B2388" s="505" t="s">
        <v>4422</v>
      </c>
      <c r="C2388" s="174" t="str">
        <f t="shared" si="352"/>
        <v>EVGA</v>
      </c>
      <c r="D2388" s="506" t="s">
        <v>3823</v>
      </c>
      <c r="E2388" s="507">
        <v>300.0</v>
      </c>
      <c r="F2388" s="507">
        <v>136.75</v>
      </c>
      <c r="G2388" s="507">
        <v>56.35</v>
      </c>
      <c r="H2388" s="507">
        <v>2.0</v>
      </c>
      <c r="I2388" s="507">
        <v>1725.0</v>
      </c>
      <c r="J2388" s="507">
        <v>19.0</v>
      </c>
      <c r="K2388" s="507">
        <v>350.0</v>
      </c>
      <c r="L2388" s="507" t="s">
        <v>3734</v>
      </c>
      <c r="M2388" s="507">
        <v>3.0</v>
      </c>
      <c r="N2388" s="507">
        <v>3.0</v>
      </c>
      <c r="O2388" s="507">
        <v>1.0</v>
      </c>
      <c r="P2388" s="507" t="s">
        <v>166</v>
      </c>
      <c r="Q2388" s="507" t="s">
        <v>166</v>
      </c>
      <c r="R2388" s="266" t="s">
        <v>166</v>
      </c>
      <c r="S2388" s="497" t="s">
        <v>166</v>
      </c>
      <c r="T2388" s="509"/>
    </row>
    <row r="2389">
      <c r="A2389" s="504" t="s">
        <v>3401</v>
      </c>
      <c r="B2389" s="505" t="s">
        <v>4422</v>
      </c>
      <c r="C2389" s="174" t="str">
        <f t="shared" si="352"/>
        <v>EVGA</v>
      </c>
      <c r="D2389" s="506" t="s">
        <v>3979</v>
      </c>
      <c r="E2389" s="507">
        <v>300.0</v>
      </c>
      <c r="F2389" s="507">
        <v>136.75</v>
      </c>
      <c r="G2389" s="507">
        <v>56.35</v>
      </c>
      <c r="H2389" s="507">
        <v>2.0</v>
      </c>
      <c r="I2389" s="507">
        <v>1800.0</v>
      </c>
      <c r="J2389" s="507">
        <v>19.0</v>
      </c>
      <c r="K2389" s="507">
        <v>400.0</v>
      </c>
      <c r="L2389" s="507" t="s">
        <v>3734</v>
      </c>
      <c r="M2389" s="507">
        <v>3.0</v>
      </c>
      <c r="N2389" s="507">
        <v>3.0</v>
      </c>
      <c r="O2389" s="507">
        <v>1.0</v>
      </c>
      <c r="P2389" s="507" t="s">
        <v>166</v>
      </c>
      <c r="Q2389" s="507" t="s">
        <v>166</v>
      </c>
      <c r="R2389" s="266" t="s">
        <v>166</v>
      </c>
      <c r="S2389" s="497" t="s">
        <v>166</v>
      </c>
      <c r="T2389" s="509"/>
    </row>
    <row r="2390">
      <c r="A2390" s="504" t="s">
        <v>3401</v>
      </c>
      <c r="B2390" s="505" t="s">
        <v>4422</v>
      </c>
      <c r="C2390" s="174" t="str">
        <f t="shared" si="352"/>
        <v>EVGA</v>
      </c>
      <c r="D2390" s="506" t="s">
        <v>4412</v>
      </c>
      <c r="E2390" s="507">
        <v>262.8</v>
      </c>
      <c r="F2390" s="507">
        <v>112.1</v>
      </c>
      <c r="G2390" s="507">
        <v>40.0</v>
      </c>
      <c r="H2390" s="507">
        <v>2.0</v>
      </c>
      <c r="I2390" s="507">
        <v>1725.0</v>
      </c>
      <c r="J2390" s="507">
        <v>19.0</v>
      </c>
      <c r="K2390" s="507">
        <v>350.0</v>
      </c>
      <c r="L2390" s="507" t="s">
        <v>3460</v>
      </c>
      <c r="M2390" s="507">
        <v>1.0</v>
      </c>
      <c r="N2390" s="507">
        <v>3.0</v>
      </c>
      <c r="O2390" s="507">
        <v>1.0</v>
      </c>
      <c r="P2390" s="507" t="s">
        <v>166</v>
      </c>
      <c r="Q2390" s="507" t="s">
        <v>166</v>
      </c>
      <c r="R2390" s="507" t="s">
        <v>174</v>
      </c>
      <c r="S2390" s="497" t="s">
        <v>166</v>
      </c>
      <c r="T2390" s="504"/>
    </row>
    <row r="2391">
      <c r="A2391" s="504" t="s">
        <v>3401</v>
      </c>
      <c r="B2391" s="505" t="s">
        <v>4422</v>
      </c>
      <c r="C2391" s="174" t="str">
        <f t="shared" si="352"/>
        <v>EVGA</v>
      </c>
      <c r="D2391" s="506" t="s">
        <v>4031</v>
      </c>
      <c r="E2391" s="507">
        <v>288.9</v>
      </c>
      <c r="F2391" s="507">
        <v>137.8</v>
      </c>
      <c r="G2391" s="507">
        <v>40.0</v>
      </c>
      <c r="H2391" s="507">
        <v>2.0</v>
      </c>
      <c r="I2391" s="507">
        <v>1800.0</v>
      </c>
      <c r="J2391" s="507">
        <v>19.0</v>
      </c>
      <c r="K2391" s="507">
        <v>400.0</v>
      </c>
      <c r="L2391" s="507" t="s">
        <v>3734</v>
      </c>
      <c r="M2391" s="507">
        <v>1.0</v>
      </c>
      <c r="N2391" s="507">
        <v>3.0</v>
      </c>
      <c r="O2391" s="507">
        <v>1.0</v>
      </c>
      <c r="P2391" s="507" t="s">
        <v>166</v>
      </c>
      <c r="Q2391" s="507" t="s">
        <v>166</v>
      </c>
      <c r="R2391" s="507" t="s">
        <v>174</v>
      </c>
      <c r="S2391" s="497" t="s">
        <v>166</v>
      </c>
      <c r="T2391" s="504"/>
    </row>
    <row r="2392">
      <c r="A2392" s="504" t="s">
        <v>3401</v>
      </c>
      <c r="B2392" s="505" t="s">
        <v>4422</v>
      </c>
      <c r="C2392" s="174" t="str">
        <f t="shared" si="352"/>
        <v>EVGA</v>
      </c>
      <c r="D2392" s="506" t="s">
        <v>4376</v>
      </c>
      <c r="E2392" s="507">
        <v>262.8</v>
      </c>
      <c r="F2392" s="507">
        <v>132.1</v>
      </c>
      <c r="G2392" s="507">
        <v>24.0</v>
      </c>
      <c r="H2392" s="507">
        <v>1.0</v>
      </c>
      <c r="I2392" s="507">
        <v>1725.0</v>
      </c>
      <c r="J2392" s="507">
        <v>19.0</v>
      </c>
      <c r="K2392" s="507">
        <v>350.0</v>
      </c>
      <c r="L2392" s="507" t="s">
        <v>3460</v>
      </c>
      <c r="M2392" s="507" t="s">
        <v>166</v>
      </c>
      <c r="N2392" s="507">
        <v>3.0</v>
      </c>
      <c r="O2392" s="507">
        <v>1.0</v>
      </c>
      <c r="P2392" s="507" t="s">
        <v>166</v>
      </c>
      <c r="Q2392" s="507" t="s">
        <v>166</v>
      </c>
      <c r="R2392" s="507" t="s">
        <v>174</v>
      </c>
      <c r="S2392" s="497" t="s">
        <v>166</v>
      </c>
      <c r="T2392" s="504"/>
    </row>
    <row r="2393">
      <c r="A2393" s="504" t="s">
        <v>3401</v>
      </c>
      <c r="B2393" s="505" t="s">
        <v>4422</v>
      </c>
      <c r="C2393" s="174" t="str">
        <f t="shared" si="352"/>
        <v>EVGA</v>
      </c>
      <c r="D2393" s="506" t="s">
        <v>4032</v>
      </c>
      <c r="E2393" s="507">
        <v>288.9</v>
      </c>
      <c r="F2393" s="507">
        <v>157.3</v>
      </c>
      <c r="G2393" s="507">
        <v>24.0</v>
      </c>
      <c r="H2393" s="507">
        <v>1.0</v>
      </c>
      <c r="I2393" s="507">
        <v>1800.0</v>
      </c>
      <c r="J2393" s="507">
        <v>19.0</v>
      </c>
      <c r="K2393" s="507">
        <v>400.0</v>
      </c>
      <c r="L2393" s="507" t="s">
        <v>3734</v>
      </c>
      <c r="M2393" s="507" t="s">
        <v>166</v>
      </c>
      <c r="N2393" s="507">
        <v>3.0</v>
      </c>
      <c r="O2393" s="507">
        <v>1.0</v>
      </c>
      <c r="P2393" s="507" t="s">
        <v>166</v>
      </c>
      <c r="Q2393" s="507" t="s">
        <v>166</v>
      </c>
      <c r="R2393" s="507" t="s">
        <v>174</v>
      </c>
      <c r="S2393" s="497" t="s">
        <v>166</v>
      </c>
      <c r="T2393" s="504"/>
    </row>
    <row r="2394">
      <c r="A2394" s="504" t="s">
        <v>3401</v>
      </c>
      <c r="B2394" s="505" t="s">
        <v>4422</v>
      </c>
      <c r="C2394" s="174" t="str">
        <f t="shared" ref="C2394:C2402" si="353">HYPERLINK("http://www.gainward.com/main/index.php?lang=en","Gainward")</f>
        <v>Gainward</v>
      </c>
      <c r="D2394" s="452" t="s">
        <v>3592</v>
      </c>
      <c r="E2394" s="507">
        <v>329.0</v>
      </c>
      <c r="F2394" s="507">
        <v>137.0</v>
      </c>
      <c r="G2394" s="507">
        <v>60.0</v>
      </c>
      <c r="H2394" s="507">
        <v>2.0</v>
      </c>
      <c r="I2394" s="507">
        <v>1665.0</v>
      </c>
      <c r="J2394" s="507">
        <v>19.0</v>
      </c>
      <c r="K2394" s="507">
        <v>350.0</v>
      </c>
      <c r="L2394" s="266" t="s">
        <v>3460</v>
      </c>
      <c r="M2394" s="507">
        <v>3.0</v>
      </c>
      <c r="N2394" s="507">
        <v>3.0</v>
      </c>
      <c r="O2394" s="507">
        <v>1.0</v>
      </c>
      <c r="P2394" s="507" t="s">
        <v>166</v>
      </c>
      <c r="Q2394" s="507" t="s">
        <v>166</v>
      </c>
      <c r="R2394" s="266" t="s">
        <v>166</v>
      </c>
      <c r="S2394" s="497" t="s">
        <v>166</v>
      </c>
      <c r="T2394" s="509"/>
    </row>
    <row r="2395">
      <c r="A2395" s="504" t="s">
        <v>3401</v>
      </c>
      <c r="B2395" s="505" t="s">
        <v>4422</v>
      </c>
      <c r="C2395" s="174" t="str">
        <f t="shared" si="353"/>
        <v>Gainward</v>
      </c>
      <c r="D2395" s="452" t="s">
        <v>4284</v>
      </c>
      <c r="E2395" s="507">
        <v>329.0</v>
      </c>
      <c r="F2395" s="507">
        <v>137.0</v>
      </c>
      <c r="G2395" s="507">
        <v>60.0</v>
      </c>
      <c r="H2395" s="507">
        <v>2.0</v>
      </c>
      <c r="I2395" s="507">
        <v>1665.0</v>
      </c>
      <c r="J2395" s="507">
        <v>19.0</v>
      </c>
      <c r="K2395" s="507">
        <v>350.0</v>
      </c>
      <c r="L2395" s="266" t="s">
        <v>3460</v>
      </c>
      <c r="M2395" s="507">
        <v>3.0</v>
      </c>
      <c r="N2395" s="507">
        <v>3.0</v>
      </c>
      <c r="O2395" s="507">
        <v>1.0</v>
      </c>
      <c r="P2395" s="507" t="s">
        <v>166</v>
      </c>
      <c r="Q2395" s="507" t="s">
        <v>166</v>
      </c>
      <c r="R2395" s="266" t="s">
        <v>166</v>
      </c>
      <c r="S2395" s="497" t="s">
        <v>166</v>
      </c>
      <c r="T2395" s="509"/>
    </row>
    <row r="2396">
      <c r="A2396" s="504" t="s">
        <v>3401</v>
      </c>
      <c r="B2396" s="505" t="s">
        <v>4422</v>
      </c>
      <c r="C2396" s="174" t="str">
        <f t="shared" si="353"/>
        <v>Gainward</v>
      </c>
      <c r="D2396" s="452" t="s">
        <v>4187</v>
      </c>
      <c r="E2396" s="507">
        <v>329.5</v>
      </c>
      <c r="F2396" s="507">
        <v>136.0</v>
      </c>
      <c r="G2396" s="507">
        <v>65.5</v>
      </c>
      <c r="H2396" s="507">
        <v>2.0</v>
      </c>
      <c r="I2396" s="507">
        <v>1695.0</v>
      </c>
      <c r="J2396" s="507">
        <v>19.0</v>
      </c>
      <c r="K2396" s="507">
        <v>350.0</v>
      </c>
      <c r="L2396" s="266" t="s">
        <v>3460</v>
      </c>
      <c r="M2396" s="507">
        <v>3.0</v>
      </c>
      <c r="N2396" s="507">
        <v>3.0</v>
      </c>
      <c r="O2396" s="507">
        <v>1.0</v>
      </c>
      <c r="P2396" s="507" t="s">
        <v>166</v>
      </c>
      <c r="Q2396" s="507" t="s">
        <v>166</v>
      </c>
      <c r="R2396" s="266" t="s">
        <v>166</v>
      </c>
      <c r="S2396" s="497" t="s">
        <v>166</v>
      </c>
      <c r="T2396" s="509"/>
    </row>
    <row r="2397">
      <c r="A2397" s="504" t="s">
        <v>3401</v>
      </c>
      <c r="B2397" s="505" t="s">
        <v>4422</v>
      </c>
      <c r="C2397" s="174" t="str">
        <f t="shared" si="353"/>
        <v>Gainward</v>
      </c>
      <c r="D2397" s="452" t="s">
        <v>4191</v>
      </c>
      <c r="E2397" s="507">
        <v>329.5</v>
      </c>
      <c r="F2397" s="507">
        <v>136.0</v>
      </c>
      <c r="G2397" s="507">
        <v>65.5</v>
      </c>
      <c r="H2397" s="507">
        <v>2.0</v>
      </c>
      <c r="I2397" s="507">
        <v>1695.0</v>
      </c>
      <c r="J2397" s="507">
        <v>19.0</v>
      </c>
      <c r="K2397" s="507">
        <v>350.0</v>
      </c>
      <c r="L2397" s="266" t="s">
        <v>3460</v>
      </c>
      <c r="M2397" s="507">
        <v>3.0</v>
      </c>
      <c r="N2397" s="507">
        <v>3.0</v>
      </c>
      <c r="O2397" s="507">
        <v>1.0</v>
      </c>
      <c r="P2397" s="507" t="s">
        <v>166</v>
      </c>
      <c r="Q2397" s="507" t="s">
        <v>166</v>
      </c>
      <c r="R2397" s="266" t="s">
        <v>166</v>
      </c>
      <c r="S2397" s="497" t="s">
        <v>166</v>
      </c>
      <c r="T2397" s="509"/>
    </row>
    <row r="2398">
      <c r="A2398" s="504" t="s">
        <v>3401</v>
      </c>
      <c r="B2398" s="505" t="s">
        <v>4422</v>
      </c>
      <c r="C2398" s="174" t="str">
        <f t="shared" si="353"/>
        <v>Gainward</v>
      </c>
      <c r="D2398" s="452" t="s">
        <v>4193</v>
      </c>
      <c r="E2398" s="507">
        <v>332.9</v>
      </c>
      <c r="F2398" s="507">
        <v>133.0</v>
      </c>
      <c r="G2398" s="507">
        <v>61.6</v>
      </c>
      <c r="H2398" s="507">
        <v>2.0</v>
      </c>
      <c r="I2398" s="507">
        <v>1695.0</v>
      </c>
      <c r="J2398" s="507">
        <v>19.0</v>
      </c>
      <c r="K2398" s="507">
        <v>350.0</v>
      </c>
      <c r="L2398" s="266" t="s">
        <v>3460</v>
      </c>
      <c r="M2398" s="507">
        <v>3.0</v>
      </c>
      <c r="N2398" s="507">
        <v>3.0</v>
      </c>
      <c r="O2398" s="507">
        <v>1.0</v>
      </c>
      <c r="P2398" s="507" t="s">
        <v>166</v>
      </c>
      <c r="Q2398" s="507" t="s">
        <v>166</v>
      </c>
      <c r="R2398" s="266" t="s">
        <v>166</v>
      </c>
      <c r="S2398" s="497" t="s">
        <v>166</v>
      </c>
      <c r="T2398" s="509"/>
    </row>
    <row r="2399">
      <c r="A2399" s="504" t="s">
        <v>3401</v>
      </c>
      <c r="B2399" s="505" t="s">
        <v>4422</v>
      </c>
      <c r="C2399" s="174" t="str">
        <f t="shared" si="353"/>
        <v>Gainward</v>
      </c>
      <c r="D2399" s="452" t="s">
        <v>4195</v>
      </c>
      <c r="E2399" s="507">
        <v>332.9</v>
      </c>
      <c r="F2399" s="507">
        <v>133.0</v>
      </c>
      <c r="G2399" s="507">
        <v>61.6</v>
      </c>
      <c r="H2399" s="507">
        <v>2.0</v>
      </c>
      <c r="I2399" s="507">
        <v>1695.0</v>
      </c>
      <c r="J2399" s="507">
        <v>19.0</v>
      </c>
      <c r="K2399" s="507">
        <v>350.0</v>
      </c>
      <c r="L2399" s="266" t="s">
        <v>3460</v>
      </c>
      <c r="M2399" s="507">
        <v>3.0</v>
      </c>
      <c r="N2399" s="507">
        <v>3.0</v>
      </c>
      <c r="O2399" s="507">
        <v>1.0</v>
      </c>
      <c r="P2399" s="507" t="s">
        <v>166</v>
      </c>
      <c r="Q2399" s="507" t="s">
        <v>166</v>
      </c>
      <c r="R2399" s="266" t="s">
        <v>166</v>
      </c>
      <c r="S2399" s="497" t="s">
        <v>166</v>
      </c>
      <c r="T2399" s="509"/>
    </row>
    <row r="2400">
      <c r="A2400" s="504" t="s">
        <v>3401</v>
      </c>
      <c r="B2400" s="505" t="s">
        <v>4422</v>
      </c>
      <c r="C2400" s="174" t="str">
        <f t="shared" si="353"/>
        <v>Gainward</v>
      </c>
      <c r="D2400" s="544" t="s">
        <v>3371</v>
      </c>
      <c r="E2400" s="507">
        <v>294.0</v>
      </c>
      <c r="F2400" s="507">
        <v>112.0</v>
      </c>
      <c r="G2400" s="507">
        <v>54.0</v>
      </c>
      <c r="H2400" s="507">
        <v>2.0</v>
      </c>
      <c r="I2400" s="507">
        <v>1665.0</v>
      </c>
      <c r="J2400" s="507">
        <v>19.0</v>
      </c>
      <c r="K2400" s="507">
        <v>350.0</v>
      </c>
      <c r="L2400" s="266" t="s">
        <v>3460</v>
      </c>
      <c r="M2400" s="507">
        <v>3.0</v>
      </c>
      <c r="N2400" s="507">
        <v>3.0</v>
      </c>
      <c r="O2400" s="507">
        <v>1.0</v>
      </c>
      <c r="P2400" s="507" t="s">
        <v>166</v>
      </c>
      <c r="Q2400" s="507" t="s">
        <v>166</v>
      </c>
      <c r="R2400" s="266" t="s">
        <v>166</v>
      </c>
      <c r="S2400" s="497" t="s">
        <v>166</v>
      </c>
      <c r="T2400" s="509"/>
    </row>
    <row r="2401">
      <c r="A2401" s="504" t="s">
        <v>3401</v>
      </c>
      <c r="B2401" s="505" t="s">
        <v>4422</v>
      </c>
      <c r="C2401" s="174" t="str">
        <f t="shared" si="353"/>
        <v>Gainward</v>
      </c>
      <c r="D2401" s="544" t="s">
        <v>3953</v>
      </c>
      <c r="E2401" s="507">
        <v>304.0</v>
      </c>
      <c r="F2401" s="507">
        <v>138.0</v>
      </c>
      <c r="G2401" s="507">
        <v>54.0</v>
      </c>
      <c r="H2401" s="507">
        <v>2.0</v>
      </c>
      <c r="I2401" s="507">
        <v>1665.0</v>
      </c>
      <c r="J2401" s="507">
        <v>19.0</v>
      </c>
      <c r="K2401" s="507">
        <v>350.0</v>
      </c>
      <c r="L2401" s="266" t="s">
        <v>3734</v>
      </c>
      <c r="M2401" s="507">
        <v>3.0</v>
      </c>
      <c r="N2401" s="507">
        <v>3.0</v>
      </c>
      <c r="O2401" s="507">
        <v>1.0</v>
      </c>
      <c r="P2401" s="507" t="s">
        <v>166</v>
      </c>
      <c r="Q2401" s="507" t="s">
        <v>166</v>
      </c>
      <c r="R2401" s="266" t="s">
        <v>166</v>
      </c>
      <c r="S2401" s="497" t="s">
        <v>166</v>
      </c>
      <c r="T2401" s="509"/>
    </row>
    <row r="2402">
      <c r="A2402" s="504" t="s">
        <v>3401</v>
      </c>
      <c r="B2402" s="505" t="s">
        <v>4422</v>
      </c>
      <c r="C2402" s="174" t="str">
        <f t="shared" si="353"/>
        <v>Gainward</v>
      </c>
      <c r="D2402" s="544" t="s">
        <v>3954</v>
      </c>
      <c r="E2402" s="507">
        <v>304.0</v>
      </c>
      <c r="F2402" s="507">
        <v>138.0</v>
      </c>
      <c r="G2402" s="507">
        <v>54.0</v>
      </c>
      <c r="H2402" s="507">
        <v>2.0</v>
      </c>
      <c r="I2402" s="507">
        <v>1725.0</v>
      </c>
      <c r="J2402" s="507">
        <v>19.0</v>
      </c>
      <c r="K2402" s="507">
        <v>370.0</v>
      </c>
      <c r="L2402" s="266" t="s">
        <v>3734</v>
      </c>
      <c r="M2402" s="507">
        <v>3.0</v>
      </c>
      <c r="N2402" s="507">
        <v>3.0</v>
      </c>
      <c r="O2402" s="507">
        <v>1.0</v>
      </c>
      <c r="P2402" s="507" t="s">
        <v>166</v>
      </c>
      <c r="Q2402" s="507" t="s">
        <v>166</v>
      </c>
      <c r="R2402" s="266" t="s">
        <v>166</v>
      </c>
      <c r="S2402" s="497" t="s">
        <v>166</v>
      </c>
      <c r="T2402" s="509"/>
    </row>
    <row r="2403">
      <c r="A2403" s="504" t="s">
        <v>3401</v>
      </c>
      <c r="B2403" s="505" t="s">
        <v>4422</v>
      </c>
      <c r="C2403" s="174" t="s">
        <v>3456</v>
      </c>
      <c r="D2403" s="544" t="s">
        <v>4200</v>
      </c>
      <c r="E2403" s="507">
        <v>300.0</v>
      </c>
      <c r="F2403" s="507">
        <v>116.0</v>
      </c>
      <c r="G2403" s="507">
        <v>60.0</v>
      </c>
      <c r="H2403" s="507">
        <v>3.0</v>
      </c>
      <c r="I2403" s="507">
        <v>1665.0</v>
      </c>
      <c r="J2403" s="507">
        <v>19.0</v>
      </c>
      <c r="K2403" s="507">
        <v>350.0</v>
      </c>
      <c r="L2403" s="266" t="s">
        <v>3460</v>
      </c>
      <c r="M2403" s="507">
        <v>3.0</v>
      </c>
      <c r="N2403" s="507">
        <v>3.0</v>
      </c>
      <c r="O2403" s="507">
        <v>1.0</v>
      </c>
      <c r="P2403" s="507" t="s">
        <v>166</v>
      </c>
      <c r="Q2403" s="507" t="s">
        <v>166</v>
      </c>
      <c r="R2403" s="266" t="s">
        <v>166</v>
      </c>
      <c r="S2403" s="497" t="s">
        <v>166</v>
      </c>
      <c r="T2403" s="509"/>
    </row>
    <row r="2404">
      <c r="A2404" s="504" t="s">
        <v>3401</v>
      </c>
      <c r="B2404" s="505" t="s">
        <v>4422</v>
      </c>
      <c r="C2404" s="174" t="s">
        <v>3456</v>
      </c>
      <c r="D2404" s="544" t="s">
        <v>4202</v>
      </c>
      <c r="E2404" s="507">
        <v>300.0</v>
      </c>
      <c r="F2404" s="507">
        <v>116.0</v>
      </c>
      <c r="G2404" s="507">
        <v>60.0</v>
      </c>
      <c r="H2404" s="507">
        <v>3.0</v>
      </c>
      <c r="I2404" s="507">
        <v>1695.0</v>
      </c>
      <c r="J2404" s="507">
        <v>19.0</v>
      </c>
      <c r="K2404" s="507">
        <v>350.0</v>
      </c>
      <c r="L2404" s="266" t="s">
        <v>3460</v>
      </c>
      <c r="M2404" s="507">
        <v>3.0</v>
      </c>
      <c r="N2404" s="507">
        <v>3.0</v>
      </c>
      <c r="O2404" s="507">
        <v>1.0</v>
      </c>
      <c r="P2404" s="507" t="s">
        <v>166</v>
      </c>
      <c r="Q2404" s="507" t="s">
        <v>166</v>
      </c>
      <c r="R2404" s="266" t="s">
        <v>166</v>
      </c>
      <c r="S2404" s="497" t="s">
        <v>166</v>
      </c>
      <c r="T2404" s="509"/>
    </row>
    <row r="2405">
      <c r="A2405" s="504" t="s">
        <v>3401</v>
      </c>
      <c r="B2405" s="505" t="s">
        <v>4422</v>
      </c>
      <c r="C2405" s="174" t="s">
        <v>3456</v>
      </c>
      <c r="D2405" s="544" t="s">
        <v>4204</v>
      </c>
      <c r="E2405" s="507">
        <v>318.0</v>
      </c>
      <c r="F2405" s="507">
        <v>107.0</v>
      </c>
      <c r="G2405" s="507">
        <v>60.0</v>
      </c>
      <c r="H2405" s="507">
        <v>3.0</v>
      </c>
      <c r="I2405" s="507">
        <v>1665.0</v>
      </c>
      <c r="J2405" s="507">
        <v>19.0</v>
      </c>
      <c r="K2405" s="507">
        <v>350.0</v>
      </c>
      <c r="L2405" s="266" t="s">
        <v>3460</v>
      </c>
      <c r="M2405" s="507">
        <v>3.0</v>
      </c>
      <c r="N2405" s="507">
        <v>3.0</v>
      </c>
      <c r="O2405" s="507">
        <v>1.0</v>
      </c>
      <c r="P2405" s="507" t="s">
        <v>166</v>
      </c>
      <c r="Q2405" s="507" t="s">
        <v>166</v>
      </c>
      <c r="R2405" s="266" t="s">
        <v>166</v>
      </c>
      <c r="S2405" s="497" t="s">
        <v>166</v>
      </c>
      <c r="T2405" s="509"/>
    </row>
    <row r="2406">
      <c r="A2406" s="504" t="s">
        <v>3401</v>
      </c>
      <c r="B2406" s="505" t="s">
        <v>4422</v>
      </c>
      <c r="C2406" s="174" t="s">
        <v>3456</v>
      </c>
      <c r="D2406" s="544" t="s">
        <v>4206</v>
      </c>
      <c r="E2406" s="507">
        <v>318.0</v>
      </c>
      <c r="F2406" s="507">
        <v>107.0</v>
      </c>
      <c r="G2406" s="507">
        <v>60.0</v>
      </c>
      <c r="H2406" s="507">
        <v>3.0</v>
      </c>
      <c r="I2406" s="507">
        <v>1695.0</v>
      </c>
      <c r="J2406" s="507">
        <v>19.0</v>
      </c>
      <c r="K2406" s="507">
        <v>350.0</v>
      </c>
      <c r="L2406" s="266" t="s">
        <v>3460</v>
      </c>
      <c r="M2406" s="507">
        <v>3.0</v>
      </c>
      <c r="N2406" s="507">
        <v>3.0</v>
      </c>
      <c r="O2406" s="507">
        <v>1.0</v>
      </c>
      <c r="P2406" s="507" t="s">
        <v>166</v>
      </c>
      <c r="Q2406" s="507" t="s">
        <v>166</v>
      </c>
      <c r="R2406" s="266" t="s">
        <v>166</v>
      </c>
      <c r="S2406" s="497" t="s">
        <v>166</v>
      </c>
      <c r="T2406" s="509"/>
    </row>
    <row r="2407">
      <c r="A2407" s="504" t="s">
        <v>3401</v>
      </c>
      <c r="B2407" s="505" t="s">
        <v>4422</v>
      </c>
      <c r="C2407" s="174" t="s">
        <v>3456</v>
      </c>
      <c r="D2407" s="544" t="s">
        <v>4257</v>
      </c>
      <c r="E2407" s="507">
        <v>316.0</v>
      </c>
      <c r="F2407" s="507">
        <v>132.0</v>
      </c>
      <c r="G2407" s="507">
        <v>60.0</v>
      </c>
      <c r="H2407" s="507">
        <v>3.0</v>
      </c>
      <c r="I2407" s="507">
        <v>1665.0</v>
      </c>
      <c r="J2407" s="507">
        <v>19.0</v>
      </c>
      <c r="K2407" s="507">
        <v>350.0</v>
      </c>
      <c r="L2407" s="266" t="s">
        <v>3460</v>
      </c>
      <c r="M2407" s="507">
        <v>3.0</v>
      </c>
      <c r="N2407" s="507">
        <v>3.0</v>
      </c>
      <c r="O2407" s="507">
        <v>1.0</v>
      </c>
      <c r="P2407" s="507" t="s">
        <v>166</v>
      </c>
      <c r="Q2407" s="507" t="s">
        <v>166</v>
      </c>
      <c r="R2407" s="266" t="s">
        <v>166</v>
      </c>
      <c r="S2407" s="497" t="s">
        <v>166</v>
      </c>
      <c r="T2407" s="509"/>
    </row>
    <row r="2408">
      <c r="A2408" s="504" t="s">
        <v>3401</v>
      </c>
      <c r="B2408" s="505" t="s">
        <v>4422</v>
      </c>
      <c r="C2408" s="174" t="s">
        <v>3456</v>
      </c>
      <c r="D2408" s="544" t="s">
        <v>4258</v>
      </c>
      <c r="E2408" s="507">
        <v>316.0</v>
      </c>
      <c r="F2408" s="507">
        <v>132.0</v>
      </c>
      <c r="G2408" s="507">
        <v>60.0</v>
      </c>
      <c r="H2408" s="507">
        <v>3.0</v>
      </c>
      <c r="I2408" s="507">
        <v>1710.0</v>
      </c>
      <c r="J2408" s="507">
        <v>19.0</v>
      </c>
      <c r="K2408" s="507">
        <v>350.0</v>
      </c>
      <c r="L2408" s="266" t="s">
        <v>3460</v>
      </c>
      <c r="M2408" s="507">
        <v>3.0</v>
      </c>
      <c r="N2408" s="507">
        <v>3.0</v>
      </c>
      <c r="O2408" s="507">
        <v>1.0</v>
      </c>
      <c r="P2408" s="507" t="s">
        <v>166</v>
      </c>
      <c r="Q2408" s="507" t="s">
        <v>166</v>
      </c>
      <c r="R2408" s="266" t="s">
        <v>166</v>
      </c>
      <c r="S2408" s="497" t="s">
        <v>166</v>
      </c>
      <c r="T2408" s="509"/>
    </row>
    <row r="2409">
      <c r="A2409" s="504" t="s">
        <v>3401</v>
      </c>
      <c r="B2409" s="505" t="s">
        <v>4422</v>
      </c>
      <c r="C2409" s="174" t="s">
        <v>3456</v>
      </c>
      <c r="D2409" s="544" t="s">
        <v>4003</v>
      </c>
      <c r="E2409" s="507">
        <v>337.0</v>
      </c>
      <c r="F2409" s="507">
        <v>135.0</v>
      </c>
      <c r="G2409" s="507">
        <v>57.0</v>
      </c>
      <c r="H2409" s="507">
        <v>3.0</v>
      </c>
      <c r="I2409" s="507">
        <v>1665.0</v>
      </c>
      <c r="J2409" s="507">
        <v>19.0</v>
      </c>
      <c r="K2409" s="507">
        <v>350.0</v>
      </c>
      <c r="L2409" s="266" t="s">
        <v>3460</v>
      </c>
      <c r="M2409" s="507">
        <v>3.0</v>
      </c>
      <c r="N2409" s="507">
        <v>3.0</v>
      </c>
      <c r="O2409" s="507">
        <v>1.0</v>
      </c>
      <c r="P2409" s="507" t="s">
        <v>166</v>
      </c>
      <c r="Q2409" s="507" t="s">
        <v>166</v>
      </c>
      <c r="R2409" s="266" t="s">
        <v>166</v>
      </c>
      <c r="S2409" s="497" t="s">
        <v>166</v>
      </c>
      <c r="T2409" s="509"/>
    </row>
    <row r="2410">
      <c r="A2410" s="504" t="s">
        <v>3401</v>
      </c>
      <c r="B2410" s="505" t="s">
        <v>4422</v>
      </c>
      <c r="C2410" s="174" t="s">
        <v>3456</v>
      </c>
      <c r="D2410" s="544" t="s">
        <v>4004</v>
      </c>
      <c r="E2410" s="507">
        <v>337.0</v>
      </c>
      <c r="F2410" s="507">
        <v>135.0</v>
      </c>
      <c r="G2410" s="507">
        <v>57.0</v>
      </c>
      <c r="H2410" s="507">
        <v>3.0</v>
      </c>
      <c r="I2410" s="507">
        <v>1710.0</v>
      </c>
      <c r="J2410" s="507">
        <v>19.0</v>
      </c>
      <c r="K2410" s="507">
        <v>350.0</v>
      </c>
      <c r="L2410" s="266" t="s">
        <v>3460</v>
      </c>
      <c r="M2410" s="507">
        <v>3.0</v>
      </c>
      <c r="N2410" s="507">
        <v>3.0</v>
      </c>
      <c r="O2410" s="507">
        <v>1.0</v>
      </c>
      <c r="P2410" s="507" t="s">
        <v>166</v>
      </c>
      <c r="Q2410" s="507" t="s">
        <v>166</v>
      </c>
      <c r="R2410" s="266" t="s">
        <v>166</v>
      </c>
      <c r="S2410" s="497" t="s">
        <v>166</v>
      </c>
      <c r="T2410" s="509"/>
    </row>
    <row r="2411">
      <c r="A2411" s="504" t="s">
        <v>3401</v>
      </c>
      <c r="B2411" s="505" t="s">
        <v>4422</v>
      </c>
      <c r="C2411" s="174" t="s">
        <v>3456</v>
      </c>
      <c r="D2411" s="544" t="s">
        <v>4259</v>
      </c>
      <c r="E2411" s="507">
        <v>303.0</v>
      </c>
      <c r="F2411" s="507">
        <v>133.0</v>
      </c>
      <c r="G2411" s="507">
        <v>65.0</v>
      </c>
      <c r="H2411" s="507">
        <v>2.0</v>
      </c>
      <c r="I2411" s="507">
        <v>1710.0</v>
      </c>
      <c r="J2411" s="507">
        <v>19.0</v>
      </c>
      <c r="K2411" s="507">
        <v>350.0</v>
      </c>
      <c r="L2411" s="266" t="s">
        <v>3460</v>
      </c>
      <c r="M2411" s="507">
        <v>3.0</v>
      </c>
      <c r="N2411" s="507">
        <v>3.0</v>
      </c>
      <c r="O2411" s="507">
        <v>1.0</v>
      </c>
      <c r="P2411" s="507" t="s">
        <v>166</v>
      </c>
      <c r="Q2411" s="507" t="s">
        <v>166</v>
      </c>
      <c r="R2411" s="266" t="s">
        <v>166</v>
      </c>
      <c r="S2411" s="497" t="s">
        <v>166</v>
      </c>
      <c r="T2411" s="509"/>
    </row>
    <row r="2412">
      <c r="A2412" s="504" t="s">
        <v>3401</v>
      </c>
      <c r="B2412" s="505" t="s">
        <v>4422</v>
      </c>
      <c r="C2412" s="174" t="s">
        <v>3456</v>
      </c>
      <c r="D2412" s="544" t="s">
        <v>3837</v>
      </c>
      <c r="E2412" s="507">
        <v>335.0</v>
      </c>
      <c r="F2412" s="507">
        <v>148.0</v>
      </c>
      <c r="G2412" s="507">
        <v>61.0</v>
      </c>
      <c r="H2412" s="507">
        <v>2.0</v>
      </c>
      <c r="I2412" s="507">
        <v>1725.0</v>
      </c>
      <c r="J2412" s="507">
        <v>19.0</v>
      </c>
      <c r="K2412" s="507">
        <v>360.0</v>
      </c>
      <c r="L2412" s="507" t="s">
        <v>3734</v>
      </c>
      <c r="M2412" s="507">
        <v>3.0</v>
      </c>
      <c r="N2412" s="507">
        <v>3.0</v>
      </c>
      <c r="O2412" s="507">
        <v>1.0</v>
      </c>
      <c r="P2412" s="507" t="s">
        <v>166</v>
      </c>
      <c r="Q2412" s="507" t="s">
        <v>166</v>
      </c>
      <c r="R2412" s="266" t="s">
        <v>166</v>
      </c>
      <c r="S2412" s="497" t="s">
        <v>166</v>
      </c>
      <c r="T2412" s="509"/>
    </row>
    <row r="2413">
      <c r="A2413" s="504" t="s">
        <v>3401</v>
      </c>
      <c r="B2413" s="505" t="s">
        <v>4422</v>
      </c>
      <c r="C2413" s="174" t="s">
        <v>3456</v>
      </c>
      <c r="D2413" s="544" t="s">
        <v>3215</v>
      </c>
      <c r="E2413" s="507">
        <v>335.0</v>
      </c>
      <c r="F2413" s="507">
        <v>148.0</v>
      </c>
      <c r="G2413" s="507">
        <v>61.0</v>
      </c>
      <c r="H2413" s="507">
        <v>2.0</v>
      </c>
      <c r="I2413" s="507">
        <v>1785.0</v>
      </c>
      <c r="J2413" s="507">
        <v>19.0</v>
      </c>
      <c r="K2413" s="507">
        <v>360.0</v>
      </c>
      <c r="L2413" s="507" t="s">
        <v>3734</v>
      </c>
      <c r="M2413" s="507">
        <v>3.0</v>
      </c>
      <c r="N2413" s="507">
        <v>3.0</v>
      </c>
      <c r="O2413" s="507">
        <v>1.0</v>
      </c>
      <c r="P2413" s="507" t="s">
        <v>166</v>
      </c>
      <c r="Q2413" s="507" t="s">
        <v>166</v>
      </c>
      <c r="R2413" s="266" t="s">
        <v>166</v>
      </c>
      <c r="S2413" s="497" t="s">
        <v>166</v>
      </c>
      <c r="T2413" s="509"/>
    </row>
    <row r="2414">
      <c r="A2414" s="504" t="s">
        <v>3401</v>
      </c>
      <c r="B2414" s="505" t="s">
        <v>4422</v>
      </c>
      <c r="C2414" s="174" t="s">
        <v>3456</v>
      </c>
      <c r="D2414" s="544" t="s">
        <v>4423</v>
      </c>
      <c r="E2414" s="507">
        <v>335.0</v>
      </c>
      <c r="F2414" s="507">
        <v>148.0</v>
      </c>
      <c r="G2414" s="507">
        <v>61.0</v>
      </c>
      <c r="H2414" s="507">
        <v>2.0</v>
      </c>
      <c r="I2414" s="507">
        <v>1815.0</v>
      </c>
      <c r="J2414" s="507">
        <v>19.0</v>
      </c>
      <c r="K2414" s="507">
        <v>400.0</v>
      </c>
      <c r="L2414" s="507" t="s">
        <v>3734</v>
      </c>
      <c r="M2414" s="507">
        <v>3.0</v>
      </c>
      <c r="N2414" s="507">
        <v>3.0</v>
      </c>
      <c r="O2414" s="507">
        <v>1.0</v>
      </c>
      <c r="P2414" s="507" t="s">
        <v>166</v>
      </c>
      <c r="Q2414" s="507" t="s">
        <v>166</v>
      </c>
      <c r="R2414" s="266" t="s">
        <v>166</v>
      </c>
      <c r="S2414" s="497" t="s">
        <v>166</v>
      </c>
      <c r="T2414" s="509"/>
    </row>
    <row r="2415">
      <c r="A2415" s="504" t="s">
        <v>3401</v>
      </c>
      <c r="B2415" s="505" t="s">
        <v>4422</v>
      </c>
      <c r="C2415" s="174" t="s">
        <v>3456</v>
      </c>
      <c r="D2415" s="544" t="s">
        <v>4424</v>
      </c>
      <c r="E2415" s="507">
        <v>335.0</v>
      </c>
      <c r="F2415" s="507">
        <v>148.0</v>
      </c>
      <c r="G2415" s="507">
        <v>61.0</v>
      </c>
      <c r="H2415" s="507">
        <v>2.0</v>
      </c>
      <c r="I2415" s="507">
        <v>1815.0</v>
      </c>
      <c r="J2415" s="507">
        <v>19.0</v>
      </c>
      <c r="K2415" s="507">
        <v>400.0</v>
      </c>
      <c r="L2415" s="507" t="s">
        <v>3734</v>
      </c>
      <c r="M2415" s="507">
        <v>3.0</v>
      </c>
      <c r="N2415" s="507">
        <v>3.0</v>
      </c>
      <c r="O2415" s="507">
        <v>1.0</v>
      </c>
      <c r="P2415" s="507" t="s">
        <v>166</v>
      </c>
      <c r="Q2415" s="507" t="s">
        <v>166</v>
      </c>
      <c r="R2415" s="266" t="s">
        <v>166</v>
      </c>
      <c r="S2415" s="497" t="s">
        <v>166</v>
      </c>
      <c r="T2415" s="509"/>
    </row>
    <row r="2416">
      <c r="A2416" s="504" t="s">
        <v>3401</v>
      </c>
      <c r="B2416" s="505" t="s">
        <v>4422</v>
      </c>
      <c r="C2416" s="174" t="s">
        <v>3456</v>
      </c>
      <c r="D2416" s="544" t="s">
        <v>4062</v>
      </c>
      <c r="E2416" s="507">
        <v>317.0</v>
      </c>
      <c r="F2416" s="507">
        <v>113.0</v>
      </c>
      <c r="G2416" s="507">
        <v>61.0</v>
      </c>
      <c r="H2416" s="507">
        <v>2.0</v>
      </c>
      <c r="I2416" s="507">
        <v>1710.0</v>
      </c>
      <c r="J2416" s="507">
        <v>19.0</v>
      </c>
      <c r="K2416" s="507">
        <v>350.0</v>
      </c>
      <c r="L2416" s="266" t="s">
        <v>3460</v>
      </c>
      <c r="M2416" s="507">
        <v>3.0</v>
      </c>
      <c r="N2416" s="507">
        <v>3.0</v>
      </c>
      <c r="O2416" s="507">
        <v>1.0</v>
      </c>
      <c r="P2416" s="507" t="s">
        <v>166</v>
      </c>
      <c r="Q2416" s="507" t="s">
        <v>166</v>
      </c>
      <c r="R2416" s="266" t="s">
        <v>166</v>
      </c>
      <c r="S2416" s="497" t="s">
        <v>166</v>
      </c>
      <c r="T2416" s="509"/>
    </row>
    <row r="2417">
      <c r="A2417" s="504" t="s">
        <v>3401</v>
      </c>
      <c r="B2417" s="505" t="s">
        <v>4422</v>
      </c>
      <c r="C2417" s="174" t="s">
        <v>3456</v>
      </c>
      <c r="D2417" s="544" t="s">
        <v>4345</v>
      </c>
      <c r="E2417" s="507">
        <v>316.0</v>
      </c>
      <c r="F2417" s="507">
        <v>124.0</v>
      </c>
      <c r="G2417" s="507">
        <v>58.0</v>
      </c>
      <c r="H2417" s="507">
        <v>2.0</v>
      </c>
      <c r="I2417" s="507">
        <v>1725.0</v>
      </c>
      <c r="J2417" s="507">
        <v>19.0</v>
      </c>
      <c r="K2417" s="507">
        <v>350.0</v>
      </c>
      <c r="L2417" s="266" t="s">
        <v>3460</v>
      </c>
      <c r="M2417" s="507">
        <v>3.0</v>
      </c>
      <c r="N2417" s="507">
        <v>3.0</v>
      </c>
      <c r="O2417" s="507">
        <v>1.0</v>
      </c>
      <c r="P2417" s="507" t="s">
        <v>166</v>
      </c>
      <c r="Q2417" s="507" t="s">
        <v>166</v>
      </c>
      <c r="R2417" s="266" t="s">
        <v>166</v>
      </c>
      <c r="S2417" s="497" t="s">
        <v>166</v>
      </c>
      <c r="T2417" s="509"/>
    </row>
    <row r="2418">
      <c r="A2418" s="504" t="s">
        <v>3401</v>
      </c>
      <c r="B2418" s="505" t="s">
        <v>4422</v>
      </c>
      <c r="C2418" s="174" t="s">
        <v>3456</v>
      </c>
      <c r="D2418" s="544" t="s">
        <v>4346</v>
      </c>
      <c r="E2418" s="507">
        <v>316.0</v>
      </c>
      <c r="F2418" s="507">
        <v>124.0</v>
      </c>
      <c r="G2418" s="507">
        <v>58.0</v>
      </c>
      <c r="H2418" s="507">
        <v>2.0</v>
      </c>
      <c r="I2418" s="507">
        <v>1725.0</v>
      </c>
      <c r="J2418" s="507">
        <v>19.0</v>
      </c>
      <c r="K2418" s="507">
        <v>350.0</v>
      </c>
      <c r="L2418" s="266" t="s">
        <v>3460</v>
      </c>
      <c r="M2418" s="507">
        <v>3.0</v>
      </c>
      <c r="N2418" s="507">
        <v>3.0</v>
      </c>
      <c r="O2418" s="507">
        <v>1.0</v>
      </c>
      <c r="P2418" s="507" t="s">
        <v>166</v>
      </c>
      <c r="Q2418" s="507" t="s">
        <v>166</v>
      </c>
      <c r="R2418" s="266" t="s">
        <v>166</v>
      </c>
      <c r="S2418" s="497" t="s">
        <v>166</v>
      </c>
      <c r="T2418" s="509"/>
    </row>
    <row r="2419">
      <c r="A2419" s="504" t="s">
        <v>3401</v>
      </c>
      <c r="B2419" s="505" t="s">
        <v>4422</v>
      </c>
      <c r="C2419" s="174" t="s">
        <v>3456</v>
      </c>
      <c r="D2419" s="544" t="s">
        <v>3837</v>
      </c>
      <c r="E2419" s="507">
        <v>339.0</v>
      </c>
      <c r="F2419" s="507">
        <v>144.0</v>
      </c>
      <c r="G2419" s="507">
        <v>68.0</v>
      </c>
      <c r="H2419" s="507">
        <v>2.0</v>
      </c>
      <c r="I2419" s="507">
        <v>1740.0</v>
      </c>
      <c r="J2419" s="507">
        <v>19.0</v>
      </c>
      <c r="K2419" s="507">
        <v>350.0</v>
      </c>
      <c r="L2419" s="266" t="s">
        <v>3734</v>
      </c>
      <c r="M2419" s="507">
        <v>3.0</v>
      </c>
      <c r="N2419" s="507">
        <v>3.0</v>
      </c>
      <c r="O2419" s="507">
        <v>1.0</v>
      </c>
      <c r="P2419" s="507" t="s">
        <v>166</v>
      </c>
      <c r="Q2419" s="507" t="s">
        <v>166</v>
      </c>
      <c r="R2419" s="266" t="s">
        <v>166</v>
      </c>
      <c r="S2419" s="497" t="s">
        <v>166</v>
      </c>
      <c r="T2419" s="509"/>
    </row>
    <row r="2420">
      <c r="A2420" s="504" t="s">
        <v>3401</v>
      </c>
      <c r="B2420" s="505" t="s">
        <v>4422</v>
      </c>
      <c r="C2420" s="174" t="s">
        <v>3456</v>
      </c>
      <c r="D2420" s="544" t="s">
        <v>4425</v>
      </c>
      <c r="E2420" s="507">
        <v>339.0</v>
      </c>
      <c r="F2420" s="507">
        <v>144.0</v>
      </c>
      <c r="G2420" s="507">
        <v>68.0</v>
      </c>
      <c r="H2420" s="507">
        <v>2.0</v>
      </c>
      <c r="I2420" s="507">
        <v>1800.0</v>
      </c>
      <c r="J2420" s="507">
        <v>19.0</v>
      </c>
      <c r="K2420" s="507">
        <v>350.0</v>
      </c>
      <c r="L2420" s="266" t="s">
        <v>3734</v>
      </c>
      <c r="M2420" s="507">
        <v>3.0</v>
      </c>
      <c r="N2420" s="507">
        <v>3.0</v>
      </c>
      <c r="O2420" s="507">
        <v>1.0</v>
      </c>
      <c r="P2420" s="507" t="s">
        <v>166</v>
      </c>
      <c r="Q2420" s="507" t="s">
        <v>166</v>
      </c>
      <c r="R2420" s="266" t="s">
        <v>166</v>
      </c>
      <c r="S2420" s="497" t="s">
        <v>166</v>
      </c>
      <c r="T2420" s="509"/>
    </row>
    <row r="2421">
      <c r="A2421" s="504" t="s">
        <v>3401</v>
      </c>
      <c r="B2421" s="505" t="s">
        <v>4422</v>
      </c>
      <c r="C2421" s="174" t="s">
        <v>3456</v>
      </c>
      <c r="D2421" s="544" t="s">
        <v>4423</v>
      </c>
      <c r="E2421" s="507">
        <v>339.0</v>
      </c>
      <c r="F2421" s="507">
        <v>144.0</v>
      </c>
      <c r="G2421" s="507">
        <v>68.0</v>
      </c>
      <c r="H2421" s="507">
        <v>2.0</v>
      </c>
      <c r="I2421" s="507">
        <v>1815.0</v>
      </c>
      <c r="J2421" s="507">
        <v>19.0</v>
      </c>
      <c r="K2421" s="507">
        <v>350.0</v>
      </c>
      <c r="L2421" s="266" t="s">
        <v>3734</v>
      </c>
      <c r="M2421" s="507">
        <v>3.0</v>
      </c>
      <c r="N2421" s="507">
        <v>3.0</v>
      </c>
      <c r="O2421" s="507">
        <v>1.0</v>
      </c>
      <c r="P2421" s="507" t="s">
        <v>166</v>
      </c>
      <c r="Q2421" s="507" t="s">
        <v>166</v>
      </c>
      <c r="R2421" s="266" t="s">
        <v>166</v>
      </c>
      <c r="S2421" s="497" t="s">
        <v>166</v>
      </c>
      <c r="T2421" s="509"/>
    </row>
    <row r="2422">
      <c r="A2422" s="504" t="s">
        <v>3401</v>
      </c>
      <c r="B2422" s="505" t="s">
        <v>4422</v>
      </c>
      <c r="C2422" s="174" t="str">
        <f t="shared" ref="C2422:C2429" si="354">HYPERLINK("https://www.gigabyte.com/","Gigabyte")</f>
        <v>Gigabyte</v>
      </c>
      <c r="D2422" s="544" t="s">
        <v>3374</v>
      </c>
      <c r="E2422" s="507">
        <v>320.0</v>
      </c>
      <c r="F2422" s="507">
        <v>128.0</v>
      </c>
      <c r="G2422" s="507">
        <v>56.0</v>
      </c>
      <c r="H2422" s="507">
        <v>2.0</v>
      </c>
      <c r="I2422" s="507">
        <v>1665.0</v>
      </c>
      <c r="J2422" s="507">
        <v>19.0</v>
      </c>
      <c r="K2422" s="507">
        <v>350.0</v>
      </c>
      <c r="L2422" s="266" t="s">
        <v>3460</v>
      </c>
      <c r="M2422" s="507">
        <v>3.0</v>
      </c>
      <c r="N2422" s="507">
        <v>3.0</v>
      </c>
      <c r="O2422" s="507">
        <v>2.0</v>
      </c>
      <c r="P2422" s="507" t="s">
        <v>166</v>
      </c>
      <c r="Q2422" s="507" t="s">
        <v>166</v>
      </c>
      <c r="R2422" s="266" t="s">
        <v>166</v>
      </c>
      <c r="S2422" s="497" t="s">
        <v>166</v>
      </c>
      <c r="T2422" s="509"/>
    </row>
    <row r="2423">
      <c r="A2423" s="504" t="s">
        <v>3401</v>
      </c>
      <c r="B2423" s="505" t="s">
        <v>4422</v>
      </c>
      <c r="C2423" s="174" t="str">
        <f t="shared" si="354"/>
        <v>Gigabyte</v>
      </c>
      <c r="D2423" s="544" t="s">
        <v>3551</v>
      </c>
      <c r="E2423" s="507">
        <v>320.0</v>
      </c>
      <c r="F2423" s="507">
        <v>128.0</v>
      </c>
      <c r="G2423" s="507">
        <v>56.0</v>
      </c>
      <c r="H2423" s="507">
        <v>2.0</v>
      </c>
      <c r="I2423" s="507">
        <v>1680.0</v>
      </c>
      <c r="J2423" s="507">
        <v>19.0</v>
      </c>
      <c r="K2423" s="507">
        <v>350.0</v>
      </c>
      <c r="L2423" s="266" t="s">
        <v>3460</v>
      </c>
      <c r="M2423" s="507">
        <v>3.0</v>
      </c>
      <c r="N2423" s="507">
        <v>3.0</v>
      </c>
      <c r="O2423" s="507">
        <v>2.0</v>
      </c>
      <c r="P2423" s="507" t="s">
        <v>166</v>
      </c>
      <c r="Q2423" s="507" t="s">
        <v>166</v>
      </c>
      <c r="R2423" s="266" t="s">
        <v>166</v>
      </c>
      <c r="S2423" s="497" t="s">
        <v>166</v>
      </c>
      <c r="T2423" s="509"/>
    </row>
    <row r="2424">
      <c r="A2424" s="504" t="s">
        <v>3401</v>
      </c>
      <c r="B2424" s="505" t="s">
        <v>4422</v>
      </c>
      <c r="C2424" s="174" t="str">
        <f t="shared" si="354"/>
        <v>Gigabyte</v>
      </c>
      <c r="D2424" s="544" t="s">
        <v>3630</v>
      </c>
      <c r="E2424" s="507">
        <v>320.0</v>
      </c>
      <c r="F2424" s="507">
        <v>129.0</v>
      </c>
      <c r="G2424" s="507">
        <v>55.0</v>
      </c>
      <c r="H2424" s="507">
        <v>2.0</v>
      </c>
      <c r="I2424" s="507">
        <v>1710.0</v>
      </c>
      <c r="J2424" s="507">
        <v>19.0</v>
      </c>
      <c r="K2424" s="507">
        <v>370.0</v>
      </c>
      <c r="L2424" s="266" t="s">
        <v>3460</v>
      </c>
      <c r="M2424" s="507">
        <v>3.0</v>
      </c>
      <c r="N2424" s="507">
        <v>3.0</v>
      </c>
      <c r="O2424" s="507">
        <v>2.0</v>
      </c>
      <c r="P2424" s="507" t="s">
        <v>166</v>
      </c>
      <c r="Q2424" s="507" t="s">
        <v>166</v>
      </c>
      <c r="R2424" s="266" t="s">
        <v>166</v>
      </c>
      <c r="S2424" s="497" t="s">
        <v>166</v>
      </c>
      <c r="T2424" s="509"/>
    </row>
    <row r="2425">
      <c r="A2425" s="504" t="s">
        <v>3401</v>
      </c>
      <c r="B2425" s="505" t="s">
        <v>4422</v>
      </c>
      <c r="C2425" s="174" t="str">
        <f t="shared" si="354"/>
        <v>Gigabyte</v>
      </c>
      <c r="D2425" s="544" t="s">
        <v>4134</v>
      </c>
      <c r="E2425" s="507">
        <v>320.0</v>
      </c>
      <c r="F2425" s="507">
        <v>126.0</v>
      </c>
      <c r="G2425" s="507">
        <v>55.0</v>
      </c>
      <c r="H2425" s="507">
        <v>2.0</v>
      </c>
      <c r="I2425" s="507">
        <v>1710.0</v>
      </c>
      <c r="J2425" s="507">
        <v>19.0</v>
      </c>
      <c r="K2425" s="507">
        <v>350.0</v>
      </c>
      <c r="L2425" s="266" t="s">
        <v>3460</v>
      </c>
      <c r="M2425" s="507">
        <v>3.0</v>
      </c>
      <c r="N2425" s="507">
        <v>3.0</v>
      </c>
      <c r="O2425" s="507">
        <v>2.0</v>
      </c>
      <c r="P2425" s="507" t="s">
        <v>166</v>
      </c>
      <c r="Q2425" s="507" t="s">
        <v>166</v>
      </c>
      <c r="R2425" s="266" t="s">
        <v>166</v>
      </c>
      <c r="S2425" s="497" t="s">
        <v>166</v>
      </c>
      <c r="T2425" s="509"/>
    </row>
    <row r="2426">
      <c r="A2426" s="504" t="s">
        <v>3401</v>
      </c>
      <c r="B2426" s="505" t="s">
        <v>4422</v>
      </c>
      <c r="C2426" s="174" t="str">
        <f t="shared" si="354"/>
        <v>Gigabyte</v>
      </c>
      <c r="D2426" s="544" t="s">
        <v>3725</v>
      </c>
      <c r="E2426" s="507">
        <v>319.0</v>
      </c>
      <c r="F2426" s="507">
        <v>140.0</v>
      </c>
      <c r="G2426" s="507">
        <v>70.0</v>
      </c>
      <c r="H2426" s="507">
        <v>2.0</v>
      </c>
      <c r="I2426" s="507">
        <v>1770.0</v>
      </c>
      <c r="J2426" s="507">
        <v>19.0</v>
      </c>
      <c r="K2426" s="507">
        <v>400.0</v>
      </c>
      <c r="L2426" s="507" t="s">
        <v>3734</v>
      </c>
      <c r="M2426" s="507">
        <v>3.0</v>
      </c>
      <c r="N2426" s="507">
        <v>3.0</v>
      </c>
      <c r="O2426" s="507">
        <v>3.0</v>
      </c>
      <c r="P2426" s="507" t="s">
        <v>166</v>
      </c>
      <c r="Q2426" s="507" t="s">
        <v>166</v>
      </c>
      <c r="R2426" s="266" t="s">
        <v>166</v>
      </c>
      <c r="S2426" s="497" t="s">
        <v>166</v>
      </c>
      <c r="T2426" s="509"/>
    </row>
    <row r="2427">
      <c r="A2427" s="504" t="s">
        <v>3401</v>
      </c>
      <c r="B2427" s="505" t="s">
        <v>4422</v>
      </c>
      <c r="C2427" s="174" t="str">
        <f t="shared" si="354"/>
        <v>Gigabyte</v>
      </c>
      <c r="D2427" s="544" t="s">
        <v>3919</v>
      </c>
      <c r="E2427" s="507">
        <v>319.0</v>
      </c>
      <c r="F2427" s="507">
        <v>140.0</v>
      </c>
      <c r="G2427" s="507">
        <v>70.0</v>
      </c>
      <c r="H2427" s="507">
        <v>2.0</v>
      </c>
      <c r="I2427" s="507">
        <v>1830.0</v>
      </c>
      <c r="J2427" s="507">
        <v>19.0</v>
      </c>
      <c r="K2427" s="507">
        <v>400.0</v>
      </c>
      <c r="L2427" s="507" t="s">
        <v>3734</v>
      </c>
      <c r="M2427" s="507">
        <v>3.0</v>
      </c>
      <c r="N2427" s="507">
        <v>3.0</v>
      </c>
      <c r="O2427" s="507">
        <v>3.0</v>
      </c>
      <c r="P2427" s="507" t="s">
        <v>166</v>
      </c>
      <c r="Q2427" s="507" t="s">
        <v>166</v>
      </c>
      <c r="R2427" s="266" t="s">
        <v>166</v>
      </c>
      <c r="S2427" s="497" t="s">
        <v>166</v>
      </c>
      <c r="T2427" s="509"/>
    </row>
    <row r="2428">
      <c r="A2428" s="504" t="s">
        <v>3401</v>
      </c>
      <c r="B2428" s="505" t="s">
        <v>4422</v>
      </c>
      <c r="C2428" s="174" t="str">
        <f t="shared" si="354"/>
        <v>Gigabyte</v>
      </c>
      <c r="D2428" s="544" t="s">
        <v>4039</v>
      </c>
      <c r="E2428" s="507">
        <v>252.0</v>
      </c>
      <c r="F2428" s="507">
        <v>135.0</v>
      </c>
      <c r="G2428" s="507">
        <v>40.0</v>
      </c>
      <c r="H2428" s="507">
        <v>2.0</v>
      </c>
      <c r="I2428" s="507">
        <v>1770.0</v>
      </c>
      <c r="J2428" s="507">
        <v>19.0</v>
      </c>
      <c r="K2428" s="507">
        <v>350.0</v>
      </c>
      <c r="L2428" s="266" t="s">
        <v>3460</v>
      </c>
      <c r="M2428" s="507" t="s">
        <v>166</v>
      </c>
      <c r="N2428" s="507">
        <v>3.0</v>
      </c>
      <c r="O2428" s="507">
        <v>3.0</v>
      </c>
      <c r="P2428" s="507" t="s">
        <v>166</v>
      </c>
      <c r="Q2428" s="507" t="s">
        <v>166</v>
      </c>
      <c r="R2428" s="507" t="s">
        <v>174</v>
      </c>
      <c r="S2428" s="497" t="s">
        <v>166</v>
      </c>
      <c r="T2428" s="504"/>
    </row>
    <row r="2429">
      <c r="A2429" s="504" t="s">
        <v>3401</v>
      </c>
      <c r="B2429" s="505" t="s">
        <v>4422</v>
      </c>
      <c r="C2429" s="174" t="str">
        <f t="shared" si="354"/>
        <v>Gigabyte</v>
      </c>
      <c r="D2429" s="544" t="s">
        <v>3748</v>
      </c>
      <c r="E2429" s="507">
        <v>252.0</v>
      </c>
      <c r="F2429" s="507">
        <v>163.0</v>
      </c>
      <c r="G2429" s="507">
        <v>29.0</v>
      </c>
      <c r="H2429" s="507">
        <v>2.0</v>
      </c>
      <c r="I2429" s="507">
        <v>1770.0</v>
      </c>
      <c r="J2429" s="507">
        <v>19.0</v>
      </c>
      <c r="K2429" s="507">
        <v>370.0</v>
      </c>
      <c r="L2429" s="266" t="s">
        <v>3460</v>
      </c>
      <c r="M2429" s="507" t="s">
        <v>166</v>
      </c>
      <c r="N2429" s="507">
        <v>3.0</v>
      </c>
      <c r="O2429" s="507">
        <v>3.0</v>
      </c>
      <c r="P2429" s="507" t="s">
        <v>166</v>
      </c>
      <c r="Q2429" s="507" t="s">
        <v>166</v>
      </c>
      <c r="R2429" s="507" t="s">
        <v>174</v>
      </c>
      <c r="S2429" s="497" t="s">
        <v>166</v>
      </c>
      <c r="T2429" s="504"/>
    </row>
    <row r="2430">
      <c r="A2430" s="504" t="s">
        <v>3401</v>
      </c>
      <c r="B2430" s="505" t="s">
        <v>4422</v>
      </c>
      <c r="C2430" s="452" t="str">
        <f t="shared" ref="C2430:C2435" si="355">HYPERLINK("http://www.inno3d.com/","Inno3D")</f>
        <v>Inno3D</v>
      </c>
      <c r="D2430" s="544" t="s">
        <v>351</v>
      </c>
      <c r="E2430" s="507">
        <v>300.0</v>
      </c>
      <c r="F2430" s="507">
        <v>112.0</v>
      </c>
      <c r="G2430" s="507">
        <v>40.0</v>
      </c>
      <c r="H2430" s="507">
        <v>2.0</v>
      </c>
      <c r="I2430" s="507">
        <v>1665.0</v>
      </c>
      <c r="J2430" s="507">
        <v>19.0</v>
      </c>
      <c r="K2430" s="507">
        <v>350.0</v>
      </c>
      <c r="L2430" s="266" t="s">
        <v>3460</v>
      </c>
      <c r="M2430" s="507">
        <v>3.0</v>
      </c>
      <c r="N2430" s="507">
        <v>3.0</v>
      </c>
      <c r="O2430" s="507">
        <v>1.0</v>
      </c>
      <c r="P2430" s="507" t="s">
        <v>166</v>
      </c>
      <c r="Q2430" s="507" t="s">
        <v>166</v>
      </c>
      <c r="R2430" s="266" t="s">
        <v>166</v>
      </c>
      <c r="S2430" s="497" t="s">
        <v>166</v>
      </c>
      <c r="T2430" s="509"/>
    </row>
    <row r="2431">
      <c r="A2431" s="504" t="s">
        <v>3401</v>
      </c>
      <c r="B2431" s="505" t="s">
        <v>4422</v>
      </c>
      <c r="C2431" s="452" t="str">
        <f t="shared" si="355"/>
        <v>Inno3D</v>
      </c>
      <c r="D2431" s="544" t="s">
        <v>4347</v>
      </c>
      <c r="E2431" s="507">
        <v>300.0</v>
      </c>
      <c r="F2431" s="507">
        <v>112.0</v>
      </c>
      <c r="G2431" s="507">
        <v>40.0</v>
      </c>
      <c r="H2431" s="507">
        <v>2.0</v>
      </c>
      <c r="I2431" s="507">
        <v>1680.0</v>
      </c>
      <c r="J2431" s="507">
        <v>19.0</v>
      </c>
      <c r="K2431" s="507">
        <v>350.0</v>
      </c>
      <c r="L2431" s="266" t="s">
        <v>3460</v>
      </c>
      <c r="M2431" s="507">
        <v>3.0</v>
      </c>
      <c r="N2431" s="507">
        <v>3.0</v>
      </c>
      <c r="O2431" s="507">
        <v>1.0</v>
      </c>
      <c r="P2431" s="507" t="s">
        <v>166</v>
      </c>
      <c r="Q2431" s="507" t="s">
        <v>166</v>
      </c>
      <c r="R2431" s="266" t="s">
        <v>166</v>
      </c>
      <c r="S2431" s="497" t="s">
        <v>166</v>
      </c>
      <c r="T2431" s="509"/>
    </row>
    <row r="2432">
      <c r="A2432" s="504" t="s">
        <v>3401</v>
      </c>
      <c r="B2432" s="505" t="s">
        <v>4422</v>
      </c>
      <c r="C2432" s="452" t="str">
        <f t="shared" si="355"/>
        <v>Inno3D</v>
      </c>
      <c r="D2432" s="544" t="s">
        <v>3921</v>
      </c>
      <c r="E2432" s="507">
        <v>300.0</v>
      </c>
      <c r="F2432" s="507">
        <v>135.0</v>
      </c>
      <c r="G2432" s="507">
        <v>60.0</v>
      </c>
      <c r="H2432" s="507">
        <v>2.0</v>
      </c>
      <c r="I2432" s="507">
        <v>1710.0</v>
      </c>
      <c r="J2432" s="507">
        <v>19.0</v>
      </c>
      <c r="K2432" s="507">
        <v>350.0</v>
      </c>
      <c r="L2432" s="266" t="s">
        <v>3460</v>
      </c>
      <c r="M2432" s="507">
        <v>3.0</v>
      </c>
      <c r="N2432" s="507">
        <v>3.0</v>
      </c>
      <c r="O2432" s="507">
        <v>1.0</v>
      </c>
      <c r="P2432" s="507" t="s">
        <v>166</v>
      </c>
      <c r="Q2432" s="507" t="s">
        <v>166</v>
      </c>
      <c r="R2432" s="266" t="s">
        <v>166</v>
      </c>
      <c r="S2432" s="497" t="s">
        <v>166</v>
      </c>
      <c r="T2432" s="509"/>
    </row>
    <row r="2433">
      <c r="A2433" s="504" t="s">
        <v>3401</v>
      </c>
      <c r="B2433" s="505" t="s">
        <v>4422</v>
      </c>
      <c r="C2433" s="452" t="str">
        <f t="shared" si="355"/>
        <v>Inno3D</v>
      </c>
      <c r="D2433" s="544" t="s">
        <v>4304</v>
      </c>
      <c r="E2433" s="507">
        <v>300.0</v>
      </c>
      <c r="F2433" s="507">
        <v>135.0</v>
      </c>
      <c r="G2433" s="507">
        <v>60.0</v>
      </c>
      <c r="H2433" s="507">
        <v>2.0</v>
      </c>
      <c r="I2433" s="507">
        <v>1710.0</v>
      </c>
      <c r="J2433" s="507">
        <v>19.0</v>
      </c>
      <c r="K2433" s="507">
        <v>350.0</v>
      </c>
      <c r="L2433" s="266" t="s">
        <v>3460</v>
      </c>
      <c r="M2433" s="507">
        <v>4.0</v>
      </c>
      <c r="N2433" s="507">
        <v>3.0</v>
      </c>
      <c r="O2433" s="507">
        <v>1.0</v>
      </c>
      <c r="P2433" s="507" t="s">
        <v>166</v>
      </c>
      <c r="Q2433" s="507" t="s">
        <v>166</v>
      </c>
      <c r="R2433" s="266" t="s">
        <v>166</v>
      </c>
      <c r="S2433" s="497" t="s">
        <v>166</v>
      </c>
      <c r="T2433" s="509"/>
    </row>
    <row r="2434">
      <c r="A2434" s="504" t="s">
        <v>3401</v>
      </c>
      <c r="B2434" s="505" t="s">
        <v>4422</v>
      </c>
      <c r="C2434" s="452" t="str">
        <f t="shared" si="355"/>
        <v>Inno3D</v>
      </c>
      <c r="D2434" s="544" t="s">
        <v>3992</v>
      </c>
      <c r="E2434" s="507">
        <v>226.0</v>
      </c>
      <c r="F2434" s="507">
        <v>119.0</v>
      </c>
      <c r="G2434" s="507">
        <v>40.0</v>
      </c>
      <c r="H2434" s="507">
        <v>2.0</v>
      </c>
      <c r="I2434" s="507">
        <v>1710.0</v>
      </c>
      <c r="J2434" s="507">
        <v>19.0</v>
      </c>
      <c r="K2434" s="507">
        <v>350.0</v>
      </c>
      <c r="L2434" s="266" t="s">
        <v>3460</v>
      </c>
      <c r="M2434" s="507">
        <v>1.0</v>
      </c>
      <c r="N2434" s="507">
        <v>3.0</v>
      </c>
      <c r="O2434" s="507">
        <v>1.0</v>
      </c>
      <c r="P2434" s="507" t="s">
        <v>166</v>
      </c>
      <c r="Q2434" s="507" t="s">
        <v>166</v>
      </c>
      <c r="R2434" s="507" t="s">
        <v>174</v>
      </c>
      <c r="S2434" s="497" t="s">
        <v>166</v>
      </c>
      <c r="T2434" s="504"/>
    </row>
    <row r="2435">
      <c r="A2435" s="504" t="s">
        <v>3401</v>
      </c>
      <c r="B2435" s="505" t="s">
        <v>4422</v>
      </c>
      <c r="C2435" s="452" t="str">
        <f t="shared" si="355"/>
        <v>Inno3D</v>
      </c>
      <c r="D2435" s="544" t="s">
        <v>3618</v>
      </c>
      <c r="E2435" s="507">
        <v>226.0</v>
      </c>
      <c r="F2435" s="507">
        <v>135.0</v>
      </c>
      <c r="G2435" s="507">
        <v>30.0</v>
      </c>
      <c r="H2435" s="507">
        <v>2.0</v>
      </c>
      <c r="I2435" s="507">
        <v>1710.0</v>
      </c>
      <c r="J2435" s="507">
        <v>19.0</v>
      </c>
      <c r="K2435" s="507">
        <v>350.0</v>
      </c>
      <c r="L2435" s="266" t="s">
        <v>3460</v>
      </c>
      <c r="M2435" s="507" t="s">
        <v>166</v>
      </c>
      <c r="N2435" s="507">
        <v>3.0</v>
      </c>
      <c r="O2435" s="507">
        <v>1.0</v>
      </c>
      <c r="P2435" s="507" t="s">
        <v>166</v>
      </c>
      <c r="Q2435" s="507" t="s">
        <v>166</v>
      </c>
      <c r="R2435" s="507" t="s">
        <v>174</v>
      </c>
      <c r="S2435" s="497" t="s">
        <v>166</v>
      </c>
      <c r="T2435" s="504"/>
    </row>
    <row r="2436">
      <c r="A2436" s="504" t="s">
        <v>3401</v>
      </c>
      <c r="B2436" s="505" t="s">
        <v>4422</v>
      </c>
      <c r="C2436" s="452" t="s">
        <v>3538</v>
      </c>
      <c r="D2436" s="544" t="s">
        <v>3600</v>
      </c>
      <c r="E2436" s="507">
        <v>323.0</v>
      </c>
      <c r="F2436" s="507">
        <v>122.0</v>
      </c>
      <c r="G2436" s="507">
        <v>63.0</v>
      </c>
      <c r="H2436" s="507">
        <v>2.0</v>
      </c>
      <c r="I2436" s="507">
        <v>1665.0</v>
      </c>
      <c r="J2436" s="507">
        <v>19.0</v>
      </c>
      <c r="K2436" s="507">
        <v>350.0</v>
      </c>
      <c r="L2436" s="266" t="s">
        <v>3460</v>
      </c>
      <c r="M2436" s="507">
        <v>3.0</v>
      </c>
      <c r="N2436" s="507">
        <v>3.0</v>
      </c>
      <c r="O2436" s="507">
        <v>1.0</v>
      </c>
      <c r="P2436" s="507" t="s">
        <v>166</v>
      </c>
      <c r="Q2436" s="507" t="s">
        <v>166</v>
      </c>
      <c r="R2436" s="266" t="s">
        <v>166</v>
      </c>
      <c r="S2436" s="497" t="s">
        <v>166</v>
      </c>
      <c r="T2436" s="509"/>
    </row>
    <row r="2437">
      <c r="A2437" s="504" t="s">
        <v>3401</v>
      </c>
      <c r="B2437" s="505" t="s">
        <v>4422</v>
      </c>
      <c r="C2437" s="452" t="str">
        <f t="shared" ref="C2437:C2440" si="356">HYPERLINK("http://manli.com/en","Manli")</f>
        <v>Manli</v>
      </c>
      <c r="D2437" s="544" t="s">
        <v>4426</v>
      </c>
      <c r="E2437" s="507">
        <v>317.0</v>
      </c>
      <c r="F2437" s="507">
        <v>115.0</v>
      </c>
      <c r="G2437" s="507">
        <v>60.0</v>
      </c>
      <c r="H2437" s="507">
        <v>2.0</v>
      </c>
      <c r="I2437" s="507">
        <v>1665.0</v>
      </c>
      <c r="J2437" s="507">
        <v>19.0</v>
      </c>
      <c r="K2437" s="507">
        <v>350.0</v>
      </c>
      <c r="L2437" s="266" t="s">
        <v>3460</v>
      </c>
      <c r="M2437" s="507">
        <v>3.0</v>
      </c>
      <c r="N2437" s="507">
        <v>3.0</v>
      </c>
      <c r="O2437" s="507">
        <v>1.0</v>
      </c>
      <c r="P2437" s="507" t="s">
        <v>166</v>
      </c>
      <c r="Q2437" s="507" t="s">
        <v>166</v>
      </c>
      <c r="R2437" s="266" t="s">
        <v>166</v>
      </c>
      <c r="S2437" s="497" t="s">
        <v>166</v>
      </c>
      <c r="T2437" s="509"/>
    </row>
    <row r="2438">
      <c r="A2438" s="504" t="s">
        <v>3401</v>
      </c>
      <c r="B2438" s="505" t="s">
        <v>4422</v>
      </c>
      <c r="C2438" s="452" t="str">
        <f t="shared" si="356"/>
        <v>Manli</v>
      </c>
      <c r="D2438" s="544" t="s">
        <v>4427</v>
      </c>
      <c r="E2438" s="507">
        <v>317.0</v>
      </c>
      <c r="F2438" s="507">
        <v>115.0</v>
      </c>
      <c r="G2438" s="507">
        <v>60.0</v>
      </c>
      <c r="H2438" s="507">
        <v>2.0</v>
      </c>
      <c r="I2438" s="507">
        <v>1665.0</v>
      </c>
      <c r="J2438" s="507">
        <v>19.0</v>
      </c>
      <c r="K2438" s="507">
        <v>350.0</v>
      </c>
      <c r="L2438" s="266" t="s">
        <v>3460</v>
      </c>
      <c r="M2438" s="507">
        <v>3.0</v>
      </c>
      <c r="N2438" s="507">
        <v>3.0</v>
      </c>
      <c r="O2438" s="507">
        <v>1.0</v>
      </c>
      <c r="P2438" s="507" t="s">
        <v>166</v>
      </c>
      <c r="Q2438" s="507" t="s">
        <v>166</v>
      </c>
      <c r="R2438" s="266" t="s">
        <v>166</v>
      </c>
      <c r="S2438" s="497" t="s">
        <v>166</v>
      </c>
      <c r="T2438" s="509"/>
    </row>
    <row r="2439">
      <c r="A2439" s="504" t="s">
        <v>3401</v>
      </c>
      <c r="B2439" s="505" t="s">
        <v>4422</v>
      </c>
      <c r="C2439" s="452" t="str">
        <f t="shared" si="356"/>
        <v>Manli</v>
      </c>
      <c r="D2439" s="544" t="s">
        <v>4428</v>
      </c>
      <c r="E2439" s="507">
        <v>317.0</v>
      </c>
      <c r="F2439" s="507">
        <v>115.0</v>
      </c>
      <c r="G2439" s="507">
        <v>60.0</v>
      </c>
      <c r="H2439" s="507">
        <v>2.0</v>
      </c>
      <c r="I2439" s="507">
        <v>1680.0</v>
      </c>
      <c r="J2439" s="507">
        <v>19.0</v>
      </c>
      <c r="K2439" s="507">
        <v>350.0</v>
      </c>
      <c r="L2439" s="266" t="s">
        <v>3460</v>
      </c>
      <c r="M2439" s="507">
        <v>3.0</v>
      </c>
      <c r="N2439" s="507">
        <v>3.0</v>
      </c>
      <c r="O2439" s="507">
        <v>1.0</v>
      </c>
      <c r="P2439" s="507" t="s">
        <v>166</v>
      </c>
      <c r="Q2439" s="507" t="s">
        <v>166</v>
      </c>
      <c r="R2439" s="266" t="s">
        <v>166</v>
      </c>
      <c r="S2439" s="497" t="s">
        <v>166</v>
      </c>
      <c r="T2439" s="509"/>
    </row>
    <row r="2440">
      <c r="A2440" s="504" t="s">
        <v>3401</v>
      </c>
      <c r="B2440" s="505" t="s">
        <v>4422</v>
      </c>
      <c r="C2440" s="452" t="str">
        <f t="shared" si="356"/>
        <v>Manli</v>
      </c>
      <c r="D2440" s="544" t="s">
        <v>4393</v>
      </c>
      <c r="E2440" s="507">
        <v>317.0</v>
      </c>
      <c r="F2440" s="507">
        <v>115.0</v>
      </c>
      <c r="G2440" s="507">
        <v>60.0</v>
      </c>
      <c r="H2440" s="507">
        <v>2.0</v>
      </c>
      <c r="I2440" s="507">
        <v>1680.0</v>
      </c>
      <c r="J2440" s="507">
        <v>19.0</v>
      </c>
      <c r="K2440" s="507">
        <v>350.0</v>
      </c>
      <c r="L2440" s="266" t="s">
        <v>3460</v>
      </c>
      <c r="M2440" s="507">
        <v>3.0</v>
      </c>
      <c r="N2440" s="507">
        <v>3.0</v>
      </c>
      <c r="O2440" s="507">
        <v>1.0</v>
      </c>
      <c r="P2440" s="507" t="s">
        <v>166</v>
      </c>
      <c r="Q2440" s="507" t="s">
        <v>166</v>
      </c>
      <c r="R2440" s="266" t="s">
        <v>166</v>
      </c>
      <c r="S2440" s="497" t="s">
        <v>166</v>
      </c>
      <c r="T2440" s="509"/>
    </row>
    <row r="2441">
      <c r="A2441" s="504" t="s">
        <v>3401</v>
      </c>
      <c r="B2441" s="505" t="s">
        <v>4422</v>
      </c>
      <c r="C2441" s="174" t="s">
        <v>3565</v>
      </c>
      <c r="D2441" s="544" t="s">
        <v>4429</v>
      </c>
      <c r="E2441" s="507">
        <v>327.0</v>
      </c>
      <c r="F2441" s="507">
        <v>135.0</v>
      </c>
      <c r="G2441" s="507">
        <v>63.0</v>
      </c>
      <c r="H2441" s="507">
        <v>2.0</v>
      </c>
      <c r="I2441" s="507">
        <v>1710.0</v>
      </c>
      <c r="J2441" s="507">
        <v>19.0</v>
      </c>
      <c r="K2441" s="507">
        <v>350.0</v>
      </c>
      <c r="L2441" s="266" t="s">
        <v>3460</v>
      </c>
      <c r="M2441" s="507">
        <v>3.0</v>
      </c>
      <c r="N2441" s="507">
        <v>3.0</v>
      </c>
      <c r="O2441" s="507">
        <v>1.0</v>
      </c>
      <c r="P2441" s="507" t="s">
        <v>166</v>
      </c>
      <c r="Q2441" s="507" t="s">
        <v>166</v>
      </c>
      <c r="R2441" s="266" t="s">
        <v>166</v>
      </c>
      <c r="S2441" s="497" t="s">
        <v>166</v>
      </c>
      <c r="T2441" s="509"/>
    </row>
    <row r="2442">
      <c r="A2442" s="504" t="s">
        <v>3401</v>
      </c>
      <c r="B2442" s="505" t="s">
        <v>4422</v>
      </c>
      <c r="C2442" s="174" t="str">
        <f t="shared" ref="C2442:C2447" si="357">HYPERLINK("https://www.msi.com/index.php","MSI")</f>
        <v>MSI</v>
      </c>
      <c r="D2442" s="544" t="s">
        <v>4146</v>
      </c>
      <c r="E2442" s="507">
        <v>305.0</v>
      </c>
      <c r="F2442" s="507">
        <v>120.0</v>
      </c>
      <c r="G2442" s="507">
        <v>57.0</v>
      </c>
      <c r="H2442" s="507">
        <v>2.0</v>
      </c>
      <c r="I2442" s="507">
        <v>1665.0</v>
      </c>
      <c r="J2442" s="507">
        <v>19.0</v>
      </c>
      <c r="K2442" s="507">
        <v>350.0</v>
      </c>
      <c r="L2442" s="266" t="s">
        <v>3460</v>
      </c>
      <c r="M2442" s="507">
        <v>3.0</v>
      </c>
      <c r="N2442" s="507">
        <v>3.0</v>
      </c>
      <c r="O2442" s="507">
        <v>1.0</v>
      </c>
      <c r="P2442" s="507" t="s">
        <v>166</v>
      </c>
      <c r="Q2442" s="507" t="s">
        <v>166</v>
      </c>
      <c r="R2442" s="266" t="s">
        <v>166</v>
      </c>
      <c r="S2442" s="497" t="s">
        <v>166</v>
      </c>
      <c r="T2442" s="509"/>
    </row>
    <row r="2443">
      <c r="A2443" s="504" t="s">
        <v>3401</v>
      </c>
      <c r="B2443" s="505" t="s">
        <v>4422</v>
      </c>
      <c r="C2443" s="174" t="str">
        <f t="shared" si="357"/>
        <v>MSI</v>
      </c>
      <c r="D2443" s="544" t="s">
        <v>4147</v>
      </c>
      <c r="E2443" s="507">
        <v>305.0</v>
      </c>
      <c r="F2443" s="507">
        <v>120.0</v>
      </c>
      <c r="G2443" s="507">
        <v>57.0</v>
      </c>
      <c r="H2443" s="507">
        <v>2.0</v>
      </c>
      <c r="I2443" s="507">
        <v>1695.0</v>
      </c>
      <c r="J2443" s="507">
        <v>19.0</v>
      </c>
      <c r="K2443" s="507">
        <v>350.0</v>
      </c>
      <c r="L2443" s="266" t="s">
        <v>3460</v>
      </c>
      <c r="M2443" s="507">
        <v>3.0</v>
      </c>
      <c r="N2443" s="507">
        <v>3.0</v>
      </c>
      <c r="O2443" s="507">
        <v>1.0</v>
      </c>
      <c r="P2443" s="507" t="s">
        <v>166</v>
      </c>
      <c r="Q2443" s="507" t="s">
        <v>166</v>
      </c>
      <c r="R2443" s="266" t="s">
        <v>166</v>
      </c>
      <c r="S2443" s="497" t="s">
        <v>166</v>
      </c>
      <c r="T2443" s="509"/>
    </row>
    <row r="2444">
      <c r="A2444" s="504" t="s">
        <v>3401</v>
      </c>
      <c r="B2444" s="505" t="s">
        <v>4422</v>
      </c>
      <c r="C2444" s="174" t="str">
        <f t="shared" si="357"/>
        <v>MSI</v>
      </c>
      <c r="D2444" s="544" t="s">
        <v>3720</v>
      </c>
      <c r="E2444" s="507">
        <v>324.0</v>
      </c>
      <c r="F2444" s="507">
        <v>140.0</v>
      </c>
      <c r="G2444" s="507">
        <v>56.0</v>
      </c>
      <c r="H2444" s="507">
        <v>2.0</v>
      </c>
      <c r="I2444" s="507">
        <v>1695.0</v>
      </c>
      <c r="J2444" s="507">
        <v>19.0</v>
      </c>
      <c r="K2444" s="507">
        <v>350.0</v>
      </c>
      <c r="L2444" s="507" t="s">
        <v>3734</v>
      </c>
      <c r="M2444" s="507">
        <v>3.0</v>
      </c>
      <c r="N2444" s="507">
        <v>3.0</v>
      </c>
      <c r="O2444" s="507">
        <v>1.0</v>
      </c>
      <c r="P2444" s="507" t="s">
        <v>166</v>
      </c>
      <c r="Q2444" s="507" t="s">
        <v>166</v>
      </c>
      <c r="R2444" s="266" t="s">
        <v>166</v>
      </c>
      <c r="S2444" s="497" t="s">
        <v>166</v>
      </c>
      <c r="T2444" s="509"/>
    </row>
    <row r="2445">
      <c r="A2445" s="504" t="s">
        <v>3401</v>
      </c>
      <c r="B2445" s="505" t="s">
        <v>4422</v>
      </c>
      <c r="C2445" s="174" t="str">
        <f t="shared" si="357"/>
        <v>MSI</v>
      </c>
      <c r="D2445" s="544" t="s">
        <v>3721</v>
      </c>
      <c r="E2445" s="507">
        <v>324.0</v>
      </c>
      <c r="F2445" s="507">
        <v>140.0</v>
      </c>
      <c r="G2445" s="507">
        <v>56.0</v>
      </c>
      <c r="H2445" s="507">
        <v>2.0</v>
      </c>
      <c r="I2445" s="507">
        <v>1770.0</v>
      </c>
      <c r="J2445" s="507">
        <v>19.0</v>
      </c>
      <c r="K2445" s="507">
        <v>350.0</v>
      </c>
      <c r="L2445" s="507" t="s">
        <v>3734</v>
      </c>
      <c r="M2445" s="507">
        <v>3.0</v>
      </c>
      <c r="N2445" s="507">
        <v>3.0</v>
      </c>
      <c r="O2445" s="507">
        <v>1.0</v>
      </c>
      <c r="P2445" s="507" t="s">
        <v>166</v>
      </c>
      <c r="Q2445" s="507" t="s">
        <v>166</v>
      </c>
      <c r="R2445" s="266" t="s">
        <v>166</v>
      </c>
      <c r="S2445" s="497" t="s">
        <v>166</v>
      </c>
      <c r="T2445" s="509"/>
    </row>
    <row r="2446">
      <c r="A2446" s="504" t="s">
        <v>3401</v>
      </c>
      <c r="B2446" s="505" t="s">
        <v>4422</v>
      </c>
      <c r="C2446" s="174" t="str">
        <f t="shared" si="357"/>
        <v>MSI</v>
      </c>
      <c r="D2446" s="544" t="s">
        <v>4316</v>
      </c>
      <c r="E2446" s="507">
        <v>336.0</v>
      </c>
      <c r="F2446" s="507">
        <v>140.0</v>
      </c>
      <c r="G2446" s="507">
        <v>61.0</v>
      </c>
      <c r="H2446" s="507">
        <v>2.0</v>
      </c>
      <c r="I2446" s="507">
        <v>1785.0</v>
      </c>
      <c r="J2446" s="507">
        <v>19.0</v>
      </c>
      <c r="K2446" s="507">
        <v>350.0</v>
      </c>
      <c r="L2446" s="507" t="s">
        <v>3734</v>
      </c>
      <c r="M2446" s="507">
        <v>3.0</v>
      </c>
      <c r="N2446" s="507">
        <v>3.0</v>
      </c>
      <c r="O2446" s="507">
        <v>1.0</v>
      </c>
      <c r="P2446" s="507" t="s">
        <v>166</v>
      </c>
      <c r="Q2446" s="507" t="s">
        <v>166</v>
      </c>
      <c r="R2446" s="266" t="s">
        <v>166</v>
      </c>
      <c r="S2446" s="497" t="s">
        <v>166</v>
      </c>
      <c r="T2446" s="509"/>
    </row>
    <row r="2447">
      <c r="A2447" s="504" t="s">
        <v>3401</v>
      </c>
      <c r="B2447" s="505" t="s">
        <v>4422</v>
      </c>
      <c r="C2447" s="174" t="str">
        <f t="shared" si="357"/>
        <v>MSI</v>
      </c>
      <c r="D2447" s="544" t="s">
        <v>4318</v>
      </c>
      <c r="E2447" s="507">
        <v>336.0</v>
      </c>
      <c r="F2447" s="507">
        <v>140.0</v>
      </c>
      <c r="G2447" s="507">
        <v>61.0</v>
      </c>
      <c r="H2447" s="507">
        <v>2.0</v>
      </c>
      <c r="I2447" s="507">
        <v>1845.0</v>
      </c>
      <c r="J2447" s="507">
        <v>19.0</v>
      </c>
      <c r="K2447" s="507">
        <v>400.0</v>
      </c>
      <c r="L2447" s="507" t="s">
        <v>3734</v>
      </c>
      <c r="M2447" s="507">
        <v>3.0</v>
      </c>
      <c r="N2447" s="507">
        <v>3.0</v>
      </c>
      <c r="O2447" s="507">
        <v>1.0</v>
      </c>
      <c r="P2447" s="507" t="s">
        <v>166</v>
      </c>
      <c r="Q2447" s="507" t="s">
        <v>166</v>
      </c>
      <c r="R2447" s="266" t="s">
        <v>166</v>
      </c>
      <c r="S2447" s="497" t="s">
        <v>166</v>
      </c>
      <c r="T2447" s="509"/>
    </row>
    <row r="2448">
      <c r="A2448" s="504" t="s">
        <v>3401</v>
      </c>
      <c r="B2448" s="505" t="s">
        <v>4422</v>
      </c>
      <c r="C2448" s="452" t="str">
        <f>HYPERLINK("https://www.nvidia.com/en-us/","Nvidia")</f>
        <v>Nvidia</v>
      </c>
      <c r="D2448" s="544" t="s">
        <v>3812</v>
      </c>
      <c r="E2448" s="266">
        <v>285.0</v>
      </c>
      <c r="F2448" s="266">
        <v>112.0</v>
      </c>
      <c r="G2448" s="266">
        <v>40.0</v>
      </c>
      <c r="H2448" s="266">
        <v>2.0</v>
      </c>
      <c r="I2448" s="507">
        <v>1665.0</v>
      </c>
      <c r="J2448" s="507">
        <v>19.0</v>
      </c>
      <c r="K2448" s="507">
        <v>350.0</v>
      </c>
      <c r="L2448" s="266">
        <v>12.0</v>
      </c>
      <c r="M2448" s="266">
        <v>2.0</v>
      </c>
      <c r="N2448" s="266">
        <v>3.0</v>
      </c>
      <c r="O2448" s="266">
        <v>1.0</v>
      </c>
      <c r="P2448" s="266" t="s">
        <v>166</v>
      </c>
      <c r="Q2448" s="266" t="s">
        <v>166</v>
      </c>
      <c r="R2448" s="266" t="s">
        <v>166</v>
      </c>
      <c r="S2448" s="497" t="s">
        <v>166</v>
      </c>
      <c r="T2448" s="509"/>
    </row>
    <row r="2449">
      <c r="A2449" s="504" t="s">
        <v>3401</v>
      </c>
      <c r="B2449" s="505" t="s">
        <v>4422</v>
      </c>
      <c r="C2449" s="452" t="str">
        <f t="shared" ref="C2449:C2451" si="358">HYPERLINK("http://www.palit.com/palit/index.php?lang=en","Palit")</f>
        <v>Palit</v>
      </c>
      <c r="D2449" s="506" t="s">
        <v>4067</v>
      </c>
      <c r="E2449" s="266">
        <v>294.0</v>
      </c>
      <c r="F2449" s="266">
        <v>112.0</v>
      </c>
      <c r="G2449" s="266">
        <v>60.0</v>
      </c>
      <c r="H2449" s="266">
        <v>2.0</v>
      </c>
      <c r="I2449" s="507">
        <v>1665.0</v>
      </c>
      <c r="J2449" s="507">
        <v>19.0</v>
      </c>
      <c r="K2449" s="507">
        <v>350.0</v>
      </c>
      <c r="L2449" s="507" t="s">
        <v>3460</v>
      </c>
      <c r="M2449" s="266">
        <v>3.0</v>
      </c>
      <c r="N2449" s="266">
        <v>3.0</v>
      </c>
      <c r="O2449" s="266">
        <v>1.0</v>
      </c>
      <c r="P2449" s="266" t="s">
        <v>166</v>
      </c>
      <c r="Q2449" s="266" t="s">
        <v>166</v>
      </c>
      <c r="R2449" s="266" t="s">
        <v>166</v>
      </c>
      <c r="S2449" s="497" t="s">
        <v>166</v>
      </c>
      <c r="T2449" s="509"/>
    </row>
    <row r="2450">
      <c r="A2450" s="504" t="s">
        <v>3401</v>
      </c>
      <c r="B2450" s="505" t="s">
        <v>4422</v>
      </c>
      <c r="C2450" s="452" t="str">
        <f t="shared" si="358"/>
        <v>Palit</v>
      </c>
      <c r="D2450" s="506" t="s">
        <v>4000</v>
      </c>
      <c r="E2450" s="266">
        <v>304.0</v>
      </c>
      <c r="F2450" s="266">
        <v>136.0</v>
      </c>
      <c r="G2450" s="266">
        <v>60.0</v>
      </c>
      <c r="H2450" s="266">
        <v>2.0</v>
      </c>
      <c r="I2450" s="507">
        <v>1665.0</v>
      </c>
      <c r="J2450" s="507">
        <v>19.0</v>
      </c>
      <c r="K2450" s="507">
        <v>350.0</v>
      </c>
      <c r="L2450" s="507" t="s">
        <v>3734</v>
      </c>
      <c r="M2450" s="266">
        <v>3.0</v>
      </c>
      <c r="N2450" s="266">
        <v>3.0</v>
      </c>
      <c r="O2450" s="266">
        <v>1.0</v>
      </c>
      <c r="P2450" s="266" t="s">
        <v>166</v>
      </c>
      <c r="Q2450" s="266" t="s">
        <v>166</v>
      </c>
      <c r="R2450" s="266" t="s">
        <v>166</v>
      </c>
      <c r="S2450" s="497" t="s">
        <v>166</v>
      </c>
      <c r="T2450" s="509"/>
    </row>
    <row r="2451">
      <c r="A2451" s="504" t="s">
        <v>3401</v>
      </c>
      <c r="B2451" s="505" t="s">
        <v>4422</v>
      </c>
      <c r="C2451" s="452" t="str">
        <f t="shared" si="358"/>
        <v>Palit</v>
      </c>
      <c r="D2451" s="506" t="s">
        <v>4324</v>
      </c>
      <c r="E2451" s="266">
        <v>304.0</v>
      </c>
      <c r="F2451" s="266">
        <v>136.0</v>
      </c>
      <c r="G2451" s="266">
        <v>60.0</v>
      </c>
      <c r="H2451" s="266">
        <v>2.0</v>
      </c>
      <c r="I2451" s="507">
        <v>1725.0</v>
      </c>
      <c r="J2451" s="507">
        <v>19.0</v>
      </c>
      <c r="K2451" s="507">
        <v>400.0</v>
      </c>
      <c r="L2451" s="507" t="s">
        <v>3734</v>
      </c>
      <c r="M2451" s="266">
        <v>3.0</v>
      </c>
      <c r="N2451" s="266">
        <v>3.0</v>
      </c>
      <c r="O2451" s="266">
        <v>1.0</v>
      </c>
      <c r="P2451" s="266" t="s">
        <v>166</v>
      </c>
      <c r="Q2451" s="266" t="s">
        <v>166</v>
      </c>
      <c r="R2451" s="266" t="s">
        <v>166</v>
      </c>
      <c r="S2451" s="497" t="s">
        <v>166</v>
      </c>
      <c r="T2451" s="509"/>
    </row>
    <row r="2452">
      <c r="A2452" s="504" t="s">
        <v>3401</v>
      </c>
      <c r="B2452" s="505" t="s">
        <v>4422</v>
      </c>
      <c r="C2452" s="452" t="str">
        <f t="shared" ref="C2452:C2453" si="359">HYPERLINK("https://pny.com/","PNY")</f>
        <v>PNY</v>
      </c>
      <c r="D2452" s="506" t="s">
        <v>4326</v>
      </c>
      <c r="E2452" s="266">
        <v>294.0</v>
      </c>
      <c r="F2452" s="266">
        <v>112.0</v>
      </c>
      <c r="G2452" s="266">
        <v>56.0</v>
      </c>
      <c r="H2452" s="266">
        <v>2.0</v>
      </c>
      <c r="I2452" s="507">
        <v>1665.0</v>
      </c>
      <c r="J2452" s="507">
        <v>19.0</v>
      </c>
      <c r="K2452" s="507">
        <v>350.0</v>
      </c>
      <c r="L2452" s="507" t="s">
        <v>3460</v>
      </c>
      <c r="M2452" s="266">
        <v>3.0</v>
      </c>
      <c r="N2452" s="266">
        <v>3.0</v>
      </c>
      <c r="O2452" s="266">
        <v>1.0</v>
      </c>
      <c r="P2452" s="266" t="s">
        <v>166</v>
      </c>
      <c r="Q2452" s="266" t="s">
        <v>166</v>
      </c>
      <c r="R2452" s="266" t="s">
        <v>166</v>
      </c>
      <c r="S2452" s="497" t="s">
        <v>166</v>
      </c>
      <c r="T2452" s="509"/>
    </row>
    <row r="2453">
      <c r="A2453" s="504" t="s">
        <v>3401</v>
      </c>
      <c r="B2453" s="505" t="s">
        <v>4422</v>
      </c>
      <c r="C2453" s="452" t="str">
        <f t="shared" si="359"/>
        <v>PNY</v>
      </c>
      <c r="D2453" s="506" t="s">
        <v>4353</v>
      </c>
      <c r="E2453" s="266">
        <v>317.0</v>
      </c>
      <c r="F2453" s="266">
        <v>115.0</v>
      </c>
      <c r="G2453" s="266">
        <v>60.0</v>
      </c>
      <c r="H2453" s="266">
        <v>2.0</v>
      </c>
      <c r="I2453" s="507">
        <v>1665.0</v>
      </c>
      <c r="J2453" s="507">
        <v>19.0</v>
      </c>
      <c r="K2453" s="507">
        <v>350.0</v>
      </c>
      <c r="L2453" s="507" t="s">
        <v>3460</v>
      </c>
      <c r="M2453" s="266">
        <v>3.0</v>
      </c>
      <c r="N2453" s="266">
        <v>3.0</v>
      </c>
      <c r="O2453" s="266">
        <v>1.0</v>
      </c>
      <c r="P2453" s="266" t="s">
        <v>166</v>
      </c>
      <c r="Q2453" s="266" t="s">
        <v>166</v>
      </c>
      <c r="R2453" s="266" t="s">
        <v>166</v>
      </c>
      <c r="S2453" s="497" t="s">
        <v>166</v>
      </c>
      <c r="T2453" s="509"/>
    </row>
    <row r="2454">
      <c r="A2454" s="504" t="s">
        <v>3401</v>
      </c>
      <c r="B2454" s="505" t="s">
        <v>4422</v>
      </c>
      <c r="C2454" s="282" t="str">
        <f t="shared" ref="C2454:C2461" si="360">HYPERLINK("http://zotac.com/","ZOTAC")</f>
        <v>ZOTAC</v>
      </c>
      <c r="D2454" s="506" t="s">
        <v>4084</v>
      </c>
      <c r="E2454" s="266">
        <v>311.0</v>
      </c>
      <c r="F2454" s="266">
        <v>118.0</v>
      </c>
      <c r="G2454" s="266">
        <v>61.0</v>
      </c>
      <c r="H2454" s="266">
        <v>2.0</v>
      </c>
      <c r="I2454" s="507">
        <v>1680.0</v>
      </c>
      <c r="J2454" s="507">
        <v>19.0</v>
      </c>
      <c r="K2454" s="507">
        <v>350.0</v>
      </c>
      <c r="L2454" s="507" t="s">
        <v>3460</v>
      </c>
      <c r="M2454" s="266">
        <v>3.0</v>
      </c>
      <c r="N2454" s="266">
        <v>3.0</v>
      </c>
      <c r="O2454" s="266">
        <v>1.0</v>
      </c>
      <c r="P2454" s="266" t="s">
        <v>166</v>
      </c>
      <c r="Q2454" s="266" t="s">
        <v>166</v>
      </c>
      <c r="R2454" s="266" t="s">
        <v>166</v>
      </c>
      <c r="S2454" s="497" t="s">
        <v>166</v>
      </c>
      <c r="T2454" s="509"/>
    </row>
    <row r="2455">
      <c r="A2455" s="504" t="s">
        <v>3401</v>
      </c>
      <c r="B2455" s="505" t="s">
        <v>4422</v>
      </c>
      <c r="C2455" s="282" t="str">
        <f t="shared" si="360"/>
        <v>ZOTAC</v>
      </c>
      <c r="D2455" s="506" t="s">
        <v>4160</v>
      </c>
      <c r="E2455" s="266">
        <v>315.0</v>
      </c>
      <c r="F2455" s="266">
        <v>122.0</v>
      </c>
      <c r="G2455" s="266">
        <v>61.0</v>
      </c>
      <c r="H2455" s="266">
        <v>2.0</v>
      </c>
      <c r="I2455" s="507">
        <v>1695.0</v>
      </c>
      <c r="J2455" s="507">
        <v>19.0</v>
      </c>
      <c r="K2455" s="507">
        <v>350.0</v>
      </c>
      <c r="L2455" s="507" t="s">
        <v>3460</v>
      </c>
      <c r="M2455" s="266">
        <v>3.0</v>
      </c>
      <c r="N2455" s="266">
        <v>3.0</v>
      </c>
      <c r="O2455" s="266">
        <v>1.0</v>
      </c>
      <c r="P2455" s="266" t="s">
        <v>166</v>
      </c>
      <c r="Q2455" s="266" t="s">
        <v>166</v>
      </c>
      <c r="R2455" s="266" t="s">
        <v>166</v>
      </c>
      <c r="S2455" s="497" t="s">
        <v>166</v>
      </c>
      <c r="T2455" s="509"/>
    </row>
    <row r="2456">
      <c r="A2456" s="504" t="s">
        <v>3401</v>
      </c>
      <c r="B2456" s="505" t="s">
        <v>4422</v>
      </c>
      <c r="C2456" s="282" t="str">
        <f t="shared" si="360"/>
        <v>ZOTAC</v>
      </c>
      <c r="D2456" s="506" t="s">
        <v>4251</v>
      </c>
      <c r="E2456" s="266">
        <v>309.0</v>
      </c>
      <c r="F2456" s="266">
        <v>136.0</v>
      </c>
      <c r="G2456" s="266">
        <v>61.0</v>
      </c>
      <c r="H2456" s="266">
        <v>2.0</v>
      </c>
      <c r="I2456" s="507">
        <v>1710.0</v>
      </c>
      <c r="J2456" s="507">
        <v>19.0</v>
      </c>
      <c r="K2456" s="507">
        <v>400.0</v>
      </c>
      <c r="L2456" s="507" t="s">
        <v>3734</v>
      </c>
      <c r="M2456" s="266">
        <v>3.0</v>
      </c>
      <c r="N2456" s="266">
        <v>3.0</v>
      </c>
      <c r="O2456" s="266">
        <v>1.0</v>
      </c>
      <c r="P2456" s="266" t="s">
        <v>166</v>
      </c>
      <c r="Q2456" s="266" t="s">
        <v>166</v>
      </c>
      <c r="R2456" s="266" t="s">
        <v>166</v>
      </c>
      <c r="S2456" s="497" t="s">
        <v>166</v>
      </c>
      <c r="T2456" s="509"/>
    </row>
    <row r="2457">
      <c r="A2457" s="504" t="s">
        <v>3401</v>
      </c>
      <c r="B2457" s="505" t="s">
        <v>4422</v>
      </c>
      <c r="C2457" s="282" t="str">
        <f t="shared" si="360"/>
        <v>ZOTAC</v>
      </c>
      <c r="D2457" s="506" t="s">
        <v>4354</v>
      </c>
      <c r="E2457" s="266">
        <v>317.8</v>
      </c>
      <c r="F2457" s="266">
        <v>120.7</v>
      </c>
      <c r="G2457" s="266">
        <v>63.0</v>
      </c>
      <c r="H2457" s="266">
        <v>2.0</v>
      </c>
      <c r="I2457" s="507">
        <v>1665.0</v>
      </c>
      <c r="J2457" s="266">
        <v>19.5</v>
      </c>
      <c r="K2457" s="507">
        <v>350.0</v>
      </c>
      <c r="L2457" s="507" t="s">
        <v>3460</v>
      </c>
      <c r="M2457" s="266">
        <v>3.0</v>
      </c>
      <c r="N2457" s="266">
        <v>3.0</v>
      </c>
      <c r="O2457" s="266">
        <v>1.0</v>
      </c>
      <c r="P2457" s="266" t="s">
        <v>166</v>
      </c>
      <c r="Q2457" s="266" t="s">
        <v>166</v>
      </c>
      <c r="R2457" s="266" t="s">
        <v>166</v>
      </c>
      <c r="S2457" s="508" t="s">
        <v>166</v>
      </c>
      <c r="T2457" s="509"/>
    </row>
    <row r="2458">
      <c r="A2458" s="504" t="s">
        <v>3401</v>
      </c>
      <c r="B2458" s="505" t="s">
        <v>4422</v>
      </c>
      <c r="C2458" s="282" t="str">
        <f t="shared" si="360"/>
        <v>ZOTAC</v>
      </c>
      <c r="D2458" s="506" t="s">
        <v>4355</v>
      </c>
      <c r="E2458" s="266">
        <v>317.8</v>
      </c>
      <c r="F2458" s="266">
        <v>120.7</v>
      </c>
      <c r="G2458" s="266">
        <v>63.0</v>
      </c>
      <c r="H2458" s="266">
        <v>2.0</v>
      </c>
      <c r="I2458" s="507">
        <v>1695.0</v>
      </c>
      <c r="J2458" s="266">
        <v>19.5</v>
      </c>
      <c r="K2458" s="507">
        <v>350.0</v>
      </c>
      <c r="L2458" s="507" t="s">
        <v>3460</v>
      </c>
      <c r="M2458" s="266">
        <v>3.0</v>
      </c>
      <c r="N2458" s="266">
        <v>3.0</v>
      </c>
      <c r="O2458" s="266">
        <v>1.0</v>
      </c>
      <c r="P2458" s="266" t="s">
        <v>166</v>
      </c>
      <c r="Q2458" s="266" t="s">
        <v>166</v>
      </c>
      <c r="R2458" s="266" t="s">
        <v>166</v>
      </c>
      <c r="S2458" s="508" t="s">
        <v>166</v>
      </c>
      <c r="T2458" s="509"/>
    </row>
    <row r="2459">
      <c r="A2459" s="504" t="s">
        <v>3401</v>
      </c>
      <c r="B2459" s="505" t="s">
        <v>4422</v>
      </c>
      <c r="C2459" s="282" t="str">
        <f t="shared" si="360"/>
        <v>ZOTAC</v>
      </c>
      <c r="D2459" s="506" t="s">
        <v>4335</v>
      </c>
      <c r="E2459" s="266">
        <v>317.8</v>
      </c>
      <c r="F2459" s="266">
        <v>131.8</v>
      </c>
      <c r="G2459" s="266">
        <v>64.6</v>
      </c>
      <c r="H2459" s="266">
        <v>2.0</v>
      </c>
      <c r="I2459" s="507">
        <v>1710.0</v>
      </c>
      <c r="J2459" s="266">
        <v>19.5</v>
      </c>
      <c r="K2459" s="507">
        <v>350.0</v>
      </c>
      <c r="L2459" s="507" t="s">
        <v>3460</v>
      </c>
      <c r="M2459" s="266">
        <v>3.0</v>
      </c>
      <c r="N2459" s="266">
        <v>3.0</v>
      </c>
      <c r="O2459" s="266">
        <v>1.0</v>
      </c>
      <c r="P2459" s="266" t="s">
        <v>166</v>
      </c>
      <c r="Q2459" s="266" t="s">
        <v>166</v>
      </c>
      <c r="R2459" s="266" t="s">
        <v>166</v>
      </c>
      <c r="S2459" s="508" t="s">
        <v>166</v>
      </c>
      <c r="T2459" s="509"/>
    </row>
    <row r="2460">
      <c r="A2460" s="504" t="s">
        <v>3401</v>
      </c>
      <c r="B2460" s="505" t="s">
        <v>4422</v>
      </c>
      <c r="C2460" s="282" t="str">
        <f t="shared" si="360"/>
        <v>ZOTAC</v>
      </c>
      <c r="D2460" s="506" t="s">
        <v>4356</v>
      </c>
      <c r="E2460" s="266">
        <v>352.9</v>
      </c>
      <c r="F2460" s="266">
        <v>144.7</v>
      </c>
      <c r="G2460" s="266">
        <v>59.7</v>
      </c>
      <c r="H2460" s="266">
        <v>2.0</v>
      </c>
      <c r="I2460" s="507">
        <v>1785.0</v>
      </c>
      <c r="J2460" s="266">
        <v>19.5</v>
      </c>
      <c r="K2460" s="507">
        <v>400.0</v>
      </c>
      <c r="L2460" s="507" t="s">
        <v>3734</v>
      </c>
      <c r="M2460" s="266">
        <v>3.0</v>
      </c>
      <c r="N2460" s="266">
        <v>3.0</v>
      </c>
      <c r="O2460" s="266">
        <v>1.0</v>
      </c>
      <c r="P2460" s="266" t="s">
        <v>166</v>
      </c>
      <c r="Q2460" s="266" t="s">
        <v>166</v>
      </c>
      <c r="R2460" s="266" t="s">
        <v>166</v>
      </c>
      <c r="S2460" s="508" t="s">
        <v>166</v>
      </c>
      <c r="T2460" s="509"/>
    </row>
    <row r="2461">
      <c r="A2461" s="538" t="s">
        <v>3401</v>
      </c>
      <c r="B2461" s="539" t="s">
        <v>4422</v>
      </c>
      <c r="C2461" s="290" t="str">
        <f t="shared" si="360"/>
        <v>ZOTAC</v>
      </c>
      <c r="D2461" s="391" t="s">
        <v>3868</v>
      </c>
      <c r="E2461" s="501">
        <v>301.3</v>
      </c>
      <c r="F2461" s="501">
        <v>159.6</v>
      </c>
      <c r="G2461" s="501">
        <v>29.2</v>
      </c>
      <c r="H2461" s="501">
        <v>2.0</v>
      </c>
      <c r="I2461" s="519">
        <v>1665.0</v>
      </c>
      <c r="J2461" s="501">
        <v>19.5</v>
      </c>
      <c r="K2461" s="519">
        <v>350.0</v>
      </c>
      <c r="L2461" s="519" t="s">
        <v>3734</v>
      </c>
      <c r="M2461" s="501" t="s">
        <v>166</v>
      </c>
      <c r="N2461" s="501">
        <v>3.0</v>
      </c>
      <c r="O2461" s="501">
        <v>1.0</v>
      </c>
      <c r="P2461" s="501" t="s">
        <v>166</v>
      </c>
      <c r="Q2461" s="501" t="s">
        <v>166</v>
      </c>
      <c r="R2461" s="519" t="s">
        <v>174</v>
      </c>
      <c r="S2461" s="519" t="s">
        <v>166</v>
      </c>
      <c r="T2461" s="538"/>
    </row>
    <row r="2462">
      <c r="A2462" s="504" t="s">
        <v>3401</v>
      </c>
      <c r="B2462" s="505" t="s">
        <v>4430</v>
      </c>
      <c r="C2462" s="282" t="s">
        <v>3467</v>
      </c>
      <c r="D2462" s="506" t="s">
        <v>3884</v>
      </c>
      <c r="E2462" s="507">
        <v>315.0</v>
      </c>
      <c r="F2462" s="507">
        <v>114.0</v>
      </c>
      <c r="G2462" s="507">
        <v>56.0</v>
      </c>
      <c r="H2462" s="507">
        <v>2.0</v>
      </c>
      <c r="I2462" s="507">
        <v>1695.0</v>
      </c>
      <c r="J2462" s="507">
        <v>19.5</v>
      </c>
      <c r="K2462" s="507">
        <v>350.0</v>
      </c>
      <c r="L2462" s="507" t="s">
        <v>3460</v>
      </c>
      <c r="M2462" s="507">
        <v>3.0</v>
      </c>
      <c r="N2462" s="507">
        <v>3.0</v>
      </c>
      <c r="O2462" s="507">
        <v>1.0</v>
      </c>
      <c r="P2462" s="507" t="s">
        <v>166</v>
      </c>
      <c r="Q2462" s="507" t="s">
        <v>166</v>
      </c>
      <c r="R2462" s="266" t="s">
        <v>166</v>
      </c>
      <c r="S2462" s="508" t="s">
        <v>166</v>
      </c>
      <c r="T2462" s="509"/>
    </row>
    <row r="2463">
      <c r="A2463" s="504" t="s">
        <v>3401</v>
      </c>
      <c r="B2463" s="505" t="s">
        <v>4430</v>
      </c>
      <c r="C2463" s="282" t="str">
        <f t="shared" ref="C2463:C2472" si="361">HYPERLINK("https://www.asus.com/","Asus")</f>
        <v>Asus</v>
      </c>
      <c r="D2463" s="641" t="s">
        <v>3810</v>
      </c>
      <c r="E2463" s="507">
        <v>268.0</v>
      </c>
      <c r="F2463" s="507">
        <v>113.0</v>
      </c>
      <c r="G2463" s="507">
        <v>39.0</v>
      </c>
      <c r="H2463" s="507">
        <v>2.0</v>
      </c>
      <c r="I2463" s="507">
        <v>1725.0</v>
      </c>
      <c r="J2463" s="507">
        <v>19.5</v>
      </c>
      <c r="K2463" s="507">
        <v>350.0</v>
      </c>
      <c r="L2463" s="507" t="s">
        <v>3460</v>
      </c>
      <c r="M2463" s="507">
        <v>1.0</v>
      </c>
      <c r="N2463" s="507">
        <v>3.0</v>
      </c>
      <c r="O2463" s="507">
        <v>1.0</v>
      </c>
      <c r="P2463" s="507" t="s">
        <v>166</v>
      </c>
      <c r="Q2463" s="507" t="s">
        <v>166</v>
      </c>
      <c r="R2463" s="266" t="s">
        <v>166</v>
      </c>
      <c r="S2463" s="507" t="s">
        <v>174</v>
      </c>
      <c r="T2463" s="504"/>
    </row>
    <row r="2464">
      <c r="A2464" s="494" t="s">
        <v>3401</v>
      </c>
      <c r="B2464" s="495" t="s">
        <v>4430</v>
      </c>
      <c r="C2464" s="174" t="str">
        <f t="shared" si="361"/>
        <v>Asus</v>
      </c>
      <c r="D2464" s="452" t="s">
        <v>3477</v>
      </c>
      <c r="E2464" s="266">
        <v>301.0</v>
      </c>
      <c r="F2464" s="266">
        <v>143.0</v>
      </c>
      <c r="G2464" s="266">
        <v>54.0</v>
      </c>
      <c r="H2464" s="266">
        <v>2.0</v>
      </c>
      <c r="I2464" s="266">
        <v>1725.0</v>
      </c>
      <c r="J2464" s="266">
        <v>19.5</v>
      </c>
      <c r="K2464" s="266">
        <v>350.0</v>
      </c>
      <c r="L2464" s="266" t="s">
        <v>3460</v>
      </c>
      <c r="M2464" s="266">
        <v>3.0</v>
      </c>
      <c r="N2464" s="266">
        <v>3.0</v>
      </c>
      <c r="O2464" s="266">
        <v>2.0</v>
      </c>
      <c r="P2464" s="266" t="s">
        <v>166</v>
      </c>
      <c r="Q2464" s="266" t="s">
        <v>166</v>
      </c>
      <c r="R2464" s="266" t="s">
        <v>166</v>
      </c>
      <c r="S2464" s="497" t="s">
        <v>166</v>
      </c>
      <c r="T2464" s="496"/>
    </row>
    <row r="2465">
      <c r="A2465" s="494" t="s">
        <v>3401</v>
      </c>
      <c r="B2465" s="495" t="s">
        <v>4430</v>
      </c>
      <c r="C2465" s="174" t="str">
        <f t="shared" si="361"/>
        <v>Asus</v>
      </c>
      <c r="D2465" s="537" t="s">
        <v>3478</v>
      </c>
      <c r="E2465" s="266">
        <v>301.0</v>
      </c>
      <c r="F2465" s="266">
        <v>143.0</v>
      </c>
      <c r="G2465" s="266">
        <v>54.0</v>
      </c>
      <c r="H2465" s="266">
        <v>2.0</v>
      </c>
      <c r="I2465" s="266">
        <v>1770.0</v>
      </c>
      <c r="J2465" s="266">
        <v>19.5</v>
      </c>
      <c r="K2465" s="266">
        <v>350.0</v>
      </c>
      <c r="L2465" s="266" t="s">
        <v>3460</v>
      </c>
      <c r="M2465" s="266">
        <v>3.0</v>
      </c>
      <c r="N2465" s="266">
        <v>3.0</v>
      </c>
      <c r="O2465" s="266">
        <v>2.0</v>
      </c>
      <c r="P2465" s="266" t="s">
        <v>166</v>
      </c>
      <c r="Q2465" s="266" t="s">
        <v>166</v>
      </c>
      <c r="R2465" s="266" t="s">
        <v>166</v>
      </c>
      <c r="S2465" s="497" t="s">
        <v>166</v>
      </c>
      <c r="T2465" s="494"/>
    </row>
    <row r="2466">
      <c r="A2466" s="494" t="s">
        <v>3401</v>
      </c>
      <c r="B2466" s="495" t="s">
        <v>4430</v>
      </c>
      <c r="C2466" s="174" t="str">
        <f t="shared" si="361"/>
        <v>Asus</v>
      </c>
      <c r="D2466" s="452" t="s">
        <v>3631</v>
      </c>
      <c r="E2466" s="266">
        <v>318.5</v>
      </c>
      <c r="F2466" s="266">
        <v>140.1</v>
      </c>
      <c r="G2466" s="266">
        <v>57.8</v>
      </c>
      <c r="H2466" s="266">
        <v>2.0</v>
      </c>
      <c r="I2466" s="266">
        <v>1725.0</v>
      </c>
      <c r="J2466" s="266">
        <v>19.5</v>
      </c>
      <c r="K2466" s="266">
        <v>350.0</v>
      </c>
      <c r="L2466" s="266" t="s">
        <v>3734</v>
      </c>
      <c r="M2466" s="266">
        <v>3.0</v>
      </c>
      <c r="N2466" s="266">
        <v>3.0</v>
      </c>
      <c r="O2466" s="266">
        <v>2.0</v>
      </c>
      <c r="P2466" s="266" t="s">
        <v>166</v>
      </c>
      <c r="Q2466" s="266" t="s">
        <v>166</v>
      </c>
      <c r="R2466" s="266" t="s">
        <v>166</v>
      </c>
      <c r="S2466" s="497" t="s">
        <v>166</v>
      </c>
      <c r="T2466" s="496"/>
    </row>
    <row r="2467">
      <c r="A2467" s="494" t="s">
        <v>3401</v>
      </c>
      <c r="B2467" s="495" t="s">
        <v>4430</v>
      </c>
      <c r="C2467" s="174" t="str">
        <f t="shared" si="361"/>
        <v>Asus</v>
      </c>
      <c r="D2467" s="452" t="s">
        <v>3643</v>
      </c>
      <c r="E2467" s="266">
        <v>318.5</v>
      </c>
      <c r="F2467" s="266">
        <v>140.1</v>
      </c>
      <c r="G2467" s="266">
        <v>57.8</v>
      </c>
      <c r="H2467" s="266">
        <v>2.0</v>
      </c>
      <c r="I2467" s="266">
        <v>1890.0</v>
      </c>
      <c r="J2467" s="266">
        <v>19.5</v>
      </c>
      <c r="K2467" s="266">
        <v>390.0</v>
      </c>
      <c r="L2467" s="266" t="s">
        <v>3734</v>
      </c>
      <c r="M2467" s="266">
        <v>3.0</v>
      </c>
      <c r="N2467" s="266">
        <v>3.0</v>
      </c>
      <c r="O2467" s="266">
        <v>2.0</v>
      </c>
      <c r="P2467" s="266" t="s">
        <v>166</v>
      </c>
      <c r="Q2467" s="266" t="s">
        <v>166</v>
      </c>
      <c r="R2467" s="266" t="s">
        <v>166</v>
      </c>
      <c r="S2467" s="497" t="s">
        <v>166</v>
      </c>
      <c r="T2467" s="496"/>
    </row>
    <row r="2468">
      <c r="A2468" s="494" t="s">
        <v>3401</v>
      </c>
      <c r="B2468" s="495" t="s">
        <v>4430</v>
      </c>
      <c r="C2468" s="174" t="str">
        <f t="shared" si="361"/>
        <v>Asus</v>
      </c>
      <c r="D2468" s="537" t="s">
        <v>4406</v>
      </c>
      <c r="E2468" s="266">
        <v>318.5</v>
      </c>
      <c r="F2468" s="266">
        <v>140.1</v>
      </c>
      <c r="G2468" s="266">
        <v>57.8</v>
      </c>
      <c r="H2468" s="266">
        <v>2.0</v>
      </c>
      <c r="I2468" s="266">
        <v>1890.0</v>
      </c>
      <c r="J2468" s="266">
        <v>19.5</v>
      </c>
      <c r="K2468" s="266">
        <v>390.0</v>
      </c>
      <c r="L2468" s="266" t="s">
        <v>3734</v>
      </c>
      <c r="M2468" s="266">
        <v>3.0</v>
      </c>
      <c r="N2468" s="266">
        <v>3.0</v>
      </c>
      <c r="O2468" s="266">
        <v>2.0</v>
      </c>
      <c r="P2468" s="266" t="s">
        <v>166</v>
      </c>
      <c r="Q2468" s="266" t="s">
        <v>166</v>
      </c>
      <c r="R2468" s="266" t="s">
        <v>166</v>
      </c>
      <c r="S2468" s="497" t="s">
        <v>166</v>
      </c>
      <c r="T2468" s="494"/>
    </row>
    <row r="2469">
      <c r="A2469" s="494" t="s">
        <v>3401</v>
      </c>
      <c r="B2469" s="495" t="s">
        <v>4430</v>
      </c>
      <c r="C2469" s="174" t="str">
        <f t="shared" si="361"/>
        <v>Asus</v>
      </c>
      <c r="D2469" s="537" t="s">
        <v>4431</v>
      </c>
      <c r="E2469" s="266">
        <v>318.5</v>
      </c>
      <c r="F2469" s="266">
        <v>140.1</v>
      </c>
      <c r="G2469" s="266">
        <v>57.8</v>
      </c>
      <c r="H2469" s="266">
        <v>2.0</v>
      </c>
      <c r="I2469" s="266">
        <v>1890.0</v>
      </c>
      <c r="J2469" s="266">
        <v>19.5</v>
      </c>
      <c r="K2469" s="266">
        <v>390.0</v>
      </c>
      <c r="L2469" s="266" t="s">
        <v>3734</v>
      </c>
      <c r="M2469" s="266">
        <v>3.0</v>
      </c>
      <c r="N2469" s="266">
        <v>3.0</v>
      </c>
      <c r="O2469" s="266">
        <v>2.0</v>
      </c>
      <c r="P2469" s="266" t="s">
        <v>166</v>
      </c>
      <c r="Q2469" s="266" t="s">
        <v>166</v>
      </c>
      <c r="R2469" s="266" t="s">
        <v>166</v>
      </c>
      <c r="S2469" s="497" t="s">
        <v>166</v>
      </c>
      <c r="T2469" s="494"/>
    </row>
    <row r="2470">
      <c r="A2470" s="494" t="s">
        <v>3401</v>
      </c>
      <c r="B2470" s="495" t="s">
        <v>4430</v>
      </c>
      <c r="C2470" s="174" t="str">
        <f t="shared" si="361"/>
        <v>Asus</v>
      </c>
      <c r="D2470" s="537" t="s">
        <v>4269</v>
      </c>
      <c r="E2470" s="266">
        <v>318.5</v>
      </c>
      <c r="F2470" s="266">
        <v>140.1</v>
      </c>
      <c r="G2470" s="266">
        <v>57.8</v>
      </c>
      <c r="H2470" s="266">
        <v>2.0</v>
      </c>
      <c r="I2470" s="266">
        <v>1725.0</v>
      </c>
      <c r="J2470" s="266">
        <v>19.5</v>
      </c>
      <c r="K2470" s="266">
        <v>350.0</v>
      </c>
      <c r="L2470" s="266" t="s">
        <v>3734</v>
      </c>
      <c r="M2470" s="266">
        <v>3.0</v>
      </c>
      <c r="N2470" s="266">
        <v>3.0</v>
      </c>
      <c r="O2470" s="266">
        <v>2.0</v>
      </c>
      <c r="P2470" s="266" t="s">
        <v>166</v>
      </c>
      <c r="Q2470" s="266" t="s">
        <v>166</v>
      </c>
      <c r="R2470" s="266" t="s">
        <v>166</v>
      </c>
      <c r="S2470" s="497" t="s">
        <v>166</v>
      </c>
      <c r="T2470" s="494"/>
    </row>
    <row r="2471">
      <c r="A2471" s="494" t="s">
        <v>3401</v>
      </c>
      <c r="B2471" s="495" t="s">
        <v>4430</v>
      </c>
      <c r="C2471" s="174" t="str">
        <f t="shared" si="361"/>
        <v>Asus</v>
      </c>
      <c r="D2471" s="537" t="s">
        <v>4042</v>
      </c>
      <c r="E2471" s="266">
        <v>318.5</v>
      </c>
      <c r="F2471" s="266">
        <v>140.1</v>
      </c>
      <c r="G2471" s="266">
        <v>57.8</v>
      </c>
      <c r="H2471" s="266">
        <v>2.0</v>
      </c>
      <c r="I2471" s="266">
        <v>1890.0</v>
      </c>
      <c r="J2471" s="266">
        <v>19.5</v>
      </c>
      <c r="K2471" s="266">
        <v>390.0</v>
      </c>
      <c r="L2471" s="266" t="s">
        <v>3734</v>
      </c>
      <c r="M2471" s="266">
        <v>3.0</v>
      </c>
      <c r="N2471" s="266">
        <v>3.0</v>
      </c>
      <c r="O2471" s="266">
        <v>2.0</v>
      </c>
      <c r="P2471" s="266" t="s">
        <v>166</v>
      </c>
      <c r="Q2471" s="266" t="s">
        <v>166</v>
      </c>
      <c r="R2471" s="266" t="s">
        <v>166</v>
      </c>
      <c r="S2471" s="497" t="s">
        <v>166</v>
      </c>
      <c r="T2471" s="494"/>
    </row>
    <row r="2472">
      <c r="A2472" s="494" t="s">
        <v>3401</v>
      </c>
      <c r="B2472" s="495" t="s">
        <v>4430</v>
      </c>
      <c r="C2472" s="174" t="str">
        <f t="shared" si="361"/>
        <v>Asus</v>
      </c>
      <c r="D2472" s="452" t="s">
        <v>2303</v>
      </c>
      <c r="E2472" s="266">
        <v>216.0</v>
      </c>
      <c r="F2472" s="266">
        <v>136.2</v>
      </c>
      <c r="G2472" s="266">
        <v>19.8</v>
      </c>
      <c r="H2472" s="266">
        <v>1.0</v>
      </c>
      <c r="I2472" s="266">
        <v>1725.0</v>
      </c>
      <c r="J2472" s="266">
        <v>19.5</v>
      </c>
      <c r="K2472" s="266">
        <v>350.0</v>
      </c>
      <c r="L2472" s="266" t="s">
        <v>3460</v>
      </c>
      <c r="M2472" s="266" t="s">
        <v>166</v>
      </c>
      <c r="N2472" s="266">
        <v>3.0</v>
      </c>
      <c r="O2472" s="266">
        <v>1.0</v>
      </c>
      <c r="P2472" s="266" t="s">
        <v>166</v>
      </c>
      <c r="Q2472" s="266" t="s">
        <v>166</v>
      </c>
      <c r="R2472" s="266" t="s">
        <v>174</v>
      </c>
      <c r="S2472" s="497" t="s">
        <v>166</v>
      </c>
      <c r="T2472" s="494"/>
    </row>
    <row r="2473">
      <c r="A2473" s="494" t="s">
        <v>3401</v>
      </c>
      <c r="B2473" s="495" t="s">
        <v>4430</v>
      </c>
      <c r="C2473" s="452" t="s">
        <v>3575</v>
      </c>
      <c r="D2473" s="537" t="s">
        <v>3870</v>
      </c>
      <c r="E2473" s="266">
        <f>310-12</f>
        <v>298</v>
      </c>
      <c r="F2473" s="266">
        <f t="shared" ref="F2473:F2475" si="362">131-15</f>
        <v>116</v>
      </c>
      <c r="G2473" s="266">
        <v>57.0</v>
      </c>
      <c r="H2473" s="266">
        <v>2.0</v>
      </c>
      <c r="I2473" s="266">
        <v>1695.0</v>
      </c>
      <c r="J2473" s="266">
        <v>19.5</v>
      </c>
      <c r="K2473" s="266">
        <v>350.0</v>
      </c>
      <c r="L2473" s="266" t="s">
        <v>3460</v>
      </c>
      <c r="M2473" s="266">
        <v>3.0</v>
      </c>
      <c r="N2473" s="266">
        <v>3.0</v>
      </c>
      <c r="O2473" s="266">
        <v>1.0</v>
      </c>
      <c r="P2473" s="266" t="s">
        <v>166</v>
      </c>
      <c r="Q2473" s="266" t="s">
        <v>166</v>
      </c>
      <c r="R2473" s="266" t="s">
        <v>166</v>
      </c>
      <c r="S2473" s="497" t="s">
        <v>166</v>
      </c>
      <c r="T2473" s="496"/>
    </row>
    <row r="2474">
      <c r="A2474" s="494" t="s">
        <v>3401</v>
      </c>
      <c r="B2474" s="495" t="s">
        <v>4430</v>
      </c>
      <c r="C2474" s="452" t="s">
        <v>3575</v>
      </c>
      <c r="D2474" s="537" t="s">
        <v>4027</v>
      </c>
      <c r="E2474" s="266">
        <f t="shared" ref="E2474:E2475" si="363">315-12</f>
        <v>303</v>
      </c>
      <c r="F2474" s="266">
        <f t="shared" si="362"/>
        <v>116</v>
      </c>
      <c r="G2474" s="266">
        <v>60.0</v>
      </c>
      <c r="H2474" s="266">
        <v>2.0</v>
      </c>
      <c r="I2474" s="266">
        <v>1695.0</v>
      </c>
      <c r="J2474" s="266">
        <v>19.5</v>
      </c>
      <c r="K2474" s="266">
        <v>350.0</v>
      </c>
      <c r="L2474" s="266" t="s">
        <v>3734</v>
      </c>
      <c r="M2474" s="266">
        <v>3.0</v>
      </c>
      <c r="N2474" s="266">
        <v>3.0</v>
      </c>
      <c r="O2474" s="266">
        <v>1.0</v>
      </c>
      <c r="P2474" s="266" t="s">
        <v>166</v>
      </c>
      <c r="Q2474" s="266" t="s">
        <v>166</v>
      </c>
      <c r="R2474" s="266" t="s">
        <v>166</v>
      </c>
      <c r="S2474" s="497" t="s">
        <v>166</v>
      </c>
      <c r="T2474" s="496"/>
    </row>
    <row r="2475">
      <c r="A2475" s="494" t="s">
        <v>3401</v>
      </c>
      <c r="B2475" s="495" t="s">
        <v>4430</v>
      </c>
      <c r="C2475" s="452" t="s">
        <v>3575</v>
      </c>
      <c r="D2475" s="537" t="s">
        <v>3889</v>
      </c>
      <c r="E2475" s="266">
        <f t="shared" si="363"/>
        <v>303</v>
      </c>
      <c r="F2475" s="266">
        <f t="shared" si="362"/>
        <v>116</v>
      </c>
      <c r="G2475" s="266">
        <v>60.0</v>
      </c>
      <c r="H2475" s="266">
        <v>2.0</v>
      </c>
      <c r="I2475" s="266">
        <v>1755.0</v>
      </c>
      <c r="J2475" s="266">
        <v>19.5</v>
      </c>
      <c r="K2475" s="266">
        <v>370.0</v>
      </c>
      <c r="L2475" s="266" t="s">
        <v>3734</v>
      </c>
      <c r="M2475" s="266">
        <v>3.0</v>
      </c>
      <c r="N2475" s="266">
        <v>3.0</v>
      </c>
      <c r="O2475" s="266">
        <v>1.0</v>
      </c>
      <c r="P2475" s="266" t="s">
        <v>166</v>
      </c>
      <c r="Q2475" s="266" t="s">
        <v>166</v>
      </c>
      <c r="R2475" s="266" t="s">
        <v>166</v>
      </c>
      <c r="S2475" s="497" t="s">
        <v>166</v>
      </c>
      <c r="T2475" s="496"/>
    </row>
    <row r="2476">
      <c r="A2476" s="494" t="s">
        <v>3401</v>
      </c>
      <c r="B2476" s="495" t="s">
        <v>4430</v>
      </c>
      <c r="C2476" s="452" t="s">
        <v>3575</v>
      </c>
      <c r="D2476" s="537" t="s">
        <v>4173</v>
      </c>
      <c r="E2476" s="266">
        <f t="shared" ref="E2476:E2477" si="364">323-12</f>
        <v>311</v>
      </c>
      <c r="F2476" s="266">
        <f t="shared" ref="F2476:F2477" si="365">158-15</f>
        <v>143</v>
      </c>
      <c r="G2476" s="266">
        <v>60.0</v>
      </c>
      <c r="H2476" s="266">
        <v>2.0</v>
      </c>
      <c r="I2476" s="266">
        <v>1695.0</v>
      </c>
      <c r="J2476" s="266">
        <v>19.5</v>
      </c>
      <c r="K2476" s="266">
        <v>350.0</v>
      </c>
      <c r="L2476" s="266" t="s">
        <v>3734</v>
      </c>
      <c r="M2476" s="266">
        <v>3.0</v>
      </c>
      <c r="N2476" s="266">
        <v>3.0</v>
      </c>
      <c r="O2476" s="266">
        <v>1.0</v>
      </c>
      <c r="P2476" s="266" t="s">
        <v>166</v>
      </c>
      <c r="Q2476" s="266" t="s">
        <v>166</v>
      </c>
      <c r="R2476" s="266" t="s">
        <v>166</v>
      </c>
      <c r="S2476" s="497" t="s">
        <v>166</v>
      </c>
      <c r="T2476" s="496"/>
    </row>
    <row r="2477">
      <c r="A2477" s="494" t="s">
        <v>3401</v>
      </c>
      <c r="B2477" s="495" t="s">
        <v>4430</v>
      </c>
      <c r="C2477" s="452" t="s">
        <v>3575</v>
      </c>
      <c r="D2477" s="537" t="s">
        <v>3943</v>
      </c>
      <c r="E2477" s="266">
        <f t="shared" si="364"/>
        <v>311</v>
      </c>
      <c r="F2477" s="266">
        <f t="shared" si="365"/>
        <v>143</v>
      </c>
      <c r="G2477" s="266">
        <v>60.0</v>
      </c>
      <c r="H2477" s="266">
        <v>2.0</v>
      </c>
      <c r="I2477" s="266">
        <v>1785.0</v>
      </c>
      <c r="J2477" s="266">
        <v>19.5</v>
      </c>
      <c r="K2477" s="266">
        <v>390.0</v>
      </c>
      <c r="L2477" s="266" t="s">
        <v>3734</v>
      </c>
      <c r="M2477" s="266">
        <v>3.0</v>
      </c>
      <c r="N2477" s="266">
        <v>3.0</v>
      </c>
      <c r="O2477" s="266">
        <v>1.0</v>
      </c>
      <c r="P2477" s="266" t="s">
        <v>166</v>
      </c>
      <c r="Q2477" s="266" t="s">
        <v>166</v>
      </c>
      <c r="R2477" s="266" t="s">
        <v>166</v>
      </c>
      <c r="S2477" s="497" t="s">
        <v>166</v>
      </c>
      <c r="T2477" s="496"/>
    </row>
    <row r="2478">
      <c r="A2478" s="494" t="s">
        <v>3401</v>
      </c>
      <c r="B2478" s="495" t="s">
        <v>4430</v>
      </c>
      <c r="C2478" s="452" t="s">
        <v>3575</v>
      </c>
      <c r="D2478" s="537" t="s">
        <v>4057</v>
      </c>
      <c r="E2478" s="266">
        <f t="shared" ref="E2478:E2479" si="366">295-12</f>
        <v>283</v>
      </c>
      <c r="F2478" s="266">
        <f t="shared" ref="F2478:F2479" si="367">150-15</f>
        <v>135</v>
      </c>
      <c r="G2478" s="266">
        <v>42.0</v>
      </c>
      <c r="H2478" s="266">
        <v>2.0</v>
      </c>
      <c r="I2478" s="266">
        <v>1695.0</v>
      </c>
      <c r="J2478" s="266">
        <v>19.5</v>
      </c>
      <c r="K2478" s="266">
        <v>350.0</v>
      </c>
      <c r="L2478" s="266" t="s">
        <v>3734</v>
      </c>
      <c r="M2478" s="266" t="s">
        <v>166</v>
      </c>
      <c r="N2478" s="266">
        <v>3.0</v>
      </c>
      <c r="O2478" s="266">
        <v>1.0</v>
      </c>
      <c r="P2478" s="266" t="s">
        <v>166</v>
      </c>
      <c r="Q2478" s="266" t="s">
        <v>166</v>
      </c>
      <c r="R2478" s="266" t="s">
        <v>174</v>
      </c>
      <c r="S2478" s="497" t="s">
        <v>166</v>
      </c>
      <c r="T2478" s="494"/>
    </row>
    <row r="2479">
      <c r="A2479" s="494" t="s">
        <v>3401</v>
      </c>
      <c r="B2479" s="495" t="s">
        <v>4430</v>
      </c>
      <c r="C2479" s="452" t="s">
        <v>3575</v>
      </c>
      <c r="D2479" s="537" t="s">
        <v>3970</v>
      </c>
      <c r="E2479" s="266">
        <f t="shared" si="366"/>
        <v>283</v>
      </c>
      <c r="F2479" s="266">
        <f t="shared" si="367"/>
        <v>135</v>
      </c>
      <c r="G2479" s="266">
        <v>42.0</v>
      </c>
      <c r="H2479" s="266">
        <v>2.0</v>
      </c>
      <c r="I2479" s="266">
        <v>1755.0</v>
      </c>
      <c r="J2479" s="266">
        <v>19.5</v>
      </c>
      <c r="K2479" s="266">
        <v>370.0</v>
      </c>
      <c r="L2479" s="266" t="s">
        <v>3734</v>
      </c>
      <c r="M2479" s="266" t="s">
        <v>166</v>
      </c>
      <c r="N2479" s="266">
        <v>3.0</v>
      </c>
      <c r="O2479" s="266">
        <v>1.0</v>
      </c>
      <c r="P2479" s="266" t="s">
        <v>166</v>
      </c>
      <c r="Q2479" s="266" t="s">
        <v>166</v>
      </c>
      <c r="R2479" s="266" t="s">
        <v>174</v>
      </c>
      <c r="S2479" s="497" t="s">
        <v>166</v>
      </c>
      <c r="T2479" s="494"/>
    </row>
    <row r="2480">
      <c r="A2480" s="494" t="s">
        <v>3401</v>
      </c>
      <c r="B2480" s="495" t="s">
        <v>4430</v>
      </c>
      <c r="C2480" s="452" t="s">
        <v>3575</v>
      </c>
      <c r="D2480" s="537" t="s">
        <v>3816</v>
      </c>
      <c r="E2480" s="266">
        <f>316-12</f>
        <v>304</v>
      </c>
      <c r="F2480" s="266">
        <f>182-15</f>
        <v>167</v>
      </c>
      <c r="G2480" s="266">
        <v>61.0</v>
      </c>
      <c r="H2480" s="266">
        <v>3.0</v>
      </c>
      <c r="I2480" s="266">
        <v>1860.0</v>
      </c>
      <c r="J2480" s="266">
        <v>19.5</v>
      </c>
      <c r="K2480" s="266">
        <v>420.0</v>
      </c>
      <c r="L2480" s="266" t="s">
        <v>3734</v>
      </c>
      <c r="M2480" s="266">
        <v>3.0</v>
      </c>
      <c r="N2480" s="266">
        <v>3.0</v>
      </c>
      <c r="O2480" s="266">
        <v>1.0</v>
      </c>
      <c r="P2480" s="266" t="s">
        <v>166</v>
      </c>
      <c r="Q2480" s="266" t="s">
        <v>166</v>
      </c>
      <c r="R2480" s="266" t="s">
        <v>174</v>
      </c>
      <c r="S2480" s="497" t="s">
        <v>166</v>
      </c>
      <c r="T2480" s="494"/>
    </row>
    <row r="2481">
      <c r="A2481" s="494" t="s">
        <v>3401</v>
      </c>
      <c r="B2481" s="495" t="s">
        <v>4430</v>
      </c>
      <c r="C2481" s="174" t="s">
        <v>4432</v>
      </c>
      <c r="D2481" s="642" t="s">
        <v>4433</v>
      </c>
      <c r="E2481" s="266">
        <v>262.0</v>
      </c>
      <c r="F2481" s="266">
        <v>121.0</v>
      </c>
      <c r="G2481" s="266">
        <v>51.0</v>
      </c>
      <c r="H2481" s="266">
        <v>2.0</v>
      </c>
      <c r="I2481" s="266">
        <v>1695.0</v>
      </c>
      <c r="J2481" s="266">
        <v>19.5</v>
      </c>
      <c r="K2481" s="266">
        <v>350.0</v>
      </c>
      <c r="L2481" s="266" t="s">
        <v>3460</v>
      </c>
      <c r="M2481" s="266">
        <v>2.0</v>
      </c>
      <c r="N2481" s="266">
        <v>3.0</v>
      </c>
      <c r="O2481" s="266">
        <v>1.0</v>
      </c>
      <c r="P2481" s="266" t="s">
        <v>166</v>
      </c>
      <c r="Q2481" s="266" t="s">
        <v>166</v>
      </c>
      <c r="R2481" s="266" t="s">
        <v>166</v>
      </c>
      <c r="S2481" s="266" t="s">
        <v>166</v>
      </c>
      <c r="T2481" s="496"/>
    </row>
    <row r="2482">
      <c r="A2482" s="494" t="s">
        <v>3401</v>
      </c>
      <c r="B2482" s="495" t="s">
        <v>4430</v>
      </c>
      <c r="C2482" s="174" t="s">
        <v>3405</v>
      </c>
      <c r="D2482" s="537" t="s">
        <v>4272</v>
      </c>
      <c r="E2482" s="266">
        <v>294.0</v>
      </c>
      <c r="F2482" s="266">
        <v>112.0</v>
      </c>
      <c r="G2482" s="266">
        <v>55.0</v>
      </c>
      <c r="H2482" s="266">
        <v>2.0</v>
      </c>
      <c r="I2482" s="266">
        <v>1695.0</v>
      </c>
      <c r="J2482" s="266">
        <v>19.5</v>
      </c>
      <c r="K2482" s="266">
        <v>350.0</v>
      </c>
      <c r="L2482" s="266" t="s">
        <v>3460</v>
      </c>
      <c r="M2482" s="266">
        <v>3.0</v>
      </c>
      <c r="N2482" s="266">
        <v>3.0</v>
      </c>
      <c r="O2482" s="266">
        <v>1.0</v>
      </c>
      <c r="P2482" s="266" t="s">
        <v>166</v>
      </c>
      <c r="Q2482" s="266" t="s">
        <v>166</v>
      </c>
      <c r="R2482" s="266" t="s">
        <v>166</v>
      </c>
      <c r="S2482" s="497" t="s">
        <v>166</v>
      </c>
      <c r="T2482" s="496"/>
    </row>
    <row r="2483">
      <c r="A2483" s="494" t="s">
        <v>3401</v>
      </c>
      <c r="B2483" s="495" t="s">
        <v>4430</v>
      </c>
      <c r="C2483" s="174" t="s">
        <v>3405</v>
      </c>
      <c r="D2483" s="537" t="s">
        <v>4273</v>
      </c>
      <c r="E2483" s="266">
        <v>294.0</v>
      </c>
      <c r="F2483" s="266">
        <v>112.0</v>
      </c>
      <c r="G2483" s="266">
        <v>55.0</v>
      </c>
      <c r="H2483" s="266">
        <v>2.0</v>
      </c>
      <c r="I2483" s="266">
        <v>1725.0</v>
      </c>
      <c r="J2483" s="266">
        <v>19.5</v>
      </c>
      <c r="K2483" s="266">
        <v>350.0</v>
      </c>
      <c r="L2483" s="266" t="s">
        <v>3460</v>
      </c>
      <c r="M2483" s="266">
        <v>3.0</v>
      </c>
      <c r="N2483" s="266">
        <v>3.0</v>
      </c>
      <c r="O2483" s="266">
        <v>1.0</v>
      </c>
      <c r="P2483" s="266" t="s">
        <v>166</v>
      </c>
      <c r="Q2483" s="266" t="s">
        <v>166</v>
      </c>
      <c r="R2483" s="266" t="s">
        <v>166</v>
      </c>
      <c r="S2483" s="497" t="s">
        <v>166</v>
      </c>
      <c r="T2483" s="496"/>
    </row>
    <row r="2484">
      <c r="A2484" s="494" t="s">
        <v>3401</v>
      </c>
      <c r="B2484" s="495" t="s">
        <v>4430</v>
      </c>
      <c r="C2484" s="174" t="s">
        <v>3405</v>
      </c>
      <c r="D2484" s="537" t="s">
        <v>3947</v>
      </c>
      <c r="E2484" s="266">
        <v>304.0</v>
      </c>
      <c r="F2484" s="266">
        <v>136.0</v>
      </c>
      <c r="G2484" s="266">
        <v>60.0</v>
      </c>
      <c r="H2484" s="266">
        <v>2.0</v>
      </c>
      <c r="I2484" s="266">
        <v>1845.0</v>
      </c>
      <c r="J2484" s="266">
        <v>19.5</v>
      </c>
      <c r="K2484" s="266">
        <v>350.0</v>
      </c>
      <c r="L2484" s="266" t="s">
        <v>3734</v>
      </c>
      <c r="M2484" s="266">
        <v>3.0</v>
      </c>
      <c r="N2484" s="266">
        <v>3.0</v>
      </c>
      <c r="O2484" s="266">
        <v>1.0</v>
      </c>
      <c r="P2484" s="266" t="s">
        <v>166</v>
      </c>
      <c r="Q2484" s="266" t="s">
        <v>166</v>
      </c>
      <c r="R2484" s="266" t="s">
        <v>166</v>
      </c>
      <c r="S2484" s="497" t="s">
        <v>166</v>
      </c>
      <c r="T2484" s="496"/>
    </row>
    <row r="2485">
      <c r="A2485" s="494" t="s">
        <v>3401</v>
      </c>
      <c r="B2485" s="495" t="s">
        <v>4430</v>
      </c>
      <c r="C2485" s="174" t="s">
        <v>3405</v>
      </c>
      <c r="D2485" s="537" t="s">
        <v>3950</v>
      </c>
      <c r="E2485" s="266">
        <v>304.0</v>
      </c>
      <c r="F2485" s="266">
        <v>136.0</v>
      </c>
      <c r="G2485" s="266">
        <v>60.0</v>
      </c>
      <c r="H2485" s="266">
        <v>2.0</v>
      </c>
      <c r="I2485" s="266">
        <v>1695.0</v>
      </c>
      <c r="J2485" s="266">
        <v>19.5</v>
      </c>
      <c r="K2485" s="266">
        <v>350.0</v>
      </c>
      <c r="L2485" s="266" t="s">
        <v>3734</v>
      </c>
      <c r="M2485" s="266">
        <v>3.0</v>
      </c>
      <c r="N2485" s="266">
        <v>3.0</v>
      </c>
      <c r="O2485" s="266">
        <v>1.0</v>
      </c>
      <c r="P2485" s="266" t="s">
        <v>166</v>
      </c>
      <c r="Q2485" s="266" t="s">
        <v>166</v>
      </c>
      <c r="R2485" s="266" t="s">
        <v>166</v>
      </c>
      <c r="S2485" s="497" t="s">
        <v>166</v>
      </c>
      <c r="T2485" s="496"/>
    </row>
    <row r="2486">
      <c r="A2486" s="494" t="s">
        <v>3401</v>
      </c>
      <c r="B2486" s="495" t="s">
        <v>4430</v>
      </c>
      <c r="C2486" s="174" t="s">
        <v>3405</v>
      </c>
      <c r="D2486" s="537" t="s">
        <v>3951</v>
      </c>
      <c r="E2486" s="266">
        <v>304.0</v>
      </c>
      <c r="F2486" s="266">
        <v>136.0</v>
      </c>
      <c r="G2486" s="266">
        <v>60.0</v>
      </c>
      <c r="H2486" s="266">
        <v>2.0</v>
      </c>
      <c r="I2486" s="266">
        <v>1845.0</v>
      </c>
      <c r="J2486" s="266">
        <v>19.5</v>
      </c>
      <c r="K2486" s="266">
        <v>350.0</v>
      </c>
      <c r="L2486" s="266" t="s">
        <v>3734</v>
      </c>
      <c r="M2486" s="266">
        <v>3.0</v>
      </c>
      <c r="N2486" s="266">
        <v>3.0</v>
      </c>
      <c r="O2486" s="266">
        <v>1.0</v>
      </c>
      <c r="P2486" s="266" t="s">
        <v>166</v>
      </c>
      <c r="Q2486" s="266" t="s">
        <v>166</v>
      </c>
      <c r="R2486" s="266" t="s">
        <v>166</v>
      </c>
      <c r="S2486" s="497" t="s">
        <v>166</v>
      </c>
      <c r="T2486" s="496"/>
    </row>
    <row r="2487">
      <c r="A2487" s="494" t="s">
        <v>3401</v>
      </c>
      <c r="B2487" s="495" t="s">
        <v>4430</v>
      </c>
      <c r="C2487" s="174" t="str">
        <f t="shared" ref="C2487:C2497" si="368">HYPERLINK("https://www.evga.com/","EVGA")</f>
        <v>EVGA</v>
      </c>
      <c r="D2487" s="537" t="s">
        <v>4411</v>
      </c>
      <c r="E2487" s="266">
        <v>285.37</v>
      </c>
      <c r="F2487" s="266">
        <v>111.15</v>
      </c>
      <c r="G2487" s="266">
        <v>40.9</v>
      </c>
      <c r="H2487" s="266">
        <v>2.0</v>
      </c>
      <c r="I2487" s="266">
        <v>1695.0</v>
      </c>
      <c r="J2487" s="266">
        <v>19.5</v>
      </c>
      <c r="K2487" s="266">
        <v>350.0</v>
      </c>
      <c r="L2487" s="266" t="s">
        <v>3460</v>
      </c>
      <c r="M2487" s="266">
        <v>3.0</v>
      </c>
      <c r="N2487" s="266">
        <v>3.0</v>
      </c>
      <c r="O2487" s="266">
        <v>1.0</v>
      </c>
      <c r="P2487" s="266" t="s">
        <v>166</v>
      </c>
      <c r="Q2487" s="266" t="s">
        <v>166</v>
      </c>
      <c r="R2487" s="266" t="s">
        <v>166</v>
      </c>
      <c r="S2487" s="497" t="s">
        <v>166</v>
      </c>
      <c r="T2487" s="496"/>
    </row>
    <row r="2488">
      <c r="A2488" s="494" t="s">
        <v>3401</v>
      </c>
      <c r="B2488" s="495" t="s">
        <v>4430</v>
      </c>
      <c r="C2488" s="174" t="str">
        <f t="shared" si="368"/>
        <v>EVGA</v>
      </c>
      <c r="D2488" s="537" t="s">
        <v>4279</v>
      </c>
      <c r="E2488" s="266">
        <v>285.37</v>
      </c>
      <c r="F2488" s="266">
        <v>111.15</v>
      </c>
      <c r="G2488" s="266">
        <v>45.9</v>
      </c>
      <c r="H2488" s="266">
        <v>2.0</v>
      </c>
      <c r="I2488" s="266">
        <v>1695.0</v>
      </c>
      <c r="J2488" s="266">
        <v>19.5</v>
      </c>
      <c r="K2488" s="266">
        <v>350.0</v>
      </c>
      <c r="L2488" s="266" t="s">
        <v>3460</v>
      </c>
      <c r="M2488" s="266">
        <v>3.0</v>
      </c>
      <c r="N2488" s="266">
        <v>3.0</v>
      </c>
      <c r="O2488" s="266">
        <v>1.0</v>
      </c>
      <c r="P2488" s="266" t="s">
        <v>166</v>
      </c>
      <c r="Q2488" s="266" t="s">
        <v>166</v>
      </c>
      <c r="R2488" s="266" t="s">
        <v>166</v>
      </c>
      <c r="S2488" s="497" t="s">
        <v>166</v>
      </c>
      <c r="T2488" s="496"/>
    </row>
    <row r="2489">
      <c r="A2489" s="494" t="s">
        <v>3401</v>
      </c>
      <c r="B2489" s="495" t="s">
        <v>4430</v>
      </c>
      <c r="C2489" s="174" t="str">
        <f t="shared" si="368"/>
        <v>EVGA</v>
      </c>
      <c r="D2489" s="537" t="s">
        <v>4340</v>
      </c>
      <c r="E2489" s="266">
        <v>285.37</v>
      </c>
      <c r="F2489" s="266">
        <v>111.15</v>
      </c>
      <c r="G2489" s="266">
        <v>45.9</v>
      </c>
      <c r="H2489" s="266">
        <v>2.0</v>
      </c>
      <c r="I2489" s="266">
        <v>1725.0</v>
      </c>
      <c r="J2489" s="266">
        <v>19.5</v>
      </c>
      <c r="K2489" s="266">
        <v>350.0</v>
      </c>
      <c r="L2489" s="266" t="s">
        <v>3460</v>
      </c>
      <c r="M2489" s="266">
        <v>3.0</v>
      </c>
      <c r="N2489" s="266">
        <v>3.0</v>
      </c>
      <c r="O2489" s="266">
        <v>1.0</v>
      </c>
      <c r="P2489" s="266" t="s">
        <v>166</v>
      </c>
      <c r="Q2489" s="266" t="s">
        <v>166</v>
      </c>
      <c r="R2489" s="266" t="s">
        <v>166</v>
      </c>
      <c r="S2489" s="497" t="s">
        <v>166</v>
      </c>
      <c r="T2489" s="496"/>
    </row>
    <row r="2490">
      <c r="A2490" s="494" t="s">
        <v>3401</v>
      </c>
      <c r="B2490" s="495" t="s">
        <v>4430</v>
      </c>
      <c r="C2490" s="174" t="str">
        <f t="shared" si="368"/>
        <v>EVGA</v>
      </c>
      <c r="D2490" s="537" t="s">
        <v>3823</v>
      </c>
      <c r="E2490" s="266">
        <v>300.0</v>
      </c>
      <c r="F2490" s="266">
        <v>136.75</v>
      </c>
      <c r="G2490" s="266">
        <v>56.35</v>
      </c>
      <c r="H2490" s="266">
        <v>2.0</v>
      </c>
      <c r="I2490" s="266">
        <v>1740.0</v>
      </c>
      <c r="J2490" s="266">
        <v>19.5</v>
      </c>
      <c r="K2490" s="266">
        <v>420.0</v>
      </c>
      <c r="L2490" s="266" t="s">
        <v>3734</v>
      </c>
      <c r="M2490" s="266">
        <v>3.0</v>
      </c>
      <c r="N2490" s="266">
        <v>3.0</v>
      </c>
      <c r="O2490" s="266">
        <v>1.0</v>
      </c>
      <c r="P2490" s="266" t="s">
        <v>166</v>
      </c>
      <c r="Q2490" s="266" t="s">
        <v>166</v>
      </c>
      <c r="R2490" s="266" t="s">
        <v>166</v>
      </c>
      <c r="S2490" s="497" t="s">
        <v>166</v>
      </c>
      <c r="T2490" s="496"/>
    </row>
    <row r="2491">
      <c r="A2491" s="494" t="s">
        <v>3401</v>
      </c>
      <c r="B2491" s="495" t="s">
        <v>4430</v>
      </c>
      <c r="C2491" s="174" t="str">
        <f t="shared" si="368"/>
        <v>EVGA</v>
      </c>
      <c r="D2491" s="537" t="s">
        <v>3979</v>
      </c>
      <c r="E2491" s="266">
        <v>300.0</v>
      </c>
      <c r="F2491" s="266">
        <v>136.75</v>
      </c>
      <c r="G2491" s="266">
        <v>56.35</v>
      </c>
      <c r="H2491" s="266">
        <v>2.0</v>
      </c>
      <c r="I2491" s="266">
        <v>1800.0</v>
      </c>
      <c r="J2491" s="266">
        <v>19.5</v>
      </c>
      <c r="K2491" s="266">
        <v>420.0</v>
      </c>
      <c r="L2491" s="266" t="s">
        <v>3734</v>
      </c>
      <c r="M2491" s="266">
        <v>3.0</v>
      </c>
      <c r="N2491" s="266">
        <v>3.0</v>
      </c>
      <c r="O2491" s="266">
        <v>1.0</v>
      </c>
      <c r="P2491" s="266" t="s">
        <v>166</v>
      </c>
      <c r="Q2491" s="266" t="s">
        <v>166</v>
      </c>
      <c r="R2491" s="266" t="s">
        <v>166</v>
      </c>
      <c r="S2491" s="497" t="s">
        <v>166</v>
      </c>
      <c r="T2491" s="496"/>
    </row>
    <row r="2492">
      <c r="A2492" s="494" t="s">
        <v>3401</v>
      </c>
      <c r="B2492" s="495" t="s">
        <v>4430</v>
      </c>
      <c r="C2492" s="174" t="str">
        <f t="shared" si="368"/>
        <v>EVGA</v>
      </c>
      <c r="D2492" s="537" t="s">
        <v>4412</v>
      </c>
      <c r="E2492" s="266">
        <v>262.8</v>
      </c>
      <c r="F2492" s="266">
        <v>112.1</v>
      </c>
      <c r="G2492" s="266">
        <v>40.0</v>
      </c>
      <c r="H2492" s="266">
        <v>2.0</v>
      </c>
      <c r="I2492" s="266">
        <v>1725.0</v>
      </c>
      <c r="J2492" s="266">
        <v>19.5</v>
      </c>
      <c r="K2492" s="266">
        <v>350.0</v>
      </c>
      <c r="L2492" s="266" t="s">
        <v>3460</v>
      </c>
      <c r="M2492" s="266">
        <v>1.0</v>
      </c>
      <c r="N2492" s="266">
        <v>3.0</v>
      </c>
      <c r="O2492" s="266">
        <v>1.0</v>
      </c>
      <c r="P2492" s="266" t="s">
        <v>166</v>
      </c>
      <c r="Q2492" s="266" t="s">
        <v>166</v>
      </c>
      <c r="R2492" s="266" t="s">
        <v>174</v>
      </c>
      <c r="S2492" s="497" t="s">
        <v>166</v>
      </c>
      <c r="T2492" s="494"/>
    </row>
    <row r="2493">
      <c r="A2493" s="494" t="s">
        <v>3401</v>
      </c>
      <c r="B2493" s="495" t="s">
        <v>4430</v>
      </c>
      <c r="C2493" s="174" t="str">
        <f t="shared" si="368"/>
        <v>EVGA</v>
      </c>
      <c r="D2493" s="537" t="s">
        <v>4031</v>
      </c>
      <c r="E2493" s="266">
        <v>288.9</v>
      </c>
      <c r="F2493" s="266">
        <v>137.8</v>
      </c>
      <c r="G2493" s="266">
        <v>40.0</v>
      </c>
      <c r="H2493" s="266">
        <v>2.0</v>
      </c>
      <c r="I2493" s="266">
        <v>1800.0</v>
      </c>
      <c r="J2493" s="266">
        <v>19.5</v>
      </c>
      <c r="K2493" s="266">
        <v>420.0</v>
      </c>
      <c r="L2493" s="266" t="s">
        <v>3734</v>
      </c>
      <c r="M2493" s="266">
        <v>1.0</v>
      </c>
      <c r="N2493" s="266">
        <v>3.0</v>
      </c>
      <c r="O2493" s="266">
        <v>1.0</v>
      </c>
      <c r="P2493" s="266" t="s">
        <v>166</v>
      </c>
      <c r="Q2493" s="266" t="s">
        <v>166</v>
      </c>
      <c r="R2493" s="266" t="s">
        <v>174</v>
      </c>
      <c r="S2493" s="497" t="s">
        <v>166</v>
      </c>
      <c r="T2493" s="494"/>
    </row>
    <row r="2494">
      <c r="A2494" s="494" t="s">
        <v>3401</v>
      </c>
      <c r="B2494" s="495" t="s">
        <v>4430</v>
      </c>
      <c r="C2494" s="174" t="str">
        <f t="shared" si="368"/>
        <v>EVGA</v>
      </c>
      <c r="D2494" s="537" t="s">
        <v>4376</v>
      </c>
      <c r="E2494" s="266">
        <v>262.8</v>
      </c>
      <c r="F2494" s="266">
        <v>132.1</v>
      </c>
      <c r="G2494" s="266">
        <v>24.0</v>
      </c>
      <c r="H2494" s="266">
        <v>2.0</v>
      </c>
      <c r="I2494" s="266">
        <v>1725.0</v>
      </c>
      <c r="J2494" s="266">
        <v>19.5</v>
      </c>
      <c r="K2494" s="266">
        <v>350.0</v>
      </c>
      <c r="L2494" s="266" t="s">
        <v>3460</v>
      </c>
      <c r="M2494" s="266" t="s">
        <v>166</v>
      </c>
      <c r="N2494" s="266">
        <v>3.0</v>
      </c>
      <c r="O2494" s="266">
        <v>1.0</v>
      </c>
      <c r="P2494" s="266" t="s">
        <v>166</v>
      </c>
      <c r="Q2494" s="266" t="s">
        <v>166</v>
      </c>
      <c r="R2494" s="266" t="s">
        <v>174</v>
      </c>
      <c r="S2494" s="497" t="s">
        <v>166</v>
      </c>
      <c r="T2494" s="494"/>
    </row>
    <row r="2495">
      <c r="A2495" s="494" t="s">
        <v>3401</v>
      </c>
      <c r="B2495" s="495" t="s">
        <v>4430</v>
      </c>
      <c r="C2495" s="174" t="str">
        <f t="shared" si="368"/>
        <v>EVGA</v>
      </c>
      <c r="D2495" s="537" t="s">
        <v>4032</v>
      </c>
      <c r="E2495" s="266">
        <v>288.9</v>
      </c>
      <c r="F2495" s="266">
        <v>157.3</v>
      </c>
      <c r="G2495" s="266">
        <v>24.0</v>
      </c>
      <c r="H2495" s="266">
        <v>2.0</v>
      </c>
      <c r="I2495" s="266">
        <v>1800.0</v>
      </c>
      <c r="J2495" s="266">
        <v>19.5</v>
      </c>
      <c r="K2495" s="266">
        <v>420.0</v>
      </c>
      <c r="L2495" s="266" t="s">
        <v>3734</v>
      </c>
      <c r="M2495" s="266" t="s">
        <v>166</v>
      </c>
      <c r="N2495" s="266">
        <v>3.0</v>
      </c>
      <c r="O2495" s="266">
        <v>1.0</v>
      </c>
      <c r="P2495" s="266" t="s">
        <v>166</v>
      </c>
      <c r="Q2495" s="266" t="s">
        <v>166</v>
      </c>
      <c r="R2495" s="266" t="s">
        <v>174</v>
      </c>
      <c r="S2495" s="497" t="s">
        <v>166</v>
      </c>
      <c r="T2495" s="494"/>
    </row>
    <row r="2496">
      <c r="A2496" s="494" t="s">
        <v>3401</v>
      </c>
      <c r="B2496" s="495" t="s">
        <v>4430</v>
      </c>
      <c r="C2496" s="174" t="str">
        <f t="shared" si="368"/>
        <v>EVGA</v>
      </c>
      <c r="D2496" s="537" t="s">
        <v>4434</v>
      </c>
      <c r="E2496" s="266">
        <v>288.9</v>
      </c>
      <c r="F2496" s="266">
        <v>137.8</v>
      </c>
      <c r="G2496" s="266">
        <v>40.0</v>
      </c>
      <c r="H2496" s="266">
        <v>2.0</v>
      </c>
      <c r="I2496" s="266">
        <v>1920.0</v>
      </c>
      <c r="J2496" s="266">
        <v>19.5</v>
      </c>
      <c r="K2496" s="266">
        <v>430.0</v>
      </c>
      <c r="L2496" s="266" t="s">
        <v>3734</v>
      </c>
      <c r="M2496" s="266">
        <v>1.0</v>
      </c>
      <c r="N2496" s="266">
        <v>3.0</v>
      </c>
      <c r="O2496" s="266">
        <v>1.0</v>
      </c>
      <c r="P2496" s="266" t="s">
        <v>166</v>
      </c>
      <c r="Q2496" s="266" t="s">
        <v>166</v>
      </c>
      <c r="R2496" s="266" t="s">
        <v>174</v>
      </c>
      <c r="S2496" s="497" t="s">
        <v>166</v>
      </c>
      <c r="T2496" s="494"/>
    </row>
    <row r="2497">
      <c r="A2497" s="494" t="s">
        <v>3401</v>
      </c>
      <c r="B2497" s="495" t="s">
        <v>4430</v>
      </c>
      <c r="C2497" s="174" t="str">
        <f t="shared" si="368"/>
        <v>EVGA</v>
      </c>
      <c r="D2497" s="452" t="s">
        <v>4435</v>
      </c>
      <c r="E2497" s="266">
        <v>288.9</v>
      </c>
      <c r="F2497" s="266">
        <v>157.1</v>
      </c>
      <c r="G2497" s="266">
        <v>24.0</v>
      </c>
      <c r="H2497" s="266">
        <v>1.0</v>
      </c>
      <c r="I2497" s="266">
        <v>1920.0</v>
      </c>
      <c r="J2497" s="266">
        <v>19.5</v>
      </c>
      <c r="K2497" s="266">
        <v>430.0</v>
      </c>
      <c r="L2497" s="266" t="s">
        <v>3734</v>
      </c>
      <c r="M2497" s="266" t="s">
        <v>166</v>
      </c>
      <c r="N2497" s="266">
        <v>3.0</v>
      </c>
      <c r="O2497" s="266">
        <v>1.0</v>
      </c>
      <c r="P2497" s="266" t="s">
        <v>166</v>
      </c>
      <c r="Q2497" s="266" t="s">
        <v>166</v>
      </c>
      <c r="R2497" s="266" t="s">
        <v>174</v>
      </c>
      <c r="S2497" s="497" t="s">
        <v>166</v>
      </c>
      <c r="T2497" s="494"/>
    </row>
    <row r="2498">
      <c r="A2498" s="494" t="s">
        <v>3401</v>
      </c>
      <c r="B2498" s="495" t="s">
        <v>4430</v>
      </c>
      <c r="C2498" s="452" t="str">
        <f t="shared" ref="C2498:C2505" si="369">HYPERLINK("http://www.gainward.com/main/index.php?lang=en","Gainward")</f>
        <v>Gainward</v>
      </c>
      <c r="D2498" s="452" t="s">
        <v>4193</v>
      </c>
      <c r="E2498" s="266">
        <v>329.0</v>
      </c>
      <c r="F2498" s="266">
        <v>136.0</v>
      </c>
      <c r="G2498" s="266">
        <v>63.0</v>
      </c>
      <c r="H2498" s="266">
        <v>2.0</v>
      </c>
      <c r="I2498" s="266">
        <v>1695.0</v>
      </c>
      <c r="J2498" s="266">
        <v>19.5</v>
      </c>
      <c r="K2498" s="266">
        <v>350.0</v>
      </c>
      <c r="L2498" s="266" t="s">
        <v>3460</v>
      </c>
      <c r="M2498" s="266">
        <v>3.0</v>
      </c>
      <c r="N2498" s="266">
        <v>3.0</v>
      </c>
      <c r="O2498" s="266">
        <v>1.0</v>
      </c>
      <c r="P2498" s="266" t="s">
        <v>166</v>
      </c>
      <c r="Q2498" s="266" t="s">
        <v>166</v>
      </c>
      <c r="R2498" s="266" t="s">
        <v>166</v>
      </c>
      <c r="S2498" s="497" t="s">
        <v>166</v>
      </c>
      <c r="T2498" s="496"/>
    </row>
    <row r="2499">
      <c r="A2499" s="494" t="s">
        <v>3401</v>
      </c>
      <c r="B2499" s="495" t="s">
        <v>4430</v>
      </c>
      <c r="C2499" s="452" t="str">
        <f t="shared" si="369"/>
        <v>Gainward</v>
      </c>
      <c r="D2499" s="452" t="s">
        <v>4195</v>
      </c>
      <c r="E2499" s="266">
        <v>329.0</v>
      </c>
      <c r="F2499" s="266">
        <v>136.0</v>
      </c>
      <c r="G2499" s="266">
        <v>63.0</v>
      </c>
      <c r="H2499" s="266">
        <v>2.0</v>
      </c>
      <c r="I2499" s="266">
        <v>1695.0</v>
      </c>
      <c r="J2499" s="266">
        <v>19.5</v>
      </c>
      <c r="K2499" s="266">
        <v>350.0</v>
      </c>
      <c r="L2499" s="266" t="s">
        <v>3460</v>
      </c>
      <c r="M2499" s="266">
        <v>3.0</v>
      </c>
      <c r="N2499" s="266">
        <v>3.0</v>
      </c>
      <c r="O2499" s="266">
        <v>1.0</v>
      </c>
      <c r="P2499" s="266" t="s">
        <v>166</v>
      </c>
      <c r="Q2499" s="266" t="s">
        <v>166</v>
      </c>
      <c r="R2499" s="266" t="s">
        <v>166</v>
      </c>
      <c r="S2499" s="497" t="s">
        <v>166</v>
      </c>
      <c r="T2499" s="496"/>
    </row>
    <row r="2500">
      <c r="A2500" s="494" t="s">
        <v>3401</v>
      </c>
      <c r="B2500" s="495" t="s">
        <v>4430</v>
      </c>
      <c r="C2500" s="452" t="str">
        <f t="shared" si="369"/>
        <v>Gainward</v>
      </c>
      <c r="D2500" s="452" t="s">
        <v>3371</v>
      </c>
      <c r="E2500" s="266">
        <v>294.0</v>
      </c>
      <c r="F2500" s="266">
        <v>112.0</v>
      </c>
      <c r="G2500" s="266">
        <v>54.0</v>
      </c>
      <c r="H2500" s="266">
        <v>2.0</v>
      </c>
      <c r="I2500" s="266">
        <v>1695.0</v>
      </c>
      <c r="J2500" s="266">
        <v>19.5</v>
      </c>
      <c r="K2500" s="266">
        <v>350.0</v>
      </c>
      <c r="L2500" s="266" t="s">
        <v>3460</v>
      </c>
      <c r="M2500" s="266">
        <v>3.0</v>
      </c>
      <c r="N2500" s="266">
        <v>3.0</v>
      </c>
      <c r="O2500" s="266">
        <v>1.0</v>
      </c>
      <c r="P2500" s="266" t="s">
        <v>166</v>
      </c>
      <c r="Q2500" s="266" t="s">
        <v>166</v>
      </c>
      <c r="R2500" s="266" t="s">
        <v>166</v>
      </c>
      <c r="S2500" s="497" t="s">
        <v>166</v>
      </c>
      <c r="T2500" s="496"/>
    </row>
    <row r="2501">
      <c r="A2501" s="494" t="s">
        <v>3401</v>
      </c>
      <c r="B2501" s="495" t="s">
        <v>4430</v>
      </c>
      <c r="C2501" s="452" t="str">
        <f t="shared" si="369"/>
        <v>Gainward</v>
      </c>
      <c r="D2501" s="452" t="s">
        <v>3917</v>
      </c>
      <c r="E2501" s="643">
        <v>294.0</v>
      </c>
      <c r="F2501" s="644">
        <v>112.0</v>
      </c>
      <c r="G2501" s="645">
        <v>54.0</v>
      </c>
      <c r="H2501" s="518">
        <v>2.0</v>
      </c>
      <c r="I2501" s="266">
        <v>1725.0</v>
      </c>
      <c r="J2501" s="266">
        <v>19.5</v>
      </c>
      <c r="K2501" s="266">
        <v>350.0</v>
      </c>
      <c r="L2501" s="266" t="s">
        <v>3460</v>
      </c>
      <c r="M2501" s="266">
        <v>3.0</v>
      </c>
      <c r="N2501" s="266">
        <v>3.0</v>
      </c>
      <c r="O2501" s="266">
        <v>1.0</v>
      </c>
      <c r="P2501" s="266" t="s">
        <v>166</v>
      </c>
      <c r="Q2501" s="266" t="s">
        <v>166</v>
      </c>
      <c r="R2501" s="266" t="s">
        <v>166</v>
      </c>
      <c r="S2501" s="497" t="s">
        <v>166</v>
      </c>
      <c r="T2501" s="496"/>
    </row>
    <row r="2502">
      <c r="A2502" s="494" t="s">
        <v>3401</v>
      </c>
      <c r="B2502" s="495" t="s">
        <v>4430</v>
      </c>
      <c r="C2502" s="452" t="str">
        <f t="shared" si="369"/>
        <v>Gainward</v>
      </c>
      <c r="D2502" s="452" t="s">
        <v>3953</v>
      </c>
      <c r="E2502" s="266">
        <v>304.0</v>
      </c>
      <c r="F2502" s="266">
        <v>136.0</v>
      </c>
      <c r="G2502" s="266">
        <v>54.0</v>
      </c>
      <c r="H2502" s="266">
        <v>2.0</v>
      </c>
      <c r="I2502" s="266">
        <v>1740.0</v>
      </c>
      <c r="J2502" s="266">
        <v>19.5</v>
      </c>
      <c r="K2502" s="266">
        <v>370.0</v>
      </c>
      <c r="L2502" s="266" t="s">
        <v>3734</v>
      </c>
      <c r="M2502" s="266">
        <v>3.0</v>
      </c>
      <c r="N2502" s="266">
        <v>3.0</v>
      </c>
      <c r="O2502" s="266">
        <v>1.0</v>
      </c>
      <c r="P2502" s="266" t="s">
        <v>166</v>
      </c>
      <c r="Q2502" s="266" t="s">
        <v>166</v>
      </c>
      <c r="R2502" s="266" t="s">
        <v>166</v>
      </c>
      <c r="S2502" s="497" t="s">
        <v>166</v>
      </c>
      <c r="T2502" s="496"/>
    </row>
    <row r="2503">
      <c r="A2503" s="494" t="s">
        <v>3401</v>
      </c>
      <c r="B2503" s="495" t="s">
        <v>4430</v>
      </c>
      <c r="C2503" s="452" t="str">
        <f t="shared" si="369"/>
        <v>Gainward</v>
      </c>
      <c r="D2503" s="452" t="s">
        <v>3954</v>
      </c>
      <c r="E2503" s="266">
        <v>304.0</v>
      </c>
      <c r="F2503" s="266">
        <v>136.0</v>
      </c>
      <c r="G2503" s="266">
        <v>54.0</v>
      </c>
      <c r="H2503" s="266">
        <v>2.0</v>
      </c>
      <c r="I2503" s="266">
        <v>1845.0</v>
      </c>
      <c r="J2503" s="266">
        <v>19.5</v>
      </c>
      <c r="K2503" s="266">
        <v>420.0</v>
      </c>
      <c r="L2503" s="266" t="s">
        <v>3734</v>
      </c>
      <c r="M2503" s="266">
        <v>3.0</v>
      </c>
      <c r="N2503" s="266">
        <v>3.0</v>
      </c>
      <c r="O2503" s="266">
        <v>1.0</v>
      </c>
      <c r="P2503" s="266" t="s">
        <v>166</v>
      </c>
      <c r="Q2503" s="266" t="s">
        <v>166</v>
      </c>
      <c r="R2503" s="266" t="s">
        <v>166</v>
      </c>
      <c r="S2503" s="497" t="s">
        <v>166</v>
      </c>
      <c r="T2503" s="496"/>
    </row>
    <row r="2504">
      <c r="A2504" s="590" t="s">
        <v>3401</v>
      </c>
      <c r="B2504" s="591" t="s">
        <v>4430</v>
      </c>
      <c r="C2504" s="452" t="str">
        <f t="shared" si="369"/>
        <v>Gainward</v>
      </c>
      <c r="D2504" s="452" t="s">
        <v>4287</v>
      </c>
      <c r="E2504" s="266">
        <v>304.0</v>
      </c>
      <c r="F2504" s="266">
        <v>138.0</v>
      </c>
      <c r="G2504" s="266">
        <v>54.0</v>
      </c>
      <c r="H2504" s="266">
        <v>2.0</v>
      </c>
      <c r="I2504" s="266">
        <v>1740.0</v>
      </c>
      <c r="J2504" s="266">
        <v>19.5</v>
      </c>
      <c r="K2504" s="266">
        <v>350.0</v>
      </c>
      <c r="L2504" s="266" t="s">
        <v>3734</v>
      </c>
      <c r="M2504" s="266">
        <v>3.0</v>
      </c>
      <c r="N2504" s="266">
        <v>3.0</v>
      </c>
      <c r="O2504" s="266">
        <v>1.0</v>
      </c>
      <c r="P2504" s="266" t="s">
        <v>166</v>
      </c>
      <c r="Q2504" s="266" t="s">
        <v>166</v>
      </c>
      <c r="R2504" s="266" t="s">
        <v>166</v>
      </c>
      <c r="S2504" s="497" t="s">
        <v>166</v>
      </c>
      <c r="T2504" s="504"/>
    </row>
    <row r="2505">
      <c r="A2505" s="590" t="s">
        <v>3401</v>
      </c>
      <c r="B2505" s="591" t="s">
        <v>4430</v>
      </c>
      <c r="C2505" s="452" t="str">
        <f t="shared" si="369"/>
        <v>Gainward</v>
      </c>
      <c r="D2505" s="452" t="s">
        <v>4288</v>
      </c>
      <c r="E2505" s="266">
        <v>304.0</v>
      </c>
      <c r="F2505" s="266">
        <v>138.0</v>
      </c>
      <c r="G2505" s="266">
        <v>54.0</v>
      </c>
      <c r="H2505" s="266">
        <v>2.0</v>
      </c>
      <c r="I2505" s="266">
        <v>1845.0</v>
      </c>
      <c r="J2505" s="266">
        <v>19.5</v>
      </c>
      <c r="K2505" s="266">
        <v>350.0</v>
      </c>
      <c r="L2505" s="266" t="s">
        <v>3734</v>
      </c>
      <c r="M2505" s="266">
        <v>3.0</v>
      </c>
      <c r="N2505" s="266">
        <v>3.0</v>
      </c>
      <c r="O2505" s="266">
        <v>1.0</v>
      </c>
      <c r="P2505" s="266" t="s">
        <v>166</v>
      </c>
      <c r="Q2505" s="266" t="s">
        <v>166</v>
      </c>
      <c r="R2505" s="266" t="s">
        <v>166</v>
      </c>
      <c r="S2505" s="497" t="s">
        <v>166</v>
      </c>
      <c r="T2505" s="504"/>
    </row>
    <row r="2506">
      <c r="A2506" s="494" t="s">
        <v>3401</v>
      </c>
      <c r="B2506" s="495" t="s">
        <v>4430</v>
      </c>
      <c r="C2506" s="174" t="s">
        <v>3456</v>
      </c>
      <c r="D2506" s="589" t="s">
        <v>262</v>
      </c>
      <c r="E2506" s="266">
        <v>295.0</v>
      </c>
      <c r="F2506" s="266">
        <v>110.0</v>
      </c>
      <c r="G2506" s="266">
        <v>41.0</v>
      </c>
      <c r="H2506" s="266">
        <v>2.0</v>
      </c>
      <c r="I2506" s="266">
        <v>1695.0</v>
      </c>
      <c r="J2506" s="266">
        <v>19.5</v>
      </c>
      <c r="K2506" s="266">
        <v>350.0</v>
      </c>
      <c r="L2506" s="266" t="s">
        <v>3460</v>
      </c>
      <c r="M2506" s="266">
        <v>1.0</v>
      </c>
      <c r="N2506" s="266">
        <v>3.0</v>
      </c>
      <c r="O2506" s="266">
        <v>1.0</v>
      </c>
      <c r="P2506" s="266" t="s">
        <v>166</v>
      </c>
      <c r="Q2506" s="266" t="s">
        <v>166</v>
      </c>
      <c r="R2506" s="266" t="s">
        <v>166</v>
      </c>
      <c r="S2506" s="507" t="s">
        <v>174</v>
      </c>
      <c r="T2506" s="504"/>
    </row>
    <row r="2507">
      <c r="A2507" s="494" t="s">
        <v>3401</v>
      </c>
      <c r="B2507" s="495" t="s">
        <v>4430</v>
      </c>
      <c r="C2507" s="174" t="s">
        <v>3456</v>
      </c>
      <c r="D2507" s="452" t="s">
        <v>3594</v>
      </c>
      <c r="E2507" s="266">
        <v>300.0</v>
      </c>
      <c r="F2507" s="266">
        <v>116.0</v>
      </c>
      <c r="G2507" s="266">
        <v>60.0</v>
      </c>
      <c r="H2507" s="266">
        <v>3.0</v>
      </c>
      <c r="I2507" s="266">
        <v>1695.0</v>
      </c>
      <c r="J2507" s="266">
        <v>19.5</v>
      </c>
      <c r="K2507" s="266">
        <v>350.0</v>
      </c>
      <c r="L2507" s="266" t="s">
        <v>3460</v>
      </c>
      <c r="M2507" s="266">
        <v>3.0</v>
      </c>
      <c r="N2507" s="266">
        <v>3.0</v>
      </c>
      <c r="O2507" s="266">
        <v>1.0</v>
      </c>
      <c r="P2507" s="266" t="s">
        <v>166</v>
      </c>
      <c r="Q2507" s="266" t="s">
        <v>166</v>
      </c>
      <c r="R2507" s="266" t="s">
        <v>166</v>
      </c>
      <c r="S2507" s="497" t="s">
        <v>166</v>
      </c>
      <c r="T2507" s="496"/>
    </row>
    <row r="2508">
      <c r="A2508" s="494" t="s">
        <v>3401</v>
      </c>
      <c r="B2508" s="495" t="s">
        <v>4430</v>
      </c>
      <c r="C2508" s="174" t="s">
        <v>3456</v>
      </c>
      <c r="D2508" s="452" t="s">
        <v>4075</v>
      </c>
      <c r="E2508" s="266">
        <v>300.0</v>
      </c>
      <c r="F2508" s="266">
        <v>116.0</v>
      </c>
      <c r="G2508" s="266">
        <v>60.0</v>
      </c>
      <c r="H2508" s="266">
        <v>3.0</v>
      </c>
      <c r="I2508" s="266">
        <v>1725.0</v>
      </c>
      <c r="J2508" s="266">
        <v>19.5</v>
      </c>
      <c r="K2508" s="266">
        <v>350.0</v>
      </c>
      <c r="L2508" s="266" t="s">
        <v>3460</v>
      </c>
      <c r="M2508" s="266">
        <v>3.0</v>
      </c>
      <c r="N2508" s="266">
        <v>3.0</v>
      </c>
      <c r="O2508" s="266">
        <v>1.0</v>
      </c>
      <c r="P2508" s="266" t="s">
        <v>166</v>
      </c>
      <c r="Q2508" s="266" t="s">
        <v>166</v>
      </c>
      <c r="R2508" s="266" t="s">
        <v>166</v>
      </c>
      <c r="S2508" s="497" t="s">
        <v>166</v>
      </c>
      <c r="T2508" s="496"/>
    </row>
    <row r="2509">
      <c r="A2509" s="494" t="s">
        <v>3401</v>
      </c>
      <c r="B2509" s="495" t="s">
        <v>4430</v>
      </c>
      <c r="C2509" s="174" t="s">
        <v>3456</v>
      </c>
      <c r="D2509" s="452" t="s">
        <v>4204</v>
      </c>
      <c r="E2509" s="266">
        <v>318.0</v>
      </c>
      <c r="F2509" s="266">
        <v>107.0</v>
      </c>
      <c r="G2509" s="266">
        <v>60.0</v>
      </c>
      <c r="H2509" s="266">
        <v>3.0</v>
      </c>
      <c r="I2509" s="266">
        <v>1695.0</v>
      </c>
      <c r="J2509" s="266">
        <v>19.5</v>
      </c>
      <c r="K2509" s="266">
        <v>350.0</v>
      </c>
      <c r="L2509" s="266" t="s">
        <v>3460</v>
      </c>
      <c r="M2509" s="266">
        <v>3.0</v>
      </c>
      <c r="N2509" s="266">
        <v>3.0</v>
      </c>
      <c r="O2509" s="266">
        <v>1.0</v>
      </c>
      <c r="P2509" s="266" t="s">
        <v>166</v>
      </c>
      <c r="Q2509" s="266" t="s">
        <v>166</v>
      </c>
      <c r="R2509" s="266" t="s">
        <v>166</v>
      </c>
      <c r="S2509" s="497" t="s">
        <v>166</v>
      </c>
      <c r="T2509" s="496"/>
    </row>
    <row r="2510">
      <c r="A2510" s="494" t="s">
        <v>3401</v>
      </c>
      <c r="B2510" s="495" t="s">
        <v>4430</v>
      </c>
      <c r="C2510" s="174" t="s">
        <v>3456</v>
      </c>
      <c r="D2510" s="452" t="s">
        <v>4206</v>
      </c>
      <c r="E2510" s="266">
        <v>318.0</v>
      </c>
      <c r="F2510" s="266">
        <v>107.0</v>
      </c>
      <c r="G2510" s="266">
        <v>60.0</v>
      </c>
      <c r="H2510" s="266">
        <v>3.0</v>
      </c>
      <c r="I2510" s="266">
        <v>1725.0</v>
      </c>
      <c r="J2510" s="266">
        <v>19.5</v>
      </c>
      <c r="K2510" s="266">
        <v>350.0</v>
      </c>
      <c r="L2510" s="266" t="s">
        <v>3460</v>
      </c>
      <c r="M2510" s="266">
        <v>3.0</v>
      </c>
      <c r="N2510" s="266">
        <v>3.0</v>
      </c>
      <c r="O2510" s="266">
        <v>1.0</v>
      </c>
      <c r="P2510" s="266" t="s">
        <v>166</v>
      </c>
      <c r="Q2510" s="266" t="s">
        <v>166</v>
      </c>
      <c r="R2510" s="266" t="s">
        <v>166</v>
      </c>
      <c r="S2510" s="497" t="s">
        <v>166</v>
      </c>
      <c r="T2510" s="496"/>
    </row>
    <row r="2511">
      <c r="A2511" s="494" t="s">
        <v>3401</v>
      </c>
      <c r="B2511" s="495" t="s">
        <v>4430</v>
      </c>
      <c r="C2511" s="174" t="s">
        <v>3456</v>
      </c>
      <c r="D2511" s="452" t="s">
        <v>4257</v>
      </c>
      <c r="E2511" s="266">
        <v>316.0</v>
      </c>
      <c r="F2511" s="266">
        <v>132.0</v>
      </c>
      <c r="G2511" s="266">
        <v>60.0</v>
      </c>
      <c r="H2511" s="266">
        <v>3.0</v>
      </c>
      <c r="I2511" s="266">
        <v>1695.0</v>
      </c>
      <c r="J2511" s="266">
        <v>19.5</v>
      </c>
      <c r="K2511" s="266">
        <v>350.0</v>
      </c>
      <c r="L2511" s="266" t="s">
        <v>3460</v>
      </c>
      <c r="M2511" s="266">
        <v>3.0</v>
      </c>
      <c r="N2511" s="266">
        <v>3.0</v>
      </c>
      <c r="O2511" s="266">
        <v>1.0</v>
      </c>
      <c r="P2511" s="266" t="s">
        <v>166</v>
      </c>
      <c r="Q2511" s="266" t="s">
        <v>166</v>
      </c>
      <c r="R2511" s="266" t="s">
        <v>166</v>
      </c>
      <c r="S2511" s="497" t="s">
        <v>166</v>
      </c>
      <c r="T2511" s="496"/>
    </row>
    <row r="2512">
      <c r="A2512" s="494" t="s">
        <v>3401</v>
      </c>
      <c r="B2512" s="495" t="s">
        <v>4430</v>
      </c>
      <c r="C2512" s="174" t="s">
        <v>3456</v>
      </c>
      <c r="D2512" s="452" t="s">
        <v>4258</v>
      </c>
      <c r="E2512" s="266">
        <v>316.0</v>
      </c>
      <c r="F2512" s="266">
        <v>132.0</v>
      </c>
      <c r="G2512" s="266">
        <v>60.0</v>
      </c>
      <c r="H2512" s="266">
        <v>3.0</v>
      </c>
      <c r="I2512" s="266">
        <v>1755.0</v>
      </c>
      <c r="J2512" s="266">
        <v>19.5</v>
      </c>
      <c r="K2512" s="266">
        <v>370.0</v>
      </c>
      <c r="L2512" s="266" t="s">
        <v>3460</v>
      </c>
      <c r="M2512" s="266">
        <v>3.0</v>
      </c>
      <c r="N2512" s="266">
        <v>3.0</v>
      </c>
      <c r="O2512" s="266">
        <v>1.0</v>
      </c>
      <c r="P2512" s="266" t="s">
        <v>166</v>
      </c>
      <c r="Q2512" s="266" t="s">
        <v>166</v>
      </c>
      <c r="R2512" s="266" t="s">
        <v>166</v>
      </c>
      <c r="S2512" s="497" t="s">
        <v>166</v>
      </c>
      <c r="T2512" s="496"/>
    </row>
    <row r="2513">
      <c r="A2513" s="494" t="s">
        <v>3401</v>
      </c>
      <c r="B2513" s="495" t="s">
        <v>4430</v>
      </c>
      <c r="C2513" s="174" t="s">
        <v>3456</v>
      </c>
      <c r="D2513" s="452" t="s">
        <v>4003</v>
      </c>
      <c r="E2513" s="266">
        <v>337.0</v>
      </c>
      <c r="F2513" s="266">
        <v>135.0</v>
      </c>
      <c r="G2513" s="266">
        <v>57.0</v>
      </c>
      <c r="H2513" s="266">
        <v>3.0</v>
      </c>
      <c r="I2513" s="266">
        <v>1695.0</v>
      </c>
      <c r="J2513" s="266">
        <v>19.5</v>
      </c>
      <c r="K2513" s="266">
        <v>350.0</v>
      </c>
      <c r="L2513" s="266" t="s">
        <v>3460</v>
      </c>
      <c r="M2513" s="266">
        <v>3.0</v>
      </c>
      <c r="N2513" s="266">
        <v>3.0</v>
      </c>
      <c r="O2513" s="266">
        <v>1.0</v>
      </c>
      <c r="P2513" s="266" t="s">
        <v>166</v>
      </c>
      <c r="Q2513" s="266" t="s">
        <v>166</v>
      </c>
      <c r="R2513" s="266" t="s">
        <v>166</v>
      </c>
      <c r="S2513" s="497" t="s">
        <v>166</v>
      </c>
      <c r="T2513" s="496"/>
    </row>
    <row r="2514">
      <c r="A2514" s="494" t="s">
        <v>3401</v>
      </c>
      <c r="B2514" s="495" t="s">
        <v>4430</v>
      </c>
      <c r="C2514" s="174" t="s">
        <v>3456</v>
      </c>
      <c r="D2514" s="452" t="s">
        <v>4004</v>
      </c>
      <c r="E2514" s="266">
        <v>337.0</v>
      </c>
      <c r="F2514" s="266">
        <v>135.0</v>
      </c>
      <c r="G2514" s="266">
        <v>57.0</v>
      </c>
      <c r="H2514" s="266">
        <v>3.0</v>
      </c>
      <c r="I2514" s="266">
        <v>1755.0</v>
      </c>
      <c r="J2514" s="266">
        <v>19.5</v>
      </c>
      <c r="K2514" s="266">
        <v>370.0</v>
      </c>
      <c r="L2514" s="266" t="s">
        <v>3460</v>
      </c>
      <c r="M2514" s="266">
        <v>3.0</v>
      </c>
      <c r="N2514" s="266">
        <v>3.0</v>
      </c>
      <c r="O2514" s="266">
        <v>1.0</v>
      </c>
      <c r="P2514" s="266" t="s">
        <v>166</v>
      </c>
      <c r="Q2514" s="266" t="s">
        <v>166</v>
      </c>
      <c r="R2514" s="266" t="s">
        <v>166</v>
      </c>
      <c r="S2514" s="497" t="s">
        <v>166</v>
      </c>
      <c r="T2514" s="496"/>
    </row>
    <row r="2515">
      <c r="A2515" s="494" t="s">
        <v>3401</v>
      </c>
      <c r="B2515" s="495" t="s">
        <v>4430</v>
      </c>
      <c r="C2515" s="174" t="s">
        <v>3456</v>
      </c>
      <c r="D2515" s="452" t="s">
        <v>3215</v>
      </c>
      <c r="E2515" s="266">
        <v>335.0</v>
      </c>
      <c r="F2515" s="266">
        <v>148.0</v>
      </c>
      <c r="G2515" s="266">
        <v>61.0</v>
      </c>
      <c r="H2515" s="266">
        <v>2.0</v>
      </c>
      <c r="I2515" s="266">
        <v>1800.0</v>
      </c>
      <c r="J2515" s="266">
        <v>19.5</v>
      </c>
      <c r="K2515" s="266">
        <v>420.0</v>
      </c>
      <c r="L2515" s="266" t="s">
        <v>3734</v>
      </c>
      <c r="M2515" s="266">
        <v>3.0</v>
      </c>
      <c r="N2515" s="266">
        <v>3.0</v>
      </c>
      <c r="O2515" s="266">
        <v>1.0</v>
      </c>
      <c r="P2515" s="266" t="s">
        <v>166</v>
      </c>
      <c r="Q2515" s="266" t="s">
        <v>166</v>
      </c>
      <c r="R2515" s="266" t="s">
        <v>166</v>
      </c>
      <c r="S2515" s="497" t="s">
        <v>166</v>
      </c>
      <c r="T2515" s="496"/>
    </row>
    <row r="2516">
      <c r="A2516" s="494" t="s">
        <v>3401</v>
      </c>
      <c r="B2516" s="495" t="s">
        <v>4430</v>
      </c>
      <c r="C2516" s="174" t="s">
        <v>3456</v>
      </c>
      <c r="D2516" s="452" t="s">
        <v>4436</v>
      </c>
      <c r="E2516" s="266">
        <v>335.0</v>
      </c>
      <c r="F2516" s="266">
        <v>148.0</v>
      </c>
      <c r="G2516" s="266">
        <v>61.0</v>
      </c>
      <c r="H2516" s="266">
        <v>2.0</v>
      </c>
      <c r="I2516" s="266">
        <v>1860.0</v>
      </c>
      <c r="J2516" s="266">
        <v>19.5</v>
      </c>
      <c r="K2516" s="266">
        <v>420.0</v>
      </c>
      <c r="L2516" s="266" t="s">
        <v>3734</v>
      </c>
      <c r="M2516" s="266">
        <v>3.0</v>
      </c>
      <c r="N2516" s="266">
        <v>3.0</v>
      </c>
      <c r="O2516" s="266">
        <v>1.0</v>
      </c>
      <c r="P2516" s="266" t="s">
        <v>166</v>
      </c>
      <c r="Q2516" s="266" t="s">
        <v>166</v>
      </c>
      <c r="R2516" s="266" t="s">
        <v>166</v>
      </c>
      <c r="S2516" s="497" t="s">
        <v>166</v>
      </c>
      <c r="T2516" s="496"/>
    </row>
    <row r="2517">
      <c r="A2517" s="494" t="s">
        <v>3401</v>
      </c>
      <c r="B2517" s="495" t="s">
        <v>4430</v>
      </c>
      <c r="C2517" s="174" t="s">
        <v>3456</v>
      </c>
      <c r="D2517" s="452" t="s">
        <v>4423</v>
      </c>
      <c r="E2517" s="266">
        <v>335.0</v>
      </c>
      <c r="F2517" s="266">
        <v>148.0</v>
      </c>
      <c r="G2517" s="266">
        <v>61.0</v>
      </c>
      <c r="H2517" s="266">
        <v>2.0</v>
      </c>
      <c r="I2517" s="266">
        <v>1905.0</v>
      </c>
      <c r="J2517" s="266">
        <v>19.5</v>
      </c>
      <c r="K2517" s="266">
        <v>460.0</v>
      </c>
      <c r="L2517" s="266" t="s">
        <v>3734</v>
      </c>
      <c r="M2517" s="266">
        <v>3.0</v>
      </c>
      <c r="N2517" s="266">
        <v>3.0</v>
      </c>
      <c r="O2517" s="266">
        <v>1.0</v>
      </c>
      <c r="P2517" s="266" t="s">
        <v>166</v>
      </c>
      <c r="Q2517" s="266" t="s">
        <v>166</v>
      </c>
      <c r="R2517" s="266" t="s">
        <v>166</v>
      </c>
      <c r="S2517" s="497" t="s">
        <v>166</v>
      </c>
      <c r="T2517" s="496"/>
    </row>
    <row r="2518">
      <c r="A2518" s="494" t="s">
        <v>3401</v>
      </c>
      <c r="B2518" s="495" t="s">
        <v>4430</v>
      </c>
      <c r="C2518" s="174" t="s">
        <v>3456</v>
      </c>
      <c r="D2518" s="452" t="s">
        <v>4062</v>
      </c>
      <c r="E2518" s="266">
        <v>317.0</v>
      </c>
      <c r="F2518" s="266">
        <v>113.0</v>
      </c>
      <c r="G2518" s="266">
        <v>61.0</v>
      </c>
      <c r="H2518" s="266">
        <v>2.0</v>
      </c>
      <c r="I2518" s="266">
        <v>1710.0</v>
      </c>
      <c r="J2518" s="266">
        <v>19.5</v>
      </c>
      <c r="K2518" s="266">
        <v>350.0</v>
      </c>
      <c r="L2518" s="266" t="s">
        <v>3460</v>
      </c>
      <c r="M2518" s="266">
        <v>3.0</v>
      </c>
      <c r="N2518" s="266">
        <v>3.0</v>
      </c>
      <c r="O2518" s="266">
        <v>1.0</v>
      </c>
      <c r="P2518" s="266" t="s">
        <v>166</v>
      </c>
      <c r="Q2518" s="266" t="s">
        <v>166</v>
      </c>
      <c r="R2518" s="266" t="s">
        <v>166</v>
      </c>
      <c r="S2518" s="497" t="s">
        <v>166</v>
      </c>
      <c r="T2518" s="496"/>
    </row>
    <row r="2519">
      <c r="A2519" s="494" t="s">
        <v>3401</v>
      </c>
      <c r="B2519" s="495" t="s">
        <v>4430</v>
      </c>
      <c r="C2519" s="174" t="s">
        <v>3456</v>
      </c>
      <c r="D2519" s="452" t="s">
        <v>3983</v>
      </c>
      <c r="E2519" s="266">
        <v>316.0</v>
      </c>
      <c r="F2519" s="266">
        <v>124.0</v>
      </c>
      <c r="G2519" s="266">
        <v>58.0</v>
      </c>
      <c r="H2519" s="266">
        <v>2.0</v>
      </c>
      <c r="I2519" s="266">
        <v>1755.0</v>
      </c>
      <c r="J2519" s="266">
        <v>19.5</v>
      </c>
      <c r="K2519" s="266">
        <v>350.0</v>
      </c>
      <c r="L2519" s="266" t="s">
        <v>3460</v>
      </c>
      <c r="M2519" s="266">
        <v>3.0</v>
      </c>
      <c r="N2519" s="266">
        <v>3.0</v>
      </c>
      <c r="O2519" s="266">
        <v>1.0</v>
      </c>
      <c r="P2519" s="266" t="s">
        <v>166</v>
      </c>
      <c r="Q2519" s="266" t="s">
        <v>166</v>
      </c>
      <c r="R2519" s="266" t="s">
        <v>166</v>
      </c>
      <c r="S2519" s="497" t="s">
        <v>166</v>
      </c>
      <c r="T2519" s="496"/>
    </row>
    <row r="2520">
      <c r="A2520" s="494" t="s">
        <v>3401</v>
      </c>
      <c r="B2520" s="495" t="s">
        <v>4430</v>
      </c>
      <c r="C2520" s="174" t="s">
        <v>3456</v>
      </c>
      <c r="D2520" s="452" t="s">
        <v>4299</v>
      </c>
      <c r="E2520" s="266">
        <v>316.0</v>
      </c>
      <c r="F2520" s="266">
        <v>124.0</v>
      </c>
      <c r="G2520" s="266">
        <v>58.0</v>
      </c>
      <c r="H2520" s="266">
        <v>2.0</v>
      </c>
      <c r="I2520" s="266">
        <v>1755.0</v>
      </c>
      <c r="J2520" s="266">
        <v>19.5</v>
      </c>
      <c r="K2520" s="266">
        <v>350.0</v>
      </c>
      <c r="L2520" s="266" t="s">
        <v>3460</v>
      </c>
      <c r="M2520" s="266">
        <v>3.0</v>
      </c>
      <c r="N2520" s="266">
        <v>3.0</v>
      </c>
      <c r="O2520" s="266">
        <v>1.0</v>
      </c>
      <c r="P2520" s="266" t="s">
        <v>166</v>
      </c>
      <c r="Q2520" s="266" t="s">
        <v>166</v>
      </c>
      <c r="R2520" s="266" t="s">
        <v>166</v>
      </c>
      <c r="S2520" s="497" t="s">
        <v>166</v>
      </c>
      <c r="T2520" s="496"/>
    </row>
    <row r="2521">
      <c r="A2521" s="494" t="s">
        <v>3401</v>
      </c>
      <c r="B2521" s="495" t="s">
        <v>4430</v>
      </c>
      <c r="C2521" s="174" t="s">
        <v>3456</v>
      </c>
      <c r="D2521" s="452" t="s">
        <v>4300</v>
      </c>
      <c r="E2521" s="266">
        <v>316.0</v>
      </c>
      <c r="F2521" s="266">
        <v>124.0</v>
      </c>
      <c r="G2521" s="266">
        <v>58.0</v>
      </c>
      <c r="H2521" s="266">
        <v>2.0</v>
      </c>
      <c r="I2521" s="266">
        <v>1755.0</v>
      </c>
      <c r="J2521" s="266">
        <v>19.5</v>
      </c>
      <c r="K2521" s="266">
        <v>370.0</v>
      </c>
      <c r="L2521" s="266" t="s">
        <v>3460</v>
      </c>
      <c r="M2521" s="266">
        <v>3.0</v>
      </c>
      <c r="N2521" s="266">
        <v>3.0</v>
      </c>
      <c r="O2521" s="266">
        <v>1.0</v>
      </c>
      <c r="P2521" s="266" t="s">
        <v>166</v>
      </c>
      <c r="Q2521" s="266" t="s">
        <v>166</v>
      </c>
      <c r="R2521" s="266" t="s">
        <v>166</v>
      </c>
      <c r="S2521" s="497" t="s">
        <v>166</v>
      </c>
      <c r="T2521" s="496"/>
    </row>
    <row r="2522">
      <c r="A2522" s="494" t="s">
        <v>3401</v>
      </c>
      <c r="B2522" s="495" t="s">
        <v>4430</v>
      </c>
      <c r="C2522" s="174" t="s">
        <v>3456</v>
      </c>
      <c r="D2522" s="452" t="s">
        <v>3837</v>
      </c>
      <c r="E2522" s="266">
        <v>339.0</v>
      </c>
      <c r="F2522" s="266">
        <v>144.0</v>
      </c>
      <c r="G2522" s="266">
        <v>68.0</v>
      </c>
      <c r="H2522" s="266">
        <v>2.0</v>
      </c>
      <c r="I2522" s="266">
        <v>1815.0</v>
      </c>
      <c r="J2522" s="266">
        <v>19.5</v>
      </c>
      <c r="K2522" s="266">
        <v>350.0</v>
      </c>
      <c r="L2522" s="266" t="s">
        <v>3734</v>
      </c>
      <c r="M2522" s="266">
        <v>3.0</v>
      </c>
      <c r="N2522" s="266">
        <v>3.0</v>
      </c>
      <c r="O2522" s="266">
        <v>1.0</v>
      </c>
      <c r="P2522" s="266" t="s">
        <v>166</v>
      </c>
      <c r="Q2522" s="266" t="s">
        <v>166</v>
      </c>
      <c r="R2522" s="266" t="s">
        <v>166</v>
      </c>
      <c r="S2522" s="497" t="s">
        <v>166</v>
      </c>
      <c r="T2522" s="496"/>
    </row>
    <row r="2523">
      <c r="A2523" s="494" t="s">
        <v>3401</v>
      </c>
      <c r="B2523" s="495" t="s">
        <v>4430</v>
      </c>
      <c r="C2523" s="174" t="s">
        <v>3456</v>
      </c>
      <c r="D2523" s="452" t="s">
        <v>4425</v>
      </c>
      <c r="E2523" s="266">
        <v>339.0</v>
      </c>
      <c r="F2523" s="266">
        <v>144.0</v>
      </c>
      <c r="G2523" s="266">
        <v>68.0</v>
      </c>
      <c r="H2523" s="266">
        <v>2.0</v>
      </c>
      <c r="I2523" s="266">
        <v>1815.0</v>
      </c>
      <c r="J2523" s="266">
        <v>19.5</v>
      </c>
      <c r="K2523" s="266">
        <v>350.0</v>
      </c>
      <c r="L2523" s="266" t="s">
        <v>3734</v>
      </c>
      <c r="M2523" s="266">
        <v>3.0</v>
      </c>
      <c r="N2523" s="266">
        <v>3.0</v>
      </c>
      <c r="O2523" s="266">
        <v>1.0</v>
      </c>
      <c r="P2523" s="266" t="s">
        <v>166</v>
      </c>
      <c r="Q2523" s="266" t="s">
        <v>166</v>
      </c>
      <c r="R2523" s="266" t="s">
        <v>166</v>
      </c>
      <c r="S2523" s="497" t="s">
        <v>166</v>
      </c>
      <c r="T2523" s="496"/>
    </row>
    <row r="2524">
      <c r="A2524" s="494" t="s">
        <v>3401</v>
      </c>
      <c r="B2524" s="495" t="s">
        <v>4430</v>
      </c>
      <c r="C2524" s="174" t="s">
        <v>3456</v>
      </c>
      <c r="D2524" s="452" t="s">
        <v>3838</v>
      </c>
      <c r="E2524" s="266">
        <v>339.0</v>
      </c>
      <c r="F2524" s="266">
        <v>144.0</v>
      </c>
      <c r="G2524" s="266">
        <v>68.0</v>
      </c>
      <c r="H2524" s="266">
        <v>2.0</v>
      </c>
      <c r="I2524" s="266">
        <v>1875.0</v>
      </c>
      <c r="J2524" s="266">
        <v>19.5</v>
      </c>
      <c r="K2524" s="266">
        <v>350.0</v>
      </c>
      <c r="L2524" s="266" t="s">
        <v>3734</v>
      </c>
      <c r="M2524" s="266">
        <v>3.0</v>
      </c>
      <c r="N2524" s="266">
        <v>3.0</v>
      </c>
      <c r="O2524" s="266">
        <v>1.0</v>
      </c>
      <c r="P2524" s="266" t="s">
        <v>166</v>
      </c>
      <c r="Q2524" s="266" t="s">
        <v>166</v>
      </c>
      <c r="R2524" s="266" t="s">
        <v>166</v>
      </c>
      <c r="S2524" s="497" t="s">
        <v>166</v>
      </c>
      <c r="T2524" s="496"/>
    </row>
    <row r="2525">
      <c r="A2525" s="494" t="s">
        <v>3401</v>
      </c>
      <c r="B2525" s="495" t="s">
        <v>4430</v>
      </c>
      <c r="C2525" s="174" t="str">
        <f t="shared" ref="C2525:C2534" si="370">HYPERLINK("https://www.gigabyte.com/","Gigabyte")</f>
        <v>Gigabyte</v>
      </c>
      <c r="D2525" s="589" t="s">
        <v>4037</v>
      </c>
      <c r="E2525" s="266">
        <v>266.7</v>
      </c>
      <c r="F2525" s="266">
        <v>111.16</v>
      </c>
      <c r="G2525" s="266">
        <v>39.8</v>
      </c>
      <c r="H2525" s="266">
        <v>2.0</v>
      </c>
      <c r="I2525" s="266">
        <v>1695.0</v>
      </c>
      <c r="J2525" s="266">
        <v>19.5</v>
      </c>
      <c r="K2525" s="266">
        <v>350.0</v>
      </c>
      <c r="L2525" s="266" t="s">
        <v>3460</v>
      </c>
      <c r="M2525" s="266">
        <v>1.0</v>
      </c>
      <c r="N2525" s="266">
        <v>2.0</v>
      </c>
      <c r="O2525" s="266">
        <v>2.0</v>
      </c>
      <c r="P2525" s="266" t="s">
        <v>166</v>
      </c>
      <c r="Q2525" s="266" t="s">
        <v>166</v>
      </c>
      <c r="R2525" s="266" t="s">
        <v>166</v>
      </c>
      <c r="S2525" s="507" t="s">
        <v>174</v>
      </c>
      <c r="T2525" s="504"/>
    </row>
    <row r="2526">
      <c r="A2526" s="494" t="s">
        <v>3401</v>
      </c>
      <c r="B2526" s="495" t="s">
        <v>4430</v>
      </c>
      <c r="C2526" s="174" t="str">
        <f t="shared" si="370"/>
        <v>Gigabyte</v>
      </c>
      <c r="D2526" s="452" t="s">
        <v>3374</v>
      </c>
      <c r="E2526" s="266">
        <v>320.0</v>
      </c>
      <c r="F2526" s="266">
        <v>128.0</v>
      </c>
      <c r="G2526" s="266">
        <v>56.0</v>
      </c>
      <c r="H2526" s="266">
        <v>2.0</v>
      </c>
      <c r="I2526" s="266">
        <v>1695.0</v>
      </c>
      <c r="J2526" s="266">
        <v>19.5</v>
      </c>
      <c r="K2526" s="266">
        <v>350.0</v>
      </c>
      <c r="L2526" s="266" t="s">
        <v>3460</v>
      </c>
      <c r="M2526" s="266">
        <v>3.0</v>
      </c>
      <c r="N2526" s="266">
        <v>3.0</v>
      </c>
      <c r="O2526" s="266">
        <v>2.0</v>
      </c>
      <c r="P2526" s="266" t="s">
        <v>166</v>
      </c>
      <c r="Q2526" s="266" t="s">
        <v>166</v>
      </c>
      <c r="R2526" s="266" t="s">
        <v>166</v>
      </c>
      <c r="S2526" s="497" t="s">
        <v>166</v>
      </c>
      <c r="T2526" s="496"/>
    </row>
    <row r="2527">
      <c r="A2527" s="494" t="s">
        <v>3401</v>
      </c>
      <c r="B2527" s="495" t="s">
        <v>4430</v>
      </c>
      <c r="C2527" s="174" t="str">
        <f t="shared" si="370"/>
        <v>Gigabyte</v>
      </c>
      <c r="D2527" s="452" t="s">
        <v>3551</v>
      </c>
      <c r="E2527" s="266">
        <v>320.0</v>
      </c>
      <c r="F2527" s="266">
        <v>128.0</v>
      </c>
      <c r="G2527" s="266">
        <v>56.0</v>
      </c>
      <c r="H2527" s="266">
        <v>2.0</v>
      </c>
      <c r="I2527" s="266">
        <v>1725.0</v>
      </c>
      <c r="J2527" s="266">
        <v>19.5</v>
      </c>
      <c r="K2527" s="266">
        <v>350.0</v>
      </c>
      <c r="L2527" s="266" t="s">
        <v>3460</v>
      </c>
      <c r="M2527" s="266">
        <v>3.0</v>
      </c>
      <c r="N2527" s="266">
        <v>3.0</v>
      </c>
      <c r="O2527" s="266">
        <v>2.0</v>
      </c>
      <c r="P2527" s="266" t="s">
        <v>166</v>
      </c>
      <c r="Q2527" s="266" t="s">
        <v>166</v>
      </c>
      <c r="R2527" s="266" t="s">
        <v>166</v>
      </c>
      <c r="S2527" s="497" t="s">
        <v>166</v>
      </c>
      <c r="T2527" s="496"/>
    </row>
    <row r="2528">
      <c r="A2528" s="494" t="s">
        <v>3401</v>
      </c>
      <c r="B2528" s="495" t="s">
        <v>4430</v>
      </c>
      <c r="C2528" s="174" t="str">
        <f t="shared" si="370"/>
        <v>Gigabyte</v>
      </c>
      <c r="D2528" s="452" t="s">
        <v>3630</v>
      </c>
      <c r="E2528" s="266">
        <v>320.0</v>
      </c>
      <c r="F2528" s="266">
        <v>129.0</v>
      </c>
      <c r="G2528" s="266">
        <v>55.0</v>
      </c>
      <c r="H2528" s="266">
        <v>2.0</v>
      </c>
      <c r="I2528" s="266">
        <v>1755.0</v>
      </c>
      <c r="J2528" s="266">
        <v>19.5</v>
      </c>
      <c r="K2528" s="266">
        <v>350.0</v>
      </c>
      <c r="L2528" s="266" t="s">
        <v>3460</v>
      </c>
      <c r="M2528" s="266">
        <v>3.0</v>
      </c>
      <c r="N2528" s="266">
        <v>3.0</v>
      </c>
      <c r="O2528" s="266">
        <v>2.0</v>
      </c>
      <c r="P2528" s="266" t="s">
        <v>166</v>
      </c>
      <c r="Q2528" s="266" t="s">
        <v>166</v>
      </c>
      <c r="R2528" s="266" t="s">
        <v>166</v>
      </c>
      <c r="S2528" s="497" t="s">
        <v>166</v>
      </c>
      <c r="T2528" s="496"/>
    </row>
    <row r="2529">
      <c r="A2529" s="494" t="s">
        <v>3401</v>
      </c>
      <c r="B2529" s="495" t="s">
        <v>4430</v>
      </c>
      <c r="C2529" s="174" t="str">
        <f t="shared" si="370"/>
        <v>Gigabyte</v>
      </c>
      <c r="D2529" s="452" t="s">
        <v>4134</v>
      </c>
      <c r="E2529" s="635">
        <v>320.0</v>
      </c>
      <c r="F2529" s="513">
        <v>126.0</v>
      </c>
      <c r="G2529" s="513">
        <v>55.0</v>
      </c>
      <c r="H2529" s="266">
        <v>2.0</v>
      </c>
      <c r="I2529" s="266">
        <v>1755.0</v>
      </c>
      <c r="J2529" s="266">
        <v>19.5</v>
      </c>
      <c r="K2529" s="266">
        <v>370.0</v>
      </c>
      <c r="L2529" s="266" t="s">
        <v>3460</v>
      </c>
      <c r="M2529" s="266">
        <v>3.0</v>
      </c>
      <c r="N2529" s="266">
        <v>3.0</v>
      </c>
      <c r="O2529" s="266">
        <v>2.0</v>
      </c>
      <c r="P2529" s="266" t="s">
        <v>166</v>
      </c>
      <c r="Q2529" s="266" t="s">
        <v>166</v>
      </c>
      <c r="R2529" s="266" t="s">
        <v>166</v>
      </c>
      <c r="S2529" s="497" t="s">
        <v>166</v>
      </c>
      <c r="T2529" s="496"/>
    </row>
    <row r="2530">
      <c r="A2530" s="494" t="s">
        <v>3401</v>
      </c>
      <c r="B2530" s="495" t="s">
        <v>4430</v>
      </c>
      <c r="C2530" s="174" t="str">
        <f t="shared" si="370"/>
        <v>Gigabyte</v>
      </c>
      <c r="D2530" s="452" t="s">
        <v>4437</v>
      </c>
      <c r="E2530" s="266">
        <v>319.0</v>
      </c>
      <c r="F2530" s="266">
        <v>140.0</v>
      </c>
      <c r="G2530" s="266">
        <v>70.0</v>
      </c>
      <c r="H2530" s="266">
        <v>2.0</v>
      </c>
      <c r="I2530" s="266">
        <v>1785.0</v>
      </c>
      <c r="J2530" s="266">
        <v>19.5</v>
      </c>
      <c r="K2530" s="266">
        <v>370.0</v>
      </c>
      <c r="L2530" s="266" t="s">
        <v>3460</v>
      </c>
      <c r="M2530" s="266">
        <v>3.0</v>
      </c>
      <c r="N2530" s="266">
        <v>3.0</v>
      </c>
      <c r="O2530" s="266">
        <v>3.0</v>
      </c>
      <c r="P2530" s="266" t="s">
        <v>166</v>
      </c>
      <c r="Q2530" s="266" t="s">
        <v>166</v>
      </c>
      <c r="R2530" s="266" t="s">
        <v>166</v>
      </c>
      <c r="S2530" s="497" t="s">
        <v>166</v>
      </c>
      <c r="T2530" s="496"/>
    </row>
    <row r="2531">
      <c r="A2531" s="494" t="s">
        <v>3401</v>
      </c>
      <c r="B2531" s="495" t="s">
        <v>4430</v>
      </c>
      <c r="C2531" s="174" t="str">
        <f t="shared" si="370"/>
        <v>Gigabyte</v>
      </c>
      <c r="D2531" s="452" t="s">
        <v>4438</v>
      </c>
      <c r="E2531" s="266">
        <v>319.0</v>
      </c>
      <c r="F2531" s="266">
        <v>140.0</v>
      </c>
      <c r="G2531" s="266">
        <v>70.0</v>
      </c>
      <c r="H2531" s="266">
        <v>2.0</v>
      </c>
      <c r="I2531" s="266">
        <v>1785.0</v>
      </c>
      <c r="J2531" s="266">
        <v>19.5</v>
      </c>
      <c r="K2531" s="266">
        <v>370.0</v>
      </c>
      <c r="L2531" s="266" t="s">
        <v>3734</v>
      </c>
      <c r="M2531" s="266">
        <v>3.0</v>
      </c>
      <c r="N2531" s="266">
        <v>3.0</v>
      </c>
      <c r="O2531" s="266">
        <v>3.0</v>
      </c>
      <c r="P2531" s="266" t="s">
        <v>166</v>
      </c>
      <c r="Q2531" s="266" t="s">
        <v>166</v>
      </c>
      <c r="R2531" s="266" t="s">
        <v>166</v>
      </c>
      <c r="S2531" s="497" t="s">
        <v>166</v>
      </c>
      <c r="T2531" s="496"/>
    </row>
    <row r="2532">
      <c r="A2532" s="494" t="s">
        <v>3401</v>
      </c>
      <c r="B2532" s="495" t="s">
        <v>4430</v>
      </c>
      <c r="C2532" s="174" t="str">
        <f t="shared" si="370"/>
        <v>Gigabyte</v>
      </c>
      <c r="D2532" s="452" t="s">
        <v>3919</v>
      </c>
      <c r="E2532" s="266">
        <v>319.0</v>
      </c>
      <c r="F2532" s="266">
        <v>140.0</v>
      </c>
      <c r="G2532" s="266">
        <v>70.0</v>
      </c>
      <c r="H2532" s="266">
        <v>2.0</v>
      </c>
      <c r="I2532" s="266">
        <v>1860.0</v>
      </c>
      <c r="J2532" s="266">
        <v>19.5</v>
      </c>
      <c r="K2532" s="266">
        <v>370.0</v>
      </c>
      <c r="L2532" s="266" t="s">
        <v>3734</v>
      </c>
      <c r="M2532" s="266">
        <v>3.0</v>
      </c>
      <c r="N2532" s="266">
        <v>3.0</v>
      </c>
      <c r="O2532" s="266">
        <v>3.0</v>
      </c>
      <c r="P2532" s="266" t="s">
        <v>166</v>
      </c>
      <c r="Q2532" s="266" t="s">
        <v>166</v>
      </c>
      <c r="R2532" s="266" t="s">
        <v>166</v>
      </c>
      <c r="S2532" s="497" t="s">
        <v>166</v>
      </c>
      <c r="T2532" s="496"/>
    </row>
    <row r="2533">
      <c r="A2533" s="494" t="s">
        <v>3401</v>
      </c>
      <c r="B2533" s="495" t="s">
        <v>4430</v>
      </c>
      <c r="C2533" s="174" t="str">
        <f t="shared" si="370"/>
        <v>Gigabyte</v>
      </c>
      <c r="D2533" s="537" t="s">
        <v>4039</v>
      </c>
      <c r="E2533" s="266">
        <v>252.0</v>
      </c>
      <c r="F2533" s="266">
        <v>135.0</v>
      </c>
      <c r="G2533" s="266">
        <v>40.0</v>
      </c>
      <c r="H2533" s="266">
        <v>2.0</v>
      </c>
      <c r="I2533" s="266">
        <v>1785.0</v>
      </c>
      <c r="J2533" s="266">
        <v>19.5</v>
      </c>
      <c r="K2533" s="266">
        <v>370.0</v>
      </c>
      <c r="L2533" s="266" t="s">
        <v>3460</v>
      </c>
      <c r="M2533" s="266" t="s">
        <v>166</v>
      </c>
      <c r="N2533" s="266">
        <v>3.0</v>
      </c>
      <c r="O2533" s="266">
        <v>3.0</v>
      </c>
      <c r="P2533" s="266" t="s">
        <v>166</v>
      </c>
      <c r="Q2533" s="266" t="s">
        <v>166</v>
      </c>
      <c r="R2533" s="266" t="s">
        <v>174</v>
      </c>
      <c r="S2533" s="497" t="s">
        <v>166</v>
      </c>
      <c r="T2533" s="494"/>
    </row>
    <row r="2534">
      <c r="A2534" s="494" t="s">
        <v>3401</v>
      </c>
      <c r="B2534" s="495" t="s">
        <v>4430</v>
      </c>
      <c r="C2534" s="174" t="str">
        <f t="shared" si="370"/>
        <v>Gigabyte</v>
      </c>
      <c r="D2534" s="537" t="s">
        <v>3748</v>
      </c>
      <c r="E2534" s="266">
        <v>252.0</v>
      </c>
      <c r="F2534" s="266">
        <v>163.0</v>
      </c>
      <c r="G2534" s="266">
        <v>29.0</v>
      </c>
      <c r="H2534" s="266">
        <v>2.0</v>
      </c>
      <c r="I2534" s="266">
        <v>1785.0</v>
      </c>
      <c r="J2534" s="266">
        <v>19.5</v>
      </c>
      <c r="K2534" s="266">
        <v>370.0</v>
      </c>
      <c r="L2534" s="266" t="s">
        <v>3460</v>
      </c>
      <c r="M2534" s="266" t="s">
        <v>166</v>
      </c>
      <c r="N2534" s="266">
        <v>3.0</v>
      </c>
      <c r="O2534" s="266">
        <v>3.0</v>
      </c>
      <c r="P2534" s="266" t="s">
        <v>166</v>
      </c>
      <c r="Q2534" s="266" t="s">
        <v>166</v>
      </c>
      <c r="R2534" s="266" t="s">
        <v>174</v>
      </c>
      <c r="S2534" s="497" t="s">
        <v>166</v>
      </c>
      <c r="T2534" s="494"/>
    </row>
    <row r="2535">
      <c r="A2535" s="494" t="s">
        <v>3401</v>
      </c>
      <c r="B2535" s="495" t="s">
        <v>4430</v>
      </c>
      <c r="C2535" s="452" t="str">
        <f t="shared" ref="C2535:C2539" si="371">HYPERLINK("http://www.inno3d.com/","Inno3D")</f>
        <v>Inno3D</v>
      </c>
      <c r="D2535" s="452" t="s">
        <v>351</v>
      </c>
      <c r="E2535" s="635">
        <v>300.0</v>
      </c>
      <c r="F2535" s="513">
        <v>112.0</v>
      </c>
      <c r="G2535" s="513">
        <v>40.0</v>
      </c>
      <c r="H2535" s="266">
        <v>2.0</v>
      </c>
      <c r="I2535" s="266">
        <v>1695.0</v>
      </c>
      <c r="J2535" s="266">
        <v>19.5</v>
      </c>
      <c r="K2535" s="266">
        <v>350.0</v>
      </c>
      <c r="L2535" s="266" t="s">
        <v>3460</v>
      </c>
      <c r="M2535" s="266">
        <v>3.0</v>
      </c>
      <c r="N2535" s="266">
        <v>3.0</v>
      </c>
      <c r="O2535" s="266">
        <v>1.0</v>
      </c>
      <c r="P2535" s="266" t="s">
        <v>166</v>
      </c>
      <c r="Q2535" s="266" t="s">
        <v>166</v>
      </c>
      <c r="R2535" s="266" t="s">
        <v>166</v>
      </c>
      <c r="S2535" s="497" t="s">
        <v>166</v>
      </c>
      <c r="T2535" s="496"/>
    </row>
    <row r="2536">
      <c r="A2536" s="494" t="s">
        <v>3401</v>
      </c>
      <c r="B2536" s="495" t="s">
        <v>4430</v>
      </c>
      <c r="C2536" s="452" t="str">
        <f t="shared" si="371"/>
        <v>Inno3D</v>
      </c>
      <c r="D2536" s="452" t="s">
        <v>4439</v>
      </c>
      <c r="E2536" s="635">
        <v>300.0</v>
      </c>
      <c r="F2536" s="513">
        <v>135.0</v>
      </c>
      <c r="G2536" s="513">
        <v>60.0</v>
      </c>
      <c r="H2536" s="266">
        <v>2.0</v>
      </c>
      <c r="I2536" s="266">
        <v>1695.0</v>
      </c>
      <c r="J2536" s="266">
        <v>19.5</v>
      </c>
      <c r="K2536" s="266">
        <v>350.0</v>
      </c>
      <c r="L2536" s="266" t="s">
        <v>3460</v>
      </c>
      <c r="M2536" s="266">
        <v>3.0</v>
      </c>
      <c r="N2536" s="266">
        <v>3.0</v>
      </c>
      <c r="O2536" s="266">
        <v>1.0</v>
      </c>
      <c r="P2536" s="266" t="s">
        <v>166</v>
      </c>
      <c r="Q2536" s="266" t="s">
        <v>166</v>
      </c>
      <c r="R2536" s="266" t="s">
        <v>166</v>
      </c>
      <c r="S2536" s="497" t="s">
        <v>166</v>
      </c>
      <c r="T2536" s="496"/>
    </row>
    <row r="2537">
      <c r="A2537" s="494" t="s">
        <v>3401</v>
      </c>
      <c r="B2537" s="495" t="s">
        <v>4430</v>
      </c>
      <c r="C2537" s="452" t="str">
        <f t="shared" si="371"/>
        <v>Inno3D</v>
      </c>
      <c r="D2537" s="452" t="s">
        <v>3921</v>
      </c>
      <c r="E2537" s="635">
        <v>300.0</v>
      </c>
      <c r="F2537" s="513">
        <v>135.0</v>
      </c>
      <c r="G2537" s="513">
        <v>60.0</v>
      </c>
      <c r="H2537" s="513">
        <v>2.0</v>
      </c>
      <c r="I2537" s="513">
        <v>1755.0</v>
      </c>
      <c r="J2537" s="266">
        <v>19.5</v>
      </c>
      <c r="K2537" s="266">
        <v>370.0</v>
      </c>
      <c r="L2537" s="266" t="s">
        <v>3460</v>
      </c>
      <c r="M2537" s="266">
        <v>3.0</v>
      </c>
      <c r="N2537" s="266">
        <v>3.0</v>
      </c>
      <c r="O2537" s="266">
        <v>1.0</v>
      </c>
      <c r="P2537" s="266" t="s">
        <v>166</v>
      </c>
      <c r="Q2537" s="266" t="s">
        <v>166</v>
      </c>
      <c r="R2537" s="266" t="s">
        <v>166</v>
      </c>
      <c r="S2537" s="497" t="s">
        <v>166</v>
      </c>
      <c r="T2537" s="496"/>
    </row>
    <row r="2538">
      <c r="A2538" s="494" t="s">
        <v>3401</v>
      </c>
      <c r="B2538" s="495" t="s">
        <v>4430</v>
      </c>
      <c r="C2538" s="452" t="str">
        <f t="shared" si="371"/>
        <v>Inno3D</v>
      </c>
      <c r="D2538" s="452" t="s">
        <v>4304</v>
      </c>
      <c r="E2538" s="635">
        <v>300.0</v>
      </c>
      <c r="F2538" s="513">
        <v>135.0</v>
      </c>
      <c r="G2538" s="513">
        <v>60.0</v>
      </c>
      <c r="H2538" s="513">
        <v>2.0</v>
      </c>
      <c r="I2538" s="513">
        <v>1755.0</v>
      </c>
      <c r="J2538" s="266">
        <v>19.5</v>
      </c>
      <c r="K2538" s="266">
        <v>370.0</v>
      </c>
      <c r="L2538" s="266" t="s">
        <v>3460</v>
      </c>
      <c r="M2538" s="266">
        <v>4.0</v>
      </c>
      <c r="N2538" s="266">
        <v>3.0</v>
      </c>
      <c r="O2538" s="266">
        <v>1.0</v>
      </c>
      <c r="P2538" s="266" t="s">
        <v>166</v>
      </c>
      <c r="Q2538" s="266" t="s">
        <v>166</v>
      </c>
      <c r="R2538" s="266" t="s">
        <v>166</v>
      </c>
      <c r="S2538" s="497" t="s">
        <v>166</v>
      </c>
      <c r="T2538" s="496"/>
    </row>
    <row r="2539">
      <c r="A2539" s="494" t="s">
        <v>3401</v>
      </c>
      <c r="B2539" s="495" t="s">
        <v>4430</v>
      </c>
      <c r="C2539" s="452" t="str">
        <f t="shared" si="371"/>
        <v>Inno3D</v>
      </c>
      <c r="D2539" s="452" t="s">
        <v>3618</v>
      </c>
      <c r="E2539" s="635">
        <v>226.0</v>
      </c>
      <c r="F2539" s="513">
        <v>135.0</v>
      </c>
      <c r="G2539" s="513">
        <v>30.0</v>
      </c>
      <c r="H2539" s="513">
        <v>2.0</v>
      </c>
      <c r="I2539" s="513">
        <v>1755.0</v>
      </c>
      <c r="J2539" s="266">
        <v>19.5</v>
      </c>
      <c r="K2539" s="266">
        <v>350.0</v>
      </c>
      <c r="L2539" s="266" t="s">
        <v>3460</v>
      </c>
      <c r="M2539" s="266" t="s">
        <v>166</v>
      </c>
      <c r="N2539" s="266">
        <v>3.0</v>
      </c>
      <c r="O2539" s="266">
        <v>1.0</v>
      </c>
      <c r="P2539" s="266" t="s">
        <v>166</v>
      </c>
      <c r="Q2539" s="266" t="s">
        <v>166</v>
      </c>
      <c r="R2539" s="266" t="s">
        <v>174</v>
      </c>
      <c r="S2539" s="497" t="s">
        <v>166</v>
      </c>
      <c r="T2539" s="494"/>
    </row>
    <row r="2540">
      <c r="A2540" s="494" t="s">
        <v>3401</v>
      </c>
      <c r="B2540" s="495" t="s">
        <v>4430</v>
      </c>
      <c r="C2540" s="452" t="s">
        <v>3538</v>
      </c>
      <c r="D2540" s="452" t="s">
        <v>3600</v>
      </c>
      <c r="E2540" s="266">
        <v>323.0</v>
      </c>
      <c r="F2540" s="518">
        <v>122.0</v>
      </c>
      <c r="G2540" s="518">
        <v>63.0</v>
      </c>
      <c r="H2540" s="518">
        <v>2.0</v>
      </c>
      <c r="I2540" s="518">
        <v>1695.0</v>
      </c>
      <c r="J2540" s="266">
        <v>19.5</v>
      </c>
      <c r="K2540" s="266">
        <v>350.0</v>
      </c>
      <c r="L2540" s="266" t="s">
        <v>3460</v>
      </c>
      <c r="M2540" s="266">
        <v>3.0</v>
      </c>
      <c r="N2540" s="266">
        <v>3.0</v>
      </c>
      <c r="O2540" s="266">
        <v>1.0</v>
      </c>
      <c r="P2540" s="266" t="s">
        <v>166</v>
      </c>
      <c r="Q2540" s="266" t="s">
        <v>166</v>
      </c>
      <c r="R2540" s="266" t="s">
        <v>166</v>
      </c>
      <c r="S2540" s="497" t="s">
        <v>166</v>
      </c>
      <c r="T2540" s="496"/>
    </row>
    <row r="2541">
      <c r="A2541" s="494" t="s">
        <v>3401</v>
      </c>
      <c r="B2541" s="495" t="s">
        <v>4430</v>
      </c>
      <c r="C2541" s="452" t="str">
        <f t="shared" ref="C2541:C2543" si="372">HYPERLINK("http://manli.com/en","Manli")</f>
        <v>Manli</v>
      </c>
      <c r="D2541" s="452" t="s">
        <v>4440</v>
      </c>
      <c r="E2541" s="266">
        <v>317.0</v>
      </c>
      <c r="F2541" s="518">
        <v>115.0</v>
      </c>
      <c r="G2541" s="518">
        <v>60.0</v>
      </c>
      <c r="H2541" s="518">
        <v>2.0</v>
      </c>
      <c r="I2541" s="518">
        <v>1695.0</v>
      </c>
      <c r="J2541" s="266">
        <v>19.5</v>
      </c>
      <c r="K2541" s="266">
        <v>350.0</v>
      </c>
      <c r="L2541" s="266" t="s">
        <v>3460</v>
      </c>
      <c r="M2541" s="266">
        <v>3.0</v>
      </c>
      <c r="N2541" s="266">
        <v>3.0</v>
      </c>
      <c r="O2541" s="266">
        <v>1.0</v>
      </c>
      <c r="P2541" s="266" t="s">
        <v>166</v>
      </c>
      <c r="Q2541" s="266" t="s">
        <v>166</v>
      </c>
      <c r="R2541" s="266" t="s">
        <v>166</v>
      </c>
      <c r="S2541" s="497" t="s">
        <v>166</v>
      </c>
      <c r="T2541" s="496"/>
    </row>
    <row r="2542">
      <c r="A2542" s="494" t="s">
        <v>3401</v>
      </c>
      <c r="B2542" s="495" t="s">
        <v>4430</v>
      </c>
      <c r="C2542" s="452" t="str">
        <f t="shared" si="372"/>
        <v>Manli</v>
      </c>
      <c r="D2542" s="452" t="s">
        <v>4441</v>
      </c>
      <c r="E2542" s="266">
        <v>317.0</v>
      </c>
      <c r="F2542" s="518">
        <v>115.0</v>
      </c>
      <c r="G2542" s="518">
        <v>60.0</v>
      </c>
      <c r="H2542" s="518">
        <v>2.0</v>
      </c>
      <c r="I2542" s="518">
        <v>1710.0</v>
      </c>
      <c r="J2542" s="266">
        <v>19.5</v>
      </c>
      <c r="K2542" s="266">
        <v>350.0</v>
      </c>
      <c r="L2542" s="266" t="s">
        <v>3460</v>
      </c>
      <c r="M2542" s="266">
        <v>3.0</v>
      </c>
      <c r="N2542" s="266">
        <v>3.0</v>
      </c>
      <c r="O2542" s="266">
        <v>1.0</v>
      </c>
      <c r="P2542" s="266" t="s">
        <v>166</v>
      </c>
      <c r="Q2542" s="266" t="s">
        <v>166</v>
      </c>
      <c r="R2542" s="266" t="s">
        <v>166</v>
      </c>
      <c r="S2542" s="497" t="s">
        <v>166</v>
      </c>
      <c r="T2542" s="496"/>
    </row>
    <row r="2543">
      <c r="A2543" s="494" t="s">
        <v>3401</v>
      </c>
      <c r="B2543" s="495" t="s">
        <v>4430</v>
      </c>
      <c r="C2543" s="452" t="str">
        <f t="shared" si="372"/>
        <v>Manli</v>
      </c>
      <c r="D2543" s="452" t="s">
        <v>4392</v>
      </c>
      <c r="E2543" s="266">
        <v>317.0</v>
      </c>
      <c r="F2543" s="518">
        <v>115.0</v>
      </c>
      <c r="G2543" s="518">
        <v>60.0</v>
      </c>
      <c r="H2543" s="518">
        <v>2.0</v>
      </c>
      <c r="I2543" s="518">
        <v>1710.0</v>
      </c>
      <c r="J2543" s="266">
        <v>19.5</v>
      </c>
      <c r="K2543" s="266">
        <v>350.0</v>
      </c>
      <c r="L2543" s="266" t="s">
        <v>3460</v>
      </c>
      <c r="M2543" s="266">
        <v>3.0</v>
      </c>
      <c r="N2543" s="266">
        <v>3.0</v>
      </c>
      <c r="O2543" s="266">
        <v>1.0</v>
      </c>
      <c r="P2543" s="266" t="s">
        <v>166</v>
      </c>
      <c r="Q2543" s="266" t="s">
        <v>166</v>
      </c>
      <c r="R2543" s="266" t="s">
        <v>166</v>
      </c>
      <c r="S2543" s="497" t="s">
        <v>166</v>
      </c>
      <c r="T2543" s="496"/>
    </row>
    <row r="2544">
      <c r="A2544" s="494" t="s">
        <v>3401</v>
      </c>
      <c r="B2544" s="495" t="s">
        <v>4430</v>
      </c>
      <c r="C2544" s="174" t="str">
        <f t="shared" ref="C2544:C2550" si="373">HYPERLINK("https://www.msi.com/index.php","MSI")</f>
        <v>MSI</v>
      </c>
      <c r="D2544" s="589" t="s">
        <v>3850</v>
      </c>
      <c r="E2544" s="266">
        <v>300.0</v>
      </c>
      <c r="F2544" s="518">
        <v>111.15</v>
      </c>
      <c r="G2544" s="518">
        <v>38.67</v>
      </c>
      <c r="H2544" s="518">
        <v>2.0</v>
      </c>
      <c r="I2544" s="518">
        <v>1695.0</v>
      </c>
      <c r="J2544" s="266">
        <v>19.5</v>
      </c>
      <c r="K2544" s="266">
        <v>350.0</v>
      </c>
      <c r="L2544" s="266" t="s">
        <v>3460</v>
      </c>
      <c r="M2544" s="266">
        <v>1.0</v>
      </c>
      <c r="N2544" s="266">
        <v>3.0</v>
      </c>
      <c r="O2544" s="266">
        <v>1.0</v>
      </c>
      <c r="P2544" s="266" t="s">
        <v>166</v>
      </c>
      <c r="Q2544" s="266" t="s">
        <v>166</v>
      </c>
      <c r="R2544" s="266" t="s">
        <v>166</v>
      </c>
      <c r="S2544" s="507" t="s">
        <v>174</v>
      </c>
      <c r="T2544" s="504"/>
    </row>
    <row r="2545">
      <c r="A2545" s="494" t="s">
        <v>3401</v>
      </c>
      <c r="B2545" s="495" t="s">
        <v>4430</v>
      </c>
      <c r="C2545" s="174" t="str">
        <f t="shared" si="373"/>
        <v>MSI</v>
      </c>
      <c r="D2545" s="452" t="s">
        <v>4146</v>
      </c>
      <c r="E2545" s="266">
        <v>305.0</v>
      </c>
      <c r="F2545" s="518">
        <v>120.0</v>
      </c>
      <c r="G2545" s="518">
        <v>57.0</v>
      </c>
      <c r="H2545" s="518">
        <v>2.0</v>
      </c>
      <c r="I2545" s="518">
        <v>1695.0</v>
      </c>
      <c r="J2545" s="266">
        <v>19.5</v>
      </c>
      <c r="K2545" s="266">
        <v>350.0</v>
      </c>
      <c r="L2545" s="266" t="s">
        <v>3460</v>
      </c>
      <c r="M2545" s="266">
        <v>3.0</v>
      </c>
      <c r="N2545" s="266">
        <v>3.0</v>
      </c>
      <c r="O2545" s="266">
        <v>1.0</v>
      </c>
      <c r="P2545" s="266" t="s">
        <v>166</v>
      </c>
      <c r="Q2545" s="266" t="s">
        <v>166</v>
      </c>
      <c r="R2545" s="266" t="s">
        <v>166</v>
      </c>
      <c r="S2545" s="497" t="s">
        <v>166</v>
      </c>
      <c r="T2545" s="496"/>
    </row>
    <row r="2546">
      <c r="A2546" s="494" t="s">
        <v>3401</v>
      </c>
      <c r="B2546" s="495" t="s">
        <v>4430</v>
      </c>
      <c r="C2546" s="174" t="str">
        <f t="shared" si="373"/>
        <v>MSI</v>
      </c>
      <c r="D2546" s="452" t="s">
        <v>4147</v>
      </c>
      <c r="E2546" s="266">
        <v>305.0</v>
      </c>
      <c r="F2546" s="518">
        <v>120.0</v>
      </c>
      <c r="G2546" s="518">
        <v>57.0</v>
      </c>
      <c r="H2546" s="518">
        <v>2.0</v>
      </c>
      <c r="I2546" s="518">
        <v>1725.0</v>
      </c>
      <c r="J2546" s="266">
        <v>19.5</v>
      </c>
      <c r="K2546" s="266">
        <v>350.0</v>
      </c>
      <c r="L2546" s="266" t="s">
        <v>3460</v>
      </c>
      <c r="M2546" s="266">
        <v>3.0</v>
      </c>
      <c r="N2546" s="266">
        <v>3.0</v>
      </c>
      <c r="O2546" s="266">
        <v>1.0</v>
      </c>
      <c r="P2546" s="266" t="s">
        <v>166</v>
      </c>
      <c r="Q2546" s="266" t="s">
        <v>166</v>
      </c>
      <c r="R2546" s="266" t="s">
        <v>166</v>
      </c>
      <c r="S2546" s="497" t="s">
        <v>166</v>
      </c>
      <c r="T2546" s="496"/>
    </row>
    <row r="2547">
      <c r="A2547" s="494" t="s">
        <v>3401</v>
      </c>
      <c r="B2547" s="495" t="s">
        <v>4430</v>
      </c>
      <c r="C2547" s="174" t="str">
        <f t="shared" si="373"/>
        <v>MSI</v>
      </c>
      <c r="D2547" s="452" t="s">
        <v>3720</v>
      </c>
      <c r="E2547" s="266">
        <v>335.0</v>
      </c>
      <c r="F2547" s="518">
        <v>140.0</v>
      </c>
      <c r="G2547" s="518">
        <v>56.0</v>
      </c>
      <c r="H2547" s="518">
        <v>2.0</v>
      </c>
      <c r="I2547" s="518">
        <v>1740.0</v>
      </c>
      <c r="J2547" s="266">
        <v>19.5</v>
      </c>
      <c r="K2547" s="266">
        <v>370.0</v>
      </c>
      <c r="L2547" s="266" t="s">
        <v>3734</v>
      </c>
      <c r="M2547" s="266">
        <v>3.0</v>
      </c>
      <c r="N2547" s="266">
        <v>3.0</v>
      </c>
      <c r="O2547" s="266">
        <v>1.0</v>
      </c>
      <c r="P2547" s="266" t="s">
        <v>166</v>
      </c>
      <c r="Q2547" s="266" t="s">
        <v>166</v>
      </c>
      <c r="R2547" s="266" t="s">
        <v>166</v>
      </c>
      <c r="S2547" s="497" t="s">
        <v>166</v>
      </c>
      <c r="T2547" s="496"/>
    </row>
    <row r="2548">
      <c r="A2548" s="494" t="s">
        <v>3401</v>
      </c>
      <c r="B2548" s="495" t="s">
        <v>4430</v>
      </c>
      <c r="C2548" s="174" t="str">
        <f t="shared" si="373"/>
        <v>MSI</v>
      </c>
      <c r="D2548" s="452" t="s">
        <v>3721</v>
      </c>
      <c r="E2548" s="266">
        <v>335.0</v>
      </c>
      <c r="F2548" s="518">
        <v>140.0</v>
      </c>
      <c r="G2548" s="518">
        <v>56.0</v>
      </c>
      <c r="H2548" s="518">
        <v>2.0</v>
      </c>
      <c r="I2548" s="518">
        <v>1785.0</v>
      </c>
      <c r="J2548" s="266">
        <v>19.5</v>
      </c>
      <c r="K2548" s="266">
        <v>370.0</v>
      </c>
      <c r="L2548" s="266" t="s">
        <v>3734</v>
      </c>
      <c r="M2548" s="266">
        <v>3.0</v>
      </c>
      <c r="N2548" s="266">
        <v>3.0</v>
      </c>
      <c r="O2548" s="266">
        <v>1.0</v>
      </c>
      <c r="P2548" s="266" t="s">
        <v>166</v>
      </c>
      <c r="Q2548" s="266" t="s">
        <v>166</v>
      </c>
      <c r="R2548" s="266" t="s">
        <v>166</v>
      </c>
      <c r="S2548" s="497" t="s">
        <v>166</v>
      </c>
      <c r="T2548" s="496"/>
    </row>
    <row r="2549">
      <c r="A2549" s="494" t="s">
        <v>3401</v>
      </c>
      <c r="B2549" s="495" t="s">
        <v>4430</v>
      </c>
      <c r="C2549" s="174" t="str">
        <f t="shared" si="373"/>
        <v>MSI</v>
      </c>
      <c r="D2549" s="537" t="s">
        <v>4316</v>
      </c>
      <c r="E2549" s="266">
        <v>336.0</v>
      </c>
      <c r="F2549" s="518">
        <v>140.0</v>
      </c>
      <c r="G2549" s="518">
        <v>61.0</v>
      </c>
      <c r="H2549" s="518">
        <v>2.0</v>
      </c>
      <c r="I2549" s="518">
        <v>1815.0</v>
      </c>
      <c r="J2549" s="266">
        <v>19.5</v>
      </c>
      <c r="K2549" s="266">
        <v>420.0</v>
      </c>
      <c r="L2549" s="266" t="s">
        <v>3734</v>
      </c>
      <c r="M2549" s="266">
        <v>3.0</v>
      </c>
      <c r="N2549" s="266">
        <v>3.0</v>
      </c>
      <c r="O2549" s="266">
        <v>1.0</v>
      </c>
      <c r="P2549" s="266" t="s">
        <v>166</v>
      </c>
      <c r="Q2549" s="266" t="s">
        <v>166</v>
      </c>
      <c r="R2549" s="266" t="s">
        <v>166</v>
      </c>
      <c r="S2549" s="497" t="s">
        <v>166</v>
      </c>
      <c r="T2549" s="496"/>
    </row>
    <row r="2550">
      <c r="A2550" s="494" t="s">
        <v>3401</v>
      </c>
      <c r="B2550" s="495" t="s">
        <v>4430</v>
      </c>
      <c r="C2550" s="174" t="str">
        <f t="shared" si="373"/>
        <v>MSI</v>
      </c>
      <c r="D2550" s="537" t="s">
        <v>4318</v>
      </c>
      <c r="E2550" s="266">
        <v>336.0</v>
      </c>
      <c r="F2550" s="518">
        <v>140.0</v>
      </c>
      <c r="G2550" s="518">
        <v>61.0</v>
      </c>
      <c r="H2550" s="518">
        <v>2.0</v>
      </c>
      <c r="I2550" s="518">
        <v>1875.0</v>
      </c>
      <c r="J2550" s="266">
        <v>19.5</v>
      </c>
      <c r="K2550" s="266">
        <v>420.0</v>
      </c>
      <c r="L2550" s="266" t="s">
        <v>3734</v>
      </c>
      <c r="M2550" s="266">
        <v>3.0</v>
      </c>
      <c r="N2550" s="266">
        <v>3.0</v>
      </c>
      <c r="O2550" s="266">
        <v>1.0</v>
      </c>
      <c r="P2550" s="266" t="s">
        <v>166</v>
      </c>
      <c r="Q2550" s="266" t="s">
        <v>166</v>
      </c>
      <c r="R2550" s="266" t="s">
        <v>166</v>
      </c>
      <c r="S2550" s="497" t="s">
        <v>166</v>
      </c>
      <c r="T2550" s="496"/>
    </row>
    <row r="2551">
      <c r="A2551" s="494" t="s">
        <v>3401</v>
      </c>
      <c r="B2551" s="495" t="s">
        <v>4430</v>
      </c>
      <c r="C2551" s="452" t="str">
        <f>HYPERLINK("https://www.nvidia.com/en-us/","Nvidia")</f>
        <v>Nvidia</v>
      </c>
      <c r="D2551" s="452" t="s">
        <v>3812</v>
      </c>
      <c r="E2551" s="266">
        <v>313.0</v>
      </c>
      <c r="F2551" s="518">
        <v>138.0</v>
      </c>
      <c r="G2551" s="518">
        <v>55.0</v>
      </c>
      <c r="H2551" s="518">
        <v>3.0</v>
      </c>
      <c r="I2551" s="518">
        <v>1700.0</v>
      </c>
      <c r="J2551" s="518">
        <v>19.5</v>
      </c>
      <c r="K2551" s="266">
        <v>350.0</v>
      </c>
      <c r="L2551" s="266">
        <v>12.0</v>
      </c>
      <c r="M2551" s="266">
        <v>2.0</v>
      </c>
      <c r="N2551" s="266">
        <v>3.0</v>
      </c>
      <c r="O2551" s="266">
        <v>1.0</v>
      </c>
      <c r="P2551" s="266" t="s">
        <v>166</v>
      </c>
      <c r="Q2551" s="266" t="s">
        <v>166</v>
      </c>
      <c r="R2551" s="266" t="s">
        <v>166</v>
      </c>
      <c r="S2551" s="497" t="s">
        <v>166</v>
      </c>
      <c r="T2551" s="496"/>
    </row>
    <row r="2552">
      <c r="A2552" s="494" t="s">
        <v>3401</v>
      </c>
      <c r="B2552" s="495" t="s">
        <v>4430</v>
      </c>
      <c r="C2552" s="452" t="str">
        <f t="shared" ref="C2552:C2555" si="374">HYPERLINK("http://www.palit.com/palit/index.php?lang=en","Palit")</f>
        <v>Palit</v>
      </c>
      <c r="D2552" s="452" t="s">
        <v>4067</v>
      </c>
      <c r="E2552" s="266">
        <v>294.0</v>
      </c>
      <c r="F2552" s="266">
        <v>112.0</v>
      </c>
      <c r="G2552" s="266">
        <v>60.0</v>
      </c>
      <c r="H2552" s="518">
        <v>2.0</v>
      </c>
      <c r="I2552" s="518">
        <v>1695.0</v>
      </c>
      <c r="J2552" s="518">
        <v>19.5</v>
      </c>
      <c r="K2552" s="266">
        <v>350.0</v>
      </c>
      <c r="L2552" s="266" t="s">
        <v>3460</v>
      </c>
      <c r="M2552" s="266">
        <v>3.0</v>
      </c>
      <c r="N2552" s="266">
        <v>3.0</v>
      </c>
      <c r="O2552" s="266">
        <v>1.0</v>
      </c>
      <c r="P2552" s="266" t="s">
        <v>166</v>
      </c>
      <c r="Q2552" s="266" t="s">
        <v>166</v>
      </c>
      <c r="R2552" s="266" t="s">
        <v>166</v>
      </c>
      <c r="S2552" s="497" t="s">
        <v>166</v>
      </c>
      <c r="T2552" s="496"/>
    </row>
    <row r="2553">
      <c r="A2553" s="494" t="s">
        <v>3401</v>
      </c>
      <c r="B2553" s="495" t="s">
        <v>4430</v>
      </c>
      <c r="C2553" s="452" t="str">
        <f t="shared" si="374"/>
        <v>Palit</v>
      </c>
      <c r="D2553" s="452" t="s">
        <v>4068</v>
      </c>
      <c r="E2553" s="266">
        <v>294.0</v>
      </c>
      <c r="F2553" s="266">
        <v>112.0</v>
      </c>
      <c r="G2553" s="266">
        <v>60.0</v>
      </c>
      <c r="H2553" s="518">
        <v>2.0</v>
      </c>
      <c r="I2553" s="518">
        <v>1725.0</v>
      </c>
      <c r="J2553" s="518">
        <v>19.5</v>
      </c>
      <c r="K2553" s="266">
        <v>350.0</v>
      </c>
      <c r="L2553" s="266" t="s">
        <v>3460</v>
      </c>
      <c r="M2553" s="266">
        <v>3.0</v>
      </c>
      <c r="N2553" s="266">
        <v>3.0</v>
      </c>
      <c r="O2553" s="266">
        <v>1.0</v>
      </c>
      <c r="P2553" s="266" t="s">
        <v>166</v>
      </c>
      <c r="Q2553" s="266" t="s">
        <v>166</v>
      </c>
      <c r="R2553" s="266" t="s">
        <v>166</v>
      </c>
      <c r="S2553" s="497" t="s">
        <v>166</v>
      </c>
      <c r="T2553" s="496"/>
    </row>
    <row r="2554">
      <c r="A2554" s="494" t="s">
        <v>3401</v>
      </c>
      <c r="B2554" s="495" t="s">
        <v>4430</v>
      </c>
      <c r="C2554" s="452" t="str">
        <f t="shared" si="374"/>
        <v>Palit</v>
      </c>
      <c r="D2554" s="452" t="s">
        <v>4000</v>
      </c>
      <c r="E2554" s="266">
        <v>304.0</v>
      </c>
      <c r="F2554" s="518">
        <v>136.0</v>
      </c>
      <c r="G2554" s="518">
        <v>60.0</v>
      </c>
      <c r="H2554" s="518">
        <v>2.0</v>
      </c>
      <c r="I2554" s="518">
        <v>1740.0</v>
      </c>
      <c r="J2554" s="518">
        <v>19.5</v>
      </c>
      <c r="K2554" s="266">
        <v>370.0</v>
      </c>
      <c r="L2554" s="266" t="s">
        <v>3734</v>
      </c>
      <c r="M2554" s="266">
        <v>3.0</v>
      </c>
      <c r="N2554" s="266">
        <v>3.0</v>
      </c>
      <c r="O2554" s="266">
        <v>1.0</v>
      </c>
      <c r="P2554" s="266" t="s">
        <v>166</v>
      </c>
      <c r="Q2554" s="266" t="s">
        <v>166</v>
      </c>
      <c r="R2554" s="266" t="s">
        <v>166</v>
      </c>
      <c r="S2554" s="497" t="s">
        <v>166</v>
      </c>
      <c r="T2554" s="496"/>
    </row>
    <row r="2555">
      <c r="A2555" s="494" t="s">
        <v>3401</v>
      </c>
      <c r="B2555" s="495" t="s">
        <v>4430</v>
      </c>
      <c r="C2555" s="452" t="str">
        <f t="shared" si="374"/>
        <v>Palit</v>
      </c>
      <c r="D2555" s="452" t="s">
        <v>4324</v>
      </c>
      <c r="E2555" s="266">
        <v>304.0</v>
      </c>
      <c r="F2555" s="518">
        <v>136.0</v>
      </c>
      <c r="G2555" s="518">
        <v>60.0</v>
      </c>
      <c r="H2555" s="518">
        <v>2.0</v>
      </c>
      <c r="I2555" s="518">
        <v>1845.0</v>
      </c>
      <c r="J2555" s="518">
        <v>19.5</v>
      </c>
      <c r="K2555" s="266">
        <v>420.0</v>
      </c>
      <c r="L2555" s="266" t="s">
        <v>3734</v>
      </c>
      <c r="M2555" s="266">
        <v>3.0</v>
      </c>
      <c r="N2555" s="266">
        <v>3.0</v>
      </c>
      <c r="O2555" s="266">
        <v>1.0</v>
      </c>
      <c r="P2555" s="266" t="s">
        <v>166</v>
      </c>
      <c r="Q2555" s="266" t="s">
        <v>166</v>
      </c>
      <c r="R2555" s="266" t="s">
        <v>166</v>
      </c>
      <c r="S2555" s="497" t="s">
        <v>166</v>
      </c>
      <c r="T2555" s="496"/>
    </row>
    <row r="2556">
      <c r="A2556" s="494" t="s">
        <v>3401</v>
      </c>
      <c r="B2556" s="495" t="s">
        <v>4430</v>
      </c>
      <c r="C2556" s="452" t="str">
        <f t="shared" ref="C2556:C2557" si="375">HYPERLINK("https://pny.com/","PNY")</f>
        <v>PNY</v>
      </c>
      <c r="D2556" s="452" t="s">
        <v>4326</v>
      </c>
      <c r="E2556" s="266">
        <v>294.0</v>
      </c>
      <c r="F2556" s="266">
        <v>112.0</v>
      </c>
      <c r="G2556" s="266">
        <v>56.0</v>
      </c>
      <c r="H2556" s="518">
        <v>2.0</v>
      </c>
      <c r="I2556" s="518">
        <v>1695.0</v>
      </c>
      <c r="J2556" s="518">
        <v>19.5</v>
      </c>
      <c r="K2556" s="266">
        <v>350.0</v>
      </c>
      <c r="L2556" s="266" t="s">
        <v>3460</v>
      </c>
      <c r="M2556" s="266">
        <v>3.0</v>
      </c>
      <c r="N2556" s="266">
        <v>3.0</v>
      </c>
      <c r="O2556" s="266">
        <v>1.0</v>
      </c>
      <c r="P2556" s="266" t="s">
        <v>166</v>
      </c>
      <c r="Q2556" s="266" t="s">
        <v>166</v>
      </c>
      <c r="R2556" s="266" t="s">
        <v>166</v>
      </c>
      <c r="S2556" s="497" t="s">
        <v>166</v>
      </c>
      <c r="T2556" s="496"/>
    </row>
    <row r="2557">
      <c r="A2557" s="494" t="s">
        <v>3401</v>
      </c>
      <c r="B2557" s="495" t="s">
        <v>4430</v>
      </c>
      <c r="C2557" s="452" t="str">
        <f t="shared" si="375"/>
        <v>PNY</v>
      </c>
      <c r="D2557" s="452" t="s">
        <v>4353</v>
      </c>
      <c r="E2557" s="266">
        <v>294.0</v>
      </c>
      <c r="F2557" s="266">
        <v>112.0</v>
      </c>
      <c r="G2557" s="266">
        <v>56.0</v>
      </c>
      <c r="H2557" s="518">
        <v>2.0</v>
      </c>
      <c r="I2557" s="518">
        <v>1695.0</v>
      </c>
      <c r="J2557" s="518">
        <v>19.5</v>
      </c>
      <c r="K2557" s="266">
        <v>350.0</v>
      </c>
      <c r="L2557" s="266" t="s">
        <v>3460</v>
      </c>
      <c r="M2557" s="266">
        <v>3.0</v>
      </c>
      <c r="N2557" s="266">
        <v>3.0</v>
      </c>
      <c r="O2557" s="266">
        <v>1.0</v>
      </c>
      <c r="P2557" s="266" t="s">
        <v>166</v>
      </c>
      <c r="Q2557" s="266" t="s">
        <v>166</v>
      </c>
      <c r="R2557" s="266" t="s">
        <v>166</v>
      </c>
      <c r="S2557" s="497" t="s">
        <v>166</v>
      </c>
      <c r="T2557" s="496"/>
    </row>
    <row r="2558">
      <c r="A2558" s="494" t="s">
        <v>3401</v>
      </c>
      <c r="B2558" s="495" t="s">
        <v>4430</v>
      </c>
      <c r="C2558" s="452" t="str">
        <f t="shared" ref="C2558:C2565" si="376">HYPERLINK("http://zotac.com/","ZOTAC")</f>
        <v>ZOTAC</v>
      </c>
      <c r="D2558" s="452" t="s">
        <v>4328</v>
      </c>
      <c r="E2558" s="266">
        <v>311.0</v>
      </c>
      <c r="F2558" s="266">
        <v>118.0</v>
      </c>
      <c r="G2558" s="266">
        <v>61.0</v>
      </c>
      <c r="H2558" s="518">
        <v>2.0</v>
      </c>
      <c r="I2558" s="518">
        <v>1710.0</v>
      </c>
      <c r="J2558" s="518">
        <v>19.5</v>
      </c>
      <c r="K2558" s="266">
        <v>350.0</v>
      </c>
      <c r="L2558" s="266" t="s">
        <v>3460</v>
      </c>
      <c r="M2558" s="266">
        <v>3.0</v>
      </c>
      <c r="N2558" s="266">
        <v>3.0</v>
      </c>
      <c r="O2558" s="266">
        <v>1.0</v>
      </c>
      <c r="P2558" s="266" t="s">
        <v>166</v>
      </c>
      <c r="Q2558" s="266" t="s">
        <v>166</v>
      </c>
      <c r="R2558" s="266" t="s">
        <v>166</v>
      </c>
      <c r="S2558" s="497" t="s">
        <v>166</v>
      </c>
      <c r="T2558" s="496"/>
    </row>
    <row r="2559">
      <c r="A2559" s="494" t="s">
        <v>3401</v>
      </c>
      <c r="B2559" s="495" t="s">
        <v>4430</v>
      </c>
      <c r="C2559" s="452" t="str">
        <f t="shared" si="376"/>
        <v>ZOTAC</v>
      </c>
      <c r="D2559" s="452" t="s">
        <v>4160</v>
      </c>
      <c r="E2559" s="266">
        <v>315.0</v>
      </c>
      <c r="F2559" s="266">
        <v>122.0</v>
      </c>
      <c r="G2559" s="266">
        <v>61.0</v>
      </c>
      <c r="H2559" s="518">
        <v>2.0</v>
      </c>
      <c r="I2559" s="518">
        <v>1725.0</v>
      </c>
      <c r="J2559" s="518">
        <v>19.5</v>
      </c>
      <c r="K2559" s="266">
        <v>350.0</v>
      </c>
      <c r="L2559" s="266" t="s">
        <v>3460</v>
      </c>
      <c r="M2559" s="266">
        <v>3.0</v>
      </c>
      <c r="N2559" s="266">
        <v>3.0</v>
      </c>
      <c r="O2559" s="266">
        <v>1.0</v>
      </c>
      <c r="P2559" s="266" t="s">
        <v>166</v>
      </c>
      <c r="Q2559" s="266" t="s">
        <v>166</v>
      </c>
      <c r="R2559" s="266" t="s">
        <v>166</v>
      </c>
      <c r="S2559" s="497" t="s">
        <v>166</v>
      </c>
      <c r="T2559" s="496"/>
    </row>
    <row r="2560">
      <c r="A2560" s="494" t="s">
        <v>3401</v>
      </c>
      <c r="B2560" s="495" t="s">
        <v>4430</v>
      </c>
      <c r="C2560" s="452" t="str">
        <f t="shared" si="376"/>
        <v>ZOTAC</v>
      </c>
      <c r="D2560" s="452" t="s">
        <v>4251</v>
      </c>
      <c r="E2560" s="266">
        <v>309.0</v>
      </c>
      <c r="F2560" s="266">
        <v>136.0</v>
      </c>
      <c r="G2560" s="266">
        <v>61.0</v>
      </c>
      <c r="H2560" s="518">
        <v>2.0</v>
      </c>
      <c r="I2560" s="518">
        <v>1755.0</v>
      </c>
      <c r="J2560" s="518">
        <v>19.5</v>
      </c>
      <c r="K2560" s="266">
        <v>370.0</v>
      </c>
      <c r="L2560" s="266" t="s">
        <v>3734</v>
      </c>
      <c r="M2560" s="266">
        <v>3.0</v>
      </c>
      <c r="N2560" s="266">
        <v>3.0</v>
      </c>
      <c r="O2560" s="266">
        <v>1.0</v>
      </c>
      <c r="P2560" s="266" t="s">
        <v>166</v>
      </c>
      <c r="Q2560" s="266" t="s">
        <v>166</v>
      </c>
      <c r="R2560" s="266" t="s">
        <v>166</v>
      </c>
      <c r="S2560" s="497" t="s">
        <v>166</v>
      </c>
      <c r="T2560" s="496"/>
    </row>
    <row r="2561">
      <c r="A2561" s="494" t="s">
        <v>3401</v>
      </c>
      <c r="B2561" s="495" t="s">
        <v>4430</v>
      </c>
      <c r="C2561" s="452" t="str">
        <f t="shared" si="376"/>
        <v>ZOTAC</v>
      </c>
      <c r="D2561" s="452" t="s">
        <v>4354</v>
      </c>
      <c r="E2561" s="266">
        <v>317.8</v>
      </c>
      <c r="F2561" s="266">
        <v>120.7</v>
      </c>
      <c r="G2561" s="266">
        <v>58.0</v>
      </c>
      <c r="H2561" s="518">
        <v>2.0</v>
      </c>
      <c r="I2561" s="518">
        <v>1695.0</v>
      </c>
      <c r="J2561" s="518">
        <v>19.5</v>
      </c>
      <c r="K2561" s="266">
        <v>350.0</v>
      </c>
      <c r="L2561" s="266" t="s">
        <v>3460</v>
      </c>
      <c r="M2561" s="266">
        <v>3.0</v>
      </c>
      <c r="N2561" s="266">
        <v>3.0</v>
      </c>
      <c r="O2561" s="266">
        <v>1.0</v>
      </c>
      <c r="P2561" s="266" t="s">
        <v>166</v>
      </c>
      <c r="Q2561" s="266" t="s">
        <v>166</v>
      </c>
      <c r="R2561" s="266" t="s">
        <v>166</v>
      </c>
      <c r="S2561" s="497" t="s">
        <v>166</v>
      </c>
      <c r="T2561" s="496"/>
    </row>
    <row r="2562">
      <c r="A2562" s="494" t="s">
        <v>3401</v>
      </c>
      <c r="B2562" s="495" t="s">
        <v>4430</v>
      </c>
      <c r="C2562" s="452" t="str">
        <f t="shared" si="376"/>
        <v>ZOTAC</v>
      </c>
      <c r="D2562" s="452" t="s">
        <v>4355</v>
      </c>
      <c r="E2562" s="266">
        <v>317.8</v>
      </c>
      <c r="F2562" s="266">
        <v>120.7</v>
      </c>
      <c r="G2562" s="266">
        <v>58.0</v>
      </c>
      <c r="H2562" s="518">
        <v>2.0</v>
      </c>
      <c r="I2562" s="518">
        <v>1710.0</v>
      </c>
      <c r="J2562" s="518">
        <v>19.5</v>
      </c>
      <c r="K2562" s="266">
        <v>350.0</v>
      </c>
      <c r="L2562" s="266" t="s">
        <v>3460</v>
      </c>
      <c r="M2562" s="266">
        <v>3.0</v>
      </c>
      <c r="N2562" s="266">
        <v>3.0</v>
      </c>
      <c r="O2562" s="266">
        <v>1.0</v>
      </c>
      <c r="P2562" s="266" t="s">
        <v>166</v>
      </c>
      <c r="Q2562" s="266" t="s">
        <v>166</v>
      </c>
      <c r="R2562" s="266" t="s">
        <v>166</v>
      </c>
      <c r="S2562" s="497" t="s">
        <v>166</v>
      </c>
      <c r="T2562" s="496"/>
    </row>
    <row r="2563">
      <c r="A2563" s="494" t="s">
        <v>3401</v>
      </c>
      <c r="B2563" s="495" t="s">
        <v>4430</v>
      </c>
      <c r="C2563" s="452" t="str">
        <f t="shared" si="376"/>
        <v>ZOTAC</v>
      </c>
      <c r="D2563" s="452" t="s">
        <v>4442</v>
      </c>
      <c r="E2563" s="266">
        <v>327.7</v>
      </c>
      <c r="F2563" s="266">
        <v>137.2</v>
      </c>
      <c r="G2563" s="266">
        <v>58.6</v>
      </c>
      <c r="H2563" s="518">
        <v>2.0</v>
      </c>
      <c r="I2563" s="518">
        <v>1755.0</v>
      </c>
      <c r="J2563" s="518">
        <v>19.5</v>
      </c>
      <c r="K2563" s="266">
        <v>370.0</v>
      </c>
      <c r="L2563" s="266" t="s">
        <v>3734</v>
      </c>
      <c r="M2563" s="266">
        <v>3.0</v>
      </c>
      <c r="N2563" s="266">
        <v>3.0</v>
      </c>
      <c r="O2563" s="266">
        <v>1.0</v>
      </c>
      <c r="P2563" s="266" t="s">
        <v>166</v>
      </c>
      <c r="Q2563" s="266" t="s">
        <v>166</v>
      </c>
      <c r="R2563" s="266" t="s">
        <v>166</v>
      </c>
      <c r="S2563" s="497" t="s">
        <v>166</v>
      </c>
      <c r="T2563" s="496"/>
    </row>
    <row r="2564">
      <c r="A2564" s="494" t="s">
        <v>3401</v>
      </c>
      <c r="B2564" s="495" t="s">
        <v>4430</v>
      </c>
      <c r="C2564" s="452" t="str">
        <f t="shared" si="376"/>
        <v>ZOTAC</v>
      </c>
      <c r="D2564" s="452" t="s">
        <v>4356</v>
      </c>
      <c r="E2564" s="266">
        <v>352.9</v>
      </c>
      <c r="F2564" s="266">
        <v>144.7</v>
      </c>
      <c r="G2564" s="266">
        <v>59.7</v>
      </c>
      <c r="H2564" s="518">
        <v>2.0</v>
      </c>
      <c r="I2564" s="518">
        <v>1815.0</v>
      </c>
      <c r="J2564" s="518">
        <v>19.5</v>
      </c>
      <c r="K2564" s="266">
        <v>420.0</v>
      </c>
      <c r="L2564" s="266" t="s">
        <v>3734</v>
      </c>
      <c r="M2564" s="266">
        <v>3.0</v>
      </c>
      <c r="N2564" s="266">
        <v>3.0</v>
      </c>
      <c r="O2564" s="266">
        <v>1.0</v>
      </c>
      <c r="P2564" s="266" t="s">
        <v>166</v>
      </c>
      <c r="Q2564" s="266" t="s">
        <v>166</v>
      </c>
      <c r="R2564" s="266" t="s">
        <v>166</v>
      </c>
      <c r="S2564" s="497" t="s">
        <v>166</v>
      </c>
      <c r="T2564" s="494"/>
    </row>
    <row r="2565">
      <c r="A2565" s="646" t="s">
        <v>3401</v>
      </c>
      <c r="B2565" s="647" t="s">
        <v>4430</v>
      </c>
      <c r="C2565" s="500" t="str">
        <f t="shared" si="376"/>
        <v>ZOTAC</v>
      </c>
      <c r="D2565" s="648" t="s">
        <v>3868</v>
      </c>
      <c r="E2565" s="649">
        <v>301.3</v>
      </c>
      <c r="F2565" s="649">
        <v>159.6</v>
      </c>
      <c r="G2565" s="649">
        <v>29.2</v>
      </c>
      <c r="H2565" s="649">
        <v>2.0</v>
      </c>
      <c r="I2565" s="649">
        <v>1695.0</v>
      </c>
      <c r="J2565" s="649">
        <v>19.5</v>
      </c>
      <c r="K2565" s="649">
        <v>350.0</v>
      </c>
      <c r="L2565" s="649" t="s">
        <v>3734</v>
      </c>
      <c r="M2565" s="649" t="s">
        <v>166</v>
      </c>
      <c r="N2565" s="649">
        <v>3.0</v>
      </c>
      <c r="O2565" s="649">
        <v>1.0</v>
      </c>
      <c r="P2565" s="649" t="s">
        <v>166</v>
      </c>
      <c r="Q2565" s="649" t="s">
        <v>166</v>
      </c>
      <c r="R2565" s="649" t="s">
        <v>174</v>
      </c>
      <c r="S2565" s="650" t="s">
        <v>166</v>
      </c>
      <c r="T2565" s="498"/>
    </row>
    <row r="2566">
      <c r="A2566" s="494" t="s">
        <v>3401</v>
      </c>
      <c r="B2566" s="495" t="s">
        <v>4443</v>
      </c>
      <c r="C2566" s="174" t="str">
        <f t="shared" ref="C2566:C2569" si="377">HYPERLINK("https://www.asus.com/","Asus")</f>
        <v>Asus</v>
      </c>
      <c r="D2566" s="452" t="s">
        <v>3477</v>
      </c>
      <c r="E2566" s="266">
        <v>325.9</v>
      </c>
      <c r="F2566" s="266">
        <v>140.2</v>
      </c>
      <c r="G2566" s="266">
        <v>62.8</v>
      </c>
      <c r="H2566" s="518">
        <v>2.0</v>
      </c>
      <c r="I2566" s="518">
        <v>1890.0</v>
      </c>
      <c r="J2566" s="518">
        <v>21.0</v>
      </c>
      <c r="K2566" s="266">
        <v>450.0</v>
      </c>
      <c r="L2566" s="266" t="s">
        <v>3619</v>
      </c>
      <c r="M2566" s="266">
        <v>3.0</v>
      </c>
      <c r="N2566" s="266">
        <v>3.0</v>
      </c>
      <c r="O2566" s="266">
        <v>2.0</v>
      </c>
      <c r="P2566" s="266" t="s">
        <v>166</v>
      </c>
      <c r="Q2566" s="266" t="s">
        <v>166</v>
      </c>
      <c r="R2566" s="266" t="s">
        <v>166</v>
      </c>
      <c r="S2566" s="266" t="s">
        <v>166</v>
      </c>
      <c r="T2566" s="496"/>
    </row>
    <row r="2567">
      <c r="A2567" s="494" t="s">
        <v>3401</v>
      </c>
      <c r="B2567" s="495" t="s">
        <v>4443</v>
      </c>
      <c r="C2567" s="174" t="str">
        <f t="shared" si="377"/>
        <v>Asus</v>
      </c>
      <c r="D2567" s="452" t="s">
        <v>3478</v>
      </c>
      <c r="E2567" s="266">
        <v>325.9</v>
      </c>
      <c r="F2567" s="266">
        <v>140.2</v>
      </c>
      <c r="G2567" s="266">
        <v>62.8</v>
      </c>
      <c r="H2567" s="518">
        <v>2.0</v>
      </c>
      <c r="I2567" s="518">
        <v>1950.0</v>
      </c>
      <c r="J2567" s="518">
        <v>21.0</v>
      </c>
      <c r="K2567" s="266">
        <v>450.0</v>
      </c>
      <c r="L2567" s="266" t="s">
        <v>3619</v>
      </c>
      <c r="M2567" s="266">
        <v>3.0</v>
      </c>
      <c r="N2567" s="266">
        <v>3.0</v>
      </c>
      <c r="O2567" s="266">
        <v>2.0</v>
      </c>
      <c r="P2567" s="266" t="s">
        <v>166</v>
      </c>
      <c r="Q2567" s="266" t="s">
        <v>166</v>
      </c>
      <c r="R2567" s="266" t="s">
        <v>166</v>
      </c>
      <c r="S2567" s="266" t="s">
        <v>166</v>
      </c>
      <c r="T2567" s="496"/>
    </row>
    <row r="2568">
      <c r="A2568" s="494" t="s">
        <v>3401</v>
      </c>
      <c r="B2568" s="495" t="s">
        <v>4443</v>
      </c>
      <c r="C2568" s="174" t="str">
        <f t="shared" si="377"/>
        <v>Asus</v>
      </c>
      <c r="D2568" s="452" t="s">
        <v>3736</v>
      </c>
      <c r="E2568" s="266">
        <v>293.0</v>
      </c>
      <c r="F2568" s="266">
        <v>133.0</v>
      </c>
      <c r="G2568" s="266">
        <v>52.0</v>
      </c>
      <c r="H2568" s="518">
        <v>2.0</v>
      </c>
      <c r="I2568" s="518">
        <v>1890.0</v>
      </c>
      <c r="J2568" s="518">
        <v>21.0</v>
      </c>
      <c r="K2568" s="266">
        <v>450.0</v>
      </c>
      <c r="L2568" s="266" t="s">
        <v>3619</v>
      </c>
      <c r="M2568" s="266">
        <v>1.0</v>
      </c>
      <c r="N2568" s="266">
        <v>3.0</v>
      </c>
      <c r="O2568" s="266">
        <v>2.0</v>
      </c>
      <c r="P2568" s="266" t="s">
        <v>166</v>
      </c>
      <c r="Q2568" s="266" t="s">
        <v>166</v>
      </c>
      <c r="R2568" s="266" t="s">
        <v>174</v>
      </c>
      <c r="S2568" s="266" t="s">
        <v>174</v>
      </c>
      <c r="T2568" s="496"/>
    </row>
    <row r="2569">
      <c r="A2569" s="494" t="s">
        <v>3401</v>
      </c>
      <c r="B2569" s="495" t="s">
        <v>4443</v>
      </c>
      <c r="C2569" s="174" t="str">
        <f t="shared" si="377"/>
        <v>Asus</v>
      </c>
      <c r="D2569" s="452" t="s">
        <v>3760</v>
      </c>
      <c r="E2569" s="266">
        <v>293.0</v>
      </c>
      <c r="F2569" s="266">
        <v>133.0</v>
      </c>
      <c r="G2569" s="266">
        <v>52.0</v>
      </c>
      <c r="H2569" s="518">
        <v>2.0</v>
      </c>
      <c r="I2569" s="518">
        <v>1980.0</v>
      </c>
      <c r="J2569" s="518">
        <v>21.0</v>
      </c>
      <c r="K2569" s="266">
        <v>450.0</v>
      </c>
      <c r="L2569" s="266" t="s">
        <v>3619</v>
      </c>
      <c r="M2569" s="266">
        <v>1.0</v>
      </c>
      <c r="N2569" s="266">
        <v>3.0</v>
      </c>
      <c r="O2569" s="266">
        <v>2.0</v>
      </c>
      <c r="P2569" s="266" t="s">
        <v>166</v>
      </c>
      <c r="Q2569" s="266" t="s">
        <v>166</v>
      </c>
      <c r="R2569" s="266" t="s">
        <v>174</v>
      </c>
      <c r="S2569" s="266" t="s">
        <v>174</v>
      </c>
      <c r="T2569" s="496"/>
    </row>
    <row r="2570">
      <c r="A2570" s="494" t="s">
        <v>3401</v>
      </c>
      <c r="B2570" s="495" t="s">
        <v>4443</v>
      </c>
      <c r="C2570" s="452" t="s">
        <v>3575</v>
      </c>
      <c r="D2570" s="452" t="s">
        <v>4071</v>
      </c>
      <c r="E2570" s="266">
        <f>327-12</f>
        <v>315</v>
      </c>
      <c r="F2570" s="266">
        <f>139-15</f>
        <v>124</v>
      </c>
      <c r="G2570" s="266">
        <v>60.0</v>
      </c>
      <c r="H2570" s="518">
        <v>2.0</v>
      </c>
      <c r="I2570" s="518">
        <v>1860.0</v>
      </c>
      <c r="J2570" s="518">
        <v>21.0</v>
      </c>
      <c r="K2570" s="266">
        <v>480.0</v>
      </c>
      <c r="L2570" s="266" t="s">
        <v>3619</v>
      </c>
      <c r="M2570" s="266">
        <v>3.0</v>
      </c>
      <c r="N2570" s="266">
        <v>3.0</v>
      </c>
      <c r="O2570" s="266">
        <v>1.0</v>
      </c>
      <c r="P2570" s="266" t="s">
        <v>166</v>
      </c>
      <c r="Q2570" s="266" t="s">
        <v>166</v>
      </c>
      <c r="R2570" s="266" t="s">
        <v>166</v>
      </c>
      <c r="S2570" s="497" t="s">
        <v>166</v>
      </c>
      <c r="T2570" s="496"/>
    </row>
    <row r="2571">
      <c r="A2571" s="494" t="s">
        <v>3401</v>
      </c>
      <c r="B2571" s="495" t="s">
        <v>4443</v>
      </c>
      <c r="C2571" s="452" t="s">
        <v>3575</v>
      </c>
      <c r="D2571" s="452" t="s">
        <v>3943</v>
      </c>
      <c r="E2571" s="266">
        <f>323-12</f>
        <v>311</v>
      </c>
      <c r="F2571" s="266">
        <f>158.5-15</f>
        <v>143.5</v>
      </c>
      <c r="G2571" s="266">
        <v>70.5</v>
      </c>
      <c r="H2571" s="518">
        <v>2.0</v>
      </c>
      <c r="I2571" s="518">
        <v>1920.0</v>
      </c>
      <c r="J2571" s="518">
        <v>21.0</v>
      </c>
      <c r="K2571" s="266">
        <v>510.0</v>
      </c>
      <c r="L2571" s="266" t="s">
        <v>3619</v>
      </c>
      <c r="M2571" s="266">
        <v>3.0</v>
      </c>
      <c r="N2571" s="266">
        <v>3.0</v>
      </c>
      <c r="O2571" s="266">
        <v>1.0</v>
      </c>
      <c r="P2571" s="266" t="s">
        <v>166</v>
      </c>
      <c r="Q2571" s="266" t="s">
        <v>166</v>
      </c>
      <c r="R2571" s="266" t="s">
        <v>166</v>
      </c>
      <c r="S2571" s="497" t="s">
        <v>166</v>
      </c>
      <c r="T2571" s="496"/>
    </row>
    <row r="2572">
      <c r="A2572" s="494" t="s">
        <v>3401</v>
      </c>
      <c r="B2572" s="495" t="s">
        <v>4443</v>
      </c>
      <c r="C2572" s="452" t="s">
        <v>3575</v>
      </c>
      <c r="D2572" s="452" t="s">
        <v>3970</v>
      </c>
      <c r="E2572" s="266">
        <f>258-12</f>
        <v>246</v>
      </c>
      <c r="F2572" s="266">
        <f>152.5-15</f>
        <v>137.5</v>
      </c>
      <c r="G2572" s="266">
        <v>43.0</v>
      </c>
      <c r="H2572" s="518">
        <v>2.0</v>
      </c>
      <c r="I2572" s="518">
        <v>1905.0</v>
      </c>
      <c r="J2572" s="518">
        <v>21.0</v>
      </c>
      <c r="K2572" s="266">
        <v>510.0</v>
      </c>
      <c r="L2572" s="266" t="s">
        <v>3619</v>
      </c>
      <c r="M2572" s="266" t="s">
        <v>166</v>
      </c>
      <c r="N2572" s="266">
        <v>3.0</v>
      </c>
      <c r="O2572" s="266">
        <v>1.0</v>
      </c>
      <c r="P2572" s="266" t="s">
        <v>166</v>
      </c>
      <c r="Q2572" s="266" t="s">
        <v>166</v>
      </c>
      <c r="R2572" s="266" t="s">
        <v>174</v>
      </c>
      <c r="S2572" s="497" t="s">
        <v>166</v>
      </c>
      <c r="T2572" s="496"/>
    </row>
    <row r="2573">
      <c r="A2573" s="494" t="s">
        <v>3401</v>
      </c>
      <c r="B2573" s="495" t="s">
        <v>4443</v>
      </c>
      <c r="C2573" s="174" t="str">
        <f t="shared" ref="C2573:C2577" si="378">HYPERLINK("https://www.evga.com/","EVGA")</f>
        <v>EVGA</v>
      </c>
      <c r="D2573" s="452" t="s">
        <v>4176</v>
      </c>
      <c r="E2573" s="266">
        <v>300.0</v>
      </c>
      <c r="F2573" s="266">
        <v>136.75</v>
      </c>
      <c r="G2573" s="266">
        <v>70.0</v>
      </c>
      <c r="H2573" s="518">
        <v>3.0</v>
      </c>
      <c r="I2573" s="518">
        <v>1860.0</v>
      </c>
      <c r="J2573" s="518">
        <v>21.0</v>
      </c>
      <c r="K2573" s="266">
        <v>450.0</v>
      </c>
      <c r="L2573" s="266" t="s">
        <v>3619</v>
      </c>
      <c r="M2573" s="266">
        <v>3.0</v>
      </c>
      <c r="N2573" s="266">
        <v>3.0</v>
      </c>
      <c r="O2573" s="266">
        <v>1.0</v>
      </c>
      <c r="P2573" s="266" t="s">
        <v>166</v>
      </c>
      <c r="Q2573" s="266" t="s">
        <v>166</v>
      </c>
      <c r="R2573" s="266" t="s">
        <v>166</v>
      </c>
      <c r="S2573" s="266" t="s">
        <v>166</v>
      </c>
      <c r="T2573" s="496"/>
    </row>
    <row r="2574">
      <c r="A2574" s="494" t="s">
        <v>3401</v>
      </c>
      <c r="B2574" s="495" t="s">
        <v>4443</v>
      </c>
      <c r="C2574" s="174" t="str">
        <f t="shared" si="378"/>
        <v>EVGA</v>
      </c>
      <c r="D2574" s="452" t="s">
        <v>3823</v>
      </c>
      <c r="E2574" s="266">
        <v>300.0</v>
      </c>
      <c r="F2574" s="266">
        <v>136.75</v>
      </c>
      <c r="G2574" s="266">
        <v>70.0</v>
      </c>
      <c r="H2574" s="518">
        <v>3.0</v>
      </c>
      <c r="I2574" s="518">
        <v>1890.0</v>
      </c>
      <c r="J2574" s="518">
        <v>21.0</v>
      </c>
      <c r="K2574" s="266">
        <v>450.0</v>
      </c>
      <c r="L2574" s="266" t="s">
        <v>3619</v>
      </c>
      <c r="M2574" s="266">
        <v>3.0</v>
      </c>
      <c r="N2574" s="266">
        <v>3.0</v>
      </c>
      <c r="O2574" s="266">
        <v>1.0</v>
      </c>
      <c r="P2574" s="266" t="s">
        <v>166</v>
      </c>
      <c r="Q2574" s="266" t="s">
        <v>166</v>
      </c>
      <c r="R2574" s="266" t="s">
        <v>166</v>
      </c>
      <c r="S2574" s="266" t="s">
        <v>166</v>
      </c>
      <c r="T2574" s="496"/>
    </row>
    <row r="2575">
      <c r="A2575" s="494" t="s">
        <v>3401</v>
      </c>
      <c r="B2575" s="495" t="s">
        <v>4443</v>
      </c>
      <c r="C2575" s="174" t="str">
        <f t="shared" si="378"/>
        <v>EVGA</v>
      </c>
      <c r="D2575" s="452" t="s">
        <v>3979</v>
      </c>
      <c r="E2575" s="266">
        <v>300.0</v>
      </c>
      <c r="F2575" s="266">
        <v>136.75</v>
      </c>
      <c r="G2575" s="266">
        <v>70.0</v>
      </c>
      <c r="H2575" s="518">
        <v>3.0</v>
      </c>
      <c r="I2575" s="518">
        <v>1920.0</v>
      </c>
      <c r="J2575" s="518">
        <v>21.0</v>
      </c>
      <c r="K2575" s="266">
        <v>450.0</v>
      </c>
      <c r="L2575" s="266" t="s">
        <v>3619</v>
      </c>
      <c r="M2575" s="266">
        <v>3.0</v>
      </c>
      <c r="N2575" s="266">
        <v>3.0</v>
      </c>
      <c r="O2575" s="266">
        <v>1.0</v>
      </c>
      <c r="P2575" s="266" t="s">
        <v>166</v>
      </c>
      <c r="Q2575" s="266" t="s">
        <v>166</v>
      </c>
      <c r="R2575" s="266" t="s">
        <v>166</v>
      </c>
      <c r="S2575" s="266" t="s">
        <v>166</v>
      </c>
      <c r="T2575" s="496"/>
    </row>
    <row r="2576">
      <c r="A2576" s="494" t="s">
        <v>3401</v>
      </c>
      <c r="B2576" s="495" t="s">
        <v>4443</v>
      </c>
      <c r="C2576" s="174" t="str">
        <f t="shared" si="378"/>
        <v>EVGA</v>
      </c>
      <c r="D2576" s="452" t="s">
        <v>4031</v>
      </c>
      <c r="E2576" s="266">
        <v>288.9</v>
      </c>
      <c r="F2576" s="266">
        <v>137.8</v>
      </c>
      <c r="G2576" s="266">
        <v>40.0</v>
      </c>
      <c r="H2576" s="518">
        <v>2.0</v>
      </c>
      <c r="I2576" s="518">
        <v>1920.0</v>
      </c>
      <c r="J2576" s="518">
        <v>21.0</v>
      </c>
      <c r="K2576" s="266">
        <v>450.0</v>
      </c>
      <c r="L2576" s="266" t="s">
        <v>3619</v>
      </c>
      <c r="M2576" s="266">
        <v>1.0</v>
      </c>
      <c r="N2576" s="266">
        <v>3.0</v>
      </c>
      <c r="O2576" s="266">
        <v>1.0</v>
      </c>
      <c r="P2576" s="266" t="s">
        <v>166</v>
      </c>
      <c r="Q2576" s="266" t="s">
        <v>166</v>
      </c>
      <c r="R2576" s="266" t="s">
        <v>174</v>
      </c>
      <c r="S2576" s="266" t="s">
        <v>166</v>
      </c>
      <c r="T2576" s="496"/>
    </row>
    <row r="2577">
      <c r="A2577" s="494" t="s">
        <v>3401</v>
      </c>
      <c r="B2577" s="495" t="s">
        <v>4443</v>
      </c>
      <c r="C2577" s="174" t="str">
        <f t="shared" si="378"/>
        <v>EVGA</v>
      </c>
      <c r="D2577" s="452" t="s">
        <v>4434</v>
      </c>
      <c r="E2577" s="266">
        <v>288.9</v>
      </c>
      <c r="F2577" s="266">
        <v>137.8</v>
      </c>
      <c r="G2577" s="266">
        <v>40.0</v>
      </c>
      <c r="H2577" s="518">
        <v>2.0</v>
      </c>
      <c r="I2577" s="518">
        <v>1950.0</v>
      </c>
      <c r="J2577" s="518">
        <v>21.0</v>
      </c>
      <c r="K2577" s="266">
        <v>450.0</v>
      </c>
      <c r="L2577" s="266" t="s">
        <v>4444</v>
      </c>
      <c r="M2577" s="266">
        <v>1.0</v>
      </c>
      <c r="N2577" s="266">
        <v>3.0</v>
      </c>
      <c r="O2577" s="266">
        <v>1.0</v>
      </c>
      <c r="P2577" s="266" t="s">
        <v>166</v>
      </c>
      <c r="Q2577" s="266" t="s">
        <v>166</v>
      </c>
      <c r="R2577" s="266" t="s">
        <v>174</v>
      </c>
      <c r="S2577" s="266" t="s">
        <v>166</v>
      </c>
      <c r="T2577" s="496"/>
    </row>
    <row r="2578">
      <c r="A2578" s="494" t="s">
        <v>3401</v>
      </c>
      <c r="B2578" s="495" t="s">
        <v>4443</v>
      </c>
      <c r="C2578" s="452" t="str">
        <f t="shared" ref="C2578:C2579" si="379">HYPERLINK("http://www.gainward.com/main/index.php?lang=en","Gainward")</f>
        <v>Gainward</v>
      </c>
      <c r="D2578" s="452" t="s">
        <v>3953</v>
      </c>
      <c r="E2578" s="266">
        <v>314.0</v>
      </c>
      <c r="F2578" s="266">
        <v>137.0</v>
      </c>
      <c r="G2578" s="266">
        <v>54.0</v>
      </c>
      <c r="H2578" s="518">
        <v>2.0</v>
      </c>
      <c r="I2578" s="518">
        <v>1860.0</v>
      </c>
      <c r="J2578" s="518">
        <v>21.0</v>
      </c>
      <c r="K2578" s="266">
        <v>450.0</v>
      </c>
      <c r="L2578" s="266" t="s">
        <v>3619</v>
      </c>
      <c r="M2578" s="266">
        <v>3.0</v>
      </c>
      <c r="N2578" s="266">
        <v>3.0</v>
      </c>
      <c r="O2578" s="266">
        <v>1.0</v>
      </c>
      <c r="P2578" s="266" t="s">
        <v>166</v>
      </c>
      <c r="Q2578" s="266" t="s">
        <v>166</v>
      </c>
      <c r="R2578" s="266" t="s">
        <v>166</v>
      </c>
      <c r="S2578" s="266" t="s">
        <v>166</v>
      </c>
      <c r="T2578" s="496"/>
    </row>
    <row r="2579">
      <c r="A2579" s="494" t="s">
        <v>3401</v>
      </c>
      <c r="B2579" s="495" t="s">
        <v>4443</v>
      </c>
      <c r="C2579" s="452" t="str">
        <f t="shared" si="379"/>
        <v>Gainward</v>
      </c>
      <c r="D2579" s="452" t="s">
        <v>3954</v>
      </c>
      <c r="E2579" s="266">
        <v>314.0</v>
      </c>
      <c r="F2579" s="266">
        <v>137.0</v>
      </c>
      <c r="G2579" s="266">
        <v>54.0</v>
      </c>
      <c r="H2579" s="518">
        <v>2.0</v>
      </c>
      <c r="I2579" s="518">
        <v>1890.0</v>
      </c>
      <c r="J2579" s="518">
        <v>21.0</v>
      </c>
      <c r="K2579" s="266">
        <v>450.0</v>
      </c>
      <c r="L2579" s="266" t="s">
        <v>3619</v>
      </c>
      <c r="M2579" s="266">
        <v>3.0</v>
      </c>
      <c r="N2579" s="266">
        <v>3.0</v>
      </c>
      <c r="O2579" s="266">
        <v>1.0</v>
      </c>
      <c r="P2579" s="266" t="s">
        <v>166</v>
      </c>
      <c r="Q2579" s="266" t="s">
        <v>166</v>
      </c>
      <c r="R2579" s="266" t="s">
        <v>166</v>
      </c>
      <c r="S2579" s="266" t="s">
        <v>166</v>
      </c>
      <c r="T2579" s="496"/>
    </row>
    <row r="2580">
      <c r="A2580" s="494" t="s">
        <v>3401</v>
      </c>
      <c r="B2580" s="495" t="s">
        <v>4443</v>
      </c>
      <c r="C2580" s="174" t="s">
        <v>3456</v>
      </c>
      <c r="D2580" s="452" t="s">
        <v>4257</v>
      </c>
      <c r="E2580" s="266">
        <v>349.0</v>
      </c>
      <c r="F2580" s="266">
        <v>141.0</v>
      </c>
      <c r="G2580" s="266">
        <v>66.0</v>
      </c>
      <c r="H2580" s="518">
        <v>3.0</v>
      </c>
      <c r="I2580" s="518">
        <v>1860.0</v>
      </c>
      <c r="J2580" s="518">
        <v>21.0</v>
      </c>
      <c r="K2580" s="266">
        <v>450.0</v>
      </c>
      <c r="L2580" s="266" t="s">
        <v>3619</v>
      </c>
      <c r="M2580" s="266">
        <v>3.0</v>
      </c>
      <c r="N2580" s="266">
        <v>3.0</v>
      </c>
      <c r="O2580" s="266">
        <v>1.0</v>
      </c>
      <c r="P2580" s="266" t="s">
        <v>166</v>
      </c>
      <c r="Q2580" s="266" t="s">
        <v>166</v>
      </c>
      <c r="R2580" s="266" t="s">
        <v>166</v>
      </c>
      <c r="S2580" s="266" t="s">
        <v>166</v>
      </c>
      <c r="T2580" s="496"/>
    </row>
    <row r="2581">
      <c r="A2581" s="494" t="s">
        <v>3401</v>
      </c>
      <c r="B2581" s="495" t="s">
        <v>4443</v>
      </c>
      <c r="C2581" s="174" t="s">
        <v>3456</v>
      </c>
      <c r="D2581" s="452" t="s">
        <v>4258</v>
      </c>
      <c r="E2581" s="266">
        <v>349.0</v>
      </c>
      <c r="F2581" s="266">
        <v>141.0</v>
      </c>
      <c r="G2581" s="266">
        <v>66.0</v>
      </c>
      <c r="H2581" s="518">
        <v>3.0</v>
      </c>
      <c r="I2581" s="518">
        <v>1890.0</v>
      </c>
      <c r="J2581" s="518">
        <v>21.0</v>
      </c>
      <c r="K2581" s="266">
        <v>450.0</v>
      </c>
      <c r="L2581" s="266" t="s">
        <v>3619</v>
      </c>
      <c r="M2581" s="266">
        <v>3.0</v>
      </c>
      <c r="N2581" s="266">
        <v>3.0</v>
      </c>
      <c r="O2581" s="266">
        <v>1.0</v>
      </c>
      <c r="P2581" s="266" t="s">
        <v>166</v>
      </c>
      <c r="Q2581" s="266" t="s">
        <v>166</v>
      </c>
      <c r="R2581" s="266" t="s">
        <v>166</v>
      </c>
      <c r="S2581" s="266" t="s">
        <v>166</v>
      </c>
      <c r="T2581" s="496"/>
    </row>
    <row r="2582">
      <c r="A2582" s="494" t="s">
        <v>3401</v>
      </c>
      <c r="B2582" s="495" t="s">
        <v>4443</v>
      </c>
      <c r="C2582" s="174" t="s">
        <v>3456</v>
      </c>
      <c r="D2582" s="452" t="s">
        <v>4445</v>
      </c>
      <c r="E2582" s="266">
        <v>341.0</v>
      </c>
      <c r="F2582" s="266">
        <v>145.0</v>
      </c>
      <c r="G2582" s="266">
        <v>68.0</v>
      </c>
      <c r="H2582" s="518">
        <v>2.0</v>
      </c>
      <c r="I2582" s="518">
        <v>1920.0</v>
      </c>
      <c r="J2582" s="518">
        <v>21.0</v>
      </c>
      <c r="K2582" s="266">
        <v>480.0</v>
      </c>
      <c r="L2582" s="266" t="s">
        <v>4444</v>
      </c>
      <c r="M2582" s="266">
        <v>3.0</v>
      </c>
      <c r="N2582" s="266">
        <v>3.0</v>
      </c>
      <c r="O2582" s="266">
        <v>1.0</v>
      </c>
      <c r="P2582" s="266" t="s">
        <v>166</v>
      </c>
      <c r="Q2582" s="266" t="s">
        <v>166</v>
      </c>
      <c r="R2582" s="266" t="s">
        <v>166</v>
      </c>
      <c r="S2582" s="266" t="s">
        <v>166</v>
      </c>
      <c r="T2582" s="496"/>
    </row>
    <row r="2583">
      <c r="A2583" s="494" t="s">
        <v>3401</v>
      </c>
      <c r="B2583" s="495" t="s">
        <v>4443</v>
      </c>
      <c r="C2583" s="174" t="s">
        <v>3456</v>
      </c>
      <c r="D2583" s="452" t="s">
        <v>4446</v>
      </c>
      <c r="E2583" s="266">
        <v>341.0</v>
      </c>
      <c r="F2583" s="266">
        <v>145.0</v>
      </c>
      <c r="G2583" s="266">
        <v>68.0</v>
      </c>
      <c r="H2583" s="518">
        <v>2.0</v>
      </c>
      <c r="I2583" s="518">
        <v>1965.0</v>
      </c>
      <c r="J2583" s="518">
        <v>21.0</v>
      </c>
      <c r="K2583" s="266">
        <v>480.0</v>
      </c>
      <c r="L2583" s="266" t="s">
        <v>4444</v>
      </c>
      <c r="M2583" s="266">
        <v>3.0</v>
      </c>
      <c r="N2583" s="266">
        <v>3.0</v>
      </c>
      <c r="O2583" s="266">
        <v>1.0</v>
      </c>
      <c r="P2583" s="266" t="s">
        <v>166</v>
      </c>
      <c r="Q2583" s="266" t="s">
        <v>166</v>
      </c>
      <c r="R2583" s="266" t="s">
        <v>166</v>
      </c>
      <c r="S2583" s="266" t="s">
        <v>166</v>
      </c>
      <c r="T2583" s="496"/>
    </row>
    <row r="2584">
      <c r="A2584" s="572" t="s">
        <v>3401</v>
      </c>
      <c r="B2584" s="573" t="s">
        <v>4443</v>
      </c>
      <c r="C2584" s="454" t="s">
        <v>3456</v>
      </c>
      <c r="D2584" s="452" t="s">
        <v>4447</v>
      </c>
      <c r="E2584" s="266">
        <v>322.0</v>
      </c>
      <c r="F2584" s="266">
        <v>132.0</v>
      </c>
      <c r="G2584" s="266">
        <v>62.0</v>
      </c>
      <c r="H2584" s="518">
        <v>3.0</v>
      </c>
      <c r="I2584" s="518">
        <v>1875.0</v>
      </c>
      <c r="J2584" s="518">
        <v>21.0</v>
      </c>
      <c r="K2584" s="266">
        <v>450.0</v>
      </c>
      <c r="L2584" s="266" t="s">
        <v>3619</v>
      </c>
      <c r="M2584" s="266">
        <v>3.0</v>
      </c>
      <c r="N2584" s="266">
        <v>3.0</v>
      </c>
      <c r="O2584" s="266">
        <v>1.0</v>
      </c>
      <c r="P2584" s="266" t="s">
        <v>166</v>
      </c>
      <c r="Q2584" s="266" t="s">
        <v>166</v>
      </c>
      <c r="R2584" s="266" t="s">
        <v>166</v>
      </c>
      <c r="S2584" s="266" t="s">
        <v>166</v>
      </c>
      <c r="T2584" s="496"/>
    </row>
    <row r="2585">
      <c r="A2585" s="572" t="s">
        <v>3401</v>
      </c>
      <c r="B2585" s="573" t="s">
        <v>4443</v>
      </c>
      <c r="C2585" s="454" t="s">
        <v>3456</v>
      </c>
      <c r="D2585" s="452" t="s">
        <v>3983</v>
      </c>
      <c r="E2585" s="266">
        <v>322.0</v>
      </c>
      <c r="F2585" s="266">
        <v>132.0</v>
      </c>
      <c r="G2585" s="266">
        <v>62.0</v>
      </c>
      <c r="H2585" s="518">
        <v>3.0</v>
      </c>
      <c r="I2585" s="518">
        <v>1905.0</v>
      </c>
      <c r="J2585" s="518">
        <v>21.0</v>
      </c>
      <c r="K2585" s="266">
        <v>450.0</v>
      </c>
      <c r="L2585" s="266" t="s">
        <v>3619</v>
      </c>
      <c r="M2585" s="266">
        <v>3.0</v>
      </c>
      <c r="N2585" s="266">
        <v>3.0</v>
      </c>
      <c r="O2585" s="266">
        <v>1.0</v>
      </c>
      <c r="P2585" s="266" t="s">
        <v>166</v>
      </c>
      <c r="Q2585" s="266" t="s">
        <v>166</v>
      </c>
      <c r="R2585" s="266" t="s">
        <v>166</v>
      </c>
      <c r="S2585" s="266" t="s">
        <v>166</v>
      </c>
      <c r="T2585" s="496"/>
    </row>
    <row r="2586">
      <c r="A2586" s="494" t="s">
        <v>3401</v>
      </c>
      <c r="B2586" s="495" t="s">
        <v>4443</v>
      </c>
      <c r="C2586" s="174" t="str">
        <f t="shared" ref="C2586:C2588" si="380">HYPERLINK("https://www.gigabyte.com/","Gigabyte")</f>
        <v>Gigabyte</v>
      </c>
      <c r="D2586" s="452" t="s">
        <v>3409</v>
      </c>
      <c r="E2586" s="266">
        <v>331.0</v>
      </c>
      <c r="F2586" s="266">
        <v>150.0</v>
      </c>
      <c r="G2586" s="266">
        <v>70.0</v>
      </c>
      <c r="H2586" s="518">
        <v>2.0</v>
      </c>
      <c r="I2586" s="518">
        <v>1860.0</v>
      </c>
      <c r="J2586" s="518">
        <v>21.0</v>
      </c>
      <c r="K2586" s="266">
        <v>450.0</v>
      </c>
      <c r="L2586" s="266" t="s">
        <v>3619</v>
      </c>
      <c r="M2586" s="266">
        <v>3.0</v>
      </c>
      <c r="N2586" s="266">
        <v>3.0</v>
      </c>
      <c r="O2586" s="266">
        <v>1.0</v>
      </c>
      <c r="P2586" s="266" t="s">
        <v>166</v>
      </c>
      <c r="Q2586" s="266" t="s">
        <v>166</v>
      </c>
      <c r="R2586" s="266" t="s">
        <v>166</v>
      </c>
      <c r="S2586" s="266" t="s">
        <v>166</v>
      </c>
      <c r="T2586" s="496"/>
    </row>
    <row r="2587">
      <c r="A2587" s="494" t="s">
        <v>3401</v>
      </c>
      <c r="B2587" s="495" t="s">
        <v>4443</v>
      </c>
      <c r="C2587" s="174" t="str">
        <f t="shared" si="380"/>
        <v>Gigabyte</v>
      </c>
      <c r="D2587" s="452" t="s">
        <v>3630</v>
      </c>
      <c r="E2587" s="266">
        <v>331.0</v>
      </c>
      <c r="F2587" s="266">
        <v>150.0</v>
      </c>
      <c r="G2587" s="266">
        <v>70.0</v>
      </c>
      <c r="H2587" s="518">
        <v>2.0</v>
      </c>
      <c r="I2587" s="518">
        <v>1905.0</v>
      </c>
      <c r="J2587" s="518">
        <v>21.0</v>
      </c>
      <c r="K2587" s="266">
        <v>450.0</v>
      </c>
      <c r="L2587" s="266" t="s">
        <v>3619</v>
      </c>
      <c r="M2587" s="266">
        <v>3.0</v>
      </c>
      <c r="N2587" s="266">
        <v>3.0</v>
      </c>
      <c r="O2587" s="266">
        <v>1.0</v>
      </c>
      <c r="P2587" s="266" t="s">
        <v>166</v>
      </c>
      <c r="Q2587" s="266" t="s">
        <v>166</v>
      </c>
      <c r="R2587" s="266" t="s">
        <v>166</v>
      </c>
      <c r="S2587" s="266" t="s">
        <v>166</v>
      </c>
      <c r="T2587" s="496"/>
    </row>
    <row r="2588">
      <c r="A2588" s="494" t="s">
        <v>3401</v>
      </c>
      <c r="B2588" s="495" t="s">
        <v>4443</v>
      </c>
      <c r="C2588" s="174" t="str">
        <f t="shared" si="380"/>
        <v>Gigabyte</v>
      </c>
      <c r="D2588" s="452" t="s">
        <v>4039</v>
      </c>
      <c r="E2588" s="266">
        <v>238.0</v>
      </c>
      <c r="F2588" s="266">
        <v>141.0</v>
      </c>
      <c r="G2588" s="266">
        <v>40.0</v>
      </c>
      <c r="H2588" s="518">
        <v>2.0</v>
      </c>
      <c r="I2588" s="518">
        <v>1935.0</v>
      </c>
      <c r="J2588" s="518">
        <v>21.0</v>
      </c>
      <c r="K2588" s="266">
        <v>450.0</v>
      </c>
      <c r="L2588" s="266" t="s">
        <v>3619</v>
      </c>
      <c r="M2588" s="266" t="s">
        <v>166</v>
      </c>
      <c r="N2588" s="266">
        <v>3.0</v>
      </c>
      <c r="O2588" s="266">
        <v>1.0</v>
      </c>
      <c r="P2588" s="266" t="s">
        <v>166</v>
      </c>
      <c r="Q2588" s="266" t="s">
        <v>166</v>
      </c>
      <c r="R2588" s="266" t="s">
        <v>174</v>
      </c>
      <c r="S2588" s="266" t="s">
        <v>166</v>
      </c>
      <c r="T2588" s="496"/>
    </row>
    <row r="2589">
      <c r="A2589" s="494" t="s">
        <v>3401</v>
      </c>
      <c r="B2589" s="495" t="s">
        <v>4443</v>
      </c>
      <c r="C2589" s="452" t="str">
        <f t="shared" ref="C2589:C2591" si="381">HYPERLINK("http://www.inno3d.com/","Inno3D")</f>
        <v>Inno3D</v>
      </c>
      <c r="D2589" s="452" t="s">
        <v>351</v>
      </c>
      <c r="E2589" s="266">
        <v>330.0</v>
      </c>
      <c r="F2589" s="266">
        <v>140.0</v>
      </c>
      <c r="G2589" s="266">
        <v>60.0</v>
      </c>
      <c r="H2589" s="518">
        <v>3.0</v>
      </c>
      <c r="I2589" s="518">
        <v>1860.0</v>
      </c>
      <c r="J2589" s="518">
        <v>21.0</v>
      </c>
      <c r="K2589" s="266">
        <v>450.0</v>
      </c>
      <c r="L2589" s="266" t="s">
        <v>3619</v>
      </c>
      <c r="M2589" s="266">
        <v>3.0</v>
      </c>
      <c r="N2589" s="266">
        <v>3.0</v>
      </c>
      <c r="O2589" s="266">
        <v>1.0</v>
      </c>
      <c r="P2589" s="266" t="s">
        <v>166</v>
      </c>
      <c r="Q2589" s="266" t="s">
        <v>166</v>
      </c>
      <c r="R2589" s="266" t="s">
        <v>166</v>
      </c>
      <c r="S2589" s="266" t="s">
        <v>166</v>
      </c>
      <c r="T2589" s="496"/>
    </row>
    <row r="2590">
      <c r="A2590" s="494" t="s">
        <v>3401</v>
      </c>
      <c r="B2590" s="495" t="s">
        <v>4443</v>
      </c>
      <c r="C2590" s="452" t="str">
        <f t="shared" si="381"/>
        <v>Inno3D</v>
      </c>
      <c r="D2590" s="452" t="s">
        <v>4347</v>
      </c>
      <c r="E2590" s="266">
        <v>330.0</v>
      </c>
      <c r="F2590" s="266">
        <v>140.0</v>
      </c>
      <c r="G2590" s="266">
        <v>60.0</v>
      </c>
      <c r="H2590" s="518">
        <v>3.0</v>
      </c>
      <c r="I2590" s="518">
        <v>1890.0</v>
      </c>
      <c r="J2590" s="518">
        <v>21.0</v>
      </c>
      <c r="K2590" s="266">
        <v>450.0</v>
      </c>
      <c r="L2590" s="266" t="s">
        <v>3619</v>
      </c>
      <c r="M2590" s="266">
        <v>3.0</v>
      </c>
      <c r="N2590" s="266">
        <v>3.0</v>
      </c>
      <c r="O2590" s="266">
        <v>1.0</v>
      </c>
      <c r="P2590" s="266" t="s">
        <v>166</v>
      </c>
      <c r="Q2590" s="266" t="s">
        <v>166</v>
      </c>
      <c r="R2590" s="266" t="s">
        <v>166</v>
      </c>
      <c r="S2590" s="266" t="s">
        <v>166</v>
      </c>
      <c r="T2590" s="496"/>
    </row>
    <row r="2591">
      <c r="A2591" s="494" t="s">
        <v>3401</v>
      </c>
      <c r="B2591" s="495" t="s">
        <v>4443</v>
      </c>
      <c r="C2591" s="452" t="str">
        <f t="shared" si="381"/>
        <v>Inno3D</v>
      </c>
      <c r="D2591" s="452" t="s">
        <v>3618</v>
      </c>
      <c r="E2591" s="266">
        <v>220.0</v>
      </c>
      <c r="F2591" s="266">
        <v>160.0</v>
      </c>
      <c r="G2591" s="266" t="s">
        <v>170</v>
      </c>
      <c r="H2591" s="518">
        <v>2.0</v>
      </c>
      <c r="I2591" s="518">
        <v>1890.0</v>
      </c>
      <c r="J2591" s="518">
        <v>21.0</v>
      </c>
      <c r="K2591" s="266">
        <v>450.0</v>
      </c>
      <c r="L2591" s="266" t="s">
        <v>3619</v>
      </c>
      <c r="M2591" s="266" t="s">
        <v>166</v>
      </c>
      <c r="N2591" s="266">
        <v>3.0</v>
      </c>
      <c r="O2591" s="266">
        <v>1.0</v>
      </c>
      <c r="P2591" s="266" t="s">
        <v>166</v>
      </c>
      <c r="Q2591" s="266" t="s">
        <v>166</v>
      </c>
      <c r="R2591" s="266" t="s">
        <v>174</v>
      </c>
      <c r="S2591" s="266" t="s">
        <v>166</v>
      </c>
      <c r="T2591" s="496"/>
    </row>
    <row r="2592">
      <c r="A2592" s="494" t="s">
        <v>3401</v>
      </c>
      <c r="B2592" s="495" t="s">
        <v>4443</v>
      </c>
      <c r="C2592" s="452" t="str">
        <f>HYPERLINK("http://manli.com/en","Manli")</f>
        <v>Manli</v>
      </c>
      <c r="D2592" s="452" t="s">
        <v>4448</v>
      </c>
      <c r="E2592" s="266">
        <v>320.0</v>
      </c>
      <c r="F2592" s="266">
        <v>138.0</v>
      </c>
      <c r="G2592" s="266">
        <v>58.0</v>
      </c>
      <c r="H2592" s="518">
        <v>2.0</v>
      </c>
      <c r="I2592" s="518">
        <v>1875.0</v>
      </c>
      <c r="J2592" s="518">
        <v>21.0</v>
      </c>
      <c r="K2592" s="266">
        <v>450.0</v>
      </c>
      <c r="L2592" s="266" t="s">
        <v>3619</v>
      </c>
      <c r="M2592" s="266">
        <v>3.0</v>
      </c>
      <c r="N2592" s="266">
        <v>3.0</v>
      </c>
      <c r="O2592" s="266">
        <v>1.0</v>
      </c>
      <c r="P2592" s="266" t="s">
        <v>166</v>
      </c>
      <c r="Q2592" s="266" t="s">
        <v>166</v>
      </c>
      <c r="R2592" s="266" t="s">
        <v>166</v>
      </c>
      <c r="S2592" s="266" t="s">
        <v>166</v>
      </c>
      <c r="T2592" s="496"/>
    </row>
    <row r="2593">
      <c r="A2593" s="494" t="s">
        <v>3401</v>
      </c>
      <c r="B2593" s="495" t="s">
        <v>4443</v>
      </c>
      <c r="C2593" s="174" t="str">
        <f t="shared" ref="C2593:C2598" si="382">HYPERLINK("https://www.msi.com/index.php","MSI")</f>
        <v>MSI</v>
      </c>
      <c r="D2593" s="452" t="s">
        <v>4449</v>
      </c>
      <c r="E2593" s="266">
        <v>325.0</v>
      </c>
      <c r="F2593" s="266">
        <v>140.0</v>
      </c>
      <c r="G2593" s="266">
        <v>62.0</v>
      </c>
      <c r="H2593" s="518">
        <v>3.0</v>
      </c>
      <c r="I2593" s="518">
        <v>1860.0</v>
      </c>
      <c r="J2593" s="518">
        <v>21.0</v>
      </c>
      <c r="K2593" s="266">
        <v>450.0</v>
      </c>
      <c r="L2593" s="266" t="s">
        <v>3619</v>
      </c>
      <c r="M2593" s="266">
        <v>3.0</v>
      </c>
      <c r="N2593" s="266">
        <v>3.0</v>
      </c>
      <c r="O2593" s="266">
        <v>1.0</v>
      </c>
      <c r="P2593" s="266" t="s">
        <v>166</v>
      </c>
      <c r="Q2593" s="266" t="s">
        <v>166</v>
      </c>
      <c r="R2593" s="266" t="s">
        <v>166</v>
      </c>
      <c r="S2593" s="266" t="s">
        <v>166</v>
      </c>
      <c r="T2593" s="496"/>
    </row>
    <row r="2594">
      <c r="A2594" s="494" t="s">
        <v>3401</v>
      </c>
      <c r="B2594" s="495" t="s">
        <v>4443</v>
      </c>
      <c r="C2594" s="174" t="str">
        <f t="shared" si="382"/>
        <v>MSI</v>
      </c>
      <c r="D2594" s="452" t="s">
        <v>3720</v>
      </c>
      <c r="E2594" s="266">
        <v>325.0</v>
      </c>
      <c r="F2594" s="266">
        <v>140.0</v>
      </c>
      <c r="G2594" s="266">
        <v>62.0</v>
      </c>
      <c r="H2594" s="518">
        <v>3.0</v>
      </c>
      <c r="I2594" s="518">
        <v>1860.0</v>
      </c>
      <c r="J2594" s="518">
        <v>21.0</v>
      </c>
      <c r="K2594" s="266">
        <v>450.0</v>
      </c>
      <c r="L2594" s="266" t="s">
        <v>3619</v>
      </c>
      <c r="M2594" s="266">
        <v>3.0</v>
      </c>
      <c r="N2594" s="266">
        <v>3.0</v>
      </c>
      <c r="O2594" s="266">
        <v>1.0</v>
      </c>
      <c r="P2594" s="266" t="s">
        <v>166</v>
      </c>
      <c r="Q2594" s="266" t="s">
        <v>166</v>
      </c>
      <c r="R2594" s="266" t="s">
        <v>166</v>
      </c>
      <c r="S2594" s="266" t="s">
        <v>166</v>
      </c>
      <c r="T2594" s="496"/>
    </row>
    <row r="2595">
      <c r="A2595" s="494" t="s">
        <v>3401</v>
      </c>
      <c r="B2595" s="495" t="s">
        <v>4443</v>
      </c>
      <c r="C2595" s="174" t="str">
        <f t="shared" si="382"/>
        <v>MSI</v>
      </c>
      <c r="D2595" s="452" t="s">
        <v>3721</v>
      </c>
      <c r="E2595" s="266">
        <v>325.0</v>
      </c>
      <c r="F2595" s="266">
        <v>140.0</v>
      </c>
      <c r="G2595" s="266">
        <v>62.0</v>
      </c>
      <c r="H2595" s="518">
        <v>3.0</v>
      </c>
      <c r="I2595" s="518">
        <v>1920.0</v>
      </c>
      <c r="J2595" s="518">
        <v>21.0</v>
      </c>
      <c r="K2595" s="266">
        <v>450.0</v>
      </c>
      <c r="L2595" s="266" t="s">
        <v>3619</v>
      </c>
      <c r="M2595" s="266">
        <v>3.0</v>
      </c>
      <c r="N2595" s="266">
        <v>3.0</v>
      </c>
      <c r="O2595" s="266">
        <v>1.0</v>
      </c>
      <c r="P2595" s="266" t="s">
        <v>166</v>
      </c>
      <c r="Q2595" s="266" t="s">
        <v>166</v>
      </c>
      <c r="R2595" s="266" t="s">
        <v>166</v>
      </c>
      <c r="S2595" s="266" t="s">
        <v>166</v>
      </c>
      <c r="T2595" s="496"/>
    </row>
    <row r="2596">
      <c r="A2596" s="494" t="s">
        <v>3401</v>
      </c>
      <c r="B2596" s="495" t="s">
        <v>4443</v>
      </c>
      <c r="C2596" s="174" t="str">
        <f t="shared" si="382"/>
        <v>MSI</v>
      </c>
      <c r="D2596" s="452" t="s">
        <v>4314</v>
      </c>
      <c r="E2596" s="266">
        <v>338.0</v>
      </c>
      <c r="F2596" s="266">
        <v>140.0</v>
      </c>
      <c r="G2596" s="266">
        <v>71.0</v>
      </c>
      <c r="H2596" s="518">
        <v>3.0</v>
      </c>
      <c r="I2596" s="518">
        <v>1875.0</v>
      </c>
      <c r="J2596" s="518">
        <v>21.0</v>
      </c>
      <c r="K2596" s="266">
        <v>450.0</v>
      </c>
      <c r="L2596" s="266" t="s">
        <v>3619</v>
      </c>
      <c r="M2596" s="266">
        <v>3.0</v>
      </c>
      <c r="N2596" s="266">
        <v>3.0</v>
      </c>
      <c r="O2596" s="266">
        <v>1.0</v>
      </c>
      <c r="P2596" s="266" t="s">
        <v>166</v>
      </c>
      <c r="Q2596" s="266" t="s">
        <v>166</v>
      </c>
      <c r="R2596" s="266" t="s">
        <v>166</v>
      </c>
      <c r="S2596" s="266" t="s">
        <v>166</v>
      </c>
      <c r="T2596" s="496"/>
    </row>
    <row r="2597">
      <c r="A2597" s="494" t="s">
        <v>3401</v>
      </c>
      <c r="B2597" s="495" t="s">
        <v>4443</v>
      </c>
      <c r="C2597" s="174" t="str">
        <f t="shared" si="382"/>
        <v>MSI</v>
      </c>
      <c r="D2597" s="452" t="s">
        <v>4316</v>
      </c>
      <c r="E2597" s="266">
        <v>338.0</v>
      </c>
      <c r="F2597" s="266">
        <v>140.0</v>
      </c>
      <c r="G2597" s="266">
        <v>71.0</v>
      </c>
      <c r="H2597" s="518">
        <v>3.0</v>
      </c>
      <c r="I2597" s="518">
        <v>1935.0</v>
      </c>
      <c r="J2597" s="518">
        <v>21.0</v>
      </c>
      <c r="K2597" s="266">
        <v>450.0</v>
      </c>
      <c r="L2597" s="266" t="s">
        <v>3619</v>
      </c>
      <c r="M2597" s="266">
        <v>3.0</v>
      </c>
      <c r="N2597" s="266">
        <v>3.0</v>
      </c>
      <c r="O2597" s="266">
        <v>1.0</v>
      </c>
      <c r="P2597" s="266" t="s">
        <v>166</v>
      </c>
      <c r="Q2597" s="266" t="s">
        <v>166</v>
      </c>
      <c r="R2597" s="266" t="s">
        <v>166</v>
      </c>
      <c r="S2597" s="266" t="s">
        <v>166</v>
      </c>
      <c r="T2597" s="496"/>
    </row>
    <row r="2598">
      <c r="A2598" s="494" t="s">
        <v>3401</v>
      </c>
      <c r="B2598" s="495" t="s">
        <v>4443</v>
      </c>
      <c r="C2598" s="174" t="str">
        <f t="shared" si="382"/>
        <v>MSI</v>
      </c>
      <c r="D2598" s="452" t="s">
        <v>4318</v>
      </c>
      <c r="E2598" s="266">
        <v>338.0</v>
      </c>
      <c r="F2598" s="266">
        <v>140.0</v>
      </c>
      <c r="G2598" s="266">
        <v>71.0</v>
      </c>
      <c r="H2598" s="518">
        <v>3.0</v>
      </c>
      <c r="I2598" s="518">
        <v>1965.0</v>
      </c>
      <c r="J2598" s="518">
        <v>21.0</v>
      </c>
      <c r="K2598" s="266">
        <v>480.0</v>
      </c>
      <c r="L2598" s="266" t="s">
        <v>3619</v>
      </c>
      <c r="M2598" s="266">
        <v>3.0</v>
      </c>
      <c r="N2598" s="266">
        <v>3.0</v>
      </c>
      <c r="O2598" s="266">
        <v>1.0</v>
      </c>
      <c r="P2598" s="266" t="s">
        <v>166</v>
      </c>
      <c r="Q2598" s="266" t="s">
        <v>166</v>
      </c>
      <c r="R2598" s="266" t="s">
        <v>166</v>
      </c>
      <c r="S2598" s="266" t="s">
        <v>166</v>
      </c>
      <c r="T2598" s="496"/>
    </row>
    <row r="2599">
      <c r="A2599" s="494" t="s">
        <v>3401</v>
      </c>
      <c r="B2599" s="495" t="s">
        <v>4443</v>
      </c>
      <c r="C2599" s="452" t="str">
        <f>HYPERLINK("https://www.nvidia.com/en-us/","Nvidia")</f>
        <v>Nvidia</v>
      </c>
      <c r="D2599" s="452" t="s">
        <v>3812</v>
      </c>
      <c r="E2599" s="266">
        <v>313.0</v>
      </c>
      <c r="F2599" s="518">
        <v>138.0</v>
      </c>
      <c r="G2599" s="518">
        <v>55.0</v>
      </c>
      <c r="H2599" s="518">
        <v>3.0</v>
      </c>
      <c r="I2599" s="518">
        <v>1860.0</v>
      </c>
      <c r="J2599" s="518">
        <v>21.0</v>
      </c>
      <c r="K2599" s="266">
        <v>450.0</v>
      </c>
      <c r="L2599" s="266" t="s">
        <v>3619</v>
      </c>
      <c r="M2599" s="266">
        <v>2.0</v>
      </c>
      <c r="N2599" s="266">
        <v>3.0</v>
      </c>
      <c r="O2599" s="266">
        <v>1.0</v>
      </c>
      <c r="P2599" s="266" t="s">
        <v>166</v>
      </c>
      <c r="Q2599" s="266" t="s">
        <v>166</v>
      </c>
      <c r="R2599" s="266" t="s">
        <v>166</v>
      </c>
      <c r="S2599" s="266" t="s">
        <v>166</v>
      </c>
      <c r="T2599" s="496"/>
    </row>
    <row r="2600">
      <c r="A2600" s="494" t="s">
        <v>3401</v>
      </c>
      <c r="B2600" s="495" t="s">
        <v>4443</v>
      </c>
      <c r="C2600" s="452" t="str">
        <f t="shared" ref="C2600:C2601" si="383">HYPERLINK("http://www.palit.com/palit/index.php?lang=en","Palit")</f>
        <v>Palit</v>
      </c>
      <c r="D2600" s="452" t="s">
        <v>4000</v>
      </c>
      <c r="E2600" s="266">
        <v>314.0</v>
      </c>
      <c r="F2600" s="266">
        <v>137.0</v>
      </c>
      <c r="G2600" s="266">
        <v>65.0</v>
      </c>
      <c r="H2600" s="518">
        <v>2.0</v>
      </c>
      <c r="I2600" s="518">
        <v>1860.0</v>
      </c>
      <c r="J2600" s="518">
        <v>21.0</v>
      </c>
      <c r="K2600" s="266">
        <v>450.0</v>
      </c>
      <c r="L2600" s="266" t="s">
        <v>3619</v>
      </c>
      <c r="M2600" s="266">
        <v>3.0</v>
      </c>
      <c r="N2600" s="266">
        <v>3.0</v>
      </c>
      <c r="O2600" s="266">
        <v>1.0</v>
      </c>
      <c r="P2600" s="266" t="s">
        <v>166</v>
      </c>
      <c r="Q2600" s="266" t="s">
        <v>166</v>
      </c>
      <c r="R2600" s="266" t="s">
        <v>166</v>
      </c>
      <c r="S2600" s="266" t="s">
        <v>166</v>
      </c>
      <c r="T2600" s="496"/>
    </row>
    <row r="2601">
      <c r="A2601" s="494" t="s">
        <v>3401</v>
      </c>
      <c r="B2601" s="495" t="s">
        <v>4443</v>
      </c>
      <c r="C2601" s="452" t="str">
        <f t="shared" si="383"/>
        <v>Palit</v>
      </c>
      <c r="D2601" s="452" t="s">
        <v>4324</v>
      </c>
      <c r="E2601" s="266">
        <v>314.0</v>
      </c>
      <c r="F2601" s="266">
        <v>137.0</v>
      </c>
      <c r="G2601" s="266">
        <v>65.0</v>
      </c>
      <c r="H2601" s="518">
        <v>2.0</v>
      </c>
      <c r="I2601" s="518">
        <v>1890.0</v>
      </c>
      <c r="J2601" s="518">
        <v>21.0</v>
      </c>
      <c r="K2601" s="266">
        <v>460.0</v>
      </c>
      <c r="L2601" s="266" t="s">
        <v>3619</v>
      </c>
      <c r="M2601" s="266">
        <v>3.0</v>
      </c>
      <c r="N2601" s="266">
        <v>3.0</v>
      </c>
      <c r="O2601" s="266">
        <v>1.0</v>
      </c>
      <c r="P2601" s="266" t="s">
        <v>166</v>
      </c>
      <c r="Q2601" s="266" t="s">
        <v>166</v>
      </c>
      <c r="R2601" s="266" t="s">
        <v>166</v>
      </c>
      <c r="S2601" s="266" t="s">
        <v>166</v>
      </c>
      <c r="T2601" s="496"/>
    </row>
    <row r="2602">
      <c r="A2602" s="494" t="s">
        <v>3401</v>
      </c>
      <c r="B2602" s="495" t="s">
        <v>4443</v>
      </c>
      <c r="C2602" s="452" t="str">
        <f t="shared" ref="C2602:C2603" si="384">HYPERLINK("https://pny.com/","PNY")</f>
        <v>PNY</v>
      </c>
      <c r="D2602" s="452" t="s">
        <v>4353</v>
      </c>
      <c r="E2602" s="266">
        <v>320.0</v>
      </c>
      <c r="F2602" s="266">
        <v>138.0</v>
      </c>
      <c r="G2602" s="266">
        <v>58.0</v>
      </c>
      <c r="H2602" s="518">
        <v>2.0</v>
      </c>
      <c r="I2602" s="518">
        <v>1860.0</v>
      </c>
      <c r="J2602" s="518">
        <v>21.0</v>
      </c>
      <c r="K2602" s="266">
        <v>450.0</v>
      </c>
      <c r="L2602" s="266" t="s">
        <v>3619</v>
      </c>
      <c r="M2602" s="266">
        <v>3.0</v>
      </c>
      <c r="N2602" s="266">
        <v>3.0</v>
      </c>
      <c r="O2602" s="266">
        <v>1.0</v>
      </c>
      <c r="P2602" s="266" t="s">
        <v>166</v>
      </c>
      <c r="Q2602" s="266" t="s">
        <v>166</v>
      </c>
      <c r="R2602" s="266" t="s">
        <v>166</v>
      </c>
      <c r="S2602" s="266" t="s">
        <v>166</v>
      </c>
      <c r="T2602" s="496"/>
    </row>
    <row r="2603">
      <c r="A2603" s="494" t="s">
        <v>3401</v>
      </c>
      <c r="B2603" s="495" t="s">
        <v>4443</v>
      </c>
      <c r="C2603" s="452" t="str">
        <f t="shared" si="384"/>
        <v>PNY</v>
      </c>
      <c r="D2603" s="452" t="s">
        <v>4450</v>
      </c>
      <c r="E2603" s="266">
        <v>320.0</v>
      </c>
      <c r="F2603" s="266">
        <v>138.0</v>
      </c>
      <c r="G2603" s="266">
        <v>58.0</v>
      </c>
      <c r="H2603" s="518">
        <v>2.0</v>
      </c>
      <c r="I2603" s="518">
        <v>1875.0</v>
      </c>
      <c r="J2603" s="518">
        <v>21.0</v>
      </c>
      <c r="K2603" s="266">
        <v>450.0</v>
      </c>
      <c r="L2603" s="266" t="s">
        <v>3619</v>
      </c>
      <c r="M2603" s="266">
        <v>3.0</v>
      </c>
      <c r="N2603" s="266">
        <v>3.0</v>
      </c>
      <c r="O2603" s="266">
        <v>1.0</v>
      </c>
      <c r="P2603" s="266" t="s">
        <v>166</v>
      </c>
      <c r="Q2603" s="266" t="s">
        <v>166</v>
      </c>
      <c r="R2603" s="266" t="s">
        <v>166</v>
      </c>
      <c r="S2603" s="266" t="s">
        <v>166</v>
      </c>
      <c r="T2603" s="496"/>
    </row>
    <row r="2604">
      <c r="A2604" s="494" t="s">
        <v>3401</v>
      </c>
      <c r="B2604" s="495" t="s">
        <v>4443</v>
      </c>
      <c r="C2604" s="452" t="s">
        <v>3440</v>
      </c>
      <c r="D2604" s="452" t="s">
        <v>4251</v>
      </c>
      <c r="E2604" s="266">
        <v>309.0</v>
      </c>
      <c r="F2604" s="266">
        <v>139.0</v>
      </c>
      <c r="G2604" s="266">
        <v>73.0</v>
      </c>
      <c r="H2604" s="518">
        <v>2.0</v>
      </c>
      <c r="I2604" s="518">
        <v>1890.0</v>
      </c>
      <c r="J2604" s="518">
        <v>21.0</v>
      </c>
      <c r="K2604" s="266">
        <v>450.0</v>
      </c>
      <c r="L2604" s="266" t="s">
        <v>3619</v>
      </c>
      <c r="M2604" s="266">
        <v>3.0</v>
      </c>
      <c r="N2604" s="266">
        <v>3.0</v>
      </c>
      <c r="O2604" s="266">
        <v>1.0</v>
      </c>
      <c r="P2604" s="266" t="s">
        <v>166</v>
      </c>
      <c r="Q2604" s="266" t="s">
        <v>166</v>
      </c>
      <c r="R2604" s="266" t="s">
        <v>166</v>
      </c>
      <c r="S2604" s="266" t="s">
        <v>166</v>
      </c>
      <c r="T2604" s="496"/>
    </row>
    <row r="2605">
      <c r="A2605" s="498" t="s">
        <v>3401</v>
      </c>
      <c r="B2605" s="499" t="s">
        <v>4443</v>
      </c>
      <c r="C2605" s="500" t="s">
        <v>3440</v>
      </c>
      <c r="D2605" s="500" t="s">
        <v>4356</v>
      </c>
      <c r="E2605" s="501">
        <v>355.9</v>
      </c>
      <c r="F2605" s="501">
        <v>149.7</v>
      </c>
      <c r="G2605" s="501">
        <v>63.9</v>
      </c>
      <c r="H2605" s="651">
        <v>2.0</v>
      </c>
      <c r="I2605" s="651">
        <v>1890.0</v>
      </c>
      <c r="J2605" s="651">
        <v>21.0</v>
      </c>
      <c r="K2605" s="501">
        <v>450.0</v>
      </c>
      <c r="L2605" s="501" t="s">
        <v>3619</v>
      </c>
      <c r="M2605" s="501">
        <v>3.0</v>
      </c>
      <c r="N2605" s="501">
        <v>3.0</v>
      </c>
      <c r="O2605" s="501">
        <v>1.0</v>
      </c>
      <c r="P2605" s="501" t="s">
        <v>166</v>
      </c>
      <c r="Q2605" s="501" t="s">
        <v>166</v>
      </c>
      <c r="R2605" s="501" t="s">
        <v>166</v>
      </c>
      <c r="S2605" s="501" t="s">
        <v>166</v>
      </c>
      <c r="T2605" s="503"/>
    </row>
    <row r="2606">
      <c r="A2606" s="494" t="s">
        <v>3401</v>
      </c>
      <c r="B2606" s="505" t="s">
        <v>3591</v>
      </c>
      <c r="C2606" s="282" t="str">
        <f t="shared" ref="C2606:C2613" si="385">HYPERLINK("https://www.asus.com/","Asus")</f>
        <v>Asus</v>
      </c>
      <c r="D2606" s="452" t="s">
        <v>3372</v>
      </c>
      <c r="E2606" s="507">
        <v>227.2</v>
      </c>
      <c r="F2606" s="507">
        <v>123.24</v>
      </c>
      <c r="G2606" s="507">
        <v>49.6</v>
      </c>
      <c r="H2606" s="260">
        <v>2.0</v>
      </c>
      <c r="I2606" s="260">
        <v>2490.0</v>
      </c>
      <c r="J2606" s="652">
        <v>17.0</v>
      </c>
      <c r="K2606" s="653">
        <v>115.0</v>
      </c>
      <c r="L2606" s="266">
        <v>8.0</v>
      </c>
      <c r="M2606" s="507">
        <v>2.0</v>
      </c>
      <c r="N2606" s="266">
        <v>3.0</v>
      </c>
      <c r="O2606" s="266">
        <v>1.0</v>
      </c>
      <c r="P2606" s="266" t="s">
        <v>166</v>
      </c>
      <c r="Q2606" s="266" t="s">
        <v>166</v>
      </c>
      <c r="R2606" s="266" t="s">
        <v>166</v>
      </c>
      <c r="S2606" s="266" t="s">
        <v>166</v>
      </c>
      <c r="T2606" s="509"/>
    </row>
    <row r="2607">
      <c r="A2607" s="494" t="s">
        <v>3401</v>
      </c>
      <c r="B2607" s="505" t="s">
        <v>3591</v>
      </c>
      <c r="C2607" s="282" t="str">
        <f t="shared" si="385"/>
        <v>Asus</v>
      </c>
      <c r="D2607" s="452" t="s">
        <v>3381</v>
      </c>
      <c r="E2607" s="507">
        <v>227.2</v>
      </c>
      <c r="F2607" s="507">
        <v>123.24</v>
      </c>
      <c r="G2607" s="507">
        <v>49.6</v>
      </c>
      <c r="H2607" s="260">
        <v>2.0</v>
      </c>
      <c r="I2607" s="260">
        <v>2535.0</v>
      </c>
      <c r="J2607" s="652">
        <v>17.0</v>
      </c>
      <c r="K2607" s="653">
        <v>115.0</v>
      </c>
      <c r="L2607" s="266">
        <v>8.0</v>
      </c>
      <c r="M2607" s="507">
        <v>2.0</v>
      </c>
      <c r="N2607" s="266">
        <v>3.0</v>
      </c>
      <c r="O2607" s="266">
        <v>1.0</v>
      </c>
      <c r="P2607" s="266" t="s">
        <v>166</v>
      </c>
      <c r="Q2607" s="266" t="s">
        <v>166</v>
      </c>
      <c r="R2607" s="266" t="s">
        <v>166</v>
      </c>
      <c r="S2607" s="266" t="s">
        <v>166</v>
      </c>
      <c r="T2607" s="509"/>
    </row>
    <row r="2608">
      <c r="A2608" s="572" t="s">
        <v>3401</v>
      </c>
      <c r="B2608" s="573" t="s">
        <v>3591</v>
      </c>
      <c r="C2608" s="454" t="str">
        <f t="shared" si="385"/>
        <v>Asus</v>
      </c>
      <c r="D2608" s="452" t="s">
        <v>3571</v>
      </c>
      <c r="E2608" s="507">
        <v>227.2</v>
      </c>
      <c r="F2608" s="507">
        <v>123.24</v>
      </c>
      <c r="G2608" s="507">
        <v>49.6</v>
      </c>
      <c r="H2608" s="260">
        <v>2.0</v>
      </c>
      <c r="I2608" s="260">
        <v>2490.0</v>
      </c>
      <c r="J2608" s="652">
        <v>17.0</v>
      </c>
      <c r="K2608" s="653">
        <v>115.0</v>
      </c>
      <c r="L2608" s="266">
        <v>8.0</v>
      </c>
      <c r="M2608" s="507">
        <v>2.0</v>
      </c>
      <c r="N2608" s="266">
        <v>3.0</v>
      </c>
      <c r="O2608" s="266">
        <v>1.0</v>
      </c>
      <c r="P2608" s="266" t="s">
        <v>166</v>
      </c>
      <c r="Q2608" s="266" t="s">
        <v>166</v>
      </c>
      <c r="R2608" s="266" t="s">
        <v>166</v>
      </c>
      <c r="S2608" s="266" t="s">
        <v>166</v>
      </c>
      <c r="T2608" s="509"/>
    </row>
    <row r="2609">
      <c r="A2609" s="572" t="s">
        <v>3401</v>
      </c>
      <c r="B2609" s="573" t="s">
        <v>3591</v>
      </c>
      <c r="C2609" s="454" t="str">
        <f t="shared" si="385"/>
        <v>Asus</v>
      </c>
      <c r="D2609" s="452" t="s">
        <v>3572</v>
      </c>
      <c r="E2609" s="507">
        <v>227.2</v>
      </c>
      <c r="F2609" s="507">
        <v>123.24</v>
      </c>
      <c r="G2609" s="507">
        <v>49.6</v>
      </c>
      <c r="H2609" s="260">
        <v>2.0</v>
      </c>
      <c r="I2609" s="260">
        <v>2535.0</v>
      </c>
      <c r="J2609" s="652">
        <v>17.0</v>
      </c>
      <c r="K2609" s="653">
        <v>115.0</v>
      </c>
      <c r="L2609" s="266">
        <v>8.0</v>
      </c>
      <c r="M2609" s="507">
        <v>2.0</v>
      </c>
      <c r="N2609" s="266">
        <v>3.0</v>
      </c>
      <c r="O2609" s="266">
        <v>1.0</v>
      </c>
      <c r="P2609" s="266" t="s">
        <v>166</v>
      </c>
      <c r="Q2609" s="266" t="s">
        <v>166</v>
      </c>
      <c r="R2609" s="266" t="s">
        <v>166</v>
      </c>
      <c r="S2609" s="266" t="s">
        <v>166</v>
      </c>
      <c r="T2609" s="509"/>
    </row>
    <row r="2610">
      <c r="A2610" s="572" t="s">
        <v>3401</v>
      </c>
      <c r="B2610" s="573" t="s">
        <v>3591</v>
      </c>
      <c r="C2610" s="454" t="str">
        <f t="shared" si="385"/>
        <v>Asus</v>
      </c>
      <c r="D2610" s="452" t="s">
        <v>4451</v>
      </c>
      <c r="E2610" s="507">
        <v>300.0</v>
      </c>
      <c r="F2610" s="507">
        <v>120.0</v>
      </c>
      <c r="G2610" s="507">
        <v>50.0</v>
      </c>
      <c r="H2610" s="260">
        <v>2.0</v>
      </c>
      <c r="I2610" s="260">
        <v>2490.0</v>
      </c>
      <c r="J2610" s="652">
        <v>17.0</v>
      </c>
      <c r="K2610" s="653">
        <v>115.0</v>
      </c>
      <c r="L2610" s="266">
        <v>8.0</v>
      </c>
      <c r="M2610" s="507">
        <v>3.0</v>
      </c>
      <c r="N2610" s="266">
        <v>3.0</v>
      </c>
      <c r="O2610" s="266">
        <v>1.0</v>
      </c>
      <c r="P2610" s="266" t="s">
        <v>166</v>
      </c>
      <c r="Q2610" s="266" t="s">
        <v>166</v>
      </c>
      <c r="R2610" s="266" t="s">
        <v>166</v>
      </c>
      <c r="S2610" s="266" t="s">
        <v>166</v>
      </c>
      <c r="T2610" s="509"/>
    </row>
    <row r="2611">
      <c r="A2611" s="572" t="s">
        <v>3401</v>
      </c>
      <c r="B2611" s="573" t="s">
        <v>3591</v>
      </c>
      <c r="C2611" s="454" t="str">
        <f t="shared" si="385"/>
        <v>Asus</v>
      </c>
      <c r="D2611" s="452" t="s">
        <v>4452</v>
      </c>
      <c r="E2611" s="507">
        <v>300.0</v>
      </c>
      <c r="F2611" s="507">
        <v>120.0</v>
      </c>
      <c r="G2611" s="507">
        <v>50.0</v>
      </c>
      <c r="H2611" s="260">
        <v>2.0</v>
      </c>
      <c r="I2611" s="260">
        <v>2580.0</v>
      </c>
      <c r="J2611" s="652">
        <v>17.0</v>
      </c>
      <c r="K2611" s="653">
        <v>115.0</v>
      </c>
      <c r="L2611" s="266">
        <v>8.0</v>
      </c>
      <c r="M2611" s="507">
        <v>3.0</v>
      </c>
      <c r="N2611" s="266">
        <v>3.0</v>
      </c>
      <c r="O2611" s="266">
        <v>1.0</v>
      </c>
      <c r="P2611" s="266" t="s">
        <v>166</v>
      </c>
      <c r="Q2611" s="266" t="s">
        <v>166</v>
      </c>
      <c r="R2611" s="266" t="s">
        <v>166</v>
      </c>
      <c r="S2611" s="266" t="s">
        <v>166</v>
      </c>
      <c r="T2611" s="509"/>
    </row>
    <row r="2612">
      <c r="A2612" s="494" t="s">
        <v>3401</v>
      </c>
      <c r="B2612" s="505" t="s">
        <v>3591</v>
      </c>
      <c r="C2612" s="282" t="str">
        <f t="shared" si="385"/>
        <v>Asus</v>
      </c>
      <c r="D2612" s="452" t="s">
        <v>3631</v>
      </c>
      <c r="E2612" s="507">
        <v>311.4</v>
      </c>
      <c r="F2612" s="507">
        <v>133.5</v>
      </c>
      <c r="G2612" s="507">
        <v>61.9</v>
      </c>
      <c r="H2612" s="260">
        <v>2.0</v>
      </c>
      <c r="I2612" s="260">
        <v>2490.0</v>
      </c>
      <c r="J2612" s="652">
        <v>17.0</v>
      </c>
      <c r="K2612" s="653">
        <v>115.0</v>
      </c>
      <c r="L2612" s="266">
        <v>8.0</v>
      </c>
      <c r="M2612" s="507">
        <v>3.0</v>
      </c>
      <c r="N2612" s="266">
        <v>3.0</v>
      </c>
      <c r="O2612" s="266">
        <v>1.0</v>
      </c>
      <c r="P2612" s="266" t="s">
        <v>166</v>
      </c>
      <c r="Q2612" s="266" t="s">
        <v>166</v>
      </c>
      <c r="R2612" s="266" t="s">
        <v>166</v>
      </c>
      <c r="S2612" s="266" t="s">
        <v>166</v>
      </c>
      <c r="T2612" s="509"/>
    </row>
    <row r="2613">
      <c r="A2613" s="494" t="s">
        <v>3401</v>
      </c>
      <c r="B2613" s="505" t="s">
        <v>3591</v>
      </c>
      <c r="C2613" s="282" t="str">
        <f t="shared" si="385"/>
        <v>Asus</v>
      </c>
      <c r="D2613" s="452" t="s">
        <v>3643</v>
      </c>
      <c r="E2613" s="507">
        <v>311.4</v>
      </c>
      <c r="F2613" s="507">
        <v>133.5</v>
      </c>
      <c r="G2613" s="507">
        <v>61.9</v>
      </c>
      <c r="H2613" s="260">
        <v>2.0</v>
      </c>
      <c r="I2613" s="260">
        <v>2700.0</v>
      </c>
      <c r="J2613" s="652">
        <v>17.0</v>
      </c>
      <c r="K2613" s="653">
        <v>115.0</v>
      </c>
      <c r="L2613" s="266">
        <v>8.0</v>
      </c>
      <c r="M2613" s="507">
        <v>3.0</v>
      </c>
      <c r="N2613" s="266">
        <v>3.0</v>
      </c>
      <c r="O2613" s="266">
        <v>1.0</v>
      </c>
      <c r="P2613" s="266" t="s">
        <v>166</v>
      </c>
      <c r="Q2613" s="266" t="s">
        <v>166</v>
      </c>
      <c r="R2613" s="266" t="s">
        <v>166</v>
      </c>
      <c r="S2613" s="266" t="s">
        <v>166</v>
      </c>
      <c r="T2613" s="509"/>
    </row>
    <row r="2614">
      <c r="A2614" s="494" t="s">
        <v>3401</v>
      </c>
      <c r="B2614" s="505" t="s">
        <v>3591</v>
      </c>
      <c r="C2614" s="452" t="s">
        <v>3575</v>
      </c>
      <c r="D2614" s="452" t="s">
        <v>4070</v>
      </c>
      <c r="E2614" s="507">
        <f>248.9-12</f>
        <v>236.9</v>
      </c>
      <c r="F2614" s="507">
        <f>135-15</f>
        <v>120</v>
      </c>
      <c r="G2614" s="507">
        <v>41.9</v>
      </c>
      <c r="H2614" s="260">
        <v>2.0</v>
      </c>
      <c r="I2614" s="260">
        <v>2460.0</v>
      </c>
      <c r="J2614" s="652">
        <v>17.0</v>
      </c>
      <c r="K2614" s="653">
        <v>115.0</v>
      </c>
      <c r="L2614" s="266">
        <v>8.0</v>
      </c>
      <c r="M2614" s="507">
        <v>2.0</v>
      </c>
      <c r="N2614" s="266">
        <v>3.0</v>
      </c>
      <c r="O2614" s="266">
        <v>1.0</v>
      </c>
      <c r="P2614" s="266" t="s">
        <v>166</v>
      </c>
      <c r="Q2614" s="266" t="s">
        <v>166</v>
      </c>
      <c r="R2614" s="266" t="s">
        <v>166</v>
      </c>
      <c r="S2614" s="266" t="s">
        <v>166</v>
      </c>
      <c r="T2614" s="509"/>
    </row>
    <row r="2615">
      <c r="A2615" s="494" t="s">
        <v>3401</v>
      </c>
      <c r="B2615" s="505" t="s">
        <v>3591</v>
      </c>
      <c r="C2615" s="452" t="s">
        <v>3575</v>
      </c>
      <c r="D2615" s="452" t="s">
        <v>4071</v>
      </c>
      <c r="E2615" s="507">
        <f>325-12</f>
        <v>313</v>
      </c>
      <c r="F2615" s="507">
        <f>134-15</f>
        <v>119</v>
      </c>
      <c r="G2615" s="507">
        <v>51.0</v>
      </c>
      <c r="H2615" s="260">
        <v>2.0</v>
      </c>
      <c r="I2615" s="260">
        <v>2460.0</v>
      </c>
      <c r="J2615" s="652">
        <v>17.0</v>
      </c>
      <c r="K2615" s="653">
        <v>115.0</v>
      </c>
      <c r="L2615" s="266">
        <v>8.0</v>
      </c>
      <c r="M2615" s="507">
        <v>3.0</v>
      </c>
      <c r="N2615" s="266">
        <v>3.0</v>
      </c>
      <c r="O2615" s="266">
        <v>1.0</v>
      </c>
      <c r="P2615" s="266" t="s">
        <v>166</v>
      </c>
      <c r="Q2615" s="266" t="s">
        <v>166</v>
      </c>
      <c r="R2615" s="266" t="s">
        <v>166</v>
      </c>
      <c r="S2615" s="266" t="s">
        <v>166</v>
      </c>
      <c r="T2615" s="509"/>
    </row>
    <row r="2616">
      <c r="A2616" s="494" t="s">
        <v>3401</v>
      </c>
      <c r="B2616" s="505" t="s">
        <v>3591</v>
      </c>
      <c r="C2616" s="452" t="s">
        <v>3575</v>
      </c>
      <c r="D2616" s="452" t="s">
        <v>4453</v>
      </c>
      <c r="E2616" s="507">
        <v>235.5</v>
      </c>
      <c r="F2616" s="507">
        <v>120.8</v>
      </c>
      <c r="G2616" s="507">
        <v>40.0</v>
      </c>
      <c r="H2616" s="260">
        <v>2.0</v>
      </c>
      <c r="I2616" s="260">
        <v>2460.0</v>
      </c>
      <c r="J2616" s="652">
        <v>17.0</v>
      </c>
      <c r="K2616" s="653">
        <v>115.0</v>
      </c>
      <c r="L2616" s="266">
        <v>8.0</v>
      </c>
      <c r="M2616" s="507">
        <v>2.0</v>
      </c>
      <c r="N2616" s="266">
        <v>3.0</v>
      </c>
      <c r="O2616" s="266">
        <v>1.0</v>
      </c>
      <c r="P2616" s="266" t="s">
        <v>166</v>
      </c>
      <c r="Q2616" s="266" t="s">
        <v>166</v>
      </c>
      <c r="R2616" s="266" t="s">
        <v>166</v>
      </c>
      <c r="S2616" s="266" t="s">
        <v>166</v>
      </c>
      <c r="T2616" s="509"/>
    </row>
    <row r="2617">
      <c r="A2617" s="494" t="s">
        <v>3401</v>
      </c>
      <c r="B2617" s="505" t="s">
        <v>3591</v>
      </c>
      <c r="C2617" s="452" t="s">
        <v>3575</v>
      </c>
      <c r="D2617" s="452" t="s">
        <v>4454</v>
      </c>
      <c r="E2617" s="507">
        <f>255-12</f>
        <v>243</v>
      </c>
      <c r="F2617" s="507">
        <f>136-15</f>
        <v>121</v>
      </c>
      <c r="G2617" s="507">
        <v>45.5</v>
      </c>
      <c r="H2617" s="260">
        <v>2.0</v>
      </c>
      <c r="I2617" s="260">
        <v>2505.0</v>
      </c>
      <c r="J2617" s="652">
        <v>17.0</v>
      </c>
      <c r="K2617" s="653">
        <v>115.0</v>
      </c>
      <c r="L2617" s="266">
        <v>8.0</v>
      </c>
      <c r="M2617" s="507">
        <v>2.0</v>
      </c>
      <c r="N2617" s="266">
        <v>3.0</v>
      </c>
      <c r="O2617" s="266">
        <v>1.0</v>
      </c>
      <c r="P2617" s="266" t="s">
        <v>166</v>
      </c>
      <c r="Q2617" s="266" t="s">
        <v>166</v>
      </c>
      <c r="R2617" s="266" t="s">
        <v>166</v>
      </c>
      <c r="S2617" s="266" t="s">
        <v>166</v>
      </c>
      <c r="T2617" s="509"/>
    </row>
    <row r="2618">
      <c r="A2618" s="494" t="s">
        <v>3401</v>
      </c>
      <c r="B2618" s="505" t="s">
        <v>3591</v>
      </c>
      <c r="C2618" s="452" t="s">
        <v>3575</v>
      </c>
      <c r="D2618" s="452" t="s">
        <v>4455</v>
      </c>
      <c r="E2618" s="507">
        <f t="shared" ref="E2618:E2619" si="386">325-12</f>
        <v>313</v>
      </c>
      <c r="F2618" s="507">
        <f t="shared" ref="F2618:F2619" si="387">134-15</f>
        <v>119</v>
      </c>
      <c r="G2618" s="507">
        <v>48.0</v>
      </c>
      <c r="H2618" s="260">
        <v>2.0</v>
      </c>
      <c r="I2618" s="260">
        <v>2580.0</v>
      </c>
      <c r="J2618" s="652">
        <v>17.0</v>
      </c>
      <c r="K2618" s="653">
        <v>130.0</v>
      </c>
      <c r="L2618" s="266">
        <v>8.0</v>
      </c>
      <c r="M2618" s="507">
        <v>3.0</v>
      </c>
      <c r="N2618" s="266">
        <v>3.0</v>
      </c>
      <c r="O2618" s="266">
        <v>1.0</v>
      </c>
      <c r="P2618" s="266" t="s">
        <v>166</v>
      </c>
      <c r="Q2618" s="266" t="s">
        <v>166</v>
      </c>
      <c r="R2618" s="266" t="s">
        <v>166</v>
      </c>
      <c r="S2618" s="266" t="s">
        <v>166</v>
      </c>
      <c r="T2618" s="509"/>
    </row>
    <row r="2619">
      <c r="A2619" s="494" t="s">
        <v>3401</v>
      </c>
      <c r="B2619" s="505" t="s">
        <v>3591</v>
      </c>
      <c r="C2619" s="452" t="s">
        <v>3575</v>
      </c>
      <c r="D2619" s="452" t="s">
        <v>4087</v>
      </c>
      <c r="E2619" s="507">
        <f t="shared" si="386"/>
        <v>313</v>
      </c>
      <c r="F2619" s="507">
        <f t="shared" si="387"/>
        <v>119</v>
      </c>
      <c r="G2619" s="507">
        <v>48.0</v>
      </c>
      <c r="H2619" s="260">
        <v>2.0</v>
      </c>
      <c r="I2619" s="260">
        <v>2580.0</v>
      </c>
      <c r="J2619" s="652">
        <v>17.0</v>
      </c>
      <c r="K2619" s="653">
        <v>130.0</v>
      </c>
      <c r="L2619" s="266">
        <v>8.0</v>
      </c>
      <c r="M2619" s="507">
        <v>3.0</v>
      </c>
      <c r="N2619" s="266">
        <v>3.0</v>
      </c>
      <c r="O2619" s="266">
        <v>1.0</v>
      </c>
      <c r="P2619" s="266" t="s">
        <v>166</v>
      </c>
      <c r="Q2619" s="266" t="s">
        <v>166</v>
      </c>
      <c r="R2619" s="266" t="s">
        <v>166</v>
      </c>
      <c r="S2619" s="266" t="s">
        <v>166</v>
      </c>
      <c r="T2619" s="509"/>
    </row>
    <row r="2620">
      <c r="A2620" s="494" t="s">
        <v>3401</v>
      </c>
      <c r="B2620" s="505" t="s">
        <v>3591</v>
      </c>
      <c r="C2620" s="452" t="str">
        <f t="shared" ref="C2620:C2626" si="388">HYPERLINK("http://www.gainward.com/main/index.php?lang=en","Gainward")</f>
        <v>Gainward</v>
      </c>
      <c r="D2620" s="544" t="s">
        <v>4456</v>
      </c>
      <c r="E2620" s="507">
        <v>219.0</v>
      </c>
      <c r="F2620" s="507">
        <v>116.0</v>
      </c>
      <c r="G2620" s="507">
        <v>42.0</v>
      </c>
      <c r="H2620" s="260">
        <v>2.0</v>
      </c>
      <c r="I2620" s="260">
        <v>2550.0</v>
      </c>
      <c r="J2620" s="652">
        <v>17.0</v>
      </c>
      <c r="K2620" s="653">
        <v>115.0</v>
      </c>
      <c r="L2620" s="266">
        <v>8.0</v>
      </c>
      <c r="M2620" s="507">
        <v>2.0</v>
      </c>
      <c r="N2620" s="266">
        <v>3.0</v>
      </c>
      <c r="O2620" s="266">
        <v>1.0</v>
      </c>
      <c r="P2620" s="266" t="s">
        <v>166</v>
      </c>
      <c r="Q2620" s="266" t="s">
        <v>166</v>
      </c>
      <c r="R2620" s="266" t="s">
        <v>166</v>
      </c>
      <c r="S2620" s="266" t="s">
        <v>166</v>
      </c>
      <c r="T2620" s="509"/>
    </row>
    <row r="2621">
      <c r="A2621" s="494" t="s">
        <v>3401</v>
      </c>
      <c r="B2621" s="505" t="s">
        <v>3591</v>
      </c>
      <c r="C2621" s="452" t="str">
        <f t="shared" si="388"/>
        <v>Gainward</v>
      </c>
      <c r="D2621" s="544" t="s">
        <v>4457</v>
      </c>
      <c r="E2621" s="507">
        <v>298.5</v>
      </c>
      <c r="F2621" s="507">
        <v>114.0</v>
      </c>
      <c r="G2621" s="507">
        <v>41.0</v>
      </c>
      <c r="H2621" s="260">
        <v>2.0</v>
      </c>
      <c r="I2621" s="260">
        <v>2580.0</v>
      </c>
      <c r="J2621" s="652">
        <v>17.0</v>
      </c>
      <c r="K2621" s="653">
        <v>130.0</v>
      </c>
      <c r="L2621" s="266">
        <v>8.0</v>
      </c>
      <c r="M2621" s="507">
        <v>3.0</v>
      </c>
      <c r="N2621" s="266">
        <v>3.0</v>
      </c>
      <c r="O2621" s="266">
        <v>1.0</v>
      </c>
      <c r="P2621" s="266" t="s">
        <v>166</v>
      </c>
      <c r="Q2621" s="266" t="s">
        <v>166</v>
      </c>
      <c r="R2621" s="266" t="s">
        <v>166</v>
      </c>
      <c r="S2621" s="266" t="s">
        <v>166</v>
      </c>
      <c r="T2621" s="509"/>
    </row>
    <row r="2622">
      <c r="A2622" s="494" t="s">
        <v>3401</v>
      </c>
      <c r="B2622" s="505" t="s">
        <v>3591</v>
      </c>
      <c r="C2622" s="452" t="str">
        <f t="shared" si="388"/>
        <v>Gainward</v>
      </c>
      <c r="D2622" s="544" t="s">
        <v>4458</v>
      </c>
      <c r="E2622" s="507">
        <v>298.5</v>
      </c>
      <c r="F2622" s="507">
        <v>114.0</v>
      </c>
      <c r="G2622" s="507">
        <v>41.0</v>
      </c>
      <c r="H2622" s="260">
        <v>2.0</v>
      </c>
      <c r="I2622" s="260">
        <v>2670.0</v>
      </c>
      <c r="J2622" s="652">
        <v>17.0</v>
      </c>
      <c r="K2622" s="653">
        <v>130.0</v>
      </c>
      <c r="L2622" s="266">
        <v>8.0</v>
      </c>
      <c r="M2622" s="507">
        <v>3.0</v>
      </c>
      <c r="N2622" s="266">
        <v>3.0</v>
      </c>
      <c r="O2622" s="266">
        <v>1.0</v>
      </c>
      <c r="P2622" s="266" t="s">
        <v>166</v>
      </c>
      <c r="Q2622" s="266" t="s">
        <v>166</v>
      </c>
      <c r="R2622" s="266" t="s">
        <v>166</v>
      </c>
      <c r="S2622" s="266" t="s">
        <v>166</v>
      </c>
      <c r="T2622" s="509"/>
    </row>
    <row r="2623">
      <c r="A2623" s="494" t="s">
        <v>3401</v>
      </c>
      <c r="B2623" s="505" t="s">
        <v>3591</v>
      </c>
      <c r="C2623" s="452" t="str">
        <f t="shared" si="388"/>
        <v>Gainward</v>
      </c>
      <c r="D2623" s="452" t="s">
        <v>3926</v>
      </c>
      <c r="E2623" s="507">
        <v>249.9</v>
      </c>
      <c r="F2623" s="507">
        <v>128.1</v>
      </c>
      <c r="G2623" s="507">
        <v>40.4</v>
      </c>
      <c r="H2623" s="260">
        <v>2.0</v>
      </c>
      <c r="I2623" s="260">
        <v>2460.0</v>
      </c>
      <c r="J2623" s="652">
        <v>17.0</v>
      </c>
      <c r="K2623" s="653">
        <v>115.0</v>
      </c>
      <c r="L2623" s="266">
        <v>8.0</v>
      </c>
      <c r="M2623" s="507">
        <v>2.0</v>
      </c>
      <c r="N2623" s="266">
        <v>3.0</v>
      </c>
      <c r="O2623" s="266">
        <v>1.0</v>
      </c>
      <c r="P2623" s="266" t="s">
        <v>166</v>
      </c>
      <c r="Q2623" s="266" t="s">
        <v>166</v>
      </c>
      <c r="R2623" s="266" t="s">
        <v>166</v>
      </c>
      <c r="S2623" s="266" t="s">
        <v>166</v>
      </c>
      <c r="T2623" s="509"/>
    </row>
    <row r="2624">
      <c r="A2624" s="494" t="s">
        <v>3401</v>
      </c>
      <c r="B2624" s="505" t="s">
        <v>3591</v>
      </c>
      <c r="C2624" s="452" t="str">
        <f t="shared" si="388"/>
        <v>Gainward</v>
      </c>
      <c r="D2624" s="452" t="s">
        <v>4197</v>
      </c>
      <c r="E2624" s="507">
        <v>249.9</v>
      </c>
      <c r="F2624" s="507">
        <v>128.1</v>
      </c>
      <c r="G2624" s="507">
        <v>40.4</v>
      </c>
      <c r="H2624" s="260">
        <v>2.0</v>
      </c>
      <c r="I2624" s="260">
        <v>2460.0</v>
      </c>
      <c r="J2624" s="652">
        <v>17.0</v>
      </c>
      <c r="K2624" s="653">
        <v>115.0</v>
      </c>
      <c r="L2624" s="266">
        <v>8.0</v>
      </c>
      <c r="M2624" s="507">
        <v>2.0</v>
      </c>
      <c r="N2624" s="266">
        <v>3.0</v>
      </c>
      <c r="O2624" s="266">
        <v>1.0</v>
      </c>
      <c r="P2624" s="266" t="s">
        <v>166</v>
      </c>
      <c r="Q2624" s="266" t="s">
        <v>166</v>
      </c>
      <c r="R2624" s="266" t="s">
        <v>166</v>
      </c>
      <c r="S2624" s="266" t="s">
        <v>166</v>
      </c>
      <c r="T2624" s="509"/>
    </row>
    <row r="2625">
      <c r="A2625" s="494" t="s">
        <v>3401</v>
      </c>
      <c r="B2625" s="505" t="s">
        <v>3591</v>
      </c>
      <c r="C2625" s="452" t="str">
        <f t="shared" si="388"/>
        <v>Gainward</v>
      </c>
      <c r="D2625" s="452" t="s">
        <v>3488</v>
      </c>
      <c r="E2625" s="507">
        <v>249.9</v>
      </c>
      <c r="F2625" s="507">
        <v>128.1</v>
      </c>
      <c r="G2625" s="507">
        <v>40.4</v>
      </c>
      <c r="H2625" s="260">
        <v>2.0</v>
      </c>
      <c r="I2625" s="260">
        <v>2670.0</v>
      </c>
      <c r="J2625" s="652">
        <v>17.0</v>
      </c>
      <c r="K2625" s="653">
        <v>115.0</v>
      </c>
      <c r="L2625" s="266">
        <v>8.0</v>
      </c>
      <c r="M2625" s="507">
        <v>2.0</v>
      </c>
      <c r="N2625" s="266">
        <v>3.0</v>
      </c>
      <c r="O2625" s="266">
        <v>1.0</v>
      </c>
      <c r="P2625" s="266" t="s">
        <v>166</v>
      </c>
      <c r="Q2625" s="266" t="s">
        <v>166</v>
      </c>
      <c r="R2625" s="266" t="s">
        <v>166</v>
      </c>
      <c r="S2625" s="266" t="s">
        <v>166</v>
      </c>
      <c r="T2625" s="509"/>
    </row>
    <row r="2626">
      <c r="A2626" s="494" t="s">
        <v>3401</v>
      </c>
      <c r="B2626" s="505" t="s">
        <v>3591</v>
      </c>
      <c r="C2626" s="452" t="str">
        <f t="shared" si="388"/>
        <v>Gainward</v>
      </c>
      <c r="D2626" s="544" t="s">
        <v>4198</v>
      </c>
      <c r="E2626" s="507">
        <v>249.9</v>
      </c>
      <c r="F2626" s="507">
        <v>128.1</v>
      </c>
      <c r="G2626" s="507">
        <v>40.4</v>
      </c>
      <c r="H2626" s="260">
        <v>2.0</v>
      </c>
      <c r="I2626" s="260">
        <v>2670.0</v>
      </c>
      <c r="J2626" s="652">
        <v>17.0</v>
      </c>
      <c r="K2626" s="653">
        <v>115.0</v>
      </c>
      <c r="L2626" s="266">
        <v>8.0</v>
      </c>
      <c r="M2626" s="507">
        <v>2.0</v>
      </c>
      <c r="N2626" s="266">
        <v>3.0</v>
      </c>
      <c r="O2626" s="266">
        <v>1.0</v>
      </c>
      <c r="P2626" s="266" t="s">
        <v>166</v>
      </c>
      <c r="Q2626" s="266" t="s">
        <v>166</v>
      </c>
      <c r="R2626" s="266" t="s">
        <v>166</v>
      </c>
      <c r="S2626" s="266" t="s">
        <v>166</v>
      </c>
      <c r="T2626" s="509"/>
    </row>
    <row r="2627">
      <c r="A2627" s="494" t="s">
        <v>3401</v>
      </c>
      <c r="B2627" s="505" t="s">
        <v>3591</v>
      </c>
      <c r="C2627" s="174" t="s">
        <v>3456</v>
      </c>
      <c r="D2627" s="544" t="s">
        <v>4204</v>
      </c>
      <c r="E2627" s="507">
        <v>228.0</v>
      </c>
      <c r="F2627" s="507">
        <v>113.0</v>
      </c>
      <c r="G2627" s="507">
        <v>41.0</v>
      </c>
      <c r="H2627" s="260">
        <v>2.0</v>
      </c>
      <c r="I2627" s="260">
        <v>2460.0</v>
      </c>
      <c r="J2627" s="652">
        <v>17.0</v>
      </c>
      <c r="K2627" s="653">
        <v>115.0</v>
      </c>
      <c r="L2627" s="266">
        <v>8.0</v>
      </c>
      <c r="M2627" s="507">
        <v>2.0</v>
      </c>
      <c r="N2627" s="266">
        <v>3.0</v>
      </c>
      <c r="O2627" s="266">
        <v>1.0</v>
      </c>
      <c r="P2627" s="266" t="s">
        <v>166</v>
      </c>
      <c r="Q2627" s="266" t="s">
        <v>166</v>
      </c>
      <c r="R2627" s="266" t="s">
        <v>166</v>
      </c>
      <c r="S2627" s="266" t="s">
        <v>166</v>
      </c>
      <c r="T2627" s="509"/>
    </row>
    <row r="2628">
      <c r="A2628" s="494" t="s">
        <v>3401</v>
      </c>
      <c r="B2628" s="505" t="s">
        <v>3591</v>
      </c>
      <c r="C2628" s="174" t="s">
        <v>3456</v>
      </c>
      <c r="D2628" s="544" t="s">
        <v>4206</v>
      </c>
      <c r="E2628" s="507">
        <v>228.0</v>
      </c>
      <c r="F2628" s="507">
        <v>113.0</v>
      </c>
      <c r="G2628" s="507">
        <v>41.0</v>
      </c>
      <c r="H2628" s="260">
        <v>2.0</v>
      </c>
      <c r="I2628" s="260">
        <v>2565.0</v>
      </c>
      <c r="J2628" s="652">
        <v>17.0</v>
      </c>
      <c r="K2628" s="653">
        <v>115.0</v>
      </c>
      <c r="L2628" s="266">
        <v>8.0</v>
      </c>
      <c r="M2628" s="507">
        <v>2.0</v>
      </c>
      <c r="N2628" s="266">
        <v>3.0</v>
      </c>
      <c r="O2628" s="266">
        <v>1.0</v>
      </c>
      <c r="P2628" s="266" t="s">
        <v>166</v>
      </c>
      <c r="Q2628" s="266" t="s">
        <v>166</v>
      </c>
      <c r="R2628" s="266" t="s">
        <v>166</v>
      </c>
      <c r="S2628" s="266" t="s">
        <v>166</v>
      </c>
      <c r="T2628" s="509"/>
    </row>
    <row r="2629">
      <c r="A2629" s="494" t="s">
        <v>3401</v>
      </c>
      <c r="B2629" s="505" t="s">
        <v>3591</v>
      </c>
      <c r="C2629" s="174" t="s">
        <v>3456</v>
      </c>
      <c r="D2629" s="544" t="s">
        <v>4257</v>
      </c>
      <c r="E2629" s="507">
        <v>312.0</v>
      </c>
      <c r="F2629" s="507">
        <v>130.0</v>
      </c>
      <c r="G2629" s="507">
        <v>48.0</v>
      </c>
      <c r="H2629" s="260">
        <v>2.0</v>
      </c>
      <c r="I2629" s="260">
        <v>2460.0</v>
      </c>
      <c r="J2629" s="652">
        <v>17.0</v>
      </c>
      <c r="K2629" s="653">
        <v>115.0</v>
      </c>
      <c r="L2629" s="266">
        <v>8.0</v>
      </c>
      <c r="M2629" s="507">
        <v>3.0</v>
      </c>
      <c r="N2629" s="266">
        <v>3.0</v>
      </c>
      <c r="O2629" s="266">
        <v>1.0</v>
      </c>
      <c r="P2629" s="266" t="s">
        <v>166</v>
      </c>
      <c r="Q2629" s="266" t="s">
        <v>166</v>
      </c>
      <c r="R2629" s="266" t="s">
        <v>166</v>
      </c>
      <c r="S2629" s="266" t="s">
        <v>166</v>
      </c>
      <c r="T2629" s="509"/>
    </row>
    <row r="2630">
      <c r="A2630" s="494" t="s">
        <v>3401</v>
      </c>
      <c r="B2630" s="505" t="s">
        <v>3591</v>
      </c>
      <c r="C2630" s="174" t="s">
        <v>3456</v>
      </c>
      <c r="D2630" s="544" t="s">
        <v>4258</v>
      </c>
      <c r="E2630" s="507">
        <v>312.0</v>
      </c>
      <c r="F2630" s="507">
        <v>130.0</v>
      </c>
      <c r="G2630" s="507">
        <v>48.0</v>
      </c>
      <c r="H2630" s="260">
        <v>2.0</v>
      </c>
      <c r="I2630" s="260">
        <v>2670.0</v>
      </c>
      <c r="J2630" s="652">
        <v>17.0</v>
      </c>
      <c r="K2630" s="653">
        <v>130.0</v>
      </c>
      <c r="L2630" s="266">
        <v>8.0</v>
      </c>
      <c r="M2630" s="507">
        <v>3.0</v>
      </c>
      <c r="N2630" s="266">
        <v>3.0</v>
      </c>
      <c r="O2630" s="266">
        <v>1.0</v>
      </c>
      <c r="P2630" s="266" t="s">
        <v>166</v>
      </c>
      <c r="Q2630" s="266" t="s">
        <v>166</v>
      </c>
      <c r="R2630" s="266" t="s">
        <v>166</v>
      </c>
      <c r="S2630" s="266" t="s">
        <v>166</v>
      </c>
      <c r="T2630" s="509"/>
    </row>
    <row r="2631">
      <c r="A2631" s="494" t="s">
        <v>3401</v>
      </c>
      <c r="B2631" s="505" t="s">
        <v>3591</v>
      </c>
      <c r="C2631" s="174" t="s">
        <v>3456</v>
      </c>
      <c r="D2631" s="452" t="s">
        <v>4459</v>
      </c>
      <c r="E2631" s="507">
        <v>237.0</v>
      </c>
      <c r="F2631" s="507">
        <v>118.0</v>
      </c>
      <c r="G2631" s="507">
        <v>41.0</v>
      </c>
      <c r="H2631" s="260">
        <v>2.0</v>
      </c>
      <c r="I2631" s="260">
        <v>2490.0</v>
      </c>
      <c r="J2631" s="652">
        <v>17.0</v>
      </c>
      <c r="K2631" s="653">
        <v>115.0</v>
      </c>
      <c r="L2631" s="266">
        <v>8.0</v>
      </c>
      <c r="M2631" s="507">
        <v>2.0</v>
      </c>
      <c r="N2631" s="266">
        <v>3.0</v>
      </c>
      <c r="O2631" s="266">
        <v>1.0</v>
      </c>
      <c r="P2631" s="266" t="s">
        <v>166</v>
      </c>
      <c r="Q2631" s="266" t="s">
        <v>166</v>
      </c>
      <c r="R2631" s="266" t="s">
        <v>166</v>
      </c>
      <c r="S2631" s="266" t="s">
        <v>166</v>
      </c>
      <c r="T2631" s="509"/>
    </row>
    <row r="2632">
      <c r="A2632" s="494" t="s">
        <v>3401</v>
      </c>
      <c r="B2632" s="505" t="s">
        <v>3591</v>
      </c>
      <c r="C2632" s="174" t="s">
        <v>3456</v>
      </c>
      <c r="D2632" s="452" t="s">
        <v>4460</v>
      </c>
      <c r="E2632" s="507">
        <v>251.0</v>
      </c>
      <c r="F2632" s="507">
        <v>130.0</v>
      </c>
      <c r="G2632" s="507">
        <v>40.0</v>
      </c>
      <c r="H2632" s="260">
        <v>2.0</v>
      </c>
      <c r="I2632" s="260">
        <v>2580.0</v>
      </c>
      <c r="J2632" s="652">
        <v>17.0</v>
      </c>
      <c r="K2632" s="653">
        <v>115.0</v>
      </c>
      <c r="L2632" s="266">
        <v>8.0</v>
      </c>
      <c r="M2632" s="507">
        <v>2.0</v>
      </c>
      <c r="N2632" s="266">
        <v>3.0</v>
      </c>
      <c r="O2632" s="266">
        <v>1.0</v>
      </c>
      <c r="P2632" s="266" t="s">
        <v>166</v>
      </c>
      <c r="Q2632" s="266" t="s">
        <v>166</v>
      </c>
      <c r="R2632" s="266" t="s">
        <v>166</v>
      </c>
      <c r="S2632" s="266" t="s">
        <v>166</v>
      </c>
      <c r="T2632" s="509"/>
    </row>
    <row r="2633">
      <c r="A2633" s="494" t="s">
        <v>3401</v>
      </c>
      <c r="B2633" s="505" t="s">
        <v>3591</v>
      </c>
      <c r="C2633" s="174" t="s">
        <v>3456</v>
      </c>
      <c r="D2633" s="452" t="s">
        <v>4461</v>
      </c>
      <c r="E2633" s="507">
        <v>251.0</v>
      </c>
      <c r="F2633" s="507">
        <v>130.0</v>
      </c>
      <c r="G2633" s="507">
        <v>40.0</v>
      </c>
      <c r="H2633" s="260">
        <v>2.0</v>
      </c>
      <c r="I2633" s="260">
        <v>2580.0</v>
      </c>
      <c r="J2633" s="652">
        <v>17.0</v>
      </c>
      <c r="K2633" s="653">
        <v>115.0</v>
      </c>
      <c r="L2633" s="266">
        <v>8.0</v>
      </c>
      <c r="M2633" s="507">
        <v>2.0</v>
      </c>
      <c r="N2633" s="266">
        <v>3.0</v>
      </c>
      <c r="O2633" s="266">
        <v>1.0</v>
      </c>
      <c r="P2633" s="266" t="s">
        <v>166</v>
      </c>
      <c r="Q2633" s="266" t="s">
        <v>166</v>
      </c>
      <c r="R2633" s="266" t="s">
        <v>166</v>
      </c>
      <c r="S2633" s="266" t="s">
        <v>166</v>
      </c>
      <c r="T2633" s="509"/>
    </row>
    <row r="2634">
      <c r="A2634" s="494" t="s">
        <v>3401</v>
      </c>
      <c r="B2634" s="505" t="s">
        <v>3591</v>
      </c>
      <c r="C2634" s="174" t="s">
        <v>3456</v>
      </c>
      <c r="D2634" s="452" t="s">
        <v>4462</v>
      </c>
      <c r="E2634" s="507">
        <v>251.0</v>
      </c>
      <c r="F2634" s="507">
        <v>130.0</v>
      </c>
      <c r="G2634" s="507">
        <v>40.0</v>
      </c>
      <c r="H2634" s="260">
        <v>2.0</v>
      </c>
      <c r="I2634" s="260">
        <v>2580.0</v>
      </c>
      <c r="J2634" s="652">
        <v>17.0</v>
      </c>
      <c r="K2634" s="653">
        <v>115.0</v>
      </c>
      <c r="L2634" s="266">
        <v>8.0</v>
      </c>
      <c r="M2634" s="507">
        <v>2.0</v>
      </c>
      <c r="N2634" s="266">
        <v>3.0</v>
      </c>
      <c r="O2634" s="266">
        <v>1.0</v>
      </c>
      <c r="P2634" s="266" t="s">
        <v>166</v>
      </c>
      <c r="Q2634" s="266" t="s">
        <v>166</v>
      </c>
      <c r="R2634" s="266" t="s">
        <v>166</v>
      </c>
      <c r="S2634" s="266" t="s">
        <v>166</v>
      </c>
      <c r="T2634" s="509"/>
    </row>
    <row r="2635">
      <c r="A2635" s="494" t="s">
        <v>3401</v>
      </c>
      <c r="B2635" s="505" t="s">
        <v>3591</v>
      </c>
      <c r="C2635" s="174" t="str">
        <f t="shared" ref="C2635:C2640" si="389">HYPERLINK("https://www.gigabyte.com/","Gigabyte")</f>
        <v>Gigabyte</v>
      </c>
      <c r="D2635" s="452" t="s">
        <v>3551</v>
      </c>
      <c r="E2635" s="507">
        <v>272.0</v>
      </c>
      <c r="F2635" s="507">
        <v>115.0</v>
      </c>
      <c r="G2635" s="507">
        <v>40.0</v>
      </c>
      <c r="H2635" s="260">
        <v>2.0</v>
      </c>
      <c r="I2635" s="260">
        <v>2505.0</v>
      </c>
      <c r="J2635" s="652">
        <v>17.0</v>
      </c>
      <c r="K2635" s="653">
        <v>115.0</v>
      </c>
      <c r="L2635" s="266">
        <v>8.0</v>
      </c>
      <c r="M2635" s="507">
        <v>3.0</v>
      </c>
      <c r="N2635" s="266">
        <v>2.0</v>
      </c>
      <c r="O2635" s="266">
        <v>2.0</v>
      </c>
      <c r="P2635" s="266" t="s">
        <v>166</v>
      </c>
      <c r="Q2635" s="266" t="s">
        <v>166</v>
      </c>
      <c r="R2635" s="266" t="s">
        <v>166</v>
      </c>
      <c r="S2635" s="266" t="s">
        <v>166</v>
      </c>
      <c r="T2635" s="509"/>
    </row>
    <row r="2636">
      <c r="A2636" s="494" t="s">
        <v>3401</v>
      </c>
      <c r="B2636" s="505" t="s">
        <v>3591</v>
      </c>
      <c r="C2636" s="174" t="str">
        <f t="shared" si="389"/>
        <v>Gigabyte</v>
      </c>
      <c r="D2636" s="452" t="s">
        <v>4463</v>
      </c>
      <c r="E2636" s="507">
        <v>272.0</v>
      </c>
      <c r="F2636" s="507">
        <v>115.0</v>
      </c>
      <c r="G2636" s="507">
        <v>40.0</v>
      </c>
      <c r="H2636" s="260">
        <v>2.0</v>
      </c>
      <c r="I2636" s="260">
        <v>2505.0</v>
      </c>
      <c r="J2636" s="652">
        <v>17.0</v>
      </c>
      <c r="K2636" s="653">
        <v>115.0</v>
      </c>
      <c r="L2636" s="266">
        <v>8.0</v>
      </c>
      <c r="M2636" s="507">
        <v>3.0</v>
      </c>
      <c r="N2636" s="266">
        <v>2.0</v>
      </c>
      <c r="O2636" s="266">
        <v>2.0</v>
      </c>
      <c r="P2636" s="266" t="s">
        <v>166</v>
      </c>
      <c r="Q2636" s="266" t="s">
        <v>166</v>
      </c>
      <c r="R2636" s="266" t="s">
        <v>166</v>
      </c>
      <c r="S2636" s="266" t="s">
        <v>166</v>
      </c>
      <c r="T2636" s="509"/>
    </row>
    <row r="2637">
      <c r="A2637" s="494" t="s">
        <v>3401</v>
      </c>
      <c r="B2637" s="505" t="s">
        <v>3591</v>
      </c>
      <c r="C2637" s="174" t="str">
        <f t="shared" si="389"/>
        <v>Gigabyte</v>
      </c>
      <c r="D2637" s="452" t="s">
        <v>3851</v>
      </c>
      <c r="E2637" s="507">
        <v>281.0</v>
      </c>
      <c r="F2637" s="507">
        <v>114.0</v>
      </c>
      <c r="G2637" s="507">
        <v>38.0</v>
      </c>
      <c r="H2637" s="260">
        <v>2.0</v>
      </c>
      <c r="I2637" s="260">
        <v>2550.0</v>
      </c>
      <c r="J2637" s="652">
        <v>17.0</v>
      </c>
      <c r="K2637" s="653">
        <v>115.0</v>
      </c>
      <c r="L2637" s="266">
        <v>8.0</v>
      </c>
      <c r="M2637" s="507">
        <v>3.0</v>
      </c>
      <c r="N2637" s="266">
        <v>2.0</v>
      </c>
      <c r="O2637" s="266">
        <v>2.0</v>
      </c>
      <c r="P2637" s="266" t="s">
        <v>166</v>
      </c>
      <c r="Q2637" s="266" t="s">
        <v>166</v>
      </c>
      <c r="R2637" s="266" t="s">
        <v>166</v>
      </c>
      <c r="S2637" s="266" t="s">
        <v>166</v>
      </c>
      <c r="T2637" s="509"/>
    </row>
    <row r="2638">
      <c r="A2638" s="494" t="s">
        <v>3401</v>
      </c>
      <c r="B2638" s="505" t="s">
        <v>3591</v>
      </c>
      <c r="C2638" s="174" t="str">
        <f t="shared" si="389"/>
        <v>Gigabyte</v>
      </c>
      <c r="D2638" s="452" t="s">
        <v>3409</v>
      </c>
      <c r="E2638" s="507">
        <v>281.0</v>
      </c>
      <c r="F2638" s="507">
        <v>114.0</v>
      </c>
      <c r="G2638" s="507">
        <v>40.0</v>
      </c>
      <c r="H2638" s="260">
        <v>2.0</v>
      </c>
      <c r="I2638" s="260">
        <v>2460.0</v>
      </c>
      <c r="J2638" s="652">
        <v>17.0</v>
      </c>
      <c r="K2638" s="653">
        <v>115.0</v>
      </c>
      <c r="L2638" s="266">
        <v>8.0</v>
      </c>
      <c r="M2638" s="507">
        <v>3.0</v>
      </c>
      <c r="N2638" s="266">
        <v>2.0</v>
      </c>
      <c r="O2638" s="266">
        <v>2.0</v>
      </c>
      <c r="P2638" s="266" t="s">
        <v>166</v>
      </c>
      <c r="Q2638" s="266" t="s">
        <v>166</v>
      </c>
      <c r="R2638" s="266" t="s">
        <v>166</v>
      </c>
      <c r="S2638" s="266" t="s">
        <v>166</v>
      </c>
      <c r="T2638" s="509"/>
    </row>
    <row r="2639">
      <c r="A2639" s="494" t="s">
        <v>3401</v>
      </c>
      <c r="B2639" s="505" t="s">
        <v>3591</v>
      </c>
      <c r="C2639" s="174" t="str">
        <f t="shared" si="389"/>
        <v>Gigabyte</v>
      </c>
      <c r="D2639" s="452" t="s">
        <v>3630</v>
      </c>
      <c r="E2639" s="507">
        <v>281.0</v>
      </c>
      <c r="F2639" s="507">
        <v>114.0</v>
      </c>
      <c r="G2639" s="507">
        <v>40.0</v>
      </c>
      <c r="H2639" s="260">
        <v>2.0</v>
      </c>
      <c r="I2639" s="260">
        <v>2550.0</v>
      </c>
      <c r="J2639" s="652">
        <v>17.0</v>
      </c>
      <c r="K2639" s="653">
        <v>115.0</v>
      </c>
      <c r="L2639" s="266">
        <v>8.0</v>
      </c>
      <c r="M2639" s="507">
        <v>3.0</v>
      </c>
      <c r="N2639" s="266">
        <v>2.0</v>
      </c>
      <c r="O2639" s="266">
        <v>2.0</v>
      </c>
      <c r="P2639" s="266" t="s">
        <v>166</v>
      </c>
      <c r="Q2639" s="266" t="s">
        <v>166</v>
      </c>
      <c r="R2639" s="266" t="s">
        <v>166</v>
      </c>
      <c r="S2639" s="266" t="s">
        <v>166</v>
      </c>
      <c r="T2639" s="509"/>
    </row>
    <row r="2640">
      <c r="A2640" s="494" t="s">
        <v>3401</v>
      </c>
      <c r="B2640" s="505" t="s">
        <v>3591</v>
      </c>
      <c r="C2640" s="174" t="str">
        <f t="shared" si="389"/>
        <v>Gigabyte</v>
      </c>
      <c r="D2640" s="452" t="s">
        <v>3711</v>
      </c>
      <c r="E2640" s="507">
        <v>299.0</v>
      </c>
      <c r="F2640" s="507">
        <v>122.0</v>
      </c>
      <c r="G2640" s="507">
        <v>56.0</v>
      </c>
      <c r="H2640" s="260">
        <v>2.0</v>
      </c>
      <c r="I2640" s="260">
        <v>2640.0</v>
      </c>
      <c r="J2640" s="652">
        <v>17.0</v>
      </c>
      <c r="K2640" s="653">
        <v>115.0</v>
      </c>
      <c r="L2640" s="266">
        <v>8.0</v>
      </c>
      <c r="M2640" s="507">
        <v>3.0</v>
      </c>
      <c r="N2640" s="266">
        <v>2.0</v>
      </c>
      <c r="O2640" s="266">
        <v>2.0</v>
      </c>
      <c r="P2640" s="266" t="s">
        <v>166</v>
      </c>
      <c r="Q2640" s="266" t="s">
        <v>166</v>
      </c>
      <c r="R2640" s="266" t="s">
        <v>166</v>
      </c>
      <c r="S2640" s="266" t="s">
        <v>166</v>
      </c>
      <c r="T2640" s="509"/>
    </row>
    <row r="2641">
      <c r="A2641" s="494" t="s">
        <v>3401</v>
      </c>
      <c r="B2641" s="505" t="s">
        <v>3591</v>
      </c>
      <c r="C2641" s="452" t="str">
        <f t="shared" ref="C2641:C2643" si="390">HYPERLINK("http://www.inno3d.com/","Inno3D")</f>
        <v>Inno3D</v>
      </c>
      <c r="D2641" s="452" t="s">
        <v>3896</v>
      </c>
      <c r="E2641" s="507">
        <v>250.0</v>
      </c>
      <c r="F2641" s="507">
        <v>118.0</v>
      </c>
      <c r="G2641" s="507">
        <v>42.0</v>
      </c>
      <c r="H2641" s="260">
        <v>2.0</v>
      </c>
      <c r="I2641" s="260">
        <v>2460.0</v>
      </c>
      <c r="J2641" s="652">
        <v>17.0</v>
      </c>
      <c r="K2641" s="653">
        <v>115.0</v>
      </c>
      <c r="L2641" s="266">
        <v>8.0</v>
      </c>
      <c r="M2641" s="507">
        <v>2.0</v>
      </c>
      <c r="N2641" s="266">
        <v>3.0</v>
      </c>
      <c r="O2641" s="266">
        <v>1.0</v>
      </c>
      <c r="P2641" s="266" t="s">
        <v>166</v>
      </c>
      <c r="Q2641" s="266" t="s">
        <v>166</v>
      </c>
      <c r="R2641" s="266" t="s">
        <v>166</v>
      </c>
      <c r="S2641" s="266" t="s">
        <v>166</v>
      </c>
      <c r="T2641" s="509"/>
    </row>
    <row r="2642">
      <c r="A2642" s="494" t="s">
        <v>3401</v>
      </c>
      <c r="B2642" s="505" t="s">
        <v>3591</v>
      </c>
      <c r="C2642" s="452" t="str">
        <f t="shared" si="390"/>
        <v>Inno3D</v>
      </c>
      <c r="D2642" s="452" t="s">
        <v>3882</v>
      </c>
      <c r="E2642" s="507">
        <v>250.0</v>
      </c>
      <c r="F2642" s="507">
        <v>118.0</v>
      </c>
      <c r="G2642" s="507">
        <v>42.0</v>
      </c>
      <c r="H2642" s="260">
        <v>2.0</v>
      </c>
      <c r="I2642" s="260">
        <v>2490.0</v>
      </c>
      <c r="J2642" s="652">
        <v>17.0</v>
      </c>
      <c r="K2642" s="653">
        <v>115.0</v>
      </c>
      <c r="L2642" s="266">
        <v>8.0</v>
      </c>
      <c r="M2642" s="507">
        <v>2.0</v>
      </c>
      <c r="N2642" s="266">
        <v>3.0</v>
      </c>
      <c r="O2642" s="266">
        <v>1.0</v>
      </c>
      <c r="P2642" s="266" t="s">
        <v>166</v>
      </c>
      <c r="Q2642" s="266" t="s">
        <v>166</v>
      </c>
      <c r="R2642" s="266" t="s">
        <v>166</v>
      </c>
      <c r="S2642" s="266" t="s">
        <v>166</v>
      </c>
      <c r="T2642" s="509"/>
    </row>
    <row r="2643">
      <c r="A2643" s="494" t="s">
        <v>3401</v>
      </c>
      <c r="B2643" s="505" t="s">
        <v>3591</v>
      </c>
      <c r="C2643" s="452" t="str">
        <f t="shared" si="390"/>
        <v>Inno3D</v>
      </c>
      <c r="D2643" s="452" t="s">
        <v>4464</v>
      </c>
      <c r="E2643" s="507">
        <v>250.0</v>
      </c>
      <c r="F2643" s="507">
        <v>118.0</v>
      </c>
      <c r="G2643" s="507">
        <v>42.0</v>
      </c>
      <c r="H2643" s="260">
        <v>2.0</v>
      </c>
      <c r="I2643" s="260">
        <v>2490.0</v>
      </c>
      <c r="J2643" s="652">
        <v>17.0</v>
      </c>
      <c r="K2643" s="653">
        <v>115.0</v>
      </c>
      <c r="L2643" s="266">
        <v>8.0</v>
      </c>
      <c r="M2643" s="507">
        <v>2.0</v>
      </c>
      <c r="N2643" s="266">
        <v>3.0</v>
      </c>
      <c r="O2643" s="266">
        <v>1.0</v>
      </c>
      <c r="P2643" s="266" t="s">
        <v>166</v>
      </c>
      <c r="Q2643" s="266" t="s">
        <v>166</v>
      </c>
      <c r="R2643" s="266" t="s">
        <v>166</v>
      </c>
      <c r="S2643" s="266" t="s">
        <v>166</v>
      </c>
      <c r="T2643" s="509"/>
    </row>
    <row r="2644">
      <c r="A2644" s="494" t="s">
        <v>3401</v>
      </c>
      <c r="B2644" s="505" t="s">
        <v>3591</v>
      </c>
      <c r="C2644" s="174" t="s">
        <v>3565</v>
      </c>
      <c r="D2644" s="452" t="s">
        <v>3810</v>
      </c>
      <c r="E2644" s="507">
        <v>250.0</v>
      </c>
      <c r="F2644" s="507">
        <v>128.0</v>
      </c>
      <c r="G2644" s="507">
        <v>40.0</v>
      </c>
      <c r="H2644" s="260">
        <v>2.0</v>
      </c>
      <c r="I2644" s="260">
        <v>2460.0</v>
      </c>
      <c r="J2644" s="652">
        <v>17.0</v>
      </c>
      <c r="K2644" s="653">
        <v>115.0</v>
      </c>
      <c r="L2644" s="266">
        <v>8.0</v>
      </c>
      <c r="M2644" s="507">
        <v>2.0</v>
      </c>
      <c r="N2644" s="266">
        <v>3.0</v>
      </c>
      <c r="O2644" s="266">
        <v>1.0</v>
      </c>
      <c r="P2644" s="266" t="s">
        <v>166</v>
      </c>
      <c r="Q2644" s="266" t="s">
        <v>166</v>
      </c>
      <c r="R2644" s="266" t="s">
        <v>166</v>
      </c>
      <c r="S2644" s="266" t="s">
        <v>166</v>
      </c>
      <c r="T2644" s="509"/>
    </row>
    <row r="2645">
      <c r="A2645" s="494" t="s">
        <v>3401</v>
      </c>
      <c r="B2645" s="505" t="s">
        <v>3591</v>
      </c>
      <c r="C2645" s="174" t="s">
        <v>3565</v>
      </c>
      <c r="D2645" s="452" t="s">
        <v>4465</v>
      </c>
      <c r="E2645" s="507">
        <v>250.0</v>
      </c>
      <c r="F2645" s="507">
        <v>124.0</v>
      </c>
      <c r="G2645" s="507">
        <v>42.0</v>
      </c>
      <c r="H2645" s="260">
        <v>2.0</v>
      </c>
      <c r="I2645" s="260">
        <v>2460.0</v>
      </c>
      <c r="J2645" s="652">
        <v>17.0</v>
      </c>
      <c r="K2645" s="653">
        <v>115.0</v>
      </c>
      <c r="L2645" s="266">
        <v>8.0</v>
      </c>
      <c r="M2645" s="507">
        <v>2.0</v>
      </c>
      <c r="N2645" s="266">
        <v>3.0</v>
      </c>
      <c r="O2645" s="266">
        <v>1.0</v>
      </c>
      <c r="P2645" s="266" t="s">
        <v>166</v>
      </c>
      <c r="Q2645" s="266" t="s">
        <v>166</v>
      </c>
      <c r="R2645" s="266" t="s">
        <v>166</v>
      </c>
      <c r="S2645" s="266" t="s">
        <v>166</v>
      </c>
      <c r="T2645" s="509"/>
    </row>
    <row r="2646">
      <c r="A2646" s="494" t="s">
        <v>3401</v>
      </c>
      <c r="B2646" s="505" t="s">
        <v>3591</v>
      </c>
      <c r="C2646" s="174" t="s">
        <v>3565</v>
      </c>
      <c r="D2646" s="537" t="s">
        <v>4466</v>
      </c>
      <c r="E2646" s="507">
        <v>252.0</v>
      </c>
      <c r="F2646" s="507">
        <v>124.0</v>
      </c>
      <c r="G2646" s="507">
        <v>41.0</v>
      </c>
      <c r="H2646" s="260">
        <v>2.0</v>
      </c>
      <c r="I2646" s="260">
        <v>2550.0</v>
      </c>
      <c r="J2646" s="652">
        <v>17.0</v>
      </c>
      <c r="K2646" s="653">
        <v>115.0</v>
      </c>
      <c r="L2646" s="266">
        <v>8.0</v>
      </c>
      <c r="M2646" s="507">
        <v>2.0</v>
      </c>
      <c r="N2646" s="266">
        <v>3.0</v>
      </c>
      <c r="O2646" s="266">
        <v>1.0</v>
      </c>
      <c r="P2646" s="266" t="s">
        <v>166</v>
      </c>
      <c r="Q2646" s="266" t="s">
        <v>166</v>
      </c>
      <c r="R2646" s="266" t="s">
        <v>166</v>
      </c>
      <c r="S2646" s="266" t="s">
        <v>166</v>
      </c>
      <c r="T2646" s="509"/>
    </row>
    <row r="2647">
      <c r="A2647" s="494" t="s">
        <v>3401</v>
      </c>
      <c r="B2647" s="505" t="s">
        <v>3591</v>
      </c>
      <c r="C2647" s="174" t="s">
        <v>3565</v>
      </c>
      <c r="D2647" s="452" t="s">
        <v>4229</v>
      </c>
      <c r="E2647" s="507">
        <v>317.0</v>
      </c>
      <c r="F2647" s="507">
        <v>132.0</v>
      </c>
      <c r="G2647" s="507">
        <v>46.0</v>
      </c>
      <c r="H2647" s="260">
        <v>2.0</v>
      </c>
      <c r="I2647" s="260">
        <v>2550.0</v>
      </c>
      <c r="J2647" s="652">
        <v>17.0</v>
      </c>
      <c r="K2647" s="653">
        <v>115.0</v>
      </c>
      <c r="L2647" s="266">
        <v>8.0</v>
      </c>
      <c r="M2647" s="507">
        <v>3.0</v>
      </c>
      <c r="N2647" s="266">
        <v>3.0</v>
      </c>
      <c r="O2647" s="266">
        <v>1.0</v>
      </c>
      <c r="P2647" s="266" t="s">
        <v>166</v>
      </c>
      <c r="Q2647" s="266" t="s">
        <v>166</v>
      </c>
      <c r="R2647" s="266" t="s">
        <v>166</v>
      </c>
      <c r="S2647" s="266" t="s">
        <v>166</v>
      </c>
      <c r="T2647" s="509"/>
    </row>
    <row r="2648">
      <c r="A2648" s="494" t="s">
        <v>3401</v>
      </c>
      <c r="B2648" s="505" t="s">
        <v>3591</v>
      </c>
      <c r="C2648" s="174" t="s">
        <v>3565</v>
      </c>
      <c r="D2648" s="537" t="s">
        <v>4467</v>
      </c>
      <c r="E2648" s="507">
        <v>317.0</v>
      </c>
      <c r="F2648" s="507">
        <v>132.0</v>
      </c>
      <c r="G2648" s="507">
        <v>46.0</v>
      </c>
      <c r="H2648" s="260">
        <v>2.0</v>
      </c>
      <c r="I2648" s="260">
        <v>2550.0</v>
      </c>
      <c r="J2648" s="652">
        <v>17.0</v>
      </c>
      <c r="K2648" s="653">
        <v>115.0</v>
      </c>
      <c r="L2648" s="266">
        <v>8.0</v>
      </c>
      <c r="M2648" s="507">
        <v>3.0</v>
      </c>
      <c r="N2648" s="266">
        <v>3.0</v>
      </c>
      <c r="O2648" s="266">
        <v>1.0</v>
      </c>
      <c r="P2648" s="266" t="s">
        <v>166</v>
      </c>
      <c r="Q2648" s="266" t="s">
        <v>166</v>
      </c>
      <c r="R2648" s="266" t="s">
        <v>166</v>
      </c>
      <c r="S2648" s="266" t="s">
        <v>166</v>
      </c>
      <c r="T2648" s="509"/>
    </row>
    <row r="2649">
      <c r="A2649" s="494" t="s">
        <v>3401</v>
      </c>
      <c r="B2649" s="505" t="s">
        <v>3591</v>
      </c>
      <c r="C2649" s="174" t="str">
        <f t="shared" ref="C2649:C2655" si="391">HYPERLINK("https://www.msi.com/index.php","MSI")</f>
        <v>MSI</v>
      </c>
      <c r="D2649" s="452" t="s">
        <v>4146</v>
      </c>
      <c r="E2649" s="507">
        <v>308.0</v>
      </c>
      <c r="F2649" s="507">
        <v>120.0</v>
      </c>
      <c r="G2649" s="507">
        <v>42.0</v>
      </c>
      <c r="H2649" s="260">
        <v>2.0</v>
      </c>
      <c r="I2649" s="260">
        <v>2475.0</v>
      </c>
      <c r="J2649" s="652">
        <v>17.0</v>
      </c>
      <c r="K2649" s="653">
        <v>115.0</v>
      </c>
      <c r="L2649" s="266">
        <v>8.0</v>
      </c>
      <c r="M2649" s="507">
        <v>3.0</v>
      </c>
      <c r="N2649" s="266">
        <v>3.0</v>
      </c>
      <c r="O2649" s="266">
        <v>1.0</v>
      </c>
      <c r="P2649" s="266" t="s">
        <v>166</v>
      </c>
      <c r="Q2649" s="266" t="s">
        <v>166</v>
      </c>
      <c r="R2649" s="266" t="s">
        <v>166</v>
      </c>
      <c r="S2649" s="266" t="s">
        <v>166</v>
      </c>
      <c r="T2649" s="509"/>
    </row>
    <row r="2650">
      <c r="A2650" s="494" t="s">
        <v>3401</v>
      </c>
      <c r="B2650" s="505" t="s">
        <v>3591</v>
      </c>
      <c r="C2650" s="174" t="str">
        <f t="shared" si="391"/>
        <v>MSI</v>
      </c>
      <c r="D2650" s="452" t="s">
        <v>4147</v>
      </c>
      <c r="E2650" s="507">
        <v>308.0</v>
      </c>
      <c r="F2650" s="507">
        <v>120.0</v>
      </c>
      <c r="G2650" s="507">
        <v>42.0</v>
      </c>
      <c r="H2650" s="260">
        <v>2.0</v>
      </c>
      <c r="I2650" s="260">
        <v>2580.0</v>
      </c>
      <c r="J2650" s="652">
        <v>17.0</v>
      </c>
      <c r="K2650" s="653">
        <v>115.0</v>
      </c>
      <c r="L2650" s="266">
        <v>8.0</v>
      </c>
      <c r="M2650" s="507">
        <v>3.0</v>
      </c>
      <c r="N2650" s="266">
        <v>3.0</v>
      </c>
      <c r="O2650" s="266">
        <v>1.0</v>
      </c>
      <c r="P2650" s="266" t="s">
        <v>166</v>
      </c>
      <c r="Q2650" s="266" t="s">
        <v>166</v>
      </c>
      <c r="R2650" s="266" t="s">
        <v>166</v>
      </c>
      <c r="S2650" s="266" t="s">
        <v>166</v>
      </c>
      <c r="T2650" s="509"/>
    </row>
    <row r="2651">
      <c r="A2651" s="494" t="s">
        <v>3401</v>
      </c>
      <c r="B2651" s="505" t="s">
        <v>3591</v>
      </c>
      <c r="C2651" s="174" t="str">
        <f t="shared" si="391"/>
        <v>MSI</v>
      </c>
      <c r="D2651" s="452" t="s">
        <v>3409</v>
      </c>
      <c r="E2651" s="507">
        <v>247.0</v>
      </c>
      <c r="F2651" s="507">
        <v>130.0</v>
      </c>
      <c r="G2651" s="507">
        <v>41.0</v>
      </c>
      <c r="H2651" s="260">
        <v>2.0</v>
      </c>
      <c r="I2651" s="260">
        <v>2475.0</v>
      </c>
      <c r="J2651" s="652">
        <v>17.0</v>
      </c>
      <c r="K2651" s="653">
        <v>115.0</v>
      </c>
      <c r="L2651" s="266">
        <v>8.0</v>
      </c>
      <c r="M2651" s="507">
        <v>2.0</v>
      </c>
      <c r="N2651" s="266">
        <v>3.0</v>
      </c>
      <c r="O2651" s="266">
        <v>1.0</v>
      </c>
      <c r="P2651" s="266" t="s">
        <v>166</v>
      </c>
      <c r="Q2651" s="266" t="s">
        <v>166</v>
      </c>
      <c r="R2651" s="266" t="s">
        <v>166</v>
      </c>
      <c r="S2651" s="266" t="s">
        <v>166</v>
      </c>
      <c r="T2651" s="509"/>
    </row>
    <row r="2652">
      <c r="A2652" s="494" t="s">
        <v>3401</v>
      </c>
      <c r="B2652" s="505" t="s">
        <v>3591</v>
      </c>
      <c r="C2652" s="174" t="str">
        <f t="shared" si="391"/>
        <v>MSI</v>
      </c>
      <c r="D2652" s="452" t="s">
        <v>4468</v>
      </c>
      <c r="E2652" s="507">
        <v>247.0</v>
      </c>
      <c r="F2652" s="507">
        <v>130.0</v>
      </c>
      <c r="G2652" s="507">
        <v>41.0</v>
      </c>
      <c r="H2652" s="260">
        <v>2.0</v>
      </c>
      <c r="I2652" s="260">
        <v>2475.0</v>
      </c>
      <c r="J2652" s="652">
        <v>17.0</v>
      </c>
      <c r="K2652" s="653">
        <v>115.0</v>
      </c>
      <c r="L2652" s="266">
        <v>8.0</v>
      </c>
      <c r="M2652" s="507">
        <v>2.0</v>
      </c>
      <c r="N2652" s="266">
        <v>3.0</v>
      </c>
      <c r="O2652" s="266">
        <v>1.0</v>
      </c>
      <c r="P2652" s="266" t="s">
        <v>166</v>
      </c>
      <c r="Q2652" s="266" t="s">
        <v>166</v>
      </c>
      <c r="R2652" s="266" t="s">
        <v>166</v>
      </c>
      <c r="S2652" s="266" t="s">
        <v>166</v>
      </c>
      <c r="T2652" s="509"/>
    </row>
    <row r="2653">
      <c r="A2653" s="494" t="s">
        <v>3401</v>
      </c>
      <c r="B2653" s="505" t="s">
        <v>3591</v>
      </c>
      <c r="C2653" s="174" t="str">
        <f t="shared" si="391"/>
        <v>MSI</v>
      </c>
      <c r="D2653" s="452" t="s">
        <v>3557</v>
      </c>
      <c r="E2653" s="507">
        <v>247.0</v>
      </c>
      <c r="F2653" s="507">
        <v>130.0</v>
      </c>
      <c r="G2653" s="507">
        <v>41.0</v>
      </c>
      <c r="H2653" s="260">
        <v>2.0</v>
      </c>
      <c r="I2653" s="260">
        <v>2610.0</v>
      </c>
      <c r="J2653" s="652">
        <v>17.0</v>
      </c>
      <c r="K2653" s="653">
        <v>115.0</v>
      </c>
      <c r="L2653" s="266">
        <v>8.0</v>
      </c>
      <c r="M2653" s="507">
        <v>2.0</v>
      </c>
      <c r="N2653" s="266">
        <v>3.0</v>
      </c>
      <c r="O2653" s="266">
        <v>1.0</v>
      </c>
      <c r="P2653" s="266" t="s">
        <v>166</v>
      </c>
      <c r="Q2653" s="266" t="s">
        <v>166</v>
      </c>
      <c r="R2653" s="266" t="s">
        <v>166</v>
      </c>
      <c r="S2653" s="266" t="s">
        <v>166</v>
      </c>
      <c r="T2653" s="509"/>
    </row>
    <row r="2654">
      <c r="A2654" s="494" t="s">
        <v>3401</v>
      </c>
      <c r="B2654" s="505" t="s">
        <v>3591</v>
      </c>
      <c r="C2654" s="174" t="str">
        <f t="shared" si="391"/>
        <v>MSI</v>
      </c>
      <c r="D2654" s="452" t="s">
        <v>4469</v>
      </c>
      <c r="E2654" s="507">
        <v>247.0</v>
      </c>
      <c r="F2654" s="507">
        <v>130.0</v>
      </c>
      <c r="G2654" s="507">
        <v>41.0</v>
      </c>
      <c r="H2654" s="260">
        <v>2.0</v>
      </c>
      <c r="I2654" s="260">
        <v>2610.0</v>
      </c>
      <c r="J2654" s="652">
        <v>17.0</v>
      </c>
      <c r="K2654" s="653">
        <v>115.0</v>
      </c>
      <c r="L2654" s="266">
        <v>8.0</v>
      </c>
      <c r="M2654" s="507">
        <v>2.0</v>
      </c>
      <c r="N2654" s="266">
        <v>3.0</v>
      </c>
      <c r="O2654" s="266">
        <v>1.0</v>
      </c>
      <c r="P2654" s="266" t="s">
        <v>166</v>
      </c>
      <c r="Q2654" s="266" t="s">
        <v>166</v>
      </c>
      <c r="R2654" s="266" t="s">
        <v>166</v>
      </c>
      <c r="S2654" s="266" t="s">
        <v>166</v>
      </c>
      <c r="T2654" s="509"/>
    </row>
    <row r="2655">
      <c r="A2655" s="494" t="s">
        <v>3401</v>
      </c>
      <c r="B2655" s="505" t="s">
        <v>3591</v>
      </c>
      <c r="C2655" s="174" t="str">
        <f t="shared" si="391"/>
        <v>MSI</v>
      </c>
      <c r="D2655" s="452" t="s">
        <v>4470</v>
      </c>
      <c r="E2655" s="507">
        <v>247.0</v>
      </c>
      <c r="F2655" s="507">
        <v>130.0</v>
      </c>
      <c r="G2655" s="507">
        <v>41.0</v>
      </c>
      <c r="H2655" s="260">
        <v>2.0</v>
      </c>
      <c r="I2655" s="260">
        <v>2610.0</v>
      </c>
      <c r="J2655" s="652">
        <v>17.0</v>
      </c>
      <c r="K2655" s="653">
        <v>115.0</v>
      </c>
      <c r="L2655" s="266">
        <v>8.0</v>
      </c>
      <c r="M2655" s="507">
        <v>2.0</v>
      </c>
      <c r="N2655" s="266">
        <v>3.0</v>
      </c>
      <c r="O2655" s="266">
        <v>1.0</v>
      </c>
      <c r="P2655" s="266" t="s">
        <v>166</v>
      </c>
      <c r="Q2655" s="266" t="s">
        <v>166</v>
      </c>
      <c r="R2655" s="266" t="s">
        <v>166</v>
      </c>
      <c r="S2655" s="266" t="s">
        <v>166</v>
      </c>
      <c r="T2655" s="509"/>
    </row>
    <row r="2656">
      <c r="A2656" s="494" t="s">
        <v>3401</v>
      </c>
      <c r="B2656" s="505" t="s">
        <v>3591</v>
      </c>
      <c r="C2656" s="452" t="str">
        <f t="shared" ref="C2656:C2659" si="392">HYPERLINK("http://www.palit.com/palit/index.php?lang=en","Palit")</f>
        <v>Palit</v>
      </c>
      <c r="D2656" s="452" t="s">
        <v>3372</v>
      </c>
      <c r="E2656" s="507">
        <v>249.9</v>
      </c>
      <c r="F2656" s="507">
        <v>123.5</v>
      </c>
      <c r="G2656" s="507">
        <v>40.2</v>
      </c>
      <c r="H2656" s="260">
        <v>2.0</v>
      </c>
      <c r="I2656" s="260">
        <v>2460.0</v>
      </c>
      <c r="J2656" s="652">
        <v>17.0</v>
      </c>
      <c r="K2656" s="653">
        <v>115.0</v>
      </c>
      <c r="L2656" s="266">
        <v>8.0</v>
      </c>
      <c r="M2656" s="507">
        <v>2.0</v>
      </c>
      <c r="N2656" s="266">
        <v>3.0</v>
      </c>
      <c r="O2656" s="266">
        <v>1.0</v>
      </c>
      <c r="P2656" s="266" t="s">
        <v>166</v>
      </c>
      <c r="Q2656" s="266" t="s">
        <v>166</v>
      </c>
      <c r="R2656" s="266" t="s">
        <v>166</v>
      </c>
      <c r="S2656" s="266" t="s">
        <v>166</v>
      </c>
      <c r="T2656" s="509"/>
    </row>
    <row r="2657">
      <c r="A2657" s="494" t="s">
        <v>3401</v>
      </c>
      <c r="B2657" s="505" t="s">
        <v>3591</v>
      </c>
      <c r="C2657" s="452" t="str">
        <f t="shared" si="392"/>
        <v>Palit</v>
      </c>
      <c r="D2657" s="452" t="s">
        <v>4243</v>
      </c>
      <c r="E2657" s="507">
        <v>249.9</v>
      </c>
      <c r="F2657" s="507">
        <v>123.5</v>
      </c>
      <c r="G2657" s="507">
        <v>40.2</v>
      </c>
      <c r="H2657" s="260">
        <v>2.0</v>
      </c>
      <c r="I2657" s="260">
        <v>2460.0</v>
      </c>
      <c r="J2657" s="652">
        <v>17.0</v>
      </c>
      <c r="K2657" s="653">
        <v>115.0</v>
      </c>
      <c r="L2657" s="266">
        <v>8.0</v>
      </c>
      <c r="M2657" s="507">
        <v>2.0</v>
      </c>
      <c r="N2657" s="266">
        <v>3.0</v>
      </c>
      <c r="O2657" s="266">
        <v>1.0</v>
      </c>
      <c r="P2657" s="266" t="s">
        <v>166</v>
      </c>
      <c r="Q2657" s="266" t="s">
        <v>166</v>
      </c>
      <c r="R2657" s="266" t="s">
        <v>166</v>
      </c>
      <c r="S2657" s="266" t="s">
        <v>166</v>
      </c>
      <c r="T2657" s="509"/>
    </row>
    <row r="2658">
      <c r="A2658" s="494" t="s">
        <v>3401</v>
      </c>
      <c r="B2658" s="505" t="s">
        <v>3591</v>
      </c>
      <c r="C2658" s="452" t="str">
        <f t="shared" si="392"/>
        <v>Palit</v>
      </c>
      <c r="D2658" s="452" t="s">
        <v>3381</v>
      </c>
      <c r="E2658" s="507">
        <v>249.9</v>
      </c>
      <c r="F2658" s="507">
        <v>123.5</v>
      </c>
      <c r="G2658" s="507">
        <v>40.2</v>
      </c>
      <c r="H2658" s="260">
        <v>2.0</v>
      </c>
      <c r="I2658" s="260">
        <v>2670.0</v>
      </c>
      <c r="J2658" s="652">
        <v>17.0</v>
      </c>
      <c r="K2658" s="653">
        <v>130.0</v>
      </c>
      <c r="L2658" s="266">
        <v>8.0</v>
      </c>
      <c r="M2658" s="507">
        <v>2.0</v>
      </c>
      <c r="N2658" s="266">
        <v>3.0</v>
      </c>
      <c r="O2658" s="266">
        <v>1.0</v>
      </c>
      <c r="P2658" s="266" t="s">
        <v>166</v>
      </c>
      <c r="Q2658" s="266" t="s">
        <v>166</v>
      </c>
      <c r="R2658" s="266" t="s">
        <v>166</v>
      </c>
      <c r="S2658" s="266" t="s">
        <v>166</v>
      </c>
      <c r="T2658" s="509"/>
    </row>
    <row r="2659">
      <c r="A2659" s="494" t="s">
        <v>3401</v>
      </c>
      <c r="B2659" s="505" t="s">
        <v>3591</v>
      </c>
      <c r="C2659" s="452" t="str">
        <f t="shared" si="392"/>
        <v>Palit</v>
      </c>
      <c r="D2659" s="452" t="s">
        <v>4244</v>
      </c>
      <c r="E2659" s="507">
        <v>249.9</v>
      </c>
      <c r="F2659" s="507">
        <v>123.5</v>
      </c>
      <c r="G2659" s="507">
        <v>40.2</v>
      </c>
      <c r="H2659" s="260">
        <v>2.0</v>
      </c>
      <c r="I2659" s="260">
        <v>2670.0</v>
      </c>
      <c r="J2659" s="652">
        <v>17.0</v>
      </c>
      <c r="K2659" s="653">
        <v>130.0</v>
      </c>
      <c r="L2659" s="266">
        <v>8.0</v>
      </c>
      <c r="M2659" s="507">
        <v>2.0</v>
      </c>
      <c r="N2659" s="266">
        <v>3.0</v>
      </c>
      <c r="O2659" s="266">
        <v>1.0</v>
      </c>
      <c r="P2659" s="266" t="s">
        <v>166</v>
      </c>
      <c r="Q2659" s="266" t="s">
        <v>166</v>
      </c>
      <c r="R2659" s="266" t="s">
        <v>166</v>
      </c>
      <c r="S2659" s="266" t="s">
        <v>166</v>
      </c>
      <c r="T2659" s="509"/>
    </row>
    <row r="2660">
      <c r="A2660" s="494" t="s">
        <v>3401</v>
      </c>
      <c r="B2660" s="505" t="s">
        <v>3591</v>
      </c>
      <c r="C2660" s="452" t="str">
        <f t="shared" ref="C2660:C2661" si="393">HYPERLINK("https://pny.com/","PNY")</f>
        <v>PNY</v>
      </c>
      <c r="D2660" s="452" t="s">
        <v>4471</v>
      </c>
      <c r="E2660" s="507">
        <v>260.35</v>
      </c>
      <c r="F2660" s="507">
        <v>112.01</v>
      </c>
      <c r="G2660" s="507">
        <v>39.88</v>
      </c>
      <c r="H2660" s="260">
        <v>2.0</v>
      </c>
      <c r="I2660" s="260">
        <v>2460.0</v>
      </c>
      <c r="J2660" s="652">
        <v>17.0</v>
      </c>
      <c r="K2660" s="653">
        <v>115.0</v>
      </c>
      <c r="L2660" s="266">
        <v>8.0</v>
      </c>
      <c r="M2660" s="507">
        <v>3.0</v>
      </c>
      <c r="N2660" s="266">
        <v>3.0</v>
      </c>
      <c r="O2660" s="266">
        <v>1.0</v>
      </c>
      <c r="P2660" s="266" t="s">
        <v>166</v>
      </c>
      <c r="Q2660" s="266" t="s">
        <v>166</v>
      </c>
      <c r="R2660" s="266" t="s">
        <v>166</v>
      </c>
      <c r="S2660" s="266" t="s">
        <v>166</v>
      </c>
      <c r="T2660" s="509"/>
    </row>
    <row r="2661">
      <c r="A2661" s="494" t="s">
        <v>3401</v>
      </c>
      <c r="B2661" s="505" t="s">
        <v>3591</v>
      </c>
      <c r="C2661" s="452" t="str">
        <f t="shared" si="393"/>
        <v>PNY</v>
      </c>
      <c r="D2661" s="452" t="s">
        <v>4472</v>
      </c>
      <c r="E2661" s="507">
        <v>260.35</v>
      </c>
      <c r="F2661" s="507">
        <v>112.01</v>
      </c>
      <c r="G2661" s="507">
        <v>39.88</v>
      </c>
      <c r="H2661" s="260">
        <v>2.0</v>
      </c>
      <c r="I2661" s="260">
        <v>2505.0</v>
      </c>
      <c r="J2661" s="652">
        <v>17.0</v>
      </c>
      <c r="K2661" s="653">
        <v>115.0</v>
      </c>
      <c r="L2661" s="266">
        <v>8.0</v>
      </c>
      <c r="M2661" s="507">
        <v>3.0</v>
      </c>
      <c r="N2661" s="266">
        <v>3.0</v>
      </c>
      <c r="O2661" s="266">
        <v>1.0</v>
      </c>
      <c r="P2661" s="266" t="s">
        <v>166</v>
      </c>
      <c r="Q2661" s="266" t="s">
        <v>166</v>
      </c>
      <c r="R2661" s="266" t="s">
        <v>166</v>
      </c>
      <c r="S2661" s="266" t="s">
        <v>166</v>
      </c>
      <c r="T2661" s="509"/>
    </row>
    <row r="2662">
      <c r="A2662" s="494" t="s">
        <v>3401</v>
      </c>
      <c r="B2662" s="505" t="s">
        <v>3591</v>
      </c>
      <c r="C2662" s="452" t="s">
        <v>3378</v>
      </c>
      <c r="D2662" s="452" t="s">
        <v>4473</v>
      </c>
      <c r="E2662" s="507">
        <v>230.0</v>
      </c>
      <c r="F2662" s="507">
        <v>112.0</v>
      </c>
      <c r="G2662" s="507">
        <v>40.0</v>
      </c>
      <c r="H2662" s="260">
        <v>2.0</v>
      </c>
      <c r="I2662" s="260">
        <v>2460.0</v>
      </c>
      <c r="J2662" s="652">
        <v>17.0</v>
      </c>
      <c r="K2662" s="653">
        <v>115.0</v>
      </c>
      <c r="L2662" s="266">
        <v>8.0</v>
      </c>
      <c r="M2662" s="507">
        <v>2.0</v>
      </c>
      <c r="N2662" s="266">
        <v>3.0</v>
      </c>
      <c r="O2662" s="266">
        <v>1.0</v>
      </c>
      <c r="P2662" s="266" t="s">
        <v>166</v>
      </c>
      <c r="Q2662" s="266" t="s">
        <v>166</v>
      </c>
      <c r="R2662" s="266" t="s">
        <v>166</v>
      </c>
      <c r="S2662" s="266" t="s">
        <v>166</v>
      </c>
      <c r="T2662" s="509"/>
    </row>
    <row r="2663">
      <c r="A2663" s="494" t="s">
        <v>3401</v>
      </c>
      <c r="B2663" s="505" t="s">
        <v>3591</v>
      </c>
      <c r="C2663" s="452" t="s">
        <v>3378</v>
      </c>
      <c r="D2663" s="452" t="s">
        <v>4474</v>
      </c>
      <c r="E2663" s="507">
        <v>248.0</v>
      </c>
      <c r="F2663" s="507">
        <v>128.0</v>
      </c>
      <c r="G2663" s="507">
        <v>39.0</v>
      </c>
      <c r="H2663" s="260">
        <v>2.0</v>
      </c>
      <c r="I2663" s="260">
        <v>2460.0</v>
      </c>
      <c r="J2663" s="652">
        <v>17.0</v>
      </c>
      <c r="K2663" s="653">
        <v>115.0</v>
      </c>
      <c r="L2663" s="266">
        <v>8.0</v>
      </c>
      <c r="M2663" s="507">
        <v>2.0</v>
      </c>
      <c r="N2663" s="266">
        <v>3.0</v>
      </c>
      <c r="O2663" s="266">
        <v>1.0</v>
      </c>
      <c r="P2663" s="266" t="s">
        <v>166</v>
      </c>
      <c r="Q2663" s="266" t="s">
        <v>166</v>
      </c>
      <c r="R2663" s="266" t="s">
        <v>166</v>
      </c>
      <c r="S2663" s="266" t="s">
        <v>166</v>
      </c>
      <c r="T2663" s="509"/>
    </row>
    <row r="2664">
      <c r="A2664" s="494" t="s">
        <v>3401</v>
      </c>
      <c r="B2664" s="505" t="s">
        <v>3591</v>
      </c>
      <c r="C2664" s="452" t="s">
        <v>3440</v>
      </c>
      <c r="D2664" s="452" t="s">
        <v>4475</v>
      </c>
      <c r="E2664" s="507">
        <v>239.0</v>
      </c>
      <c r="F2664" s="507">
        <v>115.0</v>
      </c>
      <c r="G2664" s="507">
        <v>44.0</v>
      </c>
      <c r="H2664" s="260">
        <v>2.0</v>
      </c>
      <c r="I2664" s="260">
        <v>2475.0</v>
      </c>
      <c r="J2664" s="652">
        <v>17.0</v>
      </c>
      <c r="K2664" s="653">
        <v>115.0</v>
      </c>
      <c r="L2664" s="266">
        <v>8.0</v>
      </c>
      <c r="M2664" s="507">
        <v>2.0</v>
      </c>
      <c r="N2664" s="266">
        <v>3.0</v>
      </c>
      <c r="O2664" s="266">
        <v>1.0</v>
      </c>
      <c r="P2664" s="266" t="s">
        <v>166</v>
      </c>
      <c r="Q2664" s="266" t="s">
        <v>166</v>
      </c>
      <c r="R2664" s="266" t="s">
        <v>166</v>
      </c>
      <c r="S2664" s="266" t="s">
        <v>166</v>
      </c>
      <c r="T2664" s="509"/>
    </row>
    <row r="2665">
      <c r="A2665" s="494" t="s">
        <v>3401</v>
      </c>
      <c r="B2665" s="505" t="s">
        <v>3591</v>
      </c>
      <c r="C2665" s="452" t="s">
        <v>3440</v>
      </c>
      <c r="D2665" s="452" t="s">
        <v>4476</v>
      </c>
      <c r="E2665" s="507">
        <v>218.0</v>
      </c>
      <c r="F2665" s="507">
        <v>117.0</v>
      </c>
      <c r="G2665" s="507">
        <v>43.0</v>
      </c>
      <c r="H2665" s="260">
        <v>2.0</v>
      </c>
      <c r="I2665" s="260">
        <v>2505.0</v>
      </c>
      <c r="J2665" s="652">
        <v>17.0</v>
      </c>
      <c r="K2665" s="653">
        <v>115.0</v>
      </c>
      <c r="L2665" s="266">
        <v>8.0</v>
      </c>
      <c r="M2665" s="507">
        <v>2.0</v>
      </c>
      <c r="N2665" s="266">
        <v>3.0</v>
      </c>
      <c r="O2665" s="266">
        <v>1.0</v>
      </c>
      <c r="P2665" s="266" t="s">
        <v>166</v>
      </c>
      <c r="Q2665" s="266" t="s">
        <v>166</v>
      </c>
      <c r="R2665" s="266" t="s">
        <v>166</v>
      </c>
      <c r="S2665" s="266" t="s">
        <v>166</v>
      </c>
      <c r="T2665" s="509"/>
    </row>
    <row r="2666">
      <c r="A2666" s="494" t="s">
        <v>3401</v>
      </c>
      <c r="B2666" s="505" t="s">
        <v>3591</v>
      </c>
      <c r="C2666" s="452" t="s">
        <v>3440</v>
      </c>
      <c r="D2666" s="452" t="s">
        <v>4477</v>
      </c>
      <c r="E2666" s="507">
        <v>303.0</v>
      </c>
      <c r="F2666" s="507">
        <v>121.0</v>
      </c>
      <c r="G2666" s="507">
        <v>43.0</v>
      </c>
      <c r="H2666" s="260">
        <v>2.0</v>
      </c>
      <c r="I2666" s="260">
        <v>2535.0</v>
      </c>
      <c r="J2666" s="652">
        <v>17.0</v>
      </c>
      <c r="K2666" s="653">
        <v>115.0</v>
      </c>
      <c r="L2666" s="266">
        <v>8.0</v>
      </c>
      <c r="M2666" s="507">
        <v>3.0</v>
      </c>
      <c r="N2666" s="266">
        <v>3.0</v>
      </c>
      <c r="O2666" s="266">
        <v>1.0</v>
      </c>
      <c r="P2666" s="266" t="s">
        <v>166</v>
      </c>
      <c r="Q2666" s="266" t="s">
        <v>166</v>
      </c>
      <c r="R2666" s="266" t="s">
        <v>166</v>
      </c>
      <c r="S2666" s="266" t="s">
        <v>166</v>
      </c>
      <c r="T2666" s="509"/>
    </row>
    <row r="2667">
      <c r="A2667" s="494" t="s">
        <v>3401</v>
      </c>
      <c r="B2667" s="505" t="s">
        <v>3591</v>
      </c>
      <c r="C2667" s="452" t="s">
        <v>3440</v>
      </c>
      <c r="D2667" s="452" t="s">
        <v>4160</v>
      </c>
      <c r="E2667" s="507">
        <v>315.0</v>
      </c>
      <c r="F2667" s="507">
        <v>121.0</v>
      </c>
      <c r="G2667" s="507">
        <v>60.0</v>
      </c>
      <c r="H2667" s="260">
        <v>2.0</v>
      </c>
      <c r="I2667" s="260">
        <v>2610.0</v>
      </c>
      <c r="J2667" s="652">
        <v>17.0</v>
      </c>
      <c r="K2667" s="653">
        <v>130.0</v>
      </c>
      <c r="L2667" s="266">
        <v>8.0</v>
      </c>
      <c r="M2667" s="507">
        <v>3.0</v>
      </c>
      <c r="N2667" s="266">
        <v>3.0</v>
      </c>
      <c r="O2667" s="266">
        <v>1.0</v>
      </c>
      <c r="P2667" s="266" t="s">
        <v>166</v>
      </c>
      <c r="Q2667" s="266" t="s">
        <v>166</v>
      </c>
      <c r="R2667" s="266" t="s">
        <v>166</v>
      </c>
      <c r="S2667" s="266" t="s">
        <v>166</v>
      </c>
      <c r="T2667" s="509"/>
    </row>
    <row r="2668">
      <c r="A2668" s="494" t="s">
        <v>3401</v>
      </c>
      <c r="B2668" s="505" t="s">
        <v>3591</v>
      </c>
      <c r="C2668" s="452" t="s">
        <v>3440</v>
      </c>
      <c r="D2668" s="452" t="s">
        <v>4085</v>
      </c>
      <c r="E2668" s="507">
        <v>221.4</v>
      </c>
      <c r="F2668" s="507">
        <v>122.7</v>
      </c>
      <c r="G2668" s="507">
        <v>43.1</v>
      </c>
      <c r="H2668" s="260">
        <v>2.0</v>
      </c>
      <c r="I2668" s="260">
        <v>2460.0</v>
      </c>
      <c r="J2668" s="652">
        <v>17.0</v>
      </c>
      <c r="K2668" s="653">
        <v>115.0</v>
      </c>
      <c r="L2668" s="266">
        <v>8.0</v>
      </c>
      <c r="M2668" s="507">
        <v>2.0</v>
      </c>
      <c r="N2668" s="266">
        <v>3.0</v>
      </c>
      <c r="O2668" s="266">
        <v>1.0</v>
      </c>
      <c r="P2668" s="266" t="s">
        <v>166</v>
      </c>
      <c r="Q2668" s="266" t="s">
        <v>166</v>
      </c>
      <c r="R2668" s="266" t="s">
        <v>166</v>
      </c>
      <c r="S2668" s="266" t="s">
        <v>166</v>
      </c>
      <c r="T2668" s="509"/>
    </row>
    <row r="2669">
      <c r="A2669" s="494" t="s">
        <v>3401</v>
      </c>
      <c r="B2669" s="505" t="s">
        <v>3591</v>
      </c>
      <c r="C2669" s="452" t="s">
        <v>3440</v>
      </c>
      <c r="D2669" s="452" t="s">
        <v>4086</v>
      </c>
      <c r="E2669" s="507">
        <v>221.4</v>
      </c>
      <c r="F2669" s="507">
        <v>122.7</v>
      </c>
      <c r="G2669" s="507">
        <v>43.1</v>
      </c>
      <c r="H2669" s="260">
        <v>2.0</v>
      </c>
      <c r="I2669" s="260">
        <v>2475.0</v>
      </c>
      <c r="J2669" s="652">
        <v>17.0</v>
      </c>
      <c r="K2669" s="653">
        <v>115.0</v>
      </c>
      <c r="L2669" s="266">
        <v>8.0</v>
      </c>
      <c r="M2669" s="507">
        <v>2.0</v>
      </c>
      <c r="N2669" s="266">
        <v>3.0</v>
      </c>
      <c r="O2669" s="266">
        <v>1.0</v>
      </c>
      <c r="P2669" s="266" t="s">
        <v>166</v>
      </c>
      <c r="Q2669" s="266" t="s">
        <v>166</v>
      </c>
      <c r="R2669" s="266" t="s">
        <v>166</v>
      </c>
      <c r="S2669" s="266" t="s">
        <v>166</v>
      </c>
      <c r="T2669" s="509"/>
    </row>
    <row r="2670">
      <c r="A2670" s="494" t="s">
        <v>3401</v>
      </c>
      <c r="B2670" s="505" t="s">
        <v>3591</v>
      </c>
      <c r="C2670" s="452" t="s">
        <v>3440</v>
      </c>
      <c r="D2670" s="544" t="s">
        <v>4478</v>
      </c>
      <c r="E2670" s="507">
        <v>222.3</v>
      </c>
      <c r="F2670" s="507">
        <v>116.8</v>
      </c>
      <c r="G2670" s="507">
        <v>41.4</v>
      </c>
      <c r="H2670" s="260">
        <v>2.0</v>
      </c>
      <c r="I2670" s="260">
        <v>2475.0</v>
      </c>
      <c r="J2670" s="652">
        <v>17.0</v>
      </c>
      <c r="K2670" s="653">
        <v>115.0</v>
      </c>
      <c r="L2670" s="266">
        <v>8.0</v>
      </c>
      <c r="M2670" s="507">
        <v>2.0</v>
      </c>
      <c r="N2670" s="266">
        <v>3.0</v>
      </c>
      <c r="O2670" s="266">
        <v>1.0</v>
      </c>
      <c r="P2670" s="266" t="s">
        <v>166</v>
      </c>
      <c r="Q2670" s="266" t="s">
        <v>166</v>
      </c>
      <c r="R2670" s="266" t="s">
        <v>166</v>
      </c>
      <c r="S2670" s="266" t="s">
        <v>166</v>
      </c>
      <c r="T2670" s="509"/>
    </row>
    <row r="2671">
      <c r="A2671" s="498" t="s">
        <v>3401</v>
      </c>
      <c r="B2671" s="539" t="s">
        <v>3591</v>
      </c>
      <c r="C2671" s="500" t="s">
        <v>3440</v>
      </c>
      <c r="D2671" s="500" t="s">
        <v>4333</v>
      </c>
      <c r="E2671" s="519">
        <v>221.4</v>
      </c>
      <c r="F2671" s="519">
        <v>122.7</v>
      </c>
      <c r="G2671" s="519">
        <v>43.1</v>
      </c>
      <c r="H2671" s="393">
        <v>2.0</v>
      </c>
      <c r="I2671" s="393">
        <v>2490.0</v>
      </c>
      <c r="J2671" s="654">
        <v>17.0</v>
      </c>
      <c r="K2671" s="655">
        <v>115.0</v>
      </c>
      <c r="L2671" s="501">
        <v>8.0</v>
      </c>
      <c r="M2671" s="519">
        <v>2.0</v>
      </c>
      <c r="N2671" s="501">
        <v>3.0</v>
      </c>
      <c r="O2671" s="501">
        <v>1.0</v>
      </c>
      <c r="P2671" s="501" t="s">
        <v>166</v>
      </c>
      <c r="Q2671" s="501" t="s">
        <v>166</v>
      </c>
      <c r="R2671" s="501" t="s">
        <v>166</v>
      </c>
      <c r="S2671" s="501" t="s">
        <v>166</v>
      </c>
      <c r="T2671" s="541"/>
    </row>
    <row r="2672">
      <c r="A2672" s="504" t="s">
        <v>3401</v>
      </c>
      <c r="B2672" s="505" t="s">
        <v>3610</v>
      </c>
      <c r="C2672" s="506" t="str">
        <f t="shared" ref="C2672:C2683" si="394">HYPERLINK("https://www.asus.com/","Asus")</f>
        <v>Asus</v>
      </c>
      <c r="D2672" s="506" t="s">
        <v>3372</v>
      </c>
      <c r="E2672" s="507">
        <v>227.2</v>
      </c>
      <c r="F2672" s="507">
        <v>123.24</v>
      </c>
      <c r="G2672" s="507">
        <v>49.6</v>
      </c>
      <c r="H2672" s="260">
        <v>2.0</v>
      </c>
      <c r="I2672" s="260">
        <v>2565.0</v>
      </c>
      <c r="J2672" s="656">
        <v>18.0</v>
      </c>
      <c r="K2672" s="657">
        <v>160.0</v>
      </c>
      <c r="L2672" s="507">
        <v>8.0</v>
      </c>
      <c r="M2672" s="507">
        <v>2.0</v>
      </c>
      <c r="N2672" s="507">
        <v>3.0</v>
      </c>
      <c r="O2672" s="507">
        <v>1.0</v>
      </c>
      <c r="P2672" s="507" t="s">
        <v>166</v>
      </c>
      <c r="Q2672" s="507" t="s">
        <v>166</v>
      </c>
      <c r="R2672" s="507" t="s">
        <v>166</v>
      </c>
      <c r="S2672" s="507" t="s">
        <v>166</v>
      </c>
      <c r="T2672" s="509"/>
    </row>
    <row r="2673">
      <c r="A2673" s="494" t="s">
        <v>3401</v>
      </c>
      <c r="B2673" s="505" t="s">
        <v>3610</v>
      </c>
      <c r="C2673" s="282" t="str">
        <f t="shared" si="394"/>
        <v>Asus</v>
      </c>
      <c r="D2673" s="452" t="s">
        <v>3381</v>
      </c>
      <c r="E2673" s="507">
        <v>227.2</v>
      </c>
      <c r="F2673" s="507">
        <v>123.24</v>
      </c>
      <c r="G2673" s="507">
        <v>49.6</v>
      </c>
      <c r="H2673" s="260">
        <v>2.0</v>
      </c>
      <c r="I2673" s="260">
        <v>2595.0</v>
      </c>
      <c r="J2673" s="658">
        <v>18.0</v>
      </c>
      <c r="K2673" s="659">
        <v>160.0</v>
      </c>
      <c r="L2673" s="266">
        <v>8.0</v>
      </c>
      <c r="M2673" s="507">
        <v>2.0</v>
      </c>
      <c r="N2673" s="266">
        <v>3.0</v>
      </c>
      <c r="O2673" s="266">
        <v>1.0</v>
      </c>
      <c r="P2673" s="266" t="s">
        <v>166</v>
      </c>
      <c r="Q2673" s="266" t="s">
        <v>166</v>
      </c>
      <c r="R2673" s="266" t="s">
        <v>166</v>
      </c>
      <c r="S2673" s="266" t="s">
        <v>166</v>
      </c>
      <c r="T2673" s="509"/>
    </row>
    <row r="2674">
      <c r="A2674" s="494" t="s">
        <v>3401</v>
      </c>
      <c r="B2674" s="505" t="s">
        <v>3610</v>
      </c>
      <c r="C2674" s="282" t="str">
        <f t="shared" si="394"/>
        <v>Asus</v>
      </c>
      <c r="D2674" s="452" t="s">
        <v>4479</v>
      </c>
      <c r="E2674" s="507">
        <v>227.2</v>
      </c>
      <c r="F2674" s="507">
        <v>123.24</v>
      </c>
      <c r="G2674" s="507">
        <v>49.6</v>
      </c>
      <c r="H2674" s="260">
        <v>2.0</v>
      </c>
      <c r="I2674" s="260">
        <v>2565.0</v>
      </c>
      <c r="J2674" s="658">
        <v>18.0</v>
      </c>
      <c r="K2674" s="659">
        <v>160.0</v>
      </c>
      <c r="L2674" s="266">
        <v>8.0</v>
      </c>
      <c r="M2674" s="507">
        <v>2.0</v>
      </c>
      <c r="N2674" s="266">
        <v>3.0</v>
      </c>
      <c r="O2674" s="266">
        <v>1.0</v>
      </c>
      <c r="P2674" s="266" t="s">
        <v>166</v>
      </c>
      <c r="Q2674" s="266" t="s">
        <v>166</v>
      </c>
      <c r="R2674" s="266" t="s">
        <v>166</v>
      </c>
      <c r="S2674" s="266" t="s">
        <v>166</v>
      </c>
      <c r="T2674" s="504" t="s">
        <v>4480</v>
      </c>
    </row>
    <row r="2675">
      <c r="A2675" s="494" t="s">
        <v>3401</v>
      </c>
      <c r="B2675" s="505" t="s">
        <v>3610</v>
      </c>
      <c r="C2675" s="282" t="str">
        <f t="shared" si="394"/>
        <v>Asus</v>
      </c>
      <c r="D2675" s="452" t="s">
        <v>4481</v>
      </c>
      <c r="E2675" s="507">
        <v>227.2</v>
      </c>
      <c r="F2675" s="507">
        <v>123.24</v>
      </c>
      <c r="G2675" s="507">
        <v>49.6</v>
      </c>
      <c r="H2675" s="260">
        <v>2.0</v>
      </c>
      <c r="I2675" s="260">
        <v>2595.0</v>
      </c>
      <c r="J2675" s="658">
        <v>18.0</v>
      </c>
      <c r="K2675" s="659">
        <v>160.0</v>
      </c>
      <c r="L2675" s="266">
        <v>8.0</v>
      </c>
      <c r="M2675" s="507">
        <v>2.0</v>
      </c>
      <c r="N2675" s="266">
        <v>3.0</v>
      </c>
      <c r="O2675" s="266">
        <v>1.0</v>
      </c>
      <c r="P2675" s="266" t="s">
        <v>166</v>
      </c>
      <c r="Q2675" s="266" t="s">
        <v>166</v>
      </c>
      <c r="R2675" s="266" t="s">
        <v>166</v>
      </c>
      <c r="S2675" s="266" t="s">
        <v>166</v>
      </c>
      <c r="T2675" s="504" t="s">
        <v>4480</v>
      </c>
    </row>
    <row r="2676">
      <c r="A2676" s="494" t="s">
        <v>3401</v>
      </c>
      <c r="B2676" s="505" t="s">
        <v>3610</v>
      </c>
      <c r="C2676" s="282" t="str">
        <f t="shared" si="394"/>
        <v>Asus</v>
      </c>
      <c r="D2676" s="452" t="s">
        <v>3571</v>
      </c>
      <c r="E2676" s="507">
        <v>227.2</v>
      </c>
      <c r="F2676" s="507">
        <v>123.24</v>
      </c>
      <c r="G2676" s="507">
        <v>49.6</v>
      </c>
      <c r="H2676" s="260">
        <v>2.0</v>
      </c>
      <c r="I2676" s="260">
        <v>2565.0</v>
      </c>
      <c r="J2676" s="658">
        <v>18.0</v>
      </c>
      <c r="K2676" s="659">
        <v>160.0</v>
      </c>
      <c r="L2676" s="266">
        <v>8.0</v>
      </c>
      <c r="M2676" s="507">
        <v>2.0</v>
      </c>
      <c r="N2676" s="266">
        <v>3.0</v>
      </c>
      <c r="O2676" s="266">
        <v>1.0</v>
      </c>
      <c r="P2676" s="266" t="s">
        <v>166</v>
      </c>
      <c r="Q2676" s="266" t="s">
        <v>166</v>
      </c>
      <c r="R2676" s="266" t="s">
        <v>166</v>
      </c>
      <c r="S2676" s="266" t="s">
        <v>166</v>
      </c>
      <c r="T2676" s="509"/>
    </row>
    <row r="2677">
      <c r="A2677" s="494" t="s">
        <v>3401</v>
      </c>
      <c r="B2677" s="505" t="s">
        <v>3610</v>
      </c>
      <c r="C2677" s="282" t="str">
        <f t="shared" si="394"/>
        <v>Asus</v>
      </c>
      <c r="D2677" s="452" t="s">
        <v>3572</v>
      </c>
      <c r="E2677" s="507">
        <v>227.2</v>
      </c>
      <c r="F2677" s="507">
        <v>123.24</v>
      </c>
      <c r="G2677" s="507">
        <v>49.6</v>
      </c>
      <c r="H2677" s="260">
        <v>2.0</v>
      </c>
      <c r="I2677" s="260">
        <v>2595.0</v>
      </c>
      <c r="J2677" s="658">
        <v>18.0</v>
      </c>
      <c r="K2677" s="659">
        <v>160.0</v>
      </c>
      <c r="L2677" s="266">
        <v>8.0</v>
      </c>
      <c r="M2677" s="507">
        <v>2.0</v>
      </c>
      <c r="N2677" s="266">
        <v>3.0</v>
      </c>
      <c r="O2677" s="266">
        <v>1.0</v>
      </c>
      <c r="P2677" s="266" t="s">
        <v>166</v>
      </c>
      <c r="Q2677" s="266" t="s">
        <v>166</v>
      </c>
      <c r="R2677" s="266" t="s">
        <v>166</v>
      </c>
      <c r="S2677" s="266" t="s">
        <v>166</v>
      </c>
      <c r="T2677" s="509"/>
    </row>
    <row r="2678">
      <c r="A2678" s="494" t="s">
        <v>3401</v>
      </c>
      <c r="B2678" s="505" t="s">
        <v>3610</v>
      </c>
      <c r="C2678" s="282" t="str">
        <f t="shared" si="394"/>
        <v>Asus</v>
      </c>
      <c r="D2678" s="452" t="s">
        <v>4482</v>
      </c>
      <c r="E2678" s="507">
        <v>269.0</v>
      </c>
      <c r="F2678" s="507">
        <v>120.0</v>
      </c>
      <c r="G2678" s="507">
        <v>50.0</v>
      </c>
      <c r="H2678" s="260">
        <v>2.0</v>
      </c>
      <c r="I2678" s="260">
        <v>2565.0</v>
      </c>
      <c r="J2678" s="652">
        <v>18.0</v>
      </c>
      <c r="K2678" s="653">
        <v>160.0</v>
      </c>
      <c r="L2678" s="266">
        <v>8.0</v>
      </c>
      <c r="M2678" s="507">
        <v>3.0</v>
      </c>
      <c r="N2678" s="266">
        <v>3.0</v>
      </c>
      <c r="O2678" s="266">
        <v>1.0</v>
      </c>
      <c r="P2678" s="266" t="s">
        <v>166</v>
      </c>
      <c r="Q2678" s="266" t="s">
        <v>166</v>
      </c>
      <c r="R2678" s="266" t="s">
        <v>166</v>
      </c>
      <c r="S2678" s="266" t="s">
        <v>166</v>
      </c>
      <c r="T2678" s="509"/>
    </row>
    <row r="2679">
      <c r="A2679" s="494" t="s">
        <v>3401</v>
      </c>
      <c r="B2679" s="505" t="s">
        <v>3610</v>
      </c>
      <c r="C2679" s="282" t="str">
        <f t="shared" si="394"/>
        <v>Asus</v>
      </c>
      <c r="D2679" s="452" t="s">
        <v>4483</v>
      </c>
      <c r="E2679" s="507">
        <v>269.0</v>
      </c>
      <c r="F2679" s="507">
        <v>120.0</v>
      </c>
      <c r="G2679" s="507">
        <v>50.0</v>
      </c>
      <c r="H2679" s="260">
        <v>2.0</v>
      </c>
      <c r="I2679" s="260">
        <v>2610.0</v>
      </c>
      <c r="J2679" s="652">
        <v>18.0</v>
      </c>
      <c r="K2679" s="653">
        <v>160.0</v>
      </c>
      <c r="L2679" s="266">
        <v>8.0</v>
      </c>
      <c r="M2679" s="507">
        <v>3.0</v>
      </c>
      <c r="N2679" s="266">
        <v>3.0</v>
      </c>
      <c r="O2679" s="266">
        <v>1.0</v>
      </c>
      <c r="P2679" s="266" t="s">
        <v>166</v>
      </c>
      <c r="Q2679" s="266" t="s">
        <v>166</v>
      </c>
      <c r="R2679" s="266" t="s">
        <v>166</v>
      </c>
      <c r="S2679" s="266" t="s">
        <v>166</v>
      </c>
      <c r="T2679" s="509"/>
    </row>
    <row r="2680">
      <c r="A2680" s="494" t="s">
        <v>3401</v>
      </c>
      <c r="B2680" s="505" t="s">
        <v>3610</v>
      </c>
      <c r="C2680" s="282" t="str">
        <f t="shared" si="394"/>
        <v>Asus</v>
      </c>
      <c r="D2680" s="452" t="s">
        <v>3477</v>
      </c>
      <c r="E2680" s="507">
        <v>300.0</v>
      </c>
      <c r="F2680" s="507">
        <v>139.0</v>
      </c>
      <c r="G2680" s="507">
        <v>62.4</v>
      </c>
      <c r="H2680" s="260">
        <v>2.0</v>
      </c>
      <c r="I2680" s="260">
        <v>2565.0</v>
      </c>
      <c r="J2680" s="658">
        <v>18.0</v>
      </c>
      <c r="K2680" s="659">
        <v>160.0</v>
      </c>
      <c r="L2680" s="266">
        <v>8.0</v>
      </c>
      <c r="M2680" s="507">
        <v>3.0</v>
      </c>
      <c r="N2680" s="266">
        <v>3.0</v>
      </c>
      <c r="O2680" s="266">
        <v>1.0</v>
      </c>
      <c r="P2680" s="266" t="s">
        <v>166</v>
      </c>
      <c r="Q2680" s="266" t="s">
        <v>166</v>
      </c>
      <c r="R2680" s="266" t="s">
        <v>166</v>
      </c>
      <c r="S2680" s="266" t="s">
        <v>166</v>
      </c>
      <c r="T2680" s="509"/>
    </row>
    <row r="2681">
      <c r="A2681" s="494" t="s">
        <v>3401</v>
      </c>
      <c r="B2681" s="505" t="s">
        <v>3610</v>
      </c>
      <c r="C2681" s="282" t="str">
        <f t="shared" si="394"/>
        <v>Asus</v>
      </c>
      <c r="D2681" s="452" t="s">
        <v>3478</v>
      </c>
      <c r="E2681" s="507">
        <v>300.0</v>
      </c>
      <c r="F2681" s="507">
        <v>139.0</v>
      </c>
      <c r="G2681" s="507">
        <v>62.4</v>
      </c>
      <c r="H2681" s="260">
        <v>2.0</v>
      </c>
      <c r="I2681" s="260">
        <v>2655.0</v>
      </c>
      <c r="J2681" s="658">
        <v>18.0</v>
      </c>
      <c r="K2681" s="659">
        <v>160.0</v>
      </c>
      <c r="L2681" s="266">
        <v>8.0</v>
      </c>
      <c r="M2681" s="507">
        <v>3.0</v>
      </c>
      <c r="N2681" s="266">
        <v>3.0</v>
      </c>
      <c r="O2681" s="266">
        <v>1.0</v>
      </c>
      <c r="P2681" s="266" t="s">
        <v>166</v>
      </c>
      <c r="Q2681" s="266" t="s">
        <v>166</v>
      </c>
      <c r="R2681" s="266" t="s">
        <v>166</v>
      </c>
      <c r="S2681" s="266" t="s">
        <v>166</v>
      </c>
      <c r="T2681" s="509"/>
    </row>
    <row r="2682">
      <c r="A2682" s="494" t="s">
        <v>3401</v>
      </c>
      <c r="B2682" s="505" t="s">
        <v>3610</v>
      </c>
      <c r="C2682" s="282" t="str">
        <f t="shared" si="394"/>
        <v>Asus</v>
      </c>
      <c r="D2682" s="452" t="s">
        <v>3631</v>
      </c>
      <c r="E2682" s="507">
        <v>311.4</v>
      </c>
      <c r="F2682" s="507">
        <v>133.5</v>
      </c>
      <c r="G2682" s="507">
        <v>61.9</v>
      </c>
      <c r="H2682" s="260">
        <v>2.0</v>
      </c>
      <c r="I2682" s="260">
        <v>2565.0</v>
      </c>
      <c r="J2682" s="658">
        <v>18.0</v>
      </c>
      <c r="K2682" s="659">
        <v>160.0</v>
      </c>
      <c r="L2682" s="266">
        <v>8.0</v>
      </c>
      <c r="M2682" s="507">
        <v>3.0</v>
      </c>
      <c r="N2682" s="266">
        <v>3.0</v>
      </c>
      <c r="O2682" s="266">
        <v>1.0</v>
      </c>
      <c r="P2682" s="266" t="s">
        <v>166</v>
      </c>
      <c r="Q2682" s="266" t="s">
        <v>166</v>
      </c>
      <c r="R2682" s="266" t="s">
        <v>166</v>
      </c>
      <c r="S2682" s="266" t="s">
        <v>166</v>
      </c>
      <c r="T2682" s="509"/>
    </row>
    <row r="2683">
      <c r="A2683" s="494" t="s">
        <v>3401</v>
      </c>
      <c r="B2683" s="505" t="s">
        <v>3610</v>
      </c>
      <c r="C2683" s="282" t="str">
        <f t="shared" si="394"/>
        <v>Asus</v>
      </c>
      <c r="D2683" s="452" t="s">
        <v>3643</v>
      </c>
      <c r="E2683" s="507">
        <v>311.4</v>
      </c>
      <c r="F2683" s="507">
        <v>133.5</v>
      </c>
      <c r="G2683" s="507">
        <v>61.9</v>
      </c>
      <c r="H2683" s="260">
        <v>2.0</v>
      </c>
      <c r="I2683" s="260">
        <v>2715.0</v>
      </c>
      <c r="J2683" s="658">
        <v>18.0</v>
      </c>
      <c r="K2683" s="659">
        <v>160.0</v>
      </c>
      <c r="L2683" s="266">
        <v>8.0</v>
      </c>
      <c r="M2683" s="507">
        <v>3.0</v>
      </c>
      <c r="N2683" s="266">
        <v>3.0</v>
      </c>
      <c r="O2683" s="266">
        <v>1.0</v>
      </c>
      <c r="P2683" s="266" t="s">
        <v>166</v>
      </c>
      <c r="Q2683" s="266" t="s">
        <v>166</v>
      </c>
      <c r="R2683" s="266" t="s">
        <v>166</v>
      </c>
      <c r="S2683" s="266" t="s">
        <v>166</v>
      </c>
      <c r="T2683" s="509"/>
    </row>
    <row r="2684">
      <c r="A2684" s="494" t="s">
        <v>3401</v>
      </c>
      <c r="B2684" s="505" t="s">
        <v>3610</v>
      </c>
      <c r="C2684" s="452" t="s">
        <v>3575</v>
      </c>
      <c r="D2684" s="452" t="s">
        <v>4070</v>
      </c>
      <c r="E2684" s="507">
        <f>248.9-12</f>
        <v>236.9</v>
      </c>
      <c r="F2684" s="507">
        <f>135-15</f>
        <v>120</v>
      </c>
      <c r="G2684" s="507">
        <v>41.9</v>
      </c>
      <c r="H2684" s="260">
        <v>2.0</v>
      </c>
      <c r="I2684" s="260">
        <v>2535.0</v>
      </c>
      <c r="J2684" s="658">
        <v>18.0</v>
      </c>
      <c r="K2684" s="659">
        <v>160.0</v>
      </c>
      <c r="L2684" s="266">
        <v>8.0</v>
      </c>
      <c r="M2684" s="507">
        <v>2.0</v>
      </c>
      <c r="N2684" s="266">
        <v>3.0</v>
      </c>
      <c r="O2684" s="266">
        <v>1.0</v>
      </c>
      <c r="P2684" s="266" t="s">
        <v>166</v>
      </c>
      <c r="Q2684" s="266" t="s">
        <v>166</v>
      </c>
      <c r="R2684" s="266" t="s">
        <v>166</v>
      </c>
      <c r="S2684" s="266" t="s">
        <v>166</v>
      </c>
      <c r="T2684" s="509"/>
    </row>
    <row r="2685">
      <c r="A2685" s="494" t="s">
        <v>3401</v>
      </c>
      <c r="B2685" s="505" t="s">
        <v>3610</v>
      </c>
      <c r="C2685" s="452" t="s">
        <v>3575</v>
      </c>
      <c r="D2685" s="452" t="s">
        <v>4071</v>
      </c>
      <c r="E2685" s="507">
        <f>325-12</f>
        <v>313</v>
      </c>
      <c r="F2685" s="507">
        <f>134-15</f>
        <v>119</v>
      </c>
      <c r="G2685" s="507">
        <v>50.9</v>
      </c>
      <c r="H2685" s="260">
        <v>2.0</v>
      </c>
      <c r="I2685" s="260">
        <v>2535.0</v>
      </c>
      <c r="J2685" s="658">
        <v>18.0</v>
      </c>
      <c r="K2685" s="659">
        <v>160.0</v>
      </c>
      <c r="L2685" s="266">
        <v>8.0</v>
      </c>
      <c r="M2685" s="507">
        <v>3.0</v>
      </c>
      <c r="N2685" s="266">
        <v>3.0</v>
      </c>
      <c r="O2685" s="266">
        <v>1.0</v>
      </c>
      <c r="P2685" s="266" t="s">
        <v>166</v>
      </c>
      <c r="Q2685" s="266" t="s">
        <v>166</v>
      </c>
      <c r="R2685" s="266" t="s">
        <v>166</v>
      </c>
      <c r="S2685" s="266" t="s">
        <v>166</v>
      </c>
      <c r="T2685" s="509"/>
    </row>
    <row r="2686">
      <c r="A2686" s="494" t="s">
        <v>3401</v>
      </c>
      <c r="B2686" s="505" t="s">
        <v>3610</v>
      </c>
      <c r="C2686" s="452" t="s">
        <v>3575</v>
      </c>
      <c r="D2686" s="452" t="s">
        <v>4453</v>
      </c>
      <c r="E2686" s="507">
        <v>318.5</v>
      </c>
      <c r="F2686" s="507">
        <v>118.7</v>
      </c>
      <c r="G2686" s="507">
        <v>46.0</v>
      </c>
      <c r="H2686" s="260">
        <v>2.0</v>
      </c>
      <c r="I2686" s="260">
        <v>2535.0</v>
      </c>
      <c r="J2686" s="658">
        <v>18.0</v>
      </c>
      <c r="K2686" s="659">
        <v>160.0</v>
      </c>
      <c r="L2686" s="266">
        <v>8.0</v>
      </c>
      <c r="M2686" s="507">
        <v>3.0</v>
      </c>
      <c r="N2686" s="266">
        <v>3.0</v>
      </c>
      <c r="O2686" s="266">
        <v>1.0</v>
      </c>
      <c r="P2686" s="266" t="s">
        <v>166</v>
      </c>
      <c r="Q2686" s="266" t="s">
        <v>166</v>
      </c>
      <c r="R2686" s="266" t="s">
        <v>166</v>
      </c>
      <c r="S2686" s="266" t="s">
        <v>166</v>
      </c>
      <c r="T2686" s="509"/>
    </row>
    <row r="2687">
      <c r="A2687" s="494" t="s">
        <v>3401</v>
      </c>
      <c r="B2687" s="505" t="s">
        <v>3610</v>
      </c>
      <c r="C2687" s="452" t="s">
        <v>3575</v>
      </c>
      <c r="D2687" s="452" t="s">
        <v>4454</v>
      </c>
      <c r="E2687" s="507">
        <f>255-12</f>
        <v>243</v>
      </c>
      <c r="F2687" s="507">
        <f>136-15</f>
        <v>121</v>
      </c>
      <c r="G2687" s="507">
        <v>45.5</v>
      </c>
      <c r="H2687" s="260">
        <v>2.0</v>
      </c>
      <c r="I2687" s="260">
        <v>2580.0</v>
      </c>
      <c r="J2687" s="658">
        <v>18.0</v>
      </c>
      <c r="K2687" s="659">
        <v>160.0</v>
      </c>
      <c r="L2687" s="266">
        <v>8.0</v>
      </c>
      <c r="M2687" s="507">
        <v>2.0</v>
      </c>
      <c r="N2687" s="266">
        <v>3.0</v>
      </c>
      <c r="O2687" s="266">
        <v>1.0</v>
      </c>
      <c r="P2687" s="266" t="s">
        <v>166</v>
      </c>
      <c r="Q2687" s="266" t="s">
        <v>166</v>
      </c>
      <c r="R2687" s="266" t="s">
        <v>166</v>
      </c>
      <c r="S2687" s="266" t="s">
        <v>166</v>
      </c>
      <c r="T2687" s="509"/>
    </row>
    <row r="2688">
      <c r="A2688" s="494" t="s">
        <v>3401</v>
      </c>
      <c r="B2688" s="505" t="s">
        <v>3610</v>
      </c>
      <c r="C2688" s="452" t="s">
        <v>3575</v>
      </c>
      <c r="D2688" s="452" t="s">
        <v>4455</v>
      </c>
      <c r="E2688" s="507">
        <f t="shared" ref="E2688:E2689" si="395">325-12</f>
        <v>313</v>
      </c>
      <c r="F2688" s="507">
        <f t="shared" ref="F2688:F2689" si="396">134-15</f>
        <v>119</v>
      </c>
      <c r="G2688" s="507">
        <v>48.0</v>
      </c>
      <c r="H2688" s="260">
        <v>2.0</v>
      </c>
      <c r="I2688" s="260">
        <v>2580.0</v>
      </c>
      <c r="J2688" s="658">
        <v>18.0</v>
      </c>
      <c r="K2688" s="659">
        <v>160.0</v>
      </c>
      <c r="L2688" s="266">
        <v>8.0</v>
      </c>
      <c r="M2688" s="507">
        <v>3.0</v>
      </c>
      <c r="N2688" s="266">
        <v>3.0</v>
      </c>
      <c r="O2688" s="266">
        <v>1.0</v>
      </c>
      <c r="P2688" s="266" t="s">
        <v>166</v>
      </c>
      <c r="Q2688" s="266" t="s">
        <v>166</v>
      </c>
      <c r="R2688" s="266" t="s">
        <v>166</v>
      </c>
      <c r="S2688" s="266" t="s">
        <v>166</v>
      </c>
      <c r="T2688" s="509"/>
    </row>
    <row r="2689">
      <c r="A2689" s="494" t="s">
        <v>3401</v>
      </c>
      <c r="B2689" s="505" t="s">
        <v>3610</v>
      </c>
      <c r="C2689" s="452" t="s">
        <v>3575</v>
      </c>
      <c r="D2689" s="452" t="s">
        <v>4087</v>
      </c>
      <c r="E2689" s="507">
        <f t="shared" si="395"/>
        <v>313</v>
      </c>
      <c r="F2689" s="507">
        <f t="shared" si="396"/>
        <v>119</v>
      </c>
      <c r="G2689" s="507">
        <v>48.0</v>
      </c>
      <c r="H2689" s="260">
        <v>2.0</v>
      </c>
      <c r="I2689" s="260">
        <v>2580.0</v>
      </c>
      <c r="J2689" s="658">
        <v>18.0</v>
      </c>
      <c r="K2689" s="659">
        <v>160.0</v>
      </c>
      <c r="L2689" s="266">
        <v>8.0</v>
      </c>
      <c r="M2689" s="507">
        <v>3.0</v>
      </c>
      <c r="N2689" s="266">
        <v>3.0</v>
      </c>
      <c r="O2689" s="266">
        <v>1.0</v>
      </c>
      <c r="P2689" s="266" t="s">
        <v>166</v>
      </c>
      <c r="Q2689" s="266" t="s">
        <v>166</v>
      </c>
      <c r="R2689" s="266" t="s">
        <v>166</v>
      </c>
      <c r="S2689" s="266" t="s">
        <v>166</v>
      </c>
      <c r="T2689" s="509"/>
    </row>
    <row r="2690">
      <c r="A2690" s="494" t="s">
        <v>3401</v>
      </c>
      <c r="B2690" s="505" t="s">
        <v>3610</v>
      </c>
      <c r="C2690" s="452" t="str">
        <f t="shared" ref="C2690:C2695" si="397">HYPERLINK("http://www.gainward.com/main/index.php?lang=en","Gainward")</f>
        <v>Gainward</v>
      </c>
      <c r="D2690" s="544" t="s">
        <v>4484</v>
      </c>
      <c r="E2690" s="507">
        <v>278.0</v>
      </c>
      <c r="F2690" s="507">
        <v>113.0</v>
      </c>
      <c r="G2690" s="507">
        <v>40.0</v>
      </c>
      <c r="H2690" s="260">
        <v>2.0</v>
      </c>
      <c r="I2690" s="260">
        <v>2580.0</v>
      </c>
      <c r="J2690" s="658">
        <v>18.0</v>
      </c>
      <c r="K2690" s="659">
        <v>160.0</v>
      </c>
      <c r="L2690" s="266">
        <v>8.0</v>
      </c>
      <c r="M2690" s="507">
        <v>3.0</v>
      </c>
      <c r="N2690" s="266">
        <v>3.0</v>
      </c>
      <c r="O2690" s="266">
        <v>1.0</v>
      </c>
      <c r="P2690" s="266" t="s">
        <v>166</v>
      </c>
      <c r="Q2690" s="266" t="s">
        <v>166</v>
      </c>
      <c r="R2690" s="266" t="s">
        <v>166</v>
      </c>
      <c r="S2690" s="266" t="s">
        <v>166</v>
      </c>
      <c r="T2690" s="509"/>
    </row>
    <row r="2691">
      <c r="A2691" s="494" t="s">
        <v>3401</v>
      </c>
      <c r="B2691" s="505" t="s">
        <v>3610</v>
      </c>
      <c r="C2691" s="452" t="str">
        <f t="shared" si="397"/>
        <v>Gainward</v>
      </c>
      <c r="D2691" s="544" t="s">
        <v>4456</v>
      </c>
      <c r="E2691" s="507">
        <v>278.0</v>
      </c>
      <c r="F2691" s="507">
        <v>113.0</v>
      </c>
      <c r="G2691" s="507">
        <v>40.0</v>
      </c>
      <c r="H2691" s="260">
        <v>2.0</v>
      </c>
      <c r="I2691" s="260">
        <v>2595.0</v>
      </c>
      <c r="J2691" s="658">
        <v>18.0</v>
      </c>
      <c r="K2691" s="659">
        <v>160.0</v>
      </c>
      <c r="L2691" s="266">
        <v>8.0</v>
      </c>
      <c r="M2691" s="507">
        <v>3.0</v>
      </c>
      <c r="N2691" s="266">
        <v>3.0</v>
      </c>
      <c r="O2691" s="266">
        <v>1.0</v>
      </c>
      <c r="P2691" s="266" t="s">
        <v>166</v>
      </c>
      <c r="Q2691" s="266" t="s">
        <v>166</v>
      </c>
      <c r="R2691" s="266" t="s">
        <v>166</v>
      </c>
      <c r="S2691" s="266" t="s">
        <v>166</v>
      </c>
      <c r="T2691" s="509"/>
    </row>
    <row r="2692">
      <c r="A2692" s="494" t="s">
        <v>3401</v>
      </c>
      <c r="B2692" s="505" t="s">
        <v>3610</v>
      </c>
      <c r="C2692" s="452" t="str">
        <f t="shared" si="397"/>
        <v>Gainward</v>
      </c>
      <c r="D2692" s="544" t="s">
        <v>4485</v>
      </c>
      <c r="E2692" s="507">
        <v>317.0</v>
      </c>
      <c r="F2692" s="507">
        <v>123.0</v>
      </c>
      <c r="G2692" s="507">
        <v>52.0</v>
      </c>
      <c r="H2692" s="260">
        <v>2.0</v>
      </c>
      <c r="I2692" s="260">
        <v>2640.0</v>
      </c>
      <c r="J2692" s="658">
        <v>18.0</v>
      </c>
      <c r="K2692" s="659">
        <v>160.0</v>
      </c>
      <c r="L2692" s="266">
        <v>8.0</v>
      </c>
      <c r="M2692" s="507">
        <v>3.0</v>
      </c>
      <c r="N2692" s="266">
        <v>3.0</v>
      </c>
      <c r="O2692" s="266">
        <v>1.0</v>
      </c>
      <c r="P2692" s="266" t="s">
        <v>166</v>
      </c>
      <c r="Q2692" s="266" t="s">
        <v>166</v>
      </c>
      <c r="R2692" s="266" t="s">
        <v>166</v>
      </c>
      <c r="S2692" s="266" t="s">
        <v>166</v>
      </c>
      <c r="T2692" s="509"/>
    </row>
    <row r="2693">
      <c r="A2693" s="494" t="s">
        <v>3401</v>
      </c>
      <c r="B2693" s="505" t="s">
        <v>3610</v>
      </c>
      <c r="C2693" s="452" t="str">
        <f t="shared" si="397"/>
        <v>Gainward</v>
      </c>
      <c r="D2693" s="544" t="s">
        <v>4458</v>
      </c>
      <c r="E2693" s="507">
        <v>317.0</v>
      </c>
      <c r="F2693" s="507">
        <v>123.0</v>
      </c>
      <c r="G2693" s="507">
        <v>52.0</v>
      </c>
      <c r="H2693" s="260">
        <v>2.0</v>
      </c>
      <c r="I2693" s="260">
        <v>2640.0</v>
      </c>
      <c r="J2693" s="658">
        <v>18.0</v>
      </c>
      <c r="K2693" s="659">
        <v>160.0</v>
      </c>
      <c r="L2693" s="266">
        <v>8.0</v>
      </c>
      <c r="M2693" s="507">
        <v>3.0</v>
      </c>
      <c r="N2693" s="266">
        <v>3.0</v>
      </c>
      <c r="O2693" s="266">
        <v>1.0</v>
      </c>
      <c r="P2693" s="266" t="s">
        <v>166</v>
      </c>
      <c r="Q2693" s="266" t="s">
        <v>166</v>
      </c>
      <c r="R2693" s="266" t="s">
        <v>166</v>
      </c>
      <c r="S2693" s="266" t="s">
        <v>166</v>
      </c>
      <c r="T2693" s="509"/>
    </row>
    <row r="2694">
      <c r="A2694" s="494" t="s">
        <v>3401</v>
      </c>
      <c r="B2694" s="505" t="s">
        <v>3610</v>
      </c>
      <c r="C2694" s="452" t="str">
        <f t="shared" si="397"/>
        <v>Gainward</v>
      </c>
      <c r="D2694" s="452" t="s">
        <v>3926</v>
      </c>
      <c r="E2694" s="507">
        <v>249.9</v>
      </c>
      <c r="F2694" s="507">
        <v>128.1</v>
      </c>
      <c r="G2694" s="507">
        <v>40.1</v>
      </c>
      <c r="H2694" s="260">
        <v>2.0</v>
      </c>
      <c r="I2694" s="260">
        <v>2535.0</v>
      </c>
      <c r="J2694" s="658">
        <v>18.0</v>
      </c>
      <c r="K2694" s="659">
        <v>160.0</v>
      </c>
      <c r="L2694" s="266">
        <v>8.0</v>
      </c>
      <c r="M2694" s="507">
        <v>2.0</v>
      </c>
      <c r="N2694" s="266">
        <v>3.0</v>
      </c>
      <c r="O2694" s="266">
        <v>1.0</v>
      </c>
      <c r="P2694" s="266" t="s">
        <v>166</v>
      </c>
      <c r="Q2694" s="266" t="s">
        <v>166</v>
      </c>
      <c r="R2694" s="266" t="s">
        <v>166</v>
      </c>
      <c r="S2694" s="266" t="s">
        <v>166</v>
      </c>
      <c r="T2694" s="509"/>
    </row>
    <row r="2695">
      <c r="A2695" s="494" t="s">
        <v>3401</v>
      </c>
      <c r="B2695" s="505" t="s">
        <v>3610</v>
      </c>
      <c r="C2695" s="452" t="str">
        <f t="shared" si="397"/>
        <v>Gainward</v>
      </c>
      <c r="D2695" s="452" t="s">
        <v>3488</v>
      </c>
      <c r="E2695" s="507">
        <v>249.9</v>
      </c>
      <c r="F2695" s="507">
        <v>128.1</v>
      </c>
      <c r="G2695" s="507">
        <v>40.1</v>
      </c>
      <c r="H2695" s="260">
        <v>2.0</v>
      </c>
      <c r="I2695" s="260">
        <v>2685.0</v>
      </c>
      <c r="J2695" s="658">
        <v>18.0</v>
      </c>
      <c r="K2695" s="659">
        <v>160.0</v>
      </c>
      <c r="L2695" s="266">
        <v>8.0</v>
      </c>
      <c r="M2695" s="507">
        <v>2.0</v>
      </c>
      <c r="N2695" s="266">
        <v>3.0</v>
      </c>
      <c r="O2695" s="266">
        <v>1.0</v>
      </c>
      <c r="P2695" s="266" t="s">
        <v>166</v>
      </c>
      <c r="Q2695" s="266" t="s">
        <v>166</v>
      </c>
      <c r="R2695" s="266" t="s">
        <v>166</v>
      </c>
      <c r="S2695" s="266" t="s">
        <v>166</v>
      </c>
      <c r="T2695" s="509"/>
    </row>
    <row r="2696">
      <c r="A2696" s="494" t="s">
        <v>3401</v>
      </c>
      <c r="B2696" s="505" t="s">
        <v>3610</v>
      </c>
      <c r="C2696" s="174" t="s">
        <v>3456</v>
      </c>
      <c r="D2696" s="544" t="s">
        <v>3594</v>
      </c>
      <c r="E2696" s="507">
        <v>243.0</v>
      </c>
      <c r="F2696" s="507">
        <v>116.0</v>
      </c>
      <c r="G2696" s="507">
        <v>40.0</v>
      </c>
      <c r="H2696" s="260">
        <v>2.0</v>
      </c>
      <c r="I2696" s="260">
        <v>2535.0</v>
      </c>
      <c r="J2696" s="658">
        <v>18.0</v>
      </c>
      <c r="K2696" s="659">
        <v>160.0</v>
      </c>
      <c r="L2696" s="266">
        <v>8.0</v>
      </c>
      <c r="M2696" s="507">
        <v>2.0</v>
      </c>
      <c r="N2696" s="266">
        <v>3.0</v>
      </c>
      <c r="O2696" s="266">
        <v>1.0</v>
      </c>
      <c r="P2696" s="266" t="s">
        <v>166</v>
      </c>
      <c r="Q2696" s="266" t="s">
        <v>166</v>
      </c>
      <c r="R2696" s="266" t="s">
        <v>166</v>
      </c>
      <c r="S2696" s="266" t="s">
        <v>166</v>
      </c>
      <c r="T2696" s="509"/>
    </row>
    <row r="2697">
      <c r="A2697" s="494" t="s">
        <v>3401</v>
      </c>
      <c r="B2697" s="505" t="s">
        <v>3610</v>
      </c>
      <c r="C2697" s="174" t="s">
        <v>3456</v>
      </c>
      <c r="D2697" s="544" t="s">
        <v>4204</v>
      </c>
      <c r="E2697" s="507">
        <v>312.0</v>
      </c>
      <c r="F2697" s="507">
        <v>124.5</v>
      </c>
      <c r="G2697" s="507">
        <v>44.0</v>
      </c>
      <c r="H2697" s="260">
        <v>2.0</v>
      </c>
      <c r="I2697" s="260">
        <v>2535.0</v>
      </c>
      <c r="J2697" s="658">
        <v>18.0</v>
      </c>
      <c r="K2697" s="659">
        <v>160.0</v>
      </c>
      <c r="L2697" s="266">
        <v>8.0</v>
      </c>
      <c r="M2697" s="507">
        <v>3.0</v>
      </c>
      <c r="N2697" s="266">
        <v>3.0</v>
      </c>
      <c r="O2697" s="266">
        <v>1.0</v>
      </c>
      <c r="P2697" s="266" t="s">
        <v>166</v>
      </c>
      <c r="Q2697" s="266" t="s">
        <v>166</v>
      </c>
      <c r="R2697" s="266" t="s">
        <v>166</v>
      </c>
      <c r="S2697" s="266" t="s">
        <v>166</v>
      </c>
      <c r="T2697" s="509"/>
    </row>
    <row r="2698">
      <c r="A2698" s="494" t="s">
        <v>3401</v>
      </c>
      <c r="B2698" s="505" t="s">
        <v>3610</v>
      </c>
      <c r="C2698" s="174" t="s">
        <v>3456</v>
      </c>
      <c r="D2698" s="544" t="s">
        <v>4206</v>
      </c>
      <c r="E2698" s="507">
        <v>312.0</v>
      </c>
      <c r="F2698" s="507">
        <v>124.5</v>
      </c>
      <c r="G2698" s="507">
        <v>44.0</v>
      </c>
      <c r="H2698" s="260">
        <v>2.0</v>
      </c>
      <c r="I2698" s="260">
        <v>2640.0</v>
      </c>
      <c r="J2698" s="658">
        <v>18.0</v>
      </c>
      <c r="K2698" s="659">
        <v>160.0</v>
      </c>
      <c r="L2698" s="266">
        <v>8.0</v>
      </c>
      <c r="M2698" s="507">
        <v>3.0</v>
      </c>
      <c r="N2698" s="266">
        <v>3.0</v>
      </c>
      <c r="O2698" s="266">
        <v>1.0</v>
      </c>
      <c r="P2698" s="266" t="s">
        <v>166</v>
      </c>
      <c r="Q2698" s="266" t="s">
        <v>166</v>
      </c>
      <c r="R2698" s="266" t="s">
        <v>166</v>
      </c>
      <c r="S2698" s="266" t="s">
        <v>166</v>
      </c>
      <c r="T2698" s="509"/>
    </row>
    <row r="2699">
      <c r="A2699" s="494" t="s">
        <v>3401</v>
      </c>
      <c r="B2699" s="505" t="s">
        <v>3610</v>
      </c>
      <c r="C2699" s="174" t="s">
        <v>3456</v>
      </c>
      <c r="D2699" s="544" t="s">
        <v>4257</v>
      </c>
      <c r="E2699" s="507">
        <v>314.0</v>
      </c>
      <c r="F2699" s="507">
        <v>130.0</v>
      </c>
      <c r="G2699" s="507">
        <v>48.0</v>
      </c>
      <c r="H2699" s="260">
        <v>2.0</v>
      </c>
      <c r="I2699" s="260">
        <v>2535.0</v>
      </c>
      <c r="J2699" s="658">
        <v>18.0</v>
      </c>
      <c r="K2699" s="659">
        <v>160.0</v>
      </c>
      <c r="L2699" s="266">
        <v>8.0</v>
      </c>
      <c r="M2699" s="507">
        <v>3.0</v>
      </c>
      <c r="N2699" s="266">
        <v>3.0</v>
      </c>
      <c r="O2699" s="266">
        <v>1.0</v>
      </c>
      <c r="P2699" s="266" t="s">
        <v>166</v>
      </c>
      <c r="Q2699" s="266" t="s">
        <v>166</v>
      </c>
      <c r="R2699" s="266" t="s">
        <v>166</v>
      </c>
      <c r="S2699" s="266" t="s">
        <v>166</v>
      </c>
      <c r="T2699" s="509"/>
    </row>
    <row r="2700">
      <c r="A2700" s="494" t="s">
        <v>3401</v>
      </c>
      <c r="B2700" s="505" t="s">
        <v>3610</v>
      </c>
      <c r="C2700" s="174" t="s">
        <v>3456</v>
      </c>
      <c r="D2700" s="544" t="s">
        <v>4258</v>
      </c>
      <c r="E2700" s="507">
        <v>314.0</v>
      </c>
      <c r="F2700" s="507">
        <v>130.0</v>
      </c>
      <c r="G2700" s="507">
        <v>48.0</v>
      </c>
      <c r="H2700" s="260">
        <v>2.0</v>
      </c>
      <c r="I2700" s="260">
        <v>2685.0</v>
      </c>
      <c r="J2700" s="658">
        <v>18.0</v>
      </c>
      <c r="K2700" s="659">
        <v>160.0</v>
      </c>
      <c r="L2700" s="266">
        <v>8.0</v>
      </c>
      <c r="M2700" s="507">
        <v>3.0</v>
      </c>
      <c r="N2700" s="266">
        <v>3.0</v>
      </c>
      <c r="O2700" s="266">
        <v>1.0</v>
      </c>
      <c r="P2700" s="266" t="s">
        <v>166</v>
      </c>
      <c r="Q2700" s="266" t="s">
        <v>166</v>
      </c>
      <c r="R2700" s="266" t="s">
        <v>166</v>
      </c>
      <c r="S2700" s="266" t="s">
        <v>166</v>
      </c>
      <c r="T2700" s="509"/>
    </row>
    <row r="2701">
      <c r="A2701" s="494" t="s">
        <v>3401</v>
      </c>
      <c r="B2701" s="505" t="s">
        <v>3610</v>
      </c>
      <c r="C2701" s="174" t="s">
        <v>3456</v>
      </c>
      <c r="D2701" s="452" t="s">
        <v>3595</v>
      </c>
      <c r="E2701" s="507">
        <v>237.0</v>
      </c>
      <c r="F2701" s="507">
        <v>118.0</v>
      </c>
      <c r="G2701" s="507">
        <v>41.0</v>
      </c>
      <c r="H2701" s="260">
        <v>2.0</v>
      </c>
      <c r="I2701" s="260">
        <v>2565.0</v>
      </c>
      <c r="J2701" s="658">
        <v>18.0</v>
      </c>
      <c r="K2701" s="659">
        <v>160.0</v>
      </c>
      <c r="L2701" s="266">
        <v>8.0</v>
      </c>
      <c r="M2701" s="507">
        <v>2.0</v>
      </c>
      <c r="N2701" s="266">
        <v>3.0</v>
      </c>
      <c r="O2701" s="266">
        <v>1.0</v>
      </c>
      <c r="P2701" s="266" t="s">
        <v>166</v>
      </c>
      <c r="Q2701" s="266" t="s">
        <v>166</v>
      </c>
      <c r="R2701" s="266" t="s">
        <v>166</v>
      </c>
      <c r="S2701" s="266" t="s">
        <v>166</v>
      </c>
      <c r="T2701" s="509"/>
    </row>
    <row r="2702">
      <c r="A2702" s="494" t="s">
        <v>3401</v>
      </c>
      <c r="B2702" s="505" t="s">
        <v>3610</v>
      </c>
      <c r="C2702" s="174" t="s">
        <v>3456</v>
      </c>
      <c r="D2702" s="452" t="s">
        <v>3549</v>
      </c>
      <c r="E2702" s="507">
        <v>251.0</v>
      </c>
      <c r="F2702" s="507">
        <v>130.0</v>
      </c>
      <c r="G2702" s="507">
        <v>40.0</v>
      </c>
      <c r="H2702" s="260">
        <v>2.0</v>
      </c>
      <c r="I2702" s="260">
        <v>2655.0</v>
      </c>
      <c r="J2702" s="658">
        <v>18.0</v>
      </c>
      <c r="K2702" s="659">
        <v>160.0</v>
      </c>
      <c r="L2702" s="266">
        <v>8.0</v>
      </c>
      <c r="M2702" s="507">
        <v>2.0</v>
      </c>
      <c r="N2702" s="266">
        <v>3.0</v>
      </c>
      <c r="O2702" s="266">
        <v>1.0</v>
      </c>
      <c r="P2702" s="266" t="s">
        <v>166</v>
      </c>
      <c r="Q2702" s="266" t="s">
        <v>166</v>
      </c>
      <c r="R2702" s="266" t="s">
        <v>166</v>
      </c>
      <c r="S2702" s="266" t="s">
        <v>166</v>
      </c>
      <c r="T2702" s="509"/>
    </row>
    <row r="2703">
      <c r="A2703" s="494" t="s">
        <v>3401</v>
      </c>
      <c r="B2703" s="505" t="s">
        <v>3610</v>
      </c>
      <c r="C2703" s="174" t="s">
        <v>3456</v>
      </c>
      <c r="D2703" s="452" t="s">
        <v>4486</v>
      </c>
      <c r="E2703" s="507">
        <v>251.0</v>
      </c>
      <c r="F2703" s="507">
        <v>130.0</v>
      </c>
      <c r="G2703" s="507">
        <v>40.0</v>
      </c>
      <c r="H2703" s="260">
        <v>2.0</v>
      </c>
      <c r="I2703" s="260">
        <v>2655.0</v>
      </c>
      <c r="J2703" s="658">
        <v>18.0</v>
      </c>
      <c r="K2703" s="659">
        <v>160.0</v>
      </c>
      <c r="L2703" s="266">
        <v>8.0</v>
      </c>
      <c r="M2703" s="507">
        <v>2.0</v>
      </c>
      <c r="N2703" s="266">
        <v>3.0</v>
      </c>
      <c r="O2703" s="266">
        <v>1.0</v>
      </c>
      <c r="P2703" s="266" t="s">
        <v>166</v>
      </c>
      <c r="Q2703" s="266" t="s">
        <v>166</v>
      </c>
      <c r="R2703" s="266" t="s">
        <v>166</v>
      </c>
      <c r="S2703" s="266" t="s">
        <v>166</v>
      </c>
      <c r="T2703" s="509"/>
    </row>
    <row r="2704">
      <c r="A2704" s="494" t="s">
        <v>3401</v>
      </c>
      <c r="B2704" s="505" t="s">
        <v>3610</v>
      </c>
      <c r="C2704" s="174" t="str">
        <f t="shared" ref="C2704:C2709" si="398">HYPERLINK("https://www.gigabyte.com/","Gigabyte")</f>
        <v>Gigabyte</v>
      </c>
      <c r="D2704" s="452" t="s">
        <v>3374</v>
      </c>
      <c r="E2704" s="507">
        <v>272.0</v>
      </c>
      <c r="F2704" s="507">
        <v>115.0</v>
      </c>
      <c r="G2704" s="507">
        <v>41.0</v>
      </c>
      <c r="H2704" s="260">
        <v>2.0</v>
      </c>
      <c r="I2704" s="260">
        <v>2535.0</v>
      </c>
      <c r="J2704" s="658">
        <v>18.0</v>
      </c>
      <c r="K2704" s="659">
        <v>160.0</v>
      </c>
      <c r="L2704" s="266">
        <v>8.0</v>
      </c>
      <c r="M2704" s="507">
        <v>3.0</v>
      </c>
      <c r="N2704" s="507">
        <v>2.0</v>
      </c>
      <c r="O2704" s="507">
        <v>2.0</v>
      </c>
      <c r="P2704" s="266" t="s">
        <v>166</v>
      </c>
      <c r="Q2704" s="266" t="s">
        <v>166</v>
      </c>
      <c r="R2704" s="266" t="s">
        <v>166</v>
      </c>
      <c r="S2704" s="266" t="s">
        <v>166</v>
      </c>
      <c r="T2704" s="509"/>
    </row>
    <row r="2705">
      <c r="A2705" s="494" t="s">
        <v>3401</v>
      </c>
      <c r="B2705" s="505" t="s">
        <v>3610</v>
      </c>
      <c r="C2705" s="174" t="str">
        <f t="shared" si="398"/>
        <v>Gigabyte</v>
      </c>
      <c r="D2705" s="452" t="s">
        <v>3551</v>
      </c>
      <c r="E2705" s="507">
        <v>272.0</v>
      </c>
      <c r="F2705" s="507">
        <v>115.0</v>
      </c>
      <c r="G2705" s="507">
        <v>41.0</v>
      </c>
      <c r="H2705" s="260">
        <v>2.0</v>
      </c>
      <c r="I2705" s="260">
        <v>2550.0</v>
      </c>
      <c r="J2705" s="658">
        <v>18.0</v>
      </c>
      <c r="K2705" s="659">
        <v>160.0</v>
      </c>
      <c r="L2705" s="266">
        <v>8.0</v>
      </c>
      <c r="M2705" s="507">
        <v>3.0</v>
      </c>
      <c r="N2705" s="507">
        <v>2.0</v>
      </c>
      <c r="O2705" s="507">
        <v>2.0</v>
      </c>
      <c r="P2705" s="266" t="s">
        <v>166</v>
      </c>
      <c r="Q2705" s="266" t="s">
        <v>166</v>
      </c>
      <c r="R2705" s="266" t="s">
        <v>166</v>
      </c>
      <c r="S2705" s="266" t="s">
        <v>166</v>
      </c>
      <c r="T2705" s="509"/>
    </row>
    <row r="2706">
      <c r="A2706" s="494" t="s">
        <v>3401</v>
      </c>
      <c r="B2706" s="505" t="s">
        <v>3610</v>
      </c>
      <c r="C2706" s="174" t="str">
        <f t="shared" si="398"/>
        <v>Gigabyte</v>
      </c>
      <c r="D2706" s="452" t="s">
        <v>4463</v>
      </c>
      <c r="E2706" s="507">
        <v>272.0</v>
      </c>
      <c r="F2706" s="507">
        <v>115.0</v>
      </c>
      <c r="G2706" s="507">
        <v>41.0</v>
      </c>
      <c r="H2706" s="260">
        <v>2.0</v>
      </c>
      <c r="I2706" s="260">
        <v>2550.0</v>
      </c>
      <c r="J2706" s="658">
        <v>18.0</v>
      </c>
      <c r="K2706" s="659">
        <v>160.0</v>
      </c>
      <c r="L2706" s="266">
        <v>8.0</v>
      </c>
      <c r="M2706" s="507">
        <v>3.0</v>
      </c>
      <c r="N2706" s="507">
        <v>2.0</v>
      </c>
      <c r="O2706" s="507">
        <v>2.0</v>
      </c>
      <c r="P2706" s="266" t="s">
        <v>166</v>
      </c>
      <c r="Q2706" s="266" t="s">
        <v>166</v>
      </c>
      <c r="R2706" s="266" t="s">
        <v>166</v>
      </c>
      <c r="S2706" s="266" t="s">
        <v>166</v>
      </c>
      <c r="T2706" s="509"/>
    </row>
    <row r="2707">
      <c r="A2707" s="494" t="s">
        <v>3401</v>
      </c>
      <c r="B2707" s="505" t="s">
        <v>3610</v>
      </c>
      <c r="C2707" s="174" t="str">
        <f t="shared" si="398"/>
        <v>Gigabyte</v>
      </c>
      <c r="D2707" s="452" t="s">
        <v>3851</v>
      </c>
      <c r="E2707" s="507">
        <v>281.0</v>
      </c>
      <c r="F2707" s="507">
        <v>117.0</v>
      </c>
      <c r="G2707" s="507">
        <v>50.0</v>
      </c>
      <c r="H2707" s="260">
        <v>2.0</v>
      </c>
      <c r="I2707" s="260">
        <v>2580.0</v>
      </c>
      <c r="J2707" s="658">
        <v>18.0</v>
      </c>
      <c r="K2707" s="659">
        <v>160.0</v>
      </c>
      <c r="L2707" s="266">
        <v>8.0</v>
      </c>
      <c r="M2707" s="507">
        <v>3.0</v>
      </c>
      <c r="N2707" s="507">
        <v>2.0</v>
      </c>
      <c r="O2707" s="507">
        <v>2.0</v>
      </c>
      <c r="P2707" s="266" t="s">
        <v>166</v>
      </c>
      <c r="Q2707" s="266" t="s">
        <v>166</v>
      </c>
      <c r="R2707" s="266" t="s">
        <v>166</v>
      </c>
      <c r="S2707" s="266" t="s">
        <v>166</v>
      </c>
      <c r="T2707" s="509"/>
    </row>
    <row r="2708">
      <c r="A2708" s="494" t="s">
        <v>3401</v>
      </c>
      <c r="B2708" s="505" t="s">
        <v>3610</v>
      </c>
      <c r="C2708" s="174" t="str">
        <f t="shared" si="398"/>
        <v>Gigabyte</v>
      </c>
      <c r="D2708" s="452" t="s">
        <v>3630</v>
      </c>
      <c r="E2708" s="507">
        <v>281.0</v>
      </c>
      <c r="F2708" s="507">
        <v>117.0</v>
      </c>
      <c r="G2708" s="507">
        <v>53.0</v>
      </c>
      <c r="H2708" s="260">
        <v>2.0</v>
      </c>
      <c r="I2708" s="260">
        <v>2580.0</v>
      </c>
      <c r="J2708" s="658">
        <v>18.0</v>
      </c>
      <c r="K2708" s="659">
        <v>160.0</v>
      </c>
      <c r="L2708" s="266">
        <v>8.0</v>
      </c>
      <c r="M2708" s="507">
        <v>3.0</v>
      </c>
      <c r="N2708" s="507">
        <v>2.0</v>
      </c>
      <c r="O2708" s="507">
        <v>2.0</v>
      </c>
      <c r="P2708" s="266" t="s">
        <v>166</v>
      </c>
      <c r="Q2708" s="266" t="s">
        <v>166</v>
      </c>
      <c r="R2708" s="266" t="s">
        <v>166</v>
      </c>
      <c r="S2708" s="266" t="s">
        <v>166</v>
      </c>
      <c r="T2708" s="509"/>
    </row>
    <row r="2709">
      <c r="A2709" s="494" t="s">
        <v>3401</v>
      </c>
      <c r="B2709" s="505" t="s">
        <v>3610</v>
      </c>
      <c r="C2709" s="174" t="str">
        <f t="shared" si="398"/>
        <v>Gigabyte</v>
      </c>
      <c r="D2709" s="452" t="s">
        <v>3711</v>
      </c>
      <c r="E2709" s="507">
        <v>301.0</v>
      </c>
      <c r="F2709" s="507">
        <v>128.0</v>
      </c>
      <c r="G2709" s="507">
        <v>56.0</v>
      </c>
      <c r="H2709" s="260">
        <v>2.0</v>
      </c>
      <c r="I2709" s="260">
        <v>2655.0</v>
      </c>
      <c r="J2709" s="658">
        <v>18.0</v>
      </c>
      <c r="K2709" s="659">
        <v>160.0</v>
      </c>
      <c r="L2709" s="266">
        <v>8.0</v>
      </c>
      <c r="M2709" s="507">
        <v>3.0</v>
      </c>
      <c r="N2709" s="507">
        <v>2.0</v>
      </c>
      <c r="O2709" s="507">
        <v>2.0</v>
      </c>
      <c r="P2709" s="266" t="s">
        <v>166</v>
      </c>
      <c r="Q2709" s="266" t="s">
        <v>166</v>
      </c>
      <c r="R2709" s="266" t="s">
        <v>166</v>
      </c>
      <c r="S2709" s="266" t="s">
        <v>166</v>
      </c>
      <c r="T2709" s="509"/>
    </row>
    <row r="2710">
      <c r="A2710" s="494" t="s">
        <v>3401</v>
      </c>
      <c r="B2710" s="505" t="s">
        <v>3610</v>
      </c>
      <c r="C2710" s="452" t="str">
        <f t="shared" ref="C2710:C2715" si="399">HYPERLINK("http://www.inno3d.com/","Inno3D")</f>
        <v>Inno3D</v>
      </c>
      <c r="D2710" s="452" t="s">
        <v>3896</v>
      </c>
      <c r="E2710" s="507">
        <v>250.0</v>
      </c>
      <c r="F2710" s="507">
        <v>118.0</v>
      </c>
      <c r="G2710" s="507">
        <v>42.0</v>
      </c>
      <c r="H2710" s="260">
        <v>2.0</v>
      </c>
      <c r="I2710" s="260">
        <v>2535.0</v>
      </c>
      <c r="J2710" s="658">
        <v>18.0</v>
      </c>
      <c r="K2710" s="659">
        <v>160.0</v>
      </c>
      <c r="L2710" s="266">
        <v>8.0</v>
      </c>
      <c r="M2710" s="507">
        <v>2.0</v>
      </c>
      <c r="N2710" s="507">
        <v>3.0</v>
      </c>
      <c r="O2710" s="507">
        <v>1.0</v>
      </c>
      <c r="P2710" s="266" t="s">
        <v>166</v>
      </c>
      <c r="Q2710" s="266" t="s">
        <v>166</v>
      </c>
      <c r="R2710" s="266" t="s">
        <v>166</v>
      </c>
      <c r="S2710" s="266" t="s">
        <v>166</v>
      </c>
      <c r="T2710" s="509"/>
    </row>
    <row r="2711">
      <c r="A2711" s="494" t="s">
        <v>3401</v>
      </c>
      <c r="B2711" s="505" t="s">
        <v>3610</v>
      </c>
      <c r="C2711" s="452" t="str">
        <f t="shared" si="399"/>
        <v>Inno3D</v>
      </c>
      <c r="D2711" s="452" t="s">
        <v>3882</v>
      </c>
      <c r="E2711" s="507">
        <v>250.0</v>
      </c>
      <c r="F2711" s="507">
        <v>118.0</v>
      </c>
      <c r="G2711" s="507">
        <v>42.0</v>
      </c>
      <c r="H2711" s="260">
        <v>2.0</v>
      </c>
      <c r="I2711" s="260">
        <v>2565.0</v>
      </c>
      <c r="J2711" s="658">
        <v>18.0</v>
      </c>
      <c r="K2711" s="659">
        <v>160.0</v>
      </c>
      <c r="L2711" s="266">
        <v>8.0</v>
      </c>
      <c r="M2711" s="507">
        <v>2.0</v>
      </c>
      <c r="N2711" s="507">
        <v>3.0</v>
      </c>
      <c r="O2711" s="507">
        <v>1.0</v>
      </c>
      <c r="P2711" s="266" t="s">
        <v>166</v>
      </c>
      <c r="Q2711" s="266" t="s">
        <v>166</v>
      </c>
      <c r="R2711" s="266" t="s">
        <v>166</v>
      </c>
      <c r="S2711" s="266" t="s">
        <v>166</v>
      </c>
      <c r="T2711" s="509"/>
    </row>
    <row r="2712">
      <c r="A2712" s="494" t="s">
        <v>3401</v>
      </c>
      <c r="B2712" s="505" t="s">
        <v>3610</v>
      </c>
      <c r="C2712" s="452" t="str">
        <f t="shared" si="399"/>
        <v>Inno3D</v>
      </c>
      <c r="D2712" s="452" t="s">
        <v>4464</v>
      </c>
      <c r="E2712" s="507">
        <v>250.0</v>
      </c>
      <c r="F2712" s="507">
        <v>118.0</v>
      </c>
      <c r="G2712" s="507">
        <v>42.0</v>
      </c>
      <c r="H2712" s="260">
        <v>2.0</v>
      </c>
      <c r="I2712" s="260">
        <v>2565.0</v>
      </c>
      <c r="J2712" s="658">
        <v>18.0</v>
      </c>
      <c r="K2712" s="659">
        <v>160.0</v>
      </c>
      <c r="L2712" s="266">
        <v>8.0</v>
      </c>
      <c r="M2712" s="507">
        <v>2.0</v>
      </c>
      <c r="N2712" s="507">
        <v>3.0</v>
      </c>
      <c r="O2712" s="507">
        <v>1.0</v>
      </c>
      <c r="P2712" s="266" t="s">
        <v>166</v>
      </c>
      <c r="Q2712" s="266" t="s">
        <v>166</v>
      </c>
      <c r="R2712" s="266" t="s">
        <v>166</v>
      </c>
      <c r="S2712" s="266" t="s">
        <v>166</v>
      </c>
      <c r="T2712" s="509"/>
    </row>
    <row r="2713">
      <c r="A2713" s="494" t="s">
        <v>3401</v>
      </c>
      <c r="B2713" s="505" t="s">
        <v>3610</v>
      </c>
      <c r="C2713" s="452" t="str">
        <f t="shared" si="399"/>
        <v>Inno3D</v>
      </c>
      <c r="D2713" s="452" t="s">
        <v>4347</v>
      </c>
      <c r="E2713" s="507">
        <v>297.0</v>
      </c>
      <c r="F2713" s="507">
        <v>118.0</v>
      </c>
      <c r="G2713" s="507">
        <v>42.0</v>
      </c>
      <c r="H2713" s="260">
        <v>2.0</v>
      </c>
      <c r="I2713" s="260">
        <v>2565.0</v>
      </c>
      <c r="J2713" s="658">
        <v>18.0</v>
      </c>
      <c r="K2713" s="659">
        <v>160.0</v>
      </c>
      <c r="L2713" s="266">
        <v>8.0</v>
      </c>
      <c r="M2713" s="507">
        <v>3.0</v>
      </c>
      <c r="N2713" s="507">
        <v>3.0</v>
      </c>
      <c r="O2713" s="507">
        <v>1.0</v>
      </c>
      <c r="P2713" s="266" t="s">
        <v>166</v>
      </c>
      <c r="Q2713" s="266" t="s">
        <v>166</v>
      </c>
      <c r="R2713" s="266" t="s">
        <v>166</v>
      </c>
      <c r="S2713" s="266" t="s">
        <v>166</v>
      </c>
      <c r="T2713" s="509"/>
    </row>
    <row r="2714">
      <c r="A2714" s="494" t="s">
        <v>3401</v>
      </c>
      <c r="B2714" s="505" t="s">
        <v>3610</v>
      </c>
      <c r="C2714" s="452" t="str">
        <f t="shared" si="399"/>
        <v>Inno3D</v>
      </c>
      <c r="D2714" s="452" t="s">
        <v>3921</v>
      </c>
      <c r="E2714" s="507">
        <v>294.0</v>
      </c>
      <c r="F2714" s="507">
        <v>118.0</v>
      </c>
      <c r="G2714" s="507">
        <v>60.0</v>
      </c>
      <c r="H2714" s="260">
        <v>2.0</v>
      </c>
      <c r="I2714" s="260">
        <v>2595.0</v>
      </c>
      <c r="J2714" s="658">
        <v>18.0</v>
      </c>
      <c r="K2714" s="659">
        <v>160.0</v>
      </c>
      <c r="L2714" s="266">
        <v>8.0</v>
      </c>
      <c r="M2714" s="507">
        <v>3.0</v>
      </c>
      <c r="N2714" s="507">
        <v>3.0</v>
      </c>
      <c r="O2714" s="507">
        <v>1.0</v>
      </c>
      <c r="P2714" s="266" t="s">
        <v>166</v>
      </c>
      <c r="Q2714" s="266" t="s">
        <v>166</v>
      </c>
      <c r="R2714" s="266" t="s">
        <v>166</v>
      </c>
      <c r="S2714" s="266" t="s">
        <v>166</v>
      </c>
      <c r="T2714" s="509"/>
    </row>
    <row r="2715">
      <c r="A2715" s="494" t="s">
        <v>3401</v>
      </c>
      <c r="B2715" s="505" t="s">
        <v>3610</v>
      </c>
      <c r="C2715" s="452" t="str">
        <f t="shared" si="399"/>
        <v>Inno3D</v>
      </c>
      <c r="D2715" s="452" t="s">
        <v>4487</v>
      </c>
      <c r="E2715" s="507">
        <v>294.0</v>
      </c>
      <c r="F2715" s="507">
        <v>118.0</v>
      </c>
      <c r="G2715" s="507">
        <v>60.0</v>
      </c>
      <c r="H2715" s="260">
        <v>2.0</v>
      </c>
      <c r="I2715" s="260">
        <v>2595.0</v>
      </c>
      <c r="J2715" s="518">
        <v>18.0</v>
      </c>
      <c r="K2715" s="507">
        <v>160.0</v>
      </c>
      <c r="L2715" s="266">
        <v>8.0</v>
      </c>
      <c r="M2715" s="507">
        <v>3.0</v>
      </c>
      <c r="N2715" s="507">
        <v>3.0</v>
      </c>
      <c r="O2715" s="507">
        <v>1.0</v>
      </c>
      <c r="P2715" s="266" t="s">
        <v>166</v>
      </c>
      <c r="Q2715" s="266" t="s">
        <v>166</v>
      </c>
      <c r="R2715" s="266" t="s">
        <v>166</v>
      </c>
      <c r="S2715" s="266" t="s">
        <v>166</v>
      </c>
      <c r="T2715" s="509"/>
    </row>
    <row r="2716">
      <c r="A2716" s="494" t="s">
        <v>3401</v>
      </c>
      <c r="B2716" s="505" t="s">
        <v>3610</v>
      </c>
      <c r="C2716" s="452" t="s">
        <v>3538</v>
      </c>
      <c r="D2716" s="452" t="s">
        <v>3600</v>
      </c>
      <c r="E2716" s="507">
        <v>251.0</v>
      </c>
      <c r="F2716" s="507">
        <v>124.0</v>
      </c>
      <c r="G2716" s="507">
        <v>46.0</v>
      </c>
      <c r="H2716" s="260">
        <v>2.0</v>
      </c>
      <c r="I2716" s="260">
        <v>2535.0</v>
      </c>
      <c r="J2716" s="518">
        <v>18.0</v>
      </c>
      <c r="K2716" s="507">
        <v>160.0</v>
      </c>
      <c r="L2716" s="266">
        <v>8.0</v>
      </c>
      <c r="M2716" s="507">
        <v>2.0</v>
      </c>
      <c r="N2716" s="507">
        <v>3.0</v>
      </c>
      <c r="O2716" s="507">
        <v>1.0</v>
      </c>
      <c r="P2716" s="266" t="s">
        <v>166</v>
      </c>
      <c r="Q2716" s="266" t="s">
        <v>166</v>
      </c>
      <c r="R2716" s="266" t="s">
        <v>166</v>
      </c>
      <c r="S2716" s="266" t="s">
        <v>166</v>
      </c>
      <c r="T2716" s="509"/>
    </row>
    <row r="2717">
      <c r="A2717" s="494" t="s">
        <v>3401</v>
      </c>
      <c r="B2717" s="505" t="s">
        <v>3610</v>
      </c>
      <c r="C2717" s="452" t="str">
        <f>HYPERLINK("http://manli.com/en","Manli")</f>
        <v>Manli</v>
      </c>
      <c r="D2717" s="452" t="s">
        <v>4488</v>
      </c>
      <c r="E2717" s="507">
        <v>250.0</v>
      </c>
      <c r="F2717" s="507">
        <v>115.0</v>
      </c>
      <c r="G2717" s="507">
        <v>42.0</v>
      </c>
      <c r="H2717" s="260">
        <v>2.0</v>
      </c>
      <c r="I2717" s="260">
        <v>2535.0</v>
      </c>
      <c r="J2717" s="518">
        <v>18.0</v>
      </c>
      <c r="K2717" s="507">
        <v>160.0</v>
      </c>
      <c r="L2717" s="266">
        <v>8.0</v>
      </c>
      <c r="M2717" s="507">
        <v>2.0</v>
      </c>
      <c r="N2717" s="507">
        <v>3.0</v>
      </c>
      <c r="O2717" s="507">
        <v>1.0</v>
      </c>
      <c r="P2717" s="266" t="s">
        <v>166</v>
      </c>
      <c r="Q2717" s="266" t="s">
        <v>166</v>
      </c>
      <c r="R2717" s="266" t="s">
        <v>166</v>
      </c>
      <c r="S2717" s="266" t="s">
        <v>166</v>
      </c>
      <c r="T2717" s="509"/>
    </row>
    <row r="2718">
      <c r="A2718" s="494" t="s">
        <v>3401</v>
      </c>
      <c r="B2718" s="505" t="s">
        <v>3610</v>
      </c>
      <c r="C2718" s="174" t="s">
        <v>3565</v>
      </c>
      <c r="D2718" s="452" t="s">
        <v>3810</v>
      </c>
      <c r="E2718" s="507">
        <v>250.0</v>
      </c>
      <c r="F2718" s="507">
        <v>128.0</v>
      </c>
      <c r="G2718" s="507">
        <v>40.0</v>
      </c>
      <c r="H2718" s="260">
        <v>2.0</v>
      </c>
      <c r="I2718" s="260">
        <v>2535.0</v>
      </c>
      <c r="J2718" s="518">
        <v>18.0</v>
      </c>
      <c r="K2718" s="507">
        <v>160.0</v>
      </c>
      <c r="L2718" s="266">
        <v>8.0</v>
      </c>
      <c r="M2718" s="507">
        <v>2.0</v>
      </c>
      <c r="N2718" s="507">
        <v>3.0</v>
      </c>
      <c r="O2718" s="507">
        <v>1.0</v>
      </c>
      <c r="P2718" s="266" t="s">
        <v>166</v>
      </c>
      <c r="Q2718" s="266" t="s">
        <v>166</v>
      </c>
      <c r="R2718" s="266" t="s">
        <v>166</v>
      </c>
      <c r="S2718" s="266" t="s">
        <v>166</v>
      </c>
      <c r="T2718" s="509"/>
    </row>
    <row r="2719">
      <c r="A2719" s="494" t="s">
        <v>3401</v>
      </c>
      <c r="B2719" s="505" t="s">
        <v>3610</v>
      </c>
      <c r="C2719" s="174" t="s">
        <v>3565</v>
      </c>
      <c r="D2719" s="452" t="s">
        <v>4465</v>
      </c>
      <c r="E2719" s="507">
        <v>250.0</v>
      </c>
      <c r="F2719" s="507">
        <v>124.0</v>
      </c>
      <c r="G2719" s="507">
        <v>45.0</v>
      </c>
      <c r="H2719" s="260">
        <v>2.0</v>
      </c>
      <c r="I2719" s="260">
        <v>2535.0</v>
      </c>
      <c r="J2719" s="518">
        <v>18.0</v>
      </c>
      <c r="K2719" s="507">
        <v>160.0</v>
      </c>
      <c r="L2719" s="266">
        <v>8.0</v>
      </c>
      <c r="M2719" s="507">
        <v>2.0</v>
      </c>
      <c r="N2719" s="507">
        <v>3.0</v>
      </c>
      <c r="O2719" s="507">
        <v>1.0</v>
      </c>
      <c r="P2719" s="266" t="s">
        <v>166</v>
      </c>
      <c r="Q2719" s="266" t="s">
        <v>166</v>
      </c>
      <c r="R2719" s="266" t="s">
        <v>166</v>
      </c>
      <c r="S2719" s="266" t="s">
        <v>166</v>
      </c>
      <c r="T2719" s="509"/>
    </row>
    <row r="2720">
      <c r="A2720" s="494" t="s">
        <v>3401</v>
      </c>
      <c r="B2720" s="505" t="s">
        <v>3610</v>
      </c>
      <c r="C2720" s="174" t="s">
        <v>3565</v>
      </c>
      <c r="D2720" s="537" t="s">
        <v>4466</v>
      </c>
      <c r="E2720" s="507">
        <v>252.0</v>
      </c>
      <c r="F2720" s="507">
        <v>124.0</v>
      </c>
      <c r="G2720" s="507">
        <v>43.0</v>
      </c>
      <c r="H2720" s="260">
        <v>2.0</v>
      </c>
      <c r="I2720" s="260">
        <v>2595.0</v>
      </c>
      <c r="J2720" s="518">
        <v>18.0</v>
      </c>
      <c r="K2720" s="507">
        <v>160.0</v>
      </c>
      <c r="L2720" s="266">
        <v>8.0</v>
      </c>
      <c r="M2720" s="507">
        <v>2.0</v>
      </c>
      <c r="N2720" s="507">
        <v>3.0</v>
      </c>
      <c r="O2720" s="507">
        <v>1.0</v>
      </c>
      <c r="P2720" s="266" t="s">
        <v>166</v>
      </c>
      <c r="Q2720" s="266" t="s">
        <v>166</v>
      </c>
      <c r="R2720" s="266" t="s">
        <v>166</v>
      </c>
      <c r="S2720" s="266" t="s">
        <v>166</v>
      </c>
      <c r="T2720" s="509"/>
    </row>
    <row r="2721">
      <c r="A2721" s="494" t="s">
        <v>3401</v>
      </c>
      <c r="B2721" s="505" t="s">
        <v>3610</v>
      </c>
      <c r="C2721" s="174" t="s">
        <v>3565</v>
      </c>
      <c r="D2721" s="452" t="s">
        <v>4229</v>
      </c>
      <c r="E2721" s="507">
        <v>317.0</v>
      </c>
      <c r="F2721" s="507">
        <v>132.0</v>
      </c>
      <c r="G2721" s="507">
        <v>46.0</v>
      </c>
      <c r="H2721" s="260">
        <v>2.0</v>
      </c>
      <c r="I2721" s="260">
        <v>2595.0</v>
      </c>
      <c r="J2721" s="518">
        <v>18.0</v>
      </c>
      <c r="K2721" s="507">
        <v>160.0</v>
      </c>
      <c r="L2721" s="266">
        <v>8.0</v>
      </c>
      <c r="M2721" s="507">
        <v>3.0</v>
      </c>
      <c r="N2721" s="507">
        <v>3.0</v>
      </c>
      <c r="O2721" s="507">
        <v>1.0</v>
      </c>
      <c r="P2721" s="266" t="s">
        <v>166</v>
      </c>
      <c r="Q2721" s="266" t="s">
        <v>166</v>
      </c>
      <c r="R2721" s="266" t="s">
        <v>166</v>
      </c>
      <c r="S2721" s="266" t="s">
        <v>166</v>
      </c>
      <c r="T2721" s="509"/>
    </row>
    <row r="2722">
      <c r="A2722" s="494" t="s">
        <v>3401</v>
      </c>
      <c r="B2722" s="505" t="s">
        <v>3610</v>
      </c>
      <c r="C2722" s="174" t="s">
        <v>3565</v>
      </c>
      <c r="D2722" s="537" t="s">
        <v>4467</v>
      </c>
      <c r="E2722" s="507">
        <v>317.0</v>
      </c>
      <c r="F2722" s="507">
        <v>132.0</v>
      </c>
      <c r="G2722" s="507">
        <v>46.0</v>
      </c>
      <c r="H2722" s="260">
        <v>2.0</v>
      </c>
      <c r="I2722" s="260">
        <v>2595.0</v>
      </c>
      <c r="J2722" s="518">
        <v>18.0</v>
      </c>
      <c r="K2722" s="507">
        <v>160.0</v>
      </c>
      <c r="L2722" s="266">
        <v>8.0</v>
      </c>
      <c r="M2722" s="507">
        <v>3.0</v>
      </c>
      <c r="N2722" s="507">
        <v>3.0</v>
      </c>
      <c r="O2722" s="507">
        <v>1.0</v>
      </c>
      <c r="P2722" s="266" t="s">
        <v>166</v>
      </c>
      <c r="Q2722" s="266" t="s">
        <v>166</v>
      </c>
      <c r="R2722" s="266" t="s">
        <v>166</v>
      </c>
      <c r="S2722" s="266" t="s">
        <v>166</v>
      </c>
      <c r="T2722" s="509"/>
    </row>
    <row r="2723">
      <c r="A2723" s="494" t="s">
        <v>3401</v>
      </c>
      <c r="B2723" s="505" t="s">
        <v>3610</v>
      </c>
      <c r="C2723" s="174" t="str">
        <f t="shared" ref="C2723:C2737" si="400">HYPERLINK("https://www.msi.com/index.php","MSI")</f>
        <v>MSI</v>
      </c>
      <c r="D2723" s="452" t="s">
        <v>4146</v>
      </c>
      <c r="E2723" s="507">
        <v>308.0</v>
      </c>
      <c r="F2723" s="507">
        <v>120.0</v>
      </c>
      <c r="G2723" s="507">
        <v>43.0</v>
      </c>
      <c r="H2723" s="260">
        <v>2.0</v>
      </c>
      <c r="I2723" s="260">
        <v>2550.0</v>
      </c>
      <c r="J2723" s="518">
        <v>18.0</v>
      </c>
      <c r="K2723" s="507">
        <v>160.0</v>
      </c>
      <c r="L2723" s="266">
        <v>8.0</v>
      </c>
      <c r="M2723" s="507">
        <v>3.0</v>
      </c>
      <c r="N2723" s="507">
        <v>3.0</v>
      </c>
      <c r="O2723" s="507">
        <v>1.0</v>
      </c>
      <c r="P2723" s="266" t="s">
        <v>166</v>
      </c>
      <c r="Q2723" s="266" t="s">
        <v>166</v>
      </c>
      <c r="R2723" s="266" t="s">
        <v>166</v>
      </c>
      <c r="S2723" s="266" t="s">
        <v>166</v>
      </c>
      <c r="T2723" s="509"/>
    </row>
    <row r="2724">
      <c r="A2724" s="494" t="s">
        <v>3401</v>
      </c>
      <c r="B2724" s="505" t="s">
        <v>3610</v>
      </c>
      <c r="C2724" s="174" t="str">
        <f t="shared" si="400"/>
        <v>MSI</v>
      </c>
      <c r="D2724" s="452" t="s">
        <v>4147</v>
      </c>
      <c r="E2724" s="507">
        <v>308.0</v>
      </c>
      <c r="F2724" s="507">
        <v>120.0</v>
      </c>
      <c r="G2724" s="507">
        <v>43.0</v>
      </c>
      <c r="H2724" s="260">
        <v>2.0</v>
      </c>
      <c r="I2724" s="260">
        <v>2580.0</v>
      </c>
      <c r="J2724" s="518">
        <v>18.0</v>
      </c>
      <c r="K2724" s="507">
        <v>160.0</v>
      </c>
      <c r="L2724" s="266">
        <v>8.0</v>
      </c>
      <c r="M2724" s="507">
        <v>3.0</v>
      </c>
      <c r="N2724" s="507">
        <v>3.0</v>
      </c>
      <c r="O2724" s="507">
        <v>1.0</v>
      </c>
      <c r="P2724" s="266" t="s">
        <v>166</v>
      </c>
      <c r="Q2724" s="266" t="s">
        <v>166</v>
      </c>
      <c r="R2724" s="266" t="s">
        <v>166</v>
      </c>
      <c r="S2724" s="266" t="s">
        <v>166</v>
      </c>
      <c r="T2724" s="509"/>
    </row>
    <row r="2725">
      <c r="A2725" s="494" t="s">
        <v>3401</v>
      </c>
      <c r="B2725" s="505" t="s">
        <v>3610</v>
      </c>
      <c r="C2725" s="174" t="str">
        <f t="shared" si="400"/>
        <v>MSI</v>
      </c>
      <c r="D2725" s="452" t="s">
        <v>4489</v>
      </c>
      <c r="E2725" s="507">
        <v>308.0</v>
      </c>
      <c r="F2725" s="507">
        <v>120.0</v>
      </c>
      <c r="G2725" s="507">
        <v>43.0</v>
      </c>
      <c r="H2725" s="260">
        <v>2.0</v>
      </c>
      <c r="I2725" s="260">
        <v>2550.0</v>
      </c>
      <c r="J2725" s="518">
        <v>18.0</v>
      </c>
      <c r="K2725" s="507">
        <v>160.0</v>
      </c>
      <c r="L2725" s="266">
        <v>8.0</v>
      </c>
      <c r="M2725" s="507">
        <v>3.0</v>
      </c>
      <c r="N2725" s="507">
        <v>3.0</v>
      </c>
      <c r="O2725" s="507">
        <v>1.0</v>
      </c>
      <c r="P2725" s="266" t="s">
        <v>166</v>
      </c>
      <c r="Q2725" s="266" t="s">
        <v>166</v>
      </c>
      <c r="R2725" s="266" t="s">
        <v>166</v>
      </c>
      <c r="S2725" s="266" t="s">
        <v>166</v>
      </c>
      <c r="T2725" s="509"/>
    </row>
    <row r="2726">
      <c r="A2726" s="494" t="s">
        <v>3401</v>
      </c>
      <c r="B2726" s="505" t="s">
        <v>3610</v>
      </c>
      <c r="C2726" s="174" t="str">
        <f t="shared" si="400"/>
        <v>MSI</v>
      </c>
      <c r="D2726" s="452" t="s">
        <v>4490</v>
      </c>
      <c r="E2726" s="507">
        <v>308.0</v>
      </c>
      <c r="F2726" s="507">
        <v>120.0</v>
      </c>
      <c r="G2726" s="507">
        <v>43.0</v>
      </c>
      <c r="H2726" s="260">
        <v>2.0</v>
      </c>
      <c r="I2726" s="260">
        <v>2580.0</v>
      </c>
      <c r="J2726" s="518">
        <v>18.0</v>
      </c>
      <c r="K2726" s="507">
        <v>160.0</v>
      </c>
      <c r="L2726" s="266">
        <v>8.0</v>
      </c>
      <c r="M2726" s="507">
        <v>3.0</v>
      </c>
      <c r="N2726" s="507">
        <v>3.0</v>
      </c>
      <c r="O2726" s="507">
        <v>1.0</v>
      </c>
      <c r="P2726" s="266" t="s">
        <v>166</v>
      </c>
      <c r="Q2726" s="266" t="s">
        <v>166</v>
      </c>
      <c r="R2726" s="266" t="s">
        <v>166</v>
      </c>
      <c r="S2726" s="266" t="s">
        <v>166</v>
      </c>
      <c r="T2726" s="509"/>
    </row>
    <row r="2727">
      <c r="A2727" s="494" t="s">
        <v>3401</v>
      </c>
      <c r="B2727" s="505" t="s">
        <v>3610</v>
      </c>
      <c r="C2727" s="174" t="str">
        <f t="shared" si="400"/>
        <v>MSI</v>
      </c>
      <c r="D2727" s="452" t="s">
        <v>4491</v>
      </c>
      <c r="E2727" s="507">
        <v>308.0</v>
      </c>
      <c r="F2727" s="507">
        <v>120.0</v>
      </c>
      <c r="G2727" s="507">
        <v>43.0</v>
      </c>
      <c r="H2727" s="260">
        <v>2.0</v>
      </c>
      <c r="I2727" s="260">
        <v>2550.0</v>
      </c>
      <c r="J2727" s="518">
        <v>18.0</v>
      </c>
      <c r="K2727" s="507">
        <v>165.0</v>
      </c>
      <c r="L2727" s="266">
        <v>8.0</v>
      </c>
      <c r="M2727" s="507">
        <v>3.0</v>
      </c>
      <c r="N2727" s="507">
        <v>3.0</v>
      </c>
      <c r="O2727" s="507">
        <v>1.0</v>
      </c>
      <c r="P2727" s="266" t="s">
        <v>166</v>
      </c>
      <c r="Q2727" s="266" t="s">
        <v>166</v>
      </c>
      <c r="R2727" s="266" t="s">
        <v>166</v>
      </c>
      <c r="S2727" s="266" t="s">
        <v>166</v>
      </c>
      <c r="T2727" s="509"/>
    </row>
    <row r="2728">
      <c r="A2728" s="494" t="s">
        <v>3401</v>
      </c>
      <c r="B2728" s="505" t="s">
        <v>3610</v>
      </c>
      <c r="C2728" s="174" t="str">
        <f t="shared" si="400"/>
        <v>MSI</v>
      </c>
      <c r="D2728" s="452" t="s">
        <v>4492</v>
      </c>
      <c r="E2728" s="507">
        <v>308.0</v>
      </c>
      <c r="F2728" s="507">
        <v>120.0</v>
      </c>
      <c r="G2728" s="507">
        <v>43.0</v>
      </c>
      <c r="H2728" s="260">
        <v>2.0</v>
      </c>
      <c r="I2728" s="260">
        <v>2580.0</v>
      </c>
      <c r="J2728" s="518">
        <v>18.0</v>
      </c>
      <c r="K2728" s="507">
        <v>165.0</v>
      </c>
      <c r="L2728" s="266">
        <v>8.0</v>
      </c>
      <c r="M2728" s="507">
        <v>3.0</v>
      </c>
      <c r="N2728" s="507">
        <v>3.0</v>
      </c>
      <c r="O2728" s="507">
        <v>1.0</v>
      </c>
      <c r="P2728" s="266" t="s">
        <v>166</v>
      </c>
      <c r="Q2728" s="266" t="s">
        <v>166</v>
      </c>
      <c r="R2728" s="266" t="s">
        <v>166</v>
      </c>
      <c r="S2728" s="266" t="s">
        <v>166</v>
      </c>
      <c r="T2728" s="509"/>
    </row>
    <row r="2729">
      <c r="A2729" s="494" t="s">
        <v>3401</v>
      </c>
      <c r="B2729" s="505" t="s">
        <v>3610</v>
      </c>
      <c r="C2729" s="174" t="str">
        <f t="shared" si="400"/>
        <v>MSI</v>
      </c>
      <c r="D2729" s="452" t="s">
        <v>3409</v>
      </c>
      <c r="E2729" s="507">
        <v>247.0</v>
      </c>
      <c r="F2729" s="507">
        <v>130.0</v>
      </c>
      <c r="G2729" s="507">
        <v>42.0</v>
      </c>
      <c r="H2729" s="260">
        <v>2.0</v>
      </c>
      <c r="I2729" s="260">
        <v>2550.0</v>
      </c>
      <c r="J2729" s="518">
        <v>18.0</v>
      </c>
      <c r="K2729" s="507">
        <v>160.0</v>
      </c>
      <c r="L2729" s="266">
        <v>8.0</v>
      </c>
      <c r="M2729" s="507">
        <v>2.0</v>
      </c>
      <c r="N2729" s="507">
        <v>3.0</v>
      </c>
      <c r="O2729" s="507">
        <v>1.0</v>
      </c>
      <c r="P2729" s="266" t="s">
        <v>166</v>
      </c>
      <c r="Q2729" s="266" t="s">
        <v>166</v>
      </c>
      <c r="R2729" s="266" t="s">
        <v>166</v>
      </c>
      <c r="S2729" s="266" t="s">
        <v>166</v>
      </c>
      <c r="T2729" s="509"/>
    </row>
    <row r="2730">
      <c r="A2730" s="494" t="s">
        <v>3401</v>
      </c>
      <c r="B2730" s="505" t="s">
        <v>3610</v>
      </c>
      <c r="C2730" s="174" t="str">
        <f t="shared" si="400"/>
        <v>MSI</v>
      </c>
      <c r="D2730" s="452" t="s">
        <v>3557</v>
      </c>
      <c r="E2730" s="507">
        <v>247.0</v>
      </c>
      <c r="F2730" s="507">
        <v>130.0</v>
      </c>
      <c r="G2730" s="507">
        <v>42.0</v>
      </c>
      <c r="H2730" s="260">
        <v>2.0</v>
      </c>
      <c r="I2730" s="260">
        <v>2655.0</v>
      </c>
      <c r="J2730" s="518">
        <v>18.0</v>
      </c>
      <c r="K2730" s="507">
        <v>160.0</v>
      </c>
      <c r="L2730" s="266">
        <v>8.0</v>
      </c>
      <c r="M2730" s="507">
        <v>2.0</v>
      </c>
      <c r="N2730" s="507">
        <v>3.0</v>
      </c>
      <c r="O2730" s="507">
        <v>1.0</v>
      </c>
      <c r="P2730" s="266" t="s">
        <v>166</v>
      </c>
      <c r="Q2730" s="266" t="s">
        <v>166</v>
      </c>
      <c r="R2730" s="266" t="s">
        <v>166</v>
      </c>
      <c r="S2730" s="266" t="s">
        <v>166</v>
      </c>
      <c r="T2730" s="509"/>
    </row>
    <row r="2731">
      <c r="A2731" s="494" t="s">
        <v>3401</v>
      </c>
      <c r="B2731" s="505" t="s">
        <v>3610</v>
      </c>
      <c r="C2731" s="174" t="str">
        <f t="shared" si="400"/>
        <v>MSI</v>
      </c>
      <c r="D2731" s="452" t="s">
        <v>4493</v>
      </c>
      <c r="E2731" s="507">
        <v>307.0</v>
      </c>
      <c r="F2731" s="507">
        <v>125.0</v>
      </c>
      <c r="G2731" s="507">
        <v>46.0</v>
      </c>
      <c r="H2731" s="260">
        <v>2.0</v>
      </c>
      <c r="I2731" s="260">
        <v>2550.0</v>
      </c>
      <c r="J2731" s="518">
        <v>18.0</v>
      </c>
      <c r="K2731" s="507">
        <v>160.0</v>
      </c>
      <c r="L2731" s="266">
        <v>8.0</v>
      </c>
      <c r="M2731" s="507">
        <v>3.0</v>
      </c>
      <c r="N2731" s="507">
        <v>3.0</v>
      </c>
      <c r="O2731" s="507">
        <v>1.0</v>
      </c>
      <c r="P2731" s="266" t="s">
        <v>166</v>
      </c>
      <c r="Q2731" s="266" t="s">
        <v>166</v>
      </c>
      <c r="R2731" s="266" t="s">
        <v>166</v>
      </c>
      <c r="S2731" s="266" t="s">
        <v>166</v>
      </c>
      <c r="T2731" s="509"/>
    </row>
    <row r="2732">
      <c r="A2732" s="494" t="s">
        <v>3401</v>
      </c>
      <c r="B2732" s="505" t="s">
        <v>3610</v>
      </c>
      <c r="C2732" s="174" t="str">
        <f t="shared" si="400"/>
        <v>MSI</v>
      </c>
      <c r="D2732" s="452" t="s">
        <v>4494</v>
      </c>
      <c r="E2732" s="507">
        <v>307.0</v>
      </c>
      <c r="F2732" s="507">
        <v>125.0</v>
      </c>
      <c r="G2732" s="507">
        <v>46.0</v>
      </c>
      <c r="H2732" s="260">
        <v>2.0</v>
      </c>
      <c r="I2732" s="260">
        <v>2550.0</v>
      </c>
      <c r="J2732" s="518">
        <v>18.0</v>
      </c>
      <c r="K2732" s="507">
        <v>160.0</v>
      </c>
      <c r="L2732" s="266">
        <v>8.0</v>
      </c>
      <c r="M2732" s="507">
        <v>3.0</v>
      </c>
      <c r="N2732" s="507">
        <v>3.0</v>
      </c>
      <c r="O2732" s="507">
        <v>1.0</v>
      </c>
      <c r="P2732" s="266" t="s">
        <v>166</v>
      </c>
      <c r="Q2732" s="266" t="s">
        <v>166</v>
      </c>
      <c r="R2732" s="266" t="s">
        <v>166</v>
      </c>
      <c r="S2732" s="266" t="s">
        <v>166</v>
      </c>
      <c r="T2732" s="509"/>
    </row>
    <row r="2733">
      <c r="A2733" s="494" t="s">
        <v>3401</v>
      </c>
      <c r="B2733" s="505" t="s">
        <v>3610</v>
      </c>
      <c r="C2733" s="174" t="str">
        <f t="shared" si="400"/>
        <v>MSI</v>
      </c>
      <c r="D2733" s="452" t="s">
        <v>4495</v>
      </c>
      <c r="E2733" s="507">
        <v>307.0</v>
      </c>
      <c r="F2733" s="507">
        <v>125.0</v>
      </c>
      <c r="G2733" s="507">
        <v>46.0</v>
      </c>
      <c r="H2733" s="260">
        <v>2.0</v>
      </c>
      <c r="I2733" s="260">
        <v>2550.0</v>
      </c>
      <c r="J2733" s="518">
        <v>18.0</v>
      </c>
      <c r="K2733" s="507">
        <v>160.0</v>
      </c>
      <c r="L2733" s="266">
        <v>8.0</v>
      </c>
      <c r="M2733" s="507">
        <v>3.0</v>
      </c>
      <c r="N2733" s="507">
        <v>3.0</v>
      </c>
      <c r="O2733" s="507">
        <v>1.0</v>
      </c>
      <c r="P2733" s="266" t="s">
        <v>166</v>
      </c>
      <c r="Q2733" s="266" t="s">
        <v>166</v>
      </c>
      <c r="R2733" s="266" t="s">
        <v>166</v>
      </c>
      <c r="S2733" s="266" t="s">
        <v>166</v>
      </c>
      <c r="T2733" s="509"/>
    </row>
    <row r="2734">
      <c r="A2734" s="494" t="s">
        <v>3401</v>
      </c>
      <c r="B2734" s="505" t="s">
        <v>3610</v>
      </c>
      <c r="C2734" s="174" t="str">
        <f t="shared" si="400"/>
        <v>MSI</v>
      </c>
      <c r="D2734" s="452" t="s">
        <v>4496</v>
      </c>
      <c r="E2734" s="507">
        <v>307.0</v>
      </c>
      <c r="F2734" s="507">
        <v>125.0</v>
      </c>
      <c r="G2734" s="507">
        <v>46.0</v>
      </c>
      <c r="H2734" s="260">
        <v>2.0</v>
      </c>
      <c r="I2734" s="260">
        <v>2685.0</v>
      </c>
      <c r="J2734" s="518">
        <v>18.0</v>
      </c>
      <c r="K2734" s="507">
        <v>160.0</v>
      </c>
      <c r="L2734" s="266">
        <v>8.0</v>
      </c>
      <c r="M2734" s="507">
        <v>3.0</v>
      </c>
      <c r="N2734" s="507">
        <v>3.0</v>
      </c>
      <c r="O2734" s="507">
        <v>1.0</v>
      </c>
      <c r="P2734" s="266" t="s">
        <v>166</v>
      </c>
      <c r="Q2734" s="266" t="s">
        <v>166</v>
      </c>
      <c r="R2734" s="266" t="s">
        <v>166</v>
      </c>
      <c r="S2734" s="266" t="s">
        <v>166</v>
      </c>
      <c r="T2734" s="509"/>
    </row>
    <row r="2735">
      <c r="A2735" s="494" t="s">
        <v>3401</v>
      </c>
      <c r="B2735" s="505" t="s">
        <v>3610</v>
      </c>
      <c r="C2735" s="174" t="str">
        <f t="shared" si="400"/>
        <v>MSI</v>
      </c>
      <c r="D2735" s="452" t="s">
        <v>4497</v>
      </c>
      <c r="E2735" s="507">
        <v>307.0</v>
      </c>
      <c r="F2735" s="507">
        <v>125.0</v>
      </c>
      <c r="G2735" s="507">
        <v>46.0</v>
      </c>
      <c r="H2735" s="260">
        <v>2.0</v>
      </c>
      <c r="I2735" s="260">
        <v>2685.0</v>
      </c>
      <c r="J2735" s="518">
        <v>18.0</v>
      </c>
      <c r="K2735" s="507">
        <v>160.0</v>
      </c>
      <c r="L2735" s="266">
        <v>8.0</v>
      </c>
      <c r="M2735" s="507">
        <v>3.0</v>
      </c>
      <c r="N2735" s="507">
        <v>3.0</v>
      </c>
      <c r="O2735" s="507">
        <v>1.0</v>
      </c>
      <c r="P2735" s="266" t="s">
        <v>166</v>
      </c>
      <c r="Q2735" s="266" t="s">
        <v>166</v>
      </c>
      <c r="R2735" s="266" t="s">
        <v>166</v>
      </c>
      <c r="S2735" s="266" t="s">
        <v>166</v>
      </c>
      <c r="T2735" s="509"/>
    </row>
    <row r="2736">
      <c r="A2736" s="494" t="s">
        <v>3401</v>
      </c>
      <c r="B2736" s="505" t="s">
        <v>3610</v>
      </c>
      <c r="C2736" s="174" t="str">
        <f t="shared" si="400"/>
        <v>MSI</v>
      </c>
      <c r="D2736" s="452" t="s">
        <v>3720</v>
      </c>
      <c r="E2736" s="507">
        <v>338.0</v>
      </c>
      <c r="F2736" s="507">
        <v>141.0</v>
      </c>
      <c r="G2736" s="507">
        <v>52.0</v>
      </c>
      <c r="H2736" s="260">
        <v>2.0</v>
      </c>
      <c r="I2736" s="260">
        <v>2550.0</v>
      </c>
      <c r="J2736" s="518">
        <v>18.0</v>
      </c>
      <c r="K2736" s="507">
        <v>160.0</v>
      </c>
      <c r="L2736" s="266">
        <v>8.0</v>
      </c>
      <c r="M2736" s="507">
        <v>3.0</v>
      </c>
      <c r="N2736" s="507">
        <v>3.0</v>
      </c>
      <c r="O2736" s="507">
        <v>1.0</v>
      </c>
      <c r="P2736" s="266" t="s">
        <v>166</v>
      </c>
      <c r="Q2736" s="266" t="s">
        <v>166</v>
      </c>
      <c r="R2736" s="266" t="s">
        <v>166</v>
      </c>
      <c r="S2736" s="266" t="s">
        <v>166</v>
      </c>
      <c r="T2736" s="509"/>
    </row>
    <row r="2737">
      <c r="A2737" s="494" t="s">
        <v>3401</v>
      </c>
      <c r="B2737" s="505" t="s">
        <v>3610</v>
      </c>
      <c r="C2737" s="174" t="str">
        <f t="shared" si="400"/>
        <v>MSI</v>
      </c>
      <c r="D2737" s="452" t="s">
        <v>3721</v>
      </c>
      <c r="E2737" s="507">
        <v>338.0</v>
      </c>
      <c r="F2737" s="507">
        <v>141.0</v>
      </c>
      <c r="G2737" s="507">
        <v>52.0</v>
      </c>
      <c r="H2737" s="260">
        <v>2.0</v>
      </c>
      <c r="I2737" s="260">
        <v>2685.0</v>
      </c>
      <c r="J2737" s="518">
        <v>18.0</v>
      </c>
      <c r="K2737" s="507">
        <v>160.0</v>
      </c>
      <c r="L2737" s="266">
        <v>8.0</v>
      </c>
      <c r="M2737" s="507">
        <v>3.0</v>
      </c>
      <c r="N2737" s="507">
        <v>3.0</v>
      </c>
      <c r="O2737" s="507">
        <v>1.0</v>
      </c>
      <c r="P2737" s="266" t="s">
        <v>166</v>
      </c>
      <c r="Q2737" s="266" t="s">
        <v>166</v>
      </c>
      <c r="R2737" s="266" t="s">
        <v>166</v>
      </c>
      <c r="S2737" s="266" t="s">
        <v>166</v>
      </c>
      <c r="T2737" s="509"/>
    </row>
    <row r="2738">
      <c r="A2738" s="494" t="s">
        <v>3401</v>
      </c>
      <c r="B2738" s="505" t="s">
        <v>3610</v>
      </c>
      <c r="C2738" s="452" t="str">
        <f>HYPERLINK("https://www.nvidia.com/en-us/","Nvidia")</f>
        <v>Nvidia</v>
      </c>
      <c r="D2738" s="452" t="s">
        <v>3812</v>
      </c>
      <c r="E2738" s="507">
        <v>244.0</v>
      </c>
      <c r="F2738" s="507">
        <v>112.0</v>
      </c>
      <c r="G2738" s="507">
        <v>40.0</v>
      </c>
      <c r="H2738" s="260">
        <v>2.0</v>
      </c>
      <c r="I2738" s="260">
        <v>2535.0</v>
      </c>
      <c r="J2738" s="518">
        <v>18.0</v>
      </c>
      <c r="K2738" s="507">
        <v>160.0</v>
      </c>
      <c r="L2738" s="266" t="s">
        <v>3619</v>
      </c>
      <c r="M2738" s="507">
        <v>2.0</v>
      </c>
      <c r="N2738" s="507">
        <v>3.0</v>
      </c>
      <c r="O2738" s="507">
        <v>1.0</v>
      </c>
      <c r="P2738" s="266" t="s">
        <v>166</v>
      </c>
      <c r="Q2738" s="266" t="s">
        <v>166</v>
      </c>
      <c r="R2738" s="266" t="s">
        <v>166</v>
      </c>
      <c r="S2738" s="266" t="s">
        <v>166</v>
      </c>
      <c r="T2738" s="509"/>
    </row>
    <row r="2739">
      <c r="A2739" s="494" t="s">
        <v>3401</v>
      </c>
      <c r="B2739" s="505" t="s">
        <v>3610</v>
      </c>
      <c r="C2739" s="452" t="str">
        <f t="shared" ref="C2739:C2741" si="401">HYPERLINK("http://www.palit.com/palit/index.php?lang=en","Palit")</f>
        <v>Palit</v>
      </c>
      <c r="D2739" s="452" t="s">
        <v>3372</v>
      </c>
      <c r="E2739" s="507">
        <v>249.9</v>
      </c>
      <c r="F2739" s="507">
        <v>123.5</v>
      </c>
      <c r="G2739" s="507">
        <v>40.1</v>
      </c>
      <c r="H2739" s="260">
        <v>2.0</v>
      </c>
      <c r="I2739" s="260">
        <v>2535.0</v>
      </c>
      <c r="J2739" s="518">
        <v>18.0</v>
      </c>
      <c r="K2739" s="507">
        <v>160.0</v>
      </c>
      <c r="L2739" s="266">
        <v>8.0</v>
      </c>
      <c r="M2739" s="507">
        <v>2.0</v>
      </c>
      <c r="N2739" s="507">
        <v>3.0</v>
      </c>
      <c r="O2739" s="507">
        <v>1.0</v>
      </c>
      <c r="P2739" s="266" t="s">
        <v>166</v>
      </c>
      <c r="Q2739" s="266" t="s">
        <v>166</v>
      </c>
      <c r="R2739" s="266" t="s">
        <v>166</v>
      </c>
      <c r="S2739" s="266" t="s">
        <v>166</v>
      </c>
      <c r="T2739" s="509"/>
    </row>
    <row r="2740">
      <c r="A2740" s="494" t="s">
        <v>3401</v>
      </c>
      <c r="B2740" s="505" t="s">
        <v>3610</v>
      </c>
      <c r="C2740" s="452" t="str">
        <f t="shared" si="401"/>
        <v>Palit</v>
      </c>
      <c r="D2740" s="452" t="s">
        <v>3381</v>
      </c>
      <c r="E2740" s="507">
        <v>249.9</v>
      </c>
      <c r="F2740" s="507">
        <v>123.5</v>
      </c>
      <c r="G2740" s="507">
        <v>40.1</v>
      </c>
      <c r="H2740" s="260">
        <v>2.0</v>
      </c>
      <c r="I2740" s="260">
        <v>2685.0</v>
      </c>
      <c r="J2740" s="518">
        <v>18.0</v>
      </c>
      <c r="K2740" s="507">
        <v>160.0</v>
      </c>
      <c r="L2740" s="266">
        <v>8.0</v>
      </c>
      <c r="M2740" s="507">
        <v>2.0</v>
      </c>
      <c r="N2740" s="507">
        <v>3.0</v>
      </c>
      <c r="O2740" s="507">
        <v>1.0</v>
      </c>
      <c r="P2740" s="266" t="s">
        <v>166</v>
      </c>
      <c r="Q2740" s="266" t="s">
        <v>166</v>
      </c>
      <c r="R2740" s="266" t="s">
        <v>166</v>
      </c>
      <c r="S2740" s="266" t="s">
        <v>166</v>
      </c>
      <c r="T2740" s="509"/>
    </row>
    <row r="2741">
      <c r="A2741" s="494" t="s">
        <v>3401</v>
      </c>
      <c r="B2741" s="505" t="s">
        <v>3610</v>
      </c>
      <c r="C2741" s="452" t="str">
        <f t="shared" si="401"/>
        <v>Palit</v>
      </c>
      <c r="D2741" s="452" t="s">
        <v>4498</v>
      </c>
      <c r="E2741" s="507">
        <v>269.1</v>
      </c>
      <c r="F2741" s="507">
        <v>127.0</v>
      </c>
      <c r="G2741" s="507">
        <v>40.1</v>
      </c>
      <c r="H2741" s="260">
        <v>2.0</v>
      </c>
      <c r="I2741" s="260">
        <v>2535.0</v>
      </c>
      <c r="J2741" s="518">
        <v>18.0</v>
      </c>
      <c r="K2741" s="507">
        <v>165.0</v>
      </c>
      <c r="L2741" s="266">
        <v>8.0</v>
      </c>
      <c r="M2741" s="507">
        <v>2.0</v>
      </c>
      <c r="N2741" s="507">
        <v>3.0</v>
      </c>
      <c r="O2741" s="507">
        <v>1.0</v>
      </c>
      <c r="P2741" s="266" t="s">
        <v>166</v>
      </c>
      <c r="Q2741" s="266" t="s">
        <v>166</v>
      </c>
      <c r="R2741" s="266" t="s">
        <v>166</v>
      </c>
      <c r="S2741" s="266" t="s">
        <v>166</v>
      </c>
      <c r="T2741" s="509"/>
    </row>
    <row r="2742">
      <c r="A2742" s="494" t="s">
        <v>3401</v>
      </c>
      <c r="B2742" s="505" t="s">
        <v>3610</v>
      </c>
      <c r="C2742" s="452" t="str">
        <f t="shared" ref="C2742:C2744" si="402">HYPERLINK("https://pny.com/","PNY")</f>
        <v>PNY</v>
      </c>
      <c r="D2742" s="452" t="s">
        <v>3607</v>
      </c>
      <c r="E2742" s="507">
        <v>245.11</v>
      </c>
      <c r="F2742" s="507">
        <v>112.52</v>
      </c>
      <c r="G2742" s="507">
        <v>39.88</v>
      </c>
      <c r="H2742" s="260">
        <v>2.0</v>
      </c>
      <c r="I2742" s="260">
        <v>2535.0</v>
      </c>
      <c r="J2742" s="518">
        <v>18.0</v>
      </c>
      <c r="K2742" s="507">
        <v>160.0</v>
      </c>
      <c r="L2742" s="266">
        <v>8.0</v>
      </c>
      <c r="M2742" s="507">
        <v>2.0</v>
      </c>
      <c r="N2742" s="507">
        <v>3.0</v>
      </c>
      <c r="O2742" s="507">
        <v>1.0</v>
      </c>
      <c r="P2742" s="266" t="s">
        <v>166</v>
      </c>
      <c r="Q2742" s="266" t="s">
        <v>166</v>
      </c>
      <c r="R2742" s="266" t="s">
        <v>166</v>
      </c>
      <c r="S2742" s="266" t="s">
        <v>166</v>
      </c>
      <c r="T2742" s="509"/>
    </row>
    <row r="2743">
      <c r="A2743" s="494" t="s">
        <v>3401</v>
      </c>
      <c r="B2743" s="505" t="s">
        <v>3610</v>
      </c>
      <c r="C2743" s="452" t="str">
        <f t="shared" si="402"/>
        <v>PNY</v>
      </c>
      <c r="D2743" s="452" t="s">
        <v>4471</v>
      </c>
      <c r="E2743" s="507">
        <v>305.05</v>
      </c>
      <c r="F2743" s="507">
        <v>118.62</v>
      </c>
      <c r="G2743" s="507">
        <v>39.88</v>
      </c>
      <c r="H2743" s="260">
        <v>2.0</v>
      </c>
      <c r="I2743" s="260">
        <v>2535.0</v>
      </c>
      <c r="J2743" s="518">
        <v>18.0</v>
      </c>
      <c r="K2743" s="507">
        <v>160.0</v>
      </c>
      <c r="L2743" s="266">
        <v>8.0</v>
      </c>
      <c r="M2743" s="507">
        <v>3.0</v>
      </c>
      <c r="N2743" s="507">
        <v>3.0</v>
      </c>
      <c r="O2743" s="507">
        <v>1.0</v>
      </c>
      <c r="P2743" s="266" t="s">
        <v>166</v>
      </c>
      <c r="Q2743" s="266" t="s">
        <v>166</v>
      </c>
      <c r="R2743" s="266" t="s">
        <v>166</v>
      </c>
      <c r="S2743" s="266" t="s">
        <v>166</v>
      </c>
      <c r="T2743" s="509"/>
    </row>
    <row r="2744">
      <c r="A2744" s="494" t="s">
        <v>3401</v>
      </c>
      <c r="B2744" s="505" t="s">
        <v>3610</v>
      </c>
      <c r="C2744" s="452" t="str">
        <f t="shared" si="402"/>
        <v>PNY</v>
      </c>
      <c r="D2744" s="452" t="s">
        <v>4472</v>
      </c>
      <c r="E2744" s="507">
        <v>305.05</v>
      </c>
      <c r="F2744" s="507">
        <v>118.62</v>
      </c>
      <c r="G2744" s="507">
        <v>39.88</v>
      </c>
      <c r="H2744" s="260">
        <v>2.0</v>
      </c>
      <c r="I2744" s="260">
        <v>2580.0</v>
      </c>
      <c r="J2744" s="518">
        <v>18.0</v>
      </c>
      <c r="K2744" s="507">
        <v>160.0</v>
      </c>
      <c r="L2744" s="266">
        <v>8.0</v>
      </c>
      <c r="M2744" s="507">
        <v>3.0</v>
      </c>
      <c r="N2744" s="507">
        <v>3.0</v>
      </c>
      <c r="O2744" s="507">
        <v>1.0</v>
      </c>
      <c r="P2744" s="266" t="s">
        <v>166</v>
      </c>
      <c r="Q2744" s="266" t="s">
        <v>166</v>
      </c>
      <c r="R2744" s="266" t="s">
        <v>166</v>
      </c>
      <c r="S2744" s="266" t="s">
        <v>166</v>
      </c>
      <c r="T2744" s="509"/>
    </row>
    <row r="2745">
      <c r="A2745" s="494" t="s">
        <v>3401</v>
      </c>
      <c r="B2745" s="505" t="s">
        <v>3610</v>
      </c>
      <c r="C2745" s="452" t="s">
        <v>3378</v>
      </c>
      <c r="D2745" s="544" t="s">
        <v>4499</v>
      </c>
      <c r="E2745" s="507">
        <v>236.0</v>
      </c>
      <c r="F2745" s="507">
        <v>112.0</v>
      </c>
      <c r="G2745" s="507">
        <v>40.0</v>
      </c>
      <c r="H2745" s="260">
        <v>2.0</v>
      </c>
      <c r="I2745" s="260">
        <v>2535.0</v>
      </c>
      <c r="J2745" s="518">
        <v>18.0</v>
      </c>
      <c r="K2745" s="507">
        <v>160.0</v>
      </c>
      <c r="L2745" s="266">
        <v>8.0</v>
      </c>
      <c r="M2745" s="507">
        <v>2.0</v>
      </c>
      <c r="N2745" s="507">
        <v>3.0</v>
      </c>
      <c r="O2745" s="507">
        <v>1.0</v>
      </c>
      <c r="P2745" s="266" t="s">
        <v>166</v>
      </c>
      <c r="Q2745" s="266" t="s">
        <v>166</v>
      </c>
      <c r="R2745" s="266" t="s">
        <v>166</v>
      </c>
      <c r="S2745" s="266" t="s">
        <v>166</v>
      </c>
      <c r="T2745" s="509"/>
    </row>
    <row r="2746">
      <c r="A2746" s="494" t="s">
        <v>3401</v>
      </c>
      <c r="B2746" s="505" t="s">
        <v>3610</v>
      </c>
      <c r="C2746" s="452" t="s">
        <v>3378</v>
      </c>
      <c r="D2746" s="544" t="s">
        <v>4474</v>
      </c>
      <c r="E2746" s="507">
        <v>248.0</v>
      </c>
      <c r="F2746" s="507">
        <v>128.0</v>
      </c>
      <c r="G2746" s="507">
        <v>40.0</v>
      </c>
      <c r="H2746" s="260">
        <v>2.0</v>
      </c>
      <c r="I2746" s="260">
        <v>2535.0</v>
      </c>
      <c r="J2746" s="518">
        <v>18.0</v>
      </c>
      <c r="K2746" s="507">
        <v>160.0</v>
      </c>
      <c r="L2746" s="266">
        <v>8.0</v>
      </c>
      <c r="M2746" s="507">
        <v>2.0</v>
      </c>
      <c r="N2746" s="507">
        <v>3.0</v>
      </c>
      <c r="O2746" s="507">
        <v>1.0</v>
      </c>
      <c r="P2746" s="266" t="s">
        <v>166</v>
      </c>
      <c r="Q2746" s="266" t="s">
        <v>166</v>
      </c>
      <c r="R2746" s="266" t="s">
        <v>166</v>
      </c>
      <c r="S2746" s="266" t="s">
        <v>166</v>
      </c>
      <c r="T2746" s="509"/>
    </row>
    <row r="2747">
      <c r="A2747" s="494" t="s">
        <v>3401</v>
      </c>
      <c r="B2747" s="505" t="s">
        <v>3610</v>
      </c>
      <c r="C2747" s="452" t="s">
        <v>3378</v>
      </c>
      <c r="D2747" s="544" t="s">
        <v>3385</v>
      </c>
      <c r="E2747" s="507">
        <v>254.0</v>
      </c>
      <c r="F2747" s="507">
        <v>123.0</v>
      </c>
      <c r="G2747" s="507">
        <v>55.0</v>
      </c>
      <c r="H2747" s="260">
        <v>2.0</v>
      </c>
      <c r="I2747" s="260">
        <v>2535.0</v>
      </c>
      <c r="J2747" s="518">
        <v>18.0</v>
      </c>
      <c r="K2747" s="507">
        <v>160.0</v>
      </c>
      <c r="L2747" s="266">
        <v>8.0</v>
      </c>
      <c r="M2747" s="507">
        <v>2.0</v>
      </c>
      <c r="N2747" s="507">
        <v>3.0</v>
      </c>
      <c r="O2747" s="507">
        <v>1.0</v>
      </c>
      <c r="P2747" s="266" t="s">
        <v>166</v>
      </c>
      <c r="Q2747" s="266" t="s">
        <v>166</v>
      </c>
      <c r="R2747" s="266" t="s">
        <v>166</v>
      </c>
      <c r="S2747" s="266" t="s">
        <v>166</v>
      </c>
      <c r="T2747" s="509"/>
    </row>
    <row r="2748">
      <c r="A2748" s="494" t="s">
        <v>3401</v>
      </c>
      <c r="B2748" s="505" t="s">
        <v>3610</v>
      </c>
      <c r="C2748" s="452" t="s">
        <v>3378</v>
      </c>
      <c r="D2748" s="544" t="s">
        <v>3768</v>
      </c>
      <c r="E2748" s="507">
        <v>299.0</v>
      </c>
      <c r="F2748" s="507">
        <v>131.0</v>
      </c>
      <c r="G2748" s="507">
        <v>54.0</v>
      </c>
      <c r="H2748" s="260">
        <v>2.0</v>
      </c>
      <c r="I2748" s="260">
        <v>2535.0</v>
      </c>
      <c r="J2748" s="518">
        <v>18.0</v>
      </c>
      <c r="K2748" s="507">
        <v>160.0</v>
      </c>
      <c r="L2748" s="266">
        <v>8.0</v>
      </c>
      <c r="M2748" s="507">
        <v>3.0</v>
      </c>
      <c r="N2748" s="507">
        <v>3.0</v>
      </c>
      <c r="O2748" s="507">
        <v>1.0</v>
      </c>
      <c r="P2748" s="266" t="s">
        <v>166</v>
      </c>
      <c r="Q2748" s="266" t="s">
        <v>166</v>
      </c>
      <c r="R2748" s="266" t="s">
        <v>166</v>
      </c>
      <c r="S2748" s="266" t="s">
        <v>166</v>
      </c>
      <c r="T2748" s="509"/>
    </row>
    <row r="2749">
      <c r="A2749" s="494" t="s">
        <v>3401</v>
      </c>
      <c r="B2749" s="505" t="s">
        <v>3610</v>
      </c>
      <c r="C2749" s="452" t="s">
        <v>3440</v>
      </c>
      <c r="D2749" s="544" t="s">
        <v>4477</v>
      </c>
      <c r="E2749" s="507">
        <v>303.0</v>
      </c>
      <c r="F2749" s="507">
        <v>121.0</v>
      </c>
      <c r="G2749" s="507">
        <v>45.0</v>
      </c>
      <c r="H2749" s="260">
        <v>2.0</v>
      </c>
      <c r="I2749" s="260">
        <v>2610.0</v>
      </c>
      <c r="J2749" s="518">
        <v>18.0</v>
      </c>
      <c r="K2749" s="507">
        <v>160.0</v>
      </c>
      <c r="L2749" s="266">
        <v>8.0</v>
      </c>
      <c r="M2749" s="507">
        <v>3.0</v>
      </c>
      <c r="N2749" s="507">
        <v>3.0</v>
      </c>
      <c r="O2749" s="507">
        <v>1.0</v>
      </c>
      <c r="P2749" s="266" t="s">
        <v>166</v>
      </c>
      <c r="Q2749" s="266" t="s">
        <v>166</v>
      </c>
      <c r="R2749" s="266" t="s">
        <v>166</v>
      </c>
      <c r="S2749" s="266" t="s">
        <v>166</v>
      </c>
      <c r="T2749" s="509"/>
    </row>
    <row r="2750">
      <c r="A2750" s="494" t="s">
        <v>3401</v>
      </c>
      <c r="B2750" s="505" t="s">
        <v>3610</v>
      </c>
      <c r="C2750" s="452" t="s">
        <v>3440</v>
      </c>
      <c r="D2750" s="452" t="s">
        <v>4085</v>
      </c>
      <c r="E2750" s="507">
        <v>225.5</v>
      </c>
      <c r="F2750" s="507">
        <v>123.2</v>
      </c>
      <c r="G2750" s="507">
        <v>44.0</v>
      </c>
      <c r="H2750" s="260">
        <v>2.0</v>
      </c>
      <c r="I2750" s="260">
        <v>2535.0</v>
      </c>
      <c r="J2750" s="518">
        <v>18.0</v>
      </c>
      <c r="K2750" s="507">
        <v>160.0</v>
      </c>
      <c r="L2750" s="266">
        <v>8.0</v>
      </c>
      <c r="M2750" s="507">
        <v>2.0</v>
      </c>
      <c r="N2750" s="507">
        <v>3.0</v>
      </c>
      <c r="O2750" s="507">
        <v>1.0</v>
      </c>
      <c r="P2750" s="266" t="s">
        <v>166</v>
      </c>
      <c r="Q2750" s="266" t="s">
        <v>166</v>
      </c>
      <c r="R2750" s="266" t="s">
        <v>166</v>
      </c>
      <c r="S2750" s="266" t="s">
        <v>166</v>
      </c>
      <c r="T2750" s="509"/>
    </row>
    <row r="2751">
      <c r="A2751" s="494" t="s">
        <v>3401</v>
      </c>
      <c r="B2751" s="505" t="s">
        <v>3610</v>
      </c>
      <c r="C2751" s="452" t="s">
        <v>3440</v>
      </c>
      <c r="D2751" s="544" t="s">
        <v>4478</v>
      </c>
      <c r="E2751" s="507">
        <v>225.5</v>
      </c>
      <c r="F2751" s="507">
        <v>123.2</v>
      </c>
      <c r="G2751" s="507">
        <v>44.0</v>
      </c>
      <c r="H2751" s="260">
        <v>2.0</v>
      </c>
      <c r="I2751" s="260">
        <v>2550.0</v>
      </c>
      <c r="J2751" s="518">
        <v>18.0</v>
      </c>
      <c r="K2751" s="507">
        <v>160.0</v>
      </c>
      <c r="L2751" s="266">
        <v>8.0</v>
      </c>
      <c r="M2751" s="507">
        <v>2.0</v>
      </c>
      <c r="N2751" s="507">
        <v>3.0</v>
      </c>
      <c r="O2751" s="507">
        <v>1.0</v>
      </c>
      <c r="P2751" s="266" t="s">
        <v>166</v>
      </c>
      <c r="Q2751" s="266" t="s">
        <v>166</v>
      </c>
      <c r="R2751" s="266" t="s">
        <v>166</v>
      </c>
      <c r="S2751" s="266" t="s">
        <v>166</v>
      </c>
      <c r="T2751" s="509"/>
    </row>
    <row r="2752">
      <c r="A2752" s="498" t="s">
        <v>3401</v>
      </c>
      <c r="B2752" s="539" t="s">
        <v>3610</v>
      </c>
      <c r="C2752" s="500" t="s">
        <v>3440</v>
      </c>
      <c r="D2752" s="500" t="s">
        <v>4333</v>
      </c>
      <c r="E2752" s="519">
        <v>225.5</v>
      </c>
      <c r="F2752" s="519">
        <v>123.2</v>
      </c>
      <c r="G2752" s="519">
        <v>44.0</v>
      </c>
      <c r="H2752" s="393">
        <v>2.0</v>
      </c>
      <c r="I2752" s="393">
        <v>2565.0</v>
      </c>
      <c r="J2752" s="651">
        <v>18.0</v>
      </c>
      <c r="K2752" s="519">
        <v>160.0</v>
      </c>
      <c r="L2752" s="501">
        <v>8.0</v>
      </c>
      <c r="M2752" s="519">
        <v>2.0</v>
      </c>
      <c r="N2752" s="519">
        <v>3.0</v>
      </c>
      <c r="O2752" s="519">
        <v>1.0</v>
      </c>
      <c r="P2752" s="501" t="s">
        <v>166</v>
      </c>
      <c r="Q2752" s="501" t="s">
        <v>166</v>
      </c>
      <c r="R2752" s="501" t="s">
        <v>166</v>
      </c>
      <c r="S2752" s="501" t="s">
        <v>166</v>
      </c>
      <c r="T2752" s="541"/>
    </row>
    <row r="2753">
      <c r="A2753" s="494" t="s">
        <v>3401</v>
      </c>
      <c r="B2753" s="505" t="s">
        <v>3614</v>
      </c>
      <c r="C2753" s="282" t="str">
        <f t="shared" ref="C2753:C2763" si="403">HYPERLINK("https://www.asus.com/","Asus")</f>
        <v>Asus</v>
      </c>
      <c r="D2753" s="452" t="s">
        <v>3372</v>
      </c>
      <c r="E2753" s="507">
        <v>227.2</v>
      </c>
      <c r="F2753" s="507">
        <v>123.24</v>
      </c>
      <c r="G2753" s="507">
        <v>49.6</v>
      </c>
      <c r="H2753" s="260">
        <v>2.0</v>
      </c>
      <c r="I2753" s="260">
        <v>2565.0</v>
      </c>
      <c r="J2753" s="518">
        <v>18.0</v>
      </c>
      <c r="K2753" s="507">
        <v>165.0</v>
      </c>
      <c r="L2753" s="266">
        <v>8.0</v>
      </c>
      <c r="M2753" s="507">
        <v>2.0</v>
      </c>
      <c r="N2753" s="507">
        <v>3.0</v>
      </c>
      <c r="O2753" s="507">
        <v>1.0</v>
      </c>
      <c r="P2753" s="266" t="s">
        <v>166</v>
      </c>
      <c r="Q2753" s="266" t="s">
        <v>166</v>
      </c>
      <c r="R2753" s="266" t="s">
        <v>166</v>
      </c>
      <c r="S2753" s="266" t="s">
        <v>166</v>
      </c>
      <c r="T2753" s="509"/>
    </row>
    <row r="2754">
      <c r="A2754" s="494" t="s">
        <v>3401</v>
      </c>
      <c r="B2754" s="505" t="s">
        <v>3614</v>
      </c>
      <c r="C2754" s="282" t="str">
        <f t="shared" si="403"/>
        <v>Asus</v>
      </c>
      <c r="D2754" s="452" t="s">
        <v>3909</v>
      </c>
      <c r="E2754" s="507">
        <v>227.2</v>
      </c>
      <c r="F2754" s="507">
        <v>123.24</v>
      </c>
      <c r="G2754" s="507">
        <v>49.6</v>
      </c>
      <c r="H2754" s="260">
        <v>2.0</v>
      </c>
      <c r="I2754" s="260">
        <v>2580.0</v>
      </c>
      <c r="J2754" s="518">
        <v>18.0</v>
      </c>
      <c r="K2754" s="507">
        <v>165.0</v>
      </c>
      <c r="L2754" s="266">
        <v>8.0</v>
      </c>
      <c r="M2754" s="507">
        <v>2.0</v>
      </c>
      <c r="N2754" s="507">
        <v>3.0</v>
      </c>
      <c r="O2754" s="507">
        <v>1.0</v>
      </c>
      <c r="P2754" s="266" t="s">
        <v>166</v>
      </c>
      <c r="Q2754" s="266" t="s">
        <v>166</v>
      </c>
      <c r="R2754" s="266" t="s">
        <v>166</v>
      </c>
      <c r="S2754" s="266" t="s">
        <v>166</v>
      </c>
      <c r="T2754" s="509"/>
    </row>
    <row r="2755">
      <c r="A2755" s="494" t="s">
        <v>3401</v>
      </c>
      <c r="B2755" s="505" t="s">
        <v>3614</v>
      </c>
      <c r="C2755" s="282" t="str">
        <f t="shared" si="403"/>
        <v>Asus</v>
      </c>
      <c r="D2755" s="452" t="s">
        <v>3381</v>
      </c>
      <c r="E2755" s="507">
        <v>227.2</v>
      </c>
      <c r="F2755" s="507">
        <v>123.24</v>
      </c>
      <c r="G2755" s="507">
        <v>49.6</v>
      </c>
      <c r="H2755" s="260">
        <v>2.0</v>
      </c>
      <c r="I2755" s="260">
        <v>2625.0</v>
      </c>
      <c r="J2755" s="518">
        <v>18.0</v>
      </c>
      <c r="K2755" s="507">
        <v>165.0</v>
      </c>
      <c r="L2755" s="266">
        <v>8.0</v>
      </c>
      <c r="M2755" s="507">
        <v>2.0</v>
      </c>
      <c r="N2755" s="507">
        <v>3.0</v>
      </c>
      <c r="O2755" s="507">
        <v>1.0</v>
      </c>
      <c r="P2755" s="266" t="s">
        <v>166</v>
      </c>
      <c r="Q2755" s="266" t="s">
        <v>166</v>
      </c>
      <c r="R2755" s="266" t="s">
        <v>166</v>
      </c>
      <c r="S2755" s="266" t="s">
        <v>166</v>
      </c>
      <c r="T2755" s="509"/>
    </row>
    <row r="2756">
      <c r="A2756" s="494" t="s">
        <v>3401</v>
      </c>
      <c r="B2756" s="505" t="s">
        <v>3614</v>
      </c>
      <c r="C2756" s="282" t="str">
        <f t="shared" si="403"/>
        <v>Asus</v>
      </c>
      <c r="D2756" s="452" t="s">
        <v>3629</v>
      </c>
      <c r="E2756" s="507">
        <v>227.2</v>
      </c>
      <c r="F2756" s="507">
        <v>123.24</v>
      </c>
      <c r="G2756" s="507">
        <v>49.6</v>
      </c>
      <c r="H2756" s="260">
        <v>2.0</v>
      </c>
      <c r="I2756" s="260">
        <v>2565.0</v>
      </c>
      <c r="J2756" s="518">
        <v>18.0</v>
      </c>
      <c r="K2756" s="507">
        <v>165.0</v>
      </c>
      <c r="L2756" s="266">
        <v>8.0</v>
      </c>
      <c r="M2756" s="507">
        <v>2.0</v>
      </c>
      <c r="N2756" s="507">
        <v>3.0</v>
      </c>
      <c r="O2756" s="507">
        <v>1.0</v>
      </c>
      <c r="P2756" s="266" t="s">
        <v>166</v>
      </c>
      <c r="Q2756" s="266" t="s">
        <v>166</v>
      </c>
      <c r="R2756" s="266" t="s">
        <v>166</v>
      </c>
      <c r="S2756" s="266" t="s">
        <v>166</v>
      </c>
      <c r="T2756" s="509"/>
    </row>
    <row r="2757">
      <c r="A2757" s="494" t="s">
        <v>3401</v>
      </c>
      <c r="B2757" s="505" t="s">
        <v>3614</v>
      </c>
      <c r="C2757" s="282" t="str">
        <f t="shared" si="403"/>
        <v>Asus</v>
      </c>
      <c r="D2757" s="452" t="s">
        <v>3659</v>
      </c>
      <c r="E2757" s="507">
        <v>227.2</v>
      </c>
      <c r="F2757" s="507">
        <v>123.24</v>
      </c>
      <c r="G2757" s="507">
        <v>49.6</v>
      </c>
      <c r="H2757" s="260">
        <v>2.0</v>
      </c>
      <c r="I2757" s="260">
        <v>2625.0</v>
      </c>
      <c r="J2757" s="518">
        <v>18.0</v>
      </c>
      <c r="K2757" s="507">
        <v>165.0</v>
      </c>
      <c r="L2757" s="266">
        <v>8.0</v>
      </c>
      <c r="M2757" s="507">
        <v>2.0</v>
      </c>
      <c r="N2757" s="507">
        <v>3.0</v>
      </c>
      <c r="O2757" s="507">
        <v>1.0</v>
      </c>
      <c r="P2757" s="266" t="s">
        <v>166</v>
      </c>
      <c r="Q2757" s="266" t="s">
        <v>166</v>
      </c>
      <c r="R2757" s="266" t="s">
        <v>166</v>
      </c>
      <c r="S2757" s="266" t="s">
        <v>166</v>
      </c>
      <c r="T2757" s="509"/>
    </row>
    <row r="2758">
      <c r="A2758" s="494" t="s">
        <v>3401</v>
      </c>
      <c r="B2758" s="505" t="s">
        <v>3614</v>
      </c>
      <c r="C2758" s="282" t="str">
        <f t="shared" si="403"/>
        <v>Asus</v>
      </c>
      <c r="D2758" s="452" t="s">
        <v>4451</v>
      </c>
      <c r="E2758" s="507">
        <v>300.0</v>
      </c>
      <c r="F2758" s="507">
        <v>120.0</v>
      </c>
      <c r="G2758" s="507">
        <v>50.0</v>
      </c>
      <c r="H2758" s="260">
        <v>2.0</v>
      </c>
      <c r="I2758" s="260">
        <v>2565.0</v>
      </c>
      <c r="J2758" s="518">
        <v>18.0</v>
      </c>
      <c r="K2758" s="507">
        <v>165.0</v>
      </c>
      <c r="L2758" s="266">
        <v>8.0</v>
      </c>
      <c r="M2758" s="507">
        <v>3.0</v>
      </c>
      <c r="N2758" s="507">
        <v>3.0</v>
      </c>
      <c r="O2758" s="507">
        <v>1.0</v>
      </c>
      <c r="P2758" s="266" t="s">
        <v>166</v>
      </c>
      <c r="Q2758" s="266" t="s">
        <v>166</v>
      </c>
      <c r="R2758" s="266" t="s">
        <v>166</v>
      </c>
      <c r="S2758" s="266" t="s">
        <v>166</v>
      </c>
      <c r="T2758" s="509"/>
    </row>
    <row r="2759">
      <c r="A2759" s="494" t="s">
        <v>3401</v>
      </c>
      <c r="B2759" s="505" t="s">
        <v>3614</v>
      </c>
      <c r="C2759" s="282" t="str">
        <f t="shared" si="403"/>
        <v>Asus</v>
      </c>
      <c r="D2759" s="452" t="s">
        <v>4500</v>
      </c>
      <c r="E2759" s="507">
        <v>300.0</v>
      </c>
      <c r="F2759" s="507">
        <v>120.0</v>
      </c>
      <c r="G2759" s="507">
        <v>50.0</v>
      </c>
      <c r="H2759" s="260">
        <v>2.0</v>
      </c>
      <c r="I2759" s="260">
        <v>2580.0</v>
      </c>
      <c r="J2759" s="518">
        <v>18.0</v>
      </c>
      <c r="K2759" s="507">
        <v>165.0</v>
      </c>
      <c r="L2759" s="266">
        <v>8.0</v>
      </c>
      <c r="M2759" s="507">
        <v>3.0</v>
      </c>
      <c r="N2759" s="507">
        <v>3.0</v>
      </c>
      <c r="O2759" s="507">
        <v>1.0</v>
      </c>
      <c r="P2759" s="266" t="s">
        <v>166</v>
      </c>
      <c r="Q2759" s="266" t="s">
        <v>166</v>
      </c>
      <c r="R2759" s="266" t="s">
        <v>166</v>
      </c>
      <c r="S2759" s="266" t="s">
        <v>166</v>
      </c>
      <c r="T2759" s="509"/>
    </row>
    <row r="2760">
      <c r="A2760" s="494" t="s">
        <v>3401</v>
      </c>
      <c r="B2760" s="505" t="s">
        <v>3614</v>
      </c>
      <c r="C2760" s="282" t="str">
        <f t="shared" si="403"/>
        <v>Asus</v>
      </c>
      <c r="D2760" s="452" t="s">
        <v>4452</v>
      </c>
      <c r="E2760" s="507">
        <v>300.0</v>
      </c>
      <c r="F2760" s="507">
        <v>120.0</v>
      </c>
      <c r="G2760" s="507">
        <v>50.0</v>
      </c>
      <c r="H2760" s="260">
        <v>2.0</v>
      </c>
      <c r="I2760" s="260">
        <v>2685.0</v>
      </c>
      <c r="J2760" s="518">
        <v>18.0</v>
      </c>
      <c r="K2760" s="507">
        <v>165.0</v>
      </c>
      <c r="L2760" s="266">
        <v>8.0</v>
      </c>
      <c r="M2760" s="507">
        <v>3.0</v>
      </c>
      <c r="N2760" s="507">
        <v>3.0</v>
      </c>
      <c r="O2760" s="507">
        <v>1.0</v>
      </c>
      <c r="P2760" s="266" t="s">
        <v>166</v>
      </c>
      <c r="Q2760" s="266" t="s">
        <v>166</v>
      </c>
      <c r="R2760" s="266" t="s">
        <v>166</v>
      </c>
      <c r="S2760" s="266" t="s">
        <v>166</v>
      </c>
      <c r="T2760" s="509"/>
    </row>
    <row r="2761">
      <c r="A2761" s="494" t="s">
        <v>3401</v>
      </c>
      <c r="B2761" s="505" t="s">
        <v>3614</v>
      </c>
      <c r="C2761" s="282" t="str">
        <f t="shared" si="403"/>
        <v>Asus</v>
      </c>
      <c r="D2761" s="452" t="s">
        <v>3631</v>
      </c>
      <c r="E2761" s="507">
        <v>311.4</v>
      </c>
      <c r="F2761" s="507">
        <v>133.5</v>
      </c>
      <c r="G2761" s="507">
        <v>61.9</v>
      </c>
      <c r="H2761" s="260">
        <v>2.0</v>
      </c>
      <c r="I2761" s="260">
        <v>2565.0</v>
      </c>
      <c r="J2761" s="518">
        <v>18.0</v>
      </c>
      <c r="K2761" s="507">
        <v>165.0</v>
      </c>
      <c r="L2761" s="266">
        <v>8.0</v>
      </c>
      <c r="M2761" s="507">
        <v>3.0</v>
      </c>
      <c r="N2761" s="507">
        <v>3.0</v>
      </c>
      <c r="O2761" s="507">
        <v>1.0</v>
      </c>
      <c r="P2761" s="266" t="s">
        <v>166</v>
      </c>
      <c r="Q2761" s="266" t="s">
        <v>166</v>
      </c>
      <c r="R2761" s="266" t="s">
        <v>166</v>
      </c>
      <c r="S2761" s="266" t="s">
        <v>166</v>
      </c>
      <c r="T2761" s="509"/>
    </row>
    <row r="2762">
      <c r="A2762" s="494" t="s">
        <v>3401</v>
      </c>
      <c r="B2762" s="505" t="s">
        <v>3614</v>
      </c>
      <c r="C2762" s="282" t="str">
        <f t="shared" si="403"/>
        <v>Asus</v>
      </c>
      <c r="D2762" s="452" t="s">
        <v>3642</v>
      </c>
      <c r="E2762" s="507">
        <v>311.4</v>
      </c>
      <c r="F2762" s="507">
        <v>133.5</v>
      </c>
      <c r="G2762" s="507">
        <v>61.9</v>
      </c>
      <c r="H2762" s="260">
        <v>2.0</v>
      </c>
      <c r="I2762" s="260">
        <v>2580.0</v>
      </c>
      <c r="J2762" s="518">
        <v>18.0</v>
      </c>
      <c r="K2762" s="507">
        <v>165.0</v>
      </c>
      <c r="L2762" s="266">
        <v>8.0</v>
      </c>
      <c r="M2762" s="507">
        <v>3.0</v>
      </c>
      <c r="N2762" s="507">
        <v>3.0</v>
      </c>
      <c r="O2762" s="507">
        <v>1.0</v>
      </c>
      <c r="P2762" s="266" t="s">
        <v>166</v>
      </c>
      <c r="Q2762" s="266" t="s">
        <v>166</v>
      </c>
      <c r="R2762" s="266" t="s">
        <v>166</v>
      </c>
      <c r="S2762" s="266" t="s">
        <v>166</v>
      </c>
      <c r="T2762" s="509"/>
    </row>
    <row r="2763">
      <c r="A2763" s="494" t="s">
        <v>3401</v>
      </c>
      <c r="B2763" s="505" t="s">
        <v>3614</v>
      </c>
      <c r="C2763" s="282" t="str">
        <f t="shared" si="403"/>
        <v>Asus</v>
      </c>
      <c r="D2763" s="452" t="s">
        <v>3643</v>
      </c>
      <c r="E2763" s="507">
        <v>311.4</v>
      </c>
      <c r="F2763" s="507">
        <v>133.5</v>
      </c>
      <c r="G2763" s="507">
        <v>61.9</v>
      </c>
      <c r="H2763" s="260">
        <v>2.0</v>
      </c>
      <c r="I2763" s="260">
        <v>2745.0</v>
      </c>
      <c r="J2763" s="518">
        <v>18.0</v>
      </c>
      <c r="K2763" s="507">
        <v>165.0</v>
      </c>
      <c r="L2763" s="266">
        <v>8.0</v>
      </c>
      <c r="M2763" s="507">
        <v>3.0</v>
      </c>
      <c r="N2763" s="507">
        <v>3.0</v>
      </c>
      <c r="O2763" s="507">
        <v>1.0</v>
      </c>
      <c r="P2763" s="266" t="s">
        <v>166</v>
      </c>
      <c r="Q2763" s="266" t="s">
        <v>166</v>
      </c>
      <c r="R2763" s="266" t="s">
        <v>166</v>
      </c>
      <c r="S2763" s="266" t="s">
        <v>166</v>
      </c>
      <c r="T2763" s="509"/>
    </row>
    <row r="2764">
      <c r="A2764" s="494" t="s">
        <v>3401</v>
      </c>
      <c r="B2764" s="505" t="s">
        <v>3614</v>
      </c>
      <c r="C2764" s="452" t="s">
        <v>3575</v>
      </c>
      <c r="D2764" s="452" t="s">
        <v>4070</v>
      </c>
      <c r="E2764" s="507">
        <f>248.9-12</f>
        <v>236.9</v>
      </c>
      <c r="F2764" s="507">
        <f>135-15</f>
        <v>120</v>
      </c>
      <c r="G2764" s="507">
        <v>41.9</v>
      </c>
      <c r="H2764" s="260">
        <v>2.0</v>
      </c>
      <c r="I2764" s="260">
        <v>2535.0</v>
      </c>
      <c r="J2764" s="518">
        <v>18.0</v>
      </c>
      <c r="K2764" s="507">
        <v>165.0</v>
      </c>
      <c r="L2764" s="266">
        <v>8.0</v>
      </c>
      <c r="M2764" s="507">
        <v>2.0</v>
      </c>
      <c r="N2764" s="507">
        <v>3.0</v>
      </c>
      <c r="O2764" s="507">
        <v>1.0</v>
      </c>
      <c r="P2764" s="266" t="s">
        <v>166</v>
      </c>
      <c r="Q2764" s="266" t="s">
        <v>166</v>
      </c>
      <c r="R2764" s="266" t="s">
        <v>166</v>
      </c>
      <c r="S2764" s="266" t="s">
        <v>166</v>
      </c>
      <c r="T2764" s="509"/>
    </row>
    <row r="2765">
      <c r="A2765" s="494" t="s">
        <v>3401</v>
      </c>
      <c r="B2765" s="505" t="s">
        <v>3614</v>
      </c>
      <c r="C2765" s="452" t="s">
        <v>3575</v>
      </c>
      <c r="D2765" s="452" t="s">
        <v>4501</v>
      </c>
      <c r="E2765" s="507">
        <f>325-12</f>
        <v>313</v>
      </c>
      <c r="F2765" s="507">
        <f>134-15</f>
        <v>119</v>
      </c>
      <c r="G2765" s="507">
        <v>50.9</v>
      </c>
      <c r="H2765" s="260">
        <v>2.0</v>
      </c>
      <c r="I2765" s="260">
        <v>2565.0</v>
      </c>
      <c r="J2765" s="518">
        <v>18.0</v>
      </c>
      <c r="K2765" s="507">
        <v>165.0</v>
      </c>
      <c r="L2765" s="266">
        <v>8.0</v>
      </c>
      <c r="M2765" s="507">
        <v>3.0</v>
      </c>
      <c r="N2765" s="507">
        <v>3.0</v>
      </c>
      <c r="O2765" s="507">
        <v>1.0</v>
      </c>
      <c r="P2765" s="266" t="s">
        <v>166</v>
      </c>
      <c r="Q2765" s="266" t="s">
        <v>166</v>
      </c>
      <c r="R2765" s="266" t="s">
        <v>166</v>
      </c>
      <c r="S2765" s="266" t="s">
        <v>166</v>
      </c>
      <c r="T2765" s="509"/>
    </row>
    <row r="2766">
      <c r="A2766" s="494" t="s">
        <v>3401</v>
      </c>
      <c r="B2766" s="505" t="s">
        <v>3614</v>
      </c>
      <c r="C2766" s="452" t="s">
        <v>3575</v>
      </c>
      <c r="D2766" s="452" t="s">
        <v>4454</v>
      </c>
      <c r="E2766" s="507">
        <f>255-12</f>
        <v>243</v>
      </c>
      <c r="F2766" s="507">
        <f>135-15</f>
        <v>120</v>
      </c>
      <c r="G2766" s="507">
        <v>45.5</v>
      </c>
      <c r="H2766" s="260">
        <v>2.0</v>
      </c>
      <c r="I2766" s="260">
        <v>2580.0</v>
      </c>
      <c r="J2766" s="518">
        <v>18.0</v>
      </c>
      <c r="K2766" s="507">
        <v>165.0</v>
      </c>
      <c r="L2766" s="266">
        <v>8.0</v>
      </c>
      <c r="M2766" s="507">
        <v>2.0</v>
      </c>
      <c r="N2766" s="507">
        <v>3.0</v>
      </c>
      <c r="O2766" s="507">
        <v>1.0</v>
      </c>
      <c r="P2766" s="266" t="s">
        <v>166</v>
      </c>
      <c r="Q2766" s="266" t="s">
        <v>166</v>
      </c>
      <c r="R2766" s="266" t="s">
        <v>166</v>
      </c>
      <c r="S2766" s="266" t="s">
        <v>166</v>
      </c>
      <c r="T2766" s="509"/>
    </row>
    <row r="2767">
      <c r="A2767" s="494" t="s">
        <v>3401</v>
      </c>
      <c r="B2767" s="505" t="s">
        <v>3614</v>
      </c>
      <c r="C2767" s="452" t="s">
        <v>3575</v>
      </c>
      <c r="D2767" s="452" t="s">
        <v>4455</v>
      </c>
      <c r="E2767" s="507">
        <f t="shared" ref="E2767:E2768" si="404">325-12</f>
        <v>313</v>
      </c>
      <c r="F2767" s="507">
        <f t="shared" ref="F2767:F2768" si="405">134-15</f>
        <v>119</v>
      </c>
      <c r="G2767" s="507">
        <v>48.0</v>
      </c>
      <c r="H2767" s="260">
        <v>2.0</v>
      </c>
      <c r="I2767" s="260">
        <v>2580.0</v>
      </c>
      <c r="J2767" s="518">
        <v>18.0</v>
      </c>
      <c r="K2767" s="507">
        <v>165.0</v>
      </c>
      <c r="L2767" s="266">
        <v>8.0</v>
      </c>
      <c r="M2767" s="507">
        <v>3.0</v>
      </c>
      <c r="N2767" s="507">
        <v>3.0</v>
      </c>
      <c r="O2767" s="507">
        <v>1.0</v>
      </c>
      <c r="P2767" s="266" t="s">
        <v>166</v>
      </c>
      <c r="Q2767" s="266" t="s">
        <v>166</v>
      </c>
      <c r="R2767" s="266" t="s">
        <v>166</v>
      </c>
      <c r="S2767" s="266" t="s">
        <v>166</v>
      </c>
      <c r="T2767" s="509"/>
    </row>
    <row r="2768">
      <c r="A2768" s="494" t="s">
        <v>3401</v>
      </c>
      <c r="B2768" s="505" t="s">
        <v>3614</v>
      </c>
      <c r="C2768" s="452" t="s">
        <v>3575</v>
      </c>
      <c r="D2768" s="452" t="s">
        <v>4087</v>
      </c>
      <c r="E2768" s="507">
        <f t="shared" si="404"/>
        <v>313</v>
      </c>
      <c r="F2768" s="507">
        <f t="shared" si="405"/>
        <v>119</v>
      </c>
      <c r="G2768" s="507">
        <v>48.0</v>
      </c>
      <c r="H2768" s="260">
        <v>2.0</v>
      </c>
      <c r="I2768" s="260">
        <v>2580.0</v>
      </c>
      <c r="J2768" s="518">
        <v>18.0</v>
      </c>
      <c r="K2768" s="507">
        <v>165.0</v>
      </c>
      <c r="L2768" s="266">
        <v>8.0</v>
      </c>
      <c r="M2768" s="507">
        <v>3.0</v>
      </c>
      <c r="N2768" s="507">
        <v>3.0</v>
      </c>
      <c r="O2768" s="507">
        <v>1.0</v>
      </c>
      <c r="P2768" s="266" t="s">
        <v>166</v>
      </c>
      <c r="Q2768" s="266" t="s">
        <v>166</v>
      </c>
      <c r="R2768" s="266" t="s">
        <v>166</v>
      </c>
      <c r="S2768" s="266" t="s">
        <v>166</v>
      </c>
      <c r="T2768" s="509"/>
    </row>
    <row r="2769">
      <c r="A2769" s="494" t="s">
        <v>3401</v>
      </c>
      <c r="B2769" s="505" t="s">
        <v>3614</v>
      </c>
      <c r="C2769" s="452" t="s">
        <v>3575</v>
      </c>
      <c r="D2769" s="452" t="s">
        <v>3889</v>
      </c>
      <c r="E2769" s="507">
        <f>318.4-12</f>
        <v>306.4</v>
      </c>
      <c r="F2769" s="507">
        <f>137-15</f>
        <v>122</v>
      </c>
      <c r="G2769" s="507">
        <v>47.9</v>
      </c>
      <c r="H2769" s="260">
        <v>2.0</v>
      </c>
      <c r="I2769" s="260">
        <v>2610.0</v>
      </c>
      <c r="J2769" s="518">
        <v>18.0</v>
      </c>
      <c r="K2769" s="507">
        <v>180.0</v>
      </c>
      <c r="L2769" s="266">
        <v>8.0</v>
      </c>
      <c r="M2769" s="507">
        <v>3.0</v>
      </c>
      <c r="N2769" s="507">
        <v>3.0</v>
      </c>
      <c r="O2769" s="507">
        <v>1.0</v>
      </c>
      <c r="P2769" s="266" t="s">
        <v>166</v>
      </c>
      <c r="Q2769" s="266" t="s">
        <v>166</v>
      </c>
      <c r="R2769" s="266" t="s">
        <v>166</v>
      </c>
      <c r="S2769" s="266" t="s">
        <v>166</v>
      </c>
      <c r="T2769" s="509"/>
    </row>
    <row r="2770">
      <c r="A2770" s="494" t="s">
        <v>3401</v>
      </c>
      <c r="B2770" s="505" t="s">
        <v>3614</v>
      </c>
      <c r="C2770" s="452" t="str">
        <f t="shared" ref="C2770:C2771" si="406">HYPERLINK("http://www.gainward.com/main/index.php?lang=en","Gainward")</f>
        <v>Gainward</v>
      </c>
      <c r="D2770" s="452" t="s">
        <v>4502</v>
      </c>
      <c r="E2770" s="507">
        <v>249.9</v>
      </c>
      <c r="F2770" s="507">
        <v>115.0</v>
      </c>
      <c r="G2770" s="507">
        <v>49.6</v>
      </c>
      <c r="H2770" s="260">
        <v>2.0</v>
      </c>
      <c r="I2770" s="260">
        <v>2535.0</v>
      </c>
      <c r="J2770" s="518">
        <v>18.0</v>
      </c>
      <c r="K2770" s="507">
        <v>165.0</v>
      </c>
      <c r="L2770" s="266">
        <v>8.0</v>
      </c>
      <c r="M2770" s="507">
        <v>3.0</v>
      </c>
      <c r="N2770" s="507">
        <v>3.0</v>
      </c>
      <c r="O2770" s="507">
        <v>1.0</v>
      </c>
      <c r="P2770" s="266" t="s">
        <v>166</v>
      </c>
      <c r="Q2770" s="266" t="s">
        <v>166</v>
      </c>
      <c r="R2770" s="266" t="s">
        <v>166</v>
      </c>
      <c r="S2770" s="266" t="s">
        <v>166</v>
      </c>
      <c r="T2770" s="509"/>
    </row>
    <row r="2771">
      <c r="A2771" s="494" t="s">
        <v>3401</v>
      </c>
      <c r="B2771" s="505" t="s">
        <v>3614</v>
      </c>
      <c r="C2771" s="452" t="str">
        <f t="shared" si="406"/>
        <v>Gainward</v>
      </c>
      <c r="D2771" s="452" t="s">
        <v>4503</v>
      </c>
      <c r="E2771" s="507">
        <v>249.9</v>
      </c>
      <c r="F2771" s="507">
        <v>115.0</v>
      </c>
      <c r="G2771" s="507">
        <v>49.6</v>
      </c>
      <c r="H2771" s="260">
        <v>2.0</v>
      </c>
      <c r="I2771" s="260">
        <v>2595.0</v>
      </c>
      <c r="J2771" s="518">
        <v>18.0</v>
      </c>
      <c r="K2771" s="507">
        <v>165.0</v>
      </c>
      <c r="L2771" s="266">
        <v>8.0</v>
      </c>
      <c r="M2771" s="507">
        <v>3.0</v>
      </c>
      <c r="N2771" s="507">
        <v>3.0</v>
      </c>
      <c r="O2771" s="507">
        <v>1.0</v>
      </c>
      <c r="P2771" s="266" t="s">
        <v>166</v>
      </c>
      <c r="Q2771" s="266" t="s">
        <v>166</v>
      </c>
      <c r="R2771" s="266" t="s">
        <v>166</v>
      </c>
      <c r="S2771" s="266" t="s">
        <v>166</v>
      </c>
      <c r="T2771" s="509"/>
    </row>
    <row r="2772">
      <c r="A2772" s="494" t="s">
        <v>3401</v>
      </c>
      <c r="B2772" s="505" t="s">
        <v>3614</v>
      </c>
      <c r="C2772" s="174" t="s">
        <v>3456</v>
      </c>
      <c r="D2772" s="452" t="s">
        <v>4460</v>
      </c>
      <c r="E2772" s="507">
        <v>251.0</v>
      </c>
      <c r="F2772" s="507">
        <v>130.0</v>
      </c>
      <c r="G2772" s="507">
        <v>40.0</v>
      </c>
      <c r="H2772" s="260">
        <v>2.0</v>
      </c>
      <c r="I2772" s="260">
        <v>2655.0</v>
      </c>
      <c r="J2772" s="518">
        <v>18.0</v>
      </c>
      <c r="K2772" s="507">
        <v>165.0</v>
      </c>
      <c r="L2772" s="266">
        <v>8.0</v>
      </c>
      <c r="M2772" s="507">
        <v>2.0</v>
      </c>
      <c r="N2772" s="507">
        <v>3.0</v>
      </c>
      <c r="O2772" s="507">
        <v>1.0</v>
      </c>
      <c r="P2772" s="266" t="s">
        <v>166</v>
      </c>
      <c r="Q2772" s="266" t="s">
        <v>166</v>
      </c>
      <c r="R2772" s="266" t="s">
        <v>166</v>
      </c>
      <c r="S2772" s="266" t="s">
        <v>166</v>
      </c>
      <c r="T2772" s="509"/>
    </row>
    <row r="2773">
      <c r="A2773" s="494" t="s">
        <v>3401</v>
      </c>
      <c r="B2773" s="505" t="s">
        <v>3614</v>
      </c>
      <c r="C2773" s="174" t="s">
        <v>3456</v>
      </c>
      <c r="D2773" s="452" t="s">
        <v>4462</v>
      </c>
      <c r="E2773" s="507">
        <v>251.0</v>
      </c>
      <c r="F2773" s="507">
        <v>130.0</v>
      </c>
      <c r="G2773" s="507">
        <v>40.0</v>
      </c>
      <c r="H2773" s="260">
        <v>2.0</v>
      </c>
      <c r="I2773" s="260">
        <v>2655.0</v>
      </c>
      <c r="J2773" s="518">
        <v>18.0</v>
      </c>
      <c r="K2773" s="507">
        <v>165.0</v>
      </c>
      <c r="L2773" s="266">
        <v>8.0</v>
      </c>
      <c r="M2773" s="507">
        <v>2.0</v>
      </c>
      <c r="N2773" s="507">
        <v>3.0</v>
      </c>
      <c r="O2773" s="507">
        <v>1.0</v>
      </c>
      <c r="P2773" s="266" t="s">
        <v>166</v>
      </c>
      <c r="Q2773" s="266" t="s">
        <v>166</v>
      </c>
      <c r="R2773" s="266" t="s">
        <v>166</v>
      </c>
      <c r="S2773" s="266" t="s">
        <v>166</v>
      </c>
      <c r="T2773" s="509"/>
    </row>
    <row r="2774">
      <c r="A2774" s="494" t="s">
        <v>3401</v>
      </c>
      <c r="B2774" s="505" t="s">
        <v>3614</v>
      </c>
      <c r="C2774" s="660" t="str">
        <f t="shared" ref="C2774:C2776" si="407">HYPERLINK("https://www.gigabyte.com/","Gigabyte")</f>
        <v>Gigabyte</v>
      </c>
      <c r="D2774" s="452" t="s">
        <v>3851</v>
      </c>
      <c r="E2774" s="507">
        <v>281.0</v>
      </c>
      <c r="F2774" s="507">
        <v>117.0</v>
      </c>
      <c r="G2774" s="507">
        <v>50.0</v>
      </c>
      <c r="H2774" s="260">
        <v>2.0</v>
      </c>
      <c r="I2774" s="260">
        <v>2595.0</v>
      </c>
      <c r="J2774" s="518">
        <v>18.0</v>
      </c>
      <c r="K2774" s="507">
        <v>165.0</v>
      </c>
      <c r="L2774" s="266">
        <v>8.0</v>
      </c>
      <c r="M2774" s="507">
        <v>3.0</v>
      </c>
      <c r="N2774" s="507">
        <v>2.0</v>
      </c>
      <c r="O2774" s="507">
        <v>2.0</v>
      </c>
      <c r="P2774" s="266" t="s">
        <v>166</v>
      </c>
      <c r="Q2774" s="266" t="s">
        <v>166</v>
      </c>
      <c r="R2774" s="266" t="s">
        <v>166</v>
      </c>
      <c r="S2774" s="266" t="s">
        <v>166</v>
      </c>
      <c r="T2774" s="509"/>
    </row>
    <row r="2775">
      <c r="A2775" s="494" t="s">
        <v>3401</v>
      </c>
      <c r="B2775" s="505" t="s">
        <v>3614</v>
      </c>
      <c r="C2775" s="660" t="str">
        <f t="shared" si="407"/>
        <v>Gigabyte</v>
      </c>
      <c r="D2775" s="452" t="s">
        <v>3409</v>
      </c>
      <c r="E2775" s="507">
        <v>281.0</v>
      </c>
      <c r="F2775" s="507">
        <v>117.0</v>
      </c>
      <c r="G2775" s="507">
        <v>53.0</v>
      </c>
      <c r="H2775" s="260">
        <v>2.0</v>
      </c>
      <c r="I2775" s="260">
        <v>2535.0</v>
      </c>
      <c r="J2775" s="518">
        <v>18.0</v>
      </c>
      <c r="K2775" s="507">
        <v>165.0</v>
      </c>
      <c r="L2775" s="266">
        <v>8.0</v>
      </c>
      <c r="M2775" s="507">
        <v>3.0</v>
      </c>
      <c r="N2775" s="507">
        <v>2.0</v>
      </c>
      <c r="O2775" s="507">
        <v>2.0</v>
      </c>
      <c r="P2775" s="266" t="s">
        <v>166</v>
      </c>
      <c r="Q2775" s="266" t="s">
        <v>166</v>
      </c>
      <c r="R2775" s="266" t="s">
        <v>166</v>
      </c>
      <c r="S2775" s="266" t="s">
        <v>166</v>
      </c>
      <c r="T2775" s="509"/>
    </row>
    <row r="2776">
      <c r="A2776" s="494" t="s">
        <v>3401</v>
      </c>
      <c r="B2776" s="505" t="s">
        <v>3614</v>
      </c>
      <c r="C2776" s="660" t="str">
        <f t="shared" si="407"/>
        <v>Gigabyte</v>
      </c>
      <c r="D2776" s="452" t="s">
        <v>3630</v>
      </c>
      <c r="E2776" s="507">
        <v>281.0</v>
      </c>
      <c r="F2776" s="507">
        <v>117.0</v>
      </c>
      <c r="G2776" s="507">
        <v>53.0</v>
      </c>
      <c r="H2776" s="260">
        <v>2.0</v>
      </c>
      <c r="I2776" s="260">
        <v>2595.0</v>
      </c>
      <c r="J2776" s="518">
        <v>18.0</v>
      </c>
      <c r="K2776" s="507">
        <v>165.0</v>
      </c>
      <c r="L2776" s="266">
        <v>8.0</v>
      </c>
      <c r="M2776" s="507">
        <v>3.0</v>
      </c>
      <c r="N2776" s="507">
        <v>2.0</v>
      </c>
      <c r="O2776" s="507">
        <v>2.0</v>
      </c>
      <c r="P2776" s="266" t="s">
        <v>166</v>
      </c>
      <c r="Q2776" s="266" t="s">
        <v>166</v>
      </c>
      <c r="R2776" s="266" t="s">
        <v>166</v>
      </c>
      <c r="S2776" s="266" t="s">
        <v>166</v>
      </c>
      <c r="T2776" s="509"/>
    </row>
    <row r="2777">
      <c r="A2777" s="494" t="s">
        <v>3401</v>
      </c>
      <c r="B2777" s="505" t="s">
        <v>3614</v>
      </c>
      <c r="C2777" s="452" t="str">
        <f t="shared" ref="C2777:C2780" si="408">HYPERLINK("http://www.inno3d.com/","Inno3D")</f>
        <v>Inno3D</v>
      </c>
      <c r="D2777" s="452" t="s">
        <v>3896</v>
      </c>
      <c r="E2777" s="507">
        <v>250.0</v>
      </c>
      <c r="F2777" s="507">
        <v>118.0</v>
      </c>
      <c r="G2777" s="507">
        <v>42.0</v>
      </c>
      <c r="H2777" s="260">
        <v>2.0</v>
      </c>
      <c r="I2777" s="260">
        <v>2535.0</v>
      </c>
      <c r="J2777" s="518">
        <v>18.0</v>
      </c>
      <c r="K2777" s="507">
        <v>165.0</v>
      </c>
      <c r="L2777" s="266">
        <v>8.0</v>
      </c>
      <c r="M2777" s="507">
        <v>2.0</v>
      </c>
      <c r="N2777" s="507">
        <v>3.0</v>
      </c>
      <c r="O2777" s="507">
        <v>1.0</v>
      </c>
      <c r="P2777" s="266" t="s">
        <v>166</v>
      </c>
      <c r="Q2777" s="266" t="s">
        <v>166</v>
      </c>
      <c r="R2777" s="266" t="s">
        <v>166</v>
      </c>
      <c r="S2777" s="266" t="s">
        <v>166</v>
      </c>
      <c r="T2777" s="509"/>
    </row>
    <row r="2778">
      <c r="A2778" s="494" t="s">
        <v>3401</v>
      </c>
      <c r="B2778" s="505" t="s">
        <v>3614</v>
      </c>
      <c r="C2778" s="452" t="str">
        <f t="shared" si="408"/>
        <v>Inno3D</v>
      </c>
      <c r="D2778" s="452" t="s">
        <v>3882</v>
      </c>
      <c r="E2778" s="507">
        <v>250.0</v>
      </c>
      <c r="F2778" s="507">
        <v>118.0</v>
      </c>
      <c r="G2778" s="507">
        <v>42.0</v>
      </c>
      <c r="H2778" s="260">
        <v>2.0</v>
      </c>
      <c r="I2778" s="260">
        <v>2565.0</v>
      </c>
      <c r="J2778" s="518">
        <v>18.0</v>
      </c>
      <c r="K2778" s="507">
        <v>165.0</v>
      </c>
      <c r="L2778" s="266">
        <v>8.0</v>
      </c>
      <c r="M2778" s="507">
        <v>2.0</v>
      </c>
      <c r="N2778" s="507">
        <v>3.0</v>
      </c>
      <c r="O2778" s="507">
        <v>1.0</v>
      </c>
      <c r="P2778" s="266" t="s">
        <v>166</v>
      </c>
      <c r="Q2778" s="266" t="s">
        <v>166</v>
      </c>
      <c r="R2778" s="266" t="s">
        <v>166</v>
      </c>
      <c r="S2778" s="266" t="s">
        <v>166</v>
      </c>
      <c r="T2778" s="509"/>
    </row>
    <row r="2779">
      <c r="A2779" s="494" t="s">
        <v>3401</v>
      </c>
      <c r="B2779" s="505" t="s">
        <v>3614</v>
      </c>
      <c r="C2779" s="452" t="str">
        <f t="shared" si="408"/>
        <v>Inno3D</v>
      </c>
      <c r="D2779" s="452" t="s">
        <v>4464</v>
      </c>
      <c r="E2779" s="507">
        <v>250.0</v>
      </c>
      <c r="F2779" s="507">
        <v>118.0</v>
      </c>
      <c r="G2779" s="507">
        <v>42.0</v>
      </c>
      <c r="H2779" s="260">
        <v>2.0</v>
      </c>
      <c r="I2779" s="260">
        <v>2565.0</v>
      </c>
      <c r="J2779" s="518">
        <v>18.0</v>
      </c>
      <c r="K2779" s="507">
        <v>165.0</v>
      </c>
      <c r="L2779" s="266">
        <v>8.0</v>
      </c>
      <c r="M2779" s="507">
        <v>2.0</v>
      </c>
      <c r="N2779" s="507">
        <v>3.0</v>
      </c>
      <c r="O2779" s="507">
        <v>1.0</v>
      </c>
      <c r="P2779" s="266" t="s">
        <v>166</v>
      </c>
      <c r="Q2779" s="266" t="s">
        <v>166</v>
      </c>
      <c r="R2779" s="266" t="s">
        <v>166</v>
      </c>
      <c r="S2779" s="266" t="s">
        <v>166</v>
      </c>
      <c r="T2779" s="509"/>
    </row>
    <row r="2780">
      <c r="A2780" s="494" t="s">
        <v>3401</v>
      </c>
      <c r="B2780" s="505" t="s">
        <v>3614</v>
      </c>
      <c r="C2780" s="452" t="str">
        <f t="shared" si="408"/>
        <v>Inno3D</v>
      </c>
      <c r="D2780" s="452" t="s">
        <v>4347</v>
      </c>
      <c r="E2780" s="507">
        <v>297.0</v>
      </c>
      <c r="F2780" s="507">
        <v>118.0</v>
      </c>
      <c r="G2780" s="507">
        <v>42.0</v>
      </c>
      <c r="H2780" s="260">
        <v>2.0</v>
      </c>
      <c r="I2780" s="260">
        <v>2565.0</v>
      </c>
      <c r="J2780" s="518">
        <v>18.0</v>
      </c>
      <c r="K2780" s="507">
        <v>165.0</v>
      </c>
      <c r="L2780" s="266">
        <v>8.0</v>
      </c>
      <c r="M2780" s="507">
        <v>3.0</v>
      </c>
      <c r="N2780" s="507">
        <v>3.0</v>
      </c>
      <c r="O2780" s="507">
        <v>1.0</v>
      </c>
      <c r="P2780" s="266" t="s">
        <v>166</v>
      </c>
      <c r="Q2780" s="266" t="s">
        <v>166</v>
      </c>
      <c r="R2780" s="266" t="s">
        <v>166</v>
      </c>
      <c r="S2780" s="266" t="s">
        <v>166</v>
      </c>
      <c r="T2780" s="509"/>
    </row>
    <row r="2781">
      <c r="A2781" s="494" t="s">
        <v>3401</v>
      </c>
      <c r="B2781" s="505" t="s">
        <v>3614</v>
      </c>
      <c r="C2781" s="452" t="str">
        <f>HYPERLINK("http://manli.com/en","Manli")</f>
        <v>Manli</v>
      </c>
      <c r="D2781" s="452" t="s">
        <v>4504</v>
      </c>
      <c r="E2781" s="507">
        <v>250.0</v>
      </c>
      <c r="F2781" s="507">
        <v>115.0</v>
      </c>
      <c r="G2781" s="507">
        <v>42.0</v>
      </c>
      <c r="H2781" s="260">
        <v>2.0</v>
      </c>
      <c r="I2781" s="260">
        <v>2595.0</v>
      </c>
      <c r="J2781" s="518">
        <v>18.0</v>
      </c>
      <c r="K2781" s="507">
        <v>165.0</v>
      </c>
      <c r="L2781" s="266">
        <v>8.0</v>
      </c>
      <c r="M2781" s="507">
        <v>2.0</v>
      </c>
      <c r="N2781" s="507">
        <v>3.0</v>
      </c>
      <c r="O2781" s="507">
        <v>1.0</v>
      </c>
      <c r="P2781" s="266" t="s">
        <v>166</v>
      </c>
      <c r="Q2781" s="266" t="s">
        <v>166</v>
      </c>
      <c r="R2781" s="266" t="s">
        <v>166</v>
      </c>
      <c r="S2781" s="266" t="s">
        <v>166</v>
      </c>
      <c r="T2781" s="509"/>
    </row>
    <row r="2782">
      <c r="A2782" s="494" t="s">
        <v>3401</v>
      </c>
      <c r="B2782" s="505" t="s">
        <v>3614</v>
      </c>
      <c r="C2782" s="174" t="str">
        <f t="shared" ref="C2782:C2788" si="409">HYPERLINK("https://www.msi.com/index.php","MSI")</f>
        <v>MSI</v>
      </c>
      <c r="D2782" s="452" t="s">
        <v>4147</v>
      </c>
      <c r="E2782" s="507">
        <v>308.0</v>
      </c>
      <c r="F2782" s="507">
        <v>120.0</v>
      </c>
      <c r="G2782" s="507">
        <v>42.0</v>
      </c>
      <c r="H2782" s="260">
        <v>2.0</v>
      </c>
      <c r="I2782" s="260">
        <v>2625.0</v>
      </c>
      <c r="J2782" s="518">
        <v>18.0</v>
      </c>
      <c r="K2782" s="507">
        <v>165.0</v>
      </c>
      <c r="L2782" s="266">
        <v>8.0</v>
      </c>
      <c r="M2782" s="507">
        <v>3.0</v>
      </c>
      <c r="N2782" s="507">
        <v>3.0</v>
      </c>
      <c r="O2782" s="507">
        <v>1.0</v>
      </c>
      <c r="P2782" s="266" t="s">
        <v>166</v>
      </c>
      <c r="Q2782" s="266" t="s">
        <v>166</v>
      </c>
      <c r="R2782" s="266" t="s">
        <v>166</v>
      </c>
      <c r="S2782" s="266" t="s">
        <v>166</v>
      </c>
      <c r="T2782" s="509"/>
    </row>
    <row r="2783">
      <c r="A2783" s="494" t="s">
        <v>3401</v>
      </c>
      <c r="B2783" s="505" t="s">
        <v>3614</v>
      </c>
      <c r="C2783" s="174" t="str">
        <f t="shared" si="409"/>
        <v>MSI</v>
      </c>
      <c r="D2783" s="452" t="s">
        <v>3409</v>
      </c>
      <c r="E2783" s="507">
        <v>247.0</v>
      </c>
      <c r="F2783" s="507">
        <v>130.0</v>
      </c>
      <c r="G2783" s="507">
        <v>42.0</v>
      </c>
      <c r="H2783" s="260">
        <v>2.0</v>
      </c>
      <c r="I2783" s="260">
        <v>2550.0</v>
      </c>
      <c r="J2783" s="518">
        <v>18.0</v>
      </c>
      <c r="K2783" s="507">
        <v>165.0</v>
      </c>
      <c r="L2783" s="266">
        <v>8.0</v>
      </c>
      <c r="M2783" s="507">
        <v>2.0</v>
      </c>
      <c r="N2783" s="507">
        <v>3.0</v>
      </c>
      <c r="O2783" s="507">
        <v>1.0</v>
      </c>
      <c r="P2783" s="266" t="s">
        <v>166</v>
      </c>
      <c r="Q2783" s="266" t="s">
        <v>166</v>
      </c>
      <c r="R2783" s="266" t="s">
        <v>166</v>
      </c>
      <c r="S2783" s="266" t="s">
        <v>166</v>
      </c>
      <c r="T2783" s="509"/>
    </row>
    <row r="2784">
      <c r="A2784" s="494" t="s">
        <v>3401</v>
      </c>
      <c r="B2784" s="505" t="s">
        <v>3614</v>
      </c>
      <c r="C2784" s="174" t="str">
        <f t="shared" si="409"/>
        <v>MSI</v>
      </c>
      <c r="D2784" s="452" t="s">
        <v>3557</v>
      </c>
      <c r="E2784" s="507">
        <v>247.0</v>
      </c>
      <c r="F2784" s="507">
        <v>130.0</v>
      </c>
      <c r="G2784" s="507">
        <v>42.0</v>
      </c>
      <c r="H2784" s="260">
        <v>2.0</v>
      </c>
      <c r="I2784" s="260">
        <v>2655.0</v>
      </c>
      <c r="J2784" s="518">
        <v>18.0</v>
      </c>
      <c r="K2784" s="507">
        <v>165.0</v>
      </c>
      <c r="L2784" s="266">
        <v>8.0</v>
      </c>
      <c r="M2784" s="507">
        <v>2.0</v>
      </c>
      <c r="N2784" s="507">
        <v>3.0</v>
      </c>
      <c r="O2784" s="507">
        <v>1.0</v>
      </c>
      <c r="P2784" s="266" t="s">
        <v>166</v>
      </c>
      <c r="Q2784" s="266" t="s">
        <v>166</v>
      </c>
      <c r="R2784" s="266" t="s">
        <v>166</v>
      </c>
      <c r="S2784" s="266" t="s">
        <v>166</v>
      </c>
      <c r="T2784" s="509"/>
    </row>
    <row r="2785">
      <c r="A2785" s="494" t="s">
        <v>3401</v>
      </c>
      <c r="B2785" s="505" t="s">
        <v>3614</v>
      </c>
      <c r="C2785" s="174" t="str">
        <f t="shared" si="409"/>
        <v>MSI</v>
      </c>
      <c r="D2785" s="452" t="s">
        <v>4493</v>
      </c>
      <c r="E2785" s="507">
        <v>307.0</v>
      </c>
      <c r="F2785" s="507">
        <v>125.0</v>
      </c>
      <c r="G2785" s="507">
        <v>46.0</v>
      </c>
      <c r="H2785" s="260">
        <v>2.0</v>
      </c>
      <c r="I2785" s="260">
        <v>2550.0</v>
      </c>
      <c r="J2785" s="518">
        <v>18.0</v>
      </c>
      <c r="K2785" s="507">
        <v>165.0</v>
      </c>
      <c r="L2785" s="266">
        <v>8.0</v>
      </c>
      <c r="M2785" s="507">
        <v>3.0</v>
      </c>
      <c r="N2785" s="507">
        <v>3.0</v>
      </c>
      <c r="O2785" s="507">
        <v>1.0</v>
      </c>
      <c r="P2785" s="266" t="s">
        <v>166</v>
      </c>
      <c r="Q2785" s="266" t="s">
        <v>166</v>
      </c>
      <c r="R2785" s="266" t="s">
        <v>166</v>
      </c>
      <c r="S2785" s="266" t="s">
        <v>166</v>
      </c>
      <c r="T2785" s="509"/>
    </row>
    <row r="2786">
      <c r="A2786" s="494" t="s">
        <v>3401</v>
      </c>
      <c r="B2786" s="505" t="s">
        <v>3614</v>
      </c>
      <c r="C2786" s="174" t="str">
        <f t="shared" si="409"/>
        <v>MSI</v>
      </c>
      <c r="D2786" s="452" t="s">
        <v>4495</v>
      </c>
      <c r="E2786" s="507">
        <v>307.0</v>
      </c>
      <c r="F2786" s="507">
        <v>125.0</v>
      </c>
      <c r="G2786" s="507">
        <v>46.0</v>
      </c>
      <c r="H2786" s="260">
        <v>2.0</v>
      </c>
      <c r="I2786" s="260">
        <v>2550.0</v>
      </c>
      <c r="J2786" s="518">
        <v>18.0</v>
      </c>
      <c r="K2786" s="507">
        <v>165.0</v>
      </c>
      <c r="L2786" s="266">
        <v>8.0</v>
      </c>
      <c r="M2786" s="507">
        <v>3.0</v>
      </c>
      <c r="N2786" s="507">
        <v>3.0</v>
      </c>
      <c r="O2786" s="507">
        <v>1.0</v>
      </c>
      <c r="P2786" s="266" t="s">
        <v>166</v>
      </c>
      <c r="Q2786" s="266" t="s">
        <v>166</v>
      </c>
      <c r="R2786" s="266" t="s">
        <v>166</v>
      </c>
      <c r="S2786" s="266" t="s">
        <v>166</v>
      </c>
      <c r="T2786" s="509"/>
    </row>
    <row r="2787">
      <c r="A2787" s="494" t="s">
        <v>3401</v>
      </c>
      <c r="B2787" s="505" t="s">
        <v>3614</v>
      </c>
      <c r="C2787" s="174" t="str">
        <f t="shared" si="409"/>
        <v>MSI</v>
      </c>
      <c r="D2787" s="452" t="s">
        <v>4496</v>
      </c>
      <c r="E2787" s="507">
        <v>307.0</v>
      </c>
      <c r="F2787" s="507">
        <v>125.0</v>
      </c>
      <c r="G2787" s="507">
        <v>46.0</v>
      </c>
      <c r="H2787" s="260">
        <v>2.0</v>
      </c>
      <c r="I2787" s="260">
        <v>2685.0</v>
      </c>
      <c r="J2787" s="518">
        <v>18.0</v>
      </c>
      <c r="K2787" s="507">
        <v>165.0</v>
      </c>
      <c r="L2787" s="266">
        <v>8.0</v>
      </c>
      <c r="M2787" s="507">
        <v>3.0</v>
      </c>
      <c r="N2787" s="507">
        <v>3.0</v>
      </c>
      <c r="O2787" s="507">
        <v>1.0</v>
      </c>
      <c r="P2787" s="266" t="s">
        <v>166</v>
      </c>
      <c r="Q2787" s="266" t="s">
        <v>166</v>
      </c>
      <c r="R2787" s="266" t="s">
        <v>166</v>
      </c>
      <c r="S2787" s="266" t="s">
        <v>166</v>
      </c>
      <c r="T2787" s="509"/>
    </row>
    <row r="2788">
      <c r="A2788" s="494" t="s">
        <v>3401</v>
      </c>
      <c r="B2788" s="505" t="s">
        <v>3614</v>
      </c>
      <c r="C2788" s="174" t="str">
        <f t="shared" si="409"/>
        <v>MSI</v>
      </c>
      <c r="D2788" s="452" t="s">
        <v>4497</v>
      </c>
      <c r="E2788" s="507">
        <v>307.0</v>
      </c>
      <c r="F2788" s="507">
        <v>125.0</v>
      </c>
      <c r="G2788" s="507">
        <v>46.0</v>
      </c>
      <c r="H2788" s="260">
        <v>2.0</v>
      </c>
      <c r="I2788" s="260">
        <v>2685.0</v>
      </c>
      <c r="J2788" s="518">
        <v>18.0</v>
      </c>
      <c r="K2788" s="507">
        <v>165.0</v>
      </c>
      <c r="L2788" s="266">
        <v>8.0</v>
      </c>
      <c r="M2788" s="507">
        <v>3.0</v>
      </c>
      <c r="N2788" s="507">
        <v>3.0</v>
      </c>
      <c r="O2788" s="507">
        <v>1.0</v>
      </c>
      <c r="P2788" s="266" t="s">
        <v>166</v>
      </c>
      <c r="Q2788" s="266" t="s">
        <v>166</v>
      </c>
      <c r="R2788" s="266" t="s">
        <v>166</v>
      </c>
      <c r="S2788" s="266" t="s">
        <v>166</v>
      </c>
      <c r="T2788" s="509"/>
    </row>
    <row r="2789">
      <c r="A2789" s="494" t="s">
        <v>3401</v>
      </c>
      <c r="B2789" s="505" t="s">
        <v>3614</v>
      </c>
      <c r="C2789" s="452" t="str">
        <f t="shared" ref="C2789:C2790" si="410">HYPERLINK("http://www.palit.com/palit/index.php?lang=en","Palit")</f>
        <v>Palit</v>
      </c>
      <c r="D2789" s="452" t="s">
        <v>3998</v>
      </c>
      <c r="E2789" s="507">
        <v>249.9</v>
      </c>
      <c r="F2789" s="507">
        <v>115.0</v>
      </c>
      <c r="G2789" s="507">
        <v>49.6</v>
      </c>
      <c r="H2789" s="260">
        <v>2.0</v>
      </c>
      <c r="I2789" s="260">
        <v>2535.0</v>
      </c>
      <c r="J2789" s="518">
        <v>18.0</v>
      </c>
      <c r="K2789" s="507">
        <v>165.0</v>
      </c>
      <c r="L2789" s="266">
        <v>8.0</v>
      </c>
      <c r="M2789" s="507">
        <v>3.0</v>
      </c>
      <c r="N2789" s="507">
        <v>3.0</v>
      </c>
      <c r="O2789" s="507">
        <v>1.0</v>
      </c>
      <c r="P2789" s="266" t="s">
        <v>166</v>
      </c>
      <c r="Q2789" s="266" t="s">
        <v>166</v>
      </c>
      <c r="R2789" s="266" t="s">
        <v>166</v>
      </c>
      <c r="S2789" s="266" t="s">
        <v>166</v>
      </c>
      <c r="T2789" s="509"/>
    </row>
    <row r="2790">
      <c r="A2790" s="494" t="s">
        <v>3401</v>
      </c>
      <c r="B2790" s="505" t="s">
        <v>3614</v>
      </c>
      <c r="C2790" s="452" t="str">
        <f t="shared" si="410"/>
        <v>Palit</v>
      </c>
      <c r="D2790" s="452" t="s">
        <v>4321</v>
      </c>
      <c r="E2790" s="507">
        <v>249.9</v>
      </c>
      <c r="F2790" s="507">
        <v>115.0</v>
      </c>
      <c r="G2790" s="507">
        <v>49.6</v>
      </c>
      <c r="H2790" s="260">
        <v>2.0</v>
      </c>
      <c r="I2790" s="260">
        <v>2595.0</v>
      </c>
      <c r="J2790" s="518">
        <v>18.0</v>
      </c>
      <c r="K2790" s="507">
        <v>165.0</v>
      </c>
      <c r="L2790" s="266">
        <v>8.0</v>
      </c>
      <c r="M2790" s="507">
        <v>3.0</v>
      </c>
      <c r="N2790" s="507">
        <v>3.0</v>
      </c>
      <c r="O2790" s="507">
        <v>1.0</v>
      </c>
      <c r="P2790" s="266" t="s">
        <v>166</v>
      </c>
      <c r="Q2790" s="266" t="s">
        <v>166</v>
      </c>
      <c r="R2790" s="266" t="s">
        <v>166</v>
      </c>
      <c r="S2790" s="266" t="s">
        <v>166</v>
      </c>
      <c r="T2790" s="509"/>
    </row>
    <row r="2791">
      <c r="A2791" s="494" t="s">
        <v>3401</v>
      </c>
      <c r="B2791" s="505" t="s">
        <v>3614</v>
      </c>
      <c r="C2791" s="452" t="str">
        <f t="shared" ref="C2791:C2793" si="411">HYPERLINK("https://pny.com/","PNY")</f>
        <v>PNY</v>
      </c>
      <c r="D2791" s="452" t="s">
        <v>3607</v>
      </c>
      <c r="E2791" s="507">
        <v>245.11</v>
      </c>
      <c r="F2791" s="507">
        <v>112.52</v>
      </c>
      <c r="G2791" s="507">
        <v>39.88</v>
      </c>
      <c r="H2791" s="260">
        <v>2.0</v>
      </c>
      <c r="I2791" s="260">
        <v>2535.0</v>
      </c>
      <c r="J2791" s="518">
        <v>18.0</v>
      </c>
      <c r="K2791" s="507">
        <v>165.0</v>
      </c>
      <c r="L2791" s="266">
        <v>8.0</v>
      </c>
      <c r="M2791" s="507">
        <v>2.0</v>
      </c>
      <c r="N2791" s="507">
        <v>3.0</v>
      </c>
      <c r="O2791" s="507">
        <v>1.0</v>
      </c>
      <c r="P2791" s="266" t="s">
        <v>166</v>
      </c>
      <c r="Q2791" s="266" t="s">
        <v>166</v>
      </c>
      <c r="R2791" s="266" t="s">
        <v>166</v>
      </c>
      <c r="S2791" s="266" t="s">
        <v>166</v>
      </c>
      <c r="T2791" s="509"/>
    </row>
    <row r="2792">
      <c r="A2792" s="494" t="s">
        <v>3401</v>
      </c>
      <c r="B2792" s="505" t="s">
        <v>3614</v>
      </c>
      <c r="C2792" s="452" t="str">
        <f t="shared" si="411"/>
        <v>PNY</v>
      </c>
      <c r="D2792" s="452" t="s">
        <v>4471</v>
      </c>
      <c r="E2792" s="507">
        <v>305.05</v>
      </c>
      <c r="F2792" s="507">
        <v>118.62</v>
      </c>
      <c r="G2792" s="507">
        <v>39.88</v>
      </c>
      <c r="H2792" s="260">
        <v>2.0</v>
      </c>
      <c r="I2792" s="260">
        <v>2535.0</v>
      </c>
      <c r="J2792" s="518">
        <v>18.0</v>
      </c>
      <c r="K2792" s="507">
        <v>165.0</v>
      </c>
      <c r="L2792" s="266">
        <v>8.0</v>
      </c>
      <c r="M2792" s="507">
        <v>3.0</v>
      </c>
      <c r="N2792" s="507">
        <v>3.0</v>
      </c>
      <c r="O2792" s="507">
        <v>1.0</v>
      </c>
      <c r="P2792" s="266" t="s">
        <v>166</v>
      </c>
      <c r="Q2792" s="266" t="s">
        <v>166</v>
      </c>
      <c r="R2792" s="266" t="s">
        <v>166</v>
      </c>
      <c r="S2792" s="266" t="s">
        <v>166</v>
      </c>
      <c r="T2792" s="509"/>
    </row>
    <row r="2793">
      <c r="A2793" s="494" t="s">
        <v>3401</v>
      </c>
      <c r="B2793" s="505" t="s">
        <v>3614</v>
      </c>
      <c r="C2793" s="452" t="str">
        <f t="shared" si="411"/>
        <v>PNY</v>
      </c>
      <c r="D2793" s="452" t="s">
        <v>4472</v>
      </c>
      <c r="E2793" s="507">
        <v>305.05</v>
      </c>
      <c r="F2793" s="507">
        <v>118.62</v>
      </c>
      <c r="G2793" s="507">
        <v>39.88</v>
      </c>
      <c r="H2793" s="260">
        <v>2.0</v>
      </c>
      <c r="I2793" s="260">
        <v>2580.0</v>
      </c>
      <c r="J2793" s="518">
        <v>18.0</v>
      </c>
      <c r="K2793" s="507">
        <v>165.0</v>
      </c>
      <c r="L2793" s="266">
        <v>8.0</v>
      </c>
      <c r="M2793" s="507">
        <v>3.0</v>
      </c>
      <c r="N2793" s="507">
        <v>3.0</v>
      </c>
      <c r="O2793" s="507">
        <v>1.0</v>
      </c>
      <c r="P2793" s="266" t="s">
        <v>166</v>
      </c>
      <c r="Q2793" s="266" t="s">
        <v>166</v>
      </c>
      <c r="R2793" s="266" t="s">
        <v>166</v>
      </c>
      <c r="S2793" s="266" t="s">
        <v>166</v>
      </c>
      <c r="T2793" s="509"/>
    </row>
    <row r="2794">
      <c r="A2794" s="494" t="s">
        <v>3401</v>
      </c>
      <c r="B2794" s="505" t="s">
        <v>3614</v>
      </c>
      <c r="C2794" s="452" t="s">
        <v>3378</v>
      </c>
      <c r="D2794" s="544" t="s">
        <v>4474</v>
      </c>
      <c r="E2794" s="507">
        <v>250.0</v>
      </c>
      <c r="F2794" s="507">
        <v>115.0</v>
      </c>
      <c r="G2794" s="507">
        <v>50.0</v>
      </c>
      <c r="H2794" s="260">
        <v>2.0</v>
      </c>
      <c r="I2794" s="260">
        <v>2595.0</v>
      </c>
      <c r="J2794" s="518">
        <v>18.0</v>
      </c>
      <c r="K2794" s="507">
        <v>165.0</v>
      </c>
      <c r="L2794" s="266">
        <v>8.0</v>
      </c>
      <c r="M2794" s="507">
        <v>3.0</v>
      </c>
      <c r="N2794" s="507">
        <v>3.0</v>
      </c>
      <c r="O2794" s="507">
        <v>1.0</v>
      </c>
      <c r="P2794" s="266" t="s">
        <v>166</v>
      </c>
      <c r="Q2794" s="266" t="s">
        <v>166</v>
      </c>
      <c r="R2794" s="266" t="s">
        <v>166</v>
      </c>
      <c r="S2794" s="266" t="s">
        <v>166</v>
      </c>
      <c r="T2794" s="509"/>
    </row>
    <row r="2795">
      <c r="A2795" s="494" t="s">
        <v>3401</v>
      </c>
      <c r="B2795" s="505" t="s">
        <v>3614</v>
      </c>
      <c r="C2795" s="452" t="s">
        <v>3378</v>
      </c>
      <c r="D2795" s="544" t="s">
        <v>3768</v>
      </c>
      <c r="E2795" s="507">
        <v>299.0</v>
      </c>
      <c r="F2795" s="507">
        <v>131.0</v>
      </c>
      <c r="G2795" s="507">
        <v>54.0</v>
      </c>
      <c r="H2795" s="260">
        <v>2.0</v>
      </c>
      <c r="I2795" s="260">
        <v>2535.0</v>
      </c>
      <c r="J2795" s="518">
        <v>18.0</v>
      </c>
      <c r="K2795" s="507">
        <v>165.0</v>
      </c>
      <c r="L2795" s="266">
        <v>8.0</v>
      </c>
      <c r="M2795" s="507">
        <v>3.0</v>
      </c>
      <c r="N2795" s="507">
        <v>3.0</v>
      </c>
      <c r="O2795" s="507">
        <v>1.0</v>
      </c>
      <c r="P2795" s="266" t="s">
        <v>166</v>
      </c>
      <c r="Q2795" s="266" t="s">
        <v>166</v>
      </c>
      <c r="R2795" s="266" t="s">
        <v>166</v>
      </c>
      <c r="S2795" s="266" t="s">
        <v>166</v>
      </c>
      <c r="T2795" s="509"/>
    </row>
    <row r="2796">
      <c r="A2796" s="498" t="s">
        <v>3401</v>
      </c>
      <c r="B2796" s="539" t="s">
        <v>3614</v>
      </c>
      <c r="C2796" s="500" t="s">
        <v>3440</v>
      </c>
      <c r="D2796" s="549" t="s">
        <v>4085</v>
      </c>
      <c r="E2796" s="519">
        <v>225.5</v>
      </c>
      <c r="F2796" s="519">
        <v>123.2</v>
      </c>
      <c r="G2796" s="519">
        <v>44.0</v>
      </c>
      <c r="H2796" s="393">
        <v>2.0</v>
      </c>
      <c r="I2796" s="393">
        <v>2535.0</v>
      </c>
      <c r="J2796" s="651">
        <v>18.0</v>
      </c>
      <c r="K2796" s="519">
        <v>165.0</v>
      </c>
      <c r="L2796" s="501">
        <v>8.0</v>
      </c>
      <c r="M2796" s="519">
        <v>2.0</v>
      </c>
      <c r="N2796" s="519">
        <v>3.0</v>
      </c>
      <c r="O2796" s="519">
        <v>1.0</v>
      </c>
      <c r="P2796" s="501" t="s">
        <v>166</v>
      </c>
      <c r="Q2796" s="501" t="s">
        <v>166</v>
      </c>
      <c r="R2796" s="501" t="s">
        <v>166</v>
      </c>
      <c r="S2796" s="501" t="s">
        <v>166</v>
      </c>
      <c r="T2796" s="541"/>
    </row>
    <row r="2797">
      <c r="A2797" s="504" t="s">
        <v>3401</v>
      </c>
      <c r="B2797" s="505" t="s">
        <v>3615</v>
      </c>
      <c r="C2797" s="282" t="str">
        <f t="shared" ref="C2797:C2814" si="412">HYPERLINK("https://www.asus.com/","Asus")</f>
        <v>Asus</v>
      </c>
      <c r="D2797" s="544" t="s">
        <v>3810</v>
      </c>
      <c r="E2797" s="507">
        <v>269.0</v>
      </c>
      <c r="F2797" s="507">
        <v>111.0</v>
      </c>
      <c r="G2797" s="507">
        <v>40.0</v>
      </c>
      <c r="H2797" s="260">
        <v>2.0</v>
      </c>
      <c r="I2797" s="260">
        <v>2475.0</v>
      </c>
      <c r="J2797" s="518">
        <v>21.0</v>
      </c>
      <c r="K2797" s="507">
        <v>200.0</v>
      </c>
      <c r="L2797" s="266">
        <v>8.0</v>
      </c>
      <c r="M2797" s="507">
        <v>1.0</v>
      </c>
      <c r="N2797" s="507">
        <v>3.0</v>
      </c>
      <c r="O2797" s="507">
        <v>1.0</v>
      </c>
      <c r="P2797" s="266" t="s">
        <v>166</v>
      </c>
      <c r="Q2797" s="266" t="s">
        <v>166</v>
      </c>
      <c r="R2797" s="266" t="s">
        <v>166</v>
      </c>
      <c r="S2797" s="266" t="s">
        <v>174</v>
      </c>
      <c r="T2797" s="509"/>
    </row>
    <row r="2798">
      <c r="A2798" s="504" t="s">
        <v>3401</v>
      </c>
      <c r="B2798" s="505" t="s">
        <v>3615</v>
      </c>
      <c r="C2798" s="282" t="str">
        <f t="shared" si="412"/>
        <v>Asus</v>
      </c>
      <c r="D2798" s="544" t="s">
        <v>3372</v>
      </c>
      <c r="E2798" s="507">
        <v>267.01</v>
      </c>
      <c r="F2798" s="507">
        <v>133.94</v>
      </c>
      <c r="G2798" s="507">
        <v>51.13</v>
      </c>
      <c r="H2798" s="260">
        <v>2.0</v>
      </c>
      <c r="I2798" s="260">
        <v>2505.0</v>
      </c>
      <c r="J2798" s="260">
        <v>21.0</v>
      </c>
      <c r="K2798" s="507">
        <v>200.0</v>
      </c>
      <c r="L2798" s="507">
        <v>8.0</v>
      </c>
      <c r="M2798" s="507">
        <v>2.0</v>
      </c>
      <c r="N2798" s="507">
        <v>3.0</v>
      </c>
      <c r="O2798" s="507">
        <v>1.0</v>
      </c>
      <c r="P2798" s="507" t="s">
        <v>166</v>
      </c>
      <c r="Q2798" s="507" t="s">
        <v>166</v>
      </c>
      <c r="R2798" s="507" t="s">
        <v>166</v>
      </c>
      <c r="S2798" s="507" t="s">
        <v>166</v>
      </c>
      <c r="T2798" s="509"/>
    </row>
    <row r="2799">
      <c r="A2799" s="494" t="s">
        <v>3401</v>
      </c>
      <c r="B2799" s="505" t="s">
        <v>3615</v>
      </c>
      <c r="C2799" s="282" t="str">
        <f t="shared" si="412"/>
        <v>Asus</v>
      </c>
      <c r="D2799" s="544" t="s">
        <v>3381</v>
      </c>
      <c r="E2799" s="507">
        <v>267.01</v>
      </c>
      <c r="F2799" s="507">
        <v>133.94</v>
      </c>
      <c r="G2799" s="507">
        <v>51.13</v>
      </c>
      <c r="H2799" s="260">
        <v>2.0</v>
      </c>
      <c r="I2799" s="260">
        <v>2550.0</v>
      </c>
      <c r="J2799" s="518">
        <v>21.0</v>
      </c>
      <c r="K2799" s="507">
        <v>200.0</v>
      </c>
      <c r="L2799" s="266">
        <v>8.0</v>
      </c>
      <c r="M2799" s="507">
        <v>2.0</v>
      </c>
      <c r="N2799" s="507">
        <v>3.0</v>
      </c>
      <c r="O2799" s="507">
        <v>1.0</v>
      </c>
      <c r="P2799" s="266" t="s">
        <v>166</v>
      </c>
      <c r="Q2799" s="266" t="s">
        <v>166</v>
      </c>
      <c r="R2799" s="266" t="s">
        <v>166</v>
      </c>
      <c r="S2799" s="266" t="s">
        <v>166</v>
      </c>
      <c r="T2799" s="509"/>
    </row>
    <row r="2800">
      <c r="A2800" s="494" t="s">
        <v>3401</v>
      </c>
      <c r="B2800" s="505" t="s">
        <v>3615</v>
      </c>
      <c r="C2800" s="282" t="str">
        <f t="shared" si="412"/>
        <v>Asus</v>
      </c>
      <c r="D2800" s="544" t="s">
        <v>3571</v>
      </c>
      <c r="E2800" s="507">
        <v>267.01</v>
      </c>
      <c r="F2800" s="507">
        <v>133.94</v>
      </c>
      <c r="G2800" s="507">
        <v>51.13</v>
      </c>
      <c r="H2800" s="260">
        <v>2.0</v>
      </c>
      <c r="I2800" s="260">
        <v>2505.0</v>
      </c>
      <c r="J2800" s="518">
        <v>21.0</v>
      </c>
      <c r="K2800" s="507">
        <v>200.0</v>
      </c>
      <c r="L2800" s="266">
        <v>8.0</v>
      </c>
      <c r="M2800" s="507">
        <v>2.0</v>
      </c>
      <c r="N2800" s="507">
        <v>3.0</v>
      </c>
      <c r="O2800" s="507">
        <v>1.0</v>
      </c>
      <c r="P2800" s="266" t="s">
        <v>166</v>
      </c>
      <c r="Q2800" s="266" t="s">
        <v>166</v>
      </c>
      <c r="R2800" s="266" t="s">
        <v>166</v>
      </c>
      <c r="S2800" s="266" t="s">
        <v>166</v>
      </c>
      <c r="T2800" s="509"/>
    </row>
    <row r="2801">
      <c r="A2801" s="494" t="s">
        <v>3401</v>
      </c>
      <c r="B2801" s="505" t="s">
        <v>3615</v>
      </c>
      <c r="C2801" s="282" t="str">
        <f t="shared" si="412"/>
        <v>Asus</v>
      </c>
      <c r="D2801" s="544" t="s">
        <v>3572</v>
      </c>
      <c r="E2801" s="507">
        <v>267.01</v>
      </c>
      <c r="F2801" s="507">
        <v>133.94</v>
      </c>
      <c r="G2801" s="507">
        <v>51.13</v>
      </c>
      <c r="H2801" s="260">
        <v>2.0</v>
      </c>
      <c r="I2801" s="260">
        <v>2550.0</v>
      </c>
      <c r="J2801" s="518">
        <v>21.0</v>
      </c>
      <c r="K2801" s="507">
        <v>200.0</v>
      </c>
      <c r="L2801" s="266">
        <v>8.0</v>
      </c>
      <c r="M2801" s="507">
        <v>2.0</v>
      </c>
      <c r="N2801" s="507">
        <v>3.0</v>
      </c>
      <c r="O2801" s="507">
        <v>1.0</v>
      </c>
      <c r="P2801" s="266" t="s">
        <v>166</v>
      </c>
      <c r="Q2801" s="266" t="s">
        <v>166</v>
      </c>
      <c r="R2801" s="266" t="s">
        <v>166</v>
      </c>
      <c r="S2801" s="266" t="s">
        <v>166</v>
      </c>
      <c r="T2801" s="509"/>
    </row>
    <row r="2802">
      <c r="A2802" s="494" t="s">
        <v>3401</v>
      </c>
      <c r="B2802" s="505" t="s">
        <v>3615</v>
      </c>
      <c r="C2802" s="282" t="str">
        <f t="shared" si="412"/>
        <v>Asus</v>
      </c>
      <c r="D2802" s="544" t="s">
        <v>3629</v>
      </c>
      <c r="E2802" s="507">
        <v>227.2</v>
      </c>
      <c r="F2802" s="507">
        <v>123.24</v>
      </c>
      <c r="G2802" s="507">
        <v>49.6</v>
      </c>
      <c r="H2802" s="260">
        <v>2.0</v>
      </c>
      <c r="I2802" s="260">
        <v>2505.0</v>
      </c>
      <c r="J2802" s="518">
        <v>21.0</v>
      </c>
      <c r="K2802" s="507">
        <v>200.0</v>
      </c>
      <c r="L2802" s="266">
        <v>8.0</v>
      </c>
      <c r="M2802" s="507">
        <v>2.0</v>
      </c>
      <c r="N2802" s="507">
        <v>3.0</v>
      </c>
      <c r="O2802" s="507">
        <v>1.0</v>
      </c>
      <c r="P2802" s="266" t="s">
        <v>166</v>
      </c>
      <c r="Q2802" s="266" t="s">
        <v>166</v>
      </c>
      <c r="R2802" s="266" t="s">
        <v>166</v>
      </c>
      <c r="S2802" s="266" t="s">
        <v>166</v>
      </c>
      <c r="T2802" s="509"/>
    </row>
    <row r="2803">
      <c r="A2803" s="494" t="s">
        <v>3401</v>
      </c>
      <c r="B2803" s="505" t="s">
        <v>3615</v>
      </c>
      <c r="C2803" s="282" t="str">
        <f t="shared" si="412"/>
        <v>Asus</v>
      </c>
      <c r="D2803" s="544" t="s">
        <v>3659</v>
      </c>
      <c r="E2803" s="507">
        <v>227.2</v>
      </c>
      <c r="F2803" s="507">
        <v>123.24</v>
      </c>
      <c r="G2803" s="507">
        <v>49.6</v>
      </c>
      <c r="H2803" s="260">
        <v>2.0</v>
      </c>
      <c r="I2803" s="260">
        <v>2550.0</v>
      </c>
      <c r="J2803" s="518">
        <v>21.0</v>
      </c>
      <c r="K2803" s="507">
        <v>200.0</v>
      </c>
      <c r="L2803" s="266">
        <v>8.0</v>
      </c>
      <c r="M2803" s="507">
        <v>2.0</v>
      </c>
      <c r="N2803" s="507">
        <v>3.0</v>
      </c>
      <c r="O2803" s="507">
        <v>1.0</v>
      </c>
      <c r="P2803" s="266" t="s">
        <v>166</v>
      </c>
      <c r="Q2803" s="266" t="s">
        <v>166</v>
      </c>
      <c r="R2803" s="266" t="s">
        <v>166</v>
      </c>
      <c r="S2803" s="266" t="s">
        <v>166</v>
      </c>
      <c r="T2803" s="509"/>
    </row>
    <row r="2804">
      <c r="A2804" s="494" t="s">
        <v>3401</v>
      </c>
      <c r="B2804" s="505" t="s">
        <v>3615</v>
      </c>
      <c r="C2804" s="282" t="str">
        <f t="shared" si="412"/>
        <v>Asus</v>
      </c>
      <c r="D2804" s="544" t="s">
        <v>4505</v>
      </c>
      <c r="E2804" s="507">
        <v>227.2</v>
      </c>
      <c r="F2804" s="507">
        <v>123.24</v>
      </c>
      <c r="G2804" s="507">
        <v>49.6</v>
      </c>
      <c r="H2804" s="260">
        <v>2.0</v>
      </c>
      <c r="I2804" s="260">
        <v>2505.0</v>
      </c>
      <c r="J2804" s="518">
        <v>21.0</v>
      </c>
      <c r="K2804" s="507">
        <v>200.0</v>
      </c>
      <c r="L2804" s="266">
        <v>8.0</v>
      </c>
      <c r="M2804" s="507">
        <v>2.0</v>
      </c>
      <c r="N2804" s="507">
        <v>3.0</v>
      </c>
      <c r="O2804" s="507">
        <v>1.0</v>
      </c>
      <c r="P2804" s="266" t="s">
        <v>166</v>
      </c>
      <c r="Q2804" s="266" t="s">
        <v>166</v>
      </c>
      <c r="R2804" s="266" t="s">
        <v>166</v>
      </c>
      <c r="S2804" s="266" t="s">
        <v>166</v>
      </c>
      <c r="T2804" s="509"/>
    </row>
    <row r="2805">
      <c r="A2805" s="494" t="s">
        <v>3401</v>
      </c>
      <c r="B2805" s="505" t="s">
        <v>3615</v>
      </c>
      <c r="C2805" s="282" t="str">
        <f t="shared" si="412"/>
        <v>Asus</v>
      </c>
      <c r="D2805" s="544" t="s">
        <v>4506</v>
      </c>
      <c r="E2805" s="507">
        <v>227.2</v>
      </c>
      <c r="F2805" s="507">
        <v>123.24</v>
      </c>
      <c r="G2805" s="507">
        <v>49.6</v>
      </c>
      <c r="H2805" s="260">
        <v>2.0</v>
      </c>
      <c r="I2805" s="260">
        <v>2550.0</v>
      </c>
      <c r="J2805" s="518">
        <v>21.0</v>
      </c>
      <c r="K2805" s="507">
        <v>200.0</v>
      </c>
      <c r="L2805" s="266">
        <v>8.0</v>
      </c>
      <c r="M2805" s="507">
        <v>2.0</v>
      </c>
      <c r="N2805" s="507">
        <v>3.0</v>
      </c>
      <c r="O2805" s="507">
        <v>1.0</v>
      </c>
      <c r="P2805" s="266" t="s">
        <v>166</v>
      </c>
      <c r="Q2805" s="266" t="s">
        <v>166</v>
      </c>
      <c r="R2805" s="266" t="s">
        <v>166</v>
      </c>
      <c r="S2805" s="266" t="s">
        <v>166</v>
      </c>
      <c r="T2805" s="509"/>
    </row>
    <row r="2806">
      <c r="A2806" s="494" t="s">
        <v>3401</v>
      </c>
      <c r="B2806" s="505" t="s">
        <v>3615</v>
      </c>
      <c r="C2806" s="282" t="str">
        <f t="shared" si="412"/>
        <v>Asus</v>
      </c>
      <c r="D2806" s="544" t="s">
        <v>4482</v>
      </c>
      <c r="E2806" s="507">
        <v>269.0</v>
      </c>
      <c r="F2806" s="507">
        <v>120.0</v>
      </c>
      <c r="G2806" s="507">
        <v>50.0</v>
      </c>
      <c r="H2806" s="260">
        <v>2.0</v>
      </c>
      <c r="I2806" s="260">
        <v>2505.0</v>
      </c>
      <c r="J2806" s="518">
        <v>21.0</v>
      </c>
      <c r="K2806" s="507">
        <v>200.0</v>
      </c>
      <c r="L2806" s="266">
        <v>8.0</v>
      </c>
      <c r="M2806" s="507">
        <v>3.0</v>
      </c>
      <c r="N2806" s="507">
        <v>3.0</v>
      </c>
      <c r="O2806" s="507">
        <v>1.0</v>
      </c>
      <c r="P2806" s="266" t="s">
        <v>166</v>
      </c>
      <c r="Q2806" s="266" t="s">
        <v>166</v>
      </c>
      <c r="R2806" s="266" t="s">
        <v>166</v>
      </c>
      <c r="S2806" s="266" t="s">
        <v>166</v>
      </c>
      <c r="T2806" s="509"/>
    </row>
    <row r="2807">
      <c r="A2807" s="494" t="s">
        <v>3401</v>
      </c>
      <c r="B2807" s="505" t="s">
        <v>3615</v>
      </c>
      <c r="C2807" s="282" t="str">
        <f t="shared" si="412"/>
        <v>Asus</v>
      </c>
      <c r="D2807" s="544" t="s">
        <v>4483</v>
      </c>
      <c r="E2807" s="507">
        <v>269.0</v>
      </c>
      <c r="F2807" s="507">
        <v>120.0</v>
      </c>
      <c r="G2807" s="507">
        <v>50.0</v>
      </c>
      <c r="H2807" s="260">
        <v>2.0</v>
      </c>
      <c r="I2807" s="260">
        <v>2550.0</v>
      </c>
      <c r="J2807" s="518">
        <v>21.0</v>
      </c>
      <c r="K2807" s="507">
        <v>200.0</v>
      </c>
      <c r="L2807" s="266">
        <v>8.0</v>
      </c>
      <c r="M2807" s="507">
        <v>3.0</v>
      </c>
      <c r="N2807" s="507">
        <v>3.0</v>
      </c>
      <c r="O2807" s="507">
        <v>1.0</v>
      </c>
      <c r="P2807" s="266" t="s">
        <v>166</v>
      </c>
      <c r="Q2807" s="266" t="s">
        <v>166</v>
      </c>
      <c r="R2807" s="266" t="s">
        <v>166</v>
      </c>
      <c r="S2807" s="266" t="s">
        <v>166</v>
      </c>
      <c r="T2807" s="509"/>
    </row>
    <row r="2808">
      <c r="A2808" s="494" t="s">
        <v>3401</v>
      </c>
      <c r="B2808" s="505" t="s">
        <v>3615</v>
      </c>
      <c r="C2808" s="282" t="str">
        <f t="shared" si="412"/>
        <v>Asus</v>
      </c>
      <c r="D2808" s="544" t="s">
        <v>4507</v>
      </c>
      <c r="E2808" s="507">
        <v>317.0</v>
      </c>
      <c r="F2808" s="507">
        <v>136.0</v>
      </c>
      <c r="G2808" s="507">
        <v>54.0</v>
      </c>
      <c r="H2808" s="260">
        <v>2.0</v>
      </c>
      <c r="I2808" s="260">
        <v>2550.0</v>
      </c>
      <c r="J2808" s="518">
        <v>21.0</v>
      </c>
      <c r="K2808" s="507">
        <v>200.0</v>
      </c>
      <c r="L2808" s="266">
        <v>8.0</v>
      </c>
      <c r="M2808" s="507">
        <v>3.0</v>
      </c>
      <c r="N2808" s="507">
        <v>3.0</v>
      </c>
      <c r="O2808" s="507">
        <v>1.0</v>
      </c>
      <c r="P2808" s="266" t="s">
        <v>166</v>
      </c>
      <c r="Q2808" s="266" t="s">
        <v>166</v>
      </c>
      <c r="R2808" s="266" t="s">
        <v>166</v>
      </c>
      <c r="S2808" s="266" t="s">
        <v>166</v>
      </c>
      <c r="T2808" s="509"/>
    </row>
    <row r="2809">
      <c r="A2809" s="494" t="s">
        <v>3401</v>
      </c>
      <c r="B2809" s="505" t="s">
        <v>3615</v>
      </c>
      <c r="C2809" s="282" t="str">
        <f t="shared" si="412"/>
        <v>Asus</v>
      </c>
      <c r="D2809" s="544" t="s">
        <v>4451</v>
      </c>
      <c r="E2809" s="507">
        <v>300.0</v>
      </c>
      <c r="F2809" s="507">
        <v>120.0</v>
      </c>
      <c r="G2809" s="507">
        <v>50.0</v>
      </c>
      <c r="H2809" s="260">
        <v>2.0</v>
      </c>
      <c r="I2809" s="260">
        <v>2505.0</v>
      </c>
      <c r="J2809" s="518">
        <v>21.0</v>
      </c>
      <c r="K2809" s="507">
        <v>200.0</v>
      </c>
      <c r="L2809" s="266">
        <v>8.0</v>
      </c>
      <c r="M2809" s="507">
        <v>3.0</v>
      </c>
      <c r="N2809" s="507">
        <v>3.0</v>
      </c>
      <c r="O2809" s="507">
        <v>1.0</v>
      </c>
      <c r="P2809" s="266" t="s">
        <v>166</v>
      </c>
      <c r="Q2809" s="266" t="s">
        <v>166</v>
      </c>
      <c r="R2809" s="266" t="s">
        <v>166</v>
      </c>
      <c r="S2809" s="266" t="s">
        <v>166</v>
      </c>
      <c r="T2809" s="509"/>
    </row>
    <row r="2810">
      <c r="A2810" s="494" t="s">
        <v>3401</v>
      </c>
      <c r="B2810" s="505" t="s">
        <v>3615</v>
      </c>
      <c r="C2810" s="282" t="str">
        <f t="shared" si="412"/>
        <v>Asus</v>
      </c>
      <c r="D2810" s="544" t="s">
        <v>4452</v>
      </c>
      <c r="E2810" s="507">
        <v>300.0</v>
      </c>
      <c r="F2810" s="507">
        <v>120.0</v>
      </c>
      <c r="G2810" s="507">
        <v>50.0</v>
      </c>
      <c r="H2810" s="260">
        <v>2.0</v>
      </c>
      <c r="I2810" s="260">
        <v>2565.0</v>
      </c>
      <c r="J2810" s="518">
        <v>21.0</v>
      </c>
      <c r="K2810" s="507">
        <v>200.0</v>
      </c>
      <c r="L2810" s="266">
        <v>8.0</v>
      </c>
      <c r="M2810" s="507">
        <v>3.0</v>
      </c>
      <c r="N2810" s="507">
        <v>3.0</v>
      </c>
      <c r="O2810" s="507">
        <v>1.0</v>
      </c>
      <c r="P2810" s="266" t="s">
        <v>166</v>
      </c>
      <c r="Q2810" s="266" t="s">
        <v>166</v>
      </c>
      <c r="R2810" s="266" t="s">
        <v>166</v>
      </c>
      <c r="S2810" s="266" t="s">
        <v>166</v>
      </c>
      <c r="T2810" s="509"/>
    </row>
    <row r="2811">
      <c r="A2811" s="494" t="s">
        <v>3401</v>
      </c>
      <c r="B2811" s="505" t="s">
        <v>3615</v>
      </c>
      <c r="C2811" s="282" t="str">
        <f t="shared" si="412"/>
        <v>Asus</v>
      </c>
      <c r="D2811" s="544" t="s">
        <v>3477</v>
      </c>
      <c r="E2811" s="507">
        <v>301.0</v>
      </c>
      <c r="F2811" s="507">
        <v>139.0</v>
      </c>
      <c r="G2811" s="507">
        <v>63.0</v>
      </c>
      <c r="H2811" s="260">
        <v>2.0</v>
      </c>
      <c r="I2811" s="260">
        <v>2505.0</v>
      </c>
      <c r="J2811" s="518">
        <v>21.0</v>
      </c>
      <c r="K2811" s="507">
        <v>200.0</v>
      </c>
      <c r="L2811" s="266">
        <v>8.0</v>
      </c>
      <c r="M2811" s="507">
        <v>3.0</v>
      </c>
      <c r="N2811" s="507">
        <v>3.0</v>
      </c>
      <c r="O2811" s="507">
        <v>1.0</v>
      </c>
      <c r="P2811" s="266" t="s">
        <v>166</v>
      </c>
      <c r="Q2811" s="266" t="s">
        <v>166</v>
      </c>
      <c r="R2811" s="266" t="s">
        <v>166</v>
      </c>
      <c r="S2811" s="266" t="s">
        <v>166</v>
      </c>
      <c r="T2811" s="509"/>
    </row>
    <row r="2812">
      <c r="A2812" s="494" t="s">
        <v>3401</v>
      </c>
      <c r="B2812" s="505" t="s">
        <v>3615</v>
      </c>
      <c r="C2812" s="282" t="str">
        <f t="shared" si="412"/>
        <v>Asus</v>
      </c>
      <c r="D2812" s="544" t="s">
        <v>3478</v>
      </c>
      <c r="E2812" s="507">
        <v>301.0</v>
      </c>
      <c r="F2812" s="507">
        <v>139.0</v>
      </c>
      <c r="G2812" s="507">
        <v>63.0</v>
      </c>
      <c r="H2812" s="260">
        <v>2.0</v>
      </c>
      <c r="I2812" s="260">
        <v>2580.0</v>
      </c>
      <c r="J2812" s="518">
        <v>21.0</v>
      </c>
      <c r="K2812" s="507">
        <v>200.0</v>
      </c>
      <c r="L2812" s="266">
        <v>8.0</v>
      </c>
      <c r="M2812" s="507">
        <v>3.0</v>
      </c>
      <c r="N2812" s="507">
        <v>3.0</v>
      </c>
      <c r="O2812" s="507">
        <v>1.0</v>
      </c>
      <c r="P2812" s="266" t="s">
        <v>166</v>
      </c>
      <c r="Q2812" s="266" t="s">
        <v>166</v>
      </c>
      <c r="R2812" s="266" t="s">
        <v>166</v>
      </c>
      <c r="S2812" s="266" t="s">
        <v>166</v>
      </c>
      <c r="T2812" s="509"/>
    </row>
    <row r="2813">
      <c r="A2813" s="494" t="s">
        <v>3401</v>
      </c>
      <c r="B2813" s="505" t="s">
        <v>3615</v>
      </c>
      <c r="C2813" s="282" t="str">
        <f t="shared" si="412"/>
        <v>Asus</v>
      </c>
      <c r="D2813" s="544" t="s">
        <v>3631</v>
      </c>
      <c r="E2813" s="507">
        <v>338.9</v>
      </c>
      <c r="F2813" s="507">
        <v>149.4</v>
      </c>
      <c r="G2813" s="507">
        <v>62.4</v>
      </c>
      <c r="H2813" s="260">
        <v>2.0</v>
      </c>
      <c r="I2813" s="260">
        <v>2505.0</v>
      </c>
      <c r="J2813" s="518">
        <v>21.0</v>
      </c>
      <c r="K2813" s="507">
        <v>200.0</v>
      </c>
      <c r="L2813" s="266" t="s">
        <v>3619</v>
      </c>
      <c r="M2813" s="507">
        <v>3.0</v>
      </c>
      <c r="N2813" s="507">
        <v>3.0</v>
      </c>
      <c r="O2813" s="507">
        <v>2.0</v>
      </c>
      <c r="P2813" s="266" t="s">
        <v>166</v>
      </c>
      <c r="Q2813" s="266" t="s">
        <v>166</v>
      </c>
      <c r="R2813" s="266" t="s">
        <v>166</v>
      </c>
      <c r="S2813" s="266" t="s">
        <v>166</v>
      </c>
      <c r="T2813" s="509"/>
    </row>
    <row r="2814">
      <c r="A2814" s="494" t="s">
        <v>3401</v>
      </c>
      <c r="B2814" s="505" t="s">
        <v>3615</v>
      </c>
      <c r="C2814" s="282" t="str">
        <f t="shared" si="412"/>
        <v>Asus</v>
      </c>
      <c r="D2814" s="544" t="s">
        <v>3643</v>
      </c>
      <c r="E2814" s="507">
        <v>338.9</v>
      </c>
      <c r="F2814" s="507">
        <v>149.4</v>
      </c>
      <c r="G2814" s="507">
        <v>62.4</v>
      </c>
      <c r="H2814" s="260">
        <v>2.0</v>
      </c>
      <c r="I2814" s="260">
        <v>2640.0</v>
      </c>
      <c r="J2814" s="518">
        <v>21.0</v>
      </c>
      <c r="K2814" s="507">
        <v>200.0</v>
      </c>
      <c r="L2814" s="266" t="s">
        <v>3619</v>
      </c>
      <c r="M2814" s="507">
        <v>3.0</v>
      </c>
      <c r="N2814" s="507">
        <v>3.0</v>
      </c>
      <c r="O2814" s="507">
        <v>2.0</v>
      </c>
      <c r="P2814" s="266" t="s">
        <v>166</v>
      </c>
      <c r="Q2814" s="266" t="s">
        <v>166</v>
      </c>
      <c r="R2814" s="266" t="s">
        <v>166</v>
      </c>
      <c r="S2814" s="266" t="s">
        <v>166</v>
      </c>
      <c r="T2814" s="509"/>
    </row>
    <row r="2815">
      <c r="A2815" s="494" t="s">
        <v>3401</v>
      </c>
      <c r="B2815" s="505" t="s">
        <v>3615</v>
      </c>
      <c r="C2815" s="452" t="s">
        <v>3575</v>
      </c>
      <c r="D2815" s="544" t="s">
        <v>4071</v>
      </c>
      <c r="E2815" s="507">
        <f>325-12</f>
        <v>313</v>
      </c>
      <c r="F2815" s="507">
        <f>134-15</f>
        <v>119</v>
      </c>
      <c r="G2815" s="507">
        <v>53.8</v>
      </c>
      <c r="H2815" s="260">
        <v>2.0</v>
      </c>
      <c r="I2815" s="260">
        <v>2475.0</v>
      </c>
      <c r="J2815" s="518">
        <v>21.0</v>
      </c>
      <c r="K2815" s="507">
        <v>200.0</v>
      </c>
      <c r="L2815" s="266">
        <v>8.0</v>
      </c>
      <c r="M2815" s="507">
        <v>3.0</v>
      </c>
      <c r="N2815" s="507">
        <v>3.0</v>
      </c>
      <c r="O2815" s="507">
        <v>1.0</v>
      </c>
      <c r="P2815" s="266" t="s">
        <v>166</v>
      </c>
      <c r="Q2815" s="266" t="s">
        <v>166</v>
      </c>
      <c r="R2815" s="266" t="s">
        <v>166</v>
      </c>
      <c r="S2815" s="266" t="s">
        <v>166</v>
      </c>
      <c r="T2815" s="509"/>
    </row>
    <row r="2816">
      <c r="A2816" s="494" t="s">
        <v>3401</v>
      </c>
      <c r="B2816" s="505" t="s">
        <v>3615</v>
      </c>
      <c r="C2816" s="452" t="s">
        <v>3575</v>
      </c>
      <c r="D2816" s="544" t="s">
        <v>4454</v>
      </c>
      <c r="E2816" s="507">
        <v>262.6</v>
      </c>
      <c r="F2816" s="507">
        <v>132.3</v>
      </c>
      <c r="G2816" s="507">
        <v>47.5</v>
      </c>
      <c r="H2816" s="260">
        <v>2.0</v>
      </c>
      <c r="I2816" s="260">
        <v>2505.0</v>
      </c>
      <c r="J2816" s="518">
        <v>21.0</v>
      </c>
      <c r="K2816" s="507">
        <v>200.0</v>
      </c>
      <c r="L2816" s="266">
        <v>8.0</v>
      </c>
      <c r="M2816" s="507">
        <v>2.0</v>
      </c>
      <c r="N2816" s="507">
        <v>3.0</v>
      </c>
      <c r="O2816" s="507">
        <v>1.0</v>
      </c>
      <c r="P2816" s="266" t="s">
        <v>166</v>
      </c>
      <c r="Q2816" s="266" t="s">
        <v>166</v>
      </c>
      <c r="R2816" s="266" t="s">
        <v>166</v>
      </c>
      <c r="S2816" s="266" t="s">
        <v>166</v>
      </c>
      <c r="T2816" s="509"/>
    </row>
    <row r="2817">
      <c r="A2817" s="494" t="s">
        <v>3401</v>
      </c>
      <c r="B2817" s="505" t="s">
        <v>3615</v>
      </c>
      <c r="C2817" s="452" t="s">
        <v>3575</v>
      </c>
      <c r="D2817" s="544" t="s">
        <v>4087</v>
      </c>
      <c r="E2817" s="507">
        <f t="shared" ref="E2817:E2818" si="413">324.9-12</f>
        <v>312.9</v>
      </c>
      <c r="F2817" s="507">
        <f t="shared" ref="F2817:F2818" si="414">134-15</f>
        <v>119</v>
      </c>
      <c r="G2817" s="507">
        <v>51.2</v>
      </c>
      <c r="H2817" s="260">
        <v>2.0</v>
      </c>
      <c r="I2817" s="260">
        <v>2505.0</v>
      </c>
      <c r="J2817" s="518">
        <v>21.0</v>
      </c>
      <c r="K2817" s="507">
        <v>200.0</v>
      </c>
      <c r="L2817" s="266">
        <v>8.0</v>
      </c>
      <c r="M2817" s="507">
        <v>3.0</v>
      </c>
      <c r="N2817" s="507">
        <v>3.0</v>
      </c>
      <c r="O2817" s="507">
        <v>1.0</v>
      </c>
      <c r="P2817" s="266" t="s">
        <v>166</v>
      </c>
      <c r="Q2817" s="266" t="s">
        <v>166</v>
      </c>
      <c r="R2817" s="266" t="s">
        <v>166</v>
      </c>
      <c r="S2817" s="266" t="s">
        <v>166</v>
      </c>
      <c r="T2817" s="509"/>
    </row>
    <row r="2818">
      <c r="A2818" s="494" t="s">
        <v>3401</v>
      </c>
      <c r="B2818" s="505" t="s">
        <v>3615</v>
      </c>
      <c r="C2818" s="452" t="s">
        <v>3575</v>
      </c>
      <c r="D2818" s="544" t="s">
        <v>4256</v>
      </c>
      <c r="E2818" s="507">
        <f t="shared" si="413"/>
        <v>312.9</v>
      </c>
      <c r="F2818" s="507">
        <f t="shared" si="414"/>
        <v>119</v>
      </c>
      <c r="G2818" s="507">
        <v>51.2</v>
      </c>
      <c r="H2818" s="260">
        <v>2.0</v>
      </c>
      <c r="I2818" s="260">
        <v>2505.0</v>
      </c>
      <c r="J2818" s="518">
        <v>21.0</v>
      </c>
      <c r="K2818" s="507">
        <v>200.0</v>
      </c>
      <c r="L2818" s="266">
        <v>8.0</v>
      </c>
      <c r="M2818" s="507">
        <v>3.0</v>
      </c>
      <c r="N2818" s="507">
        <v>3.0</v>
      </c>
      <c r="O2818" s="507">
        <v>1.0</v>
      </c>
      <c r="P2818" s="266" t="s">
        <v>166</v>
      </c>
      <c r="Q2818" s="266" t="s">
        <v>166</v>
      </c>
      <c r="R2818" s="266" t="s">
        <v>166</v>
      </c>
      <c r="S2818" s="266" t="s">
        <v>166</v>
      </c>
      <c r="T2818" s="509"/>
    </row>
    <row r="2819">
      <c r="A2819" s="494" t="s">
        <v>3401</v>
      </c>
      <c r="B2819" s="505" t="s">
        <v>3615</v>
      </c>
      <c r="C2819" s="452" t="s">
        <v>3575</v>
      </c>
      <c r="D2819" s="544" t="s">
        <v>3889</v>
      </c>
      <c r="E2819" s="507">
        <f>343.5-12</f>
        <v>331.5</v>
      </c>
      <c r="F2819" s="507">
        <f>150.2-15</f>
        <v>135.2</v>
      </c>
      <c r="G2819" s="507">
        <v>53.5</v>
      </c>
      <c r="H2819" s="260">
        <v>2.0</v>
      </c>
      <c r="I2819" s="260">
        <v>2610.0</v>
      </c>
      <c r="J2819" s="518">
        <v>21.0</v>
      </c>
      <c r="K2819" s="507">
        <v>215.0</v>
      </c>
      <c r="L2819" s="266" t="s">
        <v>3619</v>
      </c>
      <c r="M2819" s="507">
        <v>3.0</v>
      </c>
      <c r="N2819" s="507">
        <v>3.0</v>
      </c>
      <c r="O2819" s="507">
        <v>1.0</v>
      </c>
      <c r="P2819" s="266" t="s">
        <v>166</v>
      </c>
      <c r="Q2819" s="266" t="s">
        <v>166</v>
      </c>
      <c r="R2819" s="266" t="s">
        <v>166</v>
      </c>
      <c r="S2819" s="266" t="s">
        <v>166</v>
      </c>
      <c r="T2819" s="509"/>
    </row>
    <row r="2820">
      <c r="A2820" s="494" t="s">
        <v>3401</v>
      </c>
      <c r="B2820" s="505" t="s">
        <v>3615</v>
      </c>
      <c r="C2820" s="452" t="s">
        <v>3575</v>
      </c>
      <c r="D2820" s="544" t="s">
        <v>3943</v>
      </c>
      <c r="E2820" s="507">
        <f>348.5-12</f>
        <v>336.5</v>
      </c>
      <c r="F2820" s="507">
        <f>159.5-15</f>
        <v>144.5</v>
      </c>
      <c r="G2820" s="507">
        <v>60.5</v>
      </c>
      <c r="H2820" s="260">
        <v>2.0</v>
      </c>
      <c r="I2820" s="260">
        <v>2625.0</v>
      </c>
      <c r="J2820" s="518">
        <v>21.0</v>
      </c>
      <c r="K2820" s="507">
        <v>215.0</v>
      </c>
      <c r="L2820" s="266" t="s">
        <v>3619</v>
      </c>
      <c r="M2820" s="507">
        <v>3.0</v>
      </c>
      <c r="N2820" s="507">
        <v>3.0</v>
      </c>
      <c r="O2820" s="507">
        <v>1.0</v>
      </c>
      <c r="P2820" s="266" t="s">
        <v>166</v>
      </c>
      <c r="Q2820" s="266" t="s">
        <v>166</v>
      </c>
      <c r="R2820" s="266" t="s">
        <v>166</v>
      </c>
      <c r="S2820" s="266" t="s">
        <v>166</v>
      </c>
      <c r="T2820" s="509"/>
    </row>
    <row r="2821">
      <c r="A2821" s="494" t="s">
        <v>3401</v>
      </c>
      <c r="B2821" s="505" t="s">
        <v>3615</v>
      </c>
      <c r="C2821" s="452" t="s">
        <v>3575</v>
      </c>
      <c r="D2821" s="544" t="s">
        <v>3970</v>
      </c>
      <c r="E2821" s="507">
        <f>253.5-12</f>
        <v>241.5</v>
      </c>
      <c r="F2821" s="507">
        <f>170.8-15</f>
        <v>155.8</v>
      </c>
      <c r="G2821" s="507">
        <v>41.5</v>
      </c>
      <c r="H2821" s="260">
        <v>2.0</v>
      </c>
      <c r="I2821" s="260">
        <v>2640.0</v>
      </c>
      <c r="J2821" s="518">
        <v>21.0</v>
      </c>
      <c r="K2821" s="507">
        <v>230.0</v>
      </c>
      <c r="L2821" s="266" t="s">
        <v>3619</v>
      </c>
      <c r="M2821" s="507" t="s">
        <v>166</v>
      </c>
      <c r="N2821" s="507">
        <v>3.0</v>
      </c>
      <c r="O2821" s="507">
        <v>1.0</v>
      </c>
      <c r="P2821" s="266" t="s">
        <v>166</v>
      </c>
      <c r="Q2821" s="266" t="s">
        <v>166</v>
      </c>
      <c r="R2821" s="266" t="s">
        <v>174</v>
      </c>
      <c r="S2821" s="266" t="s">
        <v>166</v>
      </c>
      <c r="T2821" s="509"/>
    </row>
    <row r="2822">
      <c r="A2822" s="494" t="s">
        <v>3401</v>
      </c>
      <c r="B2822" s="505" t="s">
        <v>3615</v>
      </c>
      <c r="C2822" s="452" t="str">
        <f t="shared" ref="C2822:C2832" si="415">HYPERLINK("http://www.gainward.com/main/index.php?lang=en","Gainward")</f>
        <v>Gainward</v>
      </c>
      <c r="D2822" s="544" t="s">
        <v>4456</v>
      </c>
      <c r="E2822" s="507">
        <v>315.0</v>
      </c>
      <c r="F2822" s="507">
        <v>122.0</v>
      </c>
      <c r="G2822" s="507">
        <v>40.0</v>
      </c>
      <c r="H2822" s="260">
        <v>2.0</v>
      </c>
      <c r="I2822" s="260">
        <v>2535.0</v>
      </c>
      <c r="J2822" s="518">
        <v>21.0</v>
      </c>
      <c r="K2822" s="507">
        <v>215.0</v>
      </c>
      <c r="L2822" s="266">
        <v>8.0</v>
      </c>
      <c r="M2822" s="507">
        <v>3.0</v>
      </c>
      <c r="N2822" s="507">
        <v>3.0</v>
      </c>
      <c r="O2822" s="507">
        <v>1.0</v>
      </c>
      <c r="P2822" s="266" t="s">
        <v>166</v>
      </c>
      <c r="Q2822" s="266" t="s">
        <v>166</v>
      </c>
      <c r="R2822" s="266" t="s">
        <v>166</v>
      </c>
      <c r="S2822" s="266" t="s">
        <v>166</v>
      </c>
      <c r="T2822" s="509"/>
    </row>
    <row r="2823">
      <c r="A2823" s="494" t="s">
        <v>3401</v>
      </c>
      <c r="B2823" s="505" t="s">
        <v>3615</v>
      </c>
      <c r="C2823" s="452" t="str">
        <f t="shared" si="415"/>
        <v>Gainward</v>
      </c>
      <c r="D2823" s="544" t="s">
        <v>3592</v>
      </c>
      <c r="E2823" s="507">
        <v>315.0</v>
      </c>
      <c r="F2823" s="507">
        <v>122.0</v>
      </c>
      <c r="G2823" s="507">
        <v>40.0</v>
      </c>
      <c r="H2823" s="260">
        <v>2.0</v>
      </c>
      <c r="I2823" s="260">
        <v>2535.0</v>
      </c>
      <c r="J2823" s="518">
        <v>21.0</v>
      </c>
      <c r="K2823" s="507">
        <v>215.0</v>
      </c>
      <c r="L2823" s="266">
        <v>8.0</v>
      </c>
      <c r="M2823" s="507">
        <v>3.0</v>
      </c>
      <c r="N2823" s="507">
        <v>3.0</v>
      </c>
      <c r="O2823" s="507">
        <v>1.0</v>
      </c>
      <c r="P2823" s="266" t="s">
        <v>166</v>
      </c>
      <c r="Q2823" s="266" t="s">
        <v>166</v>
      </c>
      <c r="R2823" s="266" t="s">
        <v>166</v>
      </c>
      <c r="S2823" s="266" t="s">
        <v>166</v>
      </c>
      <c r="T2823" s="509"/>
    </row>
    <row r="2824">
      <c r="A2824" s="494" t="s">
        <v>3401</v>
      </c>
      <c r="B2824" s="505" t="s">
        <v>3615</v>
      </c>
      <c r="C2824" s="452" t="str">
        <f t="shared" si="415"/>
        <v>Gainward</v>
      </c>
      <c r="D2824" s="544" t="s">
        <v>4508</v>
      </c>
      <c r="E2824" s="507">
        <v>316.0</v>
      </c>
      <c r="F2824" s="507">
        <v>124.0</v>
      </c>
      <c r="G2824" s="507">
        <v>52.0</v>
      </c>
      <c r="H2824" s="260">
        <v>2.0</v>
      </c>
      <c r="I2824" s="260">
        <v>2535.0</v>
      </c>
      <c r="J2824" s="518">
        <v>21.0</v>
      </c>
      <c r="K2824" s="507">
        <v>215.0</v>
      </c>
      <c r="L2824" s="266">
        <v>8.0</v>
      </c>
      <c r="M2824" s="507">
        <v>3.0</v>
      </c>
      <c r="N2824" s="507">
        <v>3.0</v>
      </c>
      <c r="O2824" s="507">
        <v>1.0</v>
      </c>
      <c r="P2824" s="266" t="s">
        <v>166</v>
      </c>
      <c r="Q2824" s="266" t="s">
        <v>166</v>
      </c>
      <c r="R2824" s="266" t="s">
        <v>166</v>
      </c>
      <c r="S2824" s="266" t="s">
        <v>166</v>
      </c>
      <c r="T2824" s="509"/>
    </row>
    <row r="2825">
      <c r="A2825" s="494" t="s">
        <v>3401</v>
      </c>
      <c r="B2825" s="505" t="s">
        <v>3615</v>
      </c>
      <c r="C2825" s="452" t="str">
        <f t="shared" si="415"/>
        <v>Gainward</v>
      </c>
      <c r="D2825" s="544" t="s">
        <v>4485</v>
      </c>
      <c r="E2825" s="507">
        <v>316.0</v>
      </c>
      <c r="F2825" s="507">
        <v>124.0</v>
      </c>
      <c r="G2825" s="507">
        <v>52.0</v>
      </c>
      <c r="H2825" s="260">
        <v>2.0</v>
      </c>
      <c r="I2825" s="260">
        <v>2580.0</v>
      </c>
      <c r="J2825" s="518">
        <v>21.0</v>
      </c>
      <c r="K2825" s="507">
        <v>215.0</v>
      </c>
      <c r="L2825" s="266">
        <v>8.0</v>
      </c>
      <c r="M2825" s="507">
        <v>3.0</v>
      </c>
      <c r="N2825" s="507">
        <v>3.0</v>
      </c>
      <c r="O2825" s="507">
        <v>1.0</v>
      </c>
      <c r="P2825" s="266" t="s">
        <v>166</v>
      </c>
      <c r="Q2825" s="266" t="s">
        <v>166</v>
      </c>
      <c r="R2825" s="266" t="s">
        <v>166</v>
      </c>
      <c r="S2825" s="266" t="s">
        <v>166</v>
      </c>
      <c r="T2825" s="509"/>
    </row>
    <row r="2826">
      <c r="A2826" s="494" t="s">
        <v>3401</v>
      </c>
      <c r="B2826" s="505" t="s">
        <v>3615</v>
      </c>
      <c r="C2826" s="452" t="str">
        <f t="shared" si="415"/>
        <v>Gainward</v>
      </c>
      <c r="D2826" s="544" t="s">
        <v>4457</v>
      </c>
      <c r="E2826" s="507">
        <v>316.0</v>
      </c>
      <c r="F2826" s="507">
        <v>124.0</v>
      </c>
      <c r="G2826" s="507">
        <v>52.0</v>
      </c>
      <c r="H2826" s="260">
        <v>2.0</v>
      </c>
      <c r="I2826" s="260">
        <v>2535.0</v>
      </c>
      <c r="J2826" s="518">
        <v>21.0</v>
      </c>
      <c r="K2826" s="507">
        <v>215.0</v>
      </c>
      <c r="L2826" s="266">
        <v>8.0</v>
      </c>
      <c r="M2826" s="507">
        <v>3.0</v>
      </c>
      <c r="N2826" s="507">
        <v>3.0</v>
      </c>
      <c r="O2826" s="507">
        <v>1.0</v>
      </c>
      <c r="P2826" s="266" t="s">
        <v>166</v>
      </c>
      <c r="Q2826" s="266" t="s">
        <v>166</v>
      </c>
      <c r="R2826" s="266" t="s">
        <v>166</v>
      </c>
      <c r="S2826" s="266" t="s">
        <v>166</v>
      </c>
      <c r="T2826" s="509"/>
    </row>
    <row r="2827">
      <c r="A2827" s="494" t="s">
        <v>3401</v>
      </c>
      <c r="B2827" s="505" t="s">
        <v>3615</v>
      </c>
      <c r="C2827" s="452" t="str">
        <f t="shared" si="415"/>
        <v>Gainward</v>
      </c>
      <c r="D2827" s="544" t="s">
        <v>4458</v>
      </c>
      <c r="E2827" s="507">
        <v>316.0</v>
      </c>
      <c r="F2827" s="507">
        <v>124.0</v>
      </c>
      <c r="G2827" s="507">
        <v>52.0</v>
      </c>
      <c r="H2827" s="260">
        <v>2.0</v>
      </c>
      <c r="I2827" s="260">
        <v>2580.0</v>
      </c>
      <c r="J2827" s="518">
        <v>21.0</v>
      </c>
      <c r="K2827" s="507">
        <v>215.0</v>
      </c>
      <c r="L2827" s="266">
        <v>8.0</v>
      </c>
      <c r="M2827" s="507">
        <v>3.0</v>
      </c>
      <c r="N2827" s="507">
        <v>3.0</v>
      </c>
      <c r="O2827" s="507">
        <v>1.0</v>
      </c>
      <c r="P2827" s="266" t="s">
        <v>166</v>
      </c>
      <c r="Q2827" s="266" t="s">
        <v>166</v>
      </c>
      <c r="R2827" s="266" t="s">
        <v>166</v>
      </c>
      <c r="S2827" s="266" t="s">
        <v>166</v>
      </c>
      <c r="T2827" s="509"/>
    </row>
    <row r="2828">
      <c r="A2828" s="494" t="s">
        <v>3401</v>
      </c>
      <c r="B2828" s="505" t="s">
        <v>3615</v>
      </c>
      <c r="C2828" s="452" t="str">
        <f t="shared" si="415"/>
        <v>Gainward</v>
      </c>
      <c r="D2828" s="544" t="s">
        <v>3926</v>
      </c>
      <c r="E2828" s="507">
        <v>269.1</v>
      </c>
      <c r="F2828" s="507">
        <v>131.8</v>
      </c>
      <c r="G2828" s="507">
        <v>40.1</v>
      </c>
      <c r="H2828" s="260">
        <v>2.0</v>
      </c>
      <c r="I2828" s="260">
        <v>2475.0</v>
      </c>
      <c r="J2828" s="518">
        <v>21.0</v>
      </c>
      <c r="K2828" s="507">
        <v>200.0</v>
      </c>
      <c r="L2828" s="266">
        <v>8.0</v>
      </c>
      <c r="M2828" s="507">
        <v>2.0</v>
      </c>
      <c r="N2828" s="507">
        <v>3.0</v>
      </c>
      <c r="O2828" s="507">
        <v>1.0</v>
      </c>
      <c r="P2828" s="266" t="s">
        <v>166</v>
      </c>
      <c r="Q2828" s="266" t="s">
        <v>166</v>
      </c>
      <c r="R2828" s="266" t="s">
        <v>166</v>
      </c>
      <c r="S2828" s="266" t="s">
        <v>166</v>
      </c>
      <c r="T2828" s="509"/>
    </row>
    <row r="2829">
      <c r="A2829" s="494" t="s">
        <v>3401</v>
      </c>
      <c r="B2829" s="505" t="s">
        <v>3615</v>
      </c>
      <c r="C2829" s="452" t="str">
        <f t="shared" si="415"/>
        <v>Gainward</v>
      </c>
      <c r="D2829" s="544" t="s">
        <v>3488</v>
      </c>
      <c r="E2829" s="507">
        <v>269.1</v>
      </c>
      <c r="F2829" s="507">
        <v>131.8</v>
      </c>
      <c r="G2829" s="507">
        <v>40.1</v>
      </c>
      <c r="H2829" s="260">
        <v>2.0</v>
      </c>
      <c r="I2829" s="260">
        <v>2550.0</v>
      </c>
      <c r="J2829" s="518">
        <v>21.0</v>
      </c>
      <c r="K2829" s="507">
        <v>200.0</v>
      </c>
      <c r="L2829" s="266">
        <v>8.0</v>
      </c>
      <c r="M2829" s="507">
        <v>2.0</v>
      </c>
      <c r="N2829" s="507">
        <v>3.0</v>
      </c>
      <c r="O2829" s="507">
        <v>1.0</v>
      </c>
      <c r="P2829" s="266" t="s">
        <v>166</v>
      </c>
      <c r="Q2829" s="266" t="s">
        <v>166</v>
      </c>
      <c r="R2829" s="266" t="s">
        <v>166</v>
      </c>
      <c r="S2829" s="266" t="s">
        <v>166</v>
      </c>
      <c r="T2829" s="509"/>
    </row>
    <row r="2830">
      <c r="A2830" s="494" t="s">
        <v>3401</v>
      </c>
      <c r="B2830" s="505" t="s">
        <v>3615</v>
      </c>
      <c r="C2830" s="452" t="str">
        <f t="shared" si="415"/>
        <v>Gainward</v>
      </c>
      <c r="D2830" s="544" t="s">
        <v>4502</v>
      </c>
      <c r="E2830" s="507">
        <v>328.9</v>
      </c>
      <c r="F2830" s="507">
        <v>128.0</v>
      </c>
      <c r="G2830" s="507">
        <v>63.5</v>
      </c>
      <c r="H2830" s="260">
        <v>2.0</v>
      </c>
      <c r="I2830" s="260">
        <v>2475.0</v>
      </c>
      <c r="J2830" s="518">
        <v>21.0</v>
      </c>
      <c r="K2830" s="507">
        <v>200.0</v>
      </c>
      <c r="L2830" s="266" t="s">
        <v>3619</v>
      </c>
      <c r="M2830" s="507">
        <v>3.0</v>
      </c>
      <c r="N2830" s="507">
        <v>3.0</v>
      </c>
      <c r="O2830" s="507">
        <v>1.0</v>
      </c>
      <c r="P2830" s="266" t="s">
        <v>166</v>
      </c>
      <c r="Q2830" s="266" t="s">
        <v>166</v>
      </c>
      <c r="R2830" s="266" t="s">
        <v>166</v>
      </c>
      <c r="S2830" s="266" t="s">
        <v>166</v>
      </c>
      <c r="T2830" s="509"/>
    </row>
    <row r="2831">
      <c r="A2831" s="494" t="s">
        <v>3401</v>
      </c>
      <c r="B2831" s="505" t="s">
        <v>3615</v>
      </c>
      <c r="C2831" s="452" t="str">
        <f t="shared" si="415"/>
        <v>Gainward</v>
      </c>
      <c r="D2831" s="544" t="s">
        <v>3371</v>
      </c>
      <c r="E2831" s="507">
        <v>328.9</v>
      </c>
      <c r="F2831" s="507">
        <v>131.1</v>
      </c>
      <c r="G2831" s="507">
        <v>63.6</v>
      </c>
      <c r="H2831" s="260">
        <v>2.0</v>
      </c>
      <c r="I2831" s="260">
        <v>2475.0</v>
      </c>
      <c r="J2831" s="518">
        <v>21.0</v>
      </c>
      <c r="K2831" s="507">
        <v>200.0</v>
      </c>
      <c r="L2831" s="266" t="s">
        <v>3619</v>
      </c>
      <c r="M2831" s="507">
        <v>3.0</v>
      </c>
      <c r="N2831" s="507">
        <v>3.0</v>
      </c>
      <c r="O2831" s="507">
        <v>1.0</v>
      </c>
      <c r="P2831" s="266" t="s">
        <v>166</v>
      </c>
      <c r="Q2831" s="266" t="s">
        <v>166</v>
      </c>
      <c r="R2831" s="266" t="s">
        <v>166</v>
      </c>
      <c r="S2831" s="266" t="s">
        <v>166</v>
      </c>
      <c r="T2831" s="509"/>
    </row>
    <row r="2832">
      <c r="A2832" s="494" t="s">
        <v>3401</v>
      </c>
      <c r="B2832" s="505" t="s">
        <v>3615</v>
      </c>
      <c r="C2832" s="452" t="str">
        <f t="shared" si="415"/>
        <v>Gainward</v>
      </c>
      <c r="D2832" s="544" t="s">
        <v>4413</v>
      </c>
      <c r="E2832" s="507">
        <v>328.9</v>
      </c>
      <c r="F2832" s="507">
        <v>131.1</v>
      </c>
      <c r="G2832" s="507">
        <v>63.6</v>
      </c>
      <c r="H2832" s="260">
        <v>2.0</v>
      </c>
      <c r="I2832" s="260">
        <v>2595.0</v>
      </c>
      <c r="J2832" s="518">
        <v>21.0</v>
      </c>
      <c r="K2832" s="507">
        <v>200.0</v>
      </c>
      <c r="L2832" s="266" t="s">
        <v>3619</v>
      </c>
      <c r="M2832" s="507">
        <v>3.0</v>
      </c>
      <c r="N2832" s="507">
        <v>3.0</v>
      </c>
      <c r="O2832" s="507">
        <v>1.0</v>
      </c>
      <c r="P2832" s="266" t="s">
        <v>166</v>
      </c>
      <c r="Q2832" s="266" t="s">
        <v>166</v>
      </c>
      <c r="R2832" s="266" t="s">
        <v>166</v>
      </c>
      <c r="S2832" s="266" t="s">
        <v>166</v>
      </c>
      <c r="T2832" s="509"/>
    </row>
    <row r="2833">
      <c r="A2833" s="494" t="s">
        <v>3401</v>
      </c>
      <c r="B2833" s="505" t="s">
        <v>3615</v>
      </c>
      <c r="C2833" s="454" t="s">
        <v>3456</v>
      </c>
      <c r="D2833" s="544" t="s">
        <v>3594</v>
      </c>
      <c r="E2833" s="507">
        <v>269.0</v>
      </c>
      <c r="F2833" s="507">
        <v>112.0</v>
      </c>
      <c r="G2833" s="507">
        <v>44.0</v>
      </c>
      <c r="H2833" s="260">
        <v>2.0</v>
      </c>
      <c r="I2833" s="260">
        <v>2475.0</v>
      </c>
      <c r="J2833" s="518">
        <v>21.0</v>
      </c>
      <c r="K2833" s="507">
        <v>200.0</v>
      </c>
      <c r="L2833" s="266">
        <v>8.0</v>
      </c>
      <c r="M2833" s="507">
        <v>3.0</v>
      </c>
      <c r="N2833" s="507">
        <v>3.0</v>
      </c>
      <c r="O2833" s="507">
        <v>1.0</v>
      </c>
      <c r="P2833" s="266" t="s">
        <v>166</v>
      </c>
      <c r="Q2833" s="266" t="s">
        <v>166</v>
      </c>
      <c r="R2833" s="266" t="s">
        <v>166</v>
      </c>
      <c r="S2833" s="266" t="s">
        <v>166</v>
      </c>
      <c r="T2833" s="509"/>
    </row>
    <row r="2834">
      <c r="A2834" s="494" t="s">
        <v>3401</v>
      </c>
      <c r="B2834" s="505" t="s">
        <v>3615</v>
      </c>
      <c r="C2834" s="454" t="s">
        <v>3456</v>
      </c>
      <c r="D2834" s="544" t="s">
        <v>4204</v>
      </c>
      <c r="E2834" s="507">
        <v>325.0</v>
      </c>
      <c r="F2834" s="507">
        <v>124.0</v>
      </c>
      <c r="G2834" s="507">
        <v>48.0</v>
      </c>
      <c r="H2834" s="260">
        <v>2.0</v>
      </c>
      <c r="I2834" s="260">
        <v>2475.0</v>
      </c>
      <c r="J2834" s="518">
        <v>21.0</v>
      </c>
      <c r="K2834" s="507">
        <v>200.0</v>
      </c>
      <c r="L2834" s="266">
        <v>8.0</v>
      </c>
      <c r="M2834" s="507">
        <v>3.0</v>
      </c>
      <c r="N2834" s="507">
        <v>3.0</v>
      </c>
      <c r="O2834" s="507">
        <v>1.0</v>
      </c>
      <c r="P2834" s="266" t="s">
        <v>166</v>
      </c>
      <c r="Q2834" s="266" t="s">
        <v>166</v>
      </c>
      <c r="R2834" s="266" t="s">
        <v>166</v>
      </c>
      <c r="S2834" s="266" t="s">
        <v>166</v>
      </c>
      <c r="T2834" s="509"/>
    </row>
    <row r="2835">
      <c r="A2835" s="494" t="s">
        <v>3401</v>
      </c>
      <c r="B2835" s="505" t="s">
        <v>3615</v>
      </c>
      <c r="C2835" s="454" t="s">
        <v>3456</v>
      </c>
      <c r="D2835" s="544" t="s">
        <v>4206</v>
      </c>
      <c r="E2835" s="507">
        <v>325.0</v>
      </c>
      <c r="F2835" s="507">
        <v>124.0</v>
      </c>
      <c r="G2835" s="507">
        <v>48.0</v>
      </c>
      <c r="H2835" s="260">
        <v>2.0</v>
      </c>
      <c r="I2835" s="260">
        <v>2565.0</v>
      </c>
      <c r="J2835" s="518">
        <v>21.0</v>
      </c>
      <c r="K2835" s="507">
        <v>215.0</v>
      </c>
      <c r="L2835" s="266">
        <v>8.0</v>
      </c>
      <c r="M2835" s="507">
        <v>3.0</v>
      </c>
      <c r="N2835" s="507">
        <v>3.0</v>
      </c>
      <c r="O2835" s="507">
        <v>1.0</v>
      </c>
      <c r="P2835" s="266" t="s">
        <v>166</v>
      </c>
      <c r="Q2835" s="266" t="s">
        <v>166</v>
      </c>
      <c r="R2835" s="266" t="s">
        <v>166</v>
      </c>
      <c r="S2835" s="266" t="s">
        <v>166</v>
      </c>
      <c r="T2835" s="509"/>
    </row>
    <row r="2836">
      <c r="A2836" s="494" t="s">
        <v>3401</v>
      </c>
      <c r="B2836" s="505" t="s">
        <v>3615</v>
      </c>
      <c r="C2836" s="454" t="s">
        <v>3456</v>
      </c>
      <c r="D2836" s="544" t="s">
        <v>4257</v>
      </c>
      <c r="E2836" s="507">
        <v>338.0</v>
      </c>
      <c r="F2836" s="507">
        <v>138.0</v>
      </c>
      <c r="G2836" s="507">
        <v>56.0</v>
      </c>
      <c r="H2836" s="260">
        <v>2.0</v>
      </c>
      <c r="I2836" s="260">
        <v>2475.0</v>
      </c>
      <c r="J2836" s="518">
        <v>21.0</v>
      </c>
      <c r="K2836" s="507">
        <v>215.0</v>
      </c>
      <c r="L2836" s="266">
        <v>8.0</v>
      </c>
      <c r="M2836" s="507">
        <v>3.0</v>
      </c>
      <c r="N2836" s="507">
        <v>3.0</v>
      </c>
      <c r="O2836" s="507">
        <v>1.0</v>
      </c>
      <c r="P2836" s="266" t="s">
        <v>166</v>
      </c>
      <c r="Q2836" s="266" t="s">
        <v>166</v>
      </c>
      <c r="R2836" s="266" t="s">
        <v>166</v>
      </c>
      <c r="S2836" s="266" t="s">
        <v>166</v>
      </c>
      <c r="T2836" s="509"/>
    </row>
    <row r="2837">
      <c r="A2837" s="494" t="s">
        <v>3401</v>
      </c>
      <c r="B2837" s="505" t="s">
        <v>3615</v>
      </c>
      <c r="C2837" s="454" t="s">
        <v>3456</v>
      </c>
      <c r="D2837" s="544" t="s">
        <v>4258</v>
      </c>
      <c r="E2837" s="507">
        <v>338.0</v>
      </c>
      <c r="F2837" s="507">
        <v>138.0</v>
      </c>
      <c r="G2837" s="507">
        <v>56.0</v>
      </c>
      <c r="H2837" s="260">
        <v>2.0</v>
      </c>
      <c r="I2837" s="260">
        <v>2610.0</v>
      </c>
      <c r="J2837" s="518">
        <v>21.0</v>
      </c>
      <c r="K2837" s="507">
        <v>215.0</v>
      </c>
      <c r="L2837" s="266">
        <v>8.0</v>
      </c>
      <c r="M2837" s="507">
        <v>3.0</v>
      </c>
      <c r="N2837" s="507">
        <v>3.0</v>
      </c>
      <c r="O2837" s="507">
        <v>1.0</v>
      </c>
      <c r="P2837" s="266" t="s">
        <v>166</v>
      </c>
      <c r="Q2837" s="266" t="s">
        <v>166</v>
      </c>
      <c r="R2837" s="266" t="s">
        <v>166</v>
      </c>
      <c r="S2837" s="266" t="s">
        <v>166</v>
      </c>
      <c r="T2837" s="509"/>
    </row>
    <row r="2838">
      <c r="A2838" s="494" t="s">
        <v>3401</v>
      </c>
      <c r="B2838" s="505" t="s">
        <v>3615</v>
      </c>
      <c r="C2838" s="454" t="s">
        <v>3456</v>
      </c>
      <c r="D2838" s="544" t="s">
        <v>4509</v>
      </c>
      <c r="E2838" s="507">
        <v>299.0</v>
      </c>
      <c r="F2838" s="507">
        <v>121.0</v>
      </c>
      <c r="G2838" s="507">
        <v>40.0</v>
      </c>
      <c r="H2838" s="260">
        <v>2.0</v>
      </c>
      <c r="I2838" s="260">
        <v>2505.0</v>
      </c>
      <c r="J2838" s="518">
        <v>21.0</v>
      </c>
      <c r="K2838" s="507">
        <v>200.0</v>
      </c>
      <c r="L2838" s="266">
        <v>8.0</v>
      </c>
      <c r="M2838" s="507">
        <v>3.0</v>
      </c>
      <c r="N2838" s="507">
        <v>3.0</v>
      </c>
      <c r="O2838" s="507">
        <v>1.0</v>
      </c>
      <c r="P2838" s="266" t="s">
        <v>166</v>
      </c>
      <c r="Q2838" s="266" t="s">
        <v>166</v>
      </c>
      <c r="R2838" s="266" t="s">
        <v>166</v>
      </c>
      <c r="S2838" s="266" t="s">
        <v>166</v>
      </c>
      <c r="T2838" s="509"/>
    </row>
    <row r="2839">
      <c r="A2839" s="494" t="s">
        <v>3401</v>
      </c>
      <c r="B2839" s="505" t="s">
        <v>3615</v>
      </c>
      <c r="C2839" s="454" t="s">
        <v>3456</v>
      </c>
      <c r="D2839" s="544" t="s">
        <v>4045</v>
      </c>
      <c r="E2839" s="507">
        <v>323.0</v>
      </c>
      <c r="F2839" s="507">
        <v>131.0</v>
      </c>
      <c r="G2839" s="507">
        <v>48.0</v>
      </c>
      <c r="H2839" s="260">
        <v>2.0</v>
      </c>
      <c r="I2839" s="260">
        <v>2550.0</v>
      </c>
      <c r="J2839" s="518">
        <v>21.0</v>
      </c>
      <c r="K2839" s="507">
        <v>200.0</v>
      </c>
      <c r="L2839" s="266">
        <v>8.0</v>
      </c>
      <c r="M2839" s="507">
        <v>3.0</v>
      </c>
      <c r="N2839" s="507">
        <v>3.0</v>
      </c>
      <c r="O2839" s="507">
        <v>1.0</v>
      </c>
      <c r="P2839" s="266" t="s">
        <v>166</v>
      </c>
      <c r="Q2839" s="266" t="s">
        <v>166</v>
      </c>
      <c r="R2839" s="266" t="s">
        <v>166</v>
      </c>
      <c r="S2839" s="266" t="s">
        <v>166</v>
      </c>
      <c r="T2839" s="509"/>
    </row>
    <row r="2840">
      <c r="A2840" s="494" t="s">
        <v>3401</v>
      </c>
      <c r="B2840" s="505" t="s">
        <v>3615</v>
      </c>
      <c r="C2840" s="454" t="s">
        <v>3456</v>
      </c>
      <c r="D2840" s="544" t="s">
        <v>4510</v>
      </c>
      <c r="E2840" s="507">
        <v>323.0</v>
      </c>
      <c r="F2840" s="507">
        <v>131.0</v>
      </c>
      <c r="G2840" s="507">
        <v>48.0</v>
      </c>
      <c r="H2840" s="260">
        <v>2.0</v>
      </c>
      <c r="I2840" s="260">
        <v>2550.0</v>
      </c>
      <c r="J2840" s="518">
        <v>21.0</v>
      </c>
      <c r="K2840" s="507">
        <v>200.0</v>
      </c>
      <c r="L2840" s="266">
        <v>8.0</v>
      </c>
      <c r="M2840" s="507">
        <v>3.0</v>
      </c>
      <c r="N2840" s="507">
        <v>3.0</v>
      </c>
      <c r="O2840" s="507">
        <v>1.0</v>
      </c>
      <c r="P2840" s="266" t="s">
        <v>166</v>
      </c>
      <c r="Q2840" s="266" t="s">
        <v>166</v>
      </c>
      <c r="R2840" s="266" t="s">
        <v>166</v>
      </c>
      <c r="S2840" s="266" t="s">
        <v>166</v>
      </c>
      <c r="T2840" s="509"/>
    </row>
    <row r="2841">
      <c r="A2841" s="494" t="s">
        <v>3401</v>
      </c>
      <c r="B2841" s="505" t="s">
        <v>3615</v>
      </c>
      <c r="C2841" s="454" t="s">
        <v>3456</v>
      </c>
      <c r="D2841" s="544" t="s">
        <v>4511</v>
      </c>
      <c r="E2841" s="507">
        <v>323.0</v>
      </c>
      <c r="F2841" s="507">
        <v>131.0</v>
      </c>
      <c r="G2841" s="507">
        <v>48.0</v>
      </c>
      <c r="H2841" s="260">
        <v>2.0</v>
      </c>
      <c r="I2841" s="260">
        <v>2550.0</v>
      </c>
      <c r="J2841" s="518">
        <v>21.0</v>
      </c>
      <c r="K2841" s="507">
        <v>200.0</v>
      </c>
      <c r="L2841" s="266">
        <v>8.0</v>
      </c>
      <c r="M2841" s="507">
        <v>3.0</v>
      </c>
      <c r="N2841" s="507">
        <v>3.0</v>
      </c>
      <c r="O2841" s="507">
        <v>1.0</v>
      </c>
      <c r="P2841" s="266" t="s">
        <v>166</v>
      </c>
      <c r="Q2841" s="266" t="s">
        <v>166</v>
      </c>
      <c r="R2841" s="266" t="s">
        <v>166</v>
      </c>
      <c r="S2841" s="266" t="s">
        <v>166</v>
      </c>
      <c r="T2841" s="509"/>
    </row>
    <row r="2842">
      <c r="A2842" s="572" t="s">
        <v>3401</v>
      </c>
      <c r="B2842" s="573" t="s">
        <v>3615</v>
      </c>
      <c r="C2842" s="660" t="str">
        <f t="shared" ref="C2842:C2852" si="416">HYPERLINK("https://www.gigabyte.com/","Gigabyte")</f>
        <v>Gigabyte</v>
      </c>
      <c r="D2842" s="544" t="s">
        <v>3597</v>
      </c>
      <c r="E2842" s="507">
        <v>261.0</v>
      </c>
      <c r="F2842" s="507">
        <v>126.0</v>
      </c>
      <c r="G2842" s="507">
        <v>50.0</v>
      </c>
      <c r="H2842" s="260">
        <v>2.0</v>
      </c>
      <c r="I2842" s="260">
        <v>2475.0</v>
      </c>
      <c r="J2842" s="518">
        <v>21.0</v>
      </c>
      <c r="K2842" s="507">
        <v>200.0</v>
      </c>
      <c r="L2842" s="266">
        <v>8.0</v>
      </c>
      <c r="M2842" s="507">
        <v>3.0</v>
      </c>
      <c r="N2842" s="507">
        <v>3.0</v>
      </c>
      <c r="O2842" s="507">
        <v>1.0</v>
      </c>
      <c r="P2842" s="266" t="s">
        <v>166</v>
      </c>
      <c r="Q2842" s="266" t="s">
        <v>166</v>
      </c>
      <c r="R2842" s="266" t="s">
        <v>166</v>
      </c>
      <c r="S2842" s="266" t="s">
        <v>166</v>
      </c>
      <c r="T2842" s="509"/>
    </row>
    <row r="2843">
      <c r="A2843" s="572" t="s">
        <v>3401</v>
      </c>
      <c r="B2843" s="573" t="s">
        <v>3615</v>
      </c>
      <c r="C2843" s="660" t="str">
        <f t="shared" si="416"/>
        <v>Gigabyte</v>
      </c>
      <c r="D2843" s="544" t="s">
        <v>3578</v>
      </c>
      <c r="E2843" s="507">
        <v>261.0</v>
      </c>
      <c r="F2843" s="507">
        <v>126.0</v>
      </c>
      <c r="G2843" s="507">
        <v>50.0</v>
      </c>
      <c r="H2843" s="260">
        <v>2.0</v>
      </c>
      <c r="I2843" s="260">
        <v>2490.0</v>
      </c>
      <c r="J2843" s="518">
        <v>21.0</v>
      </c>
      <c r="K2843" s="507">
        <v>200.0</v>
      </c>
      <c r="L2843" s="266">
        <v>8.0</v>
      </c>
      <c r="M2843" s="507">
        <v>3.0</v>
      </c>
      <c r="N2843" s="507">
        <v>3.0</v>
      </c>
      <c r="O2843" s="507">
        <v>1.0</v>
      </c>
      <c r="P2843" s="266" t="s">
        <v>166</v>
      </c>
      <c r="Q2843" s="266" t="s">
        <v>166</v>
      </c>
      <c r="R2843" s="266" t="s">
        <v>166</v>
      </c>
      <c r="S2843" s="266" t="s">
        <v>166</v>
      </c>
      <c r="T2843" s="509"/>
    </row>
    <row r="2844">
      <c r="A2844" s="494" t="s">
        <v>3401</v>
      </c>
      <c r="B2844" s="505" t="s">
        <v>3615</v>
      </c>
      <c r="C2844" s="174" t="str">
        <f t="shared" si="416"/>
        <v>Gigabyte</v>
      </c>
      <c r="D2844" s="544" t="s">
        <v>3551</v>
      </c>
      <c r="E2844" s="507">
        <v>261.0</v>
      </c>
      <c r="F2844" s="507">
        <v>126.0</v>
      </c>
      <c r="G2844" s="507">
        <v>50.0</v>
      </c>
      <c r="H2844" s="260">
        <v>2.0</v>
      </c>
      <c r="I2844" s="260">
        <v>2505.0</v>
      </c>
      <c r="J2844" s="518">
        <v>21.0</v>
      </c>
      <c r="K2844" s="507">
        <v>200.0</v>
      </c>
      <c r="L2844" s="266">
        <v>8.0</v>
      </c>
      <c r="M2844" s="507">
        <v>3.0</v>
      </c>
      <c r="N2844" s="507">
        <v>3.0</v>
      </c>
      <c r="O2844" s="507">
        <v>1.0</v>
      </c>
      <c r="P2844" s="266" t="s">
        <v>166</v>
      </c>
      <c r="Q2844" s="266" t="s">
        <v>166</v>
      </c>
      <c r="R2844" s="266" t="s">
        <v>166</v>
      </c>
      <c r="S2844" s="266" t="s">
        <v>166</v>
      </c>
      <c r="T2844" s="509"/>
    </row>
    <row r="2845">
      <c r="A2845" s="494" t="s">
        <v>3401</v>
      </c>
      <c r="B2845" s="505" t="s">
        <v>3615</v>
      </c>
      <c r="C2845" s="174" t="str">
        <f t="shared" si="416"/>
        <v>Gigabyte</v>
      </c>
      <c r="D2845" s="544" t="s">
        <v>4512</v>
      </c>
      <c r="E2845" s="507">
        <v>282.0</v>
      </c>
      <c r="F2845" s="507">
        <v>115.0</v>
      </c>
      <c r="G2845" s="507">
        <v>41.0</v>
      </c>
      <c r="H2845" s="260">
        <v>2.0</v>
      </c>
      <c r="I2845" s="260">
        <v>2505.0</v>
      </c>
      <c r="J2845" s="518">
        <v>21.0</v>
      </c>
      <c r="K2845" s="507">
        <v>200.0</v>
      </c>
      <c r="L2845" s="266">
        <v>8.0</v>
      </c>
      <c r="M2845" s="507">
        <v>3.0</v>
      </c>
      <c r="N2845" s="507">
        <v>2.0</v>
      </c>
      <c r="O2845" s="507">
        <v>2.0</v>
      </c>
      <c r="P2845" s="266" t="s">
        <v>166</v>
      </c>
      <c r="Q2845" s="266" t="s">
        <v>166</v>
      </c>
      <c r="R2845" s="266" t="s">
        <v>166</v>
      </c>
      <c r="S2845" s="266" t="s">
        <v>166</v>
      </c>
      <c r="T2845" s="509"/>
    </row>
    <row r="2846">
      <c r="A2846" s="494" t="s">
        <v>3401</v>
      </c>
      <c r="B2846" s="505" t="s">
        <v>3615</v>
      </c>
      <c r="C2846" s="174" t="str">
        <f t="shared" si="416"/>
        <v>Gigabyte</v>
      </c>
      <c r="D2846" s="544" t="s">
        <v>3850</v>
      </c>
      <c r="E2846" s="507">
        <v>300.0</v>
      </c>
      <c r="F2846" s="507">
        <v>130.0</v>
      </c>
      <c r="G2846" s="507">
        <v>57.6</v>
      </c>
      <c r="H2846" s="260">
        <v>2.0</v>
      </c>
      <c r="I2846" s="260">
        <v>2475.0</v>
      </c>
      <c r="J2846" s="518">
        <v>21.0</v>
      </c>
      <c r="K2846" s="507">
        <v>200.0</v>
      </c>
      <c r="L2846" s="266" t="s">
        <v>3619</v>
      </c>
      <c r="M2846" s="507">
        <v>3.0</v>
      </c>
      <c r="N2846" s="507">
        <v>3.0</v>
      </c>
      <c r="O2846" s="507">
        <v>1.0</v>
      </c>
      <c r="P2846" s="266" t="s">
        <v>166</v>
      </c>
      <c r="Q2846" s="266" t="s">
        <v>166</v>
      </c>
      <c r="R2846" s="266" t="s">
        <v>166</v>
      </c>
      <c r="S2846" s="266" t="s">
        <v>166</v>
      </c>
      <c r="T2846" s="509"/>
    </row>
    <row r="2847">
      <c r="A2847" s="494" t="s">
        <v>3401</v>
      </c>
      <c r="B2847" s="505" t="s">
        <v>3615</v>
      </c>
      <c r="C2847" s="174" t="str">
        <f t="shared" si="416"/>
        <v>Gigabyte</v>
      </c>
      <c r="D2847" s="544" t="s">
        <v>3851</v>
      </c>
      <c r="E2847" s="507">
        <v>300.0</v>
      </c>
      <c r="F2847" s="507">
        <v>130.0</v>
      </c>
      <c r="G2847" s="507">
        <v>57.6</v>
      </c>
      <c r="H2847" s="260">
        <v>2.0</v>
      </c>
      <c r="I2847" s="260">
        <v>2565.0</v>
      </c>
      <c r="J2847" s="518">
        <v>21.0</v>
      </c>
      <c r="K2847" s="507">
        <v>200.0</v>
      </c>
      <c r="L2847" s="266" t="s">
        <v>3619</v>
      </c>
      <c r="M2847" s="507">
        <v>3.0</v>
      </c>
      <c r="N2847" s="507">
        <v>3.0</v>
      </c>
      <c r="O2847" s="507">
        <v>1.0</v>
      </c>
      <c r="P2847" s="266" t="s">
        <v>166</v>
      </c>
      <c r="Q2847" s="266" t="s">
        <v>166</v>
      </c>
      <c r="R2847" s="266" t="s">
        <v>166</v>
      </c>
      <c r="S2847" s="266" t="s">
        <v>166</v>
      </c>
      <c r="T2847" s="509"/>
    </row>
    <row r="2848">
      <c r="A2848" s="494" t="s">
        <v>3401</v>
      </c>
      <c r="B2848" s="505" t="s">
        <v>3615</v>
      </c>
      <c r="C2848" s="174" t="str">
        <f t="shared" si="416"/>
        <v>Gigabyte</v>
      </c>
      <c r="D2848" s="544" t="s">
        <v>4513</v>
      </c>
      <c r="E2848" s="507">
        <v>300.0</v>
      </c>
      <c r="F2848" s="507">
        <v>130.0</v>
      </c>
      <c r="G2848" s="507">
        <v>50.2</v>
      </c>
      <c r="H2848" s="260">
        <v>2.0</v>
      </c>
      <c r="I2848" s="260">
        <v>2565.0</v>
      </c>
      <c r="J2848" s="518">
        <v>21.0</v>
      </c>
      <c r="K2848" s="507">
        <v>200.0</v>
      </c>
      <c r="L2848" s="266">
        <v>8.0</v>
      </c>
      <c r="M2848" s="507">
        <v>3.0</v>
      </c>
      <c r="N2848" s="507">
        <v>3.0</v>
      </c>
      <c r="O2848" s="507">
        <v>1.0</v>
      </c>
      <c r="P2848" s="266" t="s">
        <v>166</v>
      </c>
      <c r="Q2848" s="266" t="s">
        <v>166</v>
      </c>
      <c r="R2848" s="266" t="s">
        <v>166</v>
      </c>
      <c r="S2848" s="266" t="s">
        <v>166</v>
      </c>
      <c r="T2848" s="509"/>
    </row>
    <row r="2849">
      <c r="A2849" s="494" t="s">
        <v>3401</v>
      </c>
      <c r="B2849" s="505" t="s">
        <v>3615</v>
      </c>
      <c r="C2849" s="174" t="str">
        <f t="shared" si="416"/>
        <v>Gigabyte</v>
      </c>
      <c r="D2849" s="544" t="s">
        <v>3409</v>
      </c>
      <c r="E2849" s="507">
        <v>300.0</v>
      </c>
      <c r="F2849" s="507">
        <v>130.0</v>
      </c>
      <c r="G2849" s="507">
        <v>57.6</v>
      </c>
      <c r="H2849" s="260">
        <v>2.0</v>
      </c>
      <c r="I2849" s="260">
        <v>2475.0</v>
      </c>
      <c r="J2849" s="518">
        <v>21.0</v>
      </c>
      <c r="K2849" s="507">
        <v>200.0</v>
      </c>
      <c r="L2849" s="266" t="s">
        <v>3619</v>
      </c>
      <c r="M2849" s="507">
        <v>3.0</v>
      </c>
      <c r="N2849" s="507">
        <v>3.0</v>
      </c>
      <c r="O2849" s="507">
        <v>1.0</v>
      </c>
      <c r="P2849" s="266" t="s">
        <v>166</v>
      </c>
      <c r="Q2849" s="266" t="s">
        <v>166</v>
      </c>
      <c r="R2849" s="266" t="s">
        <v>166</v>
      </c>
      <c r="S2849" s="266" t="s">
        <v>166</v>
      </c>
      <c r="T2849" s="509"/>
    </row>
    <row r="2850">
      <c r="A2850" s="494" t="s">
        <v>3401</v>
      </c>
      <c r="B2850" s="505" t="s">
        <v>3615</v>
      </c>
      <c r="C2850" s="174" t="str">
        <f t="shared" si="416"/>
        <v>Gigabyte</v>
      </c>
      <c r="D2850" s="544" t="s">
        <v>3630</v>
      </c>
      <c r="E2850" s="507">
        <v>300.0</v>
      </c>
      <c r="F2850" s="507">
        <v>130.0</v>
      </c>
      <c r="G2850" s="507">
        <v>57.6</v>
      </c>
      <c r="H2850" s="260">
        <v>2.0</v>
      </c>
      <c r="I2850" s="260">
        <v>2565.0</v>
      </c>
      <c r="J2850" s="518">
        <v>21.0</v>
      </c>
      <c r="K2850" s="507">
        <v>200.0</v>
      </c>
      <c r="L2850" s="266" t="s">
        <v>3619</v>
      </c>
      <c r="M2850" s="507">
        <v>3.0</v>
      </c>
      <c r="N2850" s="507">
        <v>3.0</v>
      </c>
      <c r="O2850" s="507">
        <v>1.0</v>
      </c>
      <c r="P2850" s="266" t="s">
        <v>166</v>
      </c>
      <c r="Q2850" s="266" t="s">
        <v>166</v>
      </c>
      <c r="R2850" s="266" t="s">
        <v>166</v>
      </c>
      <c r="S2850" s="266" t="s">
        <v>166</v>
      </c>
      <c r="T2850" s="509"/>
    </row>
    <row r="2851">
      <c r="A2851" s="494" t="s">
        <v>3401</v>
      </c>
      <c r="B2851" s="505" t="s">
        <v>3615</v>
      </c>
      <c r="C2851" s="174" t="str">
        <f t="shared" si="416"/>
        <v>Gigabyte</v>
      </c>
      <c r="D2851" s="544" t="s">
        <v>4514</v>
      </c>
      <c r="E2851" s="507">
        <v>300.0</v>
      </c>
      <c r="F2851" s="507">
        <v>130.0</v>
      </c>
      <c r="G2851" s="507">
        <v>50.2</v>
      </c>
      <c r="H2851" s="260">
        <v>2.0</v>
      </c>
      <c r="I2851" s="260">
        <v>2565.0</v>
      </c>
      <c r="J2851" s="518">
        <v>21.0</v>
      </c>
      <c r="K2851" s="507">
        <v>200.0</v>
      </c>
      <c r="L2851" s="266">
        <v>8.0</v>
      </c>
      <c r="M2851" s="507">
        <v>3.0</v>
      </c>
      <c r="N2851" s="507">
        <v>3.0</v>
      </c>
      <c r="O2851" s="507">
        <v>1.0</v>
      </c>
      <c r="P2851" s="266" t="s">
        <v>166</v>
      </c>
      <c r="Q2851" s="266" t="s">
        <v>166</v>
      </c>
      <c r="R2851" s="266" t="s">
        <v>166</v>
      </c>
      <c r="S2851" s="266" t="s">
        <v>166</v>
      </c>
      <c r="T2851" s="509"/>
    </row>
    <row r="2852">
      <c r="A2852" s="494" t="s">
        <v>3401</v>
      </c>
      <c r="B2852" s="505" t="s">
        <v>3615</v>
      </c>
      <c r="C2852" s="174" t="str">
        <f t="shared" si="416"/>
        <v>Gigabyte</v>
      </c>
      <c r="D2852" s="544" t="s">
        <v>3725</v>
      </c>
      <c r="E2852" s="507">
        <v>342.0</v>
      </c>
      <c r="F2852" s="507">
        <v>153.0</v>
      </c>
      <c r="G2852" s="507">
        <v>70.6</v>
      </c>
      <c r="H2852" s="260">
        <v>2.0</v>
      </c>
      <c r="I2852" s="260">
        <v>2595.0</v>
      </c>
      <c r="J2852" s="518">
        <v>21.0</v>
      </c>
      <c r="K2852" s="507">
        <v>200.0</v>
      </c>
      <c r="L2852" s="266" t="s">
        <v>3619</v>
      </c>
      <c r="M2852" s="507">
        <v>3.0</v>
      </c>
      <c r="N2852" s="507">
        <v>3.0</v>
      </c>
      <c r="O2852" s="507">
        <v>1.0</v>
      </c>
      <c r="P2852" s="266" t="s">
        <v>166</v>
      </c>
      <c r="Q2852" s="266" t="s">
        <v>166</v>
      </c>
      <c r="R2852" s="266" t="s">
        <v>166</v>
      </c>
      <c r="S2852" s="266" t="s">
        <v>166</v>
      </c>
      <c r="T2852" s="509"/>
    </row>
    <row r="2853">
      <c r="A2853" s="494" t="s">
        <v>3401</v>
      </c>
      <c r="B2853" s="505" t="s">
        <v>3615</v>
      </c>
      <c r="C2853" s="452" t="str">
        <f t="shared" ref="C2853:C2857" si="417">HYPERLINK("http://www.inno3d.com/","Inno3D")</f>
        <v>Inno3D</v>
      </c>
      <c r="D2853" s="544" t="s">
        <v>3896</v>
      </c>
      <c r="E2853" s="507">
        <v>250.0</v>
      </c>
      <c r="F2853" s="507">
        <v>118.0</v>
      </c>
      <c r="G2853" s="507">
        <v>42.0</v>
      </c>
      <c r="H2853" s="260">
        <v>2.0</v>
      </c>
      <c r="I2853" s="260">
        <v>2475.0</v>
      </c>
      <c r="J2853" s="518">
        <v>21.0</v>
      </c>
      <c r="K2853" s="507">
        <v>200.0</v>
      </c>
      <c r="L2853" s="266">
        <v>8.0</v>
      </c>
      <c r="M2853" s="507">
        <v>2.0</v>
      </c>
      <c r="N2853" s="507">
        <v>3.0</v>
      </c>
      <c r="O2853" s="507">
        <v>1.0</v>
      </c>
      <c r="P2853" s="266" t="s">
        <v>166</v>
      </c>
      <c r="Q2853" s="266" t="s">
        <v>166</v>
      </c>
      <c r="R2853" s="266" t="s">
        <v>166</v>
      </c>
      <c r="S2853" s="266" t="s">
        <v>166</v>
      </c>
      <c r="T2853" s="509"/>
    </row>
    <row r="2854">
      <c r="A2854" s="494" t="s">
        <v>3401</v>
      </c>
      <c r="B2854" s="505" t="s">
        <v>3615</v>
      </c>
      <c r="C2854" s="452" t="str">
        <f t="shared" si="417"/>
        <v>Inno3D</v>
      </c>
      <c r="D2854" s="544" t="s">
        <v>3882</v>
      </c>
      <c r="E2854" s="507">
        <v>250.0</v>
      </c>
      <c r="F2854" s="507">
        <v>118.0</v>
      </c>
      <c r="G2854" s="507">
        <v>42.0</v>
      </c>
      <c r="H2854" s="260">
        <v>2.0</v>
      </c>
      <c r="I2854" s="260">
        <v>2505.0</v>
      </c>
      <c r="J2854" s="518">
        <v>21.0</v>
      </c>
      <c r="K2854" s="507">
        <v>200.0</v>
      </c>
      <c r="L2854" s="266">
        <v>8.0</v>
      </c>
      <c r="M2854" s="507">
        <v>2.0</v>
      </c>
      <c r="N2854" s="507">
        <v>3.0</v>
      </c>
      <c r="O2854" s="507">
        <v>1.0</v>
      </c>
      <c r="P2854" s="266" t="s">
        <v>166</v>
      </c>
      <c r="Q2854" s="266" t="s">
        <v>166</v>
      </c>
      <c r="R2854" s="266" t="s">
        <v>166</v>
      </c>
      <c r="S2854" s="266" t="s">
        <v>166</v>
      </c>
      <c r="T2854" s="509"/>
    </row>
    <row r="2855">
      <c r="A2855" s="494" t="s">
        <v>3401</v>
      </c>
      <c r="B2855" s="505" t="s">
        <v>3615</v>
      </c>
      <c r="C2855" s="452" t="str">
        <f t="shared" si="417"/>
        <v>Inno3D</v>
      </c>
      <c r="D2855" s="544" t="s">
        <v>4464</v>
      </c>
      <c r="E2855" s="507">
        <v>250.0</v>
      </c>
      <c r="F2855" s="507">
        <v>118.0</v>
      </c>
      <c r="G2855" s="507">
        <v>42.0</v>
      </c>
      <c r="H2855" s="260">
        <v>2.0</v>
      </c>
      <c r="I2855" s="260">
        <v>2505.0</v>
      </c>
      <c r="J2855" s="518">
        <v>21.0</v>
      </c>
      <c r="K2855" s="507">
        <v>200.0</v>
      </c>
      <c r="L2855" s="266">
        <v>8.0</v>
      </c>
      <c r="M2855" s="507">
        <v>2.0</v>
      </c>
      <c r="N2855" s="507">
        <v>3.0</v>
      </c>
      <c r="O2855" s="507">
        <v>1.0</v>
      </c>
      <c r="P2855" s="266" t="s">
        <v>166</v>
      </c>
      <c r="Q2855" s="266" t="s">
        <v>166</v>
      </c>
      <c r="R2855" s="266" t="s">
        <v>166</v>
      </c>
      <c r="S2855" s="266" t="s">
        <v>166</v>
      </c>
      <c r="T2855" s="509"/>
    </row>
    <row r="2856">
      <c r="A2856" s="494" t="s">
        <v>3401</v>
      </c>
      <c r="B2856" s="505" t="s">
        <v>3615</v>
      </c>
      <c r="C2856" s="452" t="str">
        <f t="shared" si="417"/>
        <v>Inno3D</v>
      </c>
      <c r="D2856" s="544" t="s">
        <v>4347</v>
      </c>
      <c r="E2856" s="507">
        <v>297.0</v>
      </c>
      <c r="F2856" s="507">
        <v>118.0</v>
      </c>
      <c r="G2856" s="507">
        <v>42.0</v>
      </c>
      <c r="H2856" s="260">
        <v>2.0</v>
      </c>
      <c r="I2856" s="260">
        <v>2505.0</v>
      </c>
      <c r="J2856" s="518">
        <v>21.0</v>
      </c>
      <c r="K2856" s="507">
        <v>200.0</v>
      </c>
      <c r="L2856" s="266">
        <v>8.0</v>
      </c>
      <c r="M2856" s="507">
        <v>3.0</v>
      </c>
      <c r="N2856" s="507">
        <v>3.0</v>
      </c>
      <c r="O2856" s="507">
        <v>1.0</v>
      </c>
      <c r="P2856" s="266" t="s">
        <v>166</v>
      </c>
      <c r="Q2856" s="266" t="s">
        <v>166</v>
      </c>
      <c r="R2856" s="266" t="s">
        <v>166</v>
      </c>
      <c r="S2856" s="266" t="s">
        <v>166</v>
      </c>
      <c r="T2856" s="509"/>
    </row>
    <row r="2857">
      <c r="A2857" s="494" t="s">
        <v>3401</v>
      </c>
      <c r="B2857" s="505" t="s">
        <v>3615</v>
      </c>
      <c r="C2857" s="452" t="str">
        <f t="shared" si="417"/>
        <v>Inno3D</v>
      </c>
      <c r="D2857" s="544" t="s">
        <v>3921</v>
      </c>
      <c r="E2857" s="507">
        <v>334.0</v>
      </c>
      <c r="F2857" s="507">
        <v>148.0</v>
      </c>
      <c r="G2857" s="507">
        <v>62.0</v>
      </c>
      <c r="H2857" s="260">
        <v>2.0</v>
      </c>
      <c r="I2857" s="260">
        <v>2535.0</v>
      </c>
      <c r="J2857" s="518">
        <v>21.0</v>
      </c>
      <c r="K2857" s="507">
        <v>200.0</v>
      </c>
      <c r="L2857" s="266" t="s">
        <v>3619</v>
      </c>
      <c r="M2857" s="507">
        <v>3.0</v>
      </c>
      <c r="N2857" s="507">
        <v>3.0</v>
      </c>
      <c r="O2857" s="507">
        <v>1.0</v>
      </c>
      <c r="P2857" s="266" t="s">
        <v>166</v>
      </c>
      <c r="Q2857" s="266" t="s">
        <v>166</v>
      </c>
      <c r="R2857" s="266" t="s">
        <v>166</v>
      </c>
      <c r="S2857" s="266" t="s">
        <v>166</v>
      </c>
      <c r="T2857" s="509"/>
    </row>
    <row r="2858">
      <c r="A2858" s="494" t="s">
        <v>3401</v>
      </c>
      <c r="B2858" s="505" t="s">
        <v>3615</v>
      </c>
      <c r="C2858" s="452" t="s">
        <v>3538</v>
      </c>
      <c r="D2858" s="544" t="s">
        <v>4306</v>
      </c>
      <c r="E2858" s="507">
        <v>265.0</v>
      </c>
      <c r="F2858" s="507">
        <v>111.0</v>
      </c>
      <c r="G2858" s="507">
        <v>38.0</v>
      </c>
      <c r="H2858" s="260">
        <v>2.0</v>
      </c>
      <c r="I2858" s="260">
        <v>2475.0</v>
      </c>
      <c r="J2858" s="518">
        <v>21.0</v>
      </c>
      <c r="K2858" s="507">
        <v>200.0</v>
      </c>
      <c r="L2858" s="266">
        <v>8.0</v>
      </c>
      <c r="M2858" s="507">
        <v>1.0</v>
      </c>
      <c r="N2858" s="507">
        <v>3.0</v>
      </c>
      <c r="O2858" s="507">
        <v>1.0</v>
      </c>
      <c r="P2858" s="266" t="s">
        <v>166</v>
      </c>
      <c r="Q2858" s="266" t="s">
        <v>166</v>
      </c>
      <c r="R2858" s="266" t="s">
        <v>166</v>
      </c>
      <c r="S2858" s="266" t="s">
        <v>174</v>
      </c>
      <c r="T2858" s="509"/>
    </row>
    <row r="2859">
      <c r="A2859" s="494" t="s">
        <v>3401</v>
      </c>
      <c r="B2859" s="505" t="s">
        <v>3615</v>
      </c>
      <c r="C2859" s="452" t="s">
        <v>3538</v>
      </c>
      <c r="D2859" s="544" t="s">
        <v>3600</v>
      </c>
      <c r="E2859" s="507">
        <v>251.0</v>
      </c>
      <c r="F2859" s="507">
        <v>124.0</v>
      </c>
      <c r="G2859" s="507">
        <v>53.0</v>
      </c>
      <c r="H2859" s="260">
        <v>2.0</v>
      </c>
      <c r="I2859" s="260">
        <v>2475.0</v>
      </c>
      <c r="J2859" s="518">
        <v>21.0</v>
      </c>
      <c r="K2859" s="507">
        <v>200.0</v>
      </c>
      <c r="L2859" s="266">
        <v>8.0</v>
      </c>
      <c r="M2859" s="507">
        <v>2.0</v>
      </c>
      <c r="N2859" s="507">
        <v>3.0</v>
      </c>
      <c r="O2859" s="507">
        <v>1.0</v>
      </c>
      <c r="P2859" s="266" t="s">
        <v>166</v>
      </c>
      <c r="Q2859" s="266" t="s">
        <v>166</v>
      </c>
      <c r="R2859" s="266" t="s">
        <v>166</v>
      </c>
      <c r="S2859" s="266" t="s">
        <v>166</v>
      </c>
      <c r="T2859" s="509"/>
    </row>
    <row r="2860">
      <c r="A2860" s="494" t="s">
        <v>3401</v>
      </c>
      <c r="B2860" s="505" t="s">
        <v>3615</v>
      </c>
      <c r="C2860" s="452" t="str">
        <f>HYPERLINK("http://manli.com/en","Manli")</f>
        <v>Manli</v>
      </c>
      <c r="D2860" s="544" t="s">
        <v>4515</v>
      </c>
      <c r="E2860" s="507">
        <v>254.0</v>
      </c>
      <c r="F2860" s="507">
        <v>128.0</v>
      </c>
      <c r="G2860" s="507">
        <v>53.0</v>
      </c>
      <c r="H2860" s="260">
        <v>2.0</v>
      </c>
      <c r="I2860" s="260">
        <v>2475.0</v>
      </c>
      <c r="J2860" s="518">
        <v>21.0</v>
      </c>
      <c r="K2860" s="507">
        <v>200.0</v>
      </c>
      <c r="L2860" s="266">
        <v>8.0</v>
      </c>
      <c r="M2860" s="507">
        <v>2.0</v>
      </c>
      <c r="N2860" s="507">
        <v>3.0</v>
      </c>
      <c r="O2860" s="507">
        <v>1.0</v>
      </c>
      <c r="P2860" s="266" t="s">
        <v>166</v>
      </c>
      <c r="Q2860" s="266" t="s">
        <v>166</v>
      </c>
      <c r="R2860" s="266" t="s">
        <v>166</v>
      </c>
      <c r="S2860" s="266" t="s">
        <v>166</v>
      </c>
      <c r="T2860" s="509"/>
    </row>
    <row r="2861">
      <c r="A2861" s="494" t="s">
        <v>3401</v>
      </c>
      <c r="B2861" s="505" t="s">
        <v>3615</v>
      </c>
      <c r="C2861" s="174" t="s">
        <v>3565</v>
      </c>
      <c r="D2861" s="544" t="s">
        <v>4465</v>
      </c>
      <c r="E2861" s="507">
        <v>250.0</v>
      </c>
      <c r="F2861" s="507">
        <v>124.0</v>
      </c>
      <c r="G2861" s="507">
        <v>45.0</v>
      </c>
      <c r="H2861" s="260">
        <v>2.0</v>
      </c>
      <c r="I2861" s="260">
        <v>2475.0</v>
      </c>
      <c r="J2861" s="518">
        <v>21.0</v>
      </c>
      <c r="K2861" s="507">
        <v>200.0</v>
      </c>
      <c r="L2861" s="266">
        <v>8.0</v>
      </c>
      <c r="M2861" s="507">
        <v>2.0</v>
      </c>
      <c r="N2861" s="507">
        <v>3.0</v>
      </c>
      <c r="O2861" s="507">
        <v>1.0</v>
      </c>
      <c r="P2861" s="266" t="s">
        <v>166</v>
      </c>
      <c r="Q2861" s="266" t="s">
        <v>166</v>
      </c>
      <c r="R2861" s="266" t="s">
        <v>166</v>
      </c>
      <c r="S2861" s="266" t="s">
        <v>166</v>
      </c>
      <c r="T2861" s="509"/>
    </row>
    <row r="2862">
      <c r="A2862" s="494" t="s">
        <v>3401</v>
      </c>
      <c r="B2862" s="505" t="s">
        <v>3615</v>
      </c>
      <c r="C2862" s="174" t="s">
        <v>3565</v>
      </c>
      <c r="D2862" s="544" t="s">
        <v>3810</v>
      </c>
      <c r="E2862" s="507">
        <v>329.0</v>
      </c>
      <c r="F2862" s="507">
        <v>133.0</v>
      </c>
      <c r="G2862" s="507">
        <v>64.0</v>
      </c>
      <c r="H2862" s="260">
        <v>2.0</v>
      </c>
      <c r="I2862" s="260">
        <v>2475.0</v>
      </c>
      <c r="J2862" s="518">
        <v>21.0</v>
      </c>
      <c r="K2862" s="507">
        <v>200.0</v>
      </c>
      <c r="L2862" s="266" t="s">
        <v>3619</v>
      </c>
      <c r="M2862" s="507">
        <v>3.0</v>
      </c>
      <c r="N2862" s="507">
        <v>3.0</v>
      </c>
      <c r="O2862" s="507">
        <v>1.0</v>
      </c>
      <c r="P2862" s="266" t="s">
        <v>166</v>
      </c>
      <c r="Q2862" s="266" t="s">
        <v>166</v>
      </c>
      <c r="R2862" s="266" t="s">
        <v>166</v>
      </c>
      <c r="S2862" s="266" t="s">
        <v>166</v>
      </c>
      <c r="T2862" s="509"/>
    </row>
    <row r="2863">
      <c r="A2863" s="494" t="s">
        <v>3401</v>
      </c>
      <c r="B2863" s="505" t="s">
        <v>3615</v>
      </c>
      <c r="C2863" s="174" t="s">
        <v>3565</v>
      </c>
      <c r="D2863" s="544" t="s">
        <v>4229</v>
      </c>
      <c r="E2863" s="507">
        <v>317.0</v>
      </c>
      <c r="F2863" s="507">
        <v>132.0</v>
      </c>
      <c r="G2863" s="507">
        <v>46.0</v>
      </c>
      <c r="H2863" s="260">
        <v>2.0</v>
      </c>
      <c r="I2863" s="260">
        <v>2535.0</v>
      </c>
      <c r="J2863" s="518">
        <v>21.0</v>
      </c>
      <c r="K2863" s="507">
        <v>200.0</v>
      </c>
      <c r="L2863" s="266" t="s">
        <v>3460</v>
      </c>
      <c r="M2863" s="507">
        <v>3.0</v>
      </c>
      <c r="N2863" s="507">
        <v>3.0</v>
      </c>
      <c r="O2863" s="507">
        <v>1.0</v>
      </c>
      <c r="P2863" s="266" t="s">
        <v>166</v>
      </c>
      <c r="Q2863" s="266" t="s">
        <v>166</v>
      </c>
      <c r="R2863" s="266" t="s">
        <v>166</v>
      </c>
      <c r="S2863" s="266" t="s">
        <v>166</v>
      </c>
      <c r="T2863" s="509"/>
    </row>
    <row r="2864">
      <c r="A2864" s="494" t="s">
        <v>3401</v>
      </c>
      <c r="B2864" s="505" t="s">
        <v>3615</v>
      </c>
      <c r="C2864" s="174" t="s">
        <v>3565</v>
      </c>
      <c r="D2864" s="537" t="s">
        <v>4467</v>
      </c>
      <c r="E2864" s="507">
        <v>336.0</v>
      </c>
      <c r="F2864" s="507">
        <v>137.0</v>
      </c>
      <c r="G2864" s="507">
        <v>58.0</v>
      </c>
      <c r="H2864" s="260">
        <v>2.0</v>
      </c>
      <c r="I2864" s="260">
        <v>2550.0</v>
      </c>
      <c r="J2864" s="518">
        <v>21.0</v>
      </c>
      <c r="K2864" s="507">
        <v>215.0</v>
      </c>
      <c r="L2864" s="266" t="s">
        <v>3619</v>
      </c>
      <c r="M2864" s="507">
        <v>3.0</v>
      </c>
      <c r="N2864" s="507">
        <v>3.0</v>
      </c>
      <c r="O2864" s="507">
        <v>1.0</v>
      </c>
      <c r="P2864" s="266" t="s">
        <v>166</v>
      </c>
      <c r="Q2864" s="266" t="s">
        <v>166</v>
      </c>
      <c r="R2864" s="266" t="s">
        <v>166</v>
      </c>
      <c r="S2864" s="266" t="s">
        <v>166</v>
      </c>
      <c r="T2864" s="509"/>
    </row>
    <row r="2865">
      <c r="A2865" s="494" t="s">
        <v>3401</v>
      </c>
      <c r="B2865" s="505" t="s">
        <v>3615</v>
      </c>
      <c r="C2865" s="174" t="str">
        <f t="shared" ref="C2865:C2880" si="418">HYPERLINK("https://www.msi.com/index.php","MSI")</f>
        <v>MSI</v>
      </c>
      <c r="D2865" s="544" t="s">
        <v>3555</v>
      </c>
      <c r="E2865" s="507">
        <v>242.0</v>
      </c>
      <c r="F2865" s="507">
        <v>125.0</v>
      </c>
      <c r="G2865" s="507">
        <v>43.0</v>
      </c>
      <c r="H2865" s="260">
        <v>2.0</v>
      </c>
      <c r="I2865" s="260">
        <v>2490.0</v>
      </c>
      <c r="J2865" s="518">
        <v>21.0</v>
      </c>
      <c r="K2865" s="507">
        <v>200.0</v>
      </c>
      <c r="L2865" s="266">
        <v>8.0</v>
      </c>
      <c r="M2865" s="507">
        <v>2.0</v>
      </c>
      <c r="N2865" s="507">
        <v>3.0</v>
      </c>
      <c r="O2865" s="507">
        <v>1.0</v>
      </c>
      <c r="P2865" s="266" t="s">
        <v>166</v>
      </c>
      <c r="Q2865" s="266" t="s">
        <v>166</v>
      </c>
      <c r="R2865" s="266" t="s">
        <v>166</v>
      </c>
      <c r="S2865" s="266" t="s">
        <v>166</v>
      </c>
      <c r="T2865" s="509"/>
    </row>
    <row r="2866">
      <c r="A2866" s="494" t="s">
        <v>3401</v>
      </c>
      <c r="B2866" s="505" t="s">
        <v>3615</v>
      </c>
      <c r="C2866" s="174" t="str">
        <f t="shared" si="418"/>
        <v>MSI</v>
      </c>
      <c r="D2866" s="544" t="s">
        <v>3605</v>
      </c>
      <c r="E2866" s="507">
        <v>242.0</v>
      </c>
      <c r="F2866" s="507">
        <v>125.0</v>
      </c>
      <c r="G2866" s="507">
        <v>43.0</v>
      </c>
      <c r="H2866" s="260">
        <v>2.0</v>
      </c>
      <c r="I2866" s="260">
        <v>2490.0</v>
      </c>
      <c r="J2866" s="518">
        <v>21.0</v>
      </c>
      <c r="K2866" s="507">
        <v>200.0</v>
      </c>
      <c r="L2866" s="266">
        <v>8.0</v>
      </c>
      <c r="M2866" s="507">
        <v>2.0</v>
      </c>
      <c r="N2866" s="507">
        <v>3.0</v>
      </c>
      <c r="O2866" s="507">
        <v>1.0</v>
      </c>
      <c r="P2866" s="266" t="s">
        <v>166</v>
      </c>
      <c r="Q2866" s="266" t="s">
        <v>166</v>
      </c>
      <c r="R2866" s="266" t="s">
        <v>166</v>
      </c>
      <c r="S2866" s="266" t="s">
        <v>166</v>
      </c>
      <c r="T2866" s="509"/>
    </row>
    <row r="2867">
      <c r="A2867" s="494" t="s">
        <v>3401</v>
      </c>
      <c r="B2867" s="505" t="s">
        <v>3615</v>
      </c>
      <c r="C2867" s="174" t="str">
        <f t="shared" si="418"/>
        <v>MSI</v>
      </c>
      <c r="D2867" s="544" t="s">
        <v>3556</v>
      </c>
      <c r="E2867" s="507">
        <v>242.0</v>
      </c>
      <c r="F2867" s="507">
        <v>125.0</v>
      </c>
      <c r="G2867" s="507">
        <v>43.0</v>
      </c>
      <c r="H2867" s="260">
        <v>2.0</v>
      </c>
      <c r="I2867" s="260">
        <v>2520.0</v>
      </c>
      <c r="J2867" s="518">
        <v>21.0</v>
      </c>
      <c r="K2867" s="507">
        <v>200.0</v>
      </c>
      <c r="L2867" s="266">
        <v>8.0</v>
      </c>
      <c r="M2867" s="507">
        <v>2.0</v>
      </c>
      <c r="N2867" s="507">
        <v>3.0</v>
      </c>
      <c r="O2867" s="507">
        <v>1.0</v>
      </c>
      <c r="P2867" s="266" t="s">
        <v>166</v>
      </c>
      <c r="Q2867" s="266" t="s">
        <v>166</v>
      </c>
      <c r="R2867" s="266" t="s">
        <v>166</v>
      </c>
      <c r="S2867" s="266" t="s">
        <v>166</v>
      </c>
      <c r="T2867" s="509"/>
    </row>
    <row r="2868">
      <c r="A2868" s="494" t="s">
        <v>3401</v>
      </c>
      <c r="B2868" s="505" t="s">
        <v>3615</v>
      </c>
      <c r="C2868" s="174" t="str">
        <f t="shared" si="418"/>
        <v>MSI</v>
      </c>
      <c r="D2868" s="544" t="s">
        <v>3606</v>
      </c>
      <c r="E2868" s="507">
        <v>242.0</v>
      </c>
      <c r="F2868" s="507">
        <v>125.0</v>
      </c>
      <c r="G2868" s="507">
        <v>43.0</v>
      </c>
      <c r="H2868" s="260">
        <v>2.0</v>
      </c>
      <c r="I2868" s="260">
        <v>2520.0</v>
      </c>
      <c r="J2868" s="518">
        <v>21.0</v>
      </c>
      <c r="K2868" s="507">
        <v>200.0</v>
      </c>
      <c r="L2868" s="266">
        <v>8.0</v>
      </c>
      <c r="M2868" s="507">
        <v>2.0</v>
      </c>
      <c r="N2868" s="507">
        <v>3.0</v>
      </c>
      <c r="O2868" s="507">
        <v>1.0</v>
      </c>
      <c r="P2868" s="266" t="s">
        <v>166</v>
      </c>
      <c r="Q2868" s="266" t="s">
        <v>166</v>
      </c>
      <c r="R2868" s="266" t="s">
        <v>166</v>
      </c>
      <c r="S2868" s="266" t="s">
        <v>166</v>
      </c>
      <c r="T2868" s="509"/>
    </row>
    <row r="2869">
      <c r="A2869" s="494" t="s">
        <v>3401</v>
      </c>
      <c r="B2869" s="505" t="s">
        <v>3615</v>
      </c>
      <c r="C2869" s="174" t="str">
        <f t="shared" si="418"/>
        <v>MSI</v>
      </c>
      <c r="D2869" s="544" t="s">
        <v>4516</v>
      </c>
      <c r="E2869" s="507">
        <v>242.0</v>
      </c>
      <c r="F2869" s="507">
        <v>125.0</v>
      </c>
      <c r="G2869" s="507">
        <v>43.0</v>
      </c>
      <c r="H2869" s="260">
        <v>2.0</v>
      </c>
      <c r="I2869" s="260">
        <v>2490.0</v>
      </c>
      <c r="J2869" s="518">
        <v>21.0</v>
      </c>
      <c r="K2869" s="507">
        <v>200.0</v>
      </c>
      <c r="L2869" s="266">
        <v>8.0</v>
      </c>
      <c r="M2869" s="507">
        <v>2.0</v>
      </c>
      <c r="N2869" s="507">
        <v>3.0</v>
      </c>
      <c r="O2869" s="507">
        <v>1.0</v>
      </c>
      <c r="P2869" s="266" t="s">
        <v>166</v>
      </c>
      <c r="Q2869" s="266" t="s">
        <v>166</v>
      </c>
      <c r="R2869" s="266" t="s">
        <v>166</v>
      </c>
      <c r="S2869" s="266" t="s">
        <v>166</v>
      </c>
      <c r="T2869" s="509"/>
    </row>
    <row r="2870">
      <c r="A2870" s="494" t="s">
        <v>3401</v>
      </c>
      <c r="B2870" s="505" t="s">
        <v>3615</v>
      </c>
      <c r="C2870" s="174" t="str">
        <f t="shared" si="418"/>
        <v>MSI</v>
      </c>
      <c r="D2870" s="544" t="s">
        <v>4517</v>
      </c>
      <c r="E2870" s="507">
        <v>242.0</v>
      </c>
      <c r="F2870" s="507">
        <v>125.0</v>
      </c>
      <c r="G2870" s="507">
        <v>43.0</v>
      </c>
      <c r="H2870" s="260">
        <v>2.0</v>
      </c>
      <c r="I2870" s="260">
        <v>2520.0</v>
      </c>
      <c r="J2870" s="518">
        <v>21.0</v>
      </c>
      <c r="K2870" s="507">
        <v>200.0</v>
      </c>
      <c r="L2870" s="266">
        <v>8.0</v>
      </c>
      <c r="M2870" s="507">
        <v>2.0</v>
      </c>
      <c r="N2870" s="507">
        <v>3.0</v>
      </c>
      <c r="O2870" s="507">
        <v>1.0</v>
      </c>
      <c r="P2870" s="266" t="s">
        <v>166</v>
      </c>
      <c r="Q2870" s="266" t="s">
        <v>166</v>
      </c>
      <c r="R2870" s="266" t="s">
        <v>166</v>
      </c>
      <c r="S2870" s="266" t="s">
        <v>166</v>
      </c>
      <c r="T2870" s="509"/>
    </row>
    <row r="2871">
      <c r="A2871" s="494" t="s">
        <v>3401</v>
      </c>
      <c r="B2871" s="505" t="s">
        <v>3615</v>
      </c>
      <c r="C2871" s="174" t="str">
        <f t="shared" si="418"/>
        <v>MSI</v>
      </c>
      <c r="D2871" s="544" t="s">
        <v>4146</v>
      </c>
      <c r="E2871" s="507">
        <v>308.0</v>
      </c>
      <c r="F2871" s="507">
        <v>120.0</v>
      </c>
      <c r="G2871" s="507">
        <v>43.0</v>
      </c>
      <c r="H2871" s="260">
        <v>2.0</v>
      </c>
      <c r="I2871" s="260">
        <v>2490.0</v>
      </c>
      <c r="J2871" s="518">
        <v>21.0</v>
      </c>
      <c r="K2871" s="507">
        <v>200.0</v>
      </c>
      <c r="L2871" s="266">
        <v>8.0</v>
      </c>
      <c r="M2871" s="507">
        <v>3.0</v>
      </c>
      <c r="N2871" s="507">
        <v>3.0</v>
      </c>
      <c r="O2871" s="507">
        <v>1.0</v>
      </c>
      <c r="P2871" s="266" t="s">
        <v>166</v>
      </c>
      <c r="Q2871" s="266" t="s">
        <v>166</v>
      </c>
      <c r="R2871" s="266" t="s">
        <v>166</v>
      </c>
      <c r="S2871" s="266" t="s">
        <v>166</v>
      </c>
      <c r="T2871" s="509"/>
    </row>
    <row r="2872">
      <c r="A2872" s="494" t="s">
        <v>3401</v>
      </c>
      <c r="B2872" s="505" t="s">
        <v>3615</v>
      </c>
      <c r="C2872" s="174" t="str">
        <f t="shared" si="418"/>
        <v>MSI</v>
      </c>
      <c r="D2872" s="544" t="s">
        <v>4147</v>
      </c>
      <c r="E2872" s="507">
        <v>308.0</v>
      </c>
      <c r="F2872" s="507">
        <v>120.0</v>
      </c>
      <c r="G2872" s="507">
        <v>43.0</v>
      </c>
      <c r="H2872" s="260">
        <v>2.0</v>
      </c>
      <c r="I2872" s="260">
        <v>2520.0</v>
      </c>
      <c r="J2872" s="518">
        <v>21.0</v>
      </c>
      <c r="K2872" s="507">
        <v>200.0</v>
      </c>
      <c r="L2872" s="266">
        <v>8.0</v>
      </c>
      <c r="M2872" s="507">
        <v>3.0</v>
      </c>
      <c r="N2872" s="507">
        <v>3.0</v>
      </c>
      <c r="O2872" s="507">
        <v>1.0</v>
      </c>
      <c r="P2872" s="266" t="s">
        <v>166</v>
      </c>
      <c r="Q2872" s="266" t="s">
        <v>166</v>
      </c>
      <c r="R2872" s="266" t="s">
        <v>166</v>
      </c>
      <c r="S2872" s="266" t="s">
        <v>166</v>
      </c>
      <c r="T2872" s="509"/>
    </row>
    <row r="2873">
      <c r="A2873" s="494" t="s">
        <v>3401</v>
      </c>
      <c r="B2873" s="505" t="s">
        <v>3615</v>
      </c>
      <c r="C2873" s="174" t="str">
        <f t="shared" si="418"/>
        <v>MSI</v>
      </c>
      <c r="D2873" s="544" t="s">
        <v>4489</v>
      </c>
      <c r="E2873" s="507">
        <v>308.0</v>
      </c>
      <c r="F2873" s="507">
        <v>120.0</v>
      </c>
      <c r="G2873" s="507">
        <v>43.0</v>
      </c>
      <c r="H2873" s="260">
        <v>2.0</v>
      </c>
      <c r="I2873" s="260">
        <v>2490.0</v>
      </c>
      <c r="J2873" s="518">
        <v>21.0</v>
      </c>
      <c r="K2873" s="507">
        <v>200.0</v>
      </c>
      <c r="L2873" s="266">
        <v>8.0</v>
      </c>
      <c r="M2873" s="507">
        <v>3.0</v>
      </c>
      <c r="N2873" s="507">
        <v>3.0</v>
      </c>
      <c r="O2873" s="507">
        <v>1.0</v>
      </c>
      <c r="P2873" s="266" t="s">
        <v>166</v>
      </c>
      <c r="Q2873" s="266" t="s">
        <v>166</v>
      </c>
      <c r="R2873" s="266" t="s">
        <v>166</v>
      </c>
      <c r="S2873" s="266" t="s">
        <v>166</v>
      </c>
      <c r="T2873" s="509"/>
    </row>
    <row r="2874">
      <c r="A2874" s="494" t="s">
        <v>3401</v>
      </c>
      <c r="B2874" s="505" t="s">
        <v>3615</v>
      </c>
      <c r="C2874" s="174" t="str">
        <f t="shared" si="418"/>
        <v>MSI</v>
      </c>
      <c r="D2874" s="544" t="s">
        <v>4490</v>
      </c>
      <c r="E2874" s="507">
        <v>308.0</v>
      </c>
      <c r="F2874" s="507">
        <v>120.0</v>
      </c>
      <c r="G2874" s="507">
        <v>43.0</v>
      </c>
      <c r="H2874" s="260">
        <v>2.0</v>
      </c>
      <c r="I2874" s="260">
        <v>2520.0</v>
      </c>
      <c r="J2874" s="518">
        <v>21.0</v>
      </c>
      <c r="K2874" s="507">
        <v>200.0</v>
      </c>
      <c r="L2874" s="266">
        <v>8.0</v>
      </c>
      <c r="M2874" s="507">
        <v>3.0</v>
      </c>
      <c r="N2874" s="507">
        <v>3.0</v>
      </c>
      <c r="O2874" s="507">
        <v>1.0</v>
      </c>
      <c r="P2874" s="266" t="s">
        <v>166</v>
      </c>
      <c r="Q2874" s="266" t="s">
        <v>166</v>
      </c>
      <c r="R2874" s="266" t="s">
        <v>166</v>
      </c>
      <c r="S2874" s="266" t="s">
        <v>166</v>
      </c>
      <c r="T2874" s="509"/>
    </row>
    <row r="2875">
      <c r="A2875" s="494" t="s">
        <v>3401</v>
      </c>
      <c r="B2875" s="505" t="s">
        <v>3615</v>
      </c>
      <c r="C2875" s="174" t="str">
        <f t="shared" si="418"/>
        <v>MSI</v>
      </c>
      <c r="D2875" s="544" t="s">
        <v>4493</v>
      </c>
      <c r="E2875" s="507">
        <v>307.0</v>
      </c>
      <c r="F2875" s="507">
        <v>125.0</v>
      </c>
      <c r="G2875" s="507">
        <v>46.0</v>
      </c>
      <c r="H2875" s="260">
        <v>2.0</v>
      </c>
      <c r="I2875" s="260">
        <v>2490.0</v>
      </c>
      <c r="J2875" s="518">
        <v>21.0</v>
      </c>
      <c r="K2875" s="507">
        <v>215.0</v>
      </c>
      <c r="L2875" s="266" t="s">
        <v>3619</v>
      </c>
      <c r="M2875" s="507">
        <v>3.0</v>
      </c>
      <c r="N2875" s="507">
        <v>3.0</v>
      </c>
      <c r="O2875" s="507">
        <v>1.0</v>
      </c>
      <c r="P2875" s="266" t="s">
        <v>166</v>
      </c>
      <c r="Q2875" s="266" t="s">
        <v>166</v>
      </c>
      <c r="R2875" s="266" t="s">
        <v>166</v>
      </c>
      <c r="S2875" s="266" t="s">
        <v>166</v>
      </c>
      <c r="T2875" s="509"/>
    </row>
    <row r="2876">
      <c r="A2876" s="494" t="s">
        <v>3401</v>
      </c>
      <c r="B2876" s="505" t="s">
        <v>3615</v>
      </c>
      <c r="C2876" s="174" t="str">
        <f t="shared" si="418"/>
        <v>MSI</v>
      </c>
      <c r="D2876" s="544" t="s">
        <v>4495</v>
      </c>
      <c r="E2876" s="507">
        <v>307.0</v>
      </c>
      <c r="F2876" s="507">
        <v>125.0</v>
      </c>
      <c r="G2876" s="507">
        <v>46.0</v>
      </c>
      <c r="H2876" s="260">
        <v>2.0</v>
      </c>
      <c r="I2876" s="260">
        <v>2490.0</v>
      </c>
      <c r="J2876" s="518">
        <v>21.0</v>
      </c>
      <c r="K2876" s="507">
        <v>200.0</v>
      </c>
      <c r="L2876" s="266" t="s">
        <v>3619</v>
      </c>
      <c r="M2876" s="507">
        <v>3.0</v>
      </c>
      <c r="N2876" s="507">
        <v>3.0</v>
      </c>
      <c r="O2876" s="507">
        <v>1.0</v>
      </c>
      <c r="P2876" s="266" t="s">
        <v>166</v>
      </c>
      <c r="Q2876" s="266" t="s">
        <v>166</v>
      </c>
      <c r="R2876" s="266" t="s">
        <v>166</v>
      </c>
      <c r="S2876" s="266" t="s">
        <v>166</v>
      </c>
      <c r="T2876" s="509"/>
    </row>
    <row r="2877">
      <c r="A2877" s="494" t="s">
        <v>3401</v>
      </c>
      <c r="B2877" s="505" t="s">
        <v>3615</v>
      </c>
      <c r="C2877" s="174" t="str">
        <f t="shared" si="418"/>
        <v>MSI</v>
      </c>
      <c r="D2877" s="544" t="s">
        <v>4496</v>
      </c>
      <c r="E2877" s="507">
        <v>307.0</v>
      </c>
      <c r="F2877" s="507">
        <v>125.0</v>
      </c>
      <c r="G2877" s="507">
        <v>46.0</v>
      </c>
      <c r="H2877" s="260">
        <v>2.0</v>
      </c>
      <c r="I2877" s="260">
        <v>2625.0</v>
      </c>
      <c r="J2877" s="518">
        <v>21.0</v>
      </c>
      <c r="K2877" s="507">
        <v>215.0</v>
      </c>
      <c r="L2877" s="266" t="s">
        <v>3619</v>
      </c>
      <c r="M2877" s="507">
        <v>3.0</v>
      </c>
      <c r="N2877" s="507">
        <v>3.0</v>
      </c>
      <c r="O2877" s="507">
        <v>1.0</v>
      </c>
      <c r="P2877" s="266" t="s">
        <v>166</v>
      </c>
      <c r="Q2877" s="266" t="s">
        <v>166</v>
      </c>
      <c r="R2877" s="266" t="s">
        <v>166</v>
      </c>
      <c r="S2877" s="266" t="s">
        <v>166</v>
      </c>
      <c r="T2877" s="509"/>
    </row>
    <row r="2878">
      <c r="A2878" s="494" t="s">
        <v>3401</v>
      </c>
      <c r="B2878" s="505" t="s">
        <v>3615</v>
      </c>
      <c r="C2878" s="174" t="str">
        <f t="shared" si="418"/>
        <v>MSI</v>
      </c>
      <c r="D2878" s="544" t="s">
        <v>4497</v>
      </c>
      <c r="E2878" s="507">
        <v>307.0</v>
      </c>
      <c r="F2878" s="507">
        <v>125.0</v>
      </c>
      <c r="G2878" s="507">
        <v>46.0</v>
      </c>
      <c r="H2878" s="260">
        <v>2.0</v>
      </c>
      <c r="I2878" s="260">
        <v>2625.0</v>
      </c>
      <c r="J2878" s="518">
        <v>21.0</v>
      </c>
      <c r="K2878" s="507">
        <v>215.0</v>
      </c>
      <c r="L2878" s="266" t="s">
        <v>3619</v>
      </c>
      <c r="M2878" s="507">
        <v>3.0</v>
      </c>
      <c r="N2878" s="507">
        <v>3.0</v>
      </c>
      <c r="O2878" s="507">
        <v>1.0</v>
      </c>
      <c r="P2878" s="266" t="s">
        <v>166</v>
      </c>
      <c r="Q2878" s="266" t="s">
        <v>166</v>
      </c>
      <c r="R2878" s="266" t="s">
        <v>166</v>
      </c>
      <c r="S2878" s="266" t="s">
        <v>166</v>
      </c>
      <c r="T2878" s="509"/>
    </row>
    <row r="2879">
      <c r="A2879" s="494" t="s">
        <v>3401</v>
      </c>
      <c r="B2879" s="505" t="s">
        <v>3615</v>
      </c>
      <c r="C2879" s="174" t="str">
        <f t="shared" si="418"/>
        <v>MSI</v>
      </c>
      <c r="D2879" s="544" t="s">
        <v>3720</v>
      </c>
      <c r="E2879" s="507">
        <v>338.0</v>
      </c>
      <c r="F2879" s="507">
        <v>141.0</v>
      </c>
      <c r="G2879" s="507">
        <v>52.0</v>
      </c>
      <c r="H2879" s="260">
        <v>2.0</v>
      </c>
      <c r="I2879" s="260">
        <v>2490.0</v>
      </c>
      <c r="J2879" s="518">
        <v>21.0</v>
      </c>
      <c r="K2879" s="507">
        <v>200.0</v>
      </c>
      <c r="L2879" s="266" t="s">
        <v>3619</v>
      </c>
      <c r="M2879" s="507">
        <v>3.0</v>
      </c>
      <c r="N2879" s="507">
        <v>3.0</v>
      </c>
      <c r="O2879" s="507">
        <v>1.0</v>
      </c>
      <c r="P2879" s="266" t="s">
        <v>166</v>
      </c>
      <c r="Q2879" s="266" t="s">
        <v>166</v>
      </c>
      <c r="R2879" s="266" t="s">
        <v>166</v>
      </c>
      <c r="S2879" s="266" t="s">
        <v>166</v>
      </c>
      <c r="T2879" s="509"/>
    </row>
    <row r="2880">
      <c r="A2880" s="494" t="s">
        <v>3401</v>
      </c>
      <c r="B2880" s="505" t="s">
        <v>3615</v>
      </c>
      <c r="C2880" s="174" t="str">
        <f t="shared" si="418"/>
        <v>MSI</v>
      </c>
      <c r="D2880" s="544" t="s">
        <v>3721</v>
      </c>
      <c r="E2880" s="507">
        <v>338.0</v>
      </c>
      <c r="F2880" s="507">
        <v>141.0</v>
      </c>
      <c r="G2880" s="507">
        <v>52.0</v>
      </c>
      <c r="H2880" s="260">
        <v>2.0</v>
      </c>
      <c r="I2880" s="260">
        <v>2625.0</v>
      </c>
      <c r="J2880" s="518">
        <v>21.0</v>
      </c>
      <c r="K2880" s="507">
        <v>215.0</v>
      </c>
      <c r="L2880" s="266" t="s">
        <v>3619</v>
      </c>
      <c r="M2880" s="507">
        <v>3.0</v>
      </c>
      <c r="N2880" s="507">
        <v>3.0</v>
      </c>
      <c r="O2880" s="507">
        <v>1.0</v>
      </c>
      <c r="P2880" s="266" t="s">
        <v>166</v>
      </c>
      <c r="Q2880" s="266" t="s">
        <v>166</v>
      </c>
      <c r="R2880" s="266" t="s">
        <v>166</v>
      </c>
      <c r="S2880" s="266" t="s">
        <v>166</v>
      </c>
      <c r="T2880" s="509"/>
    </row>
    <row r="2881">
      <c r="A2881" s="494" t="s">
        <v>3401</v>
      </c>
      <c r="B2881" s="505" t="s">
        <v>3615</v>
      </c>
      <c r="C2881" s="452" t="str">
        <f>HYPERLINK("https://www.nvidia.com/en-us/","Nvidia")</f>
        <v>Nvidia</v>
      </c>
      <c r="D2881" s="544" t="s">
        <v>3812</v>
      </c>
      <c r="E2881" s="507">
        <v>244.0</v>
      </c>
      <c r="F2881" s="507">
        <v>112.0</v>
      </c>
      <c r="G2881" s="507">
        <v>40.0</v>
      </c>
      <c r="H2881" s="260">
        <v>2.0</v>
      </c>
      <c r="I2881" s="260">
        <v>2475.0</v>
      </c>
      <c r="J2881" s="518">
        <v>21.0</v>
      </c>
      <c r="K2881" s="507">
        <v>200.0</v>
      </c>
      <c r="L2881" s="266" t="s">
        <v>3619</v>
      </c>
      <c r="M2881" s="507">
        <v>2.0</v>
      </c>
      <c r="N2881" s="507">
        <v>3.0</v>
      </c>
      <c r="O2881" s="507">
        <v>1.0</v>
      </c>
      <c r="P2881" s="266" t="s">
        <v>166</v>
      </c>
      <c r="Q2881" s="266" t="s">
        <v>166</v>
      </c>
      <c r="R2881" s="266" t="s">
        <v>166</v>
      </c>
      <c r="S2881" s="266" t="s">
        <v>166</v>
      </c>
      <c r="T2881" s="509"/>
    </row>
    <row r="2882">
      <c r="A2882" s="494" t="s">
        <v>3401</v>
      </c>
      <c r="B2882" s="505" t="s">
        <v>3615</v>
      </c>
      <c r="C2882" s="452" t="str">
        <f t="shared" ref="C2882:C2887" si="419">HYPERLINK("http://www.palit.com/palit/index.php?lang=en","Palit")</f>
        <v>Palit</v>
      </c>
      <c r="D2882" s="544" t="s">
        <v>3372</v>
      </c>
      <c r="E2882" s="507">
        <v>269.1</v>
      </c>
      <c r="F2882" s="507">
        <v>127.5</v>
      </c>
      <c r="G2882" s="507">
        <v>40.1</v>
      </c>
      <c r="H2882" s="260">
        <v>2.0</v>
      </c>
      <c r="I2882" s="260">
        <v>2475.0</v>
      </c>
      <c r="J2882" s="518">
        <v>21.0</v>
      </c>
      <c r="K2882" s="507">
        <v>200.0</v>
      </c>
      <c r="L2882" s="266">
        <v>8.0</v>
      </c>
      <c r="M2882" s="507">
        <v>2.0</v>
      </c>
      <c r="N2882" s="507">
        <v>3.0</v>
      </c>
      <c r="O2882" s="507">
        <v>1.0</v>
      </c>
      <c r="P2882" s="266" t="s">
        <v>166</v>
      </c>
      <c r="Q2882" s="266" t="s">
        <v>166</v>
      </c>
      <c r="R2882" s="266" t="s">
        <v>166</v>
      </c>
      <c r="S2882" s="266" t="s">
        <v>166</v>
      </c>
      <c r="T2882" s="509"/>
    </row>
    <row r="2883">
      <c r="A2883" s="494" t="s">
        <v>3401</v>
      </c>
      <c r="B2883" s="505" t="s">
        <v>3615</v>
      </c>
      <c r="C2883" s="452" t="str">
        <f t="shared" si="419"/>
        <v>Palit</v>
      </c>
      <c r="D2883" s="544" t="s">
        <v>3381</v>
      </c>
      <c r="E2883" s="507">
        <v>269.1</v>
      </c>
      <c r="F2883" s="507">
        <v>127.5</v>
      </c>
      <c r="G2883" s="507">
        <v>40.1</v>
      </c>
      <c r="H2883" s="260">
        <v>2.0</v>
      </c>
      <c r="I2883" s="260">
        <v>2550.0</v>
      </c>
      <c r="J2883" s="518">
        <v>21.0</v>
      </c>
      <c r="K2883" s="507">
        <v>200.0</v>
      </c>
      <c r="L2883" s="266">
        <v>8.0</v>
      </c>
      <c r="M2883" s="507">
        <v>2.0</v>
      </c>
      <c r="N2883" s="507">
        <v>3.0</v>
      </c>
      <c r="O2883" s="507">
        <v>1.0</v>
      </c>
      <c r="P2883" s="266" t="s">
        <v>166</v>
      </c>
      <c r="Q2883" s="266" t="s">
        <v>166</v>
      </c>
      <c r="R2883" s="266" t="s">
        <v>166</v>
      </c>
      <c r="S2883" s="266" t="s">
        <v>166</v>
      </c>
      <c r="T2883" s="509"/>
    </row>
    <row r="2884">
      <c r="A2884" s="494" t="s">
        <v>3401</v>
      </c>
      <c r="B2884" s="505" t="s">
        <v>3615</v>
      </c>
      <c r="C2884" s="452" t="str">
        <f t="shared" si="419"/>
        <v>Palit</v>
      </c>
      <c r="D2884" s="544" t="s">
        <v>4498</v>
      </c>
      <c r="E2884" s="507">
        <v>269.1</v>
      </c>
      <c r="F2884" s="507">
        <v>127.0</v>
      </c>
      <c r="G2884" s="507">
        <v>40.1</v>
      </c>
      <c r="H2884" s="260">
        <v>2.0</v>
      </c>
      <c r="I2884" s="260">
        <v>2475.0</v>
      </c>
      <c r="J2884" s="518">
        <v>21.0</v>
      </c>
      <c r="K2884" s="507">
        <v>200.0</v>
      </c>
      <c r="L2884" s="266">
        <v>8.0</v>
      </c>
      <c r="M2884" s="507">
        <v>2.0</v>
      </c>
      <c r="N2884" s="507">
        <v>3.0</v>
      </c>
      <c r="O2884" s="507">
        <v>1.0</v>
      </c>
      <c r="P2884" s="266" t="s">
        <v>166</v>
      </c>
      <c r="Q2884" s="266" t="s">
        <v>166</v>
      </c>
      <c r="R2884" s="266" t="s">
        <v>166</v>
      </c>
      <c r="S2884" s="266" t="s">
        <v>166</v>
      </c>
      <c r="T2884" s="509"/>
    </row>
    <row r="2885">
      <c r="A2885" s="494" t="s">
        <v>3401</v>
      </c>
      <c r="B2885" s="505" t="s">
        <v>3615</v>
      </c>
      <c r="C2885" s="452" t="str">
        <f t="shared" si="419"/>
        <v>Palit</v>
      </c>
      <c r="D2885" s="544" t="s">
        <v>3998</v>
      </c>
      <c r="E2885" s="507">
        <v>328.9</v>
      </c>
      <c r="F2885" s="507">
        <v>130.5</v>
      </c>
      <c r="G2885" s="507">
        <v>63.5</v>
      </c>
      <c r="H2885" s="260">
        <v>2.0</v>
      </c>
      <c r="I2885" s="260">
        <v>2475.0</v>
      </c>
      <c r="J2885" s="518">
        <v>21.0</v>
      </c>
      <c r="K2885" s="507">
        <v>200.0</v>
      </c>
      <c r="L2885" s="266">
        <v>8.0</v>
      </c>
      <c r="M2885" s="507">
        <v>3.0</v>
      </c>
      <c r="N2885" s="507">
        <v>3.0</v>
      </c>
      <c r="O2885" s="507">
        <v>1.0</v>
      </c>
      <c r="P2885" s="266" t="s">
        <v>166</v>
      </c>
      <c r="Q2885" s="266" t="s">
        <v>166</v>
      </c>
      <c r="R2885" s="266" t="s">
        <v>166</v>
      </c>
      <c r="S2885" s="266" t="s">
        <v>166</v>
      </c>
      <c r="T2885" s="509"/>
    </row>
    <row r="2886">
      <c r="A2886" s="494" t="s">
        <v>3401</v>
      </c>
      <c r="B2886" s="505" t="s">
        <v>3615</v>
      </c>
      <c r="C2886" s="452" t="str">
        <f t="shared" si="419"/>
        <v>Palit</v>
      </c>
      <c r="D2886" s="544" t="s">
        <v>4067</v>
      </c>
      <c r="E2886" s="507">
        <v>328.9</v>
      </c>
      <c r="F2886" s="507">
        <v>132.9</v>
      </c>
      <c r="G2886" s="507">
        <v>63.4</v>
      </c>
      <c r="H2886" s="260">
        <v>2.0</v>
      </c>
      <c r="I2886" s="260">
        <v>2475.0</v>
      </c>
      <c r="J2886" s="518">
        <v>21.0</v>
      </c>
      <c r="K2886" s="507">
        <v>200.0</v>
      </c>
      <c r="L2886" s="266" t="s">
        <v>3619</v>
      </c>
      <c r="M2886" s="507">
        <v>3.0</v>
      </c>
      <c r="N2886" s="507">
        <v>3.0</v>
      </c>
      <c r="O2886" s="507">
        <v>1.0</v>
      </c>
      <c r="P2886" s="266" t="s">
        <v>166</v>
      </c>
      <c r="Q2886" s="266" t="s">
        <v>166</v>
      </c>
      <c r="R2886" s="266" t="s">
        <v>166</v>
      </c>
      <c r="S2886" s="266" t="s">
        <v>166</v>
      </c>
      <c r="T2886" s="509"/>
    </row>
    <row r="2887">
      <c r="A2887" s="494" t="s">
        <v>3401</v>
      </c>
      <c r="B2887" s="505" t="s">
        <v>3615</v>
      </c>
      <c r="C2887" s="452" t="str">
        <f t="shared" si="419"/>
        <v>Palit</v>
      </c>
      <c r="D2887" s="544" t="s">
        <v>4068</v>
      </c>
      <c r="E2887" s="507">
        <v>328.9</v>
      </c>
      <c r="F2887" s="507">
        <v>132.9</v>
      </c>
      <c r="G2887" s="507">
        <v>63.4</v>
      </c>
      <c r="H2887" s="260">
        <v>2.0</v>
      </c>
      <c r="I2887" s="260">
        <v>2595.0</v>
      </c>
      <c r="J2887" s="518">
        <v>21.0</v>
      </c>
      <c r="K2887" s="507">
        <v>215.0</v>
      </c>
      <c r="L2887" s="266" t="s">
        <v>3619</v>
      </c>
      <c r="M2887" s="507">
        <v>3.0</v>
      </c>
      <c r="N2887" s="507">
        <v>3.0</v>
      </c>
      <c r="O2887" s="507">
        <v>1.0</v>
      </c>
      <c r="P2887" s="266" t="s">
        <v>166</v>
      </c>
      <c r="Q2887" s="266" t="s">
        <v>166</v>
      </c>
      <c r="R2887" s="266" t="s">
        <v>166</v>
      </c>
      <c r="S2887" s="266" t="s">
        <v>166</v>
      </c>
      <c r="T2887" s="509"/>
    </row>
    <row r="2888">
      <c r="A2888" s="494" t="s">
        <v>3401</v>
      </c>
      <c r="B2888" s="505" t="s">
        <v>3615</v>
      </c>
      <c r="C2888" s="452" t="str">
        <f t="shared" ref="C2888:C2890" si="420">HYPERLINK("https://pny.com/","PNY")</f>
        <v>PNY</v>
      </c>
      <c r="D2888" s="544" t="s">
        <v>3607</v>
      </c>
      <c r="E2888" s="507">
        <v>247.4</v>
      </c>
      <c r="F2888" s="507">
        <v>120.4</v>
      </c>
      <c r="G2888" s="507">
        <v>40.89</v>
      </c>
      <c r="H2888" s="260">
        <v>2.0</v>
      </c>
      <c r="I2888" s="260">
        <v>2475.0</v>
      </c>
      <c r="J2888" s="518">
        <v>21.0</v>
      </c>
      <c r="K2888" s="507">
        <v>200.0</v>
      </c>
      <c r="L2888" s="266">
        <v>8.0</v>
      </c>
      <c r="M2888" s="507">
        <v>2.0</v>
      </c>
      <c r="N2888" s="507">
        <v>3.0</v>
      </c>
      <c r="O2888" s="507">
        <v>1.0</v>
      </c>
      <c r="P2888" s="266" t="s">
        <v>166</v>
      </c>
      <c r="Q2888" s="266" t="s">
        <v>166</v>
      </c>
      <c r="R2888" s="266" t="s">
        <v>166</v>
      </c>
      <c r="S2888" s="266" t="s">
        <v>166</v>
      </c>
      <c r="T2888" s="509"/>
    </row>
    <row r="2889">
      <c r="A2889" s="494" t="s">
        <v>3401</v>
      </c>
      <c r="B2889" s="505" t="s">
        <v>3615</v>
      </c>
      <c r="C2889" s="452" t="str">
        <f t="shared" si="420"/>
        <v>PNY</v>
      </c>
      <c r="D2889" s="544" t="s">
        <v>4471</v>
      </c>
      <c r="E2889" s="507">
        <v>305.05</v>
      </c>
      <c r="F2889" s="507">
        <v>119.38</v>
      </c>
      <c r="G2889" s="507">
        <v>39.88</v>
      </c>
      <c r="H2889" s="260">
        <v>2.0</v>
      </c>
      <c r="I2889" s="260">
        <v>2475.0</v>
      </c>
      <c r="J2889" s="518">
        <v>21.0</v>
      </c>
      <c r="K2889" s="507">
        <v>200.0</v>
      </c>
      <c r="L2889" s="266">
        <v>8.0</v>
      </c>
      <c r="M2889" s="507">
        <v>3.0</v>
      </c>
      <c r="N2889" s="507">
        <v>3.0</v>
      </c>
      <c r="O2889" s="507">
        <v>1.0</v>
      </c>
      <c r="P2889" s="266" t="s">
        <v>166</v>
      </c>
      <c r="Q2889" s="266" t="s">
        <v>166</v>
      </c>
      <c r="R2889" s="266" t="s">
        <v>166</v>
      </c>
      <c r="S2889" s="266" t="s">
        <v>166</v>
      </c>
      <c r="T2889" s="509"/>
    </row>
    <row r="2890">
      <c r="A2890" s="494" t="s">
        <v>3401</v>
      </c>
      <c r="B2890" s="505" t="s">
        <v>3615</v>
      </c>
      <c r="C2890" s="452" t="str">
        <f t="shared" si="420"/>
        <v>PNY</v>
      </c>
      <c r="D2890" s="544" t="s">
        <v>4472</v>
      </c>
      <c r="E2890" s="507">
        <v>305.05</v>
      </c>
      <c r="F2890" s="507">
        <v>119.38</v>
      </c>
      <c r="G2890" s="507">
        <v>39.88</v>
      </c>
      <c r="H2890" s="260">
        <v>2.0</v>
      </c>
      <c r="I2890" s="260">
        <v>2520.0</v>
      </c>
      <c r="J2890" s="518">
        <v>21.0</v>
      </c>
      <c r="K2890" s="507">
        <v>200.0</v>
      </c>
      <c r="L2890" s="266">
        <v>8.0</v>
      </c>
      <c r="M2890" s="507">
        <v>3.0</v>
      </c>
      <c r="N2890" s="507">
        <v>3.0</v>
      </c>
      <c r="O2890" s="507">
        <v>1.0</v>
      </c>
      <c r="P2890" s="266" t="s">
        <v>166</v>
      </c>
      <c r="Q2890" s="266" t="s">
        <v>166</v>
      </c>
      <c r="R2890" s="266" t="s">
        <v>166</v>
      </c>
      <c r="S2890" s="266" t="s">
        <v>166</v>
      </c>
      <c r="T2890" s="509"/>
    </row>
    <row r="2891">
      <c r="A2891" s="494" t="s">
        <v>3401</v>
      </c>
      <c r="B2891" s="505" t="s">
        <v>3615</v>
      </c>
      <c r="C2891" s="452" t="s">
        <v>3378</v>
      </c>
      <c r="D2891" s="641" t="s">
        <v>4474</v>
      </c>
      <c r="E2891" s="507">
        <v>254.0</v>
      </c>
      <c r="F2891" s="507">
        <v>128.0</v>
      </c>
      <c r="G2891" s="507">
        <v>53.0</v>
      </c>
      <c r="H2891" s="260">
        <v>2.0</v>
      </c>
      <c r="I2891" s="260">
        <v>2475.0</v>
      </c>
      <c r="J2891" s="518">
        <v>21.0</v>
      </c>
      <c r="K2891" s="507">
        <v>200.0</v>
      </c>
      <c r="L2891" s="266">
        <v>8.0</v>
      </c>
      <c r="M2891" s="507">
        <v>2.0</v>
      </c>
      <c r="N2891" s="507">
        <v>3.0</v>
      </c>
      <c r="O2891" s="507">
        <v>1.0</v>
      </c>
      <c r="P2891" s="266" t="s">
        <v>166</v>
      </c>
      <c r="Q2891" s="266" t="s">
        <v>166</v>
      </c>
      <c r="R2891" s="266" t="s">
        <v>166</v>
      </c>
      <c r="S2891" s="266" t="s">
        <v>166</v>
      </c>
      <c r="T2891" s="509"/>
    </row>
    <row r="2892">
      <c r="A2892" s="494" t="s">
        <v>3401</v>
      </c>
      <c r="B2892" s="505" t="s">
        <v>3615</v>
      </c>
      <c r="C2892" s="452" t="s">
        <v>3378</v>
      </c>
      <c r="D2892" s="544" t="s">
        <v>3777</v>
      </c>
      <c r="E2892" s="507">
        <v>298.0</v>
      </c>
      <c r="F2892" s="507">
        <v>125.0</v>
      </c>
      <c r="G2892" s="507">
        <v>56.0</v>
      </c>
      <c r="H2892" s="260">
        <v>2.0</v>
      </c>
      <c r="I2892" s="260">
        <v>2475.0</v>
      </c>
      <c r="J2892" s="518">
        <v>21.0</v>
      </c>
      <c r="K2892" s="507">
        <v>200.0</v>
      </c>
      <c r="L2892" s="266">
        <v>8.0</v>
      </c>
      <c r="M2892" s="507">
        <v>3.0</v>
      </c>
      <c r="N2892" s="507">
        <v>3.0</v>
      </c>
      <c r="O2892" s="507">
        <v>1.0</v>
      </c>
      <c r="P2892" s="266" t="s">
        <v>166</v>
      </c>
      <c r="Q2892" s="266" t="s">
        <v>166</v>
      </c>
      <c r="R2892" s="266" t="s">
        <v>166</v>
      </c>
      <c r="S2892" s="266" t="s">
        <v>166</v>
      </c>
      <c r="T2892" s="509"/>
    </row>
    <row r="2893">
      <c r="A2893" s="494" t="s">
        <v>3401</v>
      </c>
      <c r="B2893" s="505" t="s">
        <v>3615</v>
      </c>
      <c r="C2893" s="452" t="s">
        <v>3378</v>
      </c>
      <c r="D2893" s="537" t="s">
        <v>3794</v>
      </c>
      <c r="E2893" s="507">
        <v>328.0</v>
      </c>
      <c r="F2893" s="507">
        <v>128.0</v>
      </c>
      <c r="G2893" s="507">
        <v>58.0</v>
      </c>
      <c r="H2893" s="260">
        <v>2.0</v>
      </c>
      <c r="I2893" s="260">
        <v>2475.0</v>
      </c>
      <c r="J2893" s="518">
        <v>21.0</v>
      </c>
      <c r="K2893" s="507">
        <v>200.0</v>
      </c>
      <c r="L2893" s="266" t="s">
        <v>3619</v>
      </c>
      <c r="M2893" s="507">
        <v>3.0</v>
      </c>
      <c r="N2893" s="507">
        <v>3.0</v>
      </c>
      <c r="O2893" s="507">
        <v>1.0</v>
      </c>
      <c r="P2893" s="266" t="s">
        <v>166</v>
      </c>
      <c r="Q2893" s="266" t="s">
        <v>166</v>
      </c>
      <c r="R2893" s="266" t="s">
        <v>166</v>
      </c>
      <c r="S2893" s="266" t="s">
        <v>166</v>
      </c>
      <c r="T2893" s="509"/>
    </row>
    <row r="2894">
      <c r="A2894" s="494" t="s">
        <v>3401</v>
      </c>
      <c r="B2894" s="505" t="s">
        <v>3615</v>
      </c>
      <c r="C2894" s="452" t="s">
        <v>3440</v>
      </c>
      <c r="D2894" s="544" t="s">
        <v>4156</v>
      </c>
      <c r="E2894" s="507">
        <v>303.0</v>
      </c>
      <c r="F2894" s="507">
        <v>121.0</v>
      </c>
      <c r="G2894" s="507">
        <v>45.0</v>
      </c>
      <c r="H2894" s="260">
        <v>2.0</v>
      </c>
      <c r="I2894" s="260">
        <v>2475.0</v>
      </c>
      <c r="J2894" s="518">
        <v>21.0</v>
      </c>
      <c r="K2894" s="507">
        <v>200.0</v>
      </c>
      <c r="L2894" s="266">
        <v>8.0</v>
      </c>
      <c r="M2894" s="507">
        <v>3.0</v>
      </c>
      <c r="N2894" s="507">
        <v>3.0</v>
      </c>
      <c r="O2894" s="507">
        <v>1.0</v>
      </c>
      <c r="P2894" s="266" t="s">
        <v>166</v>
      </c>
      <c r="Q2894" s="266" t="s">
        <v>166</v>
      </c>
      <c r="R2894" s="266" t="s">
        <v>166</v>
      </c>
      <c r="S2894" s="266" t="s">
        <v>166</v>
      </c>
      <c r="T2894" s="509"/>
    </row>
    <row r="2895">
      <c r="A2895" s="494" t="s">
        <v>3401</v>
      </c>
      <c r="B2895" s="505" t="s">
        <v>3615</v>
      </c>
      <c r="C2895" s="452" t="s">
        <v>3440</v>
      </c>
      <c r="D2895" s="544" t="s">
        <v>4477</v>
      </c>
      <c r="E2895" s="507">
        <v>303.0</v>
      </c>
      <c r="F2895" s="507">
        <v>121.0</v>
      </c>
      <c r="G2895" s="507">
        <v>61.0</v>
      </c>
      <c r="H2895" s="260">
        <v>2.0</v>
      </c>
      <c r="I2895" s="260">
        <v>2520.0</v>
      </c>
      <c r="J2895" s="518">
        <v>21.0</v>
      </c>
      <c r="K2895" s="507">
        <v>200.0</v>
      </c>
      <c r="L2895" s="266" t="s">
        <v>3619</v>
      </c>
      <c r="M2895" s="507">
        <v>3.0</v>
      </c>
      <c r="N2895" s="507">
        <v>3.0</v>
      </c>
      <c r="O2895" s="507">
        <v>1.0</v>
      </c>
      <c r="P2895" s="266" t="s">
        <v>166</v>
      </c>
      <c r="Q2895" s="266" t="s">
        <v>166</v>
      </c>
      <c r="R2895" s="266" t="s">
        <v>166</v>
      </c>
      <c r="S2895" s="266" t="s">
        <v>166</v>
      </c>
      <c r="T2895" s="509"/>
    </row>
    <row r="2896">
      <c r="A2896" s="494" t="s">
        <v>3401</v>
      </c>
      <c r="B2896" s="505" t="s">
        <v>3615</v>
      </c>
      <c r="C2896" s="452" t="s">
        <v>3440</v>
      </c>
      <c r="D2896" s="544" t="s">
        <v>4160</v>
      </c>
      <c r="E2896" s="507">
        <v>334.0</v>
      </c>
      <c r="F2896" s="507">
        <v>131.0</v>
      </c>
      <c r="G2896" s="507">
        <v>64.0</v>
      </c>
      <c r="H2896" s="260">
        <v>2.0</v>
      </c>
      <c r="I2896" s="260">
        <v>2580.0</v>
      </c>
      <c r="J2896" s="518">
        <v>21.0</v>
      </c>
      <c r="K2896" s="507">
        <v>215.0</v>
      </c>
      <c r="L2896" s="266" t="s">
        <v>3619</v>
      </c>
      <c r="M2896" s="507">
        <v>3.0</v>
      </c>
      <c r="N2896" s="507">
        <v>3.0</v>
      </c>
      <c r="O2896" s="507">
        <v>1.0</v>
      </c>
      <c r="P2896" s="266" t="s">
        <v>166</v>
      </c>
      <c r="Q2896" s="266" t="s">
        <v>166</v>
      </c>
      <c r="R2896" s="266" t="s">
        <v>166</v>
      </c>
      <c r="S2896" s="266" t="s">
        <v>166</v>
      </c>
      <c r="T2896" s="509"/>
    </row>
    <row r="2897">
      <c r="A2897" s="494" t="s">
        <v>3401</v>
      </c>
      <c r="B2897" s="505" t="s">
        <v>3615</v>
      </c>
      <c r="C2897" s="452" t="s">
        <v>3440</v>
      </c>
      <c r="D2897" s="544" t="s">
        <v>4085</v>
      </c>
      <c r="E2897" s="507">
        <v>225.5</v>
      </c>
      <c r="F2897" s="507">
        <v>123.2</v>
      </c>
      <c r="G2897" s="507">
        <v>40.1</v>
      </c>
      <c r="H2897" s="260">
        <v>2.0</v>
      </c>
      <c r="I2897" s="260">
        <v>2475.0</v>
      </c>
      <c r="J2897" s="518">
        <v>21.0</v>
      </c>
      <c r="K2897" s="507">
        <v>200.0</v>
      </c>
      <c r="L2897" s="266">
        <v>8.0</v>
      </c>
      <c r="M2897" s="507">
        <v>2.0</v>
      </c>
      <c r="N2897" s="507">
        <v>3.0</v>
      </c>
      <c r="O2897" s="507">
        <v>1.0</v>
      </c>
      <c r="P2897" s="266" t="s">
        <v>166</v>
      </c>
      <c r="Q2897" s="266" t="s">
        <v>166</v>
      </c>
      <c r="R2897" s="266" t="s">
        <v>166</v>
      </c>
      <c r="S2897" s="266" t="s">
        <v>166</v>
      </c>
      <c r="T2897" s="509"/>
    </row>
    <row r="2898">
      <c r="A2898" s="494" t="s">
        <v>3401</v>
      </c>
      <c r="B2898" s="505" t="s">
        <v>3615</v>
      </c>
      <c r="C2898" s="452" t="s">
        <v>3440</v>
      </c>
      <c r="D2898" s="544" t="s">
        <v>4086</v>
      </c>
      <c r="E2898" s="507">
        <v>225.5</v>
      </c>
      <c r="F2898" s="507">
        <v>123.2</v>
      </c>
      <c r="G2898" s="507">
        <v>40.1</v>
      </c>
      <c r="H2898" s="260">
        <v>2.0</v>
      </c>
      <c r="I2898" s="260">
        <v>2490.0</v>
      </c>
      <c r="J2898" s="518">
        <v>21.0</v>
      </c>
      <c r="K2898" s="507">
        <v>200.0</v>
      </c>
      <c r="L2898" s="266">
        <v>8.0</v>
      </c>
      <c r="M2898" s="507">
        <v>2.0</v>
      </c>
      <c r="N2898" s="507">
        <v>3.0</v>
      </c>
      <c r="O2898" s="507">
        <v>1.0</v>
      </c>
      <c r="P2898" s="266" t="s">
        <v>166</v>
      </c>
      <c r="Q2898" s="266" t="s">
        <v>166</v>
      </c>
      <c r="R2898" s="266" t="s">
        <v>166</v>
      </c>
      <c r="S2898" s="266" t="s">
        <v>166</v>
      </c>
      <c r="T2898" s="509"/>
    </row>
    <row r="2899">
      <c r="A2899" s="494" t="s">
        <v>3401</v>
      </c>
      <c r="B2899" s="505" t="s">
        <v>3615</v>
      </c>
      <c r="C2899" s="452" t="s">
        <v>3440</v>
      </c>
      <c r="D2899" s="544" t="s">
        <v>4478</v>
      </c>
      <c r="E2899" s="507">
        <v>225.5</v>
      </c>
      <c r="F2899" s="507">
        <v>123.2</v>
      </c>
      <c r="G2899" s="507">
        <v>40.1</v>
      </c>
      <c r="H2899" s="260">
        <v>2.0</v>
      </c>
      <c r="I2899" s="260">
        <v>2490.0</v>
      </c>
      <c r="J2899" s="518">
        <v>21.0</v>
      </c>
      <c r="K2899" s="507">
        <v>200.0</v>
      </c>
      <c r="L2899" s="266">
        <v>8.0</v>
      </c>
      <c r="M2899" s="507">
        <v>2.0</v>
      </c>
      <c r="N2899" s="507">
        <v>3.0</v>
      </c>
      <c r="O2899" s="507">
        <v>1.0</v>
      </c>
      <c r="P2899" s="266" t="s">
        <v>166</v>
      </c>
      <c r="Q2899" s="266" t="s">
        <v>166</v>
      </c>
      <c r="R2899" s="266" t="s">
        <v>166</v>
      </c>
      <c r="S2899" s="266" t="s">
        <v>166</v>
      </c>
      <c r="T2899" s="509"/>
    </row>
    <row r="2900">
      <c r="A2900" s="494" t="s">
        <v>3401</v>
      </c>
      <c r="B2900" s="505" t="s">
        <v>3615</v>
      </c>
      <c r="C2900" s="452" t="s">
        <v>3440</v>
      </c>
      <c r="D2900" s="544" t="s">
        <v>4354</v>
      </c>
      <c r="E2900" s="507">
        <v>306.8</v>
      </c>
      <c r="F2900" s="507">
        <v>119.4</v>
      </c>
      <c r="G2900" s="507">
        <v>58.5</v>
      </c>
      <c r="H2900" s="260">
        <v>2.0</v>
      </c>
      <c r="I2900" s="260">
        <v>2475.0</v>
      </c>
      <c r="J2900" s="518">
        <v>21.0</v>
      </c>
      <c r="K2900" s="507">
        <v>200.0</v>
      </c>
      <c r="L2900" s="266" t="s">
        <v>3619</v>
      </c>
      <c r="M2900" s="507">
        <v>3.0</v>
      </c>
      <c r="N2900" s="507">
        <v>3.0</v>
      </c>
      <c r="O2900" s="507">
        <v>1.0</v>
      </c>
      <c r="P2900" s="266" t="s">
        <v>166</v>
      </c>
      <c r="Q2900" s="266" t="s">
        <v>166</v>
      </c>
      <c r="R2900" s="266" t="s">
        <v>166</v>
      </c>
      <c r="S2900" s="266" t="s">
        <v>166</v>
      </c>
      <c r="T2900" s="509"/>
    </row>
    <row r="2901">
      <c r="A2901" s="494" t="s">
        <v>3401</v>
      </c>
      <c r="B2901" s="505" t="s">
        <v>3615</v>
      </c>
      <c r="C2901" s="452" t="s">
        <v>3440</v>
      </c>
      <c r="D2901" s="544" t="s">
        <v>4518</v>
      </c>
      <c r="E2901" s="507">
        <v>307.7</v>
      </c>
      <c r="F2901" s="507">
        <v>125.2</v>
      </c>
      <c r="G2901" s="507">
        <v>58.5</v>
      </c>
      <c r="H2901" s="260">
        <v>2.0</v>
      </c>
      <c r="I2901" s="260">
        <v>2535.0</v>
      </c>
      <c r="J2901" s="518">
        <v>21.0</v>
      </c>
      <c r="K2901" s="507">
        <v>215.0</v>
      </c>
      <c r="L2901" s="266" t="s">
        <v>3619</v>
      </c>
      <c r="M2901" s="507">
        <v>3.0</v>
      </c>
      <c r="N2901" s="507">
        <v>3.0</v>
      </c>
      <c r="O2901" s="507">
        <v>1.0</v>
      </c>
      <c r="P2901" s="266" t="s">
        <v>166</v>
      </c>
      <c r="Q2901" s="266" t="s">
        <v>166</v>
      </c>
      <c r="R2901" s="266" t="s">
        <v>166</v>
      </c>
      <c r="S2901" s="266" t="s">
        <v>166</v>
      </c>
      <c r="T2901" s="509"/>
    </row>
    <row r="2902">
      <c r="A2902" s="498" t="s">
        <v>3401</v>
      </c>
      <c r="B2902" s="539" t="s">
        <v>3615</v>
      </c>
      <c r="C2902" s="500" t="s">
        <v>3440</v>
      </c>
      <c r="D2902" s="549" t="s">
        <v>4519</v>
      </c>
      <c r="E2902" s="519">
        <v>307.7</v>
      </c>
      <c r="F2902" s="519">
        <v>125.2</v>
      </c>
      <c r="G2902" s="519">
        <v>58.5</v>
      </c>
      <c r="H2902" s="393">
        <v>2.0</v>
      </c>
      <c r="I2902" s="393">
        <v>2535.0</v>
      </c>
      <c r="J2902" s="651">
        <v>21.0</v>
      </c>
      <c r="K2902" s="519">
        <v>215.0</v>
      </c>
      <c r="L2902" s="501" t="s">
        <v>3619</v>
      </c>
      <c r="M2902" s="519">
        <v>3.0</v>
      </c>
      <c r="N2902" s="519">
        <v>3.0</v>
      </c>
      <c r="O2902" s="519">
        <v>1.0</v>
      </c>
      <c r="P2902" s="501" t="s">
        <v>166</v>
      </c>
      <c r="Q2902" s="501" t="s">
        <v>166</v>
      </c>
      <c r="R2902" s="501" t="s">
        <v>166</v>
      </c>
      <c r="S2902" s="501" t="s">
        <v>166</v>
      </c>
      <c r="T2902" s="541"/>
    </row>
    <row r="2903">
      <c r="A2903" s="504" t="s">
        <v>3401</v>
      </c>
      <c r="B2903" s="505" t="s">
        <v>4520</v>
      </c>
      <c r="C2903" s="282" t="str">
        <f t="shared" ref="C2903:C2918" si="421">HYPERLINK("https://www.asus.com/","Asus")</f>
        <v>Asus</v>
      </c>
      <c r="D2903" s="544" t="s">
        <v>3372</v>
      </c>
      <c r="E2903" s="507">
        <v>267.01</v>
      </c>
      <c r="F2903" s="507">
        <v>133.94</v>
      </c>
      <c r="G2903" s="507">
        <v>51.13</v>
      </c>
      <c r="H2903" s="260">
        <v>2.0</v>
      </c>
      <c r="I2903" s="260">
        <v>2505.0</v>
      </c>
      <c r="J2903" s="260">
        <v>21.0</v>
      </c>
      <c r="K2903" s="507">
        <v>220.0</v>
      </c>
      <c r="L2903" s="266" t="s">
        <v>3619</v>
      </c>
      <c r="M2903" s="507">
        <v>2.0</v>
      </c>
      <c r="N2903" s="507">
        <v>3.0</v>
      </c>
      <c r="O2903" s="507">
        <v>1.0</v>
      </c>
      <c r="P2903" s="507" t="s">
        <v>166</v>
      </c>
      <c r="Q2903" s="507" t="s">
        <v>166</v>
      </c>
      <c r="R2903" s="507" t="s">
        <v>166</v>
      </c>
      <c r="S2903" s="507" t="s">
        <v>166</v>
      </c>
      <c r="T2903" s="509"/>
    </row>
    <row r="2904">
      <c r="A2904" s="504" t="s">
        <v>3401</v>
      </c>
      <c r="B2904" s="505" t="s">
        <v>4520</v>
      </c>
      <c r="C2904" s="282" t="str">
        <f t="shared" si="421"/>
        <v>Asus</v>
      </c>
      <c r="D2904" s="544" t="s">
        <v>3381</v>
      </c>
      <c r="E2904" s="507">
        <v>267.01</v>
      </c>
      <c r="F2904" s="507">
        <v>133.94</v>
      </c>
      <c r="G2904" s="507">
        <v>51.13</v>
      </c>
      <c r="H2904" s="260">
        <v>2.0</v>
      </c>
      <c r="I2904" s="260">
        <v>2550.0</v>
      </c>
      <c r="J2904" s="260">
        <v>21.0</v>
      </c>
      <c r="K2904" s="507">
        <v>220.0</v>
      </c>
      <c r="L2904" s="266" t="s">
        <v>3619</v>
      </c>
      <c r="M2904" s="507">
        <v>2.0</v>
      </c>
      <c r="N2904" s="507">
        <v>3.0</v>
      </c>
      <c r="O2904" s="507">
        <v>1.0</v>
      </c>
      <c r="P2904" s="507" t="s">
        <v>166</v>
      </c>
      <c r="Q2904" s="507" t="s">
        <v>166</v>
      </c>
      <c r="R2904" s="507" t="s">
        <v>166</v>
      </c>
      <c r="S2904" s="507" t="s">
        <v>166</v>
      </c>
      <c r="T2904" s="509"/>
    </row>
    <row r="2905">
      <c r="A2905" s="504" t="s">
        <v>3401</v>
      </c>
      <c r="B2905" s="505" t="s">
        <v>4520</v>
      </c>
      <c r="C2905" s="282" t="str">
        <f t="shared" si="421"/>
        <v>Asus</v>
      </c>
      <c r="D2905" s="544" t="s">
        <v>3571</v>
      </c>
      <c r="E2905" s="507">
        <v>267.01</v>
      </c>
      <c r="F2905" s="507">
        <v>133.94</v>
      </c>
      <c r="G2905" s="507">
        <v>51.13</v>
      </c>
      <c r="H2905" s="260">
        <v>2.0</v>
      </c>
      <c r="I2905" s="260">
        <v>2505.0</v>
      </c>
      <c r="J2905" s="260">
        <v>21.0</v>
      </c>
      <c r="K2905" s="507">
        <v>220.0</v>
      </c>
      <c r="L2905" s="266" t="s">
        <v>3619</v>
      </c>
      <c r="M2905" s="507">
        <v>2.0</v>
      </c>
      <c r="N2905" s="507">
        <v>3.0</v>
      </c>
      <c r="O2905" s="507">
        <v>1.0</v>
      </c>
      <c r="P2905" s="507" t="s">
        <v>166</v>
      </c>
      <c r="Q2905" s="507" t="s">
        <v>166</v>
      </c>
      <c r="R2905" s="507" t="s">
        <v>166</v>
      </c>
      <c r="S2905" s="507" t="s">
        <v>166</v>
      </c>
      <c r="T2905" s="509"/>
    </row>
    <row r="2906">
      <c r="A2906" s="504" t="s">
        <v>3401</v>
      </c>
      <c r="B2906" s="505" t="s">
        <v>4520</v>
      </c>
      <c r="C2906" s="282" t="str">
        <f t="shared" si="421"/>
        <v>Asus</v>
      </c>
      <c r="D2906" s="544" t="s">
        <v>3572</v>
      </c>
      <c r="E2906" s="507">
        <v>267.01</v>
      </c>
      <c r="F2906" s="507">
        <v>133.94</v>
      </c>
      <c r="G2906" s="507">
        <v>51.13</v>
      </c>
      <c r="H2906" s="260">
        <v>2.0</v>
      </c>
      <c r="I2906" s="260">
        <v>2550.0</v>
      </c>
      <c r="J2906" s="260">
        <v>21.0</v>
      </c>
      <c r="K2906" s="507">
        <v>220.0</v>
      </c>
      <c r="L2906" s="266" t="s">
        <v>3619</v>
      </c>
      <c r="M2906" s="507">
        <v>2.0</v>
      </c>
      <c r="N2906" s="507">
        <v>3.0</v>
      </c>
      <c r="O2906" s="507">
        <v>1.0</v>
      </c>
      <c r="P2906" s="507" t="s">
        <v>166</v>
      </c>
      <c r="Q2906" s="507" t="s">
        <v>166</v>
      </c>
      <c r="R2906" s="507" t="s">
        <v>166</v>
      </c>
      <c r="S2906" s="507" t="s">
        <v>166</v>
      </c>
      <c r="T2906" s="509"/>
    </row>
    <row r="2907">
      <c r="A2907" s="504" t="s">
        <v>3401</v>
      </c>
      <c r="B2907" s="505" t="s">
        <v>4520</v>
      </c>
      <c r="C2907" s="282" t="str">
        <f t="shared" si="421"/>
        <v>Asus</v>
      </c>
      <c r="D2907" s="544" t="s">
        <v>3629</v>
      </c>
      <c r="E2907" s="507">
        <v>227.2</v>
      </c>
      <c r="F2907" s="507">
        <v>123.24</v>
      </c>
      <c r="G2907" s="507">
        <v>49.6</v>
      </c>
      <c r="H2907" s="260">
        <v>2.0</v>
      </c>
      <c r="I2907" s="260">
        <v>2505.0</v>
      </c>
      <c r="J2907" s="260">
        <v>21.0</v>
      </c>
      <c r="K2907" s="507">
        <v>220.0</v>
      </c>
      <c r="L2907" s="266" t="s">
        <v>3619</v>
      </c>
      <c r="M2907" s="507">
        <v>2.0</v>
      </c>
      <c r="N2907" s="507">
        <v>3.0</v>
      </c>
      <c r="O2907" s="507">
        <v>1.0</v>
      </c>
      <c r="P2907" s="507" t="s">
        <v>166</v>
      </c>
      <c r="Q2907" s="507" t="s">
        <v>166</v>
      </c>
      <c r="R2907" s="507" t="s">
        <v>166</v>
      </c>
      <c r="S2907" s="507" t="s">
        <v>166</v>
      </c>
      <c r="T2907" s="509"/>
    </row>
    <row r="2908">
      <c r="A2908" s="504" t="s">
        <v>3401</v>
      </c>
      <c r="B2908" s="505" t="s">
        <v>4520</v>
      </c>
      <c r="C2908" s="282" t="str">
        <f t="shared" si="421"/>
        <v>Asus</v>
      </c>
      <c r="D2908" s="544" t="s">
        <v>3659</v>
      </c>
      <c r="E2908" s="507">
        <v>227.2</v>
      </c>
      <c r="F2908" s="507">
        <v>123.24</v>
      </c>
      <c r="G2908" s="507">
        <v>49.6</v>
      </c>
      <c r="H2908" s="260">
        <v>2.0</v>
      </c>
      <c r="I2908" s="260">
        <v>2550.0</v>
      </c>
      <c r="J2908" s="260">
        <v>21.0</v>
      </c>
      <c r="K2908" s="507">
        <v>220.0</v>
      </c>
      <c r="L2908" s="266" t="s">
        <v>3619</v>
      </c>
      <c r="M2908" s="507">
        <v>2.0</v>
      </c>
      <c r="N2908" s="507">
        <v>3.0</v>
      </c>
      <c r="O2908" s="507">
        <v>1.0</v>
      </c>
      <c r="P2908" s="507" t="s">
        <v>166</v>
      </c>
      <c r="Q2908" s="507" t="s">
        <v>166</v>
      </c>
      <c r="R2908" s="507" t="s">
        <v>166</v>
      </c>
      <c r="S2908" s="507" t="s">
        <v>166</v>
      </c>
      <c r="T2908" s="509"/>
    </row>
    <row r="2909">
      <c r="A2909" s="504" t="s">
        <v>3401</v>
      </c>
      <c r="B2909" s="505" t="s">
        <v>4520</v>
      </c>
      <c r="C2909" s="282" t="str">
        <f t="shared" si="421"/>
        <v>Asus</v>
      </c>
      <c r="D2909" s="544" t="s">
        <v>4505</v>
      </c>
      <c r="E2909" s="507">
        <v>227.2</v>
      </c>
      <c r="F2909" s="507">
        <v>123.24</v>
      </c>
      <c r="G2909" s="507">
        <v>49.6</v>
      </c>
      <c r="H2909" s="260">
        <v>2.0</v>
      </c>
      <c r="I2909" s="260">
        <v>2505.0</v>
      </c>
      <c r="J2909" s="260">
        <v>21.0</v>
      </c>
      <c r="K2909" s="507">
        <v>220.0</v>
      </c>
      <c r="L2909" s="266" t="s">
        <v>3619</v>
      </c>
      <c r="M2909" s="507">
        <v>2.0</v>
      </c>
      <c r="N2909" s="507">
        <v>3.0</v>
      </c>
      <c r="O2909" s="507">
        <v>1.0</v>
      </c>
      <c r="P2909" s="507" t="s">
        <v>166</v>
      </c>
      <c r="Q2909" s="507" t="s">
        <v>166</v>
      </c>
      <c r="R2909" s="507" t="s">
        <v>166</v>
      </c>
      <c r="S2909" s="507" t="s">
        <v>166</v>
      </c>
      <c r="T2909" s="504"/>
    </row>
    <row r="2910">
      <c r="A2910" s="504" t="s">
        <v>3401</v>
      </c>
      <c r="B2910" s="505" t="s">
        <v>4520</v>
      </c>
      <c r="C2910" s="282" t="str">
        <f t="shared" si="421"/>
        <v>Asus</v>
      </c>
      <c r="D2910" s="544" t="s">
        <v>4506</v>
      </c>
      <c r="E2910" s="507">
        <v>227.2</v>
      </c>
      <c r="F2910" s="507">
        <v>123.24</v>
      </c>
      <c r="G2910" s="507">
        <v>49.6</v>
      </c>
      <c r="H2910" s="260">
        <v>2.0</v>
      </c>
      <c r="I2910" s="260">
        <v>2550.0</v>
      </c>
      <c r="J2910" s="260">
        <v>21.0</v>
      </c>
      <c r="K2910" s="507">
        <v>220.0</v>
      </c>
      <c r="L2910" s="266" t="s">
        <v>3619</v>
      </c>
      <c r="M2910" s="507">
        <v>2.0</v>
      </c>
      <c r="N2910" s="507">
        <v>3.0</v>
      </c>
      <c r="O2910" s="507">
        <v>1.0</v>
      </c>
      <c r="P2910" s="507" t="s">
        <v>166</v>
      </c>
      <c r="Q2910" s="507" t="s">
        <v>166</v>
      </c>
      <c r="R2910" s="507" t="s">
        <v>166</v>
      </c>
      <c r="S2910" s="507" t="s">
        <v>166</v>
      </c>
      <c r="T2910" s="504"/>
    </row>
    <row r="2911">
      <c r="A2911" s="504" t="s">
        <v>3401</v>
      </c>
      <c r="B2911" s="505" t="s">
        <v>4520</v>
      </c>
      <c r="C2911" s="282" t="str">
        <f t="shared" si="421"/>
        <v>Asus</v>
      </c>
      <c r="D2911" s="544" t="s">
        <v>4482</v>
      </c>
      <c r="E2911" s="507">
        <v>269.0</v>
      </c>
      <c r="F2911" s="507">
        <v>120.0</v>
      </c>
      <c r="G2911" s="507">
        <v>50.0</v>
      </c>
      <c r="H2911" s="260">
        <v>2.0</v>
      </c>
      <c r="I2911" s="260">
        <v>2505.0</v>
      </c>
      <c r="J2911" s="260">
        <v>21.0</v>
      </c>
      <c r="K2911" s="507">
        <v>220.0</v>
      </c>
      <c r="L2911" s="266" t="s">
        <v>3619</v>
      </c>
      <c r="M2911" s="507">
        <v>3.0</v>
      </c>
      <c r="N2911" s="507">
        <v>3.0</v>
      </c>
      <c r="O2911" s="507">
        <v>1.0</v>
      </c>
      <c r="P2911" s="507" t="s">
        <v>166</v>
      </c>
      <c r="Q2911" s="507" t="s">
        <v>166</v>
      </c>
      <c r="R2911" s="507" t="s">
        <v>166</v>
      </c>
      <c r="S2911" s="507" t="s">
        <v>166</v>
      </c>
      <c r="T2911" s="504"/>
    </row>
    <row r="2912">
      <c r="A2912" s="504" t="s">
        <v>3401</v>
      </c>
      <c r="B2912" s="505" t="s">
        <v>4520</v>
      </c>
      <c r="C2912" s="282" t="str">
        <f t="shared" si="421"/>
        <v>Asus</v>
      </c>
      <c r="D2912" s="544" t="s">
        <v>4483</v>
      </c>
      <c r="E2912" s="507">
        <v>269.0</v>
      </c>
      <c r="F2912" s="507">
        <v>120.0</v>
      </c>
      <c r="G2912" s="507">
        <v>50.0</v>
      </c>
      <c r="H2912" s="260">
        <v>2.0</v>
      </c>
      <c r="I2912" s="260">
        <v>2550.0</v>
      </c>
      <c r="J2912" s="260">
        <v>21.0</v>
      </c>
      <c r="K2912" s="507">
        <v>220.0</v>
      </c>
      <c r="L2912" s="266" t="s">
        <v>3619</v>
      </c>
      <c r="M2912" s="507">
        <v>3.0</v>
      </c>
      <c r="N2912" s="507">
        <v>3.0</v>
      </c>
      <c r="O2912" s="507">
        <v>1.0</v>
      </c>
      <c r="P2912" s="507" t="s">
        <v>166</v>
      </c>
      <c r="Q2912" s="507" t="s">
        <v>166</v>
      </c>
      <c r="R2912" s="507" t="s">
        <v>166</v>
      </c>
      <c r="S2912" s="507" t="s">
        <v>166</v>
      </c>
      <c r="T2912" s="504"/>
    </row>
    <row r="2913">
      <c r="A2913" s="504" t="s">
        <v>3401</v>
      </c>
      <c r="B2913" s="505" t="s">
        <v>4520</v>
      </c>
      <c r="C2913" s="282" t="str">
        <f t="shared" si="421"/>
        <v>Asus</v>
      </c>
      <c r="D2913" s="544" t="s">
        <v>4451</v>
      </c>
      <c r="E2913" s="507">
        <v>300.0</v>
      </c>
      <c r="F2913" s="507">
        <v>120.0</v>
      </c>
      <c r="G2913" s="507">
        <v>50.0</v>
      </c>
      <c r="H2913" s="260">
        <v>2.0</v>
      </c>
      <c r="I2913" s="260">
        <v>2505.0</v>
      </c>
      <c r="J2913" s="260">
        <v>21.0</v>
      </c>
      <c r="K2913" s="507">
        <v>220.0</v>
      </c>
      <c r="L2913" s="266" t="s">
        <v>3619</v>
      </c>
      <c r="M2913" s="507">
        <v>3.0</v>
      </c>
      <c r="N2913" s="507">
        <v>3.0</v>
      </c>
      <c r="O2913" s="507">
        <v>1.0</v>
      </c>
      <c r="P2913" s="507" t="s">
        <v>166</v>
      </c>
      <c r="Q2913" s="507" t="s">
        <v>166</v>
      </c>
      <c r="R2913" s="507" t="s">
        <v>166</v>
      </c>
      <c r="S2913" s="507" t="s">
        <v>166</v>
      </c>
      <c r="T2913" s="504"/>
    </row>
    <row r="2914">
      <c r="A2914" s="504" t="s">
        <v>3401</v>
      </c>
      <c r="B2914" s="505" t="s">
        <v>4520</v>
      </c>
      <c r="C2914" s="282" t="str">
        <f t="shared" si="421"/>
        <v>Asus</v>
      </c>
      <c r="D2914" s="544" t="s">
        <v>4452</v>
      </c>
      <c r="E2914" s="507">
        <v>300.0</v>
      </c>
      <c r="F2914" s="507">
        <v>120.0</v>
      </c>
      <c r="G2914" s="507">
        <v>50.0</v>
      </c>
      <c r="H2914" s="260">
        <v>2.0</v>
      </c>
      <c r="I2914" s="260">
        <v>2565.0</v>
      </c>
      <c r="J2914" s="260">
        <v>21.0</v>
      </c>
      <c r="K2914" s="507">
        <v>220.0</v>
      </c>
      <c r="L2914" s="266" t="s">
        <v>3619</v>
      </c>
      <c r="M2914" s="507">
        <v>3.0</v>
      </c>
      <c r="N2914" s="507">
        <v>3.0</v>
      </c>
      <c r="O2914" s="507">
        <v>1.0</v>
      </c>
      <c r="P2914" s="507" t="s">
        <v>166</v>
      </c>
      <c r="Q2914" s="507" t="s">
        <v>166</v>
      </c>
      <c r="R2914" s="507" t="s">
        <v>166</v>
      </c>
      <c r="S2914" s="507" t="s">
        <v>166</v>
      </c>
      <c r="T2914" s="509"/>
    </row>
    <row r="2915">
      <c r="A2915" s="504" t="s">
        <v>3401</v>
      </c>
      <c r="B2915" s="505" t="s">
        <v>4520</v>
      </c>
      <c r="C2915" s="282" t="str">
        <f t="shared" si="421"/>
        <v>Asus</v>
      </c>
      <c r="D2915" s="544" t="s">
        <v>3477</v>
      </c>
      <c r="E2915" s="507">
        <v>301.0</v>
      </c>
      <c r="F2915" s="507">
        <v>139.0</v>
      </c>
      <c r="G2915" s="507">
        <v>63.0</v>
      </c>
      <c r="H2915" s="260">
        <v>2.0</v>
      </c>
      <c r="I2915" s="260">
        <v>2505.0</v>
      </c>
      <c r="J2915" s="260">
        <v>21.0</v>
      </c>
      <c r="K2915" s="507">
        <v>220.0</v>
      </c>
      <c r="L2915" s="266" t="s">
        <v>3619</v>
      </c>
      <c r="M2915" s="507">
        <v>3.0</v>
      </c>
      <c r="N2915" s="507">
        <v>3.0</v>
      </c>
      <c r="O2915" s="507">
        <v>1.0</v>
      </c>
      <c r="P2915" s="507" t="s">
        <v>166</v>
      </c>
      <c r="Q2915" s="507" t="s">
        <v>166</v>
      </c>
      <c r="R2915" s="507" t="s">
        <v>166</v>
      </c>
      <c r="S2915" s="507" t="s">
        <v>166</v>
      </c>
      <c r="T2915" s="509"/>
    </row>
    <row r="2916">
      <c r="A2916" s="504" t="s">
        <v>3401</v>
      </c>
      <c r="B2916" s="505" t="s">
        <v>4520</v>
      </c>
      <c r="C2916" s="282" t="str">
        <f t="shared" si="421"/>
        <v>Asus</v>
      </c>
      <c r="D2916" s="544" t="s">
        <v>3478</v>
      </c>
      <c r="E2916" s="507">
        <v>301.0</v>
      </c>
      <c r="F2916" s="507">
        <v>139.0</v>
      </c>
      <c r="G2916" s="507">
        <v>63.0</v>
      </c>
      <c r="H2916" s="260">
        <v>2.0</v>
      </c>
      <c r="I2916" s="260">
        <v>2595.0</v>
      </c>
      <c r="J2916" s="260">
        <v>21.0</v>
      </c>
      <c r="K2916" s="507">
        <v>220.0</v>
      </c>
      <c r="L2916" s="266" t="s">
        <v>3619</v>
      </c>
      <c r="M2916" s="507">
        <v>3.0</v>
      </c>
      <c r="N2916" s="507">
        <v>3.0</v>
      </c>
      <c r="O2916" s="507">
        <v>1.0</v>
      </c>
      <c r="P2916" s="507" t="s">
        <v>166</v>
      </c>
      <c r="Q2916" s="507" t="s">
        <v>166</v>
      </c>
      <c r="R2916" s="507" t="s">
        <v>166</v>
      </c>
      <c r="S2916" s="507" t="s">
        <v>166</v>
      </c>
      <c r="T2916" s="509"/>
    </row>
    <row r="2917">
      <c r="A2917" s="504" t="s">
        <v>3401</v>
      </c>
      <c r="B2917" s="505" t="s">
        <v>4520</v>
      </c>
      <c r="C2917" s="282" t="str">
        <f t="shared" si="421"/>
        <v>Asus</v>
      </c>
      <c r="D2917" s="544" t="s">
        <v>3631</v>
      </c>
      <c r="E2917" s="507">
        <v>338.9</v>
      </c>
      <c r="F2917" s="507">
        <v>149.4</v>
      </c>
      <c r="G2917" s="507">
        <v>62.4</v>
      </c>
      <c r="H2917" s="260">
        <v>2.0</v>
      </c>
      <c r="I2917" s="260">
        <v>2505.0</v>
      </c>
      <c r="J2917" s="260">
        <v>21.0</v>
      </c>
      <c r="K2917" s="507">
        <v>220.0</v>
      </c>
      <c r="L2917" s="266" t="s">
        <v>3619</v>
      </c>
      <c r="M2917" s="507">
        <v>3.0</v>
      </c>
      <c r="N2917" s="507">
        <v>3.0</v>
      </c>
      <c r="O2917" s="507">
        <v>2.0</v>
      </c>
      <c r="P2917" s="507" t="s">
        <v>166</v>
      </c>
      <c r="Q2917" s="507" t="s">
        <v>166</v>
      </c>
      <c r="R2917" s="507" t="s">
        <v>166</v>
      </c>
      <c r="S2917" s="507" t="s">
        <v>166</v>
      </c>
      <c r="T2917" s="509"/>
    </row>
    <row r="2918">
      <c r="A2918" s="504" t="s">
        <v>3401</v>
      </c>
      <c r="B2918" s="505" t="s">
        <v>4520</v>
      </c>
      <c r="C2918" s="282" t="str">
        <f t="shared" si="421"/>
        <v>Asus</v>
      </c>
      <c r="D2918" s="544" t="s">
        <v>3643</v>
      </c>
      <c r="E2918" s="507">
        <v>338.9</v>
      </c>
      <c r="F2918" s="507">
        <v>149.4</v>
      </c>
      <c r="G2918" s="507">
        <v>62.4</v>
      </c>
      <c r="H2918" s="260">
        <v>2.0</v>
      </c>
      <c r="I2918" s="260">
        <v>2670.0</v>
      </c>
      <c r="J2918" s="260">
        <v>21.0</v>
      </c>
      <c r="K2918" s="507">
        <v>220.0</v>
      </c>
      <c r="L2918" s="266" t="s">
        <v>3619</v>
      </c>
      <c r="M2918" s="507">
        <v>3.0</v>
      </c>
      <c r="N2918" s="507">
        <v>3.0</v>
      </c>
      <c r="O2918" s="507">
        <v>2.0</v>
      </c>
      <c r="P2918" s="507" t="s">
        <v>166</v>
      </c>
      <c r="Q2918" s="507" t="s">
        <v>166</v>
      </c>
      <c r="R2918" s="507" t="s">
        <v>166</v>
      </c>
      <c r="S2918" s="507" t="s">
        <v>166</v>
      </c>
      <c r="T2918" s="509"/>
    </row>
    <row r="2919">
      <c r="A2919" s="504" t="s">
        <v>3401</v>
      </c>
      <c r="B2919" s="505" t="s">
        <v>4520</v>
      </c>
      <c r="C2919" s="452" t="s">
        <v>3575</v>
      </c>
      <c r="D2919" s="544" t="s">
        <v>4071</v>
      </c>
      <c r="E2919" s="507">
        <v>312.6</v>
      </c>
      <c r="F2919" s="507">
        <v>118.8</v>
      </c>
      <c r="G2919" s="507">
        <v>53.3</v>
      </c>
      <c r="H2919" s="260">
        <v>2.0</v>
      </c>
      <c r="I2919" s="260">
        <v>2475.0</v>
      </c>
      <c r="J2919" s="260">
        <v>21.0</v>
      </c>
      <c r="K2919" s="507">
        <v>220.0</v>
      </c>
      <c r="L2919" s="266" t="s">
        <v>3619</v>
      </c>
      <c r="M2919" s="507">
        <v>3.0</v>
      </c>
      <c r="N2919" s="507">
        <v>3.0</v>
      </c>
      <c r="O2919" s="507">
        <v>1.0</v>
      </c>
      <c r="P2919" s="507" t="s">
        <v>166</v>
      </c>
      <c r="Q2919" s="507" t="s">
        <v>166</v>
      </c>
      <c r="R2919" s="507" t="s">
        <v>166</v>
      </c>
      <c r="S2919" s="507" t="s">
        <v>166</v>
      </c>
      <c r="T2919" s="509"/>
    </row>
    <row r="2920">
      <c r="A2920" s="504" t="s">
        <v>3401</v>
      </c>
      <c r="B2920" s="505" t="s">
        <v>4520</v>
      </c>
      <c r="C2920" s="452" t="s">
        <v>3575</v>
      </c>
      <c r="D2920" s="544" t="s">
        <v>4087</v>
      </c>
      <c r="E2920" s="507">
        <v>313.5</v>
      </c>
      <c r="F2920" s="507">
        <v>118.8</v>
      </c>
      <c r="G2920" s="507">
        <v>50.5</v>
      </c>
      <c r="H2920" s="260">
        <v>2.0</v>
      </c>
      <c r="I2920" s="260">
        <v>2565.0</v>
      </c>
      <c r="J2920" s="260">
        <v>21.0</v>
      </c>
      <c r="K2920" s="507">
        <v>220.0</v>
      </c>
      <c r="L2920" s="266" t="s">
        <v>3619</v>
      </c>
      <c r="M2920" s="507">
        <v>3.0</v>
      </c>
      <c r="N2920" s="507">
        <v>3.0</v>
      </c>
      <c r="O2920" s="507">
        <v>1.0</v>
      </c>
      <c r="P2920" s="507" t="s">
        <v>166</v>
      </c>
      <c r="Q2920" s="507" t="s">
        <v>166</v>
      </c>
      <c r="R2920" s="507" t="s">
        <v>166</v>
      </c>
      <c r="S2920" s="507" t="s">
        <v>166</v>
      </c>
      <c r="T2920" s="509"/>
    </row>
    <row r="2921">
      <c r="A2921" s="504" t="s">
        <v>3401</v>
      </c>
      <c r="B2921" s="505" t="s">
        <v>4520</v>
      </c>
      <c r="C2921" s="452" t="s">
        <v>3575</v>
      </c>
      <c r="D2921" s="544" t="s">
        <v>3889</v>
      </c>
      <c r="E2921" s="507">
        <v>329.0</v>
      </c>
      <c r="F2921" s="507">
        <v>135.0</v>
      </c>
      <c r="G2921" s="507">
        <v>53.5</v>
      </c>
      <c r="H2921" s="260">
        <v>2.0</v>
      </c>
      <c r="I2921" s="260">
        <v>2640.0</v>
      </c>
      <c r="J2921" s="260">
        <v>21.0</v>
      </c>
      <c r="K2921" s="507">
        <v>245.0</v>
      </c>
      <c r="L2921" s="266" t="s">
        <v>3619</v>
      </c>
      <c r="M2921" s="507">
        <v>3.0</v>
      </c>
      <c r="N2921" s="507">
        <v>3.0</v>
      </c>
      <c r="O2921" s="507">
        <v>1.0</v>
      </c>
      <c r="P2921" s="507" t="s">
        <v>166</v>
      </c>
      <c r="Q2921" s="507" t="s">
        <v>166</v>
      </c>
      <c r="R2921" s="507" t="s">
        <v>166</v>
      </c>
      <c r="S2921" s="507" t="s">
        <v>166</v>
      </c>
      <c r="T2921" s="509"/>
    </row>
    <row r="2922">
      <c r="A2922" s="504" t="s">
        <v>3401</v>
      </c>
      <c r="B2922" s="505" t="s">
        <v>4520</v>
      </c>
      <c r="C2922" s="452" t="s">
        <v>3575</v>
      </c>
      <c r="D2922" s="544" t="s">
        <v>3943</v>
      </c>
      <c r="E2922" s="507">
        <v>336.9</v>
      </c>
      <c r="F2922" s="507">
        <v>144.5</v>
      </c>
      <c r="G2922" s="507">
        <v>60.1</v>
      </c>
      <c r="H2922" s="260">
        <v>2.0</v>
      </c>
      <c r="I2922" s="260">
        <v>2670.0</v>
      </c>
      <c r="J2922" s="260">
        <v>21.0</v>
      </c>
      <c r="K2922" s="507">
        <v>245.0</v>
      </c>
      <c r="L2922" s="266" t="s">
        <v>3619</v>
      </c>
      <c r="M2922" s="507">
        <v>3.0</v>
      </c>
      <c r="N2922" s="507">
        <v>3.0</v>
      </c>
      <c r="O2922" s="507">
        <v>1.0</v>
      </c>
      <c r="P2922" s="507" t="s">
        <v>166</v>
      </c>
      <c r="Q2922" s="507" t="s">
        <v>166</v>
      </c>
      <c r="R2922" s="507" t="s">
        <v>166</v>
      </c>
      <c r="S2922" s="507" t="s">
        <v>166</v>
      </c>
      <c r="T2922" s="509"/>
    </row>
    <row r="2923">
      <c r="A2923" s="504" t="s">
        <v>3401</v>
      </c>
      <c r="B2923" s="505" t="s">
        <v>4520</v>
      </c>
      <c r="C2923" s="452" t="s">
        <v>3575</v>
      </c>
      <c r="D2923" s="544" t="s">
        <v>4521</v>
      </c>
      <c r="E2923" s="507">
        <v>336.9</v>
      </c>
      <c r="F2923" s="507">
        <v>144.5</v>
      </c>
      <c r="G2923" s="507">
        <v>60.1</v>
      </c>
      <c r="H2923" s="260">
        <v>2.0</v>
      </c>
      <c r="I2923" s="260">
        <v>2670.0</v>
      </c>
      <c r="J2923" s="260">
        <v>21.0</v>
      </c>
      <c r="K2923" s="507">
        <v>245.0</v>
      </c>
      <c r="L2923" s="266" t="s">
        <v>3619</v>
      </c>
      <c r="M2923" s="507">
        <v>3.0</v>
      </c>
      <c r="N2923" s="507">
        <v>3.0</v>
      </c>
      <c r="O2923" s="507">
        <v>1.0</v>
      </c>
      <c r="P2923" s="507" t="s">
        <v>166</v>
      </c>
      <c r="Q2923" s="507" t="s">
        <v>166</v>
      </c>
      <c r="R2923" s="507" t="s">
        <v>166</v>
      </c>
      <c r="S2923" s="507" t="s">
        <v>166</v>
      </c>
      <c r="T2923" s="509"/>
    </row>
    <row r="2924">
      <c r="A2924" s="504" t="s">
        <v>3401</v>
      </c>
      <c r="B2924" s="505" t="s">
        <v>4520</v>
      </c>
      <c r="C2924" s="452" t="str">
        <f t="shared" ref="C2924:C2926" si="422">HYPERLINK("http://www.gainward.com/main/index.php?lang=en","Gainward")</f>
        <v>Gainward</v>
      </c>
      <c r="D2924" s="544" t="s">
        <v>3926</v>
      </c>
      <c r="E2924" s="507">
        <v>269.1</v>
      </c>
      <c r="F2924" s="507">
        <v>131.8</v>
      </c>
      <c r="G2924" s="507">
        <v>40.1</v>
      </c>
      <c r="H2924" s="260">
        <v>2.0</v>
      </c>
      <c r="I2924" s="260">
        <v>2475.0</v>
      </c>
      <c r="J2924" s="260">
        <v>21.0</v>
      </c>
      <c r="K2924" s="507">
        <v>220.0</v>
      </c>
      <c r="L2924" s="266" t="s">
        <v>3619</v>
      </c>
      <c r="M2924" s="507">
        <v>2.0</v>
      </c>
      <c r="N2924" s="507">
        <v>3.0</v>
      </c>
      <c r="O2924" s="507">
        <v>1.0</v>
      </c>
      <c r="P2924" s="507" t="s">
        <v>166</v>
      </c>
      <c r="Q2924" s="507" t="s">
        <v>166</v>
      </c>
      <c r="R2924" s="507" t="s">
        <v>166</v>
      </c>
      <c r="S2924" s="507" t="s">
        <v>166</v>
      </c>
      <c r="T2924" s="509"/>
    </row>
    <row r="2925">
      <c r="A2925" s="504" t="s">
        <v>3401</v>
      </c>
      <c r="B2925" s="505" t="s">
        <v>4520</v>
      </c>
      <c r="C2925" s="452" t="str">
        <f t="shared" si="422"/>
        <v>Gainward</v>
      </c>
      <c r="D2925" s="544" t="s">
        <v>3488</v>
      </c>
      <c r="E2925" s="507">
        <v>269.1</v>
      </c>
      <c r="F2925" s="507">
        <v>131.8</v>
      </c>
      <c r="G2925" s="507">
        <v>40.1</v>
      </c>
      <c r="H2925" s="260">
        <v>2.0</v>
      </c>
      <c r="I2925" s="260">
        <v>2550.0</v>
      </c>
      <c r="J2925" s="260">
        <v>21.0</v>
      </c>
      <c r="K2925" s="507">
        <v>220.0</v>
      </c>
      <c r="L2925" s="266" t="s">
        <v>3619</v>
      </c>
      <c r="M2925" s="507">
        <v>2.0</v>
      </c>
      <c r="N2925" s="507">
        <v>3.0</v>
      </c>
      <c r="O2925" s="507">
        <v>1.0</v>
      </c>
      <c r="P2925" s="507" t="s">
        <v>166</v>
      </c>
      <c r="Q2925" s="507" t="s">
        <v>166</v>
      </c>
      <c r="R2925" s="507" t="s">
        <v>166</v>
      </c>
      <c r="S2925" s="507" t="s">
        <v>166</v>
      </c>
      <c r="T2925" s="509"/>
    </row>
    <row r="2926">
      <c r="A2926" s="504" t="s">
        <v>3401</v>
      </c>
      <c r="B2926" s="505" t="s">
        <v>4520</v>
      </c>
      <c r="C2926" s="452" t="str">
        <f t="shared" si="422"/>
        <v>Gainward</v>
      </c>
      <c r="D2926" s="544" t="s">
        <v>4522</v>
      </c>
      <c r="E2926" s="507">
        <v>328.9</v>
      </c>
      <c r="F2926" s="507">
        <v>128.0</v>
      </c>
      <c r="G2926" s="507">
        <v>63.5</v>
      </c>
      <c r="H2926" s="260">
        <v>2.0</v>
      </c>
      <c r="I2926" s="260">
        <v>2640.0</v>
      </c>
      <c r="J2926" s="260">
        <v>21.0</v>
      </c>
      <c r="K2926" s="507">
        <v>220.0</v>
      </c>
      <c r="L2926" s="266" t="s">
        <v>3619</v>
      </c>
      <c r="M2926" s="507">
        <v>3.0</v>
      </c>
      <c r="N2926" s="507">
        <v>3.0</v>
      </c>
      <c r="O2926" s="507">
        <v>1.0</v>
      </c>
      <c r="P2926" s="507" t="s">
        <v>166</v>
      </c>
      <c r="Q2926" s="507" t="s">
        <v>166</v>
      </c>
      <c r="R2926" s="507" t="s">
        <v>166</v>
      </c>
      <c r="S2926" s="507" t="s">
        <v>166</v>
      </c>
      <c r="T2926" s="509"/>
    </row>
    <row r="2927">
      <c r="A2927" s="504" t="s">
        <v>3401</v>
      </c>
      <c r="B2927" s="505" t="s">
        <v>4520</v>
      </c>
      <c r="C2927" s="454" t="s">
        <v>3456</v>
      </c>
      <c r="D2927" s="544" t="s">
        <v>4459</v>
      </c>
      <c r="E2927" s="507">
        <v>238.0</v>
      </c>
      <c r="F2927" s="507">
        <v>115.0</v>
      </c>
      <c r="G2927" s="507">
        <v>45.0</v>
      </c>
      <c r="H2927" s="260">
        <v>2.0</v>
      </c>
      <c r="I2927" s="260">
        <v>2490.0</v>
      </c>
      <c r="J2927" s="260">
        <v>21.0</v>
      </c>
      <c r="K2927" s="507">
        <v>220.0</v>
      </c>
      <c r="L2927" s="266" t="s">
        <v>3619</v>
      </c>
      <c r="M2927" s="507">
        <v>2.0</v>
      </c>
      <c r="N2927" s="507">
        <v>3.0</v>
      </c>
      <c r="O2927" s="507">
        <v>1.0</v>
      </c>
      <c r="P2927" s="507" t="s">
        <v>166</v>
      </c>
      <c r="Q2927" s="507" t="s">
        <v>166</v>
      </c>
      <c r="R2927" s="507" t="s">
        <v>166</v>
      </c>
      <c r="S2927" s="507" t="s">
        <v>166</v>
      </c>
      <c r="T2927" s="509"/>
    </row>
    <row r="2928">
      <c r="A2928" s="504" t="s">
        <v>3401</v>
      </c>
      <c r="B2928" s="505" t="s">
        <v>4520</v>
      </c>
      <c r="C2928" s="454" t="s">
        <v>3456</v>
      </c>
      <c r="D2928" s="544" t="s">
        <v>4523</v>
      </c>
      <c r="E2928" s="507">
        <v>323.0</v>
      </c>
      <c r="F2928" s="507">
        <v>131.0</v>
      </c>
      <c r="G2928" s="507">
        <v>48.0</v>
      </c>
      <c r="H2928" s="260">
        <v>2.0</v>
      </c>
      <c r="I2928" s="260">
        <v>2580.0</v>
      </c>
      <c r="J2928" s="260">
        <v>21.0</v>
      </c>
      <c r="K2928" s="507">
        <v>220.0</v>
      </c>
      <c r="L2928" s="266" t="s">
        <v>3619</v>
      </c>
      <c r="M2928" s="507">
        <v>3.0</v>
      </c>
      <c r="N2928" s="507">
        <v>3.0</v>
      </c>
      <c r="O2928" s="507">
        <v>1.0</v>
      </c>
      <c r="P2928" s="507" t="s">
        <v>166</v>
      </c>
      <c r="Q2928" s="507" t="s">
        <v>166</v>
      </c>
      <c r="R2928" s="507" t="s">
        <v>166</v>
      </c>
      <c r="S2928" s="507" t="s">
        <v>166</v>
      </c>
      <c r="T2928" s="509"/>
    </row>
    <row r="2929">
      <c r="A2929" s="504" t="s">
        <v>3401</v>
      </c>
      <c r="B2929" s="505" t="s">
        <v>4520</v>
      </c>
      <c r="C2929" s="454" t="s">
        <v>3456</v>
      </c>
      <c r="D2929" s="544" t="s">
        <v>4524</v>
      </c>
      <c r="E2929" s="507">
        <v>323.0</v>
      </c>
      <c r="F2929" s="507">
        <v>131.0</v>
      </c>
      <c r="G2929" s="507">
        <v>48.0</v>
      </c>
      <c r="H2929" s="260">
        <v>2.0</v>
      </c>
      <c r="I2929" s="260">
        <v>2580.0</v>
      </c>
      <c r="J2929" s="260">
        <v>21.0</v>
      </c>
      <c r="K2929" s="507">
        <v>220.0</v>
      </c>
      <c r="L2929" s="266" t="s">
        <v>3619</v>
      </c>
      <c r="M2929" s="507">
        <v>3.0</v>
      </c>
      <c r="N2929" s="507">
        <v>3.0</v>
      </c>
      <c r="O2929" s="507">
        <v>1.0</v>
      </c>
      <c r="P2929" s="507" t="s">
        <v>166</v>
      </c>
      <c r="Q2929" s="507" t="s">
        <v>166</v>
      </c>
      <c r="R2929" s="507" t="s">
        <v>166</v>
      </c>
      <c r="S2929" s="507" t="s">
        <v>166</v>
      </c>
      <c r="T2929" s="509"/>
    </row>
    <row r="2930">
      <c r="A2930" s="504" t="s">
        <v>3401</v>
      </c>
      <c r="B2930" s="505" t="s">
        <v>4520</v>
      </c>
      <c r="C2930" s="454" t="s">
        <v>3456</v>
      </c>
      <c r="D2930" s="544" t="s">
        <v>4525</v>
      </c>
      <c r="E2930" s="507">
        <v>323.0</v>
      </c>
      <c r="F2930" s="507">
        <v>131.0</v>
      </c>
      <c r="G2930" s="507">
        <v>48.0</v>
      </c>
      <c r="H2930" s="260">
        <v>2.0</v>
      </c>
      <c r="I2930" s="260">
        <v>2580.0</v>
      </c>
      <c r="J2930" s="260">
        <v>21.0</v>
      </c>
      <c r="K2930" s="507">
        <v>220.0</v>
      </c>
      <c r="L2930" s="266" t="s">
        <v>3619</v>
      </c>
      <c r="M2930" s="507">
        <v>3.0</v>
      </c>
      <c r="N2930" s="507">
        <v>3.0</v>
      </c>
      <c r="O2930" s="507">
        <v>1.0</v>
      </c>
      <c r="P2930" s="507" t="s">
        <v>166</v>
      </c>
      <c r="Q2930" s="507" t="s">
        <v>166</v>
      </c>
      <c r="R2930" s="507" t="s">
        <v>166</v>
      </c>
      <c r="S2930" s="507" t="s">
        <v>166</v>
      </c>
      <c r="T2930" s="509"/>
    </row>
    <row r="2931">
      <c r="A2931" s="504" t="s">
        <v>3401</v>
      </c>
      <c r="B2931" s="505" t="s">
        <v>4520</v>
      </c>
      <c r="C2931" s="174" t="str">
        <f t="shared" ref="C2931:C2936" si="423">HYPERLINK("https://www.gigabyte.com/","Gigabyte")</f>
        <v>Gigabyte</v>
      </c>
      <c r="D2931" s="544" t="s">
        <v>3578</v>
      </c>
      <c r="E2931" s="507">
        <v>261.0</v>
      </c>
      <c r="F2931" s="507">
        <v>126.0</v>
      </c>
      <c r="G2931" s="507">
        <v>50.0</v>
      </c>
      <c r="H2931" s="260">
        <v>2.0</v>
      </c>
      <c r="I2931" s="260">
        <v>2505.0</v>
      </c>
      <c r="J2931" s="260">
        <v>21.0</v>
      </c>
      <c r="K2931" s="507">
        <v>220.0</v>
      </c>
      <c r="L2931" s="266" t="s">
        <v>3619</v>
      </c>
      <c r="M2931" s="507">
        <v>3.0</v>
      </c>
      <c r="N2931" s="507">
        <v>3.0</v>
      </c>
      <c r="O2931" s="507">
        <v>1.0</v>
      </c>
      <c r="P2931" s="507" t="s">
        <v>166</v>
      </c>
      <c r="Q2931" s="507" t="s">
        <v>166</v>
      </c>
      <c r="R2931" s="507" t="s">
        <v>166</v>
      </c>
      <c r="S2931" s="507" t="s">
        <v>166</v>
      </c>
      <c r="T2931" s="509"/>
    </row>
    <row r="2932">
      <c r="A2932" s="504" t="s">
        <v>3401</v>
      </c>
      <c r="B2932" s="505" t="s">
        <v>4520</v>
      </c>
      <c r="C2932" s="174" t="str">
        <f t="shared" si="423"/>
        <v>Gigabyte</v>
      </c>
      <c r="D2932" s="544" t="s">
        <v>3551</v>
      </c>
      <c r="E2932" s="507">
        <v>261.0</v>
      </c>
      <c r="F2932" s="507">
        <v>126.0</v>
      </c>
      <c r="G2932" s="507">
        <v>50.0</v>
      </c>
      <c r="H2932" s="260">
        <v>2.0</v>
      </c>
      <c r="I2932" s="260">
        <v>2535.0</v>
      </c>
      <c r="J2932" s="260">
        <v>21.0</v>
      </c>
      <c r="K2932" s="507">
        <v>220.0</v>
      </c>
      <c r="L2932" s="266" t="s">
        <v>3619</v>
      </c>
      <c r="M2932" s="507">
        <v>3.0</v>
      </c>
      <c r="N2932" s="507">
        <v>3.0</v>
      </c>
      <c r="O2932" s="507">
        <v>1.0</v>
      </c>
      <c r="P2932" s="507" t="s">
        <v>166</v>
      </c>
      <c r="Q2932" s="507" t="s">
        <v>166</v>
      </c>
      <c r="R2932" s="507" t="s">
        <v>166</v>
      </c>
      <c r="S2932" s="507" t="s">
        <v>166</v>
      </c>
      <c r="T2932" s="509"/>
    </row>
    <row r="2933">
      <c r="A2933" s="504" t="s">
        <v>3401</v>
      </c>
      <c r="B2933" s="505" t="s">
        <v>4520</v>
      </c>
      <c r="C2933" s="174" t="str">
        <f t="shared" si="423"/>
        <v>Gigabyte</v>
      </c>
      <c r="D2933" s="544" t="s">
        <v>4463</v>
      </c>
      <c r="E2933" s="507">
        <v>261.0</v>
      </c>
      <c r="F2933" s="507">
        <v>126.0</v>
      </c>
      <c r="G2933" s="507">
        <v>50.0</v>
      </c>
      <c r="H2933" s="260">
        <v>2.0</v>
      </c>
      <c r="I2933" s="260">
        <v>2535.0</v>
      </c>
      <c r="J2933" s="260">
        <v>21.0</v>
      </c>
      <c r="K2933" s="507">
        <v>220.0</v>
      </c>
      <c r="L2933" s="266" t="s">
        <v>3619</v>
      </c>
      <c r="M2933" s="507">
        <v>3.0</v>
      </c>
      <c r="N2933" s="507">
        <v>3.0</v>
      </c>
      <c r="O2933" s="507">
        <v>1.0</v>
      </c>
      <c r="P2933" s="507" t="s">
        <v>166</v>
      </c>
      <c r="Q2933" s="507" t="s">
        <v>166</v>
      </c>
      <c r="R2933" s="507" t="s">
        <v>166</v>
      </c>
      <c r="S2933" s="507" t="s">
        <v>166</v>
      </c>
      <c r="T2933" s="509"/>
    </row>
    <row r="2934">
      <c r="A2934" s="504" t="s">
        <v>3401</v>
      </c>
      <c r="B2934" s="505" t="s">
        <v>4520</v>
      </c>
      <c r="C2934" s="174" t="str">
        <f t="shared" si="423"/>
        <v>Gigabyte</v>
      </c>
      <c r="D2934" s="544" t="s">
        <v>3851</v>
      </c>
      <c r="E2934" s="507">
        <v>300.0</v>
      </c>
      <c r="F2934" s="507">
        <v>130.0</v>
      </c>
      <c r="G2934" s="507">
        <v>57.6</v>
      </c>
      <c r="H2934" s="260">
        <v>2.0</v>
      </c>
      <c r="I2934" s="260">
        <v>2565.0</v>
      </c>
      <c r="J2934" s="260">
        <v>21.0</v>
      </c>
      <c r="K2934" s="507">
        <v>220.0</v>
      </c>
      <c r="L2934" s="266" t="s">
        <v>3619</v>
      </c>
      <c r="M2934" s="507">
        <v>3.0</v>
      </c>
      <c r="N2934" s="507">
        <v>3.0</v>
      </c>
      <c r="O2934" s="507">
        <v>1.0</v>
      </c>
      <c r="P2934" s="507" t="s">
        <v>166</v>
      </c>
      <c r="Q2934" s="507" t="s">
        <v>166</v>
      </c>
      <c r="R2934" s="507" t="s">
        <v>166</v>
      </c>
      <c r="S2934" s="507" t="s">
        <v>166</v>
      </c>
      <c r="T2934" s="509"/>
    </row>
    <row r="2935">
      <c r="A2935" s="504" t="s">
        <v>3401</v>
      </c>
      <c r="B2935" s="505" t="s">
        <v>4520</v>
      </c>
      <c r="C2935" s="174" t="str">
        <f t="shared" si="423"/>
        <v>Gigabyte</v>
      </c>
      <c r="D2935" s="544" t="s">
        <v>3630</v>
      </c>
      <c r="E2935" s="507">
        <v>300.0</v>
      </c>
      <c r="F2935" s="507">
        <v>130.0</v>
      </c>
      <c r="G2935" s="507">
        <v>57.6</v>
      </c>
      <c r="H2935" s="260">
        <v>2.0</v>
      </c>
      <c r="I2935" s="260">
        <v>2565.0</v>
      </c>
      <c r="J2935" s="260">
        <v>21.0</v>
      </c>
      <c r="K2935" s="507">
        <v>220.0</v>
      </c>
      <c r="L2935" s="266" t="s">
        <v>3619</v>
      </c>
      <c r="M2935" s="507">
        <v>3.0</v>
      </c>
      <c r="N2935" s="507">
        <v>3.0</v>
      </c>
      <c r="O2935" s="507">
        <v>1.0</v>
      </c>
      <c r="P2935" s="507" t="s">
        <v>166</v>
      </c>
      <c r="Q2935" s="507" t="s">
        <v>166</v>
      </c>
      <c r="R2935" s="507" t="s">
        <v>166</v>
      </c>
      <c r="S2935" s="507" t="s">
        <v>166</v>
      </c>
      <c r="T2935" s="509"/>
    </row>
    <row r="2936">
      <c r="A2936" s="504" t="s">
        <v>3401</v>
      </c>
      <c r="B2936" s="505" t="s">
        <v>4520</v>
      </c>
      <c r="C2936" s="174" t="str">
        <f t="shared" si="423"/>
        <v>Gigabyte</v>
      </c>
      <c r="D2936" s="544" t="s">
        <v>3725</v>
      </c>
      <c r="E2936" s="507">
        <v>342.0</v>
      </c>
      <c r="F2936" s="507">
        <v>153.0</v>
      </c>
      <c r="G2936" s="507">
        <v>70.6</v>
      </c>
      <c r="H2936" s="260">
        <v>2.0</v>
      </c>
      <c r="I2936" s="260">
        <v>2655.0</v>
      </c>
      <c r="J2936" s="260">
        <v>21.0</v>
      </c>
      <c r="K2936" s="507">
        <v>220.0</v>
      </c>
      <c r="L2936" s="266" t="s">
        <v>3619</v>
      </c>
      <c r="M2936" s="507">
        <v>3.0</v>
      </c>
      <c r="N2936" s="507">
        <v>3.0</v>
      </c>
      <c r="O2936" s="507">
        <v>1.0</v>
      </c>
      <c r="P2936" s="507" t="s">
        <v>166</v>
      </c>
      <c r="Q2936" s="507" t="s">
        <v>166</v>
      </c>
      <c r="R2936" s="507" t="s">
        <v>166</v>
      </c>
      <c r="S2936" s="507" t="s">
        <v>166</v>
      </c>
      <c r="T2936" s="509"/>
    </row>
    <row r="2937">
      <c r="A2937" s="504" t="s">
        <v>3401</v>
      </c>
      <c r="B2937" s="505" t="s">
        <v>4520</v>
      </c>
      <c r="C2937" s="452" t="str">
        <f t="shared" ref="C2937:C2941" si="424">HYPERLINK("http://www.inno3d.com/","Inno3D")</f>
        <v>Inno3D</v>
      </c>
      <c r="D2937" s="544" t="s">
        <v>3896</v>
      </c>
      <c r="E2937" s="507">
        <v>250.0</v>
      </c>
      <c r="F2937" s="507">
        <v>118.0</v>
      </c>
      <c r="G2937" s="507">
        <v>42.0</v>
      </c>
      <c r="H2937" s="260">
        <v>2.0</v>
      </c>
      <c r="I2937" s="260">
        <v>2475.0</v>
      </c>
      <c r="J2937" s="260">
        <v>21.0</v>
      </c>
      <c r="K2937" s="507">
        <v>220.0</v>
      </c>
      <c r="L2937" s="266" t="s">
        <v>3619</v>
      </c>
      <c r="M2937" s="507">
        <v>2.0</v>
      </c>
      <c r="N2937" s="507">
        <v>3.0</v>
      </c>
      <c r="O2937" s="507">
        <v>1.0</v>
      </c>
      <c r="P2937" s="507" t="s">
        <v>166</v>
      </c>
      <c r="Q2937" s="507" t="s">
        <v>166</v>
      </c>
      <c r="R2937" s="507" t="s">
        <v>166</v>
      </c>
      <c r="S2937" s="507" t="s">
        <v>166</v>
      </c>
      <c r="T2937" s="509"/>
    </row>
    <row r="2938">
      <c r="A2938" s="504" t="s">
        <v>3401</v>
      </c>
      <c r="B2938" s="505" t="s">
        <v>4520</v>
      </c>
      <c r="C2938" s="452" t="str">
        <f t="shared" si="424"/>
        <v>Inno3D</v>
      </c>
      <c r="D2938" s="544" t="s">
        <v>3882</v>
      </c>
      <c r="E2938" s="507">
        <v>250.0</v>
      </c>
      <c r="F2938" s="507">
        <v>118.0</v>
      </c>
      <c r="G2938" s="507">
        <v>42.0</v>
      </c>
      <c r="H2938" s="260">
        <v>2.0</v>
      </c>
      <c r="I2938" s="260">
        <v>2505.0</v>
      </c>
      <c r="J2938" s="260">
        <v>21.0</v>
      </c>
      <c r="K2938" s="507">
        <v>220.0</v>
      </c>
      <c r="L2938" s="266" t="s">
        <v>3619</v>
      </c>
      <c r="M2938" s="507">
        <v>2.0</v>
      </c>
      <c r="N2938" s="507">
        <v>3.0</v>
      </c>
      <c r="O2938" s="507">
        <v>1.0</v>
      </c>
      <c r="P2938" s="507" t="s">
        <v>166</v>
      </c>
      <c r="Q2938" s="507" t="s">
        <v>166</v>
      </c>
      <c r="R2938" s="507" t="s">
        <v>166</v>
      </c>
      <c r="S2938" s="507" t="s">
        <v>166</v>
      </c>
      <c r="T2938" s="509"/>
    </row>
    <row r="2939">
      <c r="A2939" s="504" t="s">
        <v>3401</v>
      </c>
      <c r="B2939" s="505" t="s">
        <v>4520</v>
      </c>
      <c r="C2939" s="452" t="str">
        <f t="shared" si="424"/>
        <v>Inno3D</v>
      </c>
      <c r="D2939" s="544" t="s">
        <v>4464</v>
      </c>
      <c r="E2939" s="507">
        <v>250.0</v>
      </c>
      <c r="F2939" s="507">
        <v>118.0</v>
      </c>
      <c r="G2939" s="507">
        <v>42.0</v>
      </c>
      <c r="H2939" s="260">
        <v>2.0</v>
      </c>
      <c r="I2939" s="260">
        <v>2505.0</v>
      </c>
      <c r="J2939" s="260">
        <v>21.0</v>
      </c>
      <c r="K2939" s="507">
        <v>220.0</v>
      </c>
      <c r="L2939" s="266" t="s">
        <v>3619</v>
      </c>
      <c r="M2939" s="507">
        <v>2.0</v>
      </c>
      <c r="N2939" s="507">
        <v>3.0</v>
      </c>
      <c r="O2939" s="507">
        <v>1.0</v>
      </c>
      <c r="P2939" s="507" t="s">
        <v>166</v>
      </c>
      <c r="Q2939" s="507" t="s">
        <v>166</v>
      </c>
      <c r="R2939" s="507" t="s">
        <v>166</v>
      </c>
      <c r="S2939" s="507" t="s">
        <v>166</v>
      </c>
      <c r="T2939" s="509"/>
    </row>
    <row r="2940">
      <c r="A2940" s="504" t="s">
        <v>3401</v>
      </c>
      <c r="B2940" s="505" t="s">
        <v>4520</v>
      </c>
      <c r="C2940" s="452" t="str">
        <f t="shared" si="424"/>
        <v>Inno3D</v>
      </c>
      <c r="D2940" s="544" t="s">
        <v>4347</v>
      </c>
      <c r="E2940" s="507">
        <v>297.0</v>
      </c>
      <c r="F2940" s="507">
        <v>118.0</v>
      </c>
      <c r="G2940" s="507">
        <v>42.0</v>
      </c>
      <c r="H2940" s="260">
        <v>2.0</v>
      </c>
      <c r="I2940" s="260">
        <v>2505.0</v>
      </c>
      <c r="J2940" s="260">
        <v>21.0</v>
      </c>
      <c r="K2940" s="507">
        <v>220.0</v>
      </c>
      <c r="L2940" s="266" t="s">
        <v>3619</v>
      </c>
      <c r="M2940" s="507">
        <v>3.0</v>
      </c>
      <c r="N2940" s="507">
        <v>3.0</v>
      </c>
      <c r="O2940" s="507">
        <v>1.0</v>
      </c>
      <c r="P2940" s="507" t="s">
        <v>166</v>
      </c>
      <c r="Q2940" s="507" t="s">
        <v>166</v>
      </c>
      <c r="R2940" s="507" t="s">
        <v>166</v>
      </c>
      <c r="S2940" s="507" t="s">
        <v>166</v>
      </c>
      <c r="T2940" s="509"/>
    </row>
    <row r="2941">
      <c r="A2941" s="504" t="s">
        <v>3401</v>
      </c>
      <c r="B2941" s="505" t="s">
        <v>4520</v>
      </c>
      <c r="C2941" s="452" t="str">
        <f t="shared" si="424"/>
        <v>Inno3D</v>
      </c>
      <c r="D2941" s="544" t="s">
        <v>3921</v>
      </c>
      <c r="E2941" s="507">
        <v>334.0</v>
      </c>
      <c r="F2941" s="507">
        <v>148.0</v>
      </c>
      <c r="G2941" s="507">
        <v>62.0</v>
      </c>
      <c r="H2941" s="260">
        <v>2.0</v>
      </c>
      <c r="I2941" s="260">
        <v>2535.0</v>
      </c>
      <c r="J2941" s="260">
        <v>21.0</v>
      </c>
      <c r="K2941" s="507">
        <v>220.0</v>
      </c>
      <c r="L2941" s="266" t="s">
        <v>3619</v>
      </c>
      <c r="M2941" s="507">
        <v>3.0</v>
      </c>
      <c r="N2941" s="507">
        <v>3.0</v>
      </c>
      <c r="O2941" s="507">
        <v>1.0</v>
      </c>
      <c r="P2941" s="507" t="s">
        <v>166</v>
      </c>
      <c r="Q2941" s="507" t="s">
        <v>166</v>
      </c>
      <c r="R2941" s="507" t="s">
        <v>166</v>
      </c>
      <c r="S2941" s="507" t="s">
        <v>166</v>
      </c>
      <c r="T2941" s="509"/>
    </row>
    <row r="2942">
      <c r="A2942" s="504" t="s">
        <v>3401</v>
      </c>
      <c r="B2942" s="505" t="s">
        <v>4520</v>
      </c>
      <c r="C2942" s="452" t="s">
        <v>3538</v>
      </c>
      <c r="D2942" s="544" t="s">
        <v>3600</v>
      </c>
      <c r="E2942" s="507">
        <v>251.0</v>
      </c>
      <c r="F2942" s="507">
        <v>124.0</v>
      </c>
      <c r="G2942" s="507">
        <v>53.0</v>
      </c>
      <c r="H2942" s="260">
        <v>2.0</v>
      </c>
      <c r="I2942" s="260">
        <v>2475.0</v>
      </c>
      <c r="J2942" s="260">
        <v>21.0</v>
      </c>
      <c r="K2942" s="507">
        <v>220.0</v>
      </c>
      <c r="L2942" s="266" t="s">
        <v>3619</v>
      </c>
      <c r="M2942" s="507">
        <v>2.0</v>
      </c>
      <c r="N2942" s="507">
        <v>3.0</v>
      </c>
      <c r="O2942" s="507">
        <v>1.0</v>
      </c>
      <c r="P2942" s="507" t="s">
        <v>166</v>
      </c>
      <c r="Q2942" s="507" t="s">
        <v>166</v>
      </c>
      <c r="R2942" s="507" t="s">
        <v>166</v>
      </c>
      <c r="S2942" s="507" t="s">
        <v>166</v>
      </c>
      <c r="T2942" s="509"/>
    </row>
    <row r="2943">
      <c r="A2943" s="504" t="s">
        <v>3401</v>
      </c>
      <c r="B2943" s="505" t="s">
        <v>4520</v>
      </c>
      <c r="C2943" s="452" t="str">
        <f>HYPERLINK("http://manli.com/en","Manli")</f>
        <v>Manli</v>
      </c>
      <c r="D2943" s="544" t="s">
        <v>4526</v>
      </c>
      <c r="E2943" s="507">
        <v>264.0</v>
      </c>
      <c r="F2943" s="507">
        <v>127.0</v>
      </c>
      <c r="G2943" s="507">
        <v>56.0</v>
      </c>
      <c r="H2943" s="260">
        <v>2.0</v>
      </c>
      <c r="I2943" s="260">
        <v>2475.0</v>
      </c>
      <c r="J2943" s="260">
        <v>21.0</v>
      </c>
      <c r="K2943" s="507">
        <v>220.0</v>
      </c>
      <c r="L2943" s="266" t="s">
        <v>3619</v>
      </c>
      <c r="M2943" s="507">
        <v>2.0</v>
      </c>
      <c r="N2943" s="507">
        <v>3.0</v>
      </c>
      <c r="O2943" s="507">
        <v>1.0</v>
      </c>
      <c r="P2943" s="507" t="s">
        <v>166</v>
      </c>
      <c r="Q2943" s="507" t="s">
        <v>166</v>
      </c>
      <c r="R2943" s="507" t="s">
        <v>166</v>
      </c>
      <c r="S2943" s="507" t="s">
        <v>166</v>
      </c>
      <c r="T2943" s="509"/>
    </row>
    <row r="2944">
      <c r="A2944" s="504" t="s">
        <v>3401</v>
      </c>
      <c r="B2944" s="505" t="s">
        <v>4520</v>
      </c>
      <c r="C2944" s="174" t="s">
        <v>3565</v>
      </c>
      <c r="D2944" s="544" t="s">
        <v>4467</v>
      </c>
      <c r="E2944" s="507">
        <v>336.0</v>
      </c>
      <c r="F2944" s="507">
        <v>137.0</v>
      </c>
      <c r="G2944" s="507">
        <v>58.0</v>
      </c>
      <c r="H2944" s="260">
        <v>2.0</v>
      </c>
      <c r="I2944" s="260">
        <v>2685.0</v>
      </c>
      <c r="J2944" s="260">
        <v>21.0</v>
      </c>
      <c r="K2944" s="507">
        <v>245.0</v>
      </c>
      <c r="L2944" s="266" t="s">
        <v>3619</v>
      </c>
      <c r="M2944" s="507">
        <v>3.0</v>
      </c>
      <c r="N2944" s="507">
        <v>3.0</v>
      </c>
      <c r="O2944" s="507">
        <v>1.0</v>
      </c>
      <c r="P2944" s="507" t="s">
        <v>166</v>
      </c>
      <c r="Q2944" s="507" t="s">
        <v>166</v>
      </c>
      <c r="R2944" s="507" t="s">
        <v>166</v>
      </c>
      <c r="S2944" s="507" t="s">
        <v>166</v>
      </c>
      <c r="T2944" s="509"/>
    </row>
    <row r="2945">
      <c r="A2945" s="504" t="s">
        <v>3401</v>
      </c>
      <c r="B2945" s="505" t="s">
        <v>4520</v>
      </c>
      <c r="C2945" s="174" t="str">
        <f t="shared" ref="C2945:C2956" si="425">HYPERLINK("https://www.msi.com/index.php","MSI")</f>
        <v>MSI</v>
      </c>
      <c r="D2945" s="544" t="s">
        <v>3555</v>
      </c>
      <c r="E2945" s="507">
        <v>242.0</v>
      </c>
      <c r="F2945" s="507">
        <v>125.0</v>
      </c>
      <c r="G2945" s="507">
        <v>43.0</v>
      </c>
      <c r="H2945" s="260">
        <v>2.0</v>
      </c>
      <c r="I2945" s="260">
        <v>2490.0</v>
      </c>
      <c r="J2945" s="260">
        <v>21.0</v>
      </c>
      <c r="K2945" s="507">
        <v>220.0</v>
      </c>
      <c r="L2945" s="266" t="s">
        <v>3619</v>
      </c>
      <c r="M2945" s="507">
        <v>2.0</v>
      </c>
      <c r="N2945" s="507">
        <v>3.0</v>
      </c>
      <c r="O2945" s="507">
        <v>1.0</v>
      </c>
      <c r="P2945" s="507" t="s">
        <v>166</v>
      </c>
      <c r="Q2945" s="507" t="s">
        <v>166</v>
      </c>
      <c r="R2945" s="507" t="s">
        <v>166</v>
      </c>
      <c r="S2945" s="507" t="s">
        <v>166</v>
      </c>
      <c r="T2945" s="509"/>
    </row>
    <row r="2946">
      <c r="A2946" s="504" t="s">
        <v>3401</v>
      </c>
      <c r="B2946" s="505" t="s">
        <v>4520</v>
      </c>
      <c r="C2946" s="174" t="str">
        <f t="shared" si="425"/>
        <v>MSI</v>
      </c>
      <c r="D2946" s="544" t="s">
        <v>3556</v>
      </c>
      <c r="E2946" s="507">
        <v>242.0</v>
      </c>
      <c r="F2946" s="507">
        <v>125.0</v>
      </c>
      <c r="G2946" s="507">
        <v>43.0</v>
      </c>
      <c r="H2946" s="260">
        <v>2.0</v>
      </c>
      <c r="I2946" s="260">
        <v>2520.0</v>
      </c>
      <c r="J2946" s="260">
        <v>21.0</v>
      </c>
      <c r="K2946" s="507">
        <v>220.0</v>
      </c>
      <c r="L2946" s="266" t="s">
        <v>3619</v>
      </c>
      <c r="M2946" s="507">
        <v>2.0</v>
      </c>
      <c r="N2946" s="507">
        <v>3.0</v>
      </c>
      <c r="O2946" s="507">
        <v>1.0</v>
      </c>
      <c r="P2946" s="507" t="s">
        <v>166</v>
      </c>
      <c r="Q2946" s="507" t="s">
        <v>166</v>
      </c>
      <c r="R2946" s="507" t="s">
        <v>166</v>
      </c>
      <c r="S2946" s="507" t="s">
        <v>166</v>
      </c>
      <c r="T2946" s="509"/>
    </row>
    <row r="2947">
      <c r="A2947" s="504" t="s">
        <v>3401</v>
      </c>
      <c r="B2947" s="505" t="s">
        <v>4520</v>
      </c>
      <c r="C2947" s="174" t="str">
        <f t="shared" si="425"/>
        <v>MSI</v>
      </c>
      <c r="D2947" s="544" t="s">
        <v>3605</v>
      </c>
      <c r="E2947" s="507">
        <v>242.0</v>
      </c>
      <c r="F2947" s="507">
        <v>125.0</v>
      </c>
      <c r="G2947" s="507">
        <v>43.0</v>
      </c>
      <c r="H2947" s="260">
        <v>2.0</v>
      </c>
      <c r="I2947" s="260">
        <v>2490.0</v>
      </c>
      <c r="J2947" s="260">
        <v>21.0</v>
      </c>
      <c r="K2947" s="507">
        <v>220.0</v>
      </c>
      <c r="L2947" s="266" t="s">
        <v>3619</v>
      </c>
      <c r="M2947" s="507">
        <v>2.0</v>
      </c>
      <c r="N2947" s="507">
        <v>3.0</v>
      </c>
      <c r="O2947" s="507">
        <v>1.0</v>
      </c>
      <c r="P2947" s="507" t="s">
        <v>166</v>
      </c>
      <c r="Q2947" s="507" t="s">
        <v>166</v>
      </c>
      <c r="R2947" s="507" t="s">
        <v>166</v>
      </c>
      <c r="S2947" s="507" t="s">
        <v>166</v>
      </c>
      <c r="T2947" s="509"/>
    </row>
    <row r="2948">
      <c r="A2948" s="504" t="s">
        <v>3401</v>
      </c>
      <c r="B2948" s="505" t="s">
        <v>4520</v>
      </c>
      <c r="C2948" s="174" t="str">
        <f t="shared" si="425"/>
        <v>MSI</v>
      </c>
      <c r="D2948" s="544" t="s">
        <v>3606</v>
      </c>
      <c r="E2948" s="507">
        <v>242.0</v>
      </c>
      <c r="F2948" s="507">
        <v>125.0</v>
      </c>
      <c r="G2948" s="507">
        <v>43.0</v>
      </c>
      <c r="H2948" s="260">
        <v>2.0</v>
      </c>
      <c r="I2948" s="260">
        <v>2520.0</v>
      </c>
      <c r="J2948" s="260">
        <v>21.0</v>
      </c>
      <c r="K2948" s="507">
        <v>220.0</v>
      </c>
      <c r="L2948" s="266" t="s">
        <v>3619</v>
      </c>
      <c r="M2948" s="507">
        <v>2.0</v>
      </c>
      <c r="N2948" s="507">
        <v>3.0</v>
      </c>
      <c r="O2948" s="507">
        <v>1.0</v>
      </c>
      <c r="P2948" s="507" t="s">
        <v>166</v>
      </c>
      <c r="Q2948" s="507" t="s">
        <v>166</v>
      </c>
      <c r="R2948" s="507" t="s">
        <v>166</v>
      </c>
      <c r="S2948" s="507" t="s">
        <v>166</v>
      </c>
      <c r="T2948" s="509"/>
    </row>
    <row r="2949">
      <c r="A2949" s="504" t="s">
        <v>3401</v>
      </c>
      <c r="B2949" s="505" t="s">
        <v>4520</v>
      </c>
      <c r="C2949" s="174" t="str">
        <f t="shared" si="425"/>
        <v>MSI</v>
      </c>
      <c r="D2949" s="544" t="s">
        <v>4146</v>
      </c>
      <c r="E2949" s="507">
        <v>308.0</v>
      </c>
      <c r="F2949" s="507">
        <v>125.0</v>
      </c>
      <c r="G2949" s="507">
        <v>43.0</v>
      </c>
      <c r="H2949" s="260">
        <v>2.0</v>
      </c>
      <c r="I2949" s="260">
        <v>2490.0</v>
      </c>
      <c r="J2949" s="260">
        <v>21.0</v>
      </c>
      <c r="K2949" s="507">
        <v>220.0</v>
      </c>
      <c r="L2949" s="266" t="s">
        <v>3619</v>
      </c>
      <c r="M2949" s="507">
        <v>3.0</v>
      </c>
      <c r="N2949" s="507">
        <v>3.0</v>
      </c>
      <c r="O2949" s="507">
        <v>1.0</v>
      </c>
      <c r="P2949" s="507" t="s">
        <v>166</v>
      </c>
      <c r="Q2949" s="507" t="s">
        <v>166</v>
      </c>
      <c r="R2949" s="507" t="s">
        <v>166</v>
      </c>
      <c r="S2949" s="507" t="s">
        <v>166</v>
      </c>
      <c r="T2949" s="509"/>
    </row>
    <row r="2950">
      <c r="A2950" s="504" t="s">
        <v>3401</v>
      </c>
      <c r="B2950" s="505" t="s">
        <v>4520</v>
      </c>
      <c r="C2950" s="174" t="str">
        <f t="shared" si="425"/>
        <v>MSI</v>
      </c>
      <c r="D2950" s="544" t="s">
        <v>4147</v>
      </c>
      <c r="E2950" s="507">
        <v>308.0</v>
      </c>
      <c r="F2950" s="507">
        <v>125.0</v>
      </c>
      <c r="G2950" s="507">
        <v>43.0</v>
      </c>
      <c r="H2950" s="260">
        <v>2.0</v>
      </c>
      <c r="I2950" s="260">
        <v>2520.0</v>
      </c>
      <c r="J2950" s="260">
        <v>21.0</v>
      </c>
      <c r="K2950" s="507">
        <v>220.0</v>
      </c>
      <c r="L2950" s="266" t="s">
        <v>3619</v>
      </c>
      <c r="M2950" s="507">
        <v>3.0</v>
      </c>
      <c r="N2950" s="507">
        <v>3.0</v>
      </c>
      <c r="O2950" s="507">
        <v>1.0</v>
      </c>
      <c r="P2950" s="507" t="s">
        <v>166</v>
      </c>
      <c r="Q2950" s="507" t="s">
        <v>166</v>
      </c>
      <c r="R2950" s="507" t="s">
        <v>166</v>
      </c>
      <c r="S2950" s="507" t="s">
        <v>166</v>
      </c>
      <c r="T2950" s="509"/>
    </row>
    <row r="2951">
      <c r="A2951" s="504" t="s">
        <v>3401</v>
      </c>
      <c r="B2951" s="505" t="s">
        <v>4520</v>
      </c>
      <c r="C2951" s="174" t="str">
        <f t="shared" si="425"/>
        <v>MSI</v>
      </c>
      <c r="D2951" s="544" t="s">
        <v>4493</v>
      </c>
      <c r="E2951" s="507">
        <v>307.0</v>
      </c>
      <c r="F2951" s="507">
        <v>125.0</v>
      </c>
      <c r="G2951" s="507">
        <v>46.0</v>
      </c>
      <c r="H2951" s="260">
        <v>2.0</v>
      </c>
      <c r="I2951" s="260">
        <v>2490.0</v>
      </c>
      <c r="J2951" s="260">
        <v>21.0</v>
      </c>
      <c r="K2951" s="507">
        <v>220.0</v>
      </c>
      <c r="L2951" s="266" t="s">
        <v>3619</v>
      </c>
      <c r="M2951" s="507">
        <v>3.0</v>
      </c>
      <c r="N2951" s="507">
        <v>3.0</v>
      </c>
      <c r="O2951" s="507">
        <v>1.0</v>
      </c>
      <c r="P2951" s="507" t="s">
        <v>166</v>
      </c>
      <c r="Q2951" s="507" t="s">
        <v>166</v>
      </c>
      <c r="R2951" s="507" t="s">
        <v>166</v>
      </c>
      <c r="S2951" s="507" t="s">
        <v>166</v>
      </c>
      <c r="T2951" s="509"/>
    </row>
    <row r="2952">
      <c r="A2952" s="504" t="s">
        <v>3401</v>
      </c>
      <c r="B2952" s="505" t="s">
        <v>4520</v>
      </c>
      <c r="C2952" s="174" t="str">
        <f t="shared" si="425"/>
        <v>MSI</v>
      </c>
      <c r="D2952" s="544" t="s">
        <v>4496</v>
      </c>
      <c r="E2952" s="507">
        <v>307.0</v>
      </c>
      <c r="F2952" s="507">
        <v>125.0</v>
      </c>
      <c r="G2952" s="507">
        <v>46.0</v>
      </c>
      <c r="H2952" s="260">
        <v>2.0</v>
      </c>
      <c r="I2952" s="260">
        <v>2655.0</v>
      </c>
      <c r="J2952" s="260">
        <v>21.0</v>
      </c>
      <c r="K2952" s="507">
        <v>245.0</v>
      </c>
      <c r="L2952" s="266" t="s">
        <v>3619</v>
      </c>
      <c r="M2952" s="507">
        <v>3.0</v>
      </c>
      <c r="N2952" s="507">
        <v>3.0</v>
      </c>
      <c r="O2952" s="507">
        <v>1.0</v>
      </c>
      <c r="P2952" s="507" t="s">
        <v>166</v>
      </c>
      <c r="Q2952" s="507" t="s">
        <v>166</v>
      </c>
      <c r="R2952" s="507" t="s">
        <v>166</v>
      </c>
      <c r="S2952" s="507" t="s">
        <v>166</v>
      </c>
      <c r="T2952" s="509"/>
    </row>
    <row r="2953">
      <c r="A2953" s="504" t="s">
        <v>3401</v>
      </c>
      <c r="B2953" s="505" t="s">
        <v>4520</v>
      </c>
      <c r="C2953" s="174" t="str">
        <f t="shared" si="425"/>
        <v>MSI</v>
      </c>
      <c r="D2953" s="544" t="s">
        <v>4527</v>
      </c>
      <c r="E2953" s="507">
        <v>307.0</v>
      </c>
      <c r="F2953" s="507">
        <v>125.0</v>
      </c>
      <c r="G2953" s="507">
        <v>46.0</v>
      </c>
      <c r="H2953" s="260">
        <v>2.0</v>
      </c>
      <c r="I2953" s="260">
        <v>2490.0</v>
      </c>
      <c r="J2953" s="260">
        <v>21.0</v>
      </c>
      <c r="K2953" s="507">
        <v>220.0</v>
      </c>
      <c r="L2953" s="266" t="s">
        <v>3619</v>
      </c>
      <c r="M2953" s="507">
        <v>3.0</v>
      </c>
      <c r="N2953" s="507">
        <v>3.0</v>
      </c>
      <c r="O2953" s="507">
        <v>1.0</v>
      </c>
      <c r="P2953" s="507" t="s">
        <v>166</v>
      </c>
      <c r="Q2953" s="507" t="s">
        <v>166</v>
      </c>
      <c r="R2953" s="507" t="s">
        <v>166</v>
      </c>
      <c r="S2953" s="507" t="s">
        <v>166</v>
      </c>
      <c r="T2953" s="509"/>
    </row>
    <row r="2954">
      <c r="A2954" s="504" t="s">
        <v>3401</v>
      </c>
      <c r="B2954" s="505" t="s">
        <v>4520</v>
      </c>
      <c r="C2954" s="174" t="str">
        <f t="shared" si="425"/>
        <v>MSI</v>
      </c>
      <c r="D2954" s="544" t="s">
        <v>4528</v>
      </c>
      <c r="E2954" s="507">
        <v>307.0</v>
      </c>
      <c r="F2954" s="507">
        <v>125.0</v>
      </c>
      <c r="G2954" s="507">
        <v>46.0</v>
      </c>
      <c r="H2954" s="260">
        <v>2.0</v>
      </c>
      <c r="I2954" s="260">
        <v>2655.0</v>
      </c>
      <c r="J2954" s="260">
        <v>21.0</v>
      </c>
      <c r="K2954" s="507">
        <v>245.0</v>
      </c>
      <c r="L2954" s="266" t="s">
        <v>3619</v>
      </c>
      <c r="M2954" s="507">
        <v>3.0</v>
      </c>
      <c r="N2954" s="507">
        <v>3.0</v>
      </c>
      <c r="O2954" s="507">
        <v>1.0</v>
      </c>
      <c r="P2954" s="507" t="s">
        <v>166</v>
      </c>
      <c r="Q2954" s="507" t="s">
        <v>166</v>
      </c>
      <c r="R2954" s="507" t="s">
        <v>166</v>
      </c>
      <c r="S2954" s="507" t="s">
        <v>166</v>
      </c>
      <c r="T2954" s="509"/>
    </row>
    <row r="2955">
      <c r="A2955" s="504" t="s">
        <v>3401</v>
      </c>
      <c r="B2955" s="505" t="s">
        <v>4520</v>
      </c>
      <c r="C2955" s="174" t="str">
        <f t="shared" si="425"/>
        <v>MSI</v>
      </c>
      <c r="D2955" s="544" t="s">
        <v>4495</v>
      </c>
      <c r="E2955" s="507">
        <v>307.0</v>
      </c>
      <c r="F2955" s="507">
        <v>125.0</v>
      </c>
      <c r="G2955" s="507">
        <v>46.0</v>
      </c>
      <c r="H2955" s="260">
        <v>2.0</v>
      </c>
      <c r="I2955" s="260">
        <v>2490.0</v>
      </c>
      <c r="J2955" s="260">
        <v>21.0</v>
      </c>
      <c r="K2955" s="507">
        <v>220.0</v>
      </c>
      <c r="L2955" s="266" t="s">
        <v>3619</v>
      </c>
      <c r="M2955" s="507">
        <v>3.0</v>
      </c>
      <c r="N2955" s="507">
        <v>3.0</v>
      </c>
      <c r="O2955" s="507">
        <v>1.0</v>
      </c>
      <c r="P2955" s="507" t="s">
        <v>166</v>
      </c>
      <c r="Q2955" s="507" t="s">
        <v>166</v>
      </c>
      <c r="R2955" s="507" t="s">
        <v>166</v>
      </c>
      <c r="S2955" s="507" t="s">
        <v>166</v>
      </c>
      <c r="T2955" s="509"/>
    </row>
    <row r="2956">
      <c r="A2956" s="504" t="s">
        <v>3401</v>
      </c>
      <c r="B2956" s="505" t="s">
        <v>4520</v>
      </c>
      <c r="C2956" s="174" t="str">
        <f t="shared" si="425"/>
        <v>MSI</v>
      </c>
      <c r="D2956" s="544" t="s">
        <v>4497</v>
      </c>
      <c r="E2956" s="507">
        <v>307.0</v>
      </c>
      <c r="F2956" s="507">
        <v>125.0</v>
      </c>
      <c r="G2956" s="507">
        <v>46.0</v>
      </c>
      <c r="H2956" s="260">
        <v>2.0</v>
      </c>
      <c r="I2956" s="260">
        <v>2655.0</v>
      </c>
      <c r="J2956" s="260">
        <v>21.0</v>
      </c>
      <c r="K2956" s="507">
        <v>245.0</v>
      </c>
      <c r="L2956" s="266" t="s">
        <v>3619</v>
      </c>
      <c r="M2956" s="507">
        <v>3.0</v>
      </c>
      <c r="N2956" s="507">
        <v>3.0</v>
      </c>
      <c r="O2956" s="507">
        <v>1.0</v>
      </c>
      <c r="P2956" s="507" t="s">
        <v>166</v>
      </c>
      <c r="Q2956" s="507" t="s">
        <v>166</v>
      </c>
      <c r="R2956" s="507" t="s">
        <v>166</v>
      </c>
      <c r="S2956" s="507" t="s">
        <v>166</v>
      </c>
      <c r="T2956" s="509"/>
    </row>
    <row r="2957">
      <c r="A2957" s="504" t="s">
        <v>3401</v>
      </c>
      <c r="B2957" s="505" t="s">
        <v>4520</v>
      </c>
      <c r="C2957" s="452" t="str">
        <f>HYPERLINK("https://www.nvidia.com/en-us/","Nvidia")</f>
        <v>Nvidia</v>
      </c>
      <c r="D2957" s="544" t="s">
        <v>3812</v>
      </c>
      <c r="E2957" s="507">
        <v>244.0</v>
      </c>
      <c r="F2957" s="507">
        <v>112.0</v>
      </c>
      <c r="G2957" s="507">
        <v>40.0</v>
      </c>
      <c r="H2957" s="260">
        <v>2.0</v>
      </c>
      <c r="I2957" s="260">
        <v>2475.0</v>
      </c>
      <c r="J2957" s="260">
        <v>21.0</v>
      </c>
      <c r="K2957" s="507">
        <v>220.0</v>
      </c>
      <c r="L2957" s="266" t="s">
        <v>3619</v>
      </c>
      <c r="M2957" s="507">
        <v>2.0</v>
      </c>
      <c r="N2957" s="507">
        <v>3.0</v>
      </c>
      <c r="O2957" s="507">
        <v>1.0</v>
      </c>
      <c r="P2957" s="507" t="s">
        <v>166</v>
      </c>
      <c r="Q2957" s="507" t="s">
        <v>166</v>
      </c>
      <c r="R2957" s="507" t="s">
        <v>166</v>
      </c>
      <c r="S2957" s="507" t="s">
        <v>166</v>
      </c>
      <c r="T2957" s="509"/>
    </row>
    <row r="2958">
      <c r="A2958" s="504" t="s">
        <v>3401</v>
      </c>
      <c r="B2958" s="505" t="s">
        <v>4520</v>
      </c>
      <c r="C2958" s="452" t="str">
        <f t="shared" ref="C2958:C2960" si="426">HYPERLINK("http://www.palit.com/palit/index.php?lang=en","Palit")</f>
        <v>Palit</v>
      </c>
      <c r="D2958" s="544" t="s">
        <v>3372</v>
      </c>
      <c r="E2958" s="507">
        <v>269.1</v>
      </c>
      <c r="F2958" s="507">
        <v>127.5</v>
      </c>
      <c r="G2958" s="507">
        <v>40.1</v>
      </c>
      <c r="H2958" s="260">
        <v>2.0</v>
      </c>
      <c r="I2958" s="260">
        <v>2475.0</v>
      </c>
      <c r="J2958" s="260">
        <v>21.0</v>
      </c>
      <c r="K2958" s="507">
        <v>220.0</v>
      </c>
      <c r="L2958" s="266" t="s">
        <v>3619</v>
      </c>
      <c r="M2958" s="507">
        <v>2.0</v>
      </c>
      <c r="N2958" s="507">
        <v>3.0</v>
      </c>
      <c r="O2958" s="507">
        <v>1.0</v>
      </c>
      <c r="P2958" s="507" t="s">
        <v>166</v>
      </c>
      <c r="Q2958" s="507" t="s">
        <v>166</v>
      </c>
      <c r="R2958" s="507" t="s">
        <v>166</v>
      </c>
      <c r="S2958" s="507" t="s">
        <v>166</v>
      </c>
      <c r="T2958" s="509"/>
    </row>
    <row r="2959">
      <c r="A2959" s="504" t="s">
        <v>3401</v>
      </c>
      <c r="B2959" s="505" t="s">
        <v>4520</v>
      </c>
      <c r="C2959" s="452" t="str">
        <f t="shared" si="426"/>
        <v>Palit</v>
      </c>
      <c r="D2959" s="544" t="s">
        <v>3381</v>
      </c>
      <c r="E2959" s="507">
        <v>269.1</v>
      </c>
      <c r="F2959" s="507">
        <v>127.5</v>
      </c>
      <c r="G2959" s="507">
        <v>40.1</v>
      </c>
      <c r="H2959" s="260">
        <v>2.0</v>
      </c>
      <c r="I2959" s="260">
        <v>2550.0</v>
      </c>
      <c r="J2959" s="260">
        <v>21.0</v>
      </c>
      <c r="K2959" s="507">
        <v>220.0</v>
      </c>
      <c r="L2959" s="266" t="s">
        <v>3619</v>
      </c>
      <c r="M2959" s="507">
        <v>2.0</v>
      </c>
      <c r="N2959" s="507">
        <v>3.0</v>
      </c>
      <c r="O2959" s="507">
        <v>1.0</v>
      </c>
      <c r="P2959" s="507" t="s">
        <v>166</v>
      </c>
      <c r="Q2959" s="507" t="s">
        <v>166</v>
      </c>
      <c r="R2959" s="507" t="s">
        <v>166</v>
      </c>
      <c r="S2959" s="507" t="s">
        <v>166</v>
      </c>
      <c r="T2959" s="509"/>
    </row>
    <row r="2960">
      <c r="A2960" s="504" t="s">
        <v>3401</v>
      </c>
      <c r="B2960" s="505" t="s">
        <v>4520</v>
      </c>
      <c r="C2960" s="452" t="str">
        <f t="shared" si="426"/>
        <v>Palit</v>
      </c>
      <c r="D2960" s="544" t="s">
        <v>4321</v>
      </c>
      <c r="E2960" s="507">
        <v>328.9</v>
      </c>
      <c r="F2960" s="507">
        <v>130.5</v>
      </c>
      <c r="G2960" s="507">
        <v>63.5</v>
      </c>
      <c r="H2960" s="260">
        <v>2.0</v>
      </c>
      <c r="I2960" s="260">
        <v>2640.0</v>
      </c>
      <c r="J2960" s="260">
        <v>21.0</v>
      </c>
      <c r="K2960" s="507">
        <v>245.0</v>
      </c>
      <c r="L2960" s="266" t="s">
        <v>3619</v>
      </c>
      <c r="M2960" s="507">
        <v>3.0</v>
      </c>
      <c r="N2960" s="507">
        <v>3.0</v>
      </c>
      <c r="O2960" s="507">
        <v>1.0</v>
      </c>
      <c r="P2960" s="507" t="s">
        <v>166</v>
      </c>
      <c r="Q2960" s="507" t="s">
        <v>166</v>
      </c>
      <c r="R2960" s="507" t="s">
        <v>166</v>
      </c>
      <c r="S2960" s="507" t="s">
        <v>166</v>
      </c>
      <c r="T2960" s="509"/>
    </row>
    <row r="2961">
      <c r="A2961" s="504" t="s">
        <v>3401</v>
      </c>
      <c r="B2961" s="505" t="s">
        <v>4520</v>
      </c>
      <c r="C2961" s="452" t="str">
        <f t="shared" ref="C2961:C2962" si="427">HYPERLINK("https://pny.com/","PNY")</f>
        <v>PNY</v>
      </c>
      <c r="D2961" s="544" t="s">
        <v>4529</v>
      </c>
      <c r="E2961" s="507">
        <v>247.4</v>
      </c>
      <c r="F2961" s="507">
        <v>120.4</v>
      </c>
      <c r="G2961" s="507">
        <v>40.9</v>
      </c>
      <c r="H2961" s="260">
        <v>2.0</v>
      </c>
      <c r="I2961" s="260">
        <v>2490.0</v>
      </c>
      <c r="J2961" s="260">
        <v>21.0</v>
      </c>
      <c r="K2961" s="507">
        <v>220.0</v>
      </c>
      <c r="L2961" s="266" t="s">
        <v>3619</v>
      </c>
      <c r="M2961" s="507">
        <v>2.0</v>
      </c>
      <c r="N2961" s="507">
        <v>3.0</v>
      </c>
      <c r="O2961" s="507">
        <v>1.0</v>
      </c>
      <c r="P2961" s="507" t="s">
        <v>166</v>
      </c>
      <c r="Q2961" s="507" t="s">
        <v>166</v>
      </c>
      <c r="R2961" s="507" t="s">
        <v>166</v>
      </c>
      <c r="S2961" s="507" t="s">
        <v>166</v>
      </c>
      <c r="T2961" s="509"/>
    </row>
    <row r="2962">
      <c r="A2962" s="504" t="s">
        <v>3401</v>
      </c>
      <c r="B2962" s="505" t="s">
        <v>4520</v>
      </c>
      <c r="C2962" s="452" t="str">
        <f t="shared" si="427"/>
        <v>PNY</v>
      </c>
      <c r="D2962" s="544" t="s">
        <v>4472</v>
      </c>
      <c r="E2962" s="507">
        <v>305.1</v>
      </c>
      <c r="F2962" s="507">
        <v>119.4</v>
      </c>
      <c r="G2962" s="507">
        <v>39.9</v>
      </c>
      <c r="H2962" s="260">
        <v>2.0</v>
      </c>
      <c r="I2962" s="260">
        <v>2505.0</v>
      </c>
      <c r="J2962" s="260">
        <v>21.0</v>
      </c>
      <c r="K2962" s="507">
        <v>220.0</v>
      </c>
      <c r="L2962" s="266" t="s">
        <v>3619</v>
      </c>
      <c r="M2962" s="507">
        <v>3.0</v>
      </c>
      <c r="N2962" s="507">
        <v>3.0</v>
      </c>
      <c r="O2962" s="507">
        <v>1.0</v>
      </c>
      <c r="P2962" s="507" t="s">
        <v>166</v>
      </c>
      <c r="Q2962" s="507" t="s">
        <v>166</v>
      </c>
      <c r="R2962" s="507" t="s">
        <v>166</v>
      </c>
      <c r="S2962" s="507" t="s">
        <v>166</v>
      </c>
      <c r="T2962" s="509"/>
    </row>
    <row r="2963">
      <c r="A2963" s="504" t="s">
        <v>3401</v>
      </c>
      <c r="B2963" s="505" t="s">
        <v>4520</v>
      </c>
      <c r="C2963" s="452" t="s">
        <v>3378</v>
      </c>
      <c r="D2963" s="544" t="s">
        <v>4530</v>
      </c>
      <c r="E2963" s="507">
        <v>269.1</v>
      </c>
      <c r="F2963" s="507">
        <v>131.8</v>
      </c>
      <c r="G2963" s="507">
        <v>40.1</v>
      </c>
      <c r="H2963" s="260">
        <v>2.0</v>
      </c>
      <c r="I2963" s="260">
        <v>2475.0</v>
      </c>
      <c r="J2963" s="260">
        <v>21.0</v>
      </c>
      <c r="K2963" s="507">
        <v>220.0</v>
      </c>
      <c r="L2963" s="266" t="s">
        <v>3619</v>
      </c>
      <c r="M2963" s="507">
        <v>2.0</v>
      </c>
      <c r="N2963" s="507">
        <v>3.0</v>
      </c>
      <c r="O2963" s="507">
        <v>1.0</v>
      </c>
      <c r="P2963" s="507" t="s">
        <v>166</v>
      </c>
      <c r="Q2963" s="507" t="s">
        <v>166</v>
      </c>
      <c r="R2963" s="507" t="s">
        <v>166</v>
      </c>
      <c r="S2963" s="507" t="s">
        <v>166</v>
      </c>
      <c r="T2963" s="509"/>
    </row>
    <row r="2964">
      <c r="A2964" s="504" t="s">
        <v>3401</v>
      </c>
      <c r="B2964" s="505" t="s">
        <v>4520</v>
      </c>
      <c r="C2964" s="452" t="s">
        <v>3378</v>
      </c>
      <c r="D2964" s="544" t="s">
        <v>3777</v>
      </c>
      <c r="E2964" s="507">
        <v>330.0</v>
      </c>
      <c r="F2964" s="507">
        <v>137.0</v>
      </c>
      <c r="G2964" s="507">
        <v>67.0</v>
      </c>
      <c r="H2964" s="260">
        <v>2.0</v>
      </c>
      <c r="I2964" s="260">
        <v>2640.0</v>
      </c>
      <c r="J2964" s="260">
        <v>21.0</v>
      </c>
      <c r="K2964" s="507">
        <v>220.0</v>
      </c>
      <c r="L2964" s="266" t="s">
        <v>3619</v>
      </c>
      <c r="M2964" s="507">
        <v>3.0</v>
      </c>
      <c r="N2964" s="507">
        <v>3.0</v>
      </c>
      <c r="O2964" s="507">
        <v>1.0</v>
      </c>
      <c r="P2964" s="507" t="s">
        <v>166</v>
      </c>
      <c r="Q2964" s="507" t="s">
        <v>166</v>
      </c>
      <c r="R2964" s="507" t="s">
        <v>166</v>
      </c>
      <c r="S2964" s="507" t="s">
        <v>166</v>
      </c>
      <c r="T2964" s="509"/>
    </row>
    <row r="2965">
      <c r="A2965" s="504" t="s">
        <v>3401</v>
      </c>
      <c r="B2965" s="505" t="s">
        <v>4520</v>
      </c>
      <c r="C2965" s="452" t="s">
        <v>3440</v>
      </c>
      <c r="D2965" s="544" t="s">
        <v>4085</v>
      </c>
      <c r="E2965" s="507">
        <v>234.1</v>
      </c>
      <c r="F2965" s="507">
        <v>123.5</v>
      </c>
      <c r="G2965" s="507">
        <v>40.2</v>
      </c>
      <c r="H2965" s="260">
        <v>2.0</v>
      </c>
      <c r="I2965" s="260">
        <v>2475.0</v>
      </c>
      <c r="J2965" s="260">
        <v>21.0</v>
      </c>
      <c r="K2965" s="507">
        <v>220.0</v>
      </c>
      <c r="L2965" s="266" t="s">
        <v>3619</v>
      </c>
      <c r="M2965" s="507">
        <v>2.0</v>
      </c>
      <c r="N2965" s="507">
        <v>3.0</v>
      </c>
      <c r="O2965" s="507">
        <v>1.0</v>
      </c>
      <c r="P2965" s="507" t="s">
        <v>166</v>
      </c>
      <c r="Q2965" s="507" t="s">
        <v>166</v>
      </c>
      <c r="R2965" s="507" t="s">
        <v>166</v>
      </c>
      <c r="S2965" s="507" t="s">
        <v>166</v>
      </c>
      <c r="T2965" s="509"/>
    </row>
    <row r="2966">
      <c r="A2966" s="504" t="s">
        <v>3401</v>
      </c>
      <c r="B2966" s="505" t="s">
        <v>4520</v>
      </c>
      <c r="C2966" s="452" t="s">
        <v>3440</v>
      </c>
      <c r="D2966" s="544" t="s">
        <v>4086</v>
      </c>
      <c r="E2966" s="507">
        <v>234.1</v>
      </c>
      <c r="F2966" s="507">
        <v>123.5</v>
      </c>
      <c r="G2966" s="507">
        <v>40.2</v>
      </c>
      <c r="H2966" s="260">
        <v>2.0</v>
      </c>
      <c r="I2966" s="260">
        <v>2490.0</v>
      </c>
      <c r="J2966" s="260">
        <v>21.0</v>
      </c>
      <c r="K2966" s="507">
        <v>220.0</v>
      </c>
      <c r="L2966" s="266" t="s">
        <v>3619</v>
      </c>
      <c r="M2966" s="507">
        <v>2.0</v>
      </c>
      <c r="N2966" s="507">
        <v>3.0</v>
      </c>
      <c r="O2966" s="507">
        <v>1.0</v>
      </c>
      <c r="P2966" s="507" t="s">
        <v>166</v>
      </c>
      <c r="Q2966" s="507" t="s">
        <v>166</v>
      </c>
      <c r="R2966" s="507" t="s">
        <v>166</v>
      </c>
      <c r="S2966" s="507" t="s">
        <v>166</v>
      </c>
      <c r="T2966" s="509"/>
    </row>
    <row r="2967">
      <c r="A2967" s="538" t="s">
        <v>3401</v>
      </c>
      <c r="B2967" s="539" t="s">
        <v>4520</v>
      </c>
      <c r="C2967" s="500" t="s">
        <v>3440</v>
      </c>
      <c r="D2967" s="549" t="s">
        <v>4531</v>
      </c>
      <c r="E2967" s="519">
        <v>306.8</v>
      </c>
      <c r="F2967" s="519">
        <v>119.4</v>
      </c>
      <c r="G2967" s="519">
        <v>58.5</v>
      </c>
      <c r="H2967" s="393">
        <v>2.0</v>
      </c>
      <c r="I2967" s="393">
        <v>2475.0</v>
      </c>
      <c r="J2967" s="393">
        <v>21.0</v>
      </c>
      <c r="K2967" s="519">
        <v>220.0</v>
      </c>
      <c r="L2967" s="501" t="s">
        <v>3619</v>
      </c>
      <c r="M2967" s="519">
        <v>3.0</v>
      </c>
      <c r="N2967" s="519">
        <v>3.0</v>
      </c>
      <c r="O2967" s="519">
        <v>1.0</v>
      </c>
      <c r="P2967" s="519" t="s">
        <v>166</v>
      </c>
      <c r="Q2967" s="519" t="s">
        <v>166</v>
      </c>
      <c r="R2967" s="519" t="s">
        <v>166</v>
      </c>
      <c r="S2967" s="519" t="s">
        <v>166</v>
      </c>
      <c r="T2967" s="541"/>
    </row>
    <row r="2968">
      <c r="A2968" s="504" t="s">
        <v>3401</v>
      </c>
      <c r="B2968" s="505" t="s">
        <v>4532</v>
      </c>
      <c r="C2968" s="282" t="str">
        <f t="shared" ref="C2968:C2974" si="428">HYPERLINK("https://www.asus.com/","Asus")</f>
        <v>Asus</v>
      </c>
      <c r="D2968" s="544" t="s">
        <v>4451</v>
      </c>
      <c r="E2968" s="507">
        <v>300.0</v>
      </c>
      <c r="F2968" s="507">
        <v>120.0</v>
      </c>
      <c r="G2968" s="507">
        <v>50.0</v>
      </c>
      <c r="H2968" s="260">
        <v>2.0</v>
      </c>
      <c r="I2968" s="260">
        <v>2640.0</v>
      </c>
      <c r="J2968" s="260">
        <v>21.0</v>
      </c>
      <c r="K2968" s="507">
        <v>285.0</v>
      </c>
      <c r="L2968" s="507" t="s">
        <v>3619</v>
      </c>
      <c r="M2968" s="507">
        <v>3.0</v>
      </c>
      <c r="N2968" s="507">
        <v>3.0</v>
      </c>
      <c r="O2968" s="507">
        <v>1.0</v>
      </c>
      <c r="P2968" s="507" t="s">
        <v>166</v>
      </c>
      <c r="Q2968" s="507" t="s">
        <v>166</v>
      </c>
      <c r="R2968" s="507" t="s">
        <v>166</v>
      </c>
      <c r="S2968" s="507" t="s">
        <v>166</v>
      </c>
      <c r="T2968" s="509"/>
    </row>
    <row r="2969">
      <c r="A2969" s="504" t="s">
        <v>3401</v>
      </c>
      <c r="B2969" s="505" t="s">
        <v>4532</v>
      </c>
      <c r="C2969" s="282" t="str">
        <f t="shared" si="428"/>
        <v>Asus</v>
      </c>
      <c r="D2969" s="544" t="s">
        <v>4452</v>
      </c>
      <c r="E2969" s="507">
        <v>300.0</v>
      </c>
      <c r="F2969" s="507">
        <v>120.0</v>
      </c>
      <c r="G2969" s="507">
        <v>50.0</v>
      </c>
      <c r="H2969" s="260">
        <v>2.0</v>
      </c>
      <c r="I2969" s="260">
        <v>2760.0</v>
      </c>
      <c r="J2969" s="260">
        <v>21.0</v>
      </c>
      <c r="K2969" s="507">
        <v>285.0</v>
      </c>
      <c r="L2969" s="507" t="s">
        <v>3619</v>
      </c>
      <c r="M2969" s="507">
        <v>3.0</v>
      </c>
      <c r="N2969" s="507">
        <v>3.0</v>
      </c>
      <c r="O2969" s="507">
        <v>1.0</v>
      </c>
      <c r="P2969" s="507" t="s">
        <v>166</v>
      </c>
      <c r="Q2969" s="507" t="s">
        <v>166</v>
      </c>
      <c r="R2969" s="507" t="s">
        <v>166</v>
      </c>
      <c r="S2969" s="507" t="s">
        <v>166</v>
      </c>
      <c r="T2969" s="509"/>
    </row>
    <row r="2970">
      <c r="A2970" s="504" t="s">
        <v>3401</v>
      </c>
      <c r="B2970" s="505" t="s">
        <v>4532</v>
      </c>
      <c r="C2970" s="282" t="str">
        <f t="shared" si="428"/>
        <v>Asus</v>
      </c>
      <c r="D2970" s="544" t="s">
        <v>3477</v>
      </c>
      <c r="E2970" s="507">
        <v>305.0</v>
      </c>
      <c r="F2970" s="507">
        <v>138.0</v>
      </c>
      <c r="G2970" s="507">
        <v>65.0</v>
      </c>
      <c r="H2970" s="260">
        <v>2.0</v>
      </c>
      <c r="I2970" s="260">
        <v>2640.0</v>
      </c>
      <c r="J2970" s="260">
        <v>21.0</v>
      </c>
      <c r="K2970" s="507">
        <v>285.0</v>
      </c>
      <c r="L2970" s="507" t="s">
        <v>3619</v>
      </c>
      <c r="M2970" s="507">
        <v>3.0</v>
      </c>
      <c r="N2970" s="507">
        <v>3.0</v>
      </c>
      <c r="O2970" s="507">
        <v>2.0</v>
      </c>
      <c r="P2970" s="507" t="s">
        <v>166</v>
      </c>
      <c r="Q2970" s="507" t="s">
        <v>166</v>
      </c>
      <c r="R2970" s="507" t="s">
        <v>166</v>
      </c>
      <c r="S2970" s="507" t="s">
        <v>166</v>
      </c>
      <c r="T2970" s="509"/>
    </row>
    <row r="2971">
      <c r="A2971" s="494" t="s">
        <v>3401</v>
      </c>
      <c r="B2971" s="505" t="s">
        <v>4532</v>
      </c>
      <c r="C2971" s="282" t="str">
        <f t="shared" si="428"/>
        <v>Asus</v>
      </c>
      <c r="D2971" s="544" t="s">
        <v>3478</v>
      </c>
      <c r="E2971" s="507">
        <v>305.0</v>
      </c>
      <c r="F2971" s="507">
        <v>138.0</v>
      </c>
      <c r="G2971" s="507">
        <v>65.0</v>
      </c>
      <c r="H2971" s="260">
        <v>2.0</v>
      </c>
      <c r="I2971" s="260">
        <v>2760.0</v>
      </c>
      <c r="J2971" s="518">
        <v>21.0</v>
      </c>
      <c r="K2971" s="507">
        <v>285.0</v>
      </c>
      <c r="L2971" s="507" t="s">
        <v>3619</v>
      </c>
      <c r="M2971" s="507">
        <v>3.0</v>
      </c>
      <c r="N2971" s="507">
        <v>3.0</v>
      </c>
      <c r="O2971" s="507">
        <v>2.0</v>
      </c>
      <c r="P2971" s="507" t="s">
        <v>166</v>
      </c>
      <c r="Q2971" s="507" t="s">
        <v>166</v>
      </c>
      <c r="R2971" s="507" t="s">
        <v>166</v>
      </c>
      <c r="S2971" s="507" t="s">
        <v>166</v>
      </c>
      <c r="T2971" s="509"/>
    </row>
    <row r="2972">
      <c r="A2972" s="494" t="s">
        <v>3401</v>
      </c>
      <c r="B2972" s="505" t="s">
        <v>4532</v>
      </c>
      <c r="C2972" s="282" t="str">
        <f t="shared" si="428"/>
        <v>Asus</v>
      </c>
      <c r="D2972" s="544" t="s">
        <v>3781</v>
      </c>
      <c r="E2972" s="507">
        <v>305.0</v>
      </c>
      <c r="F2972" s="507">
        <v>138.0</v>
      </c>
      <c r="G2972" s="507">
        <v>65.0</v>
      </c>
      <c r="H2972" s="260">
        <v>2.0</v>
      </c>
      <c r="I2972" s="260">
        <v>2760.0</v>
      </c>
      <c r="J2972" s="518">
        <v>21.0</v>
      </c>
      <c r="K2972" s="507">
        <v>285.0</v>
      </c>
      <c r="L2972" s="507" t="s">
        <v>3619</v>
      </c>
      <c r="M2972" s="507">
        <v>3.0</v>
      </c>
      <c r="N2972" s="507">
        <v>3.0</v>
      </c>
      <c r="O2972" s="507">
        <v>2.0</v>
      </c>
      <c r="P2972" s="507" t="s">
        <v>166</v>
      </c>
      <c r="Q2972" s="507" t="s">
        <v>166</v>
      </c>
      <c r="R2972" s="507" t="s">
        <v>166</v>
      </c>
      <c r="S2972" s="507" t="s">
        <v>166</v>
      </c>
      <c r="T2972" s="509"/>
    </row>
    <row r="2973">
      <c r="A2973" s="494" t="s">
        <v>3401</v>
      </c>
      <c r="B2973" s="505" t="s">
        <v>4532</v>
      </c>
      <c r="C2973" s="282" t="str">
        <f t="shared" si="428"/>
        <v>Asus</v>
      </c>
      <c r="D2973" s="544" t="s">
        <v>3631</v>
      </c>
      <c r="E2973" s="507">
        <v>336.0</v>
      </c>
      <c r="F2973" s="507">
        <v>150.0</v>
      </c>
      <c r="G2973" s="507">
        <v>63.0</v>
      </c>
      <c r="H2973" s="260">
        <v>2.0</v>
      </c>
      <c r="I2973" s="260">
        <v>2640.0</v>
      </c>
      <c r="J2973" s="518">
        <v>21.0</v>
      </c>
      <c r="K2973" s="507">
        <v>285.0</v>
      </c>
      <c r="L2973" s="507" t="s">
        <v>3619</v>
      </c>
      <c r="M2973" s="507">
        <v>3.0</v>
      </c>
      <c r="N2973" s="507">
        <v>3.0</v>
      </c>
      <c r="O2973" s="507">
        <v>2.0</v>
      </c>
      <c r="P2973" s="507" t="s">
        <v>166</v>
      </c>
      <c r="Q2973" s="507" t="s">
        <v>166</v>
      </c>
      <c r="R2973" s="507" t="s">
        <v>166</v>
      </c>
      <c r="S2973" s="507" t="s">
        <v>166</v>
      </c>
      <c r="T2973" s="509"/>
    </row>
    <row r="2974">
      <c r="A2974" s="494" t="s">
        <v>3401</v>
      </c>
      <c r="B2974" s="505" t="s">
        <v>4532</v>
      </c>
      <c r="C2974" s="282" t="str">
        <f t="shared" si="428"/>
        <v>Asus</v>
      </c>
      <c r="D2974" s="544" t="s">
        <v>3643</v>
      </c>
      <c r="E2974" s="507">
        <v>336.0</v>
      </c>
      <c r="F2974" s="507">
        <v>150.0</v>
      </c>
      <c r="G2974" s="507">
        <v>63.0</v>
      </c>
      <c r="H2974" s="260">
        <v>2.0</v>
      </c>
      <c r="I2974" s="260">
        <v>2790.0</v>
      </c>
      <c r="J2974" s="518">
        <v>21.0</v>
      </c>
      <c r="K2974" s="507">
        <v>285.0</v>
      </c>
      <c r="L2974" s="507" t="s">
        <v>3619</v>
      </c>
      <c r="M2974" s="507">
        <v>3.0</v>
      </c>
      <c r="N2974" s="507">
        <v>3.0</v>
      </c>
      <c r="O2974" s="507">
        <v>2.0</v>
      </c>
      <c r="P2974" s="507" t="s">
        <v>166</v>
      </c>
      <c r="Q2974" s="507" t="s">
        <v>166</v>
      </c>
      <c r="R2974" s="507" t="s">
        <v>166</v>
      </c>
      <c r="S2974" s="507" t="s">
        <v>166</v>
      </c>
      <c r="T2974" s="509"/>
    </row>
    <row r="2975">
      <c r="A2975" s="494" t="s">
        <v>3401</v>
      </c>
      <c r="B2975" s="505" t="s">
        <v>4532</v>
      </c>
      <c r="C2975" s="452" t="s">
        <v>3575</v>
      </c>
      <c r="D2975" s="544" t="s">
        <v>4071</v>
      </c>
      <c r="E2975" s="507">
        <f>326.5-12</f>
        <v>314.5</v>
      </c>
      <c r="F2975" s="507">
        <f t="shared" ref="F2975:F2976" si="429">149.7-15</f>
        <v>134.7</v>
      </c>
      <c r="G2975" s="507">
        <v>60.2</v>
      </c>
      <c r="H2975" s="260">
        <v>2.0</v>
      </c>
      <c r="I2975" s="260">
        <v>2610.0</v>
      </c>
      <c r="J2975" s="518">
        <v>21.0</v>
      </c>
      <c r="K2975" s="507">
        <v>285.0</v>
      </c>
      <c r="L2975" s="507" t="s">
        <v>3619</v>
      </c>
      <c r="M2975" s="507">
        <v>3.0</v>
      </c>
      <c r="N2975" s="507">
        <v>3.0</v>
      </c>
      <c r="O2975" s="507">
        <v>1.0</v>
      </c>
      <c r="P2975" s="507" t="s">
        <v>166</v>
      </c>
      <c r="Q2975" s="507" t="s">
        <v>166</v>
      </c>
      <c r="R2975" s="507" t="s">
        <v>166</v>
      </c>
      <c r="S2975" s="507" t="s">
        <v>166</v>
      </c>
      <c r="T2975" s="509"/>
    </row>
    <row r="2976">
      <c r="A2976" s="494" t="s">
        <v>3401</v>
      </c>
      <c r="B2976" s="505" t="s">
        <v>4532</v>
      </c>
      <c r="C2976" s="452" t="s">
        <v>3575</v>
      </c>
      <c r="D2976" s="544" t="s">
        <v>4087</v>
      </c>
      <c r="E2976" s="507">
        <f>334.5-12</f>
        <v>322.5</v>
      </c>
      <c r="F2976" s="507">
        <f t="shared" si="429"/>
        <v>134.7</v>
      </c>
      <c r="G2976" s="507">
        <v>60.2</v>
      </c>
      <c r="H2976" s="260">
        <v>2.0</v>
      </c>
      <c r="I2976" s="260">
        <v>2745.0</v>
      </c>
      <c r="J2976" s="518">
        <v>21.0</v>
      </c>
      <c r="K2976" s="507">
        <v>285.0</v>
      </c>
      <c r="L2976" s="507" t="s">
        <v>3619</v>
      </c>
      <c r="M2976" s="507">
        <v>3.0</v>
      </c>
      <c r="N2976" s="507">
        <v>3.0</v>
      </c>
      <c r="O2976" s="507">
        <v>1.0</v>
      </c>
      <c r="P2976" s="507" t="s">
        <v>166</v>
      </c>
      <c r="Q2976" s="507" t="s">
        <v>166</v>
      </c>
      <c r="R2976" s="507" t="s">
        <v>166</v>
      </c>
      <c r="S2976" s="507" t="s">
        <v>166</v>
      </c>
      <c r="T2976" s="509"/>
    </row>
    <row r="2977">
      <c r="A2977" s="494" t="s">
        <v>3401</v>
      </c>
      <c r="B2977" s="505" t="s">
        <v>4532</v>
      </c>
      <c r="C2977" s="452" t="s">
        <v>3575</v>
      </c>
      <c r="D2977" s="544" t="s">
        <v>3889</v>
      </c>
      <c r="E2977" s="507">
        <f>344-12</f>
        <v>332</v>
      </c>
      <c r="F2977" s="507">
        <f>150.2-15</f>
        <v>135.2</v>
      </c>
      <c r="G2977" s="507">
        <v>60.0</v>
      </c>
      <c r="H2977" s="260">
        <v>2.0</v>
      </c>
      <c r="I2977" s="260">
        <v>2760.0</v>
      </c>
      <c r="J2977" s="518">
        <v>21.0</v>
      </c>
      <c r="K2977" s="507">
        <v>310.0</v>
      </c>
      <c r="L2977" s="507" t="s">
        <v>3619</v>
      </c>
      <c r="M2977" s="507">
        <v>3.0</v>
      </c>
      <c r="N2977" s="507">
        <v>3.0</v>
      </c>
      <c r="O2977" s="507">
        <v>1.0</v>
      </c>
      <c r="P2977" s="507" t="s">
        <v>166</v>
      </c>
      <c r="Q2977" s="507" t="s">
        <v>166</v>
      </c>
      <c r="R2977" s="507" t="s">
        <v>166</v>
      </c>
      <c r="S2977" s="507" t="s">
        <v>166</v>
      </c>
      <c r="T2977" s="509"/>
    </row>
    <row r="2978">
      <c r="A2978" s="494" t="s">
        <v>3401</v>
      </c>
      <c r="B2978" s="505" t="s">
        <v>4532</v>
      </c>
      <c r="C2978" s="452" t="s">
        <v>3575</v>
      </c>
      <c r="D2978" s="544" t="s">
        <v>3943</v>
      </c>
      <c r="E2978" s="507">
        <f>348.5-12</f>
        <v>336.5</v>
      </c>
      <c r="F2978" s="507">
        <f>159.5-15</f>
        <v>144.5</v>
      </c>
      <c r="G2978" s="507">
        <v>60.5</v>
      </c>
      <c r="H2978" s="260">
        <v>2.0</v>
      </c>
      <c r="I2978" s="260">
        <v>2775.0</v>
      </c>
      <c r="J2978" s="518">
        <v>21.0</v>
      </c>
      <c r="K2978" s="507">
        <v>310.0</v>
      </c>
      <c r="L2978" s="507" t="s">
        <v>3619</v>
      </c>
      <c r="M2978" s="507">
        <v>3.0</v>
      </c>
      <c r="N2978" s="507">
        <v>3.0</v>
      </c>
      <c r="O2978" s="507">
        <v>1.0</v>
      </c>
      <c r="P2978" s="507" t="s">
        <v>166</v>
      </c>
      <c r="Q2978" s="507" t="s">
        <v>166</v>
      </c>
      <c r="R2978" s="507" t="s">
        <v>166</v>
      </c>
      <c r="S2978" s="507" t="s">
        <v>166</v>
      </c>
      <c r="T2978" s="509"/>
    </row>
    <row r="2979">
      <c r="A2979" s="494" t="s">
        <v>3401</v>
      </c>
      <c r="B2979" s="505" t="s">
        <v>4532</v>
      </c>
      <c r="C2979" s="452" t="s">
        <v>3575</v>
      </c>
      <c r="D2979" s="544" t="s">
        <v>3970</v>
      </c>
      <c r="E2979" s="507">
        <f>253.5-12</f>
        <v>241.5</v>
      </c>
      <c r="F2979" s="507">
        <f>170.8-15</f>
        <v>155.8</v>
      </c>
      <c r="G2979" s="507">
        <v>41.5</v>
      </c>
      <c r="H2979" s="260">
        <v>2.0</v>
      </c>
      <c r="I2979" s="260">
        <v>2790.0</v>
      </c>
      <c r="J2979" s="518">
        <v>21.0</v>
      </c>
      <c r="K2979" s="507">
        <v>320.0</v>
      </c>
      <c r="L2979" s="507" t="s">
        <v>3619</v>
      </c>
      <c r="M2979" s="507" t="s">
        <v>166</v>
      </c>
      <c r="N2979" s="507">
        <v>3.0</v>
      </c>
      <c r="O2979" s="507">
        <v>1.0</v>
      </c>
      <c r="P2979" s="507" t="s">
        <v>166</v>
      </c>
      <c r="Q2979" s="507" t="s">
        <v>166</v>
      </c>
      <c r="R2979" s="507" t="s">
        <v>174</v>
      </c>
      <c r="S2979" s="507" t="s">
        <v>166</v>
      </c>
      <c r="T2979" s="509"/>
    </row>
    <row r="2980">
      <c r="A2980" s="494" t="s">
        <v>3401</v>
      </c>
      <c r="B2980" s="505" t="s">
        <v>4532</v>
      </c>
      <c r="C2980" s="452" t="str">
        <f t="shared" ref="C2980:C2992" si="430">HYPERLINK("http://www.gainward.com/main/index.php?lang=en","Gainward")</f>
        <v>Gainward</v>
      </c>
      <c r="D2980" s="544" t="s">
        <v>3592</v>
      </c>
      <c r="E2980" s="507">
        <v>315.0</v>
      </c>
      <c r="F2980" s="507">
        <v>122.0</v>
      </c>
      <c r="G2980" s="507">
        <v>59.0</v>
      </c>
      <c r="H2980" s="260">
        <v>3.0</v>
      </c>
      <c r="I2980" s="260">
        <v>2610.0</v>
      </c>
      <c r="J2980" s="518">
        <v>21.0</v>
      </c>
      <c r="K2980" s="507">
        <v>285.0</v>
      </c>
      <c r="L2980" s="507" t="s">
        <v>3619</v>
      </c>
      <c r="M2980" s="507">
        <v>3.0</v>
      </c>
      <c r="N2980" s="507">
        <v>3.0</v>
      </c>
      <c r="O2980" s="507">
        <v>1.0</v>
      </c>
      <c r="P2980" s="507" t="s">
        <v>166</v>
      </c>
      <c r="Q2980" s="507" t="s">
        <v>166</v>
      </c>
      <c r="R2980" s="507" t="s">
        <v>166</v>
      </c>
      <c r="S2980" s="507" t="s">
        <v>166</v>
      </c>
      <c r="T2980" s="509"/>
    </row>
    <row r="2981">
      <c r="A2981" s="494" t="s">
        <v>3401</v>
      </c>
      <c r="B2981" s="505" t="s">
        <v>4532</v>
      </c>
      <c r="C2981" s="452" t="str">
        <f t="shared" si="430"/>
        <v>Gainward</v>
      </c>
      <c r="D2981" s="544" t="s">
        <v>4533</v>
      </c>
      <c r="E2981" s="507">
        <v>315.0</v>
      </c>
      <c r="F2981" s="507">
        <v>122.0</v>
      </c>
      <c r="G2981" s="507">
        <v>59.0</v>
      </c>
      <c r="H2981" s="260">
        <v>3.0</v>
      </c>
      <c r="I2981" s="260">
        <v>2655.0</v>
      </c>
      <c r="J2981" s="518">
        <v>21.0</v>
      </c>
      <c r="K2981" s="507">
        <v>285.0</v>
      </c>
      <c r="L2981" s="507" t="s">
        <v>3619</v>
      </c>
      <c r="M2981" s="507">
        <v>3.0</v>
      </c>
      <c r="N2981" s="507">
        <v>3.0</v>
      </c>
      <c r="O2981" s="507">
        <v>1.0</v>
      </c>
      <c r="P2981" s="507" t="s">
        <v>166</v>
      </c>
      <c r="Q2981" s="507" t="s">
        <v>166</v>
      </c>
      <c r="R2981" s="507" t="s">
        <v>166</v>
      </c>
      <c r="S2981" s="507" t="s">
        <v>166</v>
      </c>
      <c r="T2981" s="509"/>
    </row>
    <row r="2982">
      <c r="A2982" s="494" t="s">
        <v>3401</v>
      </c>
      <c r="B2982" s="505" t="s">
        <v>4532</v>
      </c>
      <c r="C2982" s="452" t="str">
        <f t="shared" si="430"/>
        <v>Gainward</v>
      </c>
      <c r="D2982" s="544" t="s">
        <v>4508</v>
      </c>
      <c r="E2982" s="507">
        <v>317.0</v>
      </c>
      <c r="F2982" s="507">
        <v>123.0</v>
      </c>
      <c r="G2982" s="507">
        <v>64.0</v>
      </c>
      <c r="H2982" s="260">
        <v>3.0</v>
      </c>
      <c r="I2982" s="260">
        <v>2610.0</v>
      </c>
      <c r="J2982" s="518">
        <v>21.0</v>
      </c>
      <c r="K2982" s="507">
        <v>285.0</v>
      </c>
      <c r="L2982" s="507" t="s">
        <v>3619</v>
      </c>
      <c r="M2982" s="507">
        <v>3.0</v>
      </c>
      <c r="N2982" s="507">
        <v>3.0</v>
      </c>
      <c r="O2982" s="507">
        <v>1.0</v>
      </c>
      <c r="P2982" s="507" t="s">
        <v>166</v>
      </c>
      <c r="Q2982" s="507" t="s">
        <v>166</v>
      </c>
      <c r="R2982" s="507" t="s">
        <v>166</v>
      </c>
      <c r="S2982" s="507" t="s">
        <v>166</v>
      </c>
      <c r="T2982" s="509"/>
    </row>
    <row r="2983">
      <c r="A2983" s="494" t="s">
        <v>3401</v>
      </c>
      <c r="B2983" s="505" t="s">
        <v>4532</v>
      </c>
      <c r="C2983" s="452" t="str">
        <f t="shared" si="430"/>
        <v>Gainward</v>
      </c>
      <c r="D2983" s="544" t="s">
        <v>4485</v>
      </c>
      <c r="E2983" s="507">
        <v>317.0</v>
      </c>
      <c r="F2983" s="507">
        <v>123.0</v>
      </c>
      <c r="G2983" s="507">
        <v>64.0</v>
      </c>
      <c r="H2983" s="260">
        <v>3.0</v>
      </c>
      <c r="I2983" s="260">
        <v>2685.0</v>
      </c>
      <c r="J2983" s="518">
        <v>21.0</v>
      </c>
      <c r="K2983" s="507">
        <v>285.0</v>
      </c>
      <c r="L2983" s="507" t="s">
        <v>3619</v>
      </c>
      <c r="M2983" s="507">
        <v>3.0</v>
      </c>
      <c r="N2983" s="507">
        <v>3.0</v>
      </c>
      <c r="O2983" s="507">
        <v>1.0</v>
      </c>
      <c r="P2983" s="507" t="s">
        <v>166</v>
      </c>
      <c r="Q2983" s="507" t="s">
        <v>166</v>
      </c>
      <c r="R2983" s="507" t="s">
        <v>166</v>
      </c>
      <c r="S2983" s="507" t="s">
        <v>166</v>
      </c>
      <c r="T2983" s="509"/>
    </row>
    <row r="2984">
      <c r="A2984" s="494" t="s">
        <v>3401</v>
      </c>
      <c r="B2984" s="505" t="s">
        <v>4532</v>
      </c>
      <c r="C2984" s="452" t="str">
        <f t="shared" si="430"/>
        <v>Gainward</v>
      </c>
      <c r="D2984" s="544" t="s">
        <v>4457</v>
      </c>
      <c r="E2984" s="507">
        <v>317.0</v>
      </c>
      <c r="F2984" s="507">
        <v>123.0</v>
      </c>
      <c r="G2984" s="507">
        <v>64.0</v>
      </c>
      <c r="H2984" s="260">
        <v>3.0</v>
      </c>
      <c r="I2984" s="260">
        <v>2610.0</v>
      </c>
      <c r="J2984" s="518">
        <v>21.0</v>
      </c>
      <c r="K2984" s="507">
        <v>285.0</v>
      </c>
      <c r="L2984" s="507" t="s">
        <v>3619</v>
      </c>
      <c r="M2984" s="507">
        <v>3.0</v>
      </c>
      <c r="N2984" s="507">
        <v>3.0</v>
      </c>
      <c r="O2984" s="507">
        <v>1.0</v>
      </c>
      <c r="P2984" s="507" t="s">
        <v>166</v>
      </c>
      <c r="Q2984" s="507" t="s">
        <v>166</v>
      </c>
      <c r="R2984" s="507" t="s">
        <v>166</v>
      </c>
      <c r="S2984" s="507" t="s">
        <v>166</v>
      </c>
      <c r="T2984" s="509"/>
    </row>
    <row r="2985">
      <c r="A2985" s="494" t="s">
        <v>3401</v>
      </c>
      <c r="B2985" s="505" t="s">
        <v>4532</v>
      </c>
      <c r="C2985" s="452" t="str">
        <f t="shared" si="430"/>
        <v>Gainward</v>
      </c>
      <c r="D2985" s="544" t="s">
        <v>4458</v>
      </c>
      <c r="E2985" s="507">
        <v>317.0</v>
      </c>
      <c r="F2985" s="507">
        <v>123.0</v>
      </c>
      <c r="G2985" s="507">
        <v>64.0</v>
      </c>
      <c r="H2985" s="260">
        <v>3.0</v>
      </c>
      <c r="I2985" s="260">
        <v>2685.0</v>
      </c>
      <c r="J2985" s="518">
        <v>21.0</v>
      </c>
      <c r="K2985" s="507">
        <v>285.0</v>
      </c>
      <c r="L2985" s="507" t="s">
        <v>3619</v>
      </c>
      <c r="M2985" s="507">
        <v>3.0</v>
      </c>
      <c r="N2985" s="507">
        <v>3.0</v>
      </c>
      <c r="O2985" s="507">
        <v>1.0</v>
      </c>
      <c r="P2985" s="507" t="s">
        <v>166</v>
      </c>
      <c r="Q2985" s="507" t="s">
        <v>166</v>
      </c>
      <c r="R2985" s="507" t="s">
        <v>166</v>
      </c>
      <c r="S2985" s="507" t="s">
        <v>166</v>
      </c>
      <c r="T2985" s="509"/>
    </row>
    <row r="2986">
      <c r="A2986" s="494" t="s">
        <v>3401</v>
      </c>
      <c r="B2986" s="505" t="s">
        <v>4532</v>
      </c>
      <c r="C2986" s="452" t="str">
        <f t="shared" si="430"/>
        <v>Gainward</v>
      </c>
      <c r="D2986" s="544" t="s">
        <v>4534</v>
      </c>
      <c r="E2986" s="507">
        <v>328.9</v>
      </c>
      <c r="F2986" s="507">
        <v>128.0</v>
      </c>
      <c r="G2986" s="507">
        <v>63.5</v>
      </c>
      <c r="H2986" s="260">
        <v>2.0</v>
      </c>
      <c r="I2986" s="260">
        <v>2610.0</v>
      </c>
      <c r="J2986" s="518">
        <v>21.0</v>
      </c>
      <c r="K2986" s="507">
        <v>285.0</v>
      </c>
      <c r="L2986" s="507" t="s">
        <v>3619</v>
      </c>
      <c r="M2986" s="507">
        <v>3.0</v>
      </c>
      <c r="N2986" s="507">
        <v>3.0</v>
      </c>
      <c r="O2986" s="507">
        <v>1.0</v>
      </c>
      <c r="P2986" s="507" t="s">
        <v>166</v>
      </c>
      <c r="Q2986" s="507" t="s">
        <v>166</v>
      </c>
      <c r="R2986" s="507" t="s">
        <v>166</v>
      </c>
      <c r="S2986" s="507" t="s">
        <v>166</v>
      </c>
      <c r="T2986" s="509"/>
    </row>
    <row r="2987">
      <c r="A2987" s="494" t="s">
        <v>3401</v>
      </c>
      <c r="B2987" s="505" t="s">
        <v>4532</v>
      </c>
      <c r="C2987" s="452" t="str">
        <f t="shared" si="430"/>
        <v>Gainward</v>
      </c>
      <c r="D2987" s="544" t="s">
        <v>3371</v>
      </c>
      <c r="E2987" s="507">
        <v>328.9</v>
      </c>
      <c r="F2987" s="507">
        <v>131.1</v>
      </c>
      <c r="G2987" s="507">
        <v>63.6</v>
      </c>
      <c r="H2987" s="260">
        <v>2.0</v>
      </c>
      <c r="I2987" s="260">
        <v>2610.0</v>
      </c>
      <c r="J2987" s="518">
        <v>21.0</v>
      </c>
      <c r="K2987" s="507">
        <v>285.0</v>
      </c>
      <c r="L2987" s="507" t="s">
        <v>3619</v>
      </c>
      <c r="M2987" s="507">
        <v>3.0</v>
      </c>
      <c r="N2987" s="507">
        <v>3.0</v>
      </c>
      <c r="O2987" s="507">
        <v>1.0</v>
      </c>
      <c r="P2987" s="507" t="s">
        <v>166</v>
      </c>
      <c r="Q2987" s="507" t="s">
        <v>166</v>
      </c>
      <c r="R2987" s="507" t="s">
        <v>166</v>
      </c>
      <c r="S2987" s="507" t="s">
        <v>166</v>
      </c>
      <c r="T2987" s="509"/>
    </row>
    <row r="2988">
      <c r="A2988" s="494" t="s">
        <v>3401</v>
      </c>
      <c r="B2988" s="505" t="s">
        <v>4532</v>
      </c>
      <c r="C2988" s="452" t="str">
        <f t="shared" si="430"/>
        <v>Gainward</v>
      </c>
      <c r="D2988" s="544" t="s">
        <v>4413</v>
      </c>
      <c r="E2988" s="507">
        <v>328.9</v>
      </c>
      <c r="F2988" s="507">
        <v>131.1</v>
      </c>
      <c r="G2988" s="507">
        <v>63.6</v>
      </c>
      <c r="H2988" s="260">
        <v>2.0</v>
      </c>
      <c r="I2988" s="260">
        <v>2760.0</v>
      </c>
      <c r="J2988" s="518">
        <v>21.0</v>
      </c>
      <c r="K2988" s="507">
        <v>285.0</v>
      </c>
      <c r="L2988" s="507" t="s">
        <v>3619</v>
      </c>
      <c r="M2988" s="507">
        <v>3.0</v>
      </c>
      <c r="N2988" s="507">
        <v>3.0</v>
      </c>
      <c r="O2988" s="507">
        <v>1.0</v>
      </c>
      <c r="P2988" s="507" t="s">
        <v>166</v>
      </c>
      <c r="Q2988" s="507" t="s">
        <v>166</v>
      </c>
      <c r="R2988" s="507" t="s">
        <v>166</v>
      </c>
      <c r="S2988" s="507" t="s">
        <v>166</v>
      </c>
      <c r="T2988" s="509"/>
    </row>
    <row r="2989">
      <c r="A2989" s="494" t="s">
        <v>3401</v>
      </c>
      <c r="B2989" s="505" t="s">
        <v>4532</v>
      </c>
      <c r="C2989" s="452" t="str">
        <f t="shared" si="430"/>
        <v>Gainward</v>
      </c>
      <c r="D2989" s="544" t="s">
        <v>4535</v>
      </c>
      <c r="E2989" s="507">
        <v>313.9</v>
      </c>
      <c r="F2989" s="507">
        <v>137.0</v>
      </c>
      <c r="G2989" s="507">
        <v>59.7</v>
      </c>
      <c r="H2989" s="260">
        <v>2.0</v>
      </c>
      <c r="I2989" s="260">
        <v>2610.0</v>
      </c>
      <c r="J2989" s="518">
        <v>21.0</v>
      </c>
      <c r="K2989" s="507">
        <v>285.0</v>
      </c>
      <c r="L2989" s="507" t="s">
        <v>3619</v>
      </c>
      <c r="M2989" s="507">
        <v>3.0</v>
      </c>
      <c r="N2989" s="507">
        <v>3.0</v>
      </c>
      <c r="O2989" s="507">
        <v>1.0</v>
      </c>
      <c r="P2989" s="507" t="s">
        <v>166</v>
      </c>
      <c r="Q2989" s="507" t="s">
        <v>166</v>
      </c>
      <c r="R2989" s="507" t="s">
        <v>166</v>
      </c>
      <c r="S2989" s="507" t="s">
        <v>166</v>
      </c>
      <c r="T2989" s="509"/>
    </row>
    <row r="2990">
      <c r="A2990" s="494" t="s">
        <v>3401</v>
      </c>
      <c r="B2990" s="505" t="s">
        <v>4532</v>
      </c>
      <c r="C2990" s="452" t="str">
        <f t="shared" si="430"/>
        <v>Gainward</v>
      </c>
      <c r="D2990" s="544" t="s">
        <v>4536</v>
      </c>
      <c r="E2990" s="507">
        <v>313.9</v>
      </c>
      <c r="F2990" s="507">
        <v>137.0</v>
      </c>
      <c r="G2990" s="507">
        <v>59.7</v>
      </c>
      <c r="H2990" s="260">
        <v>2.0</v>
      </c>
      <c r="I2990" s="260">
        <v>2760.0</v>
      </c>
      <c r="J2990" s="518">
        <v>21.0</v>
      </c>
      <c r="K2990" s="507">
        <v>285.0</v>
      </c>
      <c r="L2990" s="507" t="s">
        <v>3619</v>
      </c>
      <c r="M2990" s="507">
        <v>3.0</v>
      </c>
      <c r="N2990" s="507">
        <v>3.0</v>
      </c>
      <c r="O2990" s="507">
        <v>1.0</v>
      </c>
      <c r="P2990" s="507" t="s">
        <v>166</v>
      </c>
      <c r="Q2990" s="507" t="s">
        <v>166</v>
      </c>
      <c r="R2990" s="507" t="s">
        <v>166</v>
      </c>
      <c r="S2990" s="507" t="s">
        <v>166</v>
      </c>
      <c r="T2990" s="509"/>
    </row>
    <row r="2991">
      <c r="A2991" s="494" t="s">
        <v>3401</v>
      </c>
      <c r="B2991" s="505" t="s">
        <v>4532</v>
      </c>
      <c r="C2991" s="452" t="str">
        <f t="shared" si="430"/>
        <v>Gainward</v>
      </c>
      <c r="D2991" s="544" t="s">
        <v>3953</v>
      </c>
      <c r="E2991" s="507">
        <v>328.9</v>
      </c>
      <c r="F2991" s="507">
        <v>141.1</v>
      </c>
      <c r="G2991" s="507">
        <v>62.5</v>
      </c>
      <c r="H2991" s="260">
        <v>2.0</v>
      </c>
      <c r="I2991" s="260">
        <v>2610.0</v>
      </c>
      <c r="J2991" s="518">
        <v>21.0</v>
      </c>
      <c r="K2991" s="507">
        <v>285.0</v>
      </c>
      <c r="L2991" s="507" t="s">
        <v>3619</v>
      </c>
      <c r="M2991" s="507">
        <v>3.0</v>
      </c>
      <c r="N2991" s="507">
        <v>3.0</v>
      </c>
      <c r="O2991" s="507">
        <v>1.0</v>
      </c>
      <c r="P2991" s="507" t="s">
        <v>166</v>
      </c>
      <c r="Q2991" s="507" t="s">
        <v>166</v>
      </c>
      <c r="R2991" s="507" t="s">
        <v>166</v>
      </c>
      <c r="S2991" s="507" t="s">
        <v>166</v>
      </c>
      <c r="T2991" s="509"/>
    </row>
    <row r="2992">
      <c r="A2992" s="494" t="s">
        <v>3401</v>
      </c>
      <c r="B2992" s="505" t="s">
        <v>4532</v>
      </c>
      <c r="C2992" s="452" t="str">
        <f t="shared" si="430"/>
        <v>Gainward</v>
      </c>
      <c r="D2992" s="544" t="s">
        <v>4537</v>
      </c>
      <c r="E2992" s="507">
        <v>328.9</v>
      </c>
      <c r="F2992" s="507">
        <v>141.1</v>
      </c>
      <c r="G2992" s="507">
        <v>62.5</v>
      </c>
      <c r="H2992" s="260">
        <v>2.0</v>
      </c>
      <c r="I2992" s="260">
        <v>2775.0</v>
      </c>
      <c r="J2992" s="518">
        <v>21.0</v>
      </c>
      <c r="K2992" s="507">
        <v>285.0</v>
      </c>
      <c r="L2992" s="507" t="s">
        <v>3619</v>
      </c>
      <c r="M2992" s="507">
        <v>3.0</v>
      </c>
      <c r="N2992" s="507">
        <v>3.0</v>
      </c>
      <c r="O2992" s="507">
        <v>1.0</v>
      </c>
      <c r="P2992" s="507" t="s">
        <v>166</v>
      </c>
      <c r="Q2992" s="507" t="s">
        <v>166</v>
      </c>
      <c r="R2992" s="507" t="s">
        <v>166</v>
      </c>
      <c r="S2992" s="507" t="s">
        <v>166</v>
      </c>
      <c r="T2992" s="509"/>
    </row>
    <row r="2993">
      <c r="A2993" s="494" t="s">
        <v>3401</v>
      </c>
      <c r="B2993" s="505" t="s">
        <v>4532</v>
      </c>
      <c r="C2993" s="454" t="s">
        <v>3456</v>
      </c>
      <c r="D2993" s="544" t="s">
        <v>4200</v>
      </c>
      <c r="E2993" s="507">
        <v>321.0</v>
      </c>
      <c r="F2993" s="507">
        <v>125.0</v>
      </c>
      <c r="G2993" s="507">
        <v>61.0</v>
      </c>
      <c r="H2993" s="260">
        <v>3.0</v>
      </c>
      <c r="I2993" s="260">
        <v>2610.0</v>
      </c>
      <c r="J2993" s="518">
        <v>21.0</v>
      </c>
      <c r="K2993" s="507">
        <v>285.0</v>
      </c>
      <c r="L2993" s="507" t="s">
        <v>3619</v>
      </c>
      <c r="M2993" s="507">
        <v>3.0</v>
      </c>
      <c r="N2993" s="507">
        <v>3.0</v>
      </c>
      <c r="O2993" s="507">
        <v>1.0</v>
      </c>
      <c r="P2993" s="507" t="s">
        <v>166</v>
      </c>
      <c r="Q2993" s="507" t="s">
        <v>166</v>
      </c>
      <c r="R2993" s="507" t="s">
        <v>166</v>
      </c>
      <c r="S2993" s="507" t="s">
        <v>166</v>
      </c>
      <c r="T2993" s="509"/>
    </row>
    <row r="2994">
      <c r="A2994" s="494" t="s">
        <v>3401</v>
      </c>
      <c r="B2994" s="505" t="s">
        <v>4532</v>
      </c>
      <c r="C2994" s="454" t="s">
        <v>3456</v>
      </c>
      <c r="D2994" s="544" t="s">
        <v>4202</v>
      </c>
      <c r="E2994" s="507">
        <v>321.0</v>
      </c>
      <c r="F2994" s="507">
        <v>125.0</v>
      </c>
      <c r="G2994" s="507">
        <v>61.0</v>
      </c>
      <c r="H2994" s="260">
        <v>3.0</v>
      </c>
      <c r="I2994" s="260">
        <v>2640.0</v>
      </c>
      <c r="J2994" s="518">
        <v>21.0</v>
      </c>
      <c r="K2994" s="507">
        <v>285.0</v>
      </c>
      <c r="L2994" s="507" t="s">
        <v>3619</v>
      </c>
      <c r="M2994" s="507">
        <v>3.0</v>
      </c>
      <c r="N2994" s="507">
        <v>3.0</v>
      </c>
      <c r="O2994" s="507">
        <v>1.0</v>
      </c>
      <c r="P2994" s="507" t="s">
        <v>166</v>
      </c>
      <c r="Q2994" s="507" t="s">
        <v>166</v>
      </c>
      <c r="R2994" s="507" t="s">
        <v>166</v>
      </c>
      <c r="S2994" s="507" t="s">
        <v>166</v>
      </c>
      <c r="T2994" s="509"/>
    </row>
    <row r="2995">
      <c r="A2995" s="494" t="s">
        <v>3401</v>
      </c>
      <c r="B2995" s="505" t="s">
        <v>4532</v>
      </c>
      <c r="C2995" s="454" t="s">
        <v>3456</v>
      </c>
      <c r="D2995" s="544" t="s">
        <v>4204</v>
      </c>
      <c r="E2995" s="507">
        <v>311.0</v>
      </c>
      <c r="F2995" s="507">
        <v>125.0</v>
      </c>
      <c r="G2995" s="507">
        <v>60.0</v>
      </c>
      <c r="H2995" s="260">
        <v>3.0</v>
      </c>
      <c r="I2995" s="260">
        <v>2610.0</v>
      </c>
      <c r="J2995" s="518">
        <v>21.0</v>
      </c>
      <c r="K2995" s="507">
        <v>285.0</v>
      </c>
      <c r="L2995" s="507" t="s">
        <v>3619</v>
      </c>
      <c r="M2995" s="507">
        <v>3.0</v>
      </c>
      <c r="N2995" s="507">
        <v>3.0</v>
      </c>
      <c r="O2995" s="507">
        <v>1.0</v>
      </c>
      <c r="P2995" s="507" t="s">
        <v>166</v>
      </c>
      <c r="Q2995" s="507" t="s">
        <v>166</v>
      </c>
      <c r="R2995" s="507" t="s">
        <v>166</v>
      </c>
      <c r="S2995" s="507" t="s">
        <v>166</v>
      </c>
      <c r="T2995" s="509"/>
    </row>
    <row r="2996">
      <c r="A2996" s="494" t="s">
        <v>3401</v>
      </c>
      <c r="B2996" s="505" t="s">
        <v>4532</v>
      </c>
      <c r="C2996" s="454" t="s">
        <v>3456</v>
      </c>
      <c r="D2996" s="544" t="s">
        <v>4206</v>
      </c>
      <c r="E2996" s="507">
        <v>311.0</v>
      </c>
      <c r="F2996" s="507">
        <v>125.0</v>
      </c>
      <c r="G2996" s="507">
        <v>60.0</v>
      </c>
      <c r="H2996" s="260">
        <v>3.0</v>
      </c>
      <c r="I2996" s="260">
        <v>2655.0</v>
      </c>
      <c r="J2996" s="518">
        <v>21.0</v>
      </c>
      <c r="K2996" s="507">
        <v>285.0</v>
      </c>
      <c r="L2996" s="507" t="s">
        <v>3619</v>
      </c>
      <c r="M2996" s="507">
        <v>3.0</v>
      </c>
      <c r="N2996" s="507">
        <v>3.0</v>
      </c>
      <c r="O2996" s="507">
        <v>1.0</v>
      </c>
      <c r="P2996" s="507" t="s">
        <v>166</v>
      </c>
      <c r="Q2996" s="507" t="s">
        <v>166</v>
      </c>
      <c r="R2996" s="507" t="s">
        <v>166</v>
      </c>
      <c r="S2996" s="507" t="s">
        <v>166</v>
      </c>
      <c r="T2996" s="509"/>
    </row>
    <row r="2997">
      <c r="A2997" s="494" t="s">
        <v>3401</v>
      </c>
      <c r="B2997" s="505" t="s">
        <v>4532</v>
      </c>
      <c r="C2997" s="454" t="s">
        <v>3456</v>
      </c>
      <c r="D2997" s="544" t="s">
        <v>4257</v>
      </c>
      <c r="E2997" s="507">
        <v>340.0</v>
      </c>
      <c r="F2997" s="507">
        <v>138.0</v>
      </c>
      <c r="G2997" s="507">
        <v>60.0</v>
      </c>
      <c r="H2997" s="260">
        <v>3.0</v>
      </c>
      <c r="I2997" s="260">
        <v>2610.0</v>
      </c>
      <c r="J2997" s="518">
        <v>21.0</v>
      </c>
      <c r="K2997" s="507">
        <v>285.0</v>
      </c>
      <c r="L2997" s="507" t="s">
        <v>3619</v>
      </c>
      <c r="M2997" s="507">
        <v>3.0</v>
      </c>
      <c r="N2997" s="507">
        <v>3.0</v>
      </c>
      <c r="O2997" s="507">
        <v>1.0</v>
      </c>
      <c r="P2997" s="507" t="s">
        <v>166</v>
      </c>
      <c r="Q2997" s="507" t="s">
        <v>166</v>
      </c>
      <c r="R2997" s="507" t="s">
        <v>166</v>
      </c>
      <c r="S2997" s="507" t="s">
        <v>166</v>
      </c>
      <c r="T2997" s="509"/>
    </row>
    <row r="2998">
      <c r="A2998" s="494" t="s">
        <v>3401</v>
      </c>
      <c r="B2998" s="505" t="s">
        <v>4532</v>
      </c>
      <c r="C2998" s="454" t="s">
        <v>3456</v>
      </c>
      <c r="D2998" s="544" t="s">
        <v>4258</v>
      </c>
      <c r="E2998" s="507">
        <v>340.0</v>
      </c>
      <c r="F2998" s="507">
        <v>138.0</v>
      </c>
      <c r="G2998" s="507">
        <v>60.0</v>
      </c>
      <c r="H2998" s="260">
        <v>3.0</v>
      </c>
      <c r="I2998" s="260">
        <v>2685.0</v>
      </c>
      <c r="J2998" s="518">
        <v>21.0</v>
      </c>
      <c r="K2998" s="507">
        <v>285.0</v>
      </c>
      <c r="L2998" s="507" t="s">
        <v>3619</v>
      </c>
      <c r="M2998" s="507">
        <v>3.0</v>
      </c>
      <c r="N2998" s="507">
        <v>3.0</v>
      </c>
      <c r="O2998" s="507">
        <v>1.0</v>
      </c>
      <c r="P2998" s="507" t="s">
        <v>166</v>
      </c>
      <c r="Q2998" s="507" t="s">
        <v>166</v>
      </c>
      <c r="R2998" s="507" t="s">
        <v>166</v>
      </c>
      <c r="S2998" s="507" t="s">
        <v>166</v>
      </c>
      <c r="T2998" s="509"/>
    </row>
    <row r="2999">
      <c r="A2999" s="494" t="s">
        <v>3401</v>
      </c>
      <c r="B2999" s="505" t="s">
        <v>4532</v>
      </c>
      <c r="C2999" s="454" t="s">
        <v>3456</v>
      </c>
      <c r="D2999" s="544" t="s">
        <v>4538</v>
      </c>
      <c r="E2999" s="507">
        <v>344.0</v>
      </c>
      <c r="F2999" s="507">
        <v>144.0</v>
      </c>
      <c r="G2999" s="507">
        <v>77.0</v>
      </c>
      <c r="H2999" s="260">
        <v>3.0</v>
      </c>
      <c r="I2999" s="260">
        <v>2715.0</v>
      </c>
      <c r="J2999" s="518">
        <v>21.0</v>
      </c>
      <c r="K2999" s="507">
        <v>320.0</v>
      </c>
      <c r="L2999" s="507" t="s">
        <v>3619</v>
      </c>
      <c r="M2999" s="507">
        <v>3.0</v>
      </c>
      <c r="N2999" s="507">
        <v>3.0</v>
      </c>
      <c r="O2999" s="507">
        <v>1.0</v>
      </c>
      <c r="P2999" s="507" t="s">
        <v>166</v>
      </c>
      <c r="Q2999" s="507" t="s">
        <v>166</v>
      </c>
      <c r="R2999" s="507" t="s">
        <v>166</v>
      </c>
      <c r="S2999" s="507" t="s">
        <v>166</v>
      </c>
      <c r="T2999" s="509"/>
    </row>
    <row r="3000">
      <c r="A3000" s="494" t="s">
        <v>3401</v>
      </c>
      <c r="B3000" s="505" t="s">
        <v>4532</v>
      </c>
      <c r="C3000" s="454" t="s">
        <v>3456</v>
      </c>
      <c r="D3000" s="544" t="s">
        <v>4539</v>
      </c>
      <c r="E3000" s="507">
        <v>344.0</v>
      </c>
      <c r="F3000" s="507">
        <v>144.0</v>
      </c>
      <c r="G3000" s="507">
        <v>77.0</v>
      </c>
      <c r="H3000" s="260">
        <v>3.0</v>
      </c>
      <c r="I3000" s="260">
        <v>2760.0</v>
      </c>
      <c r="J3000" s="518">
        <v>21.0</v>
      </c>
      <c r="K3000" s="507">
        <v>320.0</v>
      </c>
      <c r="L3000" s="507" t="s">
        <v>3619</v>
      </c>
      <c r="M3000" s="507">
        <v>3.0</v>
      </c>
      <c r="N3000" s="507">
        <v>3.0</v>
      </c>
      <c r="O3000" s="507">
        <v>1.0</v>
      </c>
      <c r="P3000" s="507" t="s">
        <v>166</v>
      </c>
      <c r="Q3000" s="507" t="s">
        <v>166</v>
      </c>
      <c r="R3000" s="507" t="s">
        <v>166</v>
      </c>
      <c r="S3000" s="507" t="s">
        <v>166</v>
      </c>
      <c r="T3000" s="509"/>
    </row>
    <row r="3001">
      <c r="A3001" s="494" t="s">
        <v>3401</v>
      </c>
      <c r="B3001" s="505" t="s">
        <v>4532</v>
      </c>
      <c r="C3001" s="454" t="s">
        <v>3456</v>
      </c>
      <c r="D3001" s="544" t="s">
        <v>4540</v>
      </c>
      <c r="E3001" s="507">
        <v>320.0</v>
      </c>
      <c r="F3001" s="507">
        <v>133.0</v>
      </c>
      <c r="G3001" s="507">
        <v>62.0</v>
      </c>
      <c r="H3001" s="260">
        <v>3.0</v>
      </c>
      <c r="I3001" s="260">
        <v>2625.0</v>
      </c>
      <c r="J3001" s="518">
        <v>21.0</v>
      </c>
      <c r="K3001" s="507">
        <v>285.0</v>
      </c>
      <c r="L3001" s="507" t="s">
        <v>3619</v>
      </c>
      <c r="M3001" s="507">
        <v>3.0</v>
      </c>
      <c r="N3001" s="507">
        <v>3.0</v>
      </c>
      <c r="O3001" s="507">
        <v>1.0</v>
      </c>
      <c r="P3001" s="507" t="s">
        <v>166</v>
      </c>
      <c r="Q3001" s="507" t="s">
        <v>166</v>
      </c>
      <c r="R3001" s="507" t="s">
        <v>166</v>
      </c>
      <c r="S3001" s="507" t="s">
        <v>166</v>
      </c>
      <c r="T3001" s="509"/>
    </row>
    <row r="3002">
      <c r="A3002" s="494" t="s">
        <v>3401</v>
      </c>
      <c r="B3002" s="505" t="s">
        <v>4532</v>
      </c>
      <c r="C3002" s="454" t="s">
        <v>3456</v>
      </c>
      <c r="D3002" s="544" t="s">
        <v>4541</v>
      </c>
      <c r="E3002" s="507">
        <v>320.0</v>
      </c>
      <c r="F3002" s="507">
        <v>133.0</v>
      </c>
      <c r="G3002" s="507">
        <v>62.0</v>
      </c>
      <c r="H3002" s="260">
        <v>3.0</v>
      </c>
      <c r="I3002" s="260">
        <v>2685.0</v>
      </c>
      <c r="J3002" s="518">
        <v>21.0</v>
      </c>
      <c r="K3002" s="507">
        <v>285.0</v>
      </c>
      <c r="L3002" s="507" t="s">
        <v>3619</v>
      </c>
      <c r="M3002" s="507">
        <v>3.0</v>
      </c>
      <c r="N3002" s="507">
        <v>3.0</v>
      </c>
      <c r="O3002" s="507">
        <v>1.0</v>
      </c>
      <c r="P3002" s="507" t="s">
        <v>166</v>
      </c>
      <c r="Q3002" s="507" t="s">
        <v>166</v>
      </c>
      <c r="R3002" s="507" t="s">
        <v>166</v>
      </c>
      <c r="S3002" s="507" t="s">
        <v>166</v>
      </c>
      <c r="T3002" s="509"/>
    </row>
    <row r="3003">
      <c r="A3003" s="494" t="s">
        <v>3401</v>
      </c>
      <c r="B3003" s="505" t="s">
        <v>4532</v>
      </c>
      <c r="C3003" s="454" t="s">
        <v>3456</v>
      </c>
      <c r="D3003" s="544" t="s">
        <v>4542</v>
      </c>
      <c r="E3003" s="507">
        <v>320.0</v>
      </c>
      <c r="F3003" s="507">
        <v>133.0</v>
      </c>
      <c r="G3003" s="507">
        <v>62.0</v>
      </c>
      <c r="H3003" s="260">
        <v>3.0</v>
      </c>
      <c r="I3003" s="260">
        <v>2685.0</v>
      </c>
      <c r="J3003" s="518">
        <v>21.0</v>
      </c>
      <c r="K3003" s="507">
        <v>285.0</v>
      </c>
      <c r="L3003" s="507" t="s">
        <v>3619</v>
      </c>
      <c r="M3003" s="507">
        <v>3.0</v>
      </c>
      <c r="N3003" s="507">
        <v>3.0</v>
      </c>
      <c r="O3003" s="507">
        <v>1.0</v>
      </c>
      <c r="P3003" s="507" t="s">
        <v>166</v>
      </c>
      <c r="Q3003" s="507" t="s">
        <v>166</v>
      </c>
      <c r="R3003" s="507" t="s">
        <v>166</v>
      </c>
      <c r="S3003" s="507" t="s">
        <v>166</v>
      </c>
      <c r="T3003" s="509"/>
    </row>
    <row r="3004">
      <c r="A3004" s="494" t="s">
        <v>3401</v>
      </c>
      <c r="B3004" s="505" t="s">
        <v>4532</v>
      </c>
      <c r="C3004" s="454" t="s">
        <v>3456</v>
      </c>
      <c r="D3004" s="544" t="s">
        <v>4045</v>
      </c>
      <c r="E3004" s="507">
        <v>320.0</v>
      </c>
      <c r="F3004" s="507">
        <v>133.0</v>
      </c>
      <c r="G3004" s="507">
        <v>62.0</v>
      </c>
      <c r="H3004" s="260">
        <v>3.0</v>
      </c>
      <c r="I3004" s="260">
        <v>2625.0</v>
      </c>
      <c r="J3004" s="518">
        <v>21.0</v>
      </c>
      <c r="K3004" s="507">
        <v>285.0</v>
      </c>
      <c r="L3004" s="507" t="s">
        <v>3619</v>
      </c>
      <c r="M3004" s="507">
        <v>3.0</v>
      </c>
      <c r="N3004" s="507">
        <v>3.0</v>
      </c>
      <c r="O3004" s="507">
        <v>1.0</v>
      </c>
      <c r="P3004" s="507" t="s">
        <v>166</v>
      </c>
      <c r="Q3004" s="507" t="s">
        <v>166</v>
      </c>
      <c r="R3004" s="507" t="s">
        <v>166</v>
      </c>
      <c r="S3004" s="507" t="s">
        <v>166</v>
      </c>
      <c r="T3004" s="509"/>
    </row>
    <row r="3005">
      <c r="A3005" s="494" t="s">
        <v>3401</v>
      </c>
      <c r="B3005" s="505" t="s">
        <v>4532</v>
      </c>
      <c r="C3005" s="454" t="s">
        <v>3456</v>
      </c>
      <c r="D3005" s="544" t="s">
        <v>4543</v>
      </c>
      <c r="E3005" s="507">
        <v>323.0</v>
      </c>
      <c r="F3005" s="507">
        <v>131.0</v>
      </c>
      <c r="G3005" s="507">
        <v>60.0</v>
      </c>
      <c r="H3005" s="260">
        <v>3.0</v>
      </c>
      <c r="I3005" s="260">
        <v>2685.0</v>
      </c>
      <c r="J3005" s="518">
        <v>21.0</v>
      </c>
      <c r="K3005" s="507">
        <v>285.0</v>
      </c>
      <c r="L3005" s="507" t="s">
        <v>3619</v>
      </c>
      <c r="M3005" s="507">
        <v>3.0</v>
      </c>
      <c r="N3005" s="507">
        <v>3.0</v>
      </c>
      <c r="O3005" s="507">
        <v>1.0</v>
      </c>
      <c r="P3005" s="507" t="s">
        <v>166</v>
      </c>
      <c r="Q3005" s="507" t="s">
        <v>166</v>
      </c>
      <c r="R3005" s="507" t="s">
        <v>166</v>
      </c>
      <c r="S3005" s="507" t="s">
        <v>166</v>
      </c>
      <c r="T3005" s="509"/>
    </row>
    <row r="3006">
      <c r="A3006" s="494" t="s">
        <v>3401</v>
      </c>
      <c r="B3006" s="505" t="s">
        <v>4532</v>
      </c>
      <c r="C3006" s="454" t="s">
        <v>3456</v>
      </c>
      <c r="D3006" s="544" t="s">
        <v>4510</v>
      </c>
      <c r="E3006" s="507">
        <v>320.0</v>
      </c>
      <c r="F3006" s="507">
        <v>133.0</v>
      </c>
      <c r="G3006" s="507">
        <v>62.0</v>
      </c>
      <c r="H3006" s="260">
        <v>3.0</v>
      </c>
      <c r="I3006" s="260">
        <v>2625.0</v>
      </c>
      <c r="J3006" s="518">
        <v>21.0</v>
      </c>
      <c r="K3006" s="507">
        <v>285.0</v>
      </c>
      <c r="L3006" s="507" t="s">
        <v>3619</v>
      </c>
      <c r="M3006" s="507">
        <v>3.0</v>
      </c>
      <c r="N3006" s="507">
        <v>3.0</v>
      </c>
      <c r="O3006" s="507">
        <v>1.0</v>
      </c>
      <c r="P3006" s="507" t="s">
        <v>166</v>
      </c>
      <c r="Q3006" s="507" t="s">
        <v>166</v>
      </c>
      <c r="R3006" s="507" t="s">
        <v>166</v>
      </c>
      <c r="S3006" s="507" t="s">
        <v>166</v>
      </c>
      <c r="T3006" s="509"/>
    </row>
    <row r="3007">
      <c r="A3007" s="494" t="s">
        <v>3401</v>
      </c>
      <c r="B3007" s="505" t="s">
        <v>4532</v>
      </c>
      <c r="C3007" s="454" t="s">
        <v>3456</v>
      </c>
      <c r="D3007" s="544" t="s">
        <v>4511</v>
      </c>
      <c r="E3007" s="507">
        <v>320.0</v>
      </c>
      <c r="F3007" s="507">
        <v>133.0</v>
      </c>
      <c r="G3007" s="507">
        <v>62.0</v>
      </c>
      <c r="H3007" s="260">
        <v>3.0</v>
      </c>
      <c r="I3007" s="260">
        <v>2625.0</v>
      </c>
      <c r="J3007" s="518">
        <v>21.0</v>
      </c>
      <c r="K3007" s="507">
        <v>285.0</v>
      </c>
      <c r="L3007" s="507" t="s">
        <v>3619</v>
      </c>
      <c r="M3007" s="507">
        <v>3.0</v>
      </c>
      <c r="N3007" s="507">
        <v>3.0</v>
      </c>
      <c r="O3007" s="507">
        <v>1.0</v>
      </c>
      <c r="P3007" s="507" t="s">
        <v>166</v>
      </c>
      <c r="Q3007" s="507" t="s">
        <v>166</v>
      </c>
      <c r="R3007" s="507" t="s">
        <v>166</v>
      </c>
      <c r="S3007" s="507" t="s">
        <v>166</v>
      </c>
      <c r="T3007" s="509"/>
    </row>
    <row r="3008">
      <c r="A3008" s="494" t="s">
        <v>3401</v>
      </c>
      <c r="B3008" s="505" t="s">
        <v>4532</v>
      </c>
      <c r="C3008" s="174" t="str">
        <f t="shared" ref="C3008:C3022" si="431">HYPERLINK("https://www.gigabyte.com/","Gigabyte")</f>
        <v>Gigabyte</v>
      </c>
      <c r="D3008" s="544" t="s">
        <v>3597</v>
      </c>
      <c r="E3008" s="507">
        <v>261.0</v>
      </c>
      <c r="F3008" s="507">
        <v>125.0</v>
      </c>
      <c r="G3008" s="507">
        <v>50.0</v>
      </c>
      <c r="H3008" s="260">
        <v>2.0</v>
      </c>
      <c r="I3008" s="260">
        <v>2610.0</v>
      </c>
      <c r="J3008" s="518">
        <v>21.0</v>
      </c>
      <c r="K3008" s="507">
        <v>285.0</v>
      </c>
      <c r="L3008" s="507" t="s">
        <v>3619</v>
      </c>
      <c r="M3008" s="507">
        <v>3.0</v>
      </c>
      <c r="N3008" s="507">
        <v>3.0</v>
      </c>
      <c r="O3008" s="507">
        <v>1.0</v>
      </c>
      <c r="P3008" s="507" t="s">
        <v>166</v>
      </c>
      <c r="Q3008" s="507" t="s">
        <v>166</v>
      </c>
      <c r="R3008" s="507" t="s">
        <v>166</v>
      </c>
      <c r="S3008" s="507" t="s">
        <v>166</v>
      </c>
      <c r="T3008" s="509"/>
    </row>
    <row r="3009">
      <c r="A3009" s="494" t="s">
        <v>3401</v>
      </c>
      <c r="B3009" s="505" t="s">
        <v>4532</v>
      </c>
      <c r="C3009" s="174" t="str">
        <f t="shared" si="431"/>
        <v>Gigabyte</v>
      </c>
      <c r="D3009" s="544" t="s">
        <v>3578</v>
      </c>
      <c r="E3009" s="507">
        <v>261.0</v>
      </c>
      <c r="F3009" s="507">
        <v>125.0</v>
      </c>
      <c r="G3009" s="507">
        <v>50.0</v>
      </c>
      <c r="H3009" s="260">
        <v>2.0</v>
      </c>
      <c r="I3009" s="260">
        <v>2625.0</v>
      </c>
      <c r="J3009" s="518">
        <v>21.0</v>
      </c>
      <c r="K3009" s="507">
        <v>285.0</v>
      </c>
      <c r="L3009" s="507" t="s">
        <v>3619</v>
      </c>
      <c r="M3009" s="507">
        <v>3.0</v>
      </c>
      <c r="N3009" s="507">
        <v>3.0</v>
      </c>
      <c r="O3009" s="507">
        <v>1.0</v>
      </c>
      <c r="P3009" s="507" t="s">
        <v>166</v>
      </c>
      <c r="Q3009" s="507" t="s">
        <v>166</v>
      </c>
      <c r="R3009" s="507" t="s">
        <v>166</v>
      </c>
      <c r="S3009" s="507" t="s">
        <v>166</v>
      </c>
      <c r="T3009" s="509"/>
    </row>
    <row r="3010">
      <c r="A3010" s="494" t="s">
        <v>3401</v>
      </c>
      <c r="B3010" s="505" t="s">
        <v>4532</v>
      </c>
      <c r="C3010" s="174" t="str">
        <f t="shared" si="431"/>
        <v>Gigabyte</v>
      </c>
      <c r="D3010" s="544" t="s">
        <v>4544</v>
      </c>
      <c r="E3010" s="507">
        <v>301.0</v>
      </c>
      <c r="F3010" s="507">
        <v>136.0</v>
      </c>
      <c r="G3010" s="507">
        <v>58.0</v>
      </c>
      <c r="H3010" s="260">
        <v>2.0</v>
      </c>
      <c r="I3010" s="260">
        <v>2610.0</v>
      </c>
      <c r="J3010" s="518">
        <v>21.0</v>
      </c>
      <c r="K3010" s="507">
        <v>285.0</v>
      </c>
      <c r="L3010" s="507" t="s">
        <v>3619</v>
      </c>
      <c r="M3010" s="507">
        <v>3.0</v>
      </c>
      <c r="N3010" s="507">
        <v>3.0</v>
      </c>
      <c r="O3010" s="507">
        <v>1.0</v>
      </c>
      <c r="P3010" s="507" t="s">
        <v>166</v>
      </c>
      <c r="Q3010" s="507" t="s">
        <v>166</v>
      </c>
      <c r="R3010" s="507" t="s">
        <v>166</v>
      </c>
      <c r="S3010" s="507" t="s">
        <v>166</v>
      </c>
      <c r="T3010" s="509"/>
    </row>
    <row r="3011">
      <c r="A3011" s="494" t="s">
        <v>3401</v>
      </c>
      <c r="B3011" s="505" t="s">
        <v>4532</v>
      </c>
      <c r="C3011" s="174" t="str">
        <f t="shared" si="431"/>
        <v>Gigabyte</v>
      </c>
      <c r="D3011" s="544" t="s">
        <v>4131</v>
      </c>
      <c r="E3011" s="507">
        <v>261.0</v>
      </c>
      <c r="F3011" s="507">
        <v>126.0</v>
      </c>
      <c r="G3011" s="507">
        <v>50.0</v>
      </c>
      <c r="H3011" s="260">
        <v>2.0</v>
      </c>
      <c r="I3011" s="260">
        <v>2610.0</v>
      </c>
      <c r="J3011" s="518">
        <v>21.0</v>
      </c>
      <c r="K3011" s="507">
        <v>285.0</v>
      </c>
      <c r="L3011" s="507" t="s">
        <v>3619</v>
      </c>
      <c r="M3011" s="507">
        <v>3.0</v>
      </c>
      <c r="N3011" s="507">
        <v>3.0</v>
      </c>
      <c r="O3011" s="507">
        <v>1.0</v>
      </c>
      <c r="P3011" s="507" t="s">
        <v>166</v>
      </c>
      <c r="Q3011" s="507" t="s">
        <v>166</v>
      </c>
      <c r="R3011" s="507" t="s">
        <v>166</v>
      </c>
      <c r="S3011" s="507" t="s">
        <v>166</v>
      </c>
      <c r="T3011" s="509"/>
    </row>
    <row r="3012">
      <c r="A3012" s="494" t="s">
        <v>3401</v>
      </c>
      <c r="B3012" s="505" t="s">
        <v>4532</v>
      </c>
      <c r="C3012" s="174" t="str">
        <f t="shared" si="431"/>
        <v>Gigabyte</v>
      </c>
      <c r="D3012" s="544" t="s">
        <v>4545</v>
      </c>
      <c r="E3012" s="507">
        <v>301.0</v>
      </c>
      <c r="F3012" s="507">
        <v>136.0</v>
      </c>
      <c r="G3012" s="507">
        <v>58.0</v>
      </c>
      <c r="H3012" s="260">
        <v>2.0</v>
      </c>
      <c r="I3012" s="260">
        <v>2625.0</v>
      </c>
      <c r="J3012" s="518">
        <v>21.0</v>
      </c>
      <c r="K3012" s="507">
        <v>285.0</v>
      </c>
      <c r="L3012" s="507" t="s">
        <v>3619</v>
      </c>
      <c r="M3012" s="507">
        <v>3.0</v>
      </c>
      <c r="N3012" s="507">
        <v>3.0</v>
      </c>
      <c r="O3012" s="507">
        <v>1.0</v>
      </c>
      <c r="P3012" s="507" t="s">
        <v>166</v>
      </c>
      <c r="Q3012" s="507" t="s">
        <v>166</v>
      </c>
      <c r="R3012" s="507" t="s">
        <v>166</v>
      </c>
      <c r="S3012" s="507" t="s">
        <v>166</v>
      </c>
      <c r="T3012" s="509"/>
    </row>
    <row r="3013">
      <c r="A3013" s="494" t="s">
        <v>3401</v>
      </c>
      <c r="B3013" s="505" t="s">
        <v>4532</v>
      </c>
      <c r="C3013" s="174" t="str">
        <f t="shared" si="431"/>
        <v>Gigabyte</v>
      </c>
      <c r="D3013" s="544" t="s">
        <v>4132</v>
      </c>
      <c r="E3013" s="507">
        <v>261.0</v>
      </c>
      <c r="F3013" s="507">
        <v>126.0</v>
      </c>
      <c r="G3013" s="507">
        <v>50.0</v>
      </c>
      <c r="H3013" s="260">
        <v>2.0</v>
      </c>
      <c r="I3013" s="260">
        <v>2625.0</v>
      </c>
      <c r="J3013" s="518">
        <v>21.0</v>
      </c>
      <c r="K3013" s="507">
        <v>285.0</v>
      </c>
      <c r="L3013" s="507" t="s">
        <v>3619</v>
      </c>
      <c r="M3013" s="507">
        <v>3.0</v>
      </c>
      <c r="N3013" s="507">
        <v>3.0</v>
      </c>
      <c r="O3013" s="507">
        <v>1.0</v>
      </c>
      <c r="P3013" s="507" t="s">
        <v>166</v>
      </c>
      <c r="Q3013" s="507" t="s">
        <v>166</v>
      </c>
      <c r="R3013" s="507" t="s">
        <v>166</v>
      </c>
      <c r="S3013" s="507" t="s">
        <v>166</v>
      </c>
      <c r="T3013" s="509"/>
    </row>
    <row r="3014">
      <c r="A3014" s="494" t="s">
        <v>3401</v>
      </c>
      <c r="B3014" s="505" t="s">
        <v>4532</v>
      </c>
      <c r="C3014" s="174" t="str">
        <f t="shared" si="431"/>
        <v>Gigabyte</v>
      </c>
      <c r="D3014" s="544" t="s">
        <v>3851</v>
      </c>
      <c r="E3014" s="507">
        <v>336.0</v>
      </c>
      <c r="F3014" s="507">
        <v>140.0</v>
      </c>
      <c r="G3014" s="507">
        <v>58.0</v>
      </c>
      <c r="H3014" s="260">
        <v>2.0</v>
      </c>
      <c r="I3014" s="260">
        <v>2640.0</v>
      </c>
      <c r="J3014" s="518">
        <v>21.0</v>
      </c>
      <c r="K3014" s="507">
        <v>285.0</v>
      </c>
      <c r="L3014" s="507" t="s">
        <v>3619</v>
      </c>
      <c r="M3014" s="507">
        <v>3.0</v>
      </c>
      <c r="N3014" s="507">
        <v>3.0</v>
      </c>
      <c r="O3014" s="507">
        <v>1.0</v>
      </c>
      <c r="P3014" s="507" t="s">
        <v>166</v>
      </c>
      <c r="Q3014" s="507" t="s">
        <v>166</v>
      </c>
      <c r="R3014" s="507" t="s">
        <v>166</v>
      </c>
      <c r="S3014" s="507" t="s">
        <v>166</v>
      </c>
      <c r="T3014" s="509"/>
    </row>
    <row r="3015">
      <c r="A3015" s="494" t="s">
        <v>3401</v>
      </c>
      <c r="B3015" s="505" t="s">
        <v>4532</v>
      </c>
      <c r="C3015" s="174" t="str">
        <f t="shared" si="431"/>
        <v>Gigabyte</v>
      </c>
      <c r="D3015" s="544" t="s">
        <v>4513</v>
      </c>
      <c r="E3015" s="507">
        <v>300.0</v>
      </c>
      <c r="F3015" s="507">
        <v>130.0</v>
      </c>
      <c r="G3015" s="507">
        <v>57.6</v>
      </c>
      <c r="H3015" s="260">
        <v>2.0</v>
      </c>
      <c r="I3015" s="260">
        <v>2640.0</v>
      </c>
      <c r="J3015" s="518">
        <v>21.0</v>
      </c>
      <c r="K3015" s="507">
        <v>285.0</v>
      </c>
      <c r="L3015" s="507" t="s">
        <v>3619</v>
      </c>
      <c r="M3015" s="507">
        <v>3.0</v>
      </c>
      <c r="N3015" s="507">
        <v>3.0</v>
      </c>
      <c r="O3015" s="507">
        <v>1.0</v>
      </c>
      <c r="P3015" s="507" t="s">
        <v>166</v>
      </c>
      <c r="Q3015" s="507" t="s">
        <v>166</v>
      </c>
      <c r="R3015" s="507" t="s">
        <v>166</v>
      </c>
      <c r="S3015" s="507" t="s">
        <v>166</v>
      </c>
      <c r="T3015" s="509"/>
    </row>
    <row r="3016">
      <c r="A3016" s="494" t="s">
        <v>3401</v>
      </c>
      <c r="B3016" s="505" t="s">
        <v>4532</v>
      </c>
      <c r="C3016" s="174" t="str">
        <f t="shared" si="431"/>
        <v>Gigabyte</v>
      </c>
      <c r="D3016" s="544" t="s">
        <v>3409</v>
      </c>
      <c r="E3016" s="507">
        <v>336.0</v>
      </c>
      <c r="F3016" s="507">
        <v>140.0</v>
      </c>
      <c r="G3016" s="507">
        <v>58.0</v>
      </c>
      <c r="H3016" s="260">
        <v>2.0</v>
      </c>
      <c r="I3016" s="260">
        <v>2610.0</v>
      </c>
      <c r="J3016" s="518">
        <v>21.0</v>
      </c>
      <c r="K3016" s="507">
        <v>285.0</v>
      </c>
      <c r="L3016" s="507" t="s">
        <v>3619</v>
      </c>
      <c r="M3016" s="507">
        <v>3.0</v>
      </c>
      <c r="N3016" s="507">
        <v>3.0</v>
      </c>
      <c r="O3016" s="507">
        <v>1.0</v>
      </c>
      <c r="P3016" s="507" t="s">
        <v>166</v>
      </c>
      <c r="Q3016" s="507" t="s">
        <v>166</v>
      </c>
      <c r="R3016" s="507" t="s">
        <v>166</v>
      </c>
      <c r="S3016" s="507" t="s">
        <v>166</v>
      </c>
      <c r="T3016" s="509"/>
    </row>
    <row r="3017">
      <c r="A3017" s="494" t="s">
        <v>3401</v>
      </c>
      <c r="B3017" s="505" t="s">
        <v>4532</v>
      </c>
      <c r="C3017" s="174" t="str">
        <f t="shared" si="431"/>
        <v>Gigabyte</v>
      </c>
      <c r="D3017" s="544" t="s">
        <v>3630</v>
      </c>
      <c r="E3017" s="507">
        <v>336.0</v>
      </c>
      <c r="F3017" s="507">
        <v>140.0</v>
      </c>
      <c r="G3017" s="507">
        <v>58.0</v>
      </c>
      <c r="H3017" s="260">
        <v>2.0</v>
      </c>
      <c r="I3017" s="260">
        <v>2640.0</v>
      </c>
      <c r="J3017" s="518">
        <v>21.0</v>
      </c>
      <c r="K3017" s="507">
        <v>285.0</v>
      </c>
      <c r="L3017" s="507" t="s">
        <v>3619</v>
      </c>
      <c r="M3017" s="507">
        <v>3.0</v>
      </c>
      <c r="N3017" s="507">
        <v>3.0</v>
      </c>
      <c r="O3017" s="507">
        <v>1.0</v>
      </c>
      <c r="P3017" s="507" t="s">
        <v>166</v>
      </c>
      <c r="Q3017" s="507" t="s">
        <v>166</v>
      </c>
      <c r="R3017" s="507" t="s">
        <v>166</v>
      </c>
      <c r="S3017" s="507" t="s">
        <v>166</v>
      </c>
      <c r="T3017" s="509"/>
    </row>
    <row r="3018">
      <c r="A3018" s="494" t="s">
        <v>3401</v>
      </c>
      <c r="B3018" s="505" t="s">
        <v>4532</v>
      </c>
      <c r="C3018" s="174" t="str">
        <f t="shared" si="431"/>
        <v>Gigabyte</v>
      </c>
      <c r="D3018" s="544" t="s">
        <v>4514</v>
      </c>
      <c r="E3018" s="507">
        <v>300.0</v>
      </c>
      <c r="F3018" s="507">
        <v>130.0</v>
      </c>
      <c r="G3018" s="507">
        <v>57.6</v>
      </c>
      <c r="H3018" s="260">
        <v>2.0</v>
      </c>
      <c r="I3018" s="260">
        <v>2640.0</v>
      </c>
      <c r="J3018" s="518">
        <v>21.0</v>
      </c>
      <c r="K3018" s="507">
        <v>285.0</v>
      </c>
      <c r="L3018" s="507" t="s">
        <v>3619</v>
      </c>
      <c r="M3018" s="507">
        <v>3.0</v>
      </c>
      <c r="N3018" s="507">
        <v>3.0</v>
      </c>
      <c r="O3018" s="507">
        <v>1.0</v>
      </c>
      <c r="P3018" s="507" t="s">
        <v>166</v>
      </c>
      <c r="Q3018" s="507" t="s">
        <v>166</v>
      </c>
      <c r="R3018" s="507" t="s">
        <v>166</v>
      </c>
      <c r="S3018" s="507" t="s">
        <v>166</v>
      </c>
      <c r="T3018" s="509"/>
    </row>
    <row r="3019">
      <c r="A3019" s="494" t="s">
        <v>3401</v>
      </c>
      <c r="B3019" s="505" t="s">
        <v>4532</v>
      </c>
      <c r="C3019" s="174" t="str">
        <f t="shared" si="431"/>
        <v>Gigabyte</v>
      </c>
      <c r="D3019" s="544" t="s">
        <v>3711</v>
      </c>
      <c r="E3019" s="507">
        <v>342.0</v>
      </c>
      <c r="F3019" s="507">
        <v>153.0</v>
      </c>
      <c r="G3019" s="507">
        <v>70.6</v>
      </c>
      <c r="H3019" s="260">
        <v>2.0</v>
      </c>
      <c r="I3019" s="260">
        <v>2655.0</v>
      </c>
      <c r="J3019" s="518">
        <v>21.0</v>
      </c>
      <c r="K3019" s="507">
        <v>285.0</v>
      </c>
      <c r="L3019" s="507" t="s">
        <v>3619</v>
      </c>
      <c r="M3019" s="507">
        <v>3.0</v>
      </c>
      <c r="N3019" s="507">
        <v>3.0</v>
      </c>
      <c r="O3019" s="507">
        <v>1.0</v>
      </c>
      <c r="P3019" s="507" t="s">
        <v>166</v>
      </c>
      <c r="Q3019" s="507" t="s">
        <v>166</v>
      </c>
      <c r="R3019" s="507" t="s">
        <v>166</v>
      </c>
      <c r="S3019" s="507" t="s">
        <v>166</v>
      </c>
      <c r="T3019" s="509"/>
    </row>
    <row r="3020">
      <c r="A3020" s="494" t="s">
        <v>3401</v>
      </c>
      <c r="B3020" s="505" t="s">
        <v>4532</v>
      </c>
      <c r="C3020" s="174" t="str">
        <f t="shared" si="431"/>
        <v>Gigabyte</v>
      </c>
      <c r="D3020" s="544" t="s">
        <v>3725</v>
      </c>
      <c r="E3020" s="507">
        <v>342.0</v>
      </c>
      <c r="F3020" s="507">
        <v>153.0</v>
      </c>
      <c r="G3020" s="507">
        <v>70.6</v>
      </c>
      <c r="H3020" s="260">
        <v>2.0</v>
      </c>
      <c r="I3020" s="260">
        <v>2670.0</v>
      </c>
      <c r="J3020" s="518">
        <v>21.0</v>
      </c>
      <c r="K3020" s="507">
        <v>285.0</v>
      </c>
      <c r="L3020" s="507" t="s">
        <v>3619</v>
      </c>
      <c r="M3020" s="507">
        <v>3.0</v>
      </c>
      <c r="N3020" s="507">
        <v>3.0</v>
      </c>
      <c r="O3020" s="507">
        <v>1.0</v>
      </c>
      <c r="P3020" s="507" t="s">
        <v>166</v>
      </c>
      <c r="Q3020" s="507" t="s">
        <v>166</v>
      </c>
      <c r="R3020" s="507" t="s">
        <v>166</v>
      </c>
      <c r="S3020" s="507" t="s">
        <v>166</v>
      </c>
      <c r="T3020" s="509"/>
    </row>
    <row r="3021">
      <c r="A3021" s="494" t="s">
        <v>3401</v>
      </c>
      <c r="B3021" s="505" t="s">
        <v>4532</v>
      </c>
      <c r="C3021" s="174" t="str">
        <f t="shared" si="431"/>
        <v>Gigabyte</v>
      </c>
      <c r="D3021" s="544" t="s">
        <v>4039</v>
      </c>
      <c r="E3021" s="507">
        <v>252.0</v>
      </c>
      <c r="F3021" s="507">
        <v>135.0</v>
      </c>
      <c r="G3021" s="507">
        <v>40.0</v>
      </c>
      <c r="H3021" s="260">
        <v>2.0</v>
      </c>
      <c r="I3021" s="260">
        <v>2700.0</v>
      </c>
      <c r="J3021" s="518">
        <v>21.0</v>
      </c>
      <c r="K3021" s="507">
        <v>285.0</v>
      </c>
      <c r="L3021" s="507" t="s">
        <v>3619</v>
      </c>
      <c r="M3021" s="507" t="s">
        <v>166</v>
      </c>
      <c r="N3021" s="507">
        <v>3.0</v>
      </c>
      <c r="O3021" s="507">
        <v>1.0</v>
      </c>
      <c r="P3021" s="507" t="s">
        <v>166</v>
      </c>
      <c r="Q3021" s="507" t="s">
        <v>166</v>
      </c>
      <c r="R3021" s="507" t="s">
        <v>174</v>
      </c>
      <c r="S3021" s="507" t="s">
        <v>166</v>
      </c>
      <c r="T3021" s="509"/>
    </row>
    <row r="3022">
      <c r="A3022" s="494" t="s">
        <v>3401</v>
      </c>
      <c r="B3022" s="505" t="s">
        <v>4532</v>
      </c>
      <c r="C3022" s="174" t="str">
        <f t="shared" si="431"/>
        <v>Gigabyte</v>
      </c>
      <c r="D3022" s="544" t="s">
        <v>3748</v>
      </c>
      <c r="E3022" s="507">
        <v>252.0</v>
      </c>
      <c r="F3022" s="507">
        <v>163.0</v>
      </c>
      <c r="G3022" s="507">
        <v>29.0</v>
      </c>
      <c r="H3022" s="260">
        <v>2.0</v>
      </c>
      <c r="I3022" s="260">
        <v>2700.0</v>
      </c>
      <c r="J3022" s="518">
        <v>21.0</v>
      </c>
      <c r="K3022" s="507">
        <v>285.0</v>
      </c>
      <c r="L3022" s="507" t="s">
        <v>3619</v>
      </c>
      <c r="M3022" s="507" t="s">
        <v>166</v>
      </c>
      <c r="N3022" s="507">
        <v>3.0</v>
      </c>
      <c r="O3022" s="507">
        <v>1.0</v>
      </c>
      <c r="P3022" s="507" t="s">
        <v>166</v>
      </c>
      <c r="Q3022" s="507" t="s">
        <v>166</v>
      </c>
      <c r="R3022" s="507" t="s">
        <v>174</v>
      </c>
      <c r="S3022" s="507" t="s">
        <v>166</v>
      </c>
      <c r="T3022" s="509"/>
    </row>
    <row r="3023">
      <c r="A3023" s="494" t="s">
        <v>3401</v>
      </c>
      <c r="B3023" s="505" t="s">
        <v>4532</v>
      </c>
      <c r="C3023" s="452" t="str">
        <f t="shared" ref="C3023:C3025" si="432">HYPERLINK("http://www.inno3d.com/","Inno3D")</f>
        <v>Inno3D</v>
      </c>
      <c r="D3023" s="544" t="s">
        <v>351</v>
      </c>
      <c r="E3023" s="507">
        <v>297.0</v>
      </c>
      <c r="F3023" s="507">
        <v>118.0</v>
      </c>
      <c r="G3023" s="507">
        <v>42.0</v>
      </c>
      <c r="H3023" s="260">
        <v>2.0</v>
      </c>
      <c r="I3023" s="260">
        <v>2610.0</v>
      </c>
      <c r="J3023" s="518">
        <v>21.0</v>
      </c>
      <c r="K3023" s="507">
        <v>285.0</v>
      </c>
      <c r="L3023" s="507" t="s">
        <v>3619</v>
      </c>
      <c r="M3023" s="507">
        <v>3.0</v>
      </c>
      <c r="N3023" s="507">
        <v>3.0</v>
      </c>
      <c r="O3023" s="507">
        <v>1.0</v>
      </c>
      <c r="P3023" s="507" t="s">
        <v>166</v>
      </c>
      <c r="Q3023" s="507" t="s">
        <v>166</v>
      </c>
      <c r="R3023" s="507" t="s">
        <v>166</v>
      </c>
      <c r="S3023" s="507" t="s">
        <v>166</v>
      </c>
      <c r="T3023" s="509"/>
    </row>
    <row r="3024">
      <c r="A3024" s="494" t="s">
        <v>3401</v>
      </c>
      <c r="B3024" s="505" t="s">
        <v>4532</v>
      </c>
      <c r="C3024" s="452" t="str">
        <f t="shared" si="432"/>
        <v>Inno3D</v>
      </c>
      <c r="D3024" s="544" t="s">
        <v>4347</v>
      </c>
      <c r="E3024" s="507">
        <v>297.0</v>
      </c>
      <c r="F3024" s="507">
        <v>118.0</v>
      </c>
      <c r="G3024" s="507">
        <v>42.0</v>
      </c>
      <c r="H3024" s="260">
        <v>2.0</v>
      </c>
      <c r="I3024" s="260">
        <v>2640.0</v>
      </c>
      <c r="J3024" s="518">
        <v>21.0</v>
      </c>
      <c r="K3024" s="507">
        <v>285.0</v>
      </c>
      <c r="L3024" s="507" t="s">
        <v>3619</v>
      </c>
      <c r="M3024" s="507">
        <v>3.0</v>
      </c>
      <c r="N3024" s="507">
        <v>3.0</v>
      </c>
      <c r="O3024" s="507">
        <v>1.0</v>
      </c>
      <c r="P3024" s="507" t="s">
        <v>166</v>
      </c>
      <c r="Q3024" s="507" t="s">
        <v>166</v>
      </c>
      <c r="R3024" s="507" t="s">
        <v>166</v>
      </c>
      <c r="S3024" s="507" t="s">
        <v>166</v>
      </c>
      <c r="T3024" s="509"/>
    </row>
    <row r="3025">
      <c r="A3025" s="494" t="s">
        <v>3401</v>
      </c>
      <c r="B3025" s="505" t="s">
        <v>4532</v>
      </c>
      <c r="C3025" s="452" t="str">
        <f t="shared" si="432"/>
        <v>Inno3D</v>
      </c>
      <c r="D3025" s="544" t="s">
        <v>3921</v>
      </c>
      <c r="E3025" s="507">
        <v>334.0</v>
      </c>
      <c r="F3025" s="507">
        <v>148.0</v>
      </c>
      <c r="G3025" s="507">
        <v>62.0</v>
      </c>
      <c r="H3025" s="260">
        <v>2.0</v>
      </c>
      <c r="I3025" s="260">
        <v>2670.0</v>
      </c>
      <c r="J3025" s="518">
        <v>21.0</v>
      </c>
      <c r="K3025" s="507">
        <v>285.0</v>
      </c>
      <c r="L3025" s="507" t="s">
        <v>3619</v>
      </c>
      <c r="M3025" s="507">
        <v>3.0</v>
      </c>
      <c r="N3025" s="507">
        <v>3.0</v>
      </c>
      <c r="O3025" s="507">
        <v>1.0</v>
      </c>
      <c r="P3025" s="507" t="s">
        <v>166</v>
      </c>
      <c r="Q3025" s="507" t="s">
        <v>166</v>
      </c>
      <c r="R3025" s="507" t="s">
        <v>166</v>
      </c>
      <c r="S3025" s="507" t="s">
        <v>166</v>
      </c>
      <c r="T3025" s="509"/>
    </row>
    <row r="3026">
      <c r="A3026" s="494" t="s">
        <v>3401</v>
      </c>
      <c r="B3026" s="505" t="s">
        <v>4532</v>
      </c>
      <c r="C3026" s="452" t="s">
        <v>3538</v>
      </c>
      <c r="D3026" s="544" t="s">
        <v>3600</v>
      </c>
      <c r="E3026" s="507">
        <v>319.0</v>
      </c>
      <c r="F3026" s="507">
        <v>124.0</v>
      </c>
      <c r="G3026" s="507">
        <v>68.3</v>
      </c>
      <c r="H3026" s="260">
        <v>2.0</v>
      </c>
      <c r="I3026" s="260">
        <v>2610.0</v>
      </c>
      <c r="J3026" s="518">
        <v>21.0</v>
      </c>
      <c r="K3026" s="507">
        <v>285.0</v>
      </c>
      <c r="L3026" s="507" t="s">
        <v>3619</v>
      </c>
      <c r="M3026" s="507">
        <v>3.0</v>
      </c>
      <c r="N3026" s="507">
        <v>3.0</v>
      </c>
      <c r="O3026" s="507">
        <v>1.0</v>
      </c>
      <c r="P3026" s="507" t="s">
        <v>166</v>
      </c>
      <c r="Q3026" s="507" t="s">
        <v>166</v>
      </c>
      <c r="R3026" s="507" t="s">
        <v>166</v>
      </c>
      <c r="S3026" s="507" t="s">
        <v>166</v>
      </c>
      <c r="T3026" s="509"/>
    </row>
    <row r="3027">
      <c r="A3027" s="494" t="s">
        <v>3401</v>
      </c>
      <c r="B3027" s="505" t="s">
        <v>4532</v>
      </c>
      <c r="C3027" s="452" t="str">
        <f t="shared" ref="C3027:C3029" si="433">HYPERLINK("http://manli.com/en","Manli")</f>
        <v>Manli</v>
      </c>
      <c r="D3027" s="544" t="s">
        <v>4546</v>
      </c>
      <c r="E3027" s="507">
        <v>264.0</v>
      </c>
      <c r="F3027" s="507">
        <v>127.0</v>
      </c>
      <c r="G3027" s="507">
        <v>56.0</v>
      </c>
      <c r="H3027" s="260">
        <v>2.0</v>
      </c>
      <c r="I3027" s="260">
        <v>2610.0</v>
      </c>
      <c r="J3027" s="518">
        <v>21.0</v>
      </c>
      <c r="K3027" s="507">
        <v>285.0</v>
      </c>
      <c r="L3027" s="507" t="s">
        <v>3619</v>
      </c>
      <c r="M3027" s="507">
        <v>2.0</v>
      </c>
      <c r="N3027" s="507">
        <v>3.0</v>
      </c>
      <c r="O3027" s="507">
        <v>1.0</v>
      </c>
      <c r="P3027" s="507" t="s">
        <v>166</v>
      </c>
      <c r="Q3027" s="507" t="s">
        <v>166</v>
      </c>
      <c r="R3027" s="507" t="s">
        <v>166</v>
      </c>
      <c r="S3027" s="507" t="s">
        <v>166</v>
      </c>
      <c r="T3027" s="509"/>
    </row>
    <row r="3028">
      <c r="A3028" s="494" t="s">
        <v>3401</v>
      </c>
      <c r="B3028" s="505" t="s">
        <v>4532</v>
      </c>
      <c r="C3028" s="452" t="str">
        <f t="shared" si="433"/>
        <v>Manli</v>
      </c>
      <c r="D3028" s="544" t="s">
        <v>4547</v>
      </c>
      <c r="E3028" s="507">
        <v>315.0</v>
      </c>
      <c r="F3028" s="507">
        <v>120.0</v>
      </c>
      <c r="G3028" s="507">
        <v>64.0</v>
      </c>
      <c r="H3028" s="260">
        <v>2.0</v>
      </c>
      <c r="I3028" s="260">
        <v>2610.0</v>
      </c>
      <c r="J3028" s="518">
        <v>21.0</v>
      </c>
      <c r="K3028" s="507">
        <v>285.0</v>
      </c>
      <c r="L3028" s="507" t="s">
        <v>3619</v>
      </c>
      <c r="M3028" s="507">
        <v>3.0</v>
      </c>
      <c r="N3028" s="507">
        <v>3.0</v>
      </c>
      <c r="O3028" s="507">
        <v>1.0</v>
      </c>
      <c r="P3028" s="507" t="s">
        <v>166</v>
      </c>
      <c r="Q3028" s="507" t="s">
        <v>166</v>
      </c>
      <c r="R3028" s="507" t="s">
        <v>166</v>
      </c>
      <c r="S3028" s="507" t="s">
        <v>166</v>
      </c>
      <c r="T3028" s="509"/>
    </row>
    <row r="3029">
      <c r="A3029" s="494" t="s">
        <v>3401</v>
      </c>
      <c r="B3029" s="505" t="s">
        <v>4532</v>
      </c>
      <c r="C3029" s="452" t="str">
        <f t="shared" si="433"/>
        <v>Manli</v>
      </c>
      <c r="D3029" s="544" t="s">
        <v>4548</v>
      </c>
      <c r="E3029" s="507">
        <v>315.0</v>
      </c>
      <c r="F3029" s="507">
        <v>125.0</v>
      </c>
      <c r="G3029" s="507">
        <v>66.0</v>
      </c>
      <c r="H3029" s="260">
        <v>2.0</v>
      </c>
      <c r="I3029" s="260">
        <v>2610.0</v>
      </c>
      <c r="J3029" s="518">
        <v>21.0</v>
      </c>
      <c r="K3029" s="507">
        <v>285.0</v>
      </c>
      <c r="L3029" s="507" t="s">
        <v>3619</v>
      </c>
      <c r="M3029" s="507">
        <v>3.0</v>
      </c>
      <c r="N3029" s="507">
        <v>3.0</v>
      </c>
      <c r="O3029" s="507">
        <v>1.0</v>
      </c>
      <c r="P3029" s="507" t="s">
        <v>166</v>
      </c>
      <c r="Q3029" s="507" t="s">
        <v>166</v>
      </c>
      <c r="R3029" s="507" t="s">
        <v>166</v>
      </c>
      <c r="S3029" s="507" t="s">
        <v>166</v>
      </c>
      <c r="T3029" s="509"/>
    </row>
    <row r="3030">
      <c r="A3030" s="494" t="s">
        <v>3401</v>
      </c>
      <c r="B3030" s="505" t="s">
        <v>4532</v>
      </c>
      <c r="C3030" s="174" t="s">
        <v>3565</v>
      </c>
      <c r="D3030" s="544" t="s">
        <v>3810</v>
      </c>
      <c r="E3030" s="507">
        <v>329.0</v>
      </c>
      <c r="F3030" s="507">
        <v>133.0</v>
      </c>
      <c r="G3030" s="507">
        <v>64.0</v>
      </c>
      <c r="H3030" s="260">
        <v>2.0</v>
      </c>
      <c r="I3030" s="260">
        <v>2610.0</v>
      </c>
      <c r="J3030" s="518">
        <v>21.0</v>
      </c>
      <c r="K3030" s="507">
        <v>285.0</v>
      </c>
      <c r="L3030" s="507" t="s">
        <v>3619</v>
      </c>
      <c r="M3030" s="507">
        <v>3.0</v>
      </c>
      <c r="N3030" s="507">
        <v>3.0</v>
      </c>
      <c r="O3030" s="507">
        <v>1.0</v>
      </c>
      <c r="P3030" s="507" t="s">
        <v>166</v>
      </c>
      <c r="Q3030" s="507" t="s">
        <v>166</v>
      </c>
      <c r="R3030" s="507" t="s">
        <v>166</v>
      </c>
      <c r="S3030" s="507" t="s">
        <v>166</v>
      </c>
      <c r="T3030" s="509"/>
    </row>
    <row r="3031">
      <c r="A3031" s="494" t="s">
        <v>3401</v>
      </c>
      <c r="B3031" s="505" t="s">
        <v>4532</v>
      </c>
      <c r="C3031" s="174" t="s">
        <v>3565</v>
      </c>
      <c r="D3031" s="544" t="s">
        <v>4229</v>
      </c>
      <c r="E3031" s="507">
        <v>336.0</v>
      </c>
      <c r="F3031" s="507">
        <v>137.0</v>
      </c>
      <c r="G3031" s="507">
        <v>58.0</v>
      </c>
      <c r="H3031" s="260">
        <v>2.0</v>
      </c>
      <c r="I3031" s="260">
        <v>2640.0</v>
      </c>
      <c r="J3031" s="518">
        <v>21.0</v>
      </c>
      <c r="K3031" s="507">
        <v>285.0</v>
      </c>
      <c r="L3031" s="507" t="s">
        <v>3619</v>
      </c>
      <c r="M3031" s="507">
        <v>3.0</v>
      </c>
      <c r="N3031" s="507">
        <v>3.0</v>
      </c>
      <c r="O3031" s="507">
        <v>1.0</v>
      </c>
      <c r="P3031" s="507" t="s">
        <v>166</v>
      </c>
      <c r="Q3031" s="507" t="s">
        <v>166</v>
      </c>
      <c r="R3031" s="507" t="s">
        <v>166</v>
      </c>
      <c r="S3031" s="507" t="s">
        <v>166</v>
      </c>
      <c r="T3031" s="509"/>
    </row>
    <row r="3032">
      <c r="A3032" s="494" t="s">
        <v>3401</v>
      </c>
      <c r="B3032" s="505" t="s">
        <v>4532</v>
      </c>
      <c r="C3032" s="174" t="s">
        <v>3565</v>
      </c>
      <c r="D3032" s="537" t="s">
        <v>4467</v>
      </c>
      <c r="E3032" s="507">
        <v>336.0</v>
      </c>
      <c r="F3032" s="507">
        <v>137.0</v>
      </c>
      <c r="G3032" s="507">
        <v>58.0</v>
      </c>
      <c r="H3032" s="260">
        <v>2.0</v>
      </c>
      <c r="I3032" s="260">
        <v>2685.0</v>
      </c>
      <c r="J3032" s="518">
        <v>21.0</v>
      </c>
      <c r="K3032" s="507">
        <v>285.0</v>
      </c>
      <c r="L3032" s="507" t="s">
        <v>3619</v>
      </c>
      <c r="M3032" s="507">
        <v>3.0</v>
      </c>
      <c r="N3032" s="507">
        <v>3.0</v>
      </c>
      <c r="O3032" s="507">
        <v>1.0</v>
      </c>
      <c r="P3032" s="507" t="s">
        <v>166</v>
      </c>
      <c r="Q3032" s="507" t="s">
        <v>166</v>
      </c>
      <c r="R3032" s="507" t="s">
        <v>166</v>
      </c>
      <c r="S3032" s="507" t="s">
        <v>166</v>
      </c>
      <c r="T3032" s="509"/>
    </row>
    <row r="3033">
      <c r="A3033" s="494" t="s">
        <v>3401</v>
      </c>
      <c r="B3033" s="505" t="s">
        <v>4532</v>
      </c>
      <c r="C3033" s="174" t="s">
        <v>3565</v>
      </c>
      <c r="D3033" s="544" t="s">
        <v>4549</v>
      </c>
      <c r="E3033" s="507">
        <v>337.0</v>
      </c>
      <c r="F3033" s="507">
        <v>137.0</v>
      </c>
      <c r="G3033" s="507">
        <v>66.0</v>
      </c>
      <c r="H3033" s="260">
        <v>2.0</v>
      </c>
      <c r="I3033" s="260">
        <v>2715.0</v>
      </c>
      <c r="J3033" s="518">
        <v>21.0</v>
      </c>
      <c r="K3033" s="507">
        <v>320.0</v>
      </c>
      <c r="L3033" s="507" t="s">
        <v>3619</v>
      </c>
      <c r="M3033" s="507">
        <v>5.0</v>
      </c>
      <c r="N3033" s="507">
        <v>3.0</v>
      </c>
      <c r="O3033" s="507">
        <v>1.0</v>
      </c>
      <c r="P3033" s="507" t="s">
        <v>166</v>
      </c>
      <c r="Q3033" s="507" t="s">
        <v>166</v>
      </c>
      <c r="R3033" s="507" t="s">
        <v>166</v>
      </c>
      <c r="S3033" s="507" t="s">
        <v>166</v>
      </c>
      <c r="T3033" s="509"/>
    </row>
    <row r="3034">
      <c r="A3034" s="494" t="s">
        <v>3401</v>
      </c>
      <c r="B3034" s="505" t="s">
        <v>4532</v>
      </c>
      <c r="C3034" s="174" t="str">
        <f t="shared" ref="C3034:C3053" si="434">HYPERLINK("https://www.msi.com/index.php","MSI")</f>
        <v>MSI</v>
      </c>
      <c r="D3034" s="544" t="s">
        <v>3555</v>
      </c>
      <c r="E3034" s="507">
        <v>242.0</v>
      </c>
      <c r="F3034" s="507">
        <v>125.0</v>
      </c>
      <c r="G3034" s="507">
        <v>51.0</v>
      </c>
      <c r="H3034" s="260">
        <v>2.0</v>
      </c>
      <c r="I3034" s="260">
        <v>2625.0</v>
      </c>
      <c r="J3034" s="518">
        <v>21.0</v>
      </c>
      <c r="K3034" s="507">
        <v>285.0</v>
      </c>
      <c r="L3034" s="507" t="s">
        <v>3619</v>
      </c>
      <c r="M3034" s="507">
        <v>2.0</v>
      </c>
      <c r="N3034" s="507">
        <v>3.0</v>
      </c>
      <c r="O3034" s="507">
        <v>1.0</v>
      </c>
      <c r="P3034" s="507" t="s">
        <v>166</v>
      </c>
      <c r="Q3034" s="507" t="s">
        <v>166</v>
      </c>
      <c r="R3034" s="507" t="s">
        <v>166</v>
      </c>
      <c r="S3034" s="507" t="s">
        <v>166</v>
      </c>
      <c r="T3034" s="509"/>
    </row>
    <row r="3035">
      <c r="A3035" s="494" t="s">
        <v>3401</v>
      </c>
      <c r="B3035" s="505" t="s">
        <v>4532</v>
      </c>
      <c r="C3035" s="174" t="str">
        <f t="shared" si="434"/>
        <v>MSI</v>
      </c>
      <c r="D3035" s="544" t="s">
        <v>3556</v>
      </c>
      <c r="E3035" s="507">
        <v>242.0</v>
      </c>
      <c r="F3035" s="507">
        <v>125.0</v>
      </c>
      <c r="G3035" s="507">
        <v>51.0</v>
      </c>
      <c r="H3035" s="260">
        <v>2.0</v>
      </c>
      <c r="I3035" s="260">
        <v>2655.0</v>
      </c>
      <c r="J3035" s="518">
        <v>21.0</v>
      </c>
      <c r="K3035" s="507">
        <v>285.0</v>
      </c>
      <c r="L3035" s="507" t="s">
        <v>3619</v>
      </c>
      <c r="M3035" s="507">
        <v>2.0</v>
      </c>
      <c r="N3035" s="507">
        <v>3.0</v>
      </c>
      <c r="O3035" s="507">
        <v>1.0</v>
      </c>
      <c r="P3035" s="507" t="s">
        <v>166</v>
      </c>
      <c r="Q3035" s="507" t="s">
        <v>166</v>
      </c>
      <c r="R3035" s="507" t="s">
        <v>166</v>
      </c>
      <c r="S3035" s="507" t="s">
        <v>166</v>
      </c>
      <c r="T3035" s="509"/>
    </row>
    <row r="3036">
      <c r="A3036" s="494" t="s">
        <v>3401</v>
      </c>
      <c r="B3036" s="505" t="s">
        <v>4532</v>
      </c>
      <c r="C3036" s="174" t="str">
        <f t="shared" si="434"/>
        <v>MSI</v>
      </c>
      <c r="D3036" s="544" t="s">
        <v>3605</v>
      </c>
      <c r="E3036" s="507">
        <v>242.0</v>
      </c>
      <c r="F3036" s="507">
        <v>125.0</v>
      </c>
      <c r="G3036" s="507">
        <v>51.0</v>
      </c>
      <c r="H3036" s="260">
        <v>2.0</v>
      </c>
      <c r="I3036" s="260">
        <v>2625.0</v>
      </c>
      <c r="J3036" s="518">
        <v>21.0</v>
      </c>
      <c r="K3036" s="507">
        <v>285.0</v>
      </c>
      <c r="L3036" s="507" t="s">
        <v>3619</v>
      </c>
      <c r="M3036" s="507">
        <v>2.0</v>
      </c>
      <c r="N3036" s="507">
        <v>3.0</v>
      </c>
      <c r="O3036" s="507">
        <v>1.0</v>
      </c>
      <c r="P3036" s="507" t="s">
        <v>166</v>
      </c>
      <c r="Q3036" s="507" t="s">
        <v>166</v>
      </c>
      <c r="R3036" s="507" t="s">
        <v>166</v>
      </c>
      <c r="S3036" s="507" t="s">
        <v>166</v>
      </c>
      <c r="T3036" s="509"/>
    </row>
    <row r="3037">
      <c r="A3037" s="494" t="s">
        <v>3401</v>
      </c>
      <c r="B3037" s="505" t="s">
        <v>4532</v>
      </c>
      <c r="C3037" s="174" t="str">
        <f t="shared" si="434"/>
        <v>MSI</v>
      </c>
      <c r="D3037" s="544" t="s">
        <v>3606</v>
      </c>
      <c r="E3037" s="507">
        <v>242.0</v>
      </c>
      <c r="F3037" s="507">
        <v>125.0</v>
      </c>
      <c r="G3037" s="507">
        <v>51.0</v>
      </c>
      <c r="H3037" s="260">
        <v>2.0</v>
      </c>
      <c r="I3037" s="260">
        <v>2655.0</v>
      </c>
      <c r="J3037" s="518">
        <v>21.0</v>
      </c>
      <c r="K3037" s="507">
        <v>285.0</v>
      </c>
      <c r="L3037" s="507" t="s">
        <v>3619</v>
      </c>
      <c r="M3037" s="507">
        <v>2.0</v>
      </c>
      <c r="N3037" s="507">
        <v>3.0</v>
      </c>
      <c r="O3037" s="507">
        <v>1.0</v>
      </c>
      <c r="P3037" s="507" t="s">
        <v>166</v>
      </c>
      <c r="Q3037" s="507" t="s">
        <v>166</v>
      </c>
      <c r="R3037" s="507" t="s">
        <v>166</v>
      </c>
      <c r="S3037" s="507" t="s">
        <v>166</v>
      </c>
      <c r="T3037" s="509"/>
    </row>
    <row r="3038">
      <c r="A3038" s="494" t="s">
        <v>3401</v>
      </c>
      <c r="B3038" s="505" t="s">
        <v>4532</v>
      </c>
      <c r="C3038" s="174" t="str">
        <f t="shared" si="434"/>
        <v>MSI</v>
      </c>
      <c r="D3038" s="544" t="s">
        <v>4146</v>
      </c>
      <c r="E3038" s="507">
        <v>308.0</v>
      </c>
      <c r="F3038" s="507">
        <v>123.0</v>
      </c>
      <c r="G3038" s="507">
        <v>52.0</v>
      </c>
      <c r="H3038" s="260">
        <v>2.0</v>
      </c>
      <c r="I3038" s="260">
        <v>2625.0</v>
      </c>
      <c r="J3038" s="518">
        <v>21.0</v>
      </c>
      <c r="K3038" s="507">
        <v>285.0</v>
      </c>
      <c r="L3038" s="507" t="s">
        <v>3619</v>
      </c>
      <c r="M3038" s="507">
        <v>3.0</v>
      </c>
      <c r="N3038" s="507">
        <v>3.0</v>
      </c>
      <c r="O3038" s="507">
        <v>1.0</v>
      </c>
      <c r="P3038" s="507" t="s">
        <v>166</v>
      </c>
      <c r="Q3038" s="507" t="s">
        <v>166</v>
      </c>
      <c r="R3038" s="507" t="s">
        <v>166</v>
      </c>
      <c r="S3038" s="507" t="s">
        <v>166</v>
      </c>
      <c r="T3038" s="509"/>
    </row>
    <row r="3039">
      <c r="A3039" s="494" t="s">
        <v>3401</v>
      </c>
      <c r="B3039" s="505" t="s">
        <v>4532</v>
      </c>
      <c r="C3039" s="174" t="str">
        <f t="shared" si="434"/>
        <v>MSI</v>
      </c>
      <c r="D3039" s="544" t="s">
        <v>4147</v>
      </c>
      <c r="E3039" s="507">
        <v>308.0</v>
      </c>
      <c r="F3039" s="507">
        <v>123.0</v>
      </c>
      <c r="G3039" s="507">
        <v>52.0</v>
      </c>
      <c r="H3039" s="260">
        <v>2.0</v>
      </c>
      <c r="I3039" s="260">
        <v>2655.0</v>
      </c>
      <c r="J3039" s="518">
        <v>21.0</v>
      </c>
      <c r="K3039" s="507">
        <v>285.0</v>
      </c>
      <c r="L3039" s="507" t="s">
        <v>3619</v>
      </c>
      <c r="M3039" s="507">
        <v>3.0</v>
      </c>
      <c r="N3039" s="507">
        <v>3.0</v>
      </c>
      <c r="O3039" s="507">
        <v>1.0</v>
      </c>
      <c r="P3039" s="507" t="s">
        <v>166</v>
      </c>
      <c r="Q3039" s="507" t="s">
        <v>166</v>
      </c>
      <c r="R3039" s="507" t="s">
        <v>166</v>
      </c>
      <c r="S3039" s="507" t="s">
        <v>166</v>
      </c>
      <c r="T3039" s="509"/>
    </row>
    <row r="3040">
      <c r="A3040" s="494" t="s">
        <v>3401</v>
      </c>
      <c r="B3040" s="505" t="s">
        <v>4532</v>
      </c>
      <c r="C3040" s="174" t="str">
        <f t="shared" si="434"/>
        <v>MSI</v>
      </c>
      <c r="D3040" s="544" t="s">
        <v>4489</v>
      </c>
      <c r="E3040" s="507">
        <v>308.0</v>
      </c>
      <c r="F3040" s="507">
        <v>120.0</v>
      </c>
      <c r="G3040" s="507">
        <v>52.0</v>
      </c>
      <c r="H3040" s="260">
        <v>2.0</v>
      </c>
      <c r="I3040" s="260">
        <v>2625.0</v>
      </c>
      <c r="J3040" s="518">
        <v>21.0</v>
      </c>
      <c r="K3040" s="507">
        <v>285.0</v>
      </c>
      <c r="L3040" s="507" t="s">
        <v>3619</v>
      </c>
      <c r="M3040" s="507">
        <v>3.0</v>
      </c>
      <c r="N3040" s="507">
        <v>3.0</v>
      </c>
      <c r="O3040" s="507">
        <v>1.0</v>
      </c>
      <c r="P3040" s="507" t="s">
        <v>166</v>
      </c>
      <c r="Q3040" s="507" t="s">
        <v>166</v>
      </c>
      <c r="R3040" s="507" t="s">
        <v>166</v>
      </c>
      <c r="S3040" s="507" t="s">
        <v>166</v>
      </c>
      <c r="T3040" s="509"/>
    </row>
    <row r="3041">
      <c r="A3041" s="494" t="s">
        <v>3401</v>
      </c>
      <c r="B3041" s="505" t="s">
        <v>4532</v>
      </c>
      <c r="C3041" s="174" t="str">
        <f t="shared" si="434"/>
        <v>MSI</v>
      </c>
      <c r="D3041" s="544" t="s">
        <v>4490</v>
      </c>
      <c r="E3041" s="507">
        <v>308.0</v>
      </c>
      <c r="F3041" s="507">
        <v>120.0</v>
      </c>
      <c r="G3041" s="507">
        <v>52.0</v>
      </c>
      <c r="H3041" s="260">
        <v>2.0</v>
      </c>
      <c r="I3041" s="260">
        <v>2655.0</v>
      </c>
      <c r="J3041" s="518">
        <v>21.0</v>
      </c>
      <c r="K3041" s="507">
        <v>285.0</v>
      </c>
      <c r="L3041" s="507" t="s">
        <v>3619</v>
      </c>
      <c r="M3041" s="507">
        <v>3.0</v>
      </c>
      <c r="N3041" s="507">
        <v>3.0</v>
      </c>
      <c r="O3041" s="507">
        <v>1.0</v>
      </c>
      <c r="P3041" s="507" t="s">
        <v>166</v>
      </c>
      <c r="Q3041" s="507" t="s">
        <v>166</v>
      </c>
      <c r="R3041" s="507" t="s">
        <v>166</v>
      </c>
      <c r="S3041" s="507" t="s">
        <v>166</v>
      </c>
      <c r="T3041" s="509"/>
    </row>
    <row r="3042">
      <c r="A3042" s="494" t="s">
        <v>3401</v>
      </c>
      <c r="B3042" s="505" t="s">
        <v>4532</v>
      </c>
      <c r="C3042" s="174" t="str">
        <f t="shared" si="434"/>
        <v>MSI</v>
      </c>
      <c r="D3042" s="544" t="s">
        <v>4491</v>
      </c>
      <c r="E3042" s="507">
        <v>308.0</v>
      </c>
      <c r="F3042" s="507">
        <v>120.0</v>
      </c>
      <c r="G3042" s="507">
        <v>52.0</v>
      </c>
      <c r="H3042" s="260">
        <v>2.0</v>
      </c>
      <c r="I3042" s="260">
        <v>2625.0</v>
      </c>
      <c r="J3042" s="518">
        <v>21.0</v>
      </c>
      <c r="K3042" s="507">
        <v>285.0</v>
      </c>
      <c r="L3042" s="507" t="s">
        <v>3619</v>
      </c>
      <c r="M3042" s="507">
        <v>3.0</v>
      </c>
      <c r="N3042" s="507">
        <v>3.0</v>
      </c>
      <c r="O3042" s="507">
        <v>1.0</v>
      </c>
      <c r="P3042" s="507" t="s">
        <v>166</v>
      </c>
      <c r="Q3042" s="507" t="s">
        <v>166</v>
      </c>
      <c r="R3042" s="507" t="s">
        <v>166</v>
      </c>
      <c r="S3042" s="507" t="s">
        <v>166</v>
      </c>
      <c r="T3042" s="509"/>
    </row>
    <row r="3043">
      <c r="A3043" s="494" t="s">
        <v>3401</v>
      </c>
      <c r="B3043" s="505" t="s">
        <v>4532</v>
      </c>
      <c r="C3043" s="174" t="str">
        <f t="shared" si="434"/>
        <v>MSI</v>
      </c>
      <c r="D3043" s="544" t="s">
        <v>4492</v>
      </c>
      <c r="E3043" s="507">
        <v>308.0</v>
      </c>
      <c r="F3043" s="507">
        <v>120.0</v>
      </c>
      <c r="G3043" s="507">
        <v>52.0</v>
      </c>
      <c r="H3043" s="260">
        <v>2.0</v>
      </c>
      <c r="I3043" s="260">
        <v>2655.0</v>
      </c>
      <c r="J3043" s="518">
        <v>21.0</v>
      </c>
      <c r="K3043" s="507">
        <v>285.0</v>
      </c>
      <c r="L3043" s="507" t="s">
        <v>3619</v>
      </c>
      <c r="M3043" s="507">
        <v>3.0</v>
      </c>
      <c r="N3043" s="507">
        <v>3.0</v>
      </c>
      <c r="O3043" s="507">
        <v>1.0</v>
      </c>
      <c r="P3043" s="507" t="s">
        <v>166</v>
      </c>
      <c r="Q3043" s="507" t="s">
        <v>166</v>
      </c>
      <c r="R3043" s="507" t="s">
        <v>166</v>
      </c>
      <c r="S3043" s="507" t="s">
        <v>166</v>
      </c>
      <c r="T3043" s="509"/>
    </row>
    <row r="3044">
      <c r="A3044" s="494" t="s">
        <v>3401</v>
      </c>
      <c r="B3044" s="505" t="s">
        <v>4532</v>
      </c>
      <c r="C3044" s="174" t="str">
        <f t="shared" si="434"/>
        <v>MSI</v>
      </c>
      <c r="D3044" s="544" t="s">
        <v>4493</v>
      </c>
      <c r="E3044" s="507">
        <v>307.0</v>
      </c>
      <c r="F3044" s="507">
        <v>125.0</v>
      </c>
      <c r="G3044" s="507">
        <v>51.0</v>
      </c>
      <c r="H3044" s="260">
        <v>2.0</v>
      </c>
      <c r="I3044" s="260">
        <v>2625.0</v>
      </c>
      <c r="J3044" s="518">
        <v>21.0</v>
      </c>
      <c r="K3044" s="507">
        <v>285.0</v>
      </c>
      <c r="L3044" s="507" t="s">
        <v>3619</v>
      </c>
      <c r="M3044" s="507">
        <v>3.0</v>
      </c>
      <c r="N3044" s="507">
        <v>3.0</v>
      </c>
      <c r="O3044" s="507">
        <v>1.0</v>
      </c>
      <c r="P3044" s="507" t="s">
        <v>166</v>
      </c>
      <c r="Q3044" s="507" t="s">
        <v>166</v>
      </c>
      <c r="R3044" s="507" t="s">
        <v>166</v>
      </c>
      <c r="S3044" s="507" t="s">
        <v>166</v>
      </c>
      <c r="T3044" s="509"/>
    </row>
    <row r="3045">
      <c r="A3045" s="494" t="s">
        <v>3401</v>
      </c>
      <c r="B3045" s="505" t="s">
        <v>4532</v>
      </c>
      <c r="C3045" s="174" t="str">
        <f t="shared" si="434"/>
        <v>MSI</v>
      </c>
      <c r="D3045" s="544" t="s">
        <v>4495</v>
      </c>
      <c r="E3045" s="507">
        <v>307.0</v>
      </c>
      <c r="F3045" s="507">
        <v>125.0</v>
      </c>
      <c r="G3045" s="507">
        <v>51.0</v>
      </c>
      <c r="H3045" s="260">
        <v>2.0</v>
      </c>
      <c r="I3045" s="260">
        <v>2625.0</v>
      </c>
      <c r="J3045" s="518">
        <v>21.0</v>
      </c>
      <c r="K3045" s="507">
        <v>285.0</v>
      </c>
      <c r="L3045" s="507" t="s">
        <v>3619</v>
      </c>
      <c r="M3045" s="507">
        <v>3.0</v>
      </c>
      <c r="N3045" s="507">
        <v>3.0</v>
      </c>
      <c r="O3045" s="507">
        <v>1.0</v>
      </c>
      <c r="P3045" s="507" t="s">
        <v>166</v>
      </c>
      <c r="Q3045" s="507" t="s">
        <v>166</v>
      </c>
      <c r="R3045" s="507" t="s">
        <v>166</v>
      </c>
      <c r="S3045" s="507" t="s">
        <v>166</v>
      </c>
      <c r="T3045" s="509"/>
    </row>
    <row r="3046">
      <c r="A3046" s="494" t="s">
        <v>3401</v>
      </c>
      <c r="B3046" s="505" t="s">
        <v>4532</v>
      </c>
      <c r="C3046" s="174" t="str">
        <f t="shared" si="434"/>
        <v>MSI</v>
      </c>
      <c r="D3046" s="544" t="s">
        <v>4496</v>
      </c>
      <c r="E3046" s="507">
        <v>307.0</v>
      </c>
      <c r="F3046" s="507">
        <v>125.0</v>
      </c>
      <c r="G3046" s="507">
        <v>51.0</v>
      </c>
      <c r="H3046" s="260">
        <v>2.0</v>
      </c>
      <c r="I3046" s="260">
        <v>2745.0</v>
      </c>
      <c r="J3046" s="518">
        <v>21.0</v>
      </c>
      <c r="K3046" s="507">
        <v>285.0</v>
      </c>
      <c r="L3046" s="507" t="s">
        <v>3619</v>
      </c>
      <c r="M3046" s="507">
        <v>3.0</v>
      </c>
      <c r="N3046" s="507">
        <v>3.0</v>
      </c>
      <c r="O3046" s="507">
        <v>1.0</v>
      </c>
      <c r="P3046" s="507" t="s">
        <v>166</v>
      </c>
      <c r="Q3046" s="507" t="s">
        <v>166</v>
      </c>
      <c r="R3046" s="507" t="s">
        <v>166</v>
      </c>
      <c r="S3046" s="507" t="s">
        <v>166</v>
      </c>
      <c r="T3046" s="509"/>
    </row>
    <row r="3047">
      <c r="A3047" s="494" t="s">
        <v>3401</v>
      </c>
      <c r="B3047" s="505" t="s">
        <v>4532</v>
      </c>
      <c r="C3047" s="174" t="str">
        <f t="shared" si="434"/>
        <v>MSI</v>
      </c>
      <c r="D3047" s="544" t="s">
        <v>4497</v>
      </c>
      <c r="E3047" s="507">
        <v>307.0</v>
      </c>
      <c r="F3047" s="507">
        <v>125.0</v>
      </c>
      <c r="G3047" s="507">
        <v>51.0</v>
      </c>
      <c r="H3047" s="260">
        <v>2.0</v>
      </c>
      <c r="I3047" s="260">
        <v>2745.0</v>
      </c>
      <c r="J3047" s="518">
        <v>21.0</v>
      </c>
      <c r="K3047" s="507">
        <v>285.0</v>
      </c>
      <c r="L3047" s="507" t="s">
        <v>3619</v>
      </c>
      <c r="M3047" s="507">
        <v>3.0</v>
      </c>
      <c r="N3047" s="507">
        <v>3.0</v>
      </c>
      <c r="O3047" s="507">
        <v>1.0</v>
      </c>
      <c r="P3047" s="507" t="s">
        <v>166</v>
      </c>
      <c r="Q3047" s="507" t="s">
        <v>166</v>
      </c>
      <c r="R3047" s="507" t="s">
        <v>166</v>
      </c>
      <c r="S3047" s="507" t="s">
        <v>166</v>
      </c>
      <c r="T3047" s="509"/>
    </row>
    <row r="3048">
      <c r="A3048" s="494" t="s">
        <v>3401</v>
      </c>
      <c r="B3048" s="505" t="s">
        <v>4532</v>
      </c>
      <c r="C3048" s="174" t="str">
        <f t="shared" si="434"/>
        <v>MSI</v>
      </c>
      <c r="D3048" s="544" t="s">
        <v>3720</v>
      </c>
      <c r="E3048" s="507">
        <v>337.0</v>
      </c>
      <c r="F3048" s="507">
        <v>140.0</v>
      </c>
      <c r="G3048" s="507">
        <v>62.0</v>
      </c>
      <c r="H3048" s="260">
        <v>3.0</v>
      </c>
      <c r="I3048" s="260">
        <v>2625.0</v>
      </c>
      <c r="J3048" s="518">
        <v>21.0</v>
      </c>
      <c r="K3048" s="507">
        <v>285.0</v>
      </c>
      <c r="L3048" s="507" t="s">
        <v>3619</v>
      </c>
      <c r="M3048" s="507">
        <v>3.0</v>
      </c>
      <c r="N3048" s="507">
        <v>3.0</v>
      </c>
      <c r="O3048" s="507">
        <v>1.0</v>
      </c>
      <c r="P3048" s="507" t="s">
        <v>166</v>
      </c>
      <c r="Q3048" s="507" t="s">
        <v>166</v>
      </c>
      <c r="R3048" s="507" t="s">
        <v>166</v>
      </c>
      <c r="S3048" s="507" t="s">
        <v>166</v>
      </c>
      <c r="T3048" s="509"/>
    </row>
    <row r="3049">
      <c r="A3049" s="494" t="s">
        <v>3401</v>
      </c>
      <c r="B3049" s="505" t="s">
        <v>4532</v>
      </c>
      <c r="C3049" s="174" t="str">
        <f t="shared" si="434"/>
        <v>MSI</v>
      </c>
      <c r="D3049" s="544" t="s">
        <v>4550</v>
      </c>
      <c r="E3049" s="507">
        <v>337.0</v>
      </c>
      <c r="F3049" s="507">
        <v>140.0</v>
      </c>
      <c r="G3049" s="507">
        <v>62.0</v>
      </c>
      <c r="H3049" s="260">
        <v>3.0</v>
      </c>
      <c r="I3049" s="260">
        <v>2625.0</v>
      </c>
      <c r="J3049" s="518">
        <v>21.0</v>
      </c>
      <c r="K3049" s="507">
        <v>285.0</v>
      </c>
      <c r="L3049" s="507" t="s">
        <v>3619</v>
      </c>
      <c r="M3049" s="507">
        <v>3.0</v>
      </c>
      <c r="N3049" s="507">
        <v>3.0</v>
      </c>
      <c r="O3049" s="507">
        <v>1.0</v>
      </c>
      <c r="P3049" s="507" t="s">
        <v>166</v>
      </c>
      <c r="Q3049" s="507" t="s">
        <v>166</v>
      </c>
      <c r="R3049" s="507" t="s">
        <v>166</v>
      </c>
      <c r="S3049" s="507" t="s">
        <v>166</v>
      </c>
      <c r="T3049" s="509"/>
    </row>
    <row r="3050">
      <c r="A3050" s="494" t="s">
        <v>3401</v>
      </c>
      <c r="B3050" s="505" t="s">
        <v>4532</v>
      </c>
      <c r="C3050" s="174" t="str">
        <f t="shared" si="434"/>
        <v>MSI</v>
      </c>
      <c r="D3050" s="544" t="s">
        <v>3721</v>
      </c>
      <c r="E3050" s="507">
        <v>337.0</v>
      </c>
      <c r="F3050" s="507">
        <v>140.0</v>
      </c>
      <c r="G3050" s="507">
        <v>62.0</v>
      </c>
      <c r="H3050" s="260">
        <v>3.0</v>
      </c>
      <c r="I3050" s="260">
        <v>2760.0</v>
      </c>
      <c r="J3050" s="518">
        <v>21.0</v>
      </c>
      <c r="K3050" s="507">
        <v>285.0</v>
      </c>
      <c r="L3050" s="507" t="s">
        <v>3619</v>
      </c>
      <c r="M3050" s="507">
        <v>3.0</v>
      </c>
      <c r="N3050" s="507">
        <v>3.0</v>
      </c>
      <c r="O3050" s="507">
        <v>1.0</v>
      </c>
      <c r="P3050" s="507" t="s">
        <v>166</v>
      </c>
      <c r="Q3050" s="507" t="s">
        <v>166</v>
      </c>
      <c r="R3050" s="507" t="s">
        <v>166</v>
      </c>
      <c r="S3050" s="507" t="s">
        <v>166</v>
      </c>
      <c r="T3050" s="509"/>
    </row>
    <row r="3051">
      <c r="A3051" s="494" t="s">
        <v>3401</v>
      </c>
      <c r="B3051" s="505" t="s">
        <v>4532</v>
      </c>
      <c r="C3051" s="174" t="str">
        <f t="shared" si="434"/>
        <v>MSI</v>
      </c>
      <c r="D3051" s="544" t="s">
        <v>4551</v>
      </c>
      <c r="E3051" s="507">
        <v>337.0</v>
      </c>
      <c r="F3051" s="507">
        <v>140.0</v>
      </c>
      <c r="G3051" s="507">
        <v>62.0</v>
      </c>
      <c r="H3051" s="260">
        <v>3.0</v>
      </c>
      <c r="I3051" s="260">
        <v>2760.0</v>
      </c>
      <c r="J3051" s="518">
        <v>21.0</v>
      </c>
      <c r="K3051" s="507">
        <v>285.0</v>
      </c>
      <c r="L3051" s="507" t="s">
        <v>3619</v>
      </c>
      <c r="M3051" s="507">
        <v>3.0</v>
      </c>
      <c r="N3051" s="507">
        <v>3.0</v>
      </c>
      <c r="O3051" s="507">
        <v>1.0</v>
      </c>
      <c r="P3051" s="507" t="s">
        <v>166</v>
      </c>
      <c r="Q3051" s="507" t="s">
        <v>166</v>
      </c>
      <c r="R3051" s="507" t="s">
        <v>166</v>
      </c>
      <c r="S3051" s="507" t="s">
        <v>166</v>
      </c>
      <c r="T3051" s="509"/>
    </row>
    <row r="3052">
      <c r="A3052" s="494" t="s">
        <v>3401</v>
      </c>
      <c r="B3052" s="505" t="s">
        <v>4532</v>
      </c>
      <c r="C3052" s="174" t="str">
        <f t="shared" si="434"/>
        <v>MSI</v>
      </c>
      <c r="D3052" s="544" t="s">
        <v>4316</v>
      </c>
      <c r="E3052" s="507">
        <v>338.0</v>
      </c>
      <c r="F3052" s="507">
        <v>142.0</v>
      </c>
      <c r="G3052" s="507">
        <v>73.0</v>
      </c>
      <c r="H3052" s="260">
        <v>3.0</v>
      </c>
      <c r="I3052" s="260">
        <v>2760.0</v>
      </c>
      <c r="J3052" s="518">
        <v>21.0</v>
      </c>
      <c r="K3052" s="507">
        <v>285.0</v>
      </c>
      <c r="L3052" s="507" t="s">
        <v>3619</v>
      </c>
      <c r="M3052" s="507">
        <v>3.0</v>
      </c>
      <c r="N3052" s="507">
        <v>3.0</v>
      </c>
      <c r="O3052" s="507">
        <v>1.0</v>
      </c>
      <c r="P3052" s="507" t="s">
        <v>166</v>
      </c>
      <c r="Q3052" s="507" t="s">
        <v>166</v>
      </c>
      <c r="R3052" s="507" t="s">
        <v>166</v>
      </c>
      <c r="S3052" s="507" t="s">
        <v>166</v>
      </c>
      <c r="T3052" s="509"/>
    </row>
    <row r="3053">
      <c r="A3053" s="494" t="s">
        <v>3401</v>
      </c>
      <c r="B3053" s="505" t="s">
        <v>4532</v>
      </c>
      <c r="C3053" s="174" t="str">
        <f t="shared" si="434"/>
        <v>MSI</v>
      </c>
      <c r="D3053" s="544" t="s">
        <v>4318</v>
      </c>
      <c r="E3053" s="507">
        <v>338.0</v>
      </c>
      <c r="F3053" s="507">
        <v>142.0</v>
      </c>
      <c r="G3053" s="507">
        <v>73.0</v>
      </c>
      <c r="H3053" s="260">
        <v>3.0</v>
      </c>
      <c r="I3053" s="260">
        <v>2790.0</v>
      </c>
      <c r="J3053" s="518">
        <v>21.0</v>
      </c>
      <c r="K3053" s="507">
        <v>285.0</v>
      </c>
      <c r="L3053" s="507" t="s">
        <v>3619</v>
      </c>
      <c r="M3053" s="507">
        <v>3.0</v>
      </c>
      <c r="N3053" s="507">
        <v>3.0</v>
      </c>
      <c r="O3053" s="507">
        <v>1.0</v>
      </c>
      <c r="P3053" s="507" t="s">
        <v>166</v>
      </c>
      <c r="Q3053" s="507" t="s">
        <v>166</v>
      </c>
      <c r="R3053" s="507" t="s">
        <v>166</v>
      </c>
      <c r="S3053" s="507" t="s">
        <v>166</v>
      </c>
      <c r="T3053" s="509"/>
    </row>
    <row r="3054">
      <c r="A3054" s="494" t="s">
        <v>3401</v>
      </c>
      <c r="B3054" s="505" t="s">
        <v>4532</v>
      </c>
      <c r="C3054" s="452" t="str">
        <f t="shared" ref="C3054:C3062" si="435">HYPERLINK("http://www.palit.com/palit/index.php?lang=en","Palit")</f>
        <v>Palit</v>
      </c>
      <c r="D3054" s="544" t="s">
        <v>3998</v>
      </c>
      <c r="E3054" s="507">
        <v>328.9</v>
      </c>
      <c r="F3054" s="507">
        <v>130.5</v>
      </c>
      <c r="G3054" s="507">
        <v>63.5</v>
      </c>
      <c r="H3054" s="260">
        <v>2.0</v>
      </c>
      <c r="I3054" s="260">
        <v>2610.0</v>
      </c>
      <c r="J3054" s="518">
        <v>21.0</v>
      </c>
      <c r="K3054" s="507">
        <v>285.0</v>
      </c>
      <c r="L3054" s="507" t="s">
        <v>3619</v>
      </c>
      <c r="M3054" s="507">
        <v>3.0</v>
      </c>
      <c r="N3054" s="507">
        <v>3.0</v>
      </c>
      <c r="O3054" s="507">
        <v>1.0</v>
      </c>
      <c r="P3054" s="507" t="s">
        <v>166</v>
      </c>
      <c r="Q3054" s="507" t="s">
        <v>166</v>
      </c>
      <c r="R3054" s="507" t="s">
        <v>166</v>
      </c>
      <c r="S3054" s="507" t="s">
        <v>166</v>
      </c>
      <c r="T3054" s="509"/>
    </row>
    <row r="3055">
      <c r="A3055" s="494" t="s">
        <v>3401</v>
      </c>
      <c r="B3055" s="505" t="s">
        <v>4532</v>
      </c>
      <c r="C3055" s="452" t="str">
        <f t="shared" si="435"/>
        <v>Palit</v>
      </c>
      <c r="D3055" s="544" t="s">
        <v>4067</v>
      </c>
      <c r="E3055" s="507">
        <v>328.9</v>
      </c>
      <c r="F3055" s="507">
        <v>132.9</v>
      </c>
      <c r="G3055" s="507">
        <v>63.4</v>
      </c>
      <c r="H3055" s="260">
        <v>2.0</v>
      </c>
      <c r="I3055" s="260">
        <v>2610.0</v>
      </c>
      <c r="J3055" s="518">
        <v>21.0</v>
      </c>
      <c r="K3055" s="507">
        <v>285.0</v>
      </c>
      <c r="L3055" s="507" t="s">
        <v>3619</v>
      </c>
      <c r="M3055" s="507">
        <v>3.0</v>
      </c>
      <c r="N3055" s="507">
        <v>3.0</v>
      </c>
      <c r="O3055" s="507">
        <v>1.0</v>
      </c>
      <c r="P3055" s="507" t="s">
        <v>166</v>
      </c>
      <c r="Q3055" s="507" t="s">
        <v>166</v>
      </c>
      <c r="R3055" s="507" t="s">
        <v>166</v>
      </c>
      <c r="S3055" s="507" t="s">
        <v>166</v>
      </c>
      <c r="T3055" s="509"/>
    </row>
    <row r="3056">
      <c r="A3056" s="494" t="s">
        <v>3401</v>
      </c>
      <c r="B3056" s="505" t="s">
        <v>4532</v>
      </c>
      <c r="C3056" s="452" t="str">
        <f t="shared" si="435"/>
        <v>Palit</v>
      </c>
      <c r="D3056" s="544" t="s">
        <v>4068</v>
      </c>
      <c r="E3056" s="507">
        <v>328.9</v>
      </c>
      <c r="F3056" s="507">
        <v>132.9</v>
      </c>
      <c r="G3056" s="507">
        <v>63.4</v>
      </c>
      <c r="H3056" s="260">
        <v>2.0</v>
      </c>
      <c r="I3056" s="260">
        <v>2760.0</v>
      </c>
      <c r="J3056" s="518">
        <v>21.0</v>
      </c>
      <c r="K3056" s="507">
        <v>285.0</v>
      </c>
      <c r="L3056" s="507" t="s">
        <v>3619</v>
      </c>
      <c r="M3056" s="507">
        <v>3.0</v>
      </c>
      <c r="N3056" s="507">
        <v>3.0</v>
      </c>
      <c r="O3056" s="507">
        <v>1.0</v>
      </c>
      <c r="P3056" s="507" t="s">
        <v>166</v>
      </c>
      <c r="Q3056" s="507" t="s">
        <v>166</v>
      </c>
      <c r="R3056" s="507" t="s">
        <v>166</v>
      </c>
      <c r="S3056" s="507" t="s">
        <v>166</v>
      </c>
      <c r="T3056" s="509"/>
    </row>
    <row r="3057">
      <c r="A3057" s="494" t="s">
        <v>3401</v>
      </c>
      <c r="B3057" s="505" t="s">
        <v>4532</v>
      </c>
      <c r="C3057" s="452" t="str">
        <f t="shared" si="435"/>
        <v>Palit</v>
      </c>
      <c r="D3057" s="544" t="s">
        <v>4552</v>
      </c>
      <c r="E3057" s="507">
        <v>328.9</v>
      </c>
      <c r="F3057" s="507">
        <v>132.9</v>
      </c>
      <c r="G3057" s="507">
        <v>63.4</v>
      </c>
      <c r="H3057" s="260">
        <v>2.0</v>
      </c>
      <c r="I3057" s="260">
        <v>2670.0</v>
      </c>
      <c r="J3057" s="518">
        <v>21.0</v>
      </c>
      <c r="K3057" s="507">
        <v>285.0</v>
      </c>
      <c r="L3057" s="507" t="s">
        <v>3619</v>
      </c>
      <c r="M3057" s="507">
        <v>3.0</v>
      </c>
      <c r="N3057" s="507">
        <v>3.0</v>
      </c>
      <c r="O3057" s="507">
        <v>1.0</v>
      </c>
      <c r="P3057" s="507" t="s">
        <v>166</v>
      </c>
      <c r="Q3057" s="507" t="s">
        <v>166</v>
      </c>
      <c r="R3057" s="507" t="s">
        <v>166</v>
      </c>
      <c r="S3057" s="507" t="s">
        <v>166</v>
      </c>
      <c r="T3057" s="509"/>
    </row>
    <row r="3058">
      <c r="A3058" s="494" t="s">
        <v>3401</v>
      </c>
      <c r="B3058" s="505" t="s">
        <v>4532</v>
      </c>
      <c r="C3058" s="452" t="str">
        <f t="shared" si="435"/>
        <v>Palit</v>
      </c>
      <c r="D3058" s="544" t="s">
        <v>4553</v>
      </c>
      <c r="E3058" s="507">
        <v>313.9</v>
      </c>
      <c r="F3058" s="507">
        <v>137.0</v>
      </c>
      <c r="G3058" s="507">
        <v>65.1</v>
      </c>
      <c r="H3058" s="260">
        <v>2.0</v>
      </c>
      <c r="I3058" s="260">
        <v>2610.0</v>
      </c>
      <c r="J3058" s="518">
        <v>21.0</v>
      </c>
      <c r="K3058" s="507">
        <v>285.0</v>
      </c>
      <c r="L3058" s="507" t="s">
        <v>3619</v>
      </c>
      <c r="M3058" s="507">
        <v>3.0</v>
      </c>
      <c r="N3058" s="507">
        <v>3.0</v>
      </c>
      <c r="O3058" s="507">
        <v>1.0</v>
      </c>
      <c r="P3058" s="507" t="s">
        <v>166</v>
      </c>
      <c r="Q3058" s="507" t="s">
        <v>166</v>
      </c>
      <c r="R3058" s="507" t="s">
        <v>166</v>
      </c>
      <c r="S3058" s="507" t="s">
        <v>166</v>
      </c>
      <c r="T3058" s="509"/>
    </row>
    <row r="3059">
      <c r="A3059" s="494" t="s">
        <v>3401</v>
      </c>
      <c r="B3059" s="505" t="s">
        <v>4532</v>
      </c>
      <c r="C3059" s="452" t="str">
        <f t="shared" si="435"/>
        <v>Palit</v>
      </c>
      <c r="D3059" s="544" t="s">
        <v>4554</v>
      </c>
      <c r="E3059" s="507">
        <v>313.9</v>
      </c>
      <c r="F3059" s="507">
        <v>137.0</v>
      </c>
      <c r="G3059" s="507">
        <v>65.1</v>
      </c>
      <c r="H3059" s="260">
        <v>2.0</v>
      </c>
      <c r="I3059" s="260">
        <v>2760.0</v>
      </c>
      <c r="J3059" s="518">
        <v>21.0</v>
      </c>
      <c r="K3059" s="507">
        <v>285.0</v>
      </c>
      <c r="L3059" s="507" t="s">
        <v>3619</v>
      </c>
      <c r="M3059" s="507">
        <v>3.0</v>
      </c>
      <c r="N3059" s="507">
        <v>3.0</v>
      </c>
      <c r="O3059" s="507">
        <v>1.0</v>
      </c>
      <c r="P3059" s="507" t="s">
        <v>166</v>
      </c>
      <c r="Q3059" s="507" t="s">
        <v>166</v>
      </c>
      <c r="R3059" s="507" t="s">
        <v>166</v>
      </c>
      <c r="S3059" s="507" t="s">
        <v>166</v>
      </c>
      <c r="T3059" s="509"/>
    </row>
    <row r="3060">
      <c r="A3060" s="494" t="s">
        <v>3401</v>
      </c>
      <c r="B3060" s="505" t="s">
        <v>4532</v>
      </c>
      <c r="C3060" s="452" t="str">
        <f t="shared" si="435"/>
        <v>Palit</v>
      </c>
      <c r="D3060" s="544" t="s">
        <v>4000</v>
      </c>
      <c r="E3060" s="507">
        <v>328.9</v>
      </c>
      <c r="F3060" s="507">
        <v>137.0</v>
      </c>
      <c r="G3060" s="507">
        <v>64.4</v>
      </c>
      <c r="H3060" s="260">
        <v>2.0</v>
      </c>
      <c r="I3060" s="260">
        <v>2610.0</v>
      </c>
      <c r="J3060" s="518">
        <v>21.0</v>
      </c>
      <c r="K3060" s="507">
        <v>285.0</v>
      </c>
      <c r="L3060" s="507" t="s">
        <v>3619</v>
      </c>
      <c r="M3060" s="507">
        <v>3.0</v>
      </c>
      <c r="N3060" s="507">
        <v>3.0</v>
      </c>
      <c r="O3060" s="507">
        <v>1.0</v>
      </c>
      <c r="P3060" s="507" t="s">
        <v>166</v>
      </c>
      <c r="Q3060" s="507" t="s">
        <v>166</v>
      </c>
      <c r="R3060" s="507" t="s">
        <v>166</v>
      </c>
      <c r="S3060" s="507" t="s">
        <v>166</v>
      </c>
      <c r="T3060" s="509"/>
    </row>
    <row r="3061">
      <c r="A3061" s="494" t="s">
        <v>3401</v>
      </c>
      <c r="B3061" s="505" t="s">
        <v>4532</v>
      </c>
      <c r="C3061" s="452" t="str">
        <f t="shared" si="435"/>
        <v>Palit</v>
      </c>
      <c r="D3061" s="544" t="s">
        <v>4324</v>
      </c>
      <c r="E3061" s="507">
        <v>328.9</v>
      </c>
      <c r="F3061" s="507">
        <v>137.0</v>
      </c>
      <c r="G3061" s="507">
        <v>64.4</v>
      </c>
      <c r="H3061" s="260">
        <v>2.0</v>
      </c>
      <c r="I3061" s="260">
        <v>2775.0</v>
      </c>
      <c r="J3061" s="518">
        <v>21.0</v>
      </c>
      <c r="K3061" s="507">
        <v>285.0</v>
      </c>
      <c r="L3061" s="507" t="s">
        <v>3619</v>
      </c>
      <c r="M3061" s="507">
        <v>3.0</v>
      </c>
      <c r="N3061" s="507">
        <v>3.0</v>
      </c>
      <c r="O3061" s="507">
        <v>1.0</v>
      </c>
      <c r="P3061" s="507" t="s">
        <v>166</v>
      </c>
      <c r="Q3061" s="507" t="s">
        <v>166</v>
      </c>
      <c r="R3061" s="507" t="s">
        <v>166</v>
      </c>
      <c r="S3061" s="507" t="s">
        <v>166</v>
      </c>
      <c r="T3061" s="509"/>
    </row>
    <row r="3062">
      <c r="A3062" s="494" t="s">
        <v>3401</v>
      </c>
      <c r="B3062" s="505" t="s">
        <v>4532</v>
      </c>
      <c r="C3062" s="452" t="str">
        <f t="shared" si="435"/>
        <v>Palit</v>
      </c>
      <c r="D3062" s="544" t="s">
        <v>4001</v>
      </c>
      <c r="E3062" s="507">
        <v>328.9</v>
      </c>
      <c r="F3062" s="507">
        <v>137.0</v>
      </c>
      <c r="G3062" s="507">
        <v>64.4</v>
      </c>
      <c r="H3062" s="260">
        <v>2.0</v>
      </c>
      <c r="I3062" s="260">
        <v>2790.0</v>
      </c>
      <c r="J3062" s="518">
        <v>21.0</v>
      </c>
      <c r="K3062" s="507">
        <v>285.0</v>
      </c>
      <c r="L3062" s="507" t="s">
        <v>3619</v>
      </c>
      <c r="M3062" s="507">
        <v>3.0</v>
      </c>
      <c r="N3062" s="507">
        <v>3.0</v>
      </c>
      <c r="O3062" s="507">
        <v>1.0</v>
      </c>
      <c r="P3062" s="507" t="s">
        <v>166</v>
      </c>
      <c r="Q3062" s="507" t="s">
        <v>166</v>
      </c>
      <c r="R3062" s="507" t="s">
        <v>166</v>
      </c>
      <c r="S3062" s="507" t="s">
        <v>166</v>
      </c>
      <c r="T3062" s="509"/>
    </row>
    <row r="3063">
      <c r="A3063" s="494" t="s">
        <v>3401</v>
      </c>
      <c r="B3063" s="505" t="s">
        <v>4532</v>
      </c>
      <c r="C3063" s="452" t="str">
        <f t="shared" ref="C3063:C3065" si="436">HYPERLINK("https://pny.com/","PNY")</f>
        <v>PNY</v>
      </c>
      <c r="D3063" s="544" t="s">
        <v>4352</v>
      </c>
      <c r="E3063" s="507">
        <v>305.05</v>
      </c>
      <c r="F3063" s="507">
        <v>119.38</v>
      </c>
      <c r="G3063" s="507">
        <v>60.96</v>
      </c>
      <c r="H3063" s="260">
        <v>3.0</v>
      </c>
      <c r="I3063" s="260">
        <v>2610.0</v>
      </c>
      <c r="J3063" s="518">
        <v>21.0</v>
      </c>
      <c r="K3063" s="507">
        <v>285.0</v>
      </c>
      <c r="L3063" s="507" t="s">
        <v>3619</v>
      </c>
      <c r="M3063" s="507">
        <v>3.0</v>
      </c>
      <c r="N3063" s="507">
        <v>3.0</v>
      </c>
      <c r="O3063" s="507">
        <v>1.0</v>
      </c>
      <c r="P3063" s="507" t="s">
        <v>166</v>
      </c>
      <c r="Q3063" s="507" t="s">
        <v>166</v>
      </c>
      <c r="R3063" s="507" t="s">
        <v>166</v>
      </c>
      <c r="S3063" s="507" t="s">
        <v>166</v>
      </c>
      <c r="T3063" s="509"/>
    </row>
    <row r="3064">
      <c r="A3064" s="494" t="s">
        <v>3401</v>
      </c>
      <c r="B3064" s="505" t="s">
        <v>4532</v>
      </c>
      <c r="C3064" s="452" t="str">
        <f t="shared" si="436"/>
        <v>PNY</v>
      </c>
      <c r="D3064" s="544" t="s">
        <v>4471</v>
      </c>
      <c r="E3064" s="507">
        <v>331.72</v>
      </c>
      <c r="F3064" s="507">
        <v>136.91</v>
      </c>
      <c r="G3064" s="507">
        <v>66.55</v>
      </c>
      <c r="H3064" s="260">
        <v>3.0</v>
      </c>
      <c r="I3064" s="260">
        <v>2610.0</v>
      </c>
      <c r="J3064" s="518">
        <v>21.0</v>
      </c>
      <c r="K3064" s="507">
        <v>285.0</v>
      </c>
      <c r="L3064" s="507" t="s">
        <v>3619</v>
      </c>
      <c r="M3064" s="507">
        <v>3.0</v>
      </c>
      <c r="N3064" s="507">
        <v>3.0</v>
      </c>
      <c r="O3064" s="507">
        <v>1.0</v>
      </c>
      <c r="P3064" s="507" t="s">
        <v>166</v>
      </c>
      <c r="Q3064" s="507" t="s">
        <v>166</v>
      </c>
      <c r="R3064" s="507" t="s">
        <v>166</v>
      </c>
      <c r="S3064" s="507" t="s">
        <v>166</v>
      </c>
      <c r="T3064" s="509"/>
    </row>
    <row r="3065">
      <c r="A3065" s="494" t="s">
        <v>3401</v>
      </c>
      <c r="B3065" s="505" t="s">
        <v>4532</v>
      </c>
      <c r="C3065" s="452" t="str">
        <f t="shared" si="436"/>
        <v>PNY</v>
      </c>
      <c r="D3065" s="544" t="s">
        <v>4472</v>
      </c>
      <c r="E3065" s="507">
        <v>331.72</v>
      </c>
      <c r="F3065" s="507">
        <v>136.91</v>
      </c>
      <c r="G3065" s="507">
        <v>66.55</v>
      </c>
      <c r="H3065" s="260">
        <v>3.0</v>
      </c>
      <c r="I3065" s="260">
        <v>2670.0</v>
      </c>
      <c r="J3065" s="518">
        <v>21.0</v>
      </c>
      <c r="K3065" s="507">
        <v>285.0</v>
      </c>
      <c r="L3065" s="507" t="s">
        <v>3619</v>
      </c>
      <c r="M3065" s="507">
        <v>3.0</v>
      </c>
      <c r="N3065" s="507">
        <v>3.0</v>
      </c>
      <c r="O3065" s="507">
        <v>1.0</v>
      </c>
      <c r="P3065" s="507" t="s">
        <v>166</v>
      </c>
      <c r="Q3065" s="507" t="s">
        <v>166</v>
      </c>
      <c r="R3065" s="507" t="s">
        <v>166</v>
      </c>
      <c r="S3065" s="507" t="s">
        <v>166</v>
      </c>
      <c r="T3065" s="509"/>
    </row>
    <row r="3066">
      <c r="A3066" s="494" t="s">
        <v>3401</v>
      </c>
      <c r="B3066" s="505" t="s">
        <v>4532</v>
      </c>
      <c r="C3066" s="452" t="s">
        <v>3378</v>
      </c>
      <c r="D3066" s="544" t="s">
        <v>4555</v>
      </c>
      <c r="E3066" s="507">
        <v>328.9</v>
      </c>
      <c r="F3066" s="507">
        <v>132.9</v>
      </c>
      <c r="G3066" s="507">
        <v>63.4</v>
      </c>
      <c r="H3066" s="260">
        <v>2.0</v>
      </c>
      <c r="I3066" s="260">
        <v>2610.0</v>
      </c>
      <c r="J3066" s="518">
        <v>21.0</v>
      </c>
      <c r="K3066" s="507">
        <v>285.0</v>
      </c>
      <c r="L3066" s="507" t="s">
        <v>3619</v>
      </c>
      <c r="M3066" s="507">
        <v>3.0</v>
      </c>
      <c r="N3066" s="507">
        <v>3.0</v>
      </c>
      <c r="O3066" s="507">
        <v>1.0</v>
      </c>
      <c r="P3066" s="507" t="s">
        <v>166</v>
      </c>
      <c r="Q3066" s="507" t="s">
        <v>166</v>
      </c>
      <c r="R3066" s="507" t="s">
        <v>166</v>
      </c>
      <c r="S3066" s="507" t="s">
        <v>166</v>
      </c>
      <c r="T3066" s="509"/>
    </row>
    <row r="3067">
      <c r="A3067" s="494" t="s">
        <v>3401</v>
      </c>
      <c r="B3067" s="505" t="s">
        <v>4532</v>
      </c>
      <c r="C3067" s="452" t="s">
        <v>3378</v>
      </c>
      <c r="D3067" s="544" t="s">
        <v>3777</v>
      </c>
      <c r="E3067" s="507">
        <v>330.0</v>
      </c>
      <c r="F3067" s="507">
        <v>136.0</v>
      </c>
      <c r="G3067" s="507">
        <v>67.0</v>
      </c>
      <c r="H3067" s="260">
        <v>2.0</v>
      </c>
      <c r="I3067" s="260">
        <v>2610.0</v>
      </c>
      <c r="J3067" s="518">
        <v>21.0</v>
      </c>
      <c r="K3067" s="507">
        <v>285.0</v>
      </c>
      <c r="L3067" s="507" t="s">
        <v>3619</v>
      </c>
      <c r="M3067" s="507">
        <v>3.0</v>
      </c>
      <c r="N3067" s="507">
        <v>3.0</v>
      </c>
      <c r="O3067" s="507">
        <v>1.0</v>
      </c>
      <c r="P3067" s="507" t="s">
        <v>166</v>
      </c>
      <c r="Q3067" s="507" t="s">
        <v>166</v>
      </c>
      <c r="R3067" s="507" t="s">
        <v>166</v>
      </c>
      <c r="S3067" s="507" t="s">
        <v>166</v>
      </c>
      <c r="T3067" s="509"/>
    </row>
    <row r="3068">
      <c r="A3068" s="494" t="s">
        <v>3401</v>
      </c>
      <c r="B3068" s="505" t="s">
        <v>4532</v>
      </c>
      <c r="C3068" s="452" t="s">
        <v>3378</v>
      </c>
      <c r="D3068" s="537" t="s">
        <v>3794</v>
      </c>
      <c r="E3068" s="507">
        <v>328.0</v>
      </c>
      <c r="F3068" s="507">
        <v>128.0</v>
      </c>
      <c r="G3068" s="507">
        <v>58.0</v>
      </c>
      <c r="H3068" s="260">
        <v>2.0</v>
      </c>
      <c r="I3068" s="260">
        <v>2610.0</v>
      </c>
      <c r="J3068" s="518">
        <v>21.0</v>
      </c>
      <c r="K3068" s="507">
        <v>285.0</v>
      </c>
      <c r="L3068" s="507" t="s">
        <v>3619</v>
      </c>
      <c r="M3068" s="507">
        <v>3.0</v>
      </c>
      <c r="N3068" s="507">
        <v>3.0</v>
      </c>
      <c r="O3068" s="507">
        <v>1.0</v>
      </c>
      <c r="P3068" s="507" t="s">
        <v>166</v>
      </c>
      <c r="Q3068" s="507" t="s">
        <v>166</v>
      </c>
      <c r="R3068" s="507" t="s">
        <v>166</v>
      </c>
      <c r="S3068" s="507" t="s">
        <v>166</v>
      </c>
      <c r="T3068" s="509"/>
    </row>
    <row r="3069">
      <c r="A3069" s="494" t="s">
        <v>3401</v>
      </c>
      <c r="B3069" s="505" t="s">
        <v>4532</v>
      </c>
      <c r="C3069" s="452" t="s">
        <v>3440</v>
      </c>
      <c r="D3069" s="544" t="s">
        <v>4084</v>
      </c>
      <c r="E3069" s="507">
        <v>303.0</v>
      </c>
      <c r="F3069" s="507">
        <v>121.0</v>
      </c>
      <c r="G3069" s="507">
        <v>61.0</v>
      </c>
      <c r="H3069" s="260">
        <v>2.0</v>
      </c>
      <c r="I3069" s="260">
        <v>2640.0</v>
      </c>
      <c r="J3069" s="518">
        <v>21.0</v>
      </c>
      <c r="K3069" s="507">
        <v>285.0</v>
      </c>
      <c r="L3069" s="507" t="s">
        <v>3619</v>
      </c>
      <c r="M3069" s="507">
        <v>3.0</v>
      </c>
      <c r="N3069" s="507">
        <v>3.0</v>
      </c>
      <c r="O3069" s="507">
        <v>1.0</v>
      </c>
      <c r="P3069" s="507" t="s">
        <v>166</v>
      </c>
      <c r="Q3069" s="507" t="s">
        <v>166</v>
      </c>
      <c r="R3069" s="507" t="s">
        <v>166</v>
      </c>
      <c r="S3069" s="507" t="s">
        <v>166</v>
      </c>
      <c r="T3069" s="509"/>
    </row>
    <row r="3070">
      <c r="A3070" s="494" t="s">
        <v>3401</v>
      </c>
      <c r="B3070" s="505" t="s">
        <v>4532</v>
      </c>
      <c r="C3070" s="452" t="s">
        <v>3440</v>
      </c>
      <c r="D3070" s="544" t="s">
        <v>4477</v>
      </c>
      <c r="E3070" s="507">
        <v>303.0</v>
      </c>
      <c r="F3070" s="507">
        <v>121.0</v>
      </c>
      <c r="G3070" s="507">
        <v>61.0</v>
      </c>
      <c r="H3070" s="260">
        <v>2.0</v>
      </c>
      <c r="I3070" s="260">
        <v>2640.0</v>
      </c>
      <c r="J3070" s="518">
        <v>21.0</v>
      </c>
      <c r="K3070" s="507">
        <v>285.0</v>
      </c>
      <c r="L3070" s="507" t="s">
        <v>3619</v>
      </c>
      <c r="M3070" s="507">
        <v>3.0</v>
      </c>
      <c r="N3070" s="507">
        <v>3.0</v>
      </c>
      <c r="O3070" s="507">
        <v>1.0</v>
      </c>
      <c r="P3070" s="507" t="s">
        <v>166</v>
      </c>
      <c r="Q3070" s="507" t="s">
        <v>166</v>
      </c>
      <c r="R3070" s="507" t="s">
        <v>166</v>
      </c>
      <c r="S3070" s="507" t="s">
        <v>166</v>
      </c>
      <c r="T3070" s="509"/>
    </row>
    <row r="3071">
      <c r="A3071" s="494" t="s">
        <v>3401</v>
      </c>
      <c r="B3071" s="505" t="s">
        <v>4532</v>
      </c>
      <c r="C3071" s="452" t="s">
        <v>3440</v>
      </c>
      <c r="D3071" s="544" t="s">
        <v>4556</v>
      </c>
      <c r="E3071" s="507">
        <v>334.0</v>
      </c>
      <c r="F3071" s="507">
        <v>131.0</v>
      </c>
      <c r="G3071" s="507">
        <v>64.0</v>
      </c>
      <c r="H3071" s="260">
        <v>2.0</v>
      </c>
      <c r="I3071" s="260">
        <v>2610.0</v>
      </c>
      <c r="J3071" s="518">
        <v>21.0</v>
      </c>
      <c r="K3071" s="507">
        <v>285.0</v>
      </c>
      <c r="L3071" s="507" t="s">
        <v>3619</v>
      </c>
      <c r="M3071" s="507">
        <v>3.0</v>
      </c>
      <c r="N3071" s="507">
        <v>3.0</v>
      </c>
      <c r="O3071" s="507">
        <v>1.0</v>
      </c>
      <c r="P3071" s="507" t="s">
        <v>166</v>
      </c>
      <c r="Q3071" s="507" t="s">
        <v>166</v>
      </c>
      <c r="R3071" s="507" t="s">
        <v>166</v>
      </c>
      <c r="S3071" s="507" t="s">
        <v>166</v>
      </c>
      <c r="T3071" s="509"/>
    </row>
    <row r="3072">
      <c r="A3072" s="494" t="s">
        <v>3401</v>
      </c>
      <c r="B3072" s="505" t="s">
        <v>4532</v>
      </c>
      <c r="C3072" s="452" t="s">
        <v>3440</v>
      </c>
      <c r="D3072" s="544" t="s">
        <v>4160</v>
      </c>
      <c r="E3072" s="507">
        <v>334.0</v>
      </c>
      <c r="F3072" s="507">
        <v>131.0</v>
      </c>
      <c r="G3072" s="507">
        <v>64.0</v>
      </c>
      <c r="H3072" s="260">
        <v>2.0</v>
      </c>
      <c r="I3072" s="260">
        <v>2670.0</v>
      </c>
      <c r="J3072" s="518">
        <v>21.0</v>
      </c>
      <c r="K3072" s="507">
        <v>285.0</v>
      </c>
      <c r="L3072" s="507" t="s">
        <v>3619</v>
      </c>
      <c r="M3072" s="507">
        <v>3.0</v>
      </c>
      <c r="N3072" s="507">
        <v>3.0</v>
      </c>
      <c r="O3072" s="507">
        <v>1.0</v>
      </c>
      <c r="P3072" s="507" t="s">
        <v>166</v>
      </c>
      <c r="Q3072" s="507" t="s">
        <v>166</v>
      </c>
      <c r="R3072" s="507" t="s">
        <v>166</v>
      </c>
      <c r="S3072" s="507" t="s">
        <v>166</v>
      </c>
      <c r="T3072" s="509"/>
    </row>
    <row r="3073">
      <c r="A3073" s="494" t="s">
        <v>3401</v>
      </c>
      <c r="B3073" s="505" t="s">
        <v>4532</v>
      </c>
      <c r="C3073" s="452" t="s">
        <v>3440</v>
      </c>
      <c r="D3073" s="544" t="s">
        <v>4354</v>
      </c>
      <c r="E3073" s="507">
        <v>306.8</v>
      </c>
      <c r="F3073" s="507">
        <v>119.4</v>
      </c>
      <c r="G3073" s="507">
        <v>58.5</v>
      </c>
      <c r="H3073" s="260">
        <v>2.0</v>
      </c>
      <c r="I3073" s="260">
        <v>2610.0</v>
      </c>
      <c r="J3073" s="518">
        <v>21.0</v>
      </c>
      <c r="K3073" s="507">
        <v>285.0</v>
      </c>
      <c r="L3073" s="507" t="s">
        <v>3619</v>
      </c>
      <c r="M3073" s="507">
        <v>3.0</v>
      </c>
      <c r="N3073" s="507">
        <v>3.0</v>
      </c>
      <c r="O3073" s="507">
        <v>1.0</v>
      </c>
      <c r="P3073" s="507" t="s">
        <v>166</v>
      </c>
      <c r="Q3073" s="507" t="s">
        <v>166</v>
      </c>
      <c r="R3073" s="507" t="s">
        <v>166</v>
      </c>
      <c r="S3073" s="507" t="s">
        <v>166</v>
      </c>
      <c r="T3073" s="509"/>
    </row>
    <row r="3074">
      <c r="A3074" s="494" t="s">
        <v>3401</v>
      </c>
      <c r="B3074" s="505" t="s">
        <v>4532</v>
      </c>
      <c r="C3074" s="452" t="s">
        <v>3440</v>
      </c>
      <c r="D3074" s="544" t="s">
        <v>4355</v>
      </c>
      <c r="E3074" s="507">
        <v>306.8</v>
      </c>
      <c r="F3074" s="507">
        <v>119.4</v>
      </c>
      <c r="G3074" s="507">
        <v>58.5</v>
      </c>
      <c r="H3074" s="260">
        <v>2.0</v>
      </c>
      <c r="I3074" s="260">
        <v>2625.0</v>
      </c>
      <c r="J3074" s="518">
        <v>21.0</v>
      </c>
      <c r="K3074" s="507">
        <v>285.0</v>
      </c>
      <c r="L3074" s="507" t="s">
        <v>3619</v>
      </c>
      <c r="M3074" s="507">
        <v>3.0</v>
      </c>
      <c r="N3074" s="507">
        <v>3.0</v>
      </c>
      <c r="O3074" s="507">
        <v>1.0</v>
      </c>
      <c r="P3074" s="507" t="s">
        <v>166</v>
      </c>
      <c r="Q3074" s="507" t="s">
        <v>166</v>
      </c>
      <c r="R3074" s="507" t="s">
        <v>166</v>
      </c>
      <c r="S3074" s="507" t="s">
        <v>166</v>
      </c>
      <c r="T3074" s="509"/>
    </row>
    <row r="3075">
      <c r="A3075" s="494" t="s">
        <v>3401</v>
      </c>
      <c r="B3075" s="505" t="s">
        <v>4532</v>
      </c>
      <c r="C3075" s="452" t="s">
        <v>3440</v>
      </c>
      <c r="D3075" s="544" t="s">
        <v>4403</v>
      </c>
      <c r="E3075" s="507">
        <v>306.8</v>
      </c>
      <c r="F3075" s="507">
        <v>119.4</v>
      </c>
      <c r="G3075" s="507">
        <v>58.5</v>
      </c>
      <c r="H3075" s="260">
        <v>2.0</v>
      </c>
      <c r="I3075" s="260">
        <v>2625.0</v>
      </c>
      <c r="J3075" s="518">
        <v>21.0</v>
      </c>
      <c r="K3075" s="507">
        <v>285.0</v>
      </c>
      <c r="L3075" s="507" t="s">
        <v>3619</v>
      </c>
      <c r="M3075" s="507">
        <v>3.0</v>
      </c>
      <c r="N3075" s="507">
        <v>3.0</v>
      </c>
      <c r="O3075" s="507">
        <v>1.0</v>
      </c>
      <c r="P3075" s="507" t="s">
        <v>166</v>
      </c>
      <c r="Q3075" s="507" t="s">
        <v>166</v>
      </c>
      <c r="R3075" s="507" t="s">
        <v>166</v>
      </c>
      <c r="S3075" s="507" t="s">
        <v>166</v>
      </c>
      <c r="T3075" s="509"/>
    </row>
    <row r="3076">
      <c r="A3076" s="494" t="s">
        <v>3401</v>
      </c>
      <c r="B3076" s="505" t="s">
        <v>4532</v>
      </c>
      <c r="C3076" s="452" t="s">
        <v>3440</v>
      </c>
      <c r="D3076" s="544" t="s">
        <v>4518</v>
      </c>
      <c r="E3076" s="507">
        <v>307.7</v>
      </c>
      <c r="F3076" s="507">
        <v>125.2</v>
      </c>
      <c r="G3076" s="507">
        <v>58.5</v>
      </c>
      <c r="H3076" s="260">
        <v>2.0</v>
      </c>
      <c r="I3076" s="260">
        <v>2670.0</v>
      </c>
      <c r="J3076" s="518">
        <v>21.0</v>
      </c>
      <c r="K3076" s="507">
        <v>285.0</v>
      </c>
      <c r="L3076" s="507" t="s">
        <v>3619</v>
      </c>
      <c r="M3076" s="507">
        <v>3.0</v>
      </c>
      <c r="N3076" s="507">
        <v>3.0</v>
      </c>
      <c r="O3076" s="507">
        <v>1.0</v>
      </c>
      <c r="P3076" s="507" t="s">
        <v>166</v>
      </c>
      <c r="Q3076" s="507" t="s">
        <v>166</v>
      </c>
      <c r="R3076" s="507" t="s">
        <v>166</v>
      </c>
      <c r="S3076" s="507" t="s">
        <v>166</v>
      </c>
      <c r="T3076" s="509"/>
    </row>
    <row r="3077">
      <c r="A3077" s="494" t="s">
        <v>3401</v>
      </c>
      <c r="B3077" s="505" t="s">
        <v>4532</v>
      </c>
      <c r="C3077" s="452" t="s">
        <v>3440</v>
      </c>
      <c r="D3077" s="544" t="s">
        <v>4519</v>
      </c>
      <c r="E3077" s="507">
        <v>307.7</v>
      </c>
      <c r="F3077" s="507">
        <v>125.2</v>
      </c>
      <c r="G3077" s="507">
        <v>58.5</v>
      </c>
      <c r="H3077" s="260">
        <v>2.0</v>
      </c>
      <c r="I3077" s="260">
        <v>2670.0</v>
      </c>
      <c r="J3077" s="518">
        <v>21.0</v>
      </c>
      <c r="K3077" s="507">
        <v>285.0</v>
      </c>
      <c r="L3077" s="507" t="s">
        <v>3619</v>
      </c>
      <c r="M3077" s="507">
        <v>3.0</v>
      </c>
      <c r="N3077" s="507">
        <v>3.0</v>
      </c>
      <c r="O3077" s="507">
        <v>1.0</v>
      </c>
      <c r="P3077" s="507" t="s">
        <v>166</v>
      </c>
      <c r="Q3077" s="507" t="s">
        <v>166</v>
      </c>
      <c r="R3077" s="507" t="s">
        <v>166</v>
      </c>
      <c r="S3077" s="507" t="s">
        <v>166</v>
      </c>
      <c r="T3077" s="509"/>
    </row>
    <row r="3078">
      <c r="A3078" s="498" t="s">
        <v>3401</v>
      </c>
      <c r="B3078" s="539" t="s">
        <v>4532</v>
      </c>
      <c r="C3078" s="500" t="s">
        <v>3440</v>
      </c>
      <c r="D3078" s="549" t="s">
        <v>4557</v>
      </c>
      <c r="E3078" s="519">
        <v>355.5</v>
      </c>
      <c r="F3078" s="519">
        <v>149.6</v>
      </c>
      <c r="G3078" s="519">
        <v>72.1</v>
      </c>
      <c r="H3078" s="393">
        <v>3.0</v>
      </c>
      <c r="I3078" s="393">
        <v>2700.0</v>
      </c>
      <c r="J3078" s="651">
        <v>21.0</v>
      </c>
      <c r="K3078" s="519">
        <v>285.0</v>
      </c>
      <c r="L3078" s="501" t="s">
        <v>3619</v>
      </c>
      <c r="M3078" s="519">
        <v>3.0</v>
      </c>
      <c r="N3078" s="519">
        <v>3.0</v>
      </c>
      <c r="O3078" s="519">
        <v>1.0</v>
      </c>
      <c r="P3078" s="519" t="s">
        <v>166</v>
      </c>
      <c r="Q3078" s="519" t="s">
        <v>166</v>
      </c>
      <c r="R3078" s="519" t="s">
        <v>166</v>
      </c>
      <c r="S3078" s="519" t="s">
        <v>166</v>
      </c>
      <c r="T3078" s="541"/>
    </row>
    <row r="3079">
      <c r="A3079" s="504" t="s">
        <v>3401</v>
      </c>
      <c r="B3079" s="505" t="s">
        <v>4558</v>
      </c>
      <c r="C3079" s="282" t="str">
        <f t="shared" ref="C3079:C3087" si="437">HYPERLINK("https://www.asus.com/","Asus")</f>
        <v>Asus</v>
      </c>
      <c r="D3079" s="544" t="s">
        <v>3372</v>
      </c>
      <c r="E3079" s="507">
        <v>267.01</v>
      </c>
      <c r="F3079" s="507">
        <v>133.94</v>
      </c>
      <c r="G3079" s="507">
        <v>51.13</v>
      </c>
      <c r="H3079" s="260">
        <v>2.0</v>
      </c>
      <c r="I3079" s="260">
        <v>2640.0</v>
      </c>
      <c r="J3079" s="260">
        <v>21.0</v>
      </c>
      <c r="K3079" s="507">
        <v>285.0</v>
      </c>
      <c r="L3079" s="507" t="s">
        <v>3619</v>
      </c>
      <c r="M3079" s="507">
        <v>2.0</v>
      </c>
      <c r="N3079" s="507">
        <v>3.0</v>
      </c>
      <c r="O3079" s="507">
        <v>1.0</v>
      </c>
      <c r="P3079" s="507" t="s">
        <v>166</v>
      </c>
      <c r="Q3079" s="507" t="s">
        <v>166</v>
      </c>
      <c r="R3079" s="507" t="s">
        <v>166</v>
      </c>
      <c r="S3079" s="507" t="s">
        <v>166</v>
      </c>
      <c r="T3079" s="509"/>
    </row>
    <row r="3080">
      <c r="A3080" s="504" t="s">
        <v>3401</v>
      </c>
      <c r="B3080" s="505" t="s">
        <v>4558</v>
      </c>
      <c r="C3080" s="282" t="str">
        <f t="shared" si="437"/>
        <v>Asus</v>
      </c>
      <c r="D3080" s="544" t="s">
        <v>3381</v>
      </c>
      <c r="E3080" s="507">
        <v>267.01</v>
      </c>
      <c r="F3080" s="507">
        <v>133.94</v>
      </c>
      <c r="G3080" s="507">
        <v>51.13</v>
      </c>
      <c r="H3080" s="260">
        <v>2.0</v>
      </c>
      <c r="I3080" s="260">
        <v>2655.0</v>
      </c>
      <c r="J3080" s="260">
        <v>21.0</v>
      </c>
      <c r="K3080" s="507">
        <v>285.0</v>
      </c>
      <c r="L3080" s="507" t="s">
        <v>3619</v>
      </c>
      <c r="M3080" s="507">
        <v>2.0</v>
      </c>
      <c r="N3080" s="507">
        <v>3.0</v>
      </c>
      <c r="O3080" s="507">
        <v>1.0</v>
      </c>
      <c r="P3080" s="507" t="s">
        <v>166</v>
      </c>
      <c r="Q3080" s="507" t="s">
        <v>166</v>
      </c>
      <c r="R3080" s="507" t="s">
        <v>166</v>
      </c>
      <c r="S3080" s="507" t="s">
        <v>166</v>
      </c>
      <c r="T3080" s="509"/>
    </row>
    <row r="3081">
      <c r="A3081" s="504" t="s">
        <v>3401</v>
      </c>
      <c r="B3081" s="505" t="s">
        <v>4558</v>
      </c>
      <c r="C3081" s="282" t="str">
        <f t="shared" si="437"/>
        <v>Asus</v>
      </c>
      <c r="D3081" s="544" t="s">
        <v>4451</v>
      </c>
      <c r="E3081" s="507">
        <v>300.0</v>
      </c>
      <c r="F3081" s="507">
        <v>120.0</v>
      </c>
      <c r="G3081" s="507">
        <v>50.0</v>
      </c>
      <c r="H3081" s="260">
        <v>2.0</v>
      </c>
      <c r="I3081" s="260">
        <v>2640.0</v>
      </c>
      <c r="J3081" s="260">
        <v>21.0</v>
      </c>
      <c r="K3081" s="507">
        <v>285.0</v>
      </c>
      <c r="L3081" s="507" t="s">
        <v>3619</v>
      </c>
      <c r="M3081" s="507">
        <v>3.0</v>
      </c>
      <c r="N3081" s="507">
        <v>3.0</v>
      </c>
      <c r="O3081" s="507">
        <v>1.0</v>
      </c>
      <c r="P3081" s="507" t="s">
        <v>166</v>
      </c>
      <c r="Q3081" s="507" t="s">
        <v>166</v>
      </c>
      <c r="R3081" s="507" t="s">
        <v>166</v>
      </c>
      <c r="S3081" s="507" t="s">
        <v>166</v>
      </c>
      <c r="T3081" s="509"/>
    </row>
    <row r="3082">
      <c r="A3082" s="504" t="s">
        <v>3401</v>
      </c>
      <c r="B3082" s="505" t="s">
        <v>4558</v>
      </c>
      <c r="C3082" s="282" t="str">
        <f t="shared" si="437"/>
        <v>Asus</v>
      </c>
      <c r="D3082" s="544" t="s">
        <v>4452</v>
      </c>
      <c r="E3082" s="507">
        <v>300.0</v>
      </c>
      <c r="F3082" s="507">
        <v>120.0</v>
      </c>
      <c r="G3082" s="507">
        <v>50.0</v>
      </c>
      <c r="H3082" s="260">
        <v>2.0</v>
      </c>
      <c r="I3082" s="260">
        <v>2670.0</v>
      </c>
      <c r="J3082" s="260">
        <v>21.0</v>
      </c>
      <c r="K3082" s="507">
        <v>285.0</v>
      </c>
      <c r="L3082" s="507" t="s">
        <v>3619</v>
      </c>
      <c r="M3082" s="507">
        <v>3.0</v>
      </c>
      <c r="N3082" s="507">
        <v>3.0</v>
      </c>
      <c r="O3082" s="507">
        <v>1.0</v>
      </c>
      <c r="P3082" s="507" t="s">
        <v>166</v>
      </c>
      <c r="Q3082" s="507" t="s">
        <v>166</v>
      </c>
      <c r="R3082" s="507" t="s">
        <v>166</v>
      </c>
      <c r="S3082" s="507" t="s">
        <v>166</v>
      </c>
      <c r="T3082" s="509"/>
    </row>
    <row r="3083">
      <c r="A3083" s="504" t="s">
        <v>3401</v>
      </c>
      <c r="B3083" s="505" t="s">
        <v>4558</v>
      </c>
      <c r="C3083" s="282" t="str">
        <f t="shared" si="437"/>
        <v>Asus</v>
      </c>
      <c r="D3083" s="544" t="s">
        <v>3477</v>
      </c>
      <c r="E3083" s="507">
        <v>305.0</v>
      </c>
      <c r="F3083" s="507">
        <v>138.0</v>
      </c>
      <c r="G3083" s="507">
        <v>65.0</v>
      </c>
      <c r="H3083" s="260">
        <v>2.0</v>
      </c>
      <c r="I3083" s="260">
        <v>2640.0</v>
      </c>
      <c r="J3083" s="260">
        <v>21.0</v>
      </c>
      <c r="K3083" s="507">
        <v>285.0</v>
      </c>
      <c r="L3083" s="507" t="s">
        <v>3619</v>
      </c>
      <c r="M3083" s="507">
        <v>3.0</v>
      </c>
      <c r="N3083" s="507">
        <v>3.0</v>
      </c>
      <c r="O3083" s="507">
        <v>2.0</v>
      </c>
      <c r="P3083" s="507" t="s">
        <v>166</v>
      </c>
      <c r="Q3083" s="507" t="s">
        <v>166</v>
      </c>
      <c r="R3083" s="507" t="s">
        <v>166</v>
      </c>
      <c r="S3083" s="507" t="s">
        <v>166</v>
      </c>
      <c r="T3083" s="509"/>
    </row>
    <row r="3084">
      <c r="A3084" s="504" t="s">
        <v>3401</v>
      </c>
      <c r="B3084" s="505" t="s">
        <v>4558</v>
      </c>
      <c r="C3084" s="282" t="str">
        <f t="shared" si="437"/>
        <v>Asus</v>
      </c>
      <c r="D3084" s="544" t="s">
        <v>3478</v>
      </c>
      <c r="E3084" s="507">
        <v>305.0</v>
      </c>
      <c r="F3084" s="507">
        <v>138.0</v>
      </c>
      <c r="G3084" s="507">
        <v>65.0</v>
      </c>
      <c r="H3084" s="260">
        <v>2.0</v>
      </c>
      <c r="I3084" s="260">
        <v>2670.0</v>
      </c>
      <c r="J3084" s="260">
        <v>21.0</v>
      </c>
      <c r="K3084" s="507">
        <v>285.0</v>
      </c>
      <c r="L3084" s="507" t="s">
        <v>3619</v>
      </c>
      <c r="M3084" s="507">
        <v>3.0</v>
      </c>
      <c r="N3084" s="507">
        <v>3.0</v>
      </c>
      <c r="O3084" s="507">
        <v>2.0</v>
      </c>
      <c r="P3084" s="507" t="s">
        <v>166</v>
      </c>
      <c r="Q3084" s="507" t="s">
        <v>166</v>
      </c>
      <c r="R3084" s="507" t="s">
        <v>166</v>
      </c>
      <c r="S3084" s="507" t="s">
        <v>166</v>
      </c>
      <c r="T3084" s="509"/>
    </row>
    <row r="3085">
      <c r="A3085" s="504" t="s">
        <v>3401</v>
      </c>
      <c r="B3085" s="505" t="s">
        <v>4558</v>
      </c>
      <c r="C3085" s="282" t="str">
        <f t="shared" si="437"/>
        <v>Asus</v>
      </c>
      <c r="D3085" s="544" t="s">
        <v>3781</v>
      </c>
      <c r="E3085" s="507">
        <v>305.0</v>
      </c>
      <c r="F3085" s="507">
        <v>138.0</v>
      </c>
      <c r="G3085" s="507">
        <v>65.0</v>
      </c>
      <c r="H3085" s="260">
        <v>2.0</v>
      </c>
      <c r="I3085" s="260">
        <v>2670.0</v>
      </c>
      <c r="J3085" s="260">
        <v>21.0</v>
      </c>
      <c r="K3085" s="507">
        <v>285.0</v>
      </c>
      <c r="L3085" s="507" t="s">
        <v>3619</v>
      </c>
      <c r="M3085" s="507">
        <v>3.0</v>
      </c>
      <c r="N3085" s="507">
        <v>3.0</v>
      </c>
      <c r="O3085" s="507">
        <v>2.0</v>
      </c>
      <c r="P3085" s="507" t="s">
        <v>166</v>
      </c>
      <c r="Q3085" s="507" t="s">
        <v>166</v>
      </c>
      <c r="R3085" s="507" t="s">
        <v>166</v>
      </c>
      <c r="S3085" s="507" t="s">
        <v>166</v>
      </c>
      <c r="T3085" s="509"/>
    </row>
    <row r="3086">
      <c r="A3086" s="504" t="s">
        <v>3401</v>
      </c>
      <c r="B3086" s="505" t="s">
        <v>4558</v>
      </c>
      <c r="C3086" s="282" t="str">
        <f t="shared" si="437"/>
        <v>Asus</v>
      </c>
      <c r="D3086" s="544" t="s">
        <v>3631</v>
      </c>
      <c r="E3086" s="507">
        <v>336.0</v>
      </c>
      <c r="F3086" s="507">
        <v>150.0</v>
      </c>
      <c r="G3086" s="507">
        <v>63.0</v>
      </c>
      <c r="H3086" s="260">
        <v>2.0</v>
      </c>
      <c r="I3086" s="260">
        <v>2640.0</v>
      </c>
      <c r="J3086" s="260">
        <v>21.0</v>
      </c>
      <c r="K3086" s="507">
        <v>285.0</v>
      </c>
      <c r="L3086" s="507" t="s">
        <v>3619</v>
      </c>
      <c r="M3086" s="507">
        <v>3.0</v>
      </c>
      <c r="N3086" s="507">
        <v>3.0</v>
      </c>
      <c r="O3086" s="507">
        <v>2.0</v>
      </c>
      <c r="P3086" s="507" t="s">
        <v>166</v>
      </c>
      <c r="Q3086" s="507" t="s">
        <v>166</v>
      </c>
      <c r="R3086" s="507" t="s">
        <v>166</v>
      </c>
      <c r="S3086" s="507" t="s">
        <v>166</v>
      </c>
      <c r="T3086" s="509"/>
    </row>
    <row r="3087">
      <c r="A3087" s="504" t="s">
        <v>3401</v>
      </c>
      <c r="B3087" s="505" t="s">
        <v>4558</v>
      </c>
      <c r="C3087" s="282" t="str">
        <f t="shared" si="437"/>
        <v>Asus</v>
      </c>
      <c r="D3087" s="544" t="s">
        <v>3643</v>
      </c>
      <c r="E3087" s="507">
        <v>336.0</v>
      </c>
      <c r="F3087" s="507">
        <v>150.0</v>
      </c>
      <c r="G3087" s="507">
        <v>63.0</v>
      </c>
      <c r="H3087" s="260">
        <v>2.0</v>
      </c>
      <c r="I3087" s="260">
        <v>2700.0</v>
      </c>
      <c r="J3087" s="260">
        <v>21.0</v>
      </c>
      <c r="K3087" s="507">
        <v>285.0</v>
      </c>
      <c r="L3087" s="507" t="s">
        <v>3619</v>
      </c>
      <c r="M3087" s="507">
        <v>3.0</v>
      </c>
      <c r="N3087" s="507">
        <v>3.0</v>
      </c>
      <c r="O3087" s="507">
        <v>2.0</v>
      </c>
      <c r="P3087" s="507" t="s">
        <v>166</v>
      </c>
      <c r="Q3087" s="507" t="s">
        <v>166</v>
      </c>
      <c r="R3087" s="507" t="s">
        <v>166</v>
      </c>
      <c r="S3087" s="507" t="s">
        <v>166</v>
      </c>
      <c r="T3087" s="509"/>
    </row>
    <row r="3088">
      <c r="A3088" s="504" t="s">
        <v>3401</v>
      </c>
      <c r="B3088" s="505" t="s">
        <v>4558</v>
      </c>
      <c r="C3088" s="452" t="s">
        <v>3575</v>
      </c>
      <c r="D3088" s="544" t="s">
        <v>4087</v>
      </c>
      <c r="E3088" s="507">
        <v>325.0</v>
      </c>
      <c r="F3088" s="507">
        <v>134.5</v>
      </c>
      <c r="G3088" s="507">
        <v>60.0</v>
      </c>
      <c r="H3088" s="260">
        <v>3.0</v>
      </c>
      <c r="I3088" s="260">
        <v>2655.0</v>
      </c>
      <c r="J3088" s="260">
        <v>21.0</v>
      </c>
      <c r="K3088" s="507">
        <v>285.0</v>
      </c>
      <c r="L3088" s="507" t="s">
        <v>3619</v>
      </c>
      <c r="M3088" s="507">
        <v>3.0</v>
      </c>
      <c r="N3088" s="507">
        <v>3.0</v>
      </c>
      <c r="O3088" s="507">
        <v>1.0</v>
      </c>
      <c r="P3088" s="507" t="s">
        <v>166</v>
      </c>
      <c r="Q3088" s="507" t="s">
        <v>166</v>
      </c>
      <c r="R3088" s="507" t="s">
        <v>166</v>
      </c>
      <c r="S3088" s="507" t="s">
        <v>166</v>
      </c>
      <c r="T3088" s="509"/>
    </row>
    <row r="3089">
      <c r="A3089" s="504" t="s">
        <v>3401</v>
      </c>
      <c r="B3089" s="505" t="s">
        <v>4558</v>
      </c>
      <c r="C3089" s="452" t="s">
        <v>3575</v>
      </c>
      <c r="D3089" s="544" t="s">
        <v>3889</v>
      </c>
      <c r="E3089" s="507">
        <v>330.5</v>
      </c>
      <c r="F3089" s="507">
        <v>135.0</v>
      </c>
      <c r="G3089" s="507">
        <v>60.0</v>
      </c>
      <c r="H3089" s="260">
        <v>2.0</v>
      </c>
      <c r="I3089" s="260">
        <v>2670.0</v>
      </c>
      <c r="J3089" s="260">
        <v>21.0</v>
      </c>
      <c r="K3089" s="507">
        <v>310.0</v>
      </c>
      <c r="L3089" s="507" t="s">
        <v>3619</v>
      </c>
      <c r="M3089" s="507">
        <v>3.0</v>
      </c>
      <c r="N3089" s="507">
        <v>3.0</v>
      </c>
      <c r="O3089" s="507">
        <v>1.0</v>
      </c>
      <c r="P3089" s="507" t="s">
        <v>166</v>
      </c>
      <c r="Q3089" s="507" t="s">
        <v>166</v>
      </c>
      <c r="R3089" s="507" t="s">
        <v>166</v>
      </c>
      <c r="S3089" s="507" t="s">
        <v>166</v>
      </c>
      <c r="T3089" s="509"/>
    </row>
    <row r="3090">
      <c r="A3090" s="504" t="s">
        <v>3401</v>
      </c>
      <c r="B3090" s="505" t="s">
        <v>4558</v>
      </c>
      <c r="C3090" s="452" t="s">
        <v>3575</v>
      </c>
      <c r="D3090" s="544" t="s">
        <v>3943</v>
      </c>
      <c r="E3090" s="507">
        <f t="shared" ref="E3090:E3091" si="438">348.9-12</f>
        <v>336.9</v>
      </c>
      <c r="F3090" s="507">
        <f t="shared" ref="F3090:F3091" si="439">159.5-15</f>
        <v>144.5</v>
      </c>
      <c r="G3090" s="507">
        <v>60.5</v>
      </c>
      <c r="H3090" s="260">
        <v>2.0</v>
      </c>
      <c r="I3090" s="260">
        <v>2685.0</v>
      </c>
      <c r="J3090" s="260">
        <v>21.0</v>
      </c>
      <c r="K3090" s="507">
        <v>310.0</v>
      </c>
      <c r="L3090" s="507" t="s">
        <v>3619</v>
      </c>
      <c r="M3090" s="507">
        <v>3.0</v>
      </c>
      <c r="N3090" s="507">
        <v>3.0</v>
      </c>
      <c r="O3090" s="507">
        <v>1.0</v>
      </c>
      <c r="P3090" s="507" t="s">
        <v>166</v>
      </c>
      <c r="Q3090" s="507" t="s">
        <v>166</v>
      </c>
      <c r="R3090" s="507" t="s">
        <v>166</v>
      </c>
      <c r="S3090" s="507" t="s">
        <v>166</v>
      </c>
      <c r="T3090" s="509"/>
    </row>
    <row r="3091">
      <c r="A3091" s="504" t="s">
        <v>3401</v>
      </c>
      <c r="B3091" s="505" t="s">
        <v>4558</v>
      </c>
      <c r="C3091" s="452" t="s">
        <v>3575</v>
      </c>
      <c r="D3091" s="544" t="s">
        <v>4521</v>
      </c>
      <c r="E3091" s="507">
        <f t="shared" si="438"/>
        <v>336.9</v>
      </c>
      <c r="F3091" s="507">
        <f t="shared" si="439"/>
        <v>144.5</v>
      </c>
      <c r="G3091" s="507">
        <v>60.5</v>
      </c>
      <c r="H3091" s="260">
        <v>2.0</v>
      </c>
      <c r="I3091" s="260">
        <v>2685.0</v>
      </c>
      <c r="J3091" s="260">
        <v>21.0</v>
      </c>
      <c r="K3091" s="507">
        <v>310.0</v>
      </c>
      <c r="L3091" s="507" t="s">
        <v>3619</v>
      </c>
      <c r="M3091" s="507">
        <v>3.0</v>
      </c>
      <c r="N3091" s="507">
        <v>3.0</v>
      </c>
      <c r="O3091" s="507">
        <v>1.0</v>
      </c>
      <c r="P3091" s="507" t="s">
        <v>166</v>
      </c>
      <c r="Q3091" s="507" t="s">
        <v>166</v>
      </c>
      <c r="R3091" s="507" t="s">
        <v>166</v>
      </c>
      <c r="S3091" s="507" t="s">
        <v>166</v>
      </c>
      <c r="T3091" s="509"/>
    </row>
    <row r="3092">
      <c r="A3092" s="504" t="s">
        <v>3401</v>
      </c>
      <c r="B3092" s="505" t="s">
        <v>4558</v>
      </c>
      <c r="C3092" s="452" t="s">
        <v>3575</v>
      </c>
      <c r="D3092" s="544" t="s">
        <v>3970</v>
      </c>
      <c r="E3092" s="507">
        <f>253.5-12</f>
        <v>241.5</v>
      </c>
      <c r="F3092" s="507">
        <f>170.8-15</f>
        <v>155.8</v>
      </c>
      <c r="G3092" s="507">
        <v>41.5</v>
      </c>
      <c r="H3092" s="260">
        <v>2.0</v>
      </c>
      <c r="I3092" s="260">
        <v>2685.0</v>
      </c>
      <c r="J3092" s="260">
        <v>21.0</v>
      </c>
      <c r="K3092" s="507">
        <v>320.0</v>
      </c>
      <c r="L3092" s="507" t="s">
        <v>3619</v>
      </c>
      <c r="M3092" s="507" t="s">
        <v>166</v>
      </c>
      <c r="N3092" s="507">
        <v>3.0</v>
      </c>
      <c r="O3092" s="507">
        <v>1.0</v>
      </c>
      <c r="P3092" s="507" t="s">
        <v>166</v>
      </c>
      <c r="Q3092" s="507" t="s">
        <v>166</v>
      </c>
      <c r="R3092" s="507" t="s">
        <v>174</v>
      </c>
      <c r="S3092" s="507" t="s">
        <v>166</v>
      </c>
      <c r="T3092" s="509"/>
    </row>
    <row r="3093">
      <c r="A3093" s="504" t="s">
        <v>3401</v>
      </c>
      <c r="B3093" s="505" t="s">
        <v>4558</v>
      </c>
      <c r="C3093" s="452" t="str">
        <f t="shared" ref="C3093:C3097" si="440">HYPERLINK("http://www.gainward.com/main/index.php?lang=en","Gainward")</f>
        <v>Gainward</v>
      </c>
      <c r="D3093" s="544" t="s">
        <v>4503</v>
      </c>
      <c r="E3093" s="507">
        <v>328.9</v>
      </c>
      <c r="F3093" s="507">
        <v>128.0</v>
      </c>
      <c r="G3093" s="507">
        <v>63.5</v>
      </c>
      <c r="H3093" s="260">
        <v>2.0</v>
      </c>
      <c r="I3093" s="260">
        <v>2640.0</v>
      </c>
      <c r="J3093" s="260">
        <v>21.0</v>
      </c>
      <c r="K3093" s="507">
        <v>285.0</v>
      </c>
      <c r="L3093" s="507" t="s">
        <v>3619</v>
      </c>
      <c r="M3093" s="507">
        <v>3.0</v>
      </c>
      <c r="N3093" s="507">
        <v>3.0</v>
      </c>
      <c r="O3093" s="507">
        <v>1.0</v>
      </c>
      <c r="P3093" s="507" t="s">
        <v>166</v>
      </c>
      <c r="Q3093" s="507" t="s">
        <v>166</v>
      </c>
      <c r="R3093" s="507" t="s">
        <v>166</v>
      </c>
      <c r="S3093" s="507" t="s">
        <v>166</v>
      </c>
      <c r="T3093" s="509"/>
    </row>
    <row r="3094">
      <c r="A3094" s="504" t="s">
        <v>3401</v>
      </c>
      <c r="B3094" s="505" t="s">
        <v>4558</v>
      </c>
      <c r="C3094" s="452" t="str">
        <f t="shared" si="440"/>
        <v>Gainward</v>
      </c>
      <c r="D3094" s="544" t="s">
        <v>3371</v>
      </c>
      <c r="E3094" s="507">
        <v>328.9</v>
      </c>
      <c r="F3094" s="507">
        <v>131.1</v>
      </c>
      <c r="G3094" s="507">
        <v>63.6</v>
      </c>
      <c r="H3094" s="260">
        <v>2.0</v>
      </c>
      <c r="I3094" s="260">
        <v>2610.0</v>
      </c>
      <c r="J3094" s="260">
        <v>21.0</v>
      </c>
      <c r="K3094" s="507">
        <v>285.0</v>
      </c>
      <c r="L3094" s="507" t="s">
        <v>3619</v>
      </c>
      <c r="M3094" s="507">
        <v>3.0</v>
      </c>
      <c r="N3094" s="507">
        <v>3.0</v>
      </c>
      <c r="O3094" s="507">
        <v>1.0</v>
      </c>
      <c r="P3094" s="507" t="s">
        <v>166</v>
      </c>
      <c r="Q3094" s="507" t="s">
        <v>166</v>
      </c>
      <c r="R3094" s="507" t="s">
        <v>166</v>
      </c>
      <c r="S3094" s="507" t="s">
        <v>166</v>
      </c>
      <c r="T3094" s="509"/>
    </row>
    <row r="3095">
      <c r="A3095" s="504" t="s">
        <v>3401</v>
      </c>
      <c r="B3095" s="505" t="s">
        <v>4558</v>
      </c>
      <c r="C3095" s="452" t="str">
        <f t="shared" si="440"/>
        <v>Gainward</v>
      </c>
      <c r="D3095" s="544" t="s">
        <v>4413</v>
      </c>
      <c r="E3095" s="507">
        <v>328.9</v>
      </c>
      <c r="F3095" s="507">
        <v>131.1</v>
      </c>
      <c r="G3095" s="507">
        <v>63.6</v>
      </c>
      <c r="H3095" s="260">
        <v>2.0</v>
      </c>
      <c r="I3095" s="260">
        <v>2670.0</v>
      </c>
      <c r="J3095" s="260">
        <v>21.0</v>
      </c>
      <c r="K3095" s="507">
        <v>285.0</v>
      </c>
      <c r="L3095" s="507" t="s">
        <v>3619</v>
      </c>
      <c r="M3095" s="507">
        <v>3.0</v>
      </c>
      <c r="N3095" s="507">
        <v>3.0</v>
      </c>
      <c r="O3095" s="507">
        <v>1.0</v>
      </c>
      <c r="P3095" s="507" t="s">
        <v>166</v>
      </c>
      <c r="Q3095" s="507" t="s">
        <v>166</v>
      </c>
      <c r="R3095" s="507" t="s">
        <v>166</v>
      </c>
      <c r="S3095" s="507" t="s">
        <v>166</v>
      </c>
      <c r="T3095" s="509"/>
    </row>
    <row r="3096">
      <c r="A3096" s="504" t="s">
        <v>3401</v>
      </c>
      <c r="B3096" s="505" t="s">
        <v>4558</v>
      </c>
      <c r="C3096" s="452" t="str">
        <f t="shared" si="440"/>
        <v>Gainward</v>
      </c>
      <c r="D3096" s="544" t="s">
        <v>3953</v>
      </c>
      <c r="E3096" s="507">
        <v>328.9</v>
      </c>
      <c r="F3096" s="507">
        <v>141.1</v>
      </c>
      <c r="G3096" s="507">
        <v>62.5</v>
      </c>
      <c r="H3096" s="260">
        <v>3.0</v>
      </c>
      <c r="I3096" s="260">
        <v>2610.0</v>
      </c>
      <c r="J3096" s="260">
        <v>21.0</v>
      </c>
      <c r="K3096" s="507">
        <v>285.0</v>
      </c>
      <c r="L3096" s="507" t="s">
        <v>3619</v>
      </c>
      <c r="M3096" s="507">
        <v>3.0</v>
      </c>
      <c r="N3096" s="507">
        <v>3.0</v>
      </c>
      <c r="O3096" s="507">
        <v>1.0</v>
      </c>
      <c r="P3096" s="507" t="s">
        <v>166</v>
      </c>
      <c r="Q3096" s="507" t="s">
        <v>166</v>
      </c>
      <c r="R3096" s="507" t="s">
        <v>166</v>
      </c>
      <c r="S3096" s="507" t="s">
        <v>166</v>
      </c>
      <c r="T3096" s="509"/>
    </row>
    <row r="3097">
      <c r="A3097" s="504" t="s">
        <v>3401</v>
      </c>
      <c r="B3097" s="505" t="s">
        <v>4558</v>
      </c>
      <c r="C3097" s="452" t="str">
        <f t="shared" si="440"/>
        <v>Gainward</v>
      </c>
      <c r="D3097" s="544" t="s">
        <v>4537</v>
      </c>
      <c r="E3097" s="507">
        <v>328.9</v>
      </c>
      <c r="F3097" s="507">
        <v>141.1</v>
      </c>
      <c r="G3097" s="507">
        <v>62.5</v>
      </c>
      <c r="H3097" s="260">
        <v>3.0</v>
      </c>
      <c r="I3097" s="260">
        <v>2685.0</v>
      </c>
      <c r="J3097" s="260">
        <v>21.0</v>
      </c>
      <c r="K3097" s="507">
        <v>285.0</v>
      </c>
      <c r="L3097" s="507" t="s">
        <v>3619</v>
      </c>
      <c r="M3097" s="507">
        <v>3.0</v>
      </c>
      <c r="N3097" s="507">
        <v>3.0</v>
      </c>
      <c r="O3097" s="507">
        <v>1.0</v>
      </c>
      <c r="P3097" s="507" t="s">
        <v>166</v>
      </c>
      <c r="Q3097" s="507" t="s">
        <v>166</v>
      </c>
      <c r="R3097" s="507" t="s">
        <v>166</v>
      </c>
      <c r="S3097" s="507" t="s">
        <v>166</v>
      </c>
      <c r="T3097" s="509"/>
    </row>
    <row r="3098">
      <c r="A3098" s="504" t="s">
        <v>3401</v>
      </c>
      <c r="B3098" s="505" t="s">
        <v>4558</v>
      </c>
      <c r="C3098" s="454" t="s">
        <v>3456</v>
      </c>
      <c r="D3098" s="544" t="s">
        <v>4523</v>
      </c>
      <c r="E3098" s="507">
        <v>323.0</v>
      </c>
      <c r="F3098" s="507">
        <v>131.0</v>
      </c>
      <c r="G3098" s="507">
        <v>60.0</v>
      </c>
      <c r="H3098" s="260">
        <v>3.0</v>
      </c>
      <c r="I3098" s="260">
        <v>2655.0</v>
      </c>
      <c r="J3098" s="260">
        <v>21.0</v>
      </c>
      <c r="K3098" s="507">
        <v>285.0</v>
      </c>
      <c r="L3098" s="507" t="s">
        <v>3619</v>
      </c>
      <c r="M3098" s="507">
        <v>3.0</v>
      </c>
      <c r="N3098" s="507">
        <v>3.0</v>
      </c>
      <c r="O3098" s="507">
        <v>1.0</v>
      </c>
      <c r="P3098" s="507" t="s">
        <v>166</v>
      </c>
      <c r="Q3098" s="507" t="s">
        <v>166</v>
      </c>
      <c r="R3098" s="507" t="s">
        <v>166</v>
      </c>
      <c r="S3098" s="507" t="s">
        <v>166</v>
      </c>
      <c r="T3098" s="509"/>
    </row>
    <row r="3099">
      <c r="A3099" s="504" t="s">
        <v>3401</v>
      </c>
      <c r="B3099" s="505" t="s">
        <v>4558</v>
      </c>
      <c r="C3099" s="454" t="s">
        <v>3456</v>
      </c>
      <c r="D3099" s="544" t="s">
        <v>4524</v>
      </c>
      <c r="E3099" s="507">
        <v>323.0</v>
      </c>
      <c r="F3099" s="507">
        <v>131.0</v>
      </c>
      <c r="G3099" s="507">
        <v>60.0</v>
      </c>
      <c r="H3099" s="260">
        <v>3.0</v>
      </c>
      <c r="I3099" s="260">
        <v>2655.0</v>
      </c>
      <c r="J3099" s="260">
        <v>21.0</v>
      </c>
      <c r="K3099" s="507">
        <v>285.0</v>
      </c>
      <c r="L3099" s="507" t="s">
        <v>3619</v>
      </c>
      <c r="M3099" s="507">
        <v>3.0</v>
      </c>
      <c r="N3099" s="507">
        <v>3.0</v>
      </c>
      <c r="O3099" s="507">
        <v>1.0</v>
      </c>
      <c r="P3099" s="507" t="s">
        <v>166</v>
      </c>
      <c r="Q3099" s="507" t="s">
        <v>166</v>
      </c>
      <c r="R3099" s="507" t="s">
        <v>166</v>
      </c>
      <c r="S3099" s="507" t="s">
        <v>166</v>
      </c>
      <c r="T3099" s="509"/>
    </row>
    <row r="3100">
      <c r="A3100" s="504" t="s">
        <v>3401</v>
      </c>
      <c r="B3100" s="505" t="s">
        <v>4558</v>
      </c>
      <c r="C3100" s="454" t="s">
        <v>3456</v>
      </c>
      <c r="D3100" s="544" t="s">
        <v>4525</v>
      </c>
      <c r="E3100" s="507">
        <v>323.0</v>
      </c>
      <c r="F3100" s="507">
        <v>131.0</v>
      </c>
      <c r="G3100" s="507">
        <v>60.0</v>
      </c>
      <c r="H3100" s="260">
        <v>3.0</v>
      </c>
      <c r="I3100" s="260">
        <v>2655.0</v>
      </c>
      <c r="J3100" s="260">
        <v>21.0</v>
      </c>
      <c r="K3100" s="507">
        <v>285.0</v>
      </c>
      <c r="L3100" s="507" t="s">
        <v>3619</v>
      </c>
      <c r="M3100" s="507">
        <v>3.0</v>
      </c>
      <c r="N3100" s="507">
        <v>3.0</v>
      </c>
      <c r="O3100" s="507">
        <v>1.0</v>
      </c>
      <c r="P3100" s="507" t="s">
        <v>166</v>
      </c>
      <c r="Q3100" s="507" t="s">
        <v>166</v>
      </c>
      <c r="R3100" s="507" t="s">
        <v>166</v>
      </c>
      <c r="S3100" s="507" t="s">
        <v>166</v>
      </c>
      <c r="T3100" s="509"/>
    </row>
    <row r="3101">
      <c r="A3101" s="504" t="s">
        <v>3401</v>
      </c>
      <c r="B3101" s="505" t="s">
        <v>4558</v>
      </c>
      <c r="C3101" s="454" t="s">
        <v>3456</v>
      </c>
      <c r="D3101" s="544" t="s">
        <v>4541</v>
      </c>
      <c r="E3101" s="507">
        <v>320.0</v>
      </c>
      <c r="F3101" s="507">
        <v>133.0</v>
      </c>
      <c r="G3101" s="507">
        <v>62.0</v>
      </c>
      <c r="H3101" s="260">
        <v>3.0</v>
      </c>
      <c r="I3101" s="260">
        <v>2670.0</v>
      </c>
      <c r="J3101" s="260">
        <v>21.0</v>
      </c>
      <c r="K3101" s="507">
        <v>285.0</v>
      </c>
      <c r="L3101" s="507" t="s">
        <v>3619</v>
      </c>
      <c r="M3101" s="507">
        <v>3.0</v>
      </c>
      <c r="N3101" s="507">
        <v>3.0</v>
      </c>
      <c r="O3101" s="507">
        <v>1.0</v>
      </c>
      <c r="P3101" s="507" t="s">
        <v>166</v>
      </c>
      <c r="Q3101" s="507" t="s">
        <v>166</v>
      </c>
      <c r="R3101" s="507" t="s">
        <v>166</v>
      </c>
      <c r="S3101" s="507" t="s">
        <v>166</v>
      </c>
      <c r="T3101" s="509"/>
    </row>
    <row r="3102">
      <c r="A3102" s="504" t="s">
        <v>3401</v>
      </c>
      <c r="B3102" s="505" t="s">
        <v>4558</v>
      </c>
      <c r="C3102" s="174" t="str">
        <f t="shared" ref="C3102:C3107" si="441">HYPERLINK("https://www.gigabyte.com/","Gigabyte")</f>
        <v>Gigabyte</v>
      </c>
      <c r="D3102" s="544" t="s">
        <v>3578</v>
      </c>
      <c r="E3102" s="507">
        <v>261.0</v>
      </c>
      <c r="F3102" s="507">
        <v>126.0</v>
      </c>
      <c r="G3102" s="507">
        <v>50.0</v>
      </c>
      <c r="H3102" s="260">
        <v>2.0</v>
      </c>
      <c r="I3102" s="260">
        <v>2625.0</v>
      </c>
      <c r="J3102" s="260">
        <v>21.0</v>
      </c>
      <c r="K3102" s="507">
        <v>285.0</v>
      </c>
      <c r="L3102" s="507" t="s">
        <v>3619</v>
      </c>
      <c r="M3102" s="507">
        <v>3.0</v>
      </c>
      <c r="N3102" s="507">
        <v>3.0</v>
      </c>
      <c r="O3102" s="507">
        <v>1.0</v>
      </c>
      <c r="P3102" s="507" t="s">
        <v>166</v>
      </c>
      <c r="Q3102" s="507" t="s">
        <v>166</v>
      </c>
      <c r="R3102" s="507" t="s">
        <v>166</v>
      </c>
      <c r="S3102" s="507" t="s">
        <v>166</v>
      </c>
      <c r="T3102" s="509"/>
    </row>
    <row r="3103">
      <c r="A3103" s="504" t="s">
        <v>3401</v>
      </c>
      <c r="B3103" s="505" t="s">
        <v>4558</v>
      </c>
      <c r="C3103" s="174" t="str">
        <f t="shared" si="441"/>
        <v>Gigabyte</v>
      </c>
      <c r="D3103" s="544" t="s">
        <v>3551</v>
      </c>
      <c r="E3103" s="507">
        <v>261.0</v>
      </c>
      <c r="F3103" s="507">
        <v>126.0</v>
      </c>
      <c r="G3103" s="507">
        <v>50.0</v>
      </c>
      <c r="H3103" s="260">
        <v>2.0</v>
      </c>
      <c r="I3103" s="260">
        <v>2640.0</v>
      </c>
      <c r="J3103" s="260">
        <v>21.0</v>
      </c>
      <c r="K3103" s="507">
        <v>285.0</v>
      </c>
      <c r="L3103" s="507" t="s">
        <v>3619</v>
      </c>
      <c r="M3103" s="507">
        <v>3.0</v>
      </c>
      <c r="N3103" s="507">
        <v>3.0</v>
      </c>
      <c r="O3103" s="507">
        <v>1.0</v>
      </c>
      <c r="P3103" s="507" t="s">
        <v>166</v>
      </c>
      <c r="Q3103" s="507" t="s">
        <v>166</v>
      </c>
      <c r="R3103" s="507" t="s">
        <v>166</v>
      </c>
      <c r="S3103" s="507" t="s">
        <v>166</v>
      </c>
      <c r="T3103" s="509"/>
    </row>
    <row r="3104">
      <c r="A3104" s="504" t="s">
        <v>3401</v>
      </c>
      <c r="B3104" s="505" t="s">
        <v>4558</v>
      </c>
      <c r="C3104" s="174" t="str">
        <f t="shared" si="441"/>
        <v>Gigabyte</v>
      </c>
      <c r="D3104" s="544" t="s">
        <v>4463</v>
      </c>
      <c r="E3104" s="507">
        <v>261.0</v>
      </c>
      <c r="F3104" s="507">
        <v>126.0</v>
      </c>
      <c r="G3104" s="507">
        <v>50.0</v>
      </c>
      <c r="H3104" s="260">
        <v>2.0</v>
      </c>
      <c r="I3104" s="260">
        <v>2640.0</v>
      </c>
      <c r="J3104" s="260">
        <v>21.0</v>
      </c>
      <c r="K3104" s="507">
        <v>285.0</v>
      </c>
      <c r="L3104" s="507" t="s">
        <v>3619</v>
      </c>
      <c r="M3104" s="507">
        <v>3.0</v>
      </c>
      <c r="N3104" s="507">
        <v>3.0</v>
      </c>
      <c r="O3104" s="507">
        <v>1.0</v>
      </c>
      <c r="P3104" s="507" t="s">
        <v>166</v>
      </c>
      <c r="Q3104" s="507" t="s">
        <v>166</v>
      </c>
      <c r="R3104" s="507" t="s">
        <v>166</v>
      </c>
      <c r="S3104" s="507" t="s">
        <v>166</v>
      </c>
      <c r="T3104" s="509"/>
    </row>
    <row r="3105">
      <c r="A3105" s="504" t="s">
        <v>3401</v>
      </c>
      <c r="B3105" s="505" t="s">
        <v>4558</v>
      </c>
      <c r="C3105" s="174" t="str">
        <f t="shared" si="441"/>
        <v>Gigabyte</v>
      </c>
      <c r="D3105" s="544" t="s">
        <v>3851</v>
      </c>
      <c r="E3105" s="507">
        <v>300.0</v>
      </c>
      <c r="F3105" s="507">
        <v>130.0</v>
      </c>
      <c r="G3105" s="507">
        <v>57.6</v>
      </c>
      <c r="H3105" s="260">
        <v>2.0</v>
      </c>
      <c r="I3105" s="260">
        <v>2655.0</v>
      </c>
      <c r="J3105" s="260">
        <v>21.0</v>
      </c>
      <c r="K3105" s="507">
        <v>285.0</v>
      </c>
      <c r="L3105" s="507" t="s">
        <v>3619</v>
      </c>
      <c r="M3105" s="507">
        <v>3.0</v>
      </c>
      <c r="N3105" s="507">
        <v>3.0</v>
      </c>
      <c r="O3105" s="507">
        <v>1.0</v>
      </c>
      <c r="P3105" s="507" t="s">
        <v>166</v>
      </c>
      <c r="Q3105" s="507" t="s">
        <v>166</v>
      </c>
      <c r="R3105" s="507" t="s">
        <v>166</v>
      </c>
      <c r="S3105" s="507" t="s">
        <v>166</v>
      </c>
      <c r="T3105" s="509"/>
    </row>
    <row r="3106">
      <c r="A3106" s="504" t="s">
        <v>3401</v>
      </c>
      <c r="B3106" s="505" t="s">
        <v>4558</v>
      </c>
      <c r="C3106" s="174" t="str">
        <f t="shared" si="441"/>
        <v>Gigabyte</v>
      </c>
      <c r="D3106" s="544" t="s">
        <v>3630</v>
      </c>
      <c r="E3106" s="507">
        <v>300.0</v>
      </c>
      <c r="F3106" s="507">
        <v>130.0</v>
      </c>
      <c r="G3106" s="507">
        <v>57.6</v>
      </c>
      <c r="H3106" s="260">
        <v>2.0</v>
      </c>
      <c r="I3106" s="260">
        <v>2655.0</v>
      </c>
      <c r="J3106" s="260">
        <v>21.0</v>
      </c>
      <c r="K3106" s="507">
        <v>285.0</v>
      </c>
      <c r="L3106" s="507" t="s">
        <v>3619</v>
      </c>
      <c r="M3106" s="507">
        <v>3.0</v>
      </c>
      <c r="N3106" s="507">
        <v>3.0</v>
      </c>
      <c r="O3106" s="507">
        <v>1.0</v>
      </c>
      <c r="P3106" s="507" t="s">
        <v>166</v>
      </c>
      <c r="Q3106" s="507" t="s">
        <v>166</v>
      </c>
      <c r="R3106" s="507" t="s">
        <v>166</v>
      </c>
      <c r="S3106" s="507" t="s">
        <v>166</v>
      </c>
      <c r="T3106" s="509"/>
    </row>
    <row r="3107">
      <c r="A3107" s="504" t="s">
        <v>3401</v>
      </c>
      <c r="B3107" s="505" t="s">
        <v>4558</v>
      </c>
      <c r="C3107" s="174" t="str">
        <f t="shared" si="441"/>
        <v>Gigabyte</v>
      </c>
      <c r="D3107" s="544" t="s">
        <v>3725</v>
      </c>
      <c r="E3107" s="507">
        <v>342.0</v>
      </c>
      <c r="F3107" s="507">
        <v>153.0</v>
      </c>
      <c r="G3107" s="507">
        <v>70.6</v>
      </c>
      <c r="H3107" s="260">
        <v>2.0</v>
      </c>
      <c r="I3107" s="260">
        <v>2670.0</v>
      </c>
      <c r="J3107" s="260">
        <v>21.0</v>
      </c>
      <c r="K3107" s="507">
        <v>285.0</v>
      </c>
      <c r="L3107" s="507" t="s">
        <v>3619</v>
      </c>
      <c r="M3107" s="507">
        <v>3.0</v>
      </c>
      <c r="N3107" s="507">
        <v>3.0</v>
      </c>
      <c r="O3107" s="507">
        <v>1.0</v>
      </c>
      <c r="P3107" s="507" t="s">
        <v>166</v>
      </c>
      <c r="Q3107" s="507" t="s">
        <v>166</v>
      </c>
      <c r="R3107" s="507" t="s">
        <v>166</v>
      </c>
      <c r="S3107" s="507" t="s">
        <v>166</v>
      </c>
      <c r="T3107" s="509"/>
    </row>
    <row r="3108">
      <c r="A3108" s="504" t="s">
        <v>3401</v>
      </c>
      <c r="B3108" s="505" t="s">
        <v>4558</v>
      </c>
      <c r="C3108" s="452" t="str">
        <f t="shared" ref="C3108:C3112" si="442">HYPERLINK("http://www.inno3d.com/","Inno3D")</f>
        <v>Inno3D</v>
      </c>
      <c r="D3108" s="544" t="s">
        <v>3896</v>
      </c>
      <c r="E3108" s="507">
        <v>250.0</v>
      </c>
      <c r="F3108" s="507">
        <v>118.0</v>
      </c>
      <c r="G3108" s="507">
        <v>42.0</v>
      </c>
      <c r="H3108" s="260">
        <v>2.0</v>
      </c>
      <c r="I3108" s="260">
        <v>2610.0</v>
      </c>
      <c r="J3108" s="260">
        <v>21.0</v>
      </c>
      <c r="K3108" s="507">
        <v>285.0</v>
      </c>
      <c r="L3108" s="507" t="s">
        <v>3619</v>
      </c>
      <c r="M3108" s="507">
        <v>2.0</v>
      </c>
      <c r="N3108" s="507">
        <v>3.0</v>
      </c>
      <c r="O3108" s="507">
        <v>1.0</v>
      </c>
      <c r="P3108" s="507" t="s">
        <v>166</v>
      </c>
      <c r="Q3108" s="507" t="s">
        <v>166</v>
      </c>
      <c r="R3108" s="507" t="s">
        <v>166</v>
      </c>
      <c r="S3108" s="507" t="s">
        <v>166</v>
      </c>
      <c r="T3108" s="509"/>
    </row>
    <row r="3109">
      <c r="A3109" s="504" t="s">
        <v>3401</v>
      </c>
      <c r="B3109" s="505" t="s">
        <v>4558</v>
      </c>
      <c r="C3109" s="452" t="str">
        <f t="shared" si="442"/>
        <v>Inno3D</v>
      </c>
      <c r="D3109" s="544" t="s">
        <v>3882</v>
      </c>
      <c r="E3109" s="507">
        <v>250.0</v>
      </c>
      <c r="F3109" s="507">
        <v>118.0</v>
      </c>
      <c r="G3109" s="507">
        <v>42.0</v>
      </c>
      <c r="H3109" s="260">
        <v>2.0</v>
      </c>
      <c r="I3109" s="260">
        <v>2640.0</v>
      </c>
      <c r="J3109" s="260">
        <v>21.0</v>
      </c>
      <c r="K3109" s="507">
        <v>285.0</v>
      </c>
      <c r="L3109" s="507" t="s">
        <v>3619</v>
      </c>
      <c r="M3109" s="507">
        <v>2.0</v>
      </c>
      <c r="N3109" s="507">
        <v>3.0</v>
      </c>
      <c r="O3109" s="507">
        <v>1.0</v>
      </c>
      <c r="P3109" s="507" t="s">
        <v>166</v>
      </c>
      <c r="Q3109" s="507" t="s">
        <v>166</v>
      </c>
      <c r="R3109" s="507" t="s">
        <v>166</v>
      </c>
      <c r="S3109" s="507" t="s">
        <v>166</v>
      </c>
      <c r="T3109" s="509"/>
    </row>
    <row r="3110">
      <c r="A3110" s="504" t="s">
        <v>3401</v>
      </c>
      <c r="B3110" s="505" t="s">
        <v>4558</v>
      </c>
      <c r="C3110" s="452" t="str">
        <f t="shared" si="442"/>
        <v>Inno3D</v>
      </c>
      <c r="D3110" s="544" t="s">
        <v>4464</v>
      </c>
      <c r="E3110" s="507">
        <v>250.0</v>
      </c>
      <c r="F3110" s="507">
        <v>118.0</v>
      </c>
      <c r="G3110" s="507">
        <v>42.0</v>
      </c>
      <c r="H3110" s="260">
        <v>2.0</v>
      </c>
      <c r="I3110" s="260">
        <v>2640.0</v>
      </c>
      <c r="J3110" s="260">
        <v>21.0</v>
      </c>
      <c r="K3110" s="507">
        <v>285.0</v>
      </c>
      <c r="L3110" s="507" t="s">
        <v>3619</v>
      </c>
      <c r="M3110" s="507">
        <v>2.0</v>
      </c>
      <c r="N3110" s="507">
        <v>3.0</v>
      </c>
      <c r="O3110" s="507">
        <v>1.0</v>
      </c>
      <c r="P3110" s="507" t="s">
        <v>166</v>
      </c>
      <c r="Q3110" s="507" t="s">
        <v>166</v>
      </c>
      <c r="R3110" s="507" t="s">
        <v>166</v>
      </c>
      <c r="S3110" s="507" t="s">
        <v>166</v>
      </c>
      <c r="T3110" s="509"/>
    </row>
    <row r="3111">
      <c r="A3111" s="504" t="s">
        <v>3401</v>
      </c>
      <c r="B3111" s="505" t="s">
        <v>4558</v>
      </c>
      <c r="C3111" s="452" t="str">
        <f t="shared" si="442"/>
        <v>Inno3D</v>
      </c>
      <c r="D3111" s="544" t="s">
        <v>4347</v>
      </c>
      <c r="E3111" s="507">
        <v>297.0</v>
      </c>
      <c r="F3111" s="507">
        <v>118.0</v>
      </c>
      <c r="G3111" s="507">
        <v>42.0</v>
      </c>
      <c r="H3111" s="260">
        <v>2.0</v>
      </c>
      <c r="I3111" s="260">
        <v>2640.0</v>
      </c>
      <c r="J3111" s="260">
        <v>21.0</v>
      </c>
      <c r="K3111" s="507">
        <v>285.0</v>
      </c>
      <c r="L3111" s="507" t="s">
        <v>3619</v>
      </c>
      <c r="M3111" s="507">
        <v>3.0</v>
      </c>
      <c r="N3111" s="507">
        <v>3.0</v>
      </c>
      <c r="O3111" s="507">
        <v>1.0</v>
      </c>
      <c r="P3111" s="507" t="s">
        <v>166</v>
      </c>
      <c r="Q3111" s="507" t="s">
        <v>166</v>
      </c>
      <c r="R3111" s="507" t="s">
        <v>166</v>
      </c>
      <c r="S3111" s="507" t="s">
        <v>166</v>
      </c>
      <c r="T3111" s="509"/>
    </row>
    <row r="3112">
      <c r="A3112" s="504" t="s">
        <v>3401</v>
      </c>
      <c r="B3112" s="505" t="s">
        <v>4558</v>
      </c>
      <c r="C3112" s="452" t="str">
        <f t="shared" si="442"/>
        <v>Inno3D</v>
      </c>
      <c r="D3112" s="544" t="s">
        <v>3921</v>
      </c>
      <c r="E3112" s="507">
        <v>334.0</v>
      </c>
      <c r="F3112" s="507">
        <v>148.0</v>
      </c>
      <c r="G3112" s="507">
        <v>62.0</v>
      </c>
      <c r="H3112" s="260">
        <v>2.0</v>
      </c>
      <c r="I3112" s="260">
        <v>2670.0</v>
      </c>
      <c r="J3112" s="260">
        <v>21.0</v>
      </c>
      <c r="K3112" s="507">
        <v>285.0</v>
      </c>
      <c r="L3112" s="507" t="s">
        <v>3619</v>
      </c>
      <c r="M3112" s="507">
        <v>3.0</v>
      </c>
      <c r="N3112" s="507">
        <v>3.0</v>
      </c>
      <c r="O3112" s="507">
        <v>1.0</v>
      </c>
      <c r="P3112" s="507" t="s">
        <v>166</v>
      </c>
      <c r="Q3112" s="507" t="s">
        <v>166</v>
      </c>
      <c r="R3112" s="507" t="s">
        <v>166</v>
      </c>
      <c r="S3112" s="507" t="s">
        <v>166</v>
      </c>
      <c r="T3112" s="509"/>
    </row>
    <row r="3113">
      <c r="A3113" s="504" t="s">
        <v>3401</v>
      </c>
      <c r="B3113" s="505" t="s">
        <v>4558</v>
      </c>
      <c r="C3113" s="452" t="str">
        <f t="shared" ref="C3113:C3114" si="443">HYPERLINK("http://manli.com/en","Manli")</f>
        <v>Manli</v>
      </c>
      <c r="D3113" s="544" t="s">
        <v>4559</v>
      </c>
      <c r="E3113" s="507">
        <v>264.0</v>
      </c>
      <c r="F3113" s="507">
        <v>127.0</v>
      </c>
      <c r="G3113" s="507">
        <v>56.0</v>
      </c>
      <c r="H3113" s="260">
        <v>2.0</v>
      </c>
      <c r="I3113" s="260">
        <v>2610.0</v>
      </c>
      <c r="J3113" s="260">
        <v>21.0</v>
      </c>
      <c r="K3113" s="507">
        <v>285.0</v>
      </c>
      <c r="L3113" s="507" t="s">
        <v>3619</v>
      </c>
      <c r="M3113" s="507">
        <v>2.0</v>
      </c>
      <c r="N3113" s="507">
        <v>3.0</v>
      </c>
      <c r="O3113" s="507">
        <v>1.0</v>
      </c>
      <c r="P3113" s="507" t="s">
        <v>166</v>
      </c>
      <c r="Q3113" s="507" t="s">
        <v>166</v>
      </c>
      <c r="R3113" s="507" t="s">
        <v>166</v>
      </c>
      <c r="S3113" s="507" t="s">
        <v>166</v>
      </c>
      <c r="T3113" s="509"/>
    </row>
    <row r="3114">
      <c r="A3114" s="504" t="s">
        <v>3401</v>
      </c>
      <c r="B3114" s="505" t="s">
        <v>4558</v>
      </c>
      <c r="C3114" s="452" t="str">
        <f t="shared" si="443"/>
        <v>Manli</v>
      </c>
      <c r="D3114" s="544" t="s">
        <v>4560</v>
      </c>
      <c r="E3114" s="507">
        <v>315.0</v>
      </c>
      <c r="F3114" s="507">
        <v>125.0</v>
      </c>
      <c r="G3114" s="507">
        <v>66.0</v>
      </c>
      <c r="H3114" s="260">
        <v>2.0</v>
      </c>
      <c r="I3114" s="260">
        <v>2610.0</v>
      </c>
      <c r="J3114" s="260">
        <v>21.0</v>
      </c>
      <c r="K3114" s="507">
        <v>285.0</v>
      </c>
      <c r="L3114" s="507" t="s">
        <v>3619</v>
      </c>
      <c r="M3114" s="507">
        <v>3.0</v>
      </c>
      <c r="N3114" s="507">
        <v>3.0</v>
      </c>
      <c r="O3114" s="507">
        <v>1.0</v>
      </c>
      <c r="P3114" s="507" t="s">
        <v>166</v>
      </c>
      <c r="Q3114" s="507" t="s">
        <v>166</v>
      </c>
      <c r="R3114" s="507" t="s">
        <v>166</v>
      </c>
      <c r="S3114" s="507" t="s">
        <v>166</v>
      </c>
      <c r="T3114" s="509"/>
    </row>
    <row r="3115">
      <c r="A3115" s="504" t="s">
        <v>3401</v>
      </c>
      <c r="B3115" s="505" t="s">
        <v>4558</v>
      </c>
      <c r="C3115" s="174" t="str">
        <f t="shared" ref="C3115:C3129" si="444">HYPERLINK("https://www.msi.com/index.php","MSI")</f>
        <v>MSI</v>
      </c>
      <c r="D3115" s="544" t="s">
        <v>3555</v>
      </c>
      <c r="E3115" s="507">
        <v>242.0</v>
      </c>
      <c r="F3115" s="507">
        <v>125.0</v>
      </c>
      <c r="G3115" s="507">
        <v>51.0</v>
      </c>
      <c r="H3115" s="260">
        <v>2.0</v>
      </c>
      <c r="I3115" s="260">
        <v>2625.0</v>
      </c>
      <c r="J3115" s="260">
        <v>21.0</v>
      </c>
      <c r="K3115" s="507">
        <v>285.0</v>
      </c>
      <c r="L3115" s="507" t="s">
        <v>3619</v>
      </c>
      <c r="M3115" s="507">
        <v>2.0</v>
      </c>
      <c r="N3115" s="507">
        <v>3.0</v>
      </c>
      <c r="O3115" s="507">
        <v>1.0</v>
      </c>
      <c r="P3115" s="507" t="s">
        <v>166</v>
      </c>
      <c r="Q3115" s="507" t="s">
        <v>166</v>
      </c>
      <c r="R3115" s="507" t="s">
        <v>166</v>
      </c>
      <c r="S3115" s="507" t="s">
        <v>166</v>
      </c>
      <c r="T3115" s="509"/>
    </row>
    <row r="3116">
      <c r="A3116" s="504" t="s">
        <v>3401</v>
      </c>
      <c r="B3116" s="505" t="s">
        <v>4558</v>
      </c>
      <c r="C3116" s="174" t="str">
        <f t="shared" si="444"/>
        <v>MSI</v>
      </c>
      <c r="D3116" s="544" t="s">
        <v>3556</v>
      </c>
      <c r="E3116" s="507">
        <v>242.0</v>
      </c>
      <c r="F3116" s="507">
        <v>125.0</v>
      </c>
      <c r="G3116" s="507">
        <v>51.0</v>
      </c>
      <c r="H3116" s="260">
        <v>2.0</v>
      </c>
      <c r="I3116" s="260">
        <v>2655.0</v>
      </c>
      <c r="J3116" s="260">
        <v>21.0</v>
      </c>
      <c r="K3116" s="507">
        <v>285.0</v>
      </c>
      <c r="L3116" s="507" t="s">
        <v>3619</v>
      </c>
      <c r="M3116" s="507">
        <v>2.0</v>
      </c>
      <c r="N3116" s="507">
        <v>3.0</v>
      </c>
      <c r="O3116" s="507">
        <v>1.0</v>
      </c>
      <c r="P3116" s="507" t="s">
        <v>166</v>
      </c>
      <c r="Q3116" s="507" t="s">
        <v>166</v>
      </c>
      <c r="R3116" s="507" t="s">
        <v>166</v>
      </c>
      <c r="S3116" s="507" t="s">
        <v>166</v>
      </c>
      <c r="T3116" s="509"/>
    </row>
    <row r="3117">
      <c r="A3117" s="504" t="s">
        <v>3401</v>
      </c>
      <c r="B3117" s="505" t="s">
        <v>4558</v>
      </c>
      <c r="C3117" s="174" t="str">
        <f t="shared" si="444"/>
        <v>MSI</v>
      </c>
      <c r="D3117" s="544" t="s">
        <v>3605</v>
      </c>
      <c r="E3117" s="507">
        <v>242.0</v>
      </c>
      <c r="F3117" s="507">
        <v>125.0</v>
      </c>
      <c r="G3117" s="507">
        <v>51.0</v>
      </c>
      <c r="H3117" s="260">
        <v>2.0</v>
      </c>
      <c r="I3117" s="260">
        <v>2625.0</v>
      </c>
      <c r="J3117" s="260">
        <v>21.0</v>
      </c>
      <c r="K3117" s="507">
        <v>285.0</v>
      </c>
      <c r="L3117" s="507" t="s">
        <v>3619</v>
      </c>
      <c r="M3117" s="507">
        <v>2.0</v>
      </c>
      <c r="N3117" s="507">
        <v>3.0</v>
      </c>
      <c r="O3117" s="507">
        <v>1.0</v>
      </c>
      <c r="P3117" s="507" t="s">
        <v>166</v>
      </c>
      <c r="Q3117" s="507" t="s">
        <v>166</v>
      </c>
      <c r="R3117" s="507" t="s">
        <v>166</v>
      </c>
      <c r="S3117" s="507" t="s">
        <v>166</v>
      </c>
      <c r="T3117" s="509"/>
    </row>
    <row r="3118">
      <c r="A3118" s="504" t="s">
        <v>3401</v>
      </c>
      <c r="B3118" s="505" t="s">
        <v>4558</v>
      </c>
      <c r="C3118" s="174" t="str">
        <f t="shared" si="444"/>
        <v>MSI</v>
      </c>
      <c r="D3118" s="544" t="s">
        <v>3606</v>
      </c>
      <c r="E3118" s="507">
        <v>242.0</v>
      </c>
      <c r="F3118" s="507">
        <v>125.0</v>
      </c>
      <c r="G3118" s="507">
        <v>51.0</v>
      </c>
      <c r="H3118" s="260">
        <v>2.0</v>
      </c>
      <c r="I3118" s="260">
        <v>2655.0</v>
      </c>
      <c r="J3118" s="260">
        <v>21.0</v>
      </c>
      <c r="K3118" s="507">
        <v>285.0</v>
      </c>
      <c r="L3118" s="507" t="s">
        <v>3619</v>
      </c>
      <c r="M3118" s="507">
        <v>2.0</v>
      </c>
      <c r="N3118" s="507">
        <v>3.0</v>
      </c>
      <c r="O3118" s="507">
        <v>1.0</v>
      </c>
      <c r="P3118" s="507" t="s">
        <v>166</v>
      </c>
      <c r="Q3118" s="507" t="s">
        <v>166</v>
      </c>
      <c r="R3118" s="507" t="s">
        <v>166</v>
      </c>
      <c r="S3118" s="507" t="s">
        <v>166</v>
      </c>
      <c r="T3118" s="509"/>
    </row>
    <row r="3119">
      <c r="A3119" s="504" t="s">
        <v>3401</v>
      </c>
      <c r="B3119" s="505" t="s">
        <v>4558</v>
      </c>
      <c r="C3119" s="174" t="str">
        <f t="shared" si="444"/>
        <v>MSI</v>
      </c>
      <c r="D3119" s="544" t="s">
        <v>4146</v>
      </c>
      <c r="E3119" s="507">
        <v>308.0</v>
      </c>
      <c r="F3119" s="507">
        <v>120.0</v>
      </c>
      <c r="G3119" s="507">
        <v>52.0</v>
      </c>
      <c r="H3119" s="260">
        <v>2.0</v>
      </c>
      <c r="I3119" s="260">
        <v>2625.0</v>
      </c>
      <c r="J3119" s="260">
        <v>21.0</v>
      </c>
      <c r="K3119" s="507">
        <v>285.0</v>
      </c>
      <c r="L3119" s="507" t="s">
        <v>3619</v>
      </c>
      <c r="M3119" s="507">
        <v>3.0</v>
      </c>
      <c r="N3119" s="507">
        <v>3.0</v>
      </c>
      <c r="O3119" s="507">
        <v>1.0</v>
      </c>
      <c r="P3119" s="507" t="s">
        <v>166</v>
      </c>
      <c r="Q3119" s="507" t="s">
        <v>166</v>
      </c>
      <c r="R3119" s="507" t="s">
        <v>166</v>
      </c>
      <c r="S3119" s="507" t="s">
        <v>166</v>
      </c>
      <c r="T3119" s="509"/>
    </row>
    <row r="3120">
      <c r="A3120" s="504" t="s">
        <v>3401</v>
      </c>
      <c r="B3120" s="505" t="s">
        <v>4558</v>
      </c>
      <c r="C3120" s="174" t="str">
        <f t="shared" si="444"/>
        <v>MSI</v>
      </c>
      <c r="D3120" s="544" t="s">
        <v>4147</v>
      </c>
      <c r="E3120" s="507">
        <v>308.0</v>
      </c>
      <c r="F3120" s="507">
        <v>120.0</v>
      </c>
      <c r="G3120" s="507">
        <v>52.0</v>
      </c>
      <c r="H3120" s="260">
        <v>2.0</v>
      </c>
      <c r="I3120" s="260">
        <v>2655.0</v>
      </c>
      <c r="J3120" s="260">
        <v>21.0</v>
      </c>
      <c r="K3120" s="507">
        <v>285.0</v>
      </c>
      <c r="L3120" s="507" t="s">
        <v>3619</v>
      </c>
      <c r="M3120" s="507">
        <v>3.0</v>
      </c>
      <c r="N3120" s="507">
        <v>3.0</v>
      </c>
      <c r="O3120" s="507">
        <v>1.0</v>
      </c>
      <c r="P3120" s="507" t="s">
        <v>166</v>
      </c>
      <c r="Q3120" s="507" t="s">
        <v>166</v>
      </c>
      <c r="R3120" s="507" t="s">
        <v>166</v>
      </c>
      <c r="S3120" s="507" t="s">
        <v>166</v>
      </c>
      <c r="T3120" s="509"/>
    </row>
    <row r="3121">
      <c r="A3121" s="504" t="s">
        <v>3401</v>
      </c>
      <c r="B3121" s="505" t="s">
        <v>4558</v>
      </c>
      <c r="C3121" s="174" t="str">
        <f t="shared" si="444"/>
        <v>MSI</v>
      </c>
      <c r="D3121" s="544" t="s">
        <v>4561</v>
      </c>
      <c r="E3121" s="507">
        <v>308.0</v>
      </c>
      <c r="F3121" s="507">
        <v>120.0</v>
      </c>
      <c r="G3121" s="507">
        <v>43.0</v>
      </c>
      <c r="H3121" s="260">
        <v>2.0</v>
      </c>
      <c r="I3121" s="260">
        <v>2625.0</v>
      </c>
      <c r="J3121" s="260">
        <v>21.0</v>
      </c>
      <c r="K3121" s="507">
        <v>285.0</v>
      </c>
      <c r="L3121" s="507" t="s">
        <v>3619</v>
      </c>
      <c r="M3121" s="507">
        <v>3.0</v>
      </c>
      <c r="N3121" s="507">
        <v>3.0</v>
      </c>
      <c r="O3121" s="507">
        <v>1.0</v>
      </c>
      <c r="P3121" s="507" t="s">
        <v>166</v>
      </c>
      <c r="Q3121" s="507" t="s">
        <v>166</v>
      </c>
      <c r="R3121" s="507" t="s">
        <v>166</v>
      </c>
      <c r="S3121" s="507" t="s">
        <v>166</v>
      </c>
      <c r="T3121" s="509"/>
    </row>
    <row r="3122">
      <c r="A3122" s="504" t="s">
        <v>3401</v>
      </c>
      <c r="B3122" s="505" t="s">
        <v>4558</v>
      </c>
      <c r="C3122" s="174" t="str">
        <f t="shared" si="444"/>
        <v>MSI</v>
      </c>
      <c r="D3122" s="544" t="s">
        <v>4562</v>
      </c>
      <c r="E3122" s="507">
        <v>308.0</v>
      </c>
      <c r="F3122" s="507">
        <v>120.0</v>
      </c>
      <c r="G3122" s="507">
        <v>43.0</v>
      </c>
      <c r="H3122" s="260">
        <v>2.0</v>
      </c>
      <c r="I3122" s="260">
        <v>2655.0</v>
      </c>
      <c r="J3122" s="260">
        <v>21.0</v>
      </c>
      <c r="K3122" s="507">
        <v>285.0</v>
      </c>
      <c r="L3122" s="507" t="s">
        <v>3619</v>
      </c>
      <c r="M3122" s="507">
        <v>3.0</v>
      </c>
      <c r="N3122" s="507">
        <v>3.0</v>
      </c>
      <c r="O3122" s="507">
        <v>1.0</v>
      </c>
      <c r="P3122" s="507" t="s">
        <v>166</v>
      </c>
      <c r="Q3122" s="507" t="s">
        <v>166</v>
      </c>
      <c r="R3122" s="507" t="s">
        <v>166</v>
      </c>
      <c r="S3122" s="507" t="s">
        <v>166</v>
      </c>
      <c r="T3122" s="509"/>
    </row>
    <row r="3123">
      <c r="A3123" s="504" t="s">
        <v>3401</v>
      </c>
      <c r="B3123" s="505" t="s">
        <v>4558</v>
      </c>
      <c r="C3123" s="174" t="str">
        <f t="shared" si="444"/>
        <v>MSI</v>
      </c>
      <c r="D3123" s="544" t="s">
        <v>4493</v>
      </c>
      <c r="E3123" s="507">
        <v>307.0</v>
      </c>
      <c r="F3123" s="507">
        <v>125.0</v>
      </c>
      <c r="G3123" s="507">
        <v>51.0</v>
      </c>
      <c r="H3123" s="260">
        <v>2.0</v>
      </c>
      <c r="I3123" s="260">
        <v>2625.0</v>
      </c>
      <c r="J3123" s="260">
        <v>21.0</v>
      </c>
      <c r="K3123" s="507">
        <v>285.0</v>
      </c>
      <c r="L3123" s="507" t="s">
        <v>3619</v>
      </c>
      <c r="M3123" s="507">
        <v>3.0</v>
      </c>
      <c r="N3123" s="507">
        <v>3.0</v>
      </c>
      <c r="O3123" s="507">
        <v>1.0</v>
      </c>
      <c r="P3123" s="507" t="s">
        <v>166</v>
      </c>
      <c r="Q3123" s="507" t="s">
        <v>166</v>
      </c>
      <c r="R3123" s="507" t="s">
        <v>166</v>
      </c>
      <c r="S3123" s="507" t="s">
        <v>166</v>
      </c>
      <c r="T3123" s="509"/>
    </row>
    <row r="3124">
      <c r="A3124" s="504" t="s">
        <v>3401</v>
      </c>
      <c r="B3124" s="505" t="s">
        <v>4558</v>
      </c>
      <c r="C3124" s="174" t="str">
        <f t="shared" si="444"/>
        <v>MSI</v>
      </c>
      <c r="D3124" s="544" t="s">
        <v>4496</v>
      </c>
      <c r="E3124" s="507">
        <v>307.0</v>
      </c>
      <c r="F3124" s="507">
        <v>125.0</v>
      </c>
      <c r="G3124" s="507">
        <v>51.0</v>
      </c>
      <c r="H3124" s="260">
        <v>2.0</v>
      </c>
      <c r="I3124" s="260">
        <v>2685.0</v>
      </c>
      <c r="J3124" s="260">
        <v>21.0</v>
      </c>
      <c r="K3124" s="507">
        <v>285.0</v>
      </c>
      <c r="L3124" s="507" t="s">
        <v>3619</v>
      </c>
      <c r="M3124" s="507">
        <v>3.0</v>
      </c>
      <c r="N3124" s="507">
        <v>3.0</v>
      </c>
      <c r="O3124" s="507">
        <v>1.0</v>
      </c>
      <c r="P3124" s="507" t="s">
        <v>166</v>
      </c>
      <c r="Q3124" s="507" t="s">
        <v>166</v>
      </c>
      <c r="R3124" s="507" t="s">
        <v>166</v>
      </c>
      <c r="S3124" s="507" t="s">
        <v>166</v>
      </c>
      <c r="T3124" s="509"/>
    </row>
    <row r="3125">
      <c r="A3125" s="504" t="s">
        <v>3401</v>
      </c>
      <c r="B3125" s="505" t="s">
        <v>4558</v>
      </c>
      <c r="C3125" s="174" t="str">
        <f t="shared" si="444"/>
        <v>MSI</v>
      </c>
      <c r="D3125" s="544" t="s">
        <v>4495</v>
      </c>
      <c r="E3125" s="507">
        <v>307.0</v>
      </c>
      <c r="F3125" s="507">
        <v>125.0</v>
      </c>
      <c r="G3125" s="507">
        <v>51.0</v>
      </c>
      <c r="H3125" s="260">
        <v>2.0</v>
      </c>
      <c r="I3125" s="260">
        <v>2625.0</v>
      </c>
      <c r="J3125" s="260">
        <v>21.0</v>
      </c>
      <c r="K3125" s="507">
        <v>285.0</v>
      </c>
      <c r="L3125" s="507" t="s">
        <v>3619</v>
      </c>
      <c r="M3125" s="507">
        <v>3.0</v>
      </c>
      <c r="N3125" s="507">
        <v>3.0</v>
      </c>
      <c r="O3125" s="507">
        <v>1.0</v>
      </c>
      <c r="P3125" s="507" t="s">
        <v>166</v>
      </c>
      <c r="Q3125" s="507" t="s">
        <v>166</v>
      </c>
      <c r="R3125" s="507" t="s">
        <v>166</v>
      </c>
      <c r="S3125" s="507" t="s">
        <v>166</v>
      </c>
      <c r="T3125" s="509"/>
    </row>
    <row r="3126">
      <c r="A3126" s="504" t="s">
        <v>3401</v>
      </c>
      <c r="B3126" s="505" t="s">
        <v>4558</v>
      </c>
      <c r="C3126" s="174" t="str">
        <f t="shared" si="444"/>
        <v>MSI</v>
      </c>
      <c r="D3126" s="544" t="s">
        <v>4497</v>
      </c>
      <c r="E3126" s="507">
        <v>307.0</v>
      </c>
      <c r="F3126" s="507">
        <v>125.0</v>
      </c>
      <c r="G3126" s="507">
        <v>51.0</v>
      </c>
      <c r="H3126" s="260">
        <v>2.0</v>
      </c>
      <c r="I3126" s="260">
        <v>2685.0</v>
      </c>
      <c r="J3126" s="260">
        <v>21.0</v>
      </c>
      <c r="K3126" s="507">
        <v>285.0</v>
      </c>
      <c r="L3126" s="507" t="s">
        <v>3619</v>
      </c>
      <c r="M3126" s="507">
        <v>3.0</v>
      </c>
      <c r="N3126" s="507">
        <v>3.0</v>
      </c>
      <c r="O3126" s="507">
        <v>1.0</v>
      </c>
      <c r="P3126" s="507" t="s">
        <v>166</v>
      </c>
      <c r="Q3126" s="507" t="s">
        <v>166</v>
      </c>
      <c r="R3126" s="507" t="s">
        <v>166</v>
      </c>
      <c r="S3126" s="507" t="s">
        <v>166</v>
      </c>
      <c r="T3126" s="509"/>
    </row>
    <row r="3127">
      <c r="A3127" s="504" t="s">
        <v>3401</v>
      </c>
      <c r="B3127" s="505" t="s">
        <v>4558</v>
      </c>
      <c r="C3127" s="174" t="str">
        <f t="shared" si="444"/>
        <v>MSI</v>
      </c>
      <c r="D3127" s="544" t="s">
        <v>4563</v>
      </c>
      <c r="E3127" s="507">
        <v>312.0</v>
      </c>
      <c r="F3127" s="507">
        <v>141.0</v>
      </c>
      <c r="G3127" s="507">
        <v>61.0</v>
      </c>
      <c r="H3127" s="260">
        <v>3.0</v>
      </c>
      <c r="I3127" s="260">
        <v>2670.0</v>
      </c>
      <c r="J3127" s="260">
        <v>21.0</v>
      </c>
      <c r="K3127" s="507">
        <v>285.0</v>
      </c>
      <c r="L3127" s="507" t="s">
        <v>3619</v>
      </c>
      <c r="M3127" s="507">
        <v>2.0</v>
      </c>
      <c r="N3127" s="507">
        <v>3.0</v>
      </c>
      <c r="O3127" s="507">
        <v>1.0</v>
      </c>
      <c r="P3127" s="507" t="s">
        <v>166</v>
      </c>
      <c r="Q3127" s="507" t="s">
        <v>166</v>
      </c>
      <c r="R3127" s="507" t="s">
        <v>166</v>
      </c>
      <c r="S3127" s="507" t="s">
        <v>166</v>
      </c>
      <c r="T3127" s="509"/>
    </row>
    <row r="3128">
      <c r="A3128" s="504" t="s">
        <v>3401</v>
      </c>
      <c r="B3128" s="505" t="s">
        <v>4558</v>
      </c>
      <c r="C3128" s="174" t="str">
        <f t="shared" si="444"/>
        <v>MSI</v>
      </c>
      <c r="D3128" s="544" t="s">
        <v>4550</v>
      </c>
      <c r="E3128" s="507">
        <v>337.0</v>
      </c>
      <c r="F3128" s="507">
        <v>140.0</v>
      </c>
      <c r="G3128" s="507">
        <v>62.0</v>
      </c>
      <c r="H3128" s="260">
        <v>3.0</v>
      </c>
      <c r="I3128" s="260">
        <v>2625.0</v>
      </c>
      <c r="J3128" s="260">
        <v>21.0</v>
      </c>
      <c r="K3128" s="507">
        <v>285.0</v>
      </c>
      <c r="L3128" s="507" t="s">
        <v>3619</v>
      </c>
      <c r="M3128" s="507">
        <v>3.0</v>
      </c>
      <c r="N3128" s="507">
        <v>3.0</v>
      </c>
      <c r="O3128" s="507">
        <v>1.0</v>
      </c>
      <c r="P3128" s="507" t="s">
        <v>166</v>
      </c>
      <c r="Q3128" s="507" t="s">
        <v>166</v>
      </c>
      <c r="R3128" s="507" t="s">
        <v>166</v>
      </c>
      <c r="S3128" s="507" t="s">
        <v>166</v>
      </c>
      <c r="T3128" s="509"/>
    </row>
    <row r="3129">
      <c r="A3129" s="504" t="s">
        <v>3401</v>
      </c>
      <c r="B3129" s="505" t="s">
        <v>4558</v>
      </c>
      <c r="C3129" s="174" t="str">
        <f t="shared" si="444"/>
        <v>MSI</v>
      </c>
      <c r="D3129" s="544" t="s">
        <v>4551</v>
      </c>
      <c r="E3129" s="507">
        <v>337.0</v>
      </c>
      <c r="F3129" s="507">
        <v>140.0</v>
      </c>
      <c r="G3129" s="507">
        <v>62.0</v>
      </c>
      <c r="H3129" s="260">
        <v>3.0</v>
      </c>
      <c r="I3129" s="260">
        <v>2685.0</v>
      </c>
      <c r="J3129" s="260">
        <v>21.0</v>
      </c>
      <c r="K3129" s="507">
        <v>285.0</v>
      </c>
      <c r="L3129" s="507" t="s">
        <v>3619</v>
      </c>
      <c r="M3129" s="507">
        <v>3.0</v>
      </c>
      <c r="N3129" s="507">
        <v>3.0</v>
      </c>
      <c r="O3129" s="507">
        <v>1.0</v>
      </c>
      <c r="P3129" s="507" t="s">
        <v>166</v>
      </c>
      <c r="Q3129" s="507" t="s">
        <v>166</v>
      </c>
      <c r="R3129" s="507" t="s">
        <v>166</v>
      </c>
      <c r="S3129" s="507" t="s">
        <v>166</v>
      </c>
      <c r="T3129" s="509"/>
    </row>
    <row r="3130">
      <c r="A3130" s="504" t="s">
        <v>3401</v>
      </c>
      <c r="B3130" s="505" t="s">
        <v>4558</v>
      </c>
      <c r="C3130" s="452" t="str">
        <f t="shared" ref="C3130:C3133" si="445">HYPERLINK("http://www.palit.com/palit/index.php?lang=en","Palit")</f>
        <v>Palit</v>
      </c>
      <c r="D3130" s="544" t="s">
        <v>4321</v>
      </c>
      <c r="E3130" s="507">
        <v>328.9</v>
      </c>
      <c r="F3130" s="507">
        <v>130.5</v>
      </c>
      <c r="G3130" s="507">
        <v>63.5</v>
      </c>
      <c r="H3130" s="260">
        <v>2.0</v>
      </c>
      <c r="I3130" s="260">
        <v>2640.0</v>
      </c>
      <c r="J3130" s="260">
        <v>21.0</v>
      </c>
      <c r="K3130" s="507">
        <v>285.0</v>
      </c>
      <c r="L3130" s="507" t="s">
        <v>3619</v>
      </c>
      <c r="M3130" s="507">
        <v>3.0</v>
      </c>
      <c r="N3130" s="507">
        <v>3.0</v>
      </c>
      <c r="O3130" s="507">
        <v>1.0</v>
      </c>
      <c r="P3130" s="507" t="s">
        <v>166</v>
      </c>
      <c r="Q3130" s="507" t="s">
        <v>166</v>
      </c>
      <c r="R3130" s="507" t="s">
        <v>166</v>
      </c>
      <c r="S3130" s="507" t="s">
        <v>166</v>
      </c>
      <c r="T3130" s="509"/>
    </row>
    <row r="3131">
      <c r="A3131" s="504" t="s">
        <v>3401</v>
      </c>
      <c r="B3131" s="505" t="s">
        <v>4558</v>
      </c>
      <c r="C3131" s="452" t="str">
        <f t="shared" si="445"/>
        <v>Palit</v>
      </c>
      <c r="D3131" s="544" t="s">
        <v>4067</v>
      </c>
      <c r="E3131" s="507">
        <v>328.9</v>
      </c>
      <c r="F3131" s="507">
        <v>132.9</v>
      </c>
      <c r="G3131" s="507">
        <v>63.4</v>
      </c>
      <c r="H3131" s="260">
        <v>2.0</v>
      </c>
      <c r="I3131" s="260">
        <v>2610.0</v>
      </c>
      <c r="J3131" s="260">
        <v>21.0</v>
      </c>
      <c r="K3131" s="507">
        <v>285.0</v>
      </c>
      <c r="L3131" s="507" t="s">
        <v>3619</v>
      </c>
      <c r="M3131" s="507">
        <v>3.0</v>
      </c>
      <c r="N3131" s="507">
        <v>3.0</v>
      </c>
      <c r="O3131" s="507">
        <v>1.0</v>
      </c>
      <c r="P3131" s="507" t="s">
        <v>166</v>
      </c>
      <c r="Q3131" s="507" t="s">
        <v>166</v>
      </c>
      <c r="R3131" s="507" t="s">
        <v>166</v>
      </c>
      <c r="S3131" s="507" t="s">
        <v>166</v>
      </c>
      <c r="T3131" s="509"/>
    </row>
    <row r="3132">
      <c r="A3132" s="504" t="s">
        <v>3401</v>
      </c>
      <c r="B3132" s="505" t="s">
        <v>4558</v>
      </c>
      <c r="C3132" s="452" t="str">
        <f t="shared" si="445"/>
        <v>Palit</v>
      </c>
      <c r="D3132" s="544" t="s">
        <v>4068</v>
      </c>
      <c r="E3132" s="507">
        <v>328.9</v>
      </c>
      <c r="F3132" s="507">
        <v>132.9</v>
      </c>
      <c r="G3132" s="507">
        <v>63.4</v>
      </c>
      <c r="H3132" s="260">
        <v>2.0</v>
      </c>
      <c r="I3132" s="260">
        <v>2670.0</v>
      </c>
      <c r="J3132" s="260">
        <v>21.0</v>
      </c>
      <c r="K3132" s="507">
        <v>285.0</v>
      </c>
      <c r="L3132" s="507" t="s">
        <v>3619</v>
      </c>
      <c r="M3132" s="507">
        <v>3.0</v>
      </c>
      <c r="N3132" s="507">
        <v>3.0</v>
      </c>
      <c r="O3132" s="507">
        <v>1.0</v>
      </c>
      <c r="P3132" s="507" t="s">
        <v>166</v>
      </c>
      <c r="Q3132" s="507" t="s">
        <v>166</v>
      </c>
      <c r="R3132" s="507" t="s">
        <v>166</v>
      </c>
      <c r="S3132" s="507" t="s">
        <v>166</v>
      </c>
      <c r="T3132" s="509"/>
    </row>
    <row r="3133">
      <c r="A3133" s="504" t="s">
        <v>3401</v>
      </c>
      <c r="B3133" s="505" t="s">
        <v>4558</v>
      </c>
      <c r="C3133" s="452" t="str">
        <f t="shared" si="445"/>
        <v>Palit</v>
      </c>
      <c r="D3133" s="544" t="s">
        <v>4552</v>
      </c>
      <c r="E3133" s="507">
        <v>328.9</v>
      </c>
      <c r="F3133" s="507">
        <v>132.9</v>
      </c>
      <c r="G3133" s="507">
        <v>63.4</v>
      </c>
      <c r="H3133" s="260">
        <v>2.0</v>
      </c>
      <c r="I3133" s="260">
        <v>2655.0</v>
      </c>
      <c r="J3133" s="260">
        <v>21.0</v>
      </c>
      <c r="K3133" s="507">
        <v>285.0</v>
      </c>
      <c r="L3133" s="507" t="s">
        <v>3619</v>
      </c>
      <c r="M3133" s="507">
        <v>3.0</v>
      </c>
      <c r="N3133" s="507">
        <v>3.0</v>
      </c>
      <c r="O3133" s="507">
        <v>1.0</v>
      </c>
      <c r="P3133" s="507" t="s">
        <v>166</v>
      </c>
      <c r="Q3133" s="507" t="s">
        <v>166</v>
      </c>
      <c r="R3133" s="507" t="s">
        <v>166</v>
      </c>
      <c r="S3133" s="507" t="s">
        <v>166</v>
      </c>
      <c r="T3133" s="509"/>
    </row>
    <row r="3134">
      <c r="A3134" s="504" t="s">
        <v>3401</v>
      </c>
      <c r="B3134" s="505" t="s">
        <v>4558</v>
      </c>
      <c r="C3134" s="452" t="str">
        <f t="shared" ref="C3134:C3135" si="446">HYPERLINK("https://pny.com/","PNY")</f>
        <v>PNY</v>
      </c>
      <c r="D3134" s="544" t="s">
        <v>4564</v>
      </c>
      <c r="E3134" s="507">
        <v>305.1</v>
      </c>
      <c r="F3134" s="507">
        <v>119.4</v>
      </c>
      <c r="G3134" s="507">
        <v>61.0</v>
      </c>
      <c r="H3134" s="260">
        <v>3.0</v>
      </c>
      <c r="I3134" s="260">
        <v>2625.0</v>
      </c>
      <c r="J3134" s="260">
        <v>21.0</v>
      </c>
      <c r="K3134" s="507">
        <v>285.0</v>
      </c>
      <c r="L3134" s="507" t="s">
        <v>3619</v>
      </c>
      <c r="M3134" s="507">
        <v>3.0</v>
      </c>
      <c r="N3134" s="507">
        <v>3.0</v>
      </c>
      <c r="O3134" s="507">
        <v>1.0</v>
      </c>
      <c r="P3134" s="507" t="s">
        <v>166</v>
      </c>
      <c r="Q3134" s="507" t="s">
        <v>166</v>
      </c>
      <c r="R3134" s="507" t="s">
        <v>166</v>
      </c>
      <c r="S3134" s="507" t="s">
        <v>166</v>
      </c>
      <c r="T3134" s="509"/>
    </row>
    <row r="3135">
      <c r="A3135" s="504" t="s">
        <v>3401</v>
      </c>
      <c r="B3135" s="505" t="s">
        <v>4558</v>
      </c>
      <c r="C3135" s="452" t="str">
        <f t="shared" si="446"/>
        <v>PNY</v>
      </c>
      <c r="D3135" s="544" t="s">
        <v>4472</v>
      </c>
      <c r="E3135" s="507">
        <v>332.7</v>
      </c>
      <c r="F3135" s="507">
        <v>136.4</v>
      </c>
      <c r="G3135" s="507">
        <v>66.6</v>
      </c>
      <c r="H3135" s="260">
        <v>3.0</v>
      </c>
      <c r="I3135" s="260">
        <v>2655.0</v>
      </c>
      <c r="J3135" s="260">
        <v>21.0</v>
      </c>
      <c r="K3135" s="507">
        <v>285.0</v>
      </c>
      <c r="L3135" s="507" t="s">
        <v>3619</v>
      </c>
      <c r="M3135" s="507">
        <v>3.0</v>
      </c>
      <c r="N3135" s="507">
        <v>3.0</v>
      </c>
      <c r="O3135" s="507">
        <v>1.0</v>
      </c>
      <c r="P3135" s="507" t="s">
        <v>166</v>
      </c>
      <c r="Q3135" s="507" t="s">
        <v>166</v>
      </c>
      <c r="R3135" s="507" t="s">
        <v>166</v>
      </c>
      <c r="S3135" s="507" t="s">
        <v>166</v>
      </c>
      <c r="T3135" s="509"/>
    </row>
    <row r="3136">
      <c r="A3136" s="504" t="s">
        <v>3401</v>
      </c>
      <c r="B3136" s="505" t="s">
        <v>4558</v>
      </c>
      <c r="C3136" s="452" t="s">
        <v>3378</v>
      </c>
      <c r="D3136" s="544" t="s">
        <v>4474</v>
      </c>
      <c r="E3136" s="507">
        <v>330.0</v>
      </c>
      <c r="F3136" s="507">
        <v>137.0</v>
      </c>
      <c r="G3136" s="507">
        <v>67.0</v>
      </c>
      <c r="H3136" s="260">
        <v>2.0</v>
      </c>
      <c r="I3136" s="260">
        <v>2610.0</v>
      </c>
      <c r="J3136" s="260">
        <v>21.0</v>
      </c>
      <c r="K3136" s="507">
        <v>285.0</v>
      </c>
      <c r="L3136" s="507" t="s">
        <v>3619</v>
      </c>
      <c r="M3136" s="507">
        <v>3.0</v>
      </c>
      <c r="N3136" s="507">
        <v>3.0</v>
      </c>
      <c r="O3136" s="507">
        <v>1.0</v>
      </c>
      <c r="P3136" s="507" t="s">
        <v>166</v>
      </c>
      <c r="Q3136" s="507" t="s">
        <v>166</v>
      </c>
      <c r="R3136" s="507" t="s">
        <v>166</v>
      </c>
      <c r="S3136" s="507" t="s">
        <v>166</v>
      </c>
      <c r="T3136" s="509"/>
    </row>
    <row r="3137">
      <c r="A3137" s="504" t="s">
        <v>3401</v>
      </c>
      <c r="B3137" s="505" t="s">
        <v>4558</v>
      </c>
      <c r="C3137" s="452" t="s">
        <v>3378</v>
      </c>
      <c r="D3137" s="544" t="s">
        <v>3777</v>
      </c>
      <c r="E3137" s="507">
        <v>330.0</v>
      </c>
      <c r="F3137" s="507">
        <v>137.0</v>
      </c>
      <c r="G3137" s="507">
        <v>67.0</v>
      </c>
      <c r="H3137" s="260">
        <v>2.0</v>
      </c>
      <c r="I3137" s="260">
        <v>2670.0</v>
      </c>
      <c r="J3137" s="260">
        <v>21.0</v>
      </c>
      <c r="K3137" s="507">
        <v>285.0</v>
      </c>
      <c r="L3137" s="507" t="s">
        <v>3619</v>
      </c>
      <c r="M3137" s="507">
        <v>3.0</v>
      </c>
      <c r="N3137" s="507">
        <v>3.0</v>
      </c>
      <c r="O3137" s="507">
        <v>1.0</v>
      </c>
      <c r="P3137" s="507" t="s">
        <v>166</v>
      </c>
      <c r="Q3137" s="507" t="s">
        <v>166</v>
      </c>
      <c r="R3137" s="507" t="s">
        <v>166</v>
      </c>
      <c r="S3137" s="507" t="s">
        <v>166</v>
      </c>
      <c r="T3137" s="509"/>
    </row>
    <row r="3138">
      <c r="A3138" s="504" t="s">
        <v>3401</v>
      </c>
      <c r="B3138" s="505" t="s">
        <v>4558</v>
      </c>
      <c r="C3138" s="452" t="s">
        <v>3440</v>
      </c>
      <c r="D3138" s="544" t="s">
        <v>4531</v>
      </c>
      <c r="E3138" s="507">
        <v>306.8</v>
      </c>
      <c r="F3138" s="507">
        <v>119.4</v>
      </c>
      <c r="G3138" s="507">
        <v>58.5</v>
      </c>
      <c r="H3138" s="260">
        <v>2.0</v>
      </c>
      <c r="I3138" s="260">
        <v>2610.0</v>
      </c>
      <c r="J3138" s="260">
        <v>21.0</v>
      </c>
      <c r="K3138" s="507">
        <v>285.0</v>
      </c>
      <c r="L3138" s="507" t="s">
        <v>3619</v>
      </c>
      <c r="M3138" s="507">
        <v>3.0</v>
      </c>
      <c r="N3138" s="507">
        <v>3.0</v>
      </c>
      <c r="O3138" s="507">
        <v>1.0</v>
      </c>
      <c r="P3138" s="507" t="s">
        <v>166</v>
      </c>
      <c r="Q3138" s="507" t="s">
        <v>166</v>
      </c>
      <c r="R3138" s="507" t="s">
        <v>166</v>
      </c>
      <c r="S3138" s="507" t="s">
        <v>166</v>
      </c>
      <c r="T3138" s="509"/>
    </row>
    <row r="3139">
      <c r="A3139" s="504" t="s">
        <v>3401</v>
      </c>
      <c r="B3139" s="505" t="s">
        <v>4558</v>
      </c>
      <c r="C3139" s="452" t="s">
        <v>3440</v>
      </c>
      <c r="D3139" s="544" t="s">
        <v>4403</v>
      </c>
      <c r="E3139" s="507">
        <v>306.8</v>
      </c>
      <c r="F3139" s="507">
        <v>119.4</v>
      </c>
      <c r="G3139" s="507">
        <v>58.5</v>
      </c>
      <c r="H3139" s="260">
        <v>2.0</v>
      </c>
      <c r="I3139" s="260">
        <v>2625.0</v>
      </c>
      <c r="J3139" s="260">
        <v>21.0</v>
      </c>
      <c r="K3139" s="507">
        <v>285.0</v>
      </c>
      <c r="L3139" s="507" t="s">
        <v>3619</v>
      </c>
      <c r="M3139" s="507">
        <v>3.0</v>
      </c>
      <c r="N3139" s="507">
        <v>3.0</v>
      </c>
      <c r="O3139" s="507">
        <v>1.0</v>
      </c>
      <c r="P3139" s="507" t="s">
        <v>166</v>
      </c>
      <c r="Q3139" s="507" t="s">
        <v>166</v>
      </c>
      <c r="R3139" s="507" t="s">
        <v>166</v>
      </c>
      <c r="S3139" s="507" t="s">
        <v>166</v>
      </c>
      <c r="T3139" s="509"/>
    </row>
    <row r="3140">
      <c r="A3140" s="538" t="s">
        <v>3401</v>
      </c>
      <c r="B3140" s="539" t="s">
        <v>4558</v>
      </c>
      <c r="C3140" s="500" t="s">
        <v>3440</v>
      </c>
      <c r="D3140" s="549" t="s">
        <v>4565</v>
      </c>
      <c r="E3140" s="519">
        <v>355.9</v>
      </c>
      <c r="F3140" s="519">
        <v>149.7</v>
      </c>
      <c r="G3140" s="519">
        <v>63.9</v>
      </c>
      <c r="H3140" s="393">
        <v>2.0</v>
      </c>
      <c r="I3140" s="393">
        <v>2640.0</v>
      </c>
      <c r="J3140" s="393">
        <v>21.0</v>
      </c>
      <c r="K3140" s="519">
        <v>285.0</v>
      </c>
      <c r="L3140" s="519" t="s">
        <v>3619</v>
      </c>
      <c r="M3140" s="519">
        <v>3.0</v>
      </c>
      <c r="N3140" s="519">
        <v>3.0</v>
      </c>
      <c r="O3140" s="519">
        <v>1.0</v>
      </c>
      <c r="P3140" s="519" t="s">
        <v>166</v>
      </c>
      <c r="Q3140" s="519" t="s">
        <v>166</v>
      </c>
      <c r="R3140" s="519" t="s">
        <v>166</v>
      </c>
      <c r="S3140" s="519" t="s">
        <v>166</v>
      </c>
      <c r="T3140" s="541"/>
    </row>
    <row r="3141">
      <c r="A3141" s="504" t="s">
        <v>3401</v>
      </c>
      <c r="B3141" s="505" t="s">
        <v>3617</v>
      </c>
      <c r="C3141" s="282" t="str">
        <f t="shared" ref="C3141:C3149" si="447">HYPERLINK("https://www.asus.com/","Asus")</f>
        <v>Asus</v>
      </c>
      <c r="D3141" s="544" t="s">
        <v>4451</v>
      </c>
      <c r="E3141" s="507">
        <v>300.0</v>
      </c>
      <c r="F3141" s="507">
        <v>120.0</v>
      </c>
      <c r="G3141" s="507">
        <v>50.0</v>
      </c>
      <c r="H3141" s="260">
        <v>2.0</v>
      </c>
      <c r="I3141" s="260">
        <v>2535.0</v>
      </c>
      <c r="J3141" s="260">
        <v>22.4</v>
      </c>
      <c r="K3141" s="507">
        <v>320.0</v>
      </c>
      <c r="L3141" s="507" t="s">
        <v>3619</v>
      </c>
      <c r="M3141" s="507">
        <v>3.0</v>
      </c>
      <c r="N3141" s="507">
        <v>3.0</v>
      </c>
      <c r="O3141" s="507">
        <v>1.0</v>
      </c>
      <c r="P3141" s="507" t="s">
        <v>166</v>
      </c>
      <c r="Q3141" s="507" t="s">
        <v>166</v>
      </c>
      <c r="R3141" s="507" t="s">
        <v>166</v>
      </c>
      <c r="S3141" s="507" t="s">
        <v>166</v>
      </c>
      <c r="T3141" s="509"/>
    </row>
    <row r="3142">
      <c r="A3142" s="504" t="s">
        <v>3401</v>
      </c>
      <c r="B3142" s="505" t="s">
        <v>3617</v>
      </c>
      <c r="C3142" s="282" t="str">
        <f t="shared" si="447"/>
        <v>Asus</v>
      </c>
      <c r="D3142" s="544" t="s">
        <v>4452</v>
      </c>
      <c r="E3142" s="507">
        <v>300.0</v>
      </c>
      <c r="F3142" s="507">
        <v>120.0</v>
      </c>
      <c r="G3142" s="507">
        <v>50.0</v>
      </c>
      <c r="H3142" s="260">
        <v>2.0</v>
      </c>
      <c r="I3142" s="260">
        <v>2625.0</v>
      </c>
      <c r="J3142" s="260">
        <v>22.4</v>
      </c>
      <c r="K3142" s="507">
        <v>320.0</v>
      </c>
      <c r="L3142" s="507" t="s">
        <v>3619</v>
      </c>
      <c r="M3142" s="507">
        <v>3.0</v>
      </c>
      <c r="N3142" s="507">
        <v>3.0</v>
      </c>
      <c r="O3142" s="507">
        <v>1.0</v>
      </c>
      <c r="P3142" s="507" t="s">
        <v>166</v>
      </c>
      <c r="Q3142" s="507" t="s">
        <v>166</v>
      </c>
      <c r="R3142" s="507" t="s">
        <v>166</v>
      </c>
      <c r="S3142" s="507" t="s">
        <v>166</v>
      </c>
      <c r="T3142" s="509"/>
    </row>
    <row r="3143">
      <c r="A3143" s="504" t="s">
        <v>3401</v>
      </c>
      <c r="B3143" s="505" t="s">
        <v>3617</v>
      </c>
      <c r="C3143" s="282" t="str">
        <f t="shared" si="447"/>
        <v>Asus</v>
      </c>
      <c r="D3143" s="544" t="s">
        <v>3477</v>
      </c>
      <c r="E3143" s="507">
        <v>348.2</v>
      </c>
      <c r="F3143" s="507">
        <v>150.0</v>
      </c>
      <c r="G3143" s="507">
        <v>72.6</v>
      </c>
      <c r="H3143" s="260">
        <v>2.0</v>
      </c>
      <c r="I3143" s="260">
        <v>2535.0</v>
      </c>
      <c r="J3143" s="260">
        <v>22.4</v>
      </c>
      <c r="K3143" s="507">
        <v>320.0</v>
      </c>
      <c r="L3143" s="507" t="s">
        <v>3619</v>
      </c>
      <c r="M3143" s="507">
        <v>3.0</v>
      </c>
      <c r="N3143" s="507">
        <v>3.0</v>
      </c>
      <c r="O3143" s="507">
        <v>2.0</v>
      </c>
      <c r="P3143" s="507" t="s">
        <v>166</v>
      </c>
      <c r="Q3143" s="507" t="s">
        <v>166</v>
      </c>
      <c r="R3143" s="507" t="s">
        <v>166</v>
      </c>
      <c r="S3143" s="507" t="s">
        <v>166</v>
      </c>
      <c r="T3143" s="509"/>
    </row>
    <row r="3144">
      <c r="A3144" s="504" t="s">
        <v>3401</v>
      </c>
      <c r="B3144" s="505" t="s">
        <v>3617</v>
      </c>
      <c r="C3144" s="282" t="str">
        <f t="shared" si="447"/>
        <v>Asus</v>
      </c>
      <c r="D3144" s="544" t="s">
        <v>3478</v>
      </c>
      <c r="E3144" s="507">
        <v>348.2</v>
      </c>
      <c r="F3144" s="507">
        <v>150.0</v>
      </c>
      <c r="G3144" s="507">
        <v>72.6</v>
      </c>
      <c r="H3144" s="260">
        <v>2.0</v>
      </c>
      <c r="I3144" s="260">
        <v>2625.0</v>
      </c>
      <c r="J3144" s="260">
        <v>22.4</v>
      </c>
      <c r="K3144" s="507">
        <v>320.0</v>
      </c>
      <c r="L3144" s="507" t="s">
        <v>3619</v>
      </c>
      <c r="M3144" s="507">
        <v>3.0</v>
      </c>
      <c r="N3144" s="507">
        <v>3.0</v>
      </c>
      <c r="O3144" s="507">
        <v>2.0</v>
      </c>
      <c r="P3144" s="507" t="s">
        <v>166</v>
      </c>
      <c r="Q3144" s="507" t="s">
        <v>166</v>
      </c>
      <c r="R3144" s="507" t="s">
        <v>166</v>
      </c>
      <c r="S3144" s="507" t="s">
        <v>166</v>
      </c>
      <c r="T3144" s="509"/>
    </row>
    <row r="3145">
      <c r="A3145" s="494" t="s">
        <v>3401</v>
      </c>
      <c r="B3145" s="495" t="s">
        <v>3617</v>
      </c>
      <c r="C3145" s="174" t="str">
        <f t="shared" si="447"/>
        <v>Asus</v>
      </c>
      <c r="D3145" s="544" t="s">
        <v>4566</v>
      </c>
      <c r="E3145" s="507">
        <v>310.0</v>
      </c>
      <c r="F3145" s="507">
        <v>144.8</v>
      </c>
      <c r="G3145" s="507">
        <v>87.5</v>
      </c>
      <c r="H3145" s="260">
        <v>2.0</v>
      </c>
      <c r="I3145" s="260">
        <v>2625.0</v>
      </c>
      <c r="J3145" s="518">
        <v>22.4</v>
      </c>
      <c r="K3145" s="266">
        <v>320.0</v>
      </c>
      <c r="L3145" s="507" t="s">
        <v>3619</v>
      </c>
      <c r="M3145" s="507">
        <v>2.0</v>
      </c>
      <c r="N3145" s="507">
        <v>3.0</v>
      </c>
      <c r="O3145" s="507">
        <v>2.0</v>
      </c>
      <c r="P3145" s="507" t="s">
        <v>166</v>
      </c>
      <c r="Q3145" s="507" t="s">
        <v>166</v>
      </c>
      <c r="R3145" s="507" t="s">
        <v>166</v>
      </c>
      <c r="S3145" s="507" t="s">
        <v>166</v>
      </c>
      <c r="T3145" s="509"/>
    </row>
    <row r="3146">
      <c r="A3146" s="494" t="s">
        <v>3401</v>
      </c>
      <c r="B3146" s="495" t="s">
        <v>3617</v>
      </c>
      <c r="C3146" s="174" t="str">
        <f t="shared" si="447"/>
        <v>Asus</v>
      </c>
      <c r="D3146" s="537" t="s">
        <v>3631</v>
      </c>
      <c r="E3146" s="266">
        <v>357.6</v>
      </c>
      <c r="F3146" s="266">
        <v>149.3</v>
      </c>
      <c r="G3146" s="266">
        <v>70.1</v>
      </c>
      <c r="H3146" s="518">
        <v>2.0</v>
      </c>
      <c r="I3146" s="518">
        <v>2535.0</v>
      </c>
      <c r="J3146" s="518">
        <v>22.4</v>
      </c>
      <c r="K3146" s="266">
        <v>320.0</v>
      </c>
      <c r="L3146" s="507" t="s">
        <v>3619</v>
      </c>
      <c r="M3146" s="266">
        <v>3.0</v>
      </c>
      <c r="N3146" s="266">
        <v>3.0</v>
      </c>
      <c r="O3146" s="266">
        <v>2.0</v>
      </c>
      <c r="P3146" s="266" t="s">
        <v>166</v>
      </c>
      <c r="Q3146" s="266" t="s">
        <v>166</v>
      </c>
      <c r="R3146" s="266" t="s">
        <v>166</v>
      </c>
      <c r="S3146" s="266" t="s">
        <v>166</v>
      </c>
      <c r="T3146" s="496"/>
    </row>
    <row r="3147">
      <c r="A3147" s="494" t="s">
        <v>3401</v>
      </c>
      <c r="B3147" s="495" t="s">
        <v>3617</v>
      </c>
      <c r="C3147" s="174" t="str">
        <f t="shared" si="447"/>
        <v>Asus</v>
      </c>
      <c r="D3147" s="537" t="s">
        <v>3643</v>
      </c>
      <c r="E3147" s="266">
        <v>357.6</v>
      </c>
      <c r="F3147" s="266">
        <v>149.3</v>
      </c>
      <c r="G3147" s="266">
        <v>70.1</v>
      </c>
      <c r="H3147" s="518">
        <v>2.0</v>
      </c>
      <c r="I3147" s="518">
        <v>2655.0</v>
      </c>
      <c r="J3147" s="518">
        <v>22.4</v>
      </c>
      <c r="K3147" s="266">
        <v>360.0</v>
      </c>
      <c r="L3147" s="507" t="s">
        <v>3619</v>
      </c>
      <c r="M3147" s="266">
        <v>3.0</v>
      </c>
      <c r="N3147" s="266">
        <v>3.0</v>
      </c>
      <c r="O3147" s="266">
        <v>2.0</v>
      </c>
      <c r="P3147" s="266" t="s">
        <v>166</v>
      </c>
      <c r="Q3147" s="266" t="s">
        <v>166</v>
      </c>
      <c r="R3147" s="266" t="s">
        <v>166</v>
      </c>
      <c r="S3147" s="266" t="s">
        <v>166</v>
      </c>
      <c r="T3147" s="496"/>
    </row>
    <row r="3148">
      <c r="A3148" s="494" t="s">
        <v>3401</v>
      </c>
      <c r="B3148" s="495" t="s">
        <v>3617</v>
      </c>
      <c r="C3148" s="174" t="str">
        <f t="shared" si="447"/>
        <v>Asus</v>
      </c>
      <c r="D3148" s="537" t="s">
        <v>4269</v>
      </c>
      <c r="E3148" s="266">
        <v>357.6</v>
      </c>
      <c r="F3148" s="266">
        <v>149.3</v>
      </c>
      <c r="G3148" s="266">
        <v>70.1</v>
      </c>
      <c r="H3148" s="518">
        <v>2.0</v>
      </c>
      <c r="I3148" s="518">
        <v>2535.0</v>
      </c>
      <c r="J3148" s="518">
        <v>22.4</v>
      </c>
      <c r="K3148" s="266">
        <v>320.0</v>
      </c>
      <c r="L3148" s="507" t="s">
        <v>3619</v>
      </c>
      <c r="M3148" s="266">
        <v>3.0</v>
      </c>
      <c r="N3148" s="266">
        <v>3.0</v>
      </c>
      <c r="O3148" s="266">
        <v>2.0</v>
      </c>
      <c r="P3148" s="266" t="s">
        <v>166</v>
      </c>
      <c r="Q3148" s="266" t="s">
        <v>166</v>
      </c>
      <c r="R3148" s="266" t="s">
        <v>166</v>
      </c>
      <c r="S3148" s="266" t="s">
        <v>166</v>
      </c>
      <c r="T3148" s="496"/>
    </row>
    <row r="3149">
      <c r="A3149" s="494" t="s">
        <v>3401</v>
      </c>
      <c r="B3149" s="495" t="s">
        <v>3617</v>
      </c>
      <c r="C3149" s="174" t="str">
        <f t="shared" si="447"/>
        <v>Asus</v>
      </c>
      <c r="D3149" s="537" t="s">
        <v>4042</v>
      </c>
      <c r="E3149" s="266">
        <v>357.6</v>
      </c>
      <c r="F3149" s="266">
        <v>149.3</v>
      </c>
      <c r="G3149" s="266">
        <v>70.1</v>
      </c>
      <c r="H3149" s="518">
        <v>2.0</v>
      </c>
      <c r="I3149" s="518">
        <v>2655.0</v>
      </c>
      <c r="J3149" s="518">
        <v>22.4</v>
      </c>
      <c r="K3149" s="266">
        <v>360.0</v>
      </c>
      <c r="L3149" s="507" t="s">
        <v>3619</v>
      </c>
      <c r="M3149" s="266">
        <v>3.0</v>
      </c>
      <c r="N3149" s="266">
        <v>3.0</v>
      </c>
      <c r="O3149" s="266">
        <v>2.0</v>
      </c>
      <c r="P3149" s="266" t="s">
        <v>166</v>
      </c>
      <c r="Q3149" s="266" t="s">
        <v>166</v>
      </c>
      <c r="R3149" s="266" t="s">
        <v>166</v>
      </c>
      <c r="S3149" s="266" t="s">
        <v>166</v>
      </c>
      <c r="T3149" s="496"/>
    </row>
    <row r="3150">
      <c r="A3150" s="494" t="s">
        <v>3401</v>
      </c>
      <c r="B3150" s="495" t="s">
        <v>3617</v>
      </c>
      <c r="C3150" s="452" t="s">
        <v>3575</v>
      </c>
      <c r="D3150" s="537" t="s">
        <v>4071</v>
      </c>
      <c r="E3150" s="266">
        <f>326.5-12</f>
        <v>314.5</v>
      </c>
      <c r="F3150" s="266">
        <f>149.7-15</f>
        <v>134.7</v>
      </c>
      <c r="G3150" s="266">
        <v>60.5</v>
      </c>
      <c r="H3150" s="518">
        <v>2.0</v>
      </c>
      <c r="I3150" s="518">
        <v>2580.0</v>
      </c>
      <c r="J3150" s="518">
        <v>22.4</v>
      </c>
      <c r="K3150" s="266">
        <v>330.0</v>
      </c>
      <c r="L3150" s="507" t="s">
        <v>3619</v>
      </c>
      <c r="M3150" s="266">
        <v>3.0</v>
      </c>
      <c r="N3150" s="266">
        <v>3.0</v>
      </c>
      <c r="O3150" s="266">
        <v>1.0</v>
      </c>
      <c r="P3150" s="266" t="s">
        <v>166</v>
      </c>
      <c r="Q3150" s="266" t="s">
        <v>166</v>
      </c>
      <c r="R3150" s="266" t="s">
        <v>166</v>
      </c>
      <c r="S3150" s="266" t="s">
        <v>166</v>
      </c>
      <c r="T3150" s="496"/>
    </row>
    <row r="3151">
      <c r="A3151" s="494" t="s">
        <v>3401</v>
      </c>
      <c r="B3151" s="495" t="s">
        <v>3617</v>
      </c>
      <c r="C3151" s="452" t="s">
        <v>3575</v>
      </c>
      <c r="D3151" s="537" t="s">
        <v>4087</v>
      </c>
      <c r="E3151" s="266">
        <f>337-12</f>
        <v>325</v>
      </c>
      <c r="F3151" s="266">
        <f>150-15</f>
        <v>135</v>
      </c>
      <c r="G3151" s="266">
        <v>62.0</v>
      </c>
      <c r="H3151" s="518">
        <v>3.0</v>
      </c>
      <c r="I3151" s="518">
        <v>2610.0</v>
      </c>
      <c r="J3151" s="518">
        <v>22.4</v>
      </c>
      <c r="K3151" s="266">
        <v>350.0</v>
      </c>
      <c r="L3151" s="507" t="s">
        <v>3619</v>
      </c>
      <c r="M3151" s="266">
        <v>3.0</v>
      </c>
      <c r="N3151" s="266">
        <v>3.0</v>
      </c>
      <c r="O3151" s="266">
        <v>1.0</v>
      </c>
      <c r="P3151" s="266" t="s">
        <v>166</v>
      </c>
      <c r="Q3151" s="266" t="s">
        <v>166</v>
      </c>
      <c r="R3151" s="266" t="s">
        <v>166</v>
      </c>
      <c r="S3151" s="266" t="s">
        <v>166</v>
      </c>
      <c r="T3151" s="496"/>
    </row>
    <row r="3152">
      <c r="A3152" s="494" t="s">
        <v>3401</v>
      </c>
      <c r="B3152" s="495" t="s">
        <v>3617</v>
      </c>
      <c r="C3152" s="452" t="s">
        <v>3575</v>
      </c>
      <c r="D3152" s="537" t="s">
        <v>3889</v>
      </c>
      <c r="E3152" s="266">
        <f>343.8-12</f>
        <v>331.8</v>
      </c>
      <c r="F3152" s="266">
        <f>147.6-15</f>
        <v>132.6</v>
      </c>
      <c r="G3152" s="266">
        <v>70.5</v>
      </c>
      <c r="H3152" s="518">
        <v>3.0</v>
      </c>
      <c r="I3152" s="518">
        <v>2625.0</v>
      </c>
      <c r="J3152" s="518">
        <v>22.4</v>
      </c>
      <c r="K3152" s="266">
        <v>400.0</v>
      </c>
      <c r="L3152" s="507" t="s">
        <v>3619</v>
      </c>
      <c r="M3152" s="266">
        <v>3.0</v>
      </c>
      <c r="N3152" s="266">
        <v>3.0</v>
      </c>
      <c r="O3152" s="266">
        <v>1.0</v>
      </c>
      <c r="P3152" s="266" t="s">
        <v>166</v>
      </c>
      <c r="Q3152" s="266" t="s">
        <v>166</v>
      </c>
      <c r="R3152" s="266" t="s">
        <v>166</v>
      </c>
      <c r="S3152" s="266" t="s">
        <v>166</v>
      </c>
      <c r="T3152" s="496"/>
    </row>
    <row r="3153">
      <c r="A3153" s="494" t="s">
        <v>3401</v>
      </c>
      <c r="B3153" s="495" t="s">
        <v>3617</v>
      </c>
      <c r="C3153" s="452" t="s">
        <v>3575</v>
      </c>
      <c r="D3153" s="537" t="s">
        <v>3943</v>
      </c>
      <c r="E3153" s="266">
        <f>348.5-12</f>
        <v>336.5</v>
      </c>
      <c r="F3153" s="266">
        <f>159.5-15</f>
        <v>144.5</v>
      </c>
      <c r="G3153" s="266">
        <v>70.4</v>
      </c>
      <c r="H3153" s="518">
        <v>3.0</v>
      </c>
      <c r="I3153" s="518">
        <v>2640.0</v>
      </c>
      <c r="J3153" s="518">
        <v>22.4</v>
      </c>
      <c r="K3153" s="266">
        <v>460.0</v>
      </c>
      <c r="L3153" s="507" t="s">
        <v>3619</v>
      </c>
      <c r="M3153" s="266">
        <v>3.0</v>
      </c>
      <c r="N3153" s="266">
        <v>3.0</v>
      </c>
      <c r="O3153" s="266">
        <v>1.0</v>
      </c>
      <c r="P3153" s="266" t="s">
        <v>166</v>
      </c>
      <c r="Q3153" s="266" t="s">
        <v>166</v>
      </c>
      <c r="R3153" s="266" t="s">
        <v>166</v>
      </c>
      <c r="S3153" s="266" t="s">
        <v>166</v>
      </c>
      <c r="T3153" s="496"/>
    </row>
    <row r="3154">
      <c r="A3154" s="494" t="s">
        <v>3401</v>
      </c>
      <c r="B3154" s="495" t="s">
        <v>3617</v>
      </c>
      <c r="C3154" s="452" t="s">
        <v>3575</v>
      </c>
      <c r="D3154" s="537" t="s">
        <v>3970</v>
      </c>
      <c r="E3154" s="266">
        <f>253.5-12</f>
        <v>241.5</v>
      </c>
      <c r="F3154" s="266">
        <f>170.8-15</f>
        <v>155.8</v>
      </c>
      <c r="G3154" s="266">
        <v>41.5</v>
      </c>
      <c r="H3154" s="260">
        <v>2.0</v>
      </c>
      <c r="I3154" s="518">
        <v>2640.0</v>
      </c>
      <c r="J3154" s="518">
        <v>22.4</v>
      </c>
      <c r="K3154" s="266">
        <v>470.0</v>
      </c>
      <c r="L3154" s="507" t="s">
        <v>3619</v>
      </c>
      <c r="M3154" s="266" t="s">
        <v>166</v>
      </c>
      <c r="N3154" s="266">
        <v>3.0</v>
      </c>
      <c r="O3154" s="266">
        <v>1.0</v>
      </c>
      <c r="P3154" s="266" t="s">
        <v>166</v>
      </c>
      <c r="Q3154" s="266" t="s">
        <v>166</v>
      </c>
      <c r="R3154" s="266" t="s">
        <v>174</v>
      </c>
      <c r="S3154" s="266" t="s">
        <v>166</v>
      </c>
      <c r="T3154" s="496"/>
    </row>
    <row r="3155">
      <c r="A3155" s="494" t="s">
        <v>3401</v>
      </c>
      <c r="B3155" s="495" t="s">
        <v>3617</v>
      </c>
      <c r="C3155" s="452" t="str">
        <f t="shared" ref="C3155:C3162" si="448">HYPERLINK("http://www.gainward.com/main/index.php?lang=en","Gainward")</f>
        <v>Gainward</v>
      </c>
      <c r="D3155" s="537" t="s">
        <v>4193</v>
      </c>
      <c r="E3155" s="266">
        <v>350.0</v>
      </c>
      <c r="F3155" s="266">
        <v>140.0</v>
      </c>
      <c r="G3155" s="266">
        <v>76.0</v>
      </c>
      <c r="H3155" s="260">
        <v>3.0</v>
      </c>
      <c r="I3155" s="518">
        <v>2505.0</v>
      </c>
      <c r="J3155" s="518">
        <v>22.4</v>
      </c>
      <c r="K3155" s="266">
        <v>320.0</v>
      </c>
      <c r="L3155" s="507" t="s">
        <v>3619</v>
      </c>
      <c r="M3155" s="266">
        <v>3.0</v>
      </c>
      <c r="N3155" s="266">
        <v>3.0</v>
      </c>
      <c r="O3155" s="266">
        <v>1.0</v>
      </c>
      <c r="P3155" s="266" t="s">
        <v>166</v>
      </c>
      <c r="Q3155" s="266" t="s">
        <v>166</v>
      </c>
      <c r="R3155" s="266" t="s">
        <v>166</v>
      </c>
      <c r="S3155" s="266" t="s">
        <v>166</v>
      </c>
      <c r="T3155" s="496"/>
    </row>
    <row r="3156">
      <c r="A3156" s="494" t="s">
        <v>3401</v>
      </c>
      <c r="B3156" s="495" t="s">
        <v>3617</v>
      </c>
      <c r="C3156" s="452" t="str">
        <f t="shared" si="448"/>
        <v>Gainward</v>
      </c>
      <c r="D3156" s="537" t="s">
        <v>4195</v>
      </c>
      <c r="E3156" s="266">
        <v>350.0</v>
      </c>
      <c r="F3156" s="266">
        <v>140.0</v>
      </c>
      <c r="G3156" s="266">
        <v>76.0</v>
      </c>
      <c r="H3156" s="260">
        <v>3.0</v>
      </c>
      <c r="I3156" s="518">
        <v>2565.0</v>
      </c>
      <c r="J3156" s="518">
        <v>22.4</v>
      </c>
      <c r="K3156" s="266">
        <v>320.0</v>
      </c>
      <c r="L3156" s="507" t="s">
        <v>3619</v>
      </c>
      <c r="M3156" s="266">
        <v>3.0</v>
      </c>
      <c r="N3156" s="266">
        <v>3.0</v>
      </c>
      <c r="O3156" s="266">
        <v>1.0</v>
      </c>
      <c r="P3156" s="266" t="s">
        <v>166</v>
      </c>
      <c r="Q3156" s="266" t="s">
        <v>166</v>
      </c>
      <c r="R3156" s="266" t="s">
        <v>166</v>
      </c>
      <c r="S3156" s="266" t="s">
        <v>166</v>
      </c>
      <c r="T3156" s="496"/>
    </row>
    <row r="3157">
      <c r="A3157" s="494" t="s">
        <v>3401</v>
      </c>
      <c r="B3157" s="495" t="s">
        <v>3617</v>
      </c>
      <c r="C3157" s="452" t="str">
        <f t="shared" si="448"/>
        <v>Gainward</v>
      </c>
      <c r="D3157" s="537" t="s">
        <v>4567</v>
      </c>
      <c r="E3157" s="266">
        <v>350.0</v>
      </c>
      <c r="F3157" s="266">
        <v>140.0</v>
      </c>
      <c r="G3157" s="266">
        <v>76.0</v>
      </c>
      <c r="H3157" s="260">
        <v>3.0</v>
      </c>
      <c r="I3157" s="518">
        <v>2625.0</v>
      </c>
      <c r="J3157" s="518">
        <v>22.4</v>
      </c>
      <c r="K3157" s="266">
        <v>320.0</v>
      </c>
      <c r="L3157" s="507" t="s">
        <v>3619</v>
      </c>
      <c r="M3157" s="266">
        <v>3.0</v>
      </c>
      <c r="N3157" s="266">
        <v>3.0</v>
      </c>
      <c r="O3157" s="266">
        <v>1.0</v>
      </c>
      <c r="P3157" s="266" t="s">
        <v>166</v>
      </c>
      <c r="Q3157" s="266" t="s">
        <v>166</v>
      </c>
      <c r="R3157" s="266" t="s">
        <v>166</v>
      </c>
      <c r="S3157" s="266" t="s">
        <v>166</v>
      </c>
      <c r="T3157" s="496"/>
    </row>
    <row r="3158">
      <c r="A3158" s="494" t="s">
        <v>3401</v>
      </c>
      <c r="B3158" s="495" t="s">
        <v>3617</v>
      </c>
      <c r="C3158" s="452" t="str">
        <f t="shared" si="448"/>
        <v>Gainward</v>
      </c>
      <c r="D3158" s="537" t="s">
        <v>4502</v>
      </c>
      <c r="E3158" s="266">
        <v>328.9</v>
      </c>
      <c r="F3158" s="266">
        <v>128.0</v>
      </c>
      <c r="G3158" s="266">
        <v>63.5</v>
      </c>
      <c r="H3158" s="260">
        <v>2.0</v>
      </c>
      <c r="I3158" s="518">
        <v>2505.0</v>
      </c>
      <c r="J3158" s="518">
        <v>22.4</v>
      </c>
      <c r="K3158" s="266">
        <v>320.0</v>
      </c>
      <c r="L3158" s="507" t="s">
        <v>3619</v>
      </c>
      <c r="M3158" s="266">
        <v>3.0</v>
      </c>
      <c r="N3158" s="266">
        <v>3.0</v>
      </c>
      <c r="O3158" s="266">
        <v>1.0</v>
      </c>
      <c r="P3158" s="266" t="s">
        <v>166</v>
      </c>
      <c r="Q3158" s="266" t="s">
        <v>166</v>
      </c>
      <c r="R3158" s="266" t="s">
        <v>166</v>
      </c>
      <c r="S3158" s="266" t="s">
        <v>166</v>
      </c>
      <c r="T3158" s="496"/>
    </row>
    <row r="3159">
      <c r="A3159" s="494" t="s">
        <v>3401</v>
      </c>
      <c r="B3159" s="495" t="s">
        <v>3617</v>
      </c>
      <c r="C3159" s="452" t="str">
        <f t="shared" si="448"/>
        <v>Gainward</v>
      </c>
      <c r="D3159" s="537" t="s">
        <v>3371</v>
      </c>
      <c r="E3159" s="266">
        <v>328.9</v>
      </c>
      <c r="F3159" s="266">
        <v>131.1</v>
      </c>
      <c r="G3159" s="266">
        <v>63.6</v>
      </c>
      <c r="H3159" s="260">
        <v>3.0</v>
      </c>
      <c r="I3159" s="518">
        <v>2505.0</v>
      </c>
      <c r="J3159" s="518">
        <v>22.4</v>
      </c>
      <c r="K3159" s="266">
        <v>320.0</v>
      </c>
      <c r="L3159" s="507" t="s">
        <v>3619</v>
      </c>
      <c r="M3159" s="266">
        <v>3.0</v>
      </c>
      <c r="N3159" s="266">
        <v>3.0</v>
      </c>
      <c r="O3159" s="266">
        <v>1.0</v>
      </c>
      <c r="P3159" s="266" t="s">
        <v>166</v>
      </c>
      <c r="Q3159" s="266" t="s">
        <v>166</v>
      </c>
      <c r="R3159" s="266" t="s">
        <v>166</v>
      </c>
      <c r="S3159" s="266" t="s">
        <v>166</v>
      </c>
      <c r="T3159" s="496"/>
    </row>
    <row r="3160">
      <c r="A3160" s="494" t="s">
        <v>3401</v>
      </c>
      <c r="B3160" s="495" t="s">
        <v>3617</v>
      </c>
      <c r="C3160" s="452" t="str">
        <f t="shared" si="448"/>
        <v>Gainward</v>
      </c>
      <c r="D3160" s="537" t="s">
        <v>3917</v>
      </c>
      <c r="E3160" s="266">
        <v>328.9</v>
      </c>
      <c r="F3160" s="266">
        <v>131.1</v>
      </c>
      <c r="G3160" s="266">
        <v>63.6</v>
      </c>
      <c r="H3160" s="260">
        <v>3.0</v>
      </c>
      <c r="I3160" s="518">
        <v>2610.0</v>
      </c>
      <c r="J3160" s="518">
        <v>22.4</v>
      </c>
      <c r="K3160" s="266">
        <v>320.0</v>
      </c>
      <c r="L3160" s="507" t="s">
        <v>3619</v>
      </c>
      <c r="M3160" s="266">
        <v>3.0</v>
      </c>
      <c r="N3160" s="266">
        <v>3.0</v>
      </c>
      <c r="O3160" s="266">
        <v>1.0</v>
      </c>
      <c r="P3160" s="266" t="s">
        <v>166</v>
      </c>
      <c r="Q3160" s="266" t="s">
        <v>166</v>
      </c>
      <c r="R3160" s="266" t="s">
        <v>166</v>
      </c>
      <c r="S3160" s="266" t="s">
        <v>166</v>
      </c>
      <c r="T3160" s="496"/>
    </row>
    <row r="3161">
      <c r="A3161" s="494" t="s">
        <v>3401</v>
      </c>
      <c r="B3161" s="495" t="s">
        <v>3617</v>
      </c>
      <c r="C3161" s="452" t="str">
        <f t="shared" si="448"/>
        <v>Gainward</v>
      </c>
      <c r="D3161" s="537" t="s">
        <v>3953</v>
      </c>
      <c r="E3161" s="266">
        <v>329.4</v>
      </c>
      <c r="F3161" s="266">
        <v>141.6</v>
      </c>
      <c r="G3161" s="266">
        <v>69.7</v>
      </c>
      <c r="H3161" s="260">
        <v>3.0</v>
      </c>
      <c r="I3161" s="518">
        <v>2505.0</v>
      </c>
      <c r="J3161" s="518">
        <v>22.4</v>
      </c>
      <c r="K3161" s="266">
        <v>320.0</v>
      </c>
      <c r="L3161" s="507" t="s">
        <v>3619</v>
      </c>
      <c r="M3161" s="266">
        <v>3.0</v>
      </c>
      <c r="N3161" s="266">
        <v>3.0</v>
      </c>
      <c r="O3161" s="266">
        <v>1.0</v>
      </c>
      <c r="P3161" s="266" t="s">
        <v>166</v>
      </c>
      <c r="Q3161" s="266" t="s">
        <v>166</v>
      </c>
      <c r="R3161" s="266" t="s">
        <v>166</v>
      </c>
      <c r="S3161" s="266" t="s">
        <v>166</v>
      </c>
      <c r="T3161" s="496"/>
    </row>
    <row r="3162">
      <c r="A3162" s="494" t="s">
        <v>3401</v>
      </c>
      <c r="B3162" s="495" t="s">
        <v>3617</v>
      </c>
      <c r="C3162" s="452" t="str">
        <f t="shared" si="448"/>
        <v>Gainward</v>
      </c>
      <c r="D3162" s="537" t="s">
        <v>3954</v>
      </c>
      <c r="E3162" s="266">
        <v>329.4</v>
      </c>
      <c r="F3162" s="266">
        <v>141.6</v>
      </c>
      <c r="G3162" s="266">
        <v>69.7</v>
      </c>
      <c r="H3162" s="260">
        <v>3.0</v>
      </c>
      <c r="I3162" s="518">
        <v>2640.0</v>
      </c>
      <c r="J3162" s="518">
        <v>22.4</v>
      </c>
      <c r="K3162" s="266">
        <v>340.0</v>
      </c>
      <c r="L3162" s="507" t="s">
        <v>3619</v>
      </c>
      <c r="M3162" s="266">
        <v>3.0</v>
      </c>
      <c r="N3162" s="266">
        <v>3.0</v>
      </c>
      <c r="O3162" s="266">
        <v>1.0</v>
      </c>
      <c r="P3162" s="266" t="s">
        <v>166</v>
      </c>
      <c r="Q3162" s="266" t="s">
        <v>166</v>
      </c>
      <c r="R3162" s="266" t="s">
        <v>166</v>
      </c>
      <c r="S3162" s="266" t="s">
        <v>166</v>
      </c>
      <c r="T3162" s="496"/>
    </row>
    <row r="3163">
      <c r="A3163" s="494" t="s">
        <v>3401</v>
      </c>
      <c r="B3163" s="495" t="s">
        <v>3617</v>
      </c>
      <c r="C3163" s="454" t="s">
        <v>3456</v>
      </c>
      <c r="D3163" s="537" t="s">
        <v>4204</v>
      </c>
      <c r="E3163" s="266">
        <v>338.0</v>
      </c>
      <c r="F3163" s="266">
        <v>139.0</v>
      </c>
      <c r="G3163" s="266">
        <v>69.0</v>
      </c>
      <c r="H3163" s="260">
        <v>3.0</v>
      </c>
      <c r="I3163" s="518">
        <v>2505.0</v>
      </c>
      <c r="J3163" s="518">
        <v>22.4</v>
      </c>
      <c r="K3163" s="266">
        <v>320.0</v>
      </c>
      <c r="L3163" s="507" t="s">
        <v>3619</v>
      </c>
      <c r="M3163" s="266">
        <v>3.0</v>
      </c>
      <c r="N3163" s="266">
        <v>3.0</v>
      </c>
      <c r="O3163" s="266">
        <v>1.0</v>
      </c>
      <c r="P3163" s="266" t="s">
        <v>166</v>
      </c>
      <c r="Q3163" s="266" t="s">
        <v>166</v>
      </c>
      <c r="R3163" s="266" t="s">
        <v>166</v>
      </c>
      <c r="S3163" s="266" t="s">
        <v>166</v>
      </c>
      <c r="T3163" s="496"/>
    </row>
    <row r="3164">
      <c r="A3164" s="494" t="s">
        <v>3401</v>
      </c>
      <c r="B3164" s="495" t="s">
        <v>3617</v>
      </c>
      <c r="C3164" s="454" t="s">
        <v>3456</v>
      </c>
      <c r="D3164" s="537" t="s">
        <v>4206</v>
      </c>
      <c r="E3164" s="266">
        <v>338.0</v>
      </c>
      <c r="F3164" s="266">
        <v>139.0</v>
      </c>
      <c r="G3164" s="266">
        <v>69.0</v>
      </c>
      <c r="H3164" s="260">
        <v>3.0</v>
      </c>
      <c r="I3164" s="518">
        <v>2550.0</v>
      </c>
      <c r="J3164" s="518">
        <v>22.4</v>
      </c>
      <c r="K3164" s="266">
        <v>320.0</v>
      </c>
      <c r="L3164" s="507" t="s">
        <v>3619</v>
      </c>
      <c r="M3164" s="266">
        <v>3.0</v>
      </c>
      <c r="N3164" s="266">
        <v>3.0</v>
      </c>
      <c r="O3164" s="266">
        <v>1.0</v>
      </c>
      <c r="P3164" s="266" t="s">
        <v>166</v>
      </c>
      <c r="Q3164" s="266" t="s">
        <v>166</v>
      </c>
      <c r="R3164" s="266" t="s">
        <v>166</v>
      </c>
      <c r="S3164" s="266" t="s">
        <v>166</v>
      </c>
      <c r="T3164" s="496"/>
    </row>
    <row r="3165">
      <c r="A3165" s="494" t="s">
        <v>3401</v>
      </c>
      <c r="B3165" s="495" t="s">
        <v>3617</v>
      </c>
      <c r="C3165" s="454" t="s">
        <v>3456</v>
      </c>
      <c r="D3165" s="537" t="s">
        <v>4257</v>
      </c>
      <c r="E3165" s="266">
        <v>338.0</v>
      </c>
      <c r="F3165" s="266">
        <v>139.0</v>
      </c>
      <c r="G3165" s="266">
        <v>69.0</v>
      </c>
      <c r="H3165" s="260">
        <v>3.0</v>
      </c>
      <c r="I3165" s="518">
        <v>2505.0</v>
      </c>
      <c r="J3165" s="518">
        <v>22.4</v>
      </c>
      <c r="K3165" s="266">
        <v>320.0</v>
      </c>
      <c r="L3165" s="507" t="s">
        <v>3619</v>
      </c>
      <c r="M3165" s="266">
        <v>3.0</v>
      </c>
      <c r="N3165" s="266">
        <v>3.0</v>
      </c>
      <c r="O3165" s="266">
        <v>1.0</v>
      </c>
      <c r="P3165" s="266" t="s">
        <v>166</v>
      </c>
      <c r="Q3165" s="266" t="s">
        <v>166</v>
      </c>
      <c r="R3165" s="266" t="s">
        <v>166</v>
      </c>
      <c r="S3165" s="266" t="s">
        <v>166</v>
      </c>
      <c r="T3165" s="496"/>
    </row>
    <row r="3166">
      <c r="A3166" s="494" t="s">
        <v>3401</v>
      </c>
      <c r="B3166" s="495" t="s">
        <v>3617</v>
      </c>
      <c r="C3166" s="454" t="s">
        <v>3456</v>
      </c>
      <c r="D3166" s="537" t="s">
        <v>4258</v>
      </c>
      <c r="E3166" s="266">
        <v>338.0</v>
      </c>
      <c r="F3166" s="266">
        <v>139.0</v>
      </c>
      <c r="G3166" s="266">
        <v>69.0</v>
      </c>
      <c r="H3166" s="260">
        <v>3.0</v>
      </c>
      <c r="I3166" s="518">
        <v>2580.0</v>
      </c>
      <c r="J3166" s="518">
        <v>22.4</v>
      </c>
      <c r="K3166" s="266">
        <v>320.0</v>
      </c>
      <c r="L3166" s="507" t="s">
        <v>3619</v>
      </c>
      <c r="M3166" s="266">
        <v>3.0</v>
      </c>
      <c r="N3166" s="266">
        <v>3.0</v>
      </c>
      <c r="O3166" s="266">
        <v>1.0</v>
      </c>
      <c r="P3166" s="266" t="s">
        <v>166</v>
      </c>
      <c r="Q3166" s="266" t="s">
        <v>166</v>
      </c>
      <c r="R3166" s="266" t="s">
        <v>166</v>
      </c>
      <c r="S3166" s="266" t="s">
        <v>166</v>
      </c>
      <c r="T3166" s="496"/>
    </row>
    <row r="3167">
      <c r="A3167" s="494" t="s">
        <v>3401</v>
      </c>
      <c r="B3167" s="495" t="s">
        <v>3617</v>
      </c>
      <c r="C3167" s="454" t="s">
        <v>3456</v>
      </c>
      <c r="D3167" s="537" t="s">
        <v>4538</v>
      </c>
      <c r="E3167" s="266">
        <v>344.0</v>
      </c>
      <c r="F3167" s="266">
        <v>144.0</v>
      </c>
      <c r="G3167" s="266">
        <v>77.0</v>
      </c>
      <c r="H3167" s="260">
        <v>3.0</v>
      </c>
      <c r="I3167" s="518">
        <v>2595.0</v>
      </c>
      <c r="J3167" s="518">
        <v>22.4</v>
      </c>
      <c r="K3167" s="266">
        <v>400.0</v>
      </c>
      <c r="L3167" s="507" t="s">
        <v>3619</v>
      </c>
      <c r="M3167" s="266">
        <v>3.0</v>
      </c>
      <c r="N3167" s="266">
        <v>3.0</v>
      </c>
      <c r="O3167" s="266">
        <v>1.0</v>
      </c>
      <c r="P3167" s="266" t="s">
        <v>166</v>
      </c>
      <c r="Q3167" s="266" t="s">
        <v>166</v>
      </c>
      <c r="R3167" s="266" t="s">
        <v>166</v>
      </c>
      <c r="S3167" s="266" t="s">
        <v>166</v>
      </c>
      <c r="T3167" s="496"/>
    </row>
    <row r="3168">
      <c r="A3168" s="494" t="s">
        <v>3401</v>
      </c>
      <c r="B3168" s="495" t="s">
        <v>3617</v>
      </c>
      <c r="C3168" s="454" t="s">
        <v>3456</v>
      </c>
      <c r="D3168" s="537" t="s">
        <v>4539</v>
      </c>
      <c r="E3168" s="266">
        <v>344.0</v>
      </c>
      <c r="F3168" s="266">
        <v>144.0</v>
      </c>
      <c r="G3168" s="266">
        <v>77.0</v>
      </c>
      <c r="H3168" s="260">
        <v>3.0</v>
      </c>
      <c r="I3168" s="518">
        <v>2640.0</v>
      </c>
      <c r="J3168" s="518">
        <v>22.4</v>
      </c>
      <c r="K3168" s="266">
        <v>400.0</v>
      </c>
      <c r="L3168" s="507" t="s">
        <v>3619</v>
      </c>
      <c r="M3168" s="266">
        <v>3.0</v>
      </c>
      <c r="N3168" s="266">
        <v>3.0</v>
      </c>
      <c r="O3168" s="266">
        <v>1.0</v>
      </c>
      <c r="P3168" s="266" t="s">
        <v>166</v>
      </c>
      <c r="Q3168" s="266" t="s">
        <v>166</v>
      </c>
      <c r="R3168" s="266" t="s">
        <v>166</v>
      </c>
      <c r="S3168" s="266" t="s">
        <v>166</v>
      </c>
      <c r="T3168" s="496"/>
    </row>
    <row r="3169">
      <c r="A3169" s="494" t="s">
        <v>3401</v>
      </c>
      <c r="B3169" s="495" t="s">
        <v>3617</v>
      </c>
      <c r="C3169" s="454" t="s">
        <v>3456</v>
      </c>
      <c r="D3169" s="537" t="s">
        <v>4568</v>
      </c>
      <c r="E3169" s="266">
        <v>344.0</v>
      </c>
      <c r="F3169" s="266">
        <v>144.0</v>
      </c>
      <c r="G3169" s="266">
        <v>77.0</v>
      </c>
      <c r="H3169" s="260">
        <v>3.0</v>
      </c>
      <c r="I3169" s="518">
        <v>2640.0</v>
      </c>
      <c r="J3169" s="518">
        <v>22.4</v>
      </c>
      <c r="K3169" s="266">
        <v>400.0</v>
      </c>
      <c r="L3169" s="507" t="s">
        <v>3619</v>
      </c>
      <c r="M3169" s="266">
        <v>3.0</v>
      </c>
      <c r="N3169" s="266">
        <v>3.0</v>
      </c>
      <c r="O3169" s="266">
        <v>1.0</v>
      </c>
      <c r="P3169" s="266" t="s">
        <v>166</v>
      </c>
      <c r="Q3169" s="266" t="s">
        <v>166</v>
      </c>
      <c r="R3169" s="266" t="s">
        <v>166</v>
      </c>
      <c r="S3169" s="266" t="s">
        <v>166</v>
      </c>
      <c r="T3169" s="496"/>
    </row>
    <row r="3170">
      <c r="A3170" s="494" t="s">
        <v>3401</v>
      </c>
      <c r="B3170" s="495" t="s">
        <v>3617</v>
      </c>
      <c r="C3170" s="454" t="s">
        <v>3456</v>
      </c>
      <c r="D3170" s="537" t="s">
        <v>4540</v>
      </c>
      <c r="E3170" s="266">
        <v>336.0</v>
      </c>
      <c r="F3170" s="266">
        <v>138.0</v>
      </c>
      <c r="G3170" s="266">
        <v>66.0</v>
      </c>
      <c r="H3170" s="260">
        <v>3.0</v>
      </c>
      <c r="I3170" s="518">
        <v>2520.0</v>
      </c>
      <c r="J3170" s="518">
        <v>22.4</v>
      </c>
      <c r="K3170" s="266">
        <v>320.0</v>
      </c>
      <c r="L3170" s="507" t="s">
        <v>3619</v>
      </c>
      <c r="M3170" s="266">
        <v>3.0</v>
      </c>
      <c r="N3170" s="266">
        <v>3.0</v>
      </c>
      <c r="O3170" s="266">
        <v>1.0</v>
      </c>
      <c r="P3170" s="266" t="s">
        <v>166</v>
      </c>
      <c r="Q3170" s="266" t="s">
        <v>166</v>
      </c>
      <c r="R3170" s="266" t="s">
        <v>166</v>
      </c>
      <c r="S3170" s="266" t="s">
        <v>166</v>
      </c>
      <c r="T3170" s="496"/>
    </row>
    <row r="3171">
      <c r="A3171" s="494" t="s">
        <v>3401</v>
      </c>
      <c r="B3171" s="495" t="s">
        <v>3617</v>
      </c>
      <c r="C3171" s="454" t="s">
        <v>3456</v>
      </c>
      <c r="D3171" s="537" t="s">
        <v>4541</v>
      </c>
      <c r="E3171" s="266">
        <v>336.0</v>
      </c>
      <c r="F3171" s="266">
        <v>138.0</v>
      </c>
      <c r="G3171" s="266">
        <v>66.0</v>
      </c>
      <c r="H3171" s="260">
        <v>3.0</v>
      </c>
      <c r="I3171" s="518">
        <v>2580.0</v>
      </c>
      <c r="J3171" s="518">
        <v>22.4</v>
      </c>
      <c r="K3171" s="266">
        <v>320.0</v>
      </c>
      <c r="L3171" s="507" t="s">
        <v>3619</v>
      </c>
      <c r="M3171" s="266">
        <v>3.0</v>
      </c>
      <c r="N3171" s="266">
        <v>3.0</v>
      </c>
      <c r="O3171" s="266">
        <v>1.0</v>
      </c>
      <c r="P3171" s="266" t="s">
        <v>166</v>
      </c>
      <c r="Q3171" s="266" t="s">
        <v>166</v>
      </c>
      <c r="R3171" s="266" t="s">
        <v>166</v>
      </c>
      <c r="S3171" s="266" t="s">
        <v>166</v>
      </c>
      <c r="T3171" s="496"/>
    </row>
    <row r="3172">
      <c r="A3172" s="494" t="s">
        <v>3401</v>
      </c>
      <c r="B3172" s="495" t="s">
        <v>3617</v>
      </c>
      <c r="C3172" s="454" t="s">
        <v>3456</v>
      </c>
      <c r="D3172" s="537" t="s">
        <v>4542</v>
      </c>
      <c r="E3172" s="266">
        <v>336.0</v>
      </c>
      <c r="F3172" s="266">
        <v>138.0</v>
      </c>
      <c r="G3172" s="266">
        <v>66.0</v>
      </c>
      <c r="H3172" s="260">
        <v>3.0</v>
      </c>
      <c r="I3172" s="518">
        <v>2580.0</v>
      </c>
      <c r="J3172" s="518">
        <v>22.4</v>
      </c>
      <c r="K3172" s="266">
        <v>320.0</v>
      </c>
      <c r="L3172" s="507" t="s">
        <v>3619</v>
      </c>
      <c r="M3172" s="266">
        <v>3.0</v>
      </c>
      <c r="N3172" s="266">
        <v>3.0</v>
      </c>
      <c r="O3172" s="266">
        <v>1.0</v>
      </c>
      <c r="P3172" s="266" t="s">
        <v>166</v>
      </c>
      <c r="Q3172" s="266" t="s">
        <v>166</v>
      </c>
      <c r="R3172" s="266" t="s">
        <v>166</v>
      </c>
      <c r="S3172" s="266" t="s">
        <v>166</v>
      </c>
      <c r="T3172" s="496"/>
    </row>
    <row r="3173">
      <c r="A3173" s="494" t="s">
        <v>3401</v>
      </c>
      <c r="B3173" s="495" t="s">
        <v>3617</v>
      </c>
      <c r="C3173" s="174" t="str">
        <f t="shared" ref="C3173:C3182" si="449">HYPERLINK("https://www.gigabyte.com/","Gigabyte")</f>
        <v>Gigabyte</v>
      </c>
      <c r="D3173" s="537" t="s">
        <v>3597</v>
      </c>
      <c r="E3173" s="266">
        <v>330.0</v>
      </c>
      <c r="F3173" s="266">
        <v>136.0</v>
      </c>
      <c r="G3173" s="266">
        <v>56.0</v>
      </c>
      <c r="H3173" s="260">
        <v>2.0</v>
      </c>
      <c r="I3173" s="518">
        <v>2505.0</v>
      </c>
      <c r="J3173" s="518">
        <v>22.4</v>
      </c>
      <c r="K3173" s="266">
        <v>320.0</v>
      </c>
      <c r="L3173" s="507" t="s">
        <v>3619</v>
      </c>
      <c r="M3173" s="266">
        <v>3.0</v>
      </c>
      <c r="N3173" s="266">
        <v>3.0</v>
      </c>
      <c r="O3173" s="266">
        <v>1.0</v>
      </c>
      <c r="P3173" s="266" t="s">
        <v>166</v>
      </c>
      <c r="Q3173" s="266" t="s">
        <v>166</v>
      </c>
      <c r="R3173" s="266" t="s">
        <v>166</v>
      </c>
      <c r="S3173" s="266" t="s">
        <v>166</v>
      </c>
      <c r="T3173" s="496"/>
    </row>
    <row r="3174">
      <c r="A3174" s="494" t="s">
        <v>3401</v>
      </c>
      <c r="B3174" s="495" t="s">
        <v>3617</v>
      </c>
      <c r="C3174" s="174" t="str">
        <f t="shared" si="449"/>
        <v>Gigabyte</v>
      </c>
      <c r="D3174" s="537" t="s">
        <v>3374</v>
      </c>
      <c r="E3174" s="266">
        <v>342.0</v>
      </c>
      <c r="F3174" s="266">
        <v>150.0</v>
      </c>
      <c r="G3174" s="266">
        <v>70.0</v>
      </c>
      <c r="H3174" s="260">
        <v>2.0</v>
      </c>
      <c r="I3174" s="518">
        <v>2505.0</v>
      </c>
      <c r="J3174" s="518">
        <v>22.4</v>
      </c>
      <c r="K3174" s="266">
        <v>320.0</v>
      </c>
      <c r="L3174" s="507" t="s">
        <v>3619</v>
      </c>
      <c r="M3174" s="266">
        <v>3.0</v>
      </c>
      <c r="N3174" s="266">
        <v>3.0</v>
      </c>
      <c r="O3174" s="266">
        <v>1.0</v>
      </c>
      <c r="P3174" s="266" t="s">
        <v>166</v>
      </c>
      <c r="Q3174" s="266" t="s">
        <v>166</v>
      </c>
      <c r="R3174" s="266" t="s">
        <v>166</v>
      </c>
      <c r="S3174" s="266" t="s">
        <v>166</v>
      </c>
      <c r="T3174" s="496"/>
    </row>
    <row r="3175">
      <c r="A3175" s="494" t="s">
        <v>3401</v>
      </c>
      <c r="B3175" s="495" t="s">
        <v>3617</v>
      </c>
      <c r="C3175" s="174" t="str">
        <f t="shared" si="449"/>
        <v>Gigabyte</v>
      </c>
      <c r="D3175" s="537" t="s">
        <v>3551</v>
      </c>
      <c r="E3175" s="266">
        <v>342.0</v>
      </c>
      <c r="F3175" s="266">
        <v>150.0</v>
      </c>
      <c r="G3175" s="266">
        <v>70.0</v>
      </c>
      <c r="H3175" s="260">
        <v>2.0</v>
      </c>
      <c r="I3175" s="518">
        <v>2520.0</v>
      </c>
      <c r="J3175" s="518">
        <v>22.4</v>
      </c>
      <c r="K3175" s="266">
        <v>320.0</v>
      </c>
      <c r="L3175" s="507" t="s">
        <v>3619</v>
      </c>
      <c r="M3175" s="266">
        <v>3.0</v>
      </c>
      <c r="N3175" s="266">
        <v>3.0</v>
      </c>
      <c r="O3175" s="266">
        <v>1.0</v>
      </c>
      <c r="P3175" s="266" t="s">
        <v>166</v>
      </c>
      <c r="Q3175" s="266" t="s">
        <v>166</v>
      </c>
      <c r="R3175" s="266" t="s">
        <v>166</v>
      </c>
      <c r="S3175" s="266" t="s">
        <v>166</v>
      </c>
      <c r="T3175" s="496"/>
    </row>
    <row r="3176">
      <c r="A3176" s="494" t="s">
        <v>3401</v>
      </c>
      <c r="B3176" s="495" t="s">
        <v>3617</v>
      </c>
      <c r="C3176" s="174" t="str">
        <f t="shared" si="449"/>
        <v>Gigabyte</v>
      </c>
      <c r="D3176" s="537" t="s">
        <v>3850</v>
      </c>
      <c r="E3176" s="266">
        <v>342.0</v>
      </c>
      <c r="F3176" s="266">
        <v>150.0</v>
      </c>
      <c r="G3176" s="266">
        <v>75.0</v>
      </c>
      <c r="H3176" s="518">
        <v>2.0</v>
      </c>
      <c r="I3176" s="518">
        <v>2505.0</v>
      </c>
      <c r="J3176" s="518">
        <v>22.4</v>
      </c>
      <c r="K3176" s="266">
        <v>320.0</v>
      </c>
      <c r="L3176" s="507" t="s">
        <v>3619</v>
      </c>
      <c r="M3176" s="266">
        <v>3.0</v>
      </c>
      <c r="N3176" s="266">
        <v>3.0</v>
      </c>
      <c r="O3176" s="266">
        <v>1.0</v>
      </c>
      <c r="P3176" s="266" t="s">
        <v>166</v>
      </c>
      <c r="Q3176" s="266" t="s">
        <v>166</v>
      </c>
      <c r="R3176" s="266" t="s">
        <v>166</v>
      </c>
      <c r="S3176" s="266" t="s">
        <v>166</v>
      </c>
      <c r="T3176" s="496"/>
    </row>
    <row r="3177">
      <c r="A3177" s="494" t="s">
        <v>3401</v>
      </c>
      <c r="B3177" s="495" t="s">
        <v>3617</v>
      </c>
      <c r="C3177" s="174" t="str">
        <f t="shared" si="449"/>
        <v>Gigabyte</v>
      </c>
      <c r="D3177" s="537" t="s">
        <v>3851</v>
      </c>
      <c r="E3177" s="266">
        <v>342.0</v>
      </c>
      <c r="F3177" s="266">
        <v>150.0</v>
      </c>
      <c r="G3177" s="266">
        <v>75.0</v>
      </c>
      <c r="H3177" s="518">
        <v>2.0</v>
      </c>
      <c r="I3177" s="518">
        <v>2535.0</v>
      </c>
      <c r="J3177" s="518">
        <v>22.4</v>
      </c>
      <c r="K3177" s="266">
        <v>320.0</v>
      </c>
      <c r="L3177" s="507" t="s">
        <v>3619</v>
      </c>
      <c r="M3177" s="266">
        <v>3.0</v>
      </c>
      <c r="N3177" s="266">
        <v>3.0</v>
      </c>
      <c r="O3177" s="266">
        <v>1.0</v>
      </c>
      <c r="P3177" s="266" t="s">
        <v>166</v>
      </c>
      <c r="Q3177" s="266" t="s">
        <v>166</v>
      </c>
      <c r="R3177" s="266" t="s">
        <v>166</v>
      </c>
      <c r="S3177" s="266" t="s">
        <v>166</v>
      </c>
      <c r="T3177" s="496"/>
    </row>
    <row r="3178">
      <c r="A3178" s="494" t="s">
        <v>3401</v>
      </c>
      <c r="B3178" s="495" t="s">
        <v>3617</v>
      </c>
      <c r="C3178" s="174" t="str">
        <f t="shared" si="449"/>
        <v>Gigabyte</v>
      </c>
      <c r="D3178" s="537" t="s">
        <v>3409</v>
      </c>
      <c r="E3178" s="266">
        <v>342.0</v>
      </c>
      <c r="F3178" s="266">
        <v>150.0</v>
      </c>
      <c r="G3178" s="266">
        <v>75.0</v>
      </c>
      <c r="H3178" s="518">
        <v>2.0</v>
      </c>
      <c r="I3178" s="518">
        <v>2505.0</v>
      </c>
      <c r="J3178" s="518">
        <v>22.4</v>
      </c>
      <c r="K3178" s="266">
        <v>320.0</v>
      </c>
      <c r="L3178" s="507" t="s">
        <v>3619</v>
      </c>
      <c r="M3178" s="266">
        <v>3.0</v>
      </c>
      <c r="N3178" s="266">
        <v>3.0</v>
      </c>
      <c r="O3178" s="266">
        <v>1.0</v>
      </c>
      <c r="P3178" s="266" t="s">
        <v>166</v>
      </c>
      <c r="Q3178" s="266" t="s">
        <v>166</v>
      </c>
      <c r="R3178" s="266" t="s">
        <v>166</v>
      </c>
      <c r="S3178" s="266" t="s">
        <v>166</v>
      </c>
      <c r="T3178" s="496"/>
    </row>
    <row r="3179">
      <c r="A3179" s="494" t="s">
        <v>3401</v>
      </c>
      <c r="B3179" s="495" t="s">
        <v>3617</v>
      </c>
      <c r="C3179" s="174" t="str">
        <f t="shared" si="449"/>
        <v>Gigabyte</v>
      </c>
      <c r="D3179" s="537" t="s">
        <v>3630</v>
      </c>
      <c r="E3179" s="266">
        <v>342.0</v>
      </c>
      <c r="F3179" s="266">
        <v>150.0</v>
      </c>
      <c r="G3179" s="266">
        <v>75.0</v>
      </c>
      <c r="H3179" s="518">
        <v>2.0</v>
      </c>
      <c r="I3179" s="518">
        <v>2535.0</v>
      </c>
      <c r="J3179" s="518">
        <v>22.4</v>
      </c>
      <c r="K3179" s="266">
        <v>320.0</v>
      </c>
      <c r="L3179" s="507" t="s">
        <v>3619</v>
      </c>
      <c r="M3179" s="266">
        <v>3.0</v>
      </c>
      <c r="N3179" s="266">
        <v>3.0</v>
      </c>
      <c r="O3179" s="266">
        <v>1.0</v>
      </c>
      <c r="P3179" s="266" t="s">
        <v>166</v>
      </c>
      <c r="Q3179" s="266" t="s">
        <v>166</v>
      </c>
      <c r="R3179" s="266" t="s">
        <v>166</v>
      </c>
      <c r="S3179" s="266" t="s">
        <v>166</v>
      </c>
      <c r="T3179" s="496"/>
    </row>
    <row r="3180">
      <c r="A3180" s="494" t="s">
        <v>3401</v>
      </c>
      <c r="B3180" s="495" t="s">
        <v>3617</v>
      </c>
      <c r="C3180" s="174" t="str">
        <f t="shared" si="449"/>
        <v>Gigabyte</v>
      </c>
      <c r="D3180" s="537" t="s">
        <v>3725</v>
      </c>
      <c r="E3180" s="266">
        <v>357.0</v>
      </c>
      <c r="F3180" s="266">
        <v>163.0</v>
      </c>
      <c r="G3180" s="266">
        <v>75.0</v>
      </c>
      <c r="H3180" s="518">
        <v>2.0</v>
      </c>
      <c r="I3180" s="518">
        <v>2550.0</v>
      </c>
      <c r="J3180" s="518">
        <v>22.4</v>
      </c>
      <c r="K3180" s="266">
        <v>320.0</v>
      </c>
      <c r="L3180" s="507" t="s">
        <v>3619</v>
      </c>
      <c r="M3180" s="266">
        <v>3.0</v>
      </c>
      <c r="N3180" s="266">
        <v>3.0</v>
      </c>
      <c r="O3180" s="266">
        <v>1.0</v>
      </c>
      <c r="P3180" s="266" t="s">
        <v>166</v>
      </c>
      <c r="Q3180" s="266" t="s">
        <v>166</v>
      </c>
      <c r="R3180" s="266" t="s">
        <v>166</v>
      </c>
      <c r="S3180" s="266" t="s">
        <v>166</v>
      </c>
      <c r="T3180" s="496"/>
    </row>
    <row r="3181">
      <c r="A3181" s="494" t="s">
        <v>3401</v>
      </c>
      <c r="B3181" s="495" t="s">
        <v>3617</v>
      </c>
      <c r="C3181" s="174" t="str">
        <f t="shared" si="449"/>
        <v>Gigabyte</v>
      </c>
      <c r="D3181" s="537" t="s">
        <v>4039</v>
      </c>
      <c r="E3181" s="266">
        <v>236.0</v>
      </c>
      <c r="F3181" s="266">
        <v>146.0</v>
      </c>
      <c r="G3181" s="266">
        <v>40.0</v>
      </c>
      <c r="H3181" s="518">
        <v>2.0</v>
      </c>
      <c r="I3181" s="518">
        <v>2565.0</v>
      </c>
      <c r="J3181" s="518">
        <v>22.4</v>
      </c>
      <c r="K3181" s="266">
        <v>320.0</v>
      </c>
      <c r="L3181" s="507" t="s">
        <v>3619</v>
      </c>
      <c r="M3181" s="266" t="s">
        <v>166</v>
      </c>
      <c r="N3181" s="266">
        <v>3.0</v>
      </c>
      <c r="O3181" s="266">
        <v>1.0</v>
      </c>
      <c r="P3181" s="266" t="s">
        <v>166</v>
      </c>
      <c r="Q3181" s="266" t="s">
        <v>166</v>
      </c>
      <c r="R3181" s="266" t="s">
        <v>174</v>
      </c>
      <c r="S3181" s="266" t="s">
        <v>166</v>
      </c>
      <c r="T3181" s="496"/>
    </row>
    <row r="3182">
      <c r="A3182" s="494" t="s">
        <v>3401</v>
      </c>
      <c r="B3182" s="495" t="s">
        <v>3617</v>
      </c>
      <c r="C3182" s="174" t="str">
        <f t="shared" si="449"/>
        <v>Gigabyte</v>
      </c>
      <c r="D3182" s="537" t="s">
        <v>3748</v>
      </c>
      <c r="E3182" s="266">
        <v>235.0</v>
      </c>
      <c r="F3182" s="266">
        <v>169.0</v>
      </c>
      <c r="G3182" s="266">
        <v>29.0</v>
      </c>
      <c r="H3182" s="518">
        <v>2.0</v>
      </c>
      <c r="I3182" s="518">
        <v>2565.0</v>
      </c>
      <c r="J3182" s="518">
        <v>22.4</v>
      </c>
      <c r="K3182" s="266">
        <v>320.0</v>
      </c>
      <c r="L3182" s="507" t="s">
        <v>3619</v>
      </c>
      <c r="M3182" s="266" t="s">
        <v>166</v>
      </c>
      <c r="N3182" s="266">
        <v>3.0</v>
      </c>
      <c r="O3182" s="266">
        <v>1.0</v>
      </c>
      <c r="P3182" s="266" t="s">
        <v>166</v>
      </c>
      <c r="Q3182" s="266" t="s">
        <v>166</v>
      </c>
      <c r="R3182" s="266" t="s">
        <v>174</v>
      </c>
      <c r="S3182" s="266" t="s">
        <v>166</v>
      </c>
      <c r="T3182" s="496"/>
    </row>
    <row r="3183">
      <c r="A3183" s="494" t="s">
        <v>3401</v>
      </c>
      <c r="B3183" s="495" t="s">
        <v>3617</v>
      </c>
      <c r="C3183" s="452" t="str">
        <f t="shared" ref="C3183:C3186" si="450">HYPERLINK("http://www.inno3d.com/","Inno3D")</f>
        <v>Inno3D</v>
      </c>
      <c r="D3183" s="537" t="s">
        <v>351</v>
      </c>
      <c r="E3183" s="266">
        <v>328.0</v>
      </c>
      <c r="F3183" s="266">
        <v>137.0</v>
      </c>
      <c r="G3183" s="266">
        <v>62.0</v>
      </c>
      <c r="H3183" s="518">
        <v>3.0</v>
      </c>
      <c r="I3183" s="518">
        <v>2505.0</v>
      </c>
      <c r="J3183" s="518">
        <v>22.4</v>
      </c>
      <c r="K3183" s="266">
        <v>320.0</v>
      </c>
      <c r="L3183" s="507" t="s">
        <v>3619</v>
      </c>
      <c r="M3183" s="266">
        <v>3.0</v>
      </c>
      <c r="N3183" s="266">
        <v>3.0</v>
      </c>
      <c r="O3183" s="266">
        <v>1.0</v>
      </c>
      <c r="P3183" s="266" t="s">
        <v>166</v>
      </c>
      <c r="Q3183" s="266" t="s">
        <v>166</v>
      </c>
      <c r="R3183" s="266" t="s">
        <v>166</v>
      </c>
      <c r="S3183" s="266" t="s">
        <v>166</v>
      </c>
      <c r="T3183" s="496"/>
    </row>
    <row r="3184">
      <c r="A3184" s="494" t="s">
        <v>3401</v>
      </c>
      <c r="B3184" s="495" t="s">
        <v>3617</v>
      </c>
      <c r="C3184" s="452" t="str">
        <f t="shared" si="450"/>
        <v>Inno3D</v>
      </c>
      <c r="D3184" s="537" t="s">
        <v>4347</v>
      </c>
      <c r="E3184" s="266">
        <v>328.0</v>
      </c>
      <c r="F3184" s="266">
        <v>137.0</v>
      </c>
      <c r="G3184" s="266">
        <v>62.0</v>
      </c>
      <c r="H3184" s="518">
        <v>3.0</v>
      </c>
      <c r="I3184" s="518">
        <v>2535.0</v>
      </c>
      <c r="J3184" s="518">
        <v>22.4</v>
      </c>
      <c r="K3184" s="266">
        <v>320.0</v>
      </c>
      <c r="L3184" s="507" t="s">
        <v>3619</v>
      </c>
      <c r="M3184" s="266">
        <v>3.0</v>
      </c>
      <c r="N3184" s="266">
        <v>3.0</v>
      </c>
      <c r="O3184" s="266">
        <v>1.0</v>
      </c>
      <c r="P3184" s="266" t="s">
        <v>166</v>
      </c>
      <c r="Q3184" s="266" t="s">
        <v>166</v>
      </c>
      <c r="R3184" s="266" t="s">
        <v>166</v>
      </c>
      <c r="S3184" s="266" t="s">
        <v>166</v>
      </c>
      <c r="T3184" s="496"/>
    </row>
    <row r="3185">
      <c r="A3185" s="494" t="s">
        <v>3401</v>
      </c>
      <c r="B3185" s="495" t="s">
        <v>3617</v>
      </c>
      <c r="C3185" s="452" t="str">
        <f t="shared" si="450"/>
        <v>Inno3D</v>
      </c>
      <c r="D3185" s="537" t="s">
        <v>3921</v>
      </c>
      <c r="E3185" s="266">
        <v>334.0</v>
      </c>
      <c r="F3185" s="266">
        <v>148.0</v>
      </c>
      <c r="G3185" s="266">
        <v>62.0</v>
      </c>
      <c r="H3185" s="518">
        <v>3.0</v>
      </c>
      <c r="I3185" s="518">
        <v>2565.0</v>
      </c>
      <c r="J3185" s="518">
        <v>22.4</v>
      </c>
      <c r="K3185" s="266">
        <v>320.0</v>
      </c>
      <c r="L3185" s="507" t="s">
        <v>3619</v>
      </c>
      <c r="M3185" s="266">
        <v>3.0</v>
      </c>
      <c r="N3185" s="266">
        <v>3.0</v>
      </c>
      <c r="O3185" s="266">
        <v>1.0</v>
      </c>
      <c r="P3185" s="266" t="s">
        <v>166</v>
      </c>
      <c r="Q3185" s="266" t="s">
        <v>166</v>
      </c>
      <c r="R3185" s="266" t="s">
        <v>166</v>
      </c>
      <c r="S3185" s="266" t="s">
        <v>166</v>
      </c>
      <c r="T3185" s="496"/>
    </row>
    <row r="3186">
      <c r="A3186" s="494" t="s">
        <v>3401</v>
      </c>
      <c r="B3186" s="495" t="s">
        <v>3617</v>
      </c>
      <c r="C3186" s="452" t="str">
        <f t="shared" si="450"/>
        <v>Inno3D</v>
      </c>
      <c r="D3186" s="537" t="s">
        <v>3992</v>
      </c>
      <c r="E3186" s="266">
        <v>280.0</v>
      </c>
      <c r="F3186" s="266">
        <v>137.0</v>
      </c>
      <c r="G3186" s="266">
        <v>41.0</v>
      </c>
      <c r="H3186" s="518">
        <v>2.0</v>
      </c>
      <c r="I3186" s="518">
        <v>2565.0</v>
      </c>
      <c r="J3186" s="518">
        <v>22.4</v>
      </c>
      <c r="K3186" s="266">
        <v>320.0</v>
      </c>
      <c r="L3186" s="507" t="s">
        <v>3619</v>
      </c>
      <c r="M3186" s="266" t="s">
        <v>166</v>
      </c>
      <c r="N3186" s="266">
        <v>3.0</v>
      </c>
      <c r="O3186" s="266">
        <v>1.0</v>
      </c>
      <c r="P3186" s="266" t="s">
        <v>166</v>
      </c>
      <c r="Q3186" s="266" t="s">
        <v>166</v>
      </c>
      <c r="R3186" s="266" t="s">
        <v>174</v>
      </c>
      <c r="S3186" s="266" t="s">
        <v>166</v>
      </c>
      <c r="T3186" s="496"/>
    </row>
    <row r="3187">
      <c r="A3187" s="494" t="s">
        <v>3401</v>
      </c>
      <c r="B3187" s="495" t="s">
        <v>3617</v>
      </c>
      <c r="C3187" s="452" t="s">
        <v>3538</v>
      </c>
      <c r="D3187" s="537" t="s">
        <v>3600</v>
      </c>
      <c r="E3187" s="266">
        <v>351.5</v>
      </c>
      <c r="F3187" s="266">
        <v>145.2</v>
      </c>
      <c r="G3187" s="266">
        <v>68.3</v>
      </c>
      <c r="H3187" s="518">
        <v>3.0</v>
      </c>
      <c r="I3187" s="518">
        <v>2505.0</v>
      </c>
      <c r="J3187" s="518">
        <v>22.4</v>
      </c>
      <c r="K3187" s="266">
        <v>320.0</v>
      </c>
      <c r="L3187" s="507" t="s">
        <v>3619</v>
      </c>
      <c r="M3187" s="266">
        <v>3.0</v>
      </c>
      <c r="N3187" s="266">
        <v>3.0</v>
      </c>
      <c r="O3187" s="266">
        <v>1.0</v>
      </c>
      <c r="P3187" s="266" t="s">
        <v>166</v>
      </c>
      <c r="Q3187" s="266" t="s">
        <v>166</v>
      </c>
      <c r="R3187" s="266" t="s">
        <v>166</v>
      </c>
      <c r="S3187" s="266" t="s">
        <v>166</v>
      </c>
      <c r="T3187" s="496"/>
    </row>
    <row r="3188">
      <c r="A3188" s="494" t="s">
        <v>3401</v>
      </c>
      <c r="B3188" s="495" t="s">
        <v>3617</v>
      </c>
      <c r="C3188" s="452" t="str">
        <f t="shared" ref="C3188:C3189" si="451">HYPERLINK("http://manli.com/en","Manli")</f>
        <v>Manli</v>
      </c>
      <c r="D3188" s="537" t="s">
        <v>4569</v>
      </c>
      <c r="E3188" s="266">
        <v>351.0</v>
      </c>
      <c r="F3188" s="266">
        <v>145.0</v>
      </c>
      <c r="G3188" s="266">
        <v>63.0</v>
      </c>
      <c r="H3188" s="518">
        <v>2.0</v>
      </c>
      <c r="I3188" s="518">
        <v>2505.0</v>
      </c>
      <c r="J3188" s="518">
        <v>22.4</v>
      </c>
      <c r="K3188" s="266">
        <v>320.0</v>
      </c>
      <c r="L3188" s="507" t="s">
        <v>3619</v>
      </c>
      <c r="M3188" s="266">
        <v>3.0</v>
      </c>
      <c r="N3188" s="266">
        <v>3.0</v>
      </c>
      <c r="O3188" s="266">
        <v>1.0</v>
      </c>
      <c r="P3188" s="266" t="s">
        <v>166</v>
      </c>
      <c r="Q3188" s="266" t="s">
        <v>166</v>
      </c>
      <c r="R3188" s="266" t="s">
        <v>166</v>
      </c>
      <c r="S3188" s="266" t="s">
        <v>166</v>
      </c>
      <c r="T3188" s="496"/>
    </row>
    <row r="3189">
      <c r="A3189" s="494" t="s">
        <v>3401</v>
      </c>
      <c r="B3189" s="495" t="s">
        <v>3617</v>
      </c>
      <c r="C3189" s="452" t="str">
        <f t="shared" si="451"/>
        <v>Manli</v>
      </c>
      <c r="D3189" s="537" t="s">
        <v>4570</v>
      </c>
      <c r="E3189" s="266">
        <v>351.0</v>
      </c>
      <c r="F3189" s="266">
        <v>145.0</v>
      </c>
      <c r="G3189" s="266">
        <v>63.0</v>
      </c>
      <c r="H3189" s="518">
        <v>3.0</v>
      </c>
      <c r="I3189" s="518">
        <v>2505.0</v>
      </c>
      <c r="J3189" s="518">
        <v>22.4</v>
      </c>
      <c r="K3189" s="266">
        <v>320.0</v>
      </c>
      <c r="L3189" s="507" t="s">
        <v>3619</v>
      </c>
      <c r="M3189" s="266">
        <v>3.0</v>
      </c>
      <c r="N3189" s="266">
        <v>3.0</v>
      </c>
      <c r="O3189" s="266">
        <v>1.0</v>
      </c>
      <c r="P3189" s="266" t="s">
        <v>166</v>
      </c>
      <c r="Q3189" s="266" t="s">
        <v>166</v>
      </c>
      <c r="R3189" s="266" t="s">
        <v>166</v>
      </c>
      <c r="S3189" s="266" t="s">
        <v>166</v>
      </c>
      <c r="T3189" s="496"/>
    </row>
    <row r="3190">
      <c r="A3190" s="494" t="s">
        <v>3401</v>
      </c>
      <c r="B3190" s="495" t="s">
        <v>3617</v>
      </c>
      <c r="C3190" s="174" t="s">
        <v>3565</v>
      </c>
      <c r="D3190" s="537" t="s">
        <v>3810</v>
      </c>
      <c r="E3190" s="266">
        <v>329.0</v>
      </c>
      <c r="F3190" s="266">
        <v>133.0</v>
      </c>
      <c r="G3190" s="266">
        <v>64.0</v>
      </c>
      <c r="H3190" s="518">
        <v>2.0</v>
      </c>
      <c r="I3190" s="518">
        <v>2505.0</v>
      </c>
      <c r="J3190" s="518">
        <v>22.4</v>
      </c>
      <c r="K3190" s="266">
        <v>320.0</v>
      </c>
      <c r="L3190" s="507" t="s">
        <v>3619</v>
      </c>
      <c r="M3190" s="266">
        <v>3.0</v>
      </c>
      <c r="N3190" s="266">
        <v>3.0</v>
      </c>
      <c r="O3190" s="266">
        <v>1.0</v>
      </c>
      <c r="P3190" s="266" t="s">
        <v>166</v>
      </c>
      <c r="Q3190" s="266" t="s">
        <v>166</v>
      </c>
      <c r="R3190" s="266" t="s">
        <v>166</v>
      </c>
      <c r="S3190" s="266" t="s">
        <v>166</v>
      </c>
      <c r="T3190" s="496"/>
    </row>
    <row r="3191">
      <c r="A3191" s="494" t="s">
        <v>3401</v>
      </c>
      <c r="B3191" s="495" t="s">
        <v>3617</v>
      </c>
      <c r="C3191" s="174" t="s">
        <v>3565</v>
      </c>
      <c r="D3191" s="537" t="s">
        <v>4571</v>
      </c>
      <c r="E3191" s="266">
        <v>336.0</v>
      </c>
      <c r="F3191" s="266">
        <v>137.0</v>
      </c>
      <c r="G3191" s="266">
        <v>62.0</v>
      </c>
      <c r="H3191" s="518">
        <v>2.0</v>
      </c>
      <c r="I3191" s="518">
        <v>2505.0</v>
      </c>
      <c r="J3191" s="518">
        <v>22.4</v>
      </c>
      <c r="K3191" s="266">
        <v>320.0</v>
      </c>
      <c r="L3191" s="507" t="s">
        <v>3619</v>
      </c>
      <c r="M3191" s="266">
        <v>3.0</v>
      </c>
      <c r="N3191" s="266">
        <v>3.0</v>
      </c>
      <c r="O3191" s="266">
        <v>1.0</v>
      </c>
      <c r="P3191" s="266" t="s">
        <v>166</v>
      </c>
      <c r="Q3191" s="266" t="s">
        <v>166</v>
      </c>
      <c r="R3191" s="266" t="s">
        <v>166</v>
      </c>
      <c r="S3191" s="266" t="s">
        <v>166</v>
      </c>
      <c r="T3191" s="496"/>
    </row>
    <row r="3192">
      <c r="A3192" s="494" t="s">
        <v>3401</v>
      </c>
      <c r="B3192" s="495" t="s">
        <v>3617</v>
      </c>
      <c r="C3192" s="174" t="s">
        <v>3565</v>
      </c>
      <c r="D3192" s="537" t="s">
        <v>4229</v>
      </c>
      <c r="E3192" s="266">
        <v>336.0</v>
      </c>
      <c r="F3192" s="266">
        <v>137.0</v>
      </c>
      <c r="G3192" s="266">
        <v>62.0</v>
      </c>
      <c r="H3192" s="518">
        <v>2.0</v>
      </c>
      <c r="I3192" s="518">
        <v>2580.0</v>
      </c>
      <c r="J3192" s="518">
        <v>22.4</v>
      </c>
      <c r="K3192" s="266">
        <v>340.0</v>
      </c>
      <c r="L3192" s="507" t="s">
        <v>3619</v>
      </c>
      <c r="M3192" s="266">
        <v>3.0</v>
      </c>
      <c r="N3192" s="266">
        <v>3.0</v>
      </c>
      <c r="O3192" s="266">
        <v>1.0</v>
      </c>
      <c r="P3192" s="266" t="s">
        <v>166</v>
      </c>
      <c r="Q3192" s="266" t="s">
        <v>166</v>
      </c>
      <c r="R3192" s="266" t="s">
        <v>166</v>
      </c>
      <c r="S3192" s="266" t="s">
        <v>166</v>
      </c>
      <c r="T3192" s="496"/>
    </row>
    <row r="3193">
      <c r="A3193" s="494" t="s">
        <v>3401</v>
      </c>
      <c r="B3193" s="495" t="s">
        <v>3617</v>
      </c>
      <c r="C3193" s="174" t="s">
        <v>3565</v>
      </c>
      <c r="D3193" s="537" t="s">
        <v>4467</v>
      </c>
      <c r="E3193" s="266">
        <v>336.0</v>
      </c>
      <c r="F3193" s="266">
        <v>137.0</v>
      </c>
      <c r="G3193" s="266">
        <v>62.0</v>
      </c>
      <c r="H3193" s="518">
        <v>2.0</v>
      </c>
      <c r="I3193" s="518">
        <v>2580.0</v>
      </c>
      <c r="J3193" s="518">
        <v>22.4</v>
      </c>
      <c r="K3193" s="266">
        <v>340.0</v>
      </c>
      <c r="L3193" s="507" t="s">
        <v>3619</v>
      </c>
      <c r="M3193" s="266">
        <v>3.0</v>
      </c>
      <c r="N3193" s="266">
        <v>3.0</v>
      </c>
      <c r="O3193" s="266">
        <v>1.0</v>
      </c>
      <c r="P3193" s="266" t="s">
        <v>166</v>
      </c>
      <c r="Q3193" s="266" t="s">
        <v>166</v>
      </c>
      <c r="R3193" s="266" t="s">
        <v>166</v>
      </c>
      <c r="S3193" s="266" t="s">
        <v>166</v>
      </c>
      <c r="T3193" s="496"/>
    </row>
    <row r="3194">
      <c r="A3194" s="494" t="s">
        <v>3401</v>
      </c>
      <c r="B3194" s="495" t="s">
        <v>3617</v>
      </c>
      <c r="C3194" s="174" t="s">
        <v>3565</v>
      </c>
      <c r="D3194" s="537" t="s">
        <v>4549</v>
      </c>
      <c r="E3194" s="266">
        <v>337.0</v>
      </c>
      <c r="F3194" s="266">
        <v>137.0</v>
      </c>
      <c r="G3194" s="266">
        <v>66.0</v>
      </c>
      <c r="H3194" s="518">
        <v>2.0</v>
      </c>
      <c r="I3194" s="518">
        <v>2625.0</v>
      </c>
      <c r="J3194" s="518">
        <v>22.4</v>
      </c>
      <c r="K3194" s="266">
        <v>360.0</v>
      </c>
      <c r="L3194" s="507" t="s">
        <v>3619</v>
      </c>
      <c r="M3194" s="266">
        <v>5.0</v>
      </c>
      <c r="N3194" s="266">
        <v>3.0</v>
      </c>
      <c r="O3194" s="266">
        <v>1.0</v>
      </c>
      <c r="P3194" s="266" t="s">
        <v>166</v>
      </c>
      <c r="Q3194" s="266" t="s">
        <v>166</v>
      </c>
      <c r="R3194" s="266" t="s">
        <v>166</v>
      </c>
      <c r="S3194" s="266" t="s">
        <v>166</v>
      </c>
      <c r="T3194" s="496"/>
    </row>
    <row r="3195">
      <c r="A3195" s="494" t="s">
        <v>3401</v>
      </c>
      <c r="B3195" s="495" t="s">
        <v>3617</v>
      </c>
      <c r="C3195" s="174" t="str">
        <f t="shared" ref="C3195:C3206" si="452">HYPERLINK("https://www.msi.com/index.php","MSI")</f>
        <v>MSI</v>
      </c>
      <c r="D3195" s="537" t="s">
        <v>4146</v>
      </c>
      <c r="E3195" s="266">
        <v>322.0</v>
      </c>
      <c r="F3195" s="266">
        <v>136.0</v>
      </c>
      <c r="G3195" s="266">
        <v>63.0</v>
      </c>
      <c r="H3195" s="518">
        <v>3.0</v>
      </c>
      <c r="I3195" s="518">
        <v>2520.0</v>
      </c>
      <c r="J3195" s="518">
        <v>22.4</v>
      </c>
      <c r="K3195" s="266">
        <v>320.0</v>
      </c>
      <c r="L3195" s="507" t="s">
        <v>3619</v>
      </c>
      <c r="M3195" s="266">
        <v>3.0</v>
      </c>
      <c r="N3195" s="266">
        <v>3.0</v>
      </c>
      <c r="O3195" s="266">
        <v>1.0</v>
      </c>
      <c r="P3195" s="266" t="s">
        <v>166</v>
      </c>
      <c r="Q3195" s="266" t="s">
        <v>166</v>
      </c>
      <c r="R3195" s="266" t="s">
        <v>166</v>
      </c>
      <c r="S3195" s="266" t="s">
        <v>166</v>
      </c>
      <c r="T3195" s="496"/>
    </row>
    <row r="3196">
      <c r="A3196" s="494" t="s">
        <v>3401</v>
      </c>
      <c r="B3196" s="495" t="s">
        <v>3617</v>
      </c>
      <c r="C3196" s="174" t="str">
        <f t="shared" si="452"/>
        <v>MSI</v>
      </c>
      <c r="D3196" s="537" t="s">
        <v>4147</v>
      </c>
      <c r="E3196" s="266">
        <v>322.0</v>
      </c>
      <c r="F3196" s="266">
        <v>136.0</v>
      </c>
      <c r="G3196" s="266">
        <v>63.0</v>
      </c>
      <c r="H3196" s="518">
        <v>3.0</v>
      </c>
      <c r="I3196" s="518">
        <v>2550.0</v>
      </c>
      <c r="J3196" s="518">
        <v>22.4</v>
      </c>
      <c r="K3196" s="266">
        <v>320.0</v>
      </c>
      <c r="L3196" s="507" t="s">
        <v>3619</v>
      </c>
      <c r="M3196" s="266">
        <v>3.0</v>
      </c>
      <c r="N3196" s="266">
        <v>3.0</v>
      </c>
      <c r="O3196" s="266">
        <v>1.0</v>
      </c>
      <c r="P3196" s="266" t="s">
        <v>166</v>
      </c>
      <c r="Q3196" s="266" t="s">
        <v>166</v>
      </c>
      <c r="R3196" s="266" t="s">
        <v>166</v>
      </c>
      <c r="S3196" s="266" t="s">
        <v>166</v>
      </c>
      <c r="T3196" s="496"/>
    </row>
    <row r="3197">
      <c r="A3197" s="494" t="s">
        <v>3401</v>
      </c>
      <c r="B3197" s="495" t="s">
        <v>3617</v>
      </c>
      <c r="C3197" s="174" t="str">
        <f t="shared" si="452"/>
        <v>MSI</v>
      </c>
      <c r="D3197" s="537" t="s">
        <v>4493</v>
      </c>
      <c r="E3197" s="266">
        <v>322.0</v>
      </c>
      <c r="F3197" s="266">
        <v>136.0</v>
      </c>
      <c r="G3197" s="266">
        <v>62.0</v>
      </c>
      <c r="H3197" s="518">
        <v>3.0</v>
      </c>
      <c r="I3197" s="518">
        <v>2520.0</v>
      </c>
      <c r="J3197" s="518">
        <v>22.4</v>
      </c>
      <c r="K3197" s="266">
        <v>320.0</v>
      </c>
      <c r="L3197" s="507" t="s">
        <v>3619</v>
      </c>
      <c r="M3197" s="266">
        <v>3.0</v>
      </c>
      <c r="N3197" s="266">
        <v>2.0</v>
      </c>
      <c r="O3197" s="266">
        <v>2.0</v>
      </c>
      <c r="P3197" s="266" t="s">
        <v>166</v>
      </c>
      <c r="Q3197" s="266" t="s">
        <v>166</v>
      </c>
      <c r="R3197" s="266" t="s">
        <v>166</v>
      </c>
      <c r="S3197" s="266" t="s">
        <v>166</v>
      </c>
      <c r="T3197" s="496"/>
    </row>
    <row r="3198">
      <c r="A3198" s="494" t="s">
        <v>3401</v>
      </c>
      <c r="B3198" s="495" t="s">
        <v>3617</v>
      </c>
      <c r="C3198" s="174" t="str">
        <f t="shared" si="452"/>
        <v>MSI</v>
      </c>
      <c r="D3198" s="537" t="s">
        <v>4495</v>
      </c>
      <c r="E3198" s="266">
        <v>322.0</v>
      </c>
      <c r="F3198" s="266">
        <v>136.0</v>
      </c>
      <c r="G3198" s="266">
        <v>62.0</v>
      </c>
      <c r="H3198" s="518">
        <v>3.0</v>
      </c>
      <c r="I3198" s="518">
        <v>2520.0</v>
      </c>
      <c r="J3198" s="518">
        <v>22.4</v>
      </c>
      <c r="K3198" s="266">
        <v>320.0</v>
      </c>
      <c r="L3198" s="507" t="s">
        <v>3619</v>
      </c>
      <c r="M3198" s="266">
        <v>3.0</v>
      </c>
      <c r="N3198" s="266">
        <v>2.0</v>
      </c>
      <c r="O3198" s="266">
        <v>2.0</v>
      </c>
      <c r="P3198" s="266" t="s">
        <v>166</v>
      </c>
      <c r="Q3198" s="266" t="s">
        <v>166</v>
      </c>
      <c r="R3198" s="266" t="s">
        <v>166</v>
      </c>
      <c r="S3198" s="266" t="s">
        <v>166</v>
      </c>
      <c r="T3198" s="496"/>
    </row>
    <row r="3199">
      <c r="A3199" s="494" t="s">
        <v>3401</v>
      </c>
      <c r="B3199" s="495" t="s">
        <v>3617</v>
      </c>
      <c r="C3199" s="174" t="str">
        <f t="shared" si="452"/>
        <v>MSI</v>
      </c>
      <c r="D3199" s="537" t="s">
        <v>4496</v>
      </c>
      <c r="E3199" s="266">
        <v>322.0</v>
      </c>
      <c r="F3199" s="266">
        <v>136.0</v>
      </c>
      <c r="G3199" s="266">
        <v>62.0</v>
      </c>
      <c r="H3199" s="518">
        <v>3.0</v>
      </c>
      <c r="I3199" s="518">
        <v>2610.0</v>
      </c>
      <c r="J3199" s="518">
        <v>22.4</v>
      </c>
      <c r="K3199" s="266">
        <v>320.0</v>
      </c>
      <c r="L3199" s="507" t="s">
        <v>3619</v>
      </c>
      <c r="M3199" s="266">
        <v>3.0</v>
      </c>
      <c r="N3199" s="266">
        <v>2.0</v>
      </c>
      <c r="O3199" s="266">
        <v>2.0</v>
      </c>
      <c r="P3199" s="266" t="s">
        <v>166</v>
      </c>
      <c r="Q3199" s="266" t="s">
        <v>166</v>
      </c>
      <c r="R3199" s="266" t="s">
        <v>166</v>
      </c>
      <c r="S3199" s="266" t="s">
        <v>166</v>
      </c>
      <c r="T3199" s="496"/>
    </row>
    <row r="3200">
      <c r="A3200" s="494" t="s">
        <v>3401</v>
      </c>
      <c r="B3200" s="495" t="s">
        <v>3617</v>
      </c>
      <c r="C3200" s="174" t="str">
        <f t="shared" si="452"/>
        <v>MSI</v>
      </c>
      <c r="D3200" s="537" t="s">
        <v>4497</v>
      </c>
      <c r="E3200" s="266">
        <v>322.0</v>
      </c>
      <c r="F3200" s="266">
        <v>136.0</v>
      </c>
      <c r="G3200" s="266">
        <v>62.0</v>
      </c>
      <c r="H3200" s="518">
        <v>3.0</v>
      </c>
      <c r="I3200" s="518">
        <v>2610.0</v>
      </c>
      <c r="J3200" s="518">
        <v>22.4</v>
      </c>
      <c r="K3200" s="266">
        <v>320.0</v>
      </c>
      <c r="L3200" s="507" t="s">
        <v>3619</v>
      </c>
      <c r="M3200" s="266">
        <v>3.0</v>
      </c>
      <c r="N3200" s="266">
        <v>2.0</v>
      </c>
      <c r="O3200" s="266">
        <v>2.0</v>
      </c>
      <c r="P3200" s="266" t="s">
        <v>166</v>
      </c>
      <c r="Q3200" s="266" t="s">
        <v>166</v>
      </c>
      <c r="R3200" s="266" t="s">
        <v>166</v>
      </c>
      <c r="S3200" s="266" t="s">
        <v>166</v>
      </c>
      <c r="T3200" s="496"/>
    </row>
    <row r="3201">
      <c r="A3201" s="494" t="s">
        <v>3401</v>
      </c>
      <c r="B3201" s="495" t="s">
        <v>3617</v>
      </c>
      <c r="C3201" s="174" t="str">
        <f t="shared" si="452"/>
        <v>MSI</v>
      </c>
      <c r="D3201" s="537" t="s">
        <v>3720</v>
      </c>
      <c r="E3201" s="266">
        <v>337.0</v>
      </c>
      <c r="F3201" s="266">
        <v>140.0</v>
      </c>
      <c r="G3201" s="266">
        <v>67.0</v>
      </c>
      <c r="H3201" s="518">
        <v>3.0</v>
      </c>
      <c r="I3201" s="518">
        <v>2520.0</v>
      </c>
      <c r="J3201" s="518">
        <v>22.4</v>
      </c>
      <c r="K3201" s="266">
        <v>320.0</v>
      </c>
      <c r="L3201" s="507" t="s">
        <v>3619</v>
      </c>
      <c r="M3201" s="266">
        <v>3.0</v>
      </c>
      <c r="N3201" s="266">
        <v>3.0</v>
      </c>
      <c r="O3201" s="266">
        <v>1.0</v>
      </c>
      <c r="P3201" s="266" t="s">
        <v>166</v>
      </c>
      <c r="Q3201" s="266" t="s">
        <v>166</v>
      </c>
      <c r="R3201" s="266" t="s">
        <v>166</v>
      </c>
      <c r="S3201" s="266" t="s">
        <v>166</v>
      </c>
      <c r="T3201" s="496"/>
    </row>
    <row r="3202">
      <c r="A3202" s="494" t="s">
        <v>3401</v>
      </c>
      <c r="B3202" s="495" t="s">
        <v>3617</v>
      </c>
      <c r="C3202" s="174" t="str">
        <f t="shared" si="452"/>
        <v>MSI</v>
      </c>
      <c r="D3202" s="537" t="s">
        <v>4550</v>
      </c>
      <c r="E3202" s="266">
        <v>337.0</v>
      </c>
      <c r="F3202" s="266">
        <v>140.0</v>
      </c>
      <c r="G3202" s="266">
        <v>67.0</v>
      </c>
      <c r="H3202" s="518">
        <v>3.0</v>
      </c>
      <c r="I3202" s="518">
        <v>2520.0</v>
      </c>
      <c r="J3202" s="518">
        <v>22.4</v>
      </c>
      <c r="K3202" s="266">
        <v>320.0</v>
      </c>
      <c r="L3202" s="507" t="s">
        <v>3619</v>
      </c>
      <c r="M3202" s="266">
        <v>3.0</v>
      </c>
      <c r="N3202" s="266">
        <v>3.0</v>
      </c>
      <c r="O3202" s="266">
        <v>1.0</v>
      </c>
      <c r="P3202" s="266" t="s">
        <v>166</v>
      </c>
      <c r="Q3202" s="266" t="s">
        <v>166</v>
      </c>
      <c r="R3202" s="266" t="s">
        <v>166</v>
      </c>
      <c r="S3202" s="266" t="s">
        <v>166</v>
      </c>
      <c r="T3202" s="496"/>
    </row>
    <row r="3203">
      <c r="A3203" s="494" t="s">
        <v>3401</v>
      </c>
      <c r="B3203" s="495" t="s">
        <v>3617</v>
      </c>
      <c r="C3203" s="174" t="str">
        <f t="shared" si="452"/>
        <v>MSI</v>
      </c>
      <c r="D3203" s="537" t="s">
        <v>3721</v>
      </c>
      <c r="E3203" s="266">
        <v>337.0</v>
      </c>
      <c r="F3203" s="266">
        <v>140.0</v>
      </c>
      <c r="G3203" s="266">
        <v>67.0</v>
      </c>
      <c r="H3203" s="518">
        <v>3.0</v>
      </c>
      <c r="I3203" s="518">
        <v>2610.0</v>
      </c>
      <c r="J3203" s="518">
        <v>22.4</v>
      </c>
      <c r="K3203" s="266">
        <v>320.0</v>
      </c>
      <c r="L3203" s="507" t="s">
        <v>3619</v>
      </c>
      <c r="M3203" s="266">
        <v>3.0</v>
      </c>
      <c r="N3203" s="266">
        <v>3.0</v>
      </c>
      <c r="O3203" s="266">
        <v>1.0</v>
      </c>
      <c r="P3203" s="266" t="s">
        <v>166</v>
      </c>
      <c r="Q3203" s="266" t="s">
        <v>166</v>
      </c>
      <c r="R3203" s="266" t="s">
        <v>166</v>
      </c>
      <c r="S3203" s="266" t="s">
        <v>166</v>
      </c>
      <c r="T3203" s="496"/>
    </row>
    <row r="3204">
      <c r="A3204" s="494" t="s">
        <v>3401</v>
      </c>
      <c r="B3204" s="495" t="s">
        <v>3617</v>
      </c>
      <c r="C3204" s="174" t="str">
        <f t="shared" si="452"/>
        <v>MSI</v>
      </c>
      <c r="D3204" s="537" t="s">
        <v>4551</v>
      </c>
      <c r="E3204" s="266">
        <v>337.0</v>
      </c>
      <c r="F3204" s="266">
        <v>140.0</v>
      </c>
      <c r="G3204" s="266">
        <v>67.0</v>
      </c>
      <c r="H3204" s="518">
        <v>3.0</v>
      </c>
      <c r="I3204" s="518">
        <v>2610.0</v>
      </c>
      <c r="J3204" s="518">
        <v>22.4</v>
      </c>
      <c r="K3204" s="266">
        <v>320.0</v>
      </c>
      <c r="L3204" s="507" t="s">
        <v>3619</v>
      </c>
      <c r="M3204" s="266">
        <v>3.0</v>
      </c>
      <c r="N3204" s="266">
        <v>3.0</v>
      </c>
      <c r="O3204" s="266">
        <v>1.0</v>
      </c>
      <c r="P3204" s="266" t="s">
        <v>166</v>
      </c>
      <c r="Q3204" s="266" t="s">
        <v>166</v>
      </c>
      <c r="R3204" s="266" t="s">
        <v>166</v>
      </c>
      <c r="S3204" s="266" t="s">
        <v>166</v>
      </c>
      <c r="T3204" s="496"/>
    </row>
    <row r="3205">
      <c r="A3205" s="494" t="s">
        <v>3401</v>
      </c>
      <c r="B3205" s="495" t="s">
        <v>3617</v>
      </c>
      <c r="C3205" s="174" t="str">
        <f t="shared" si="452"/>
        <v>MSI</v>
      </c>
      <c r="D3205" s="537" t="s">
        <v>4316</v>
      </c>
      <c r="E3205" s="266">
        <v>336.0</v>
      </c>
      <c r="F3205" s="266">
        <v>142.0</v>
      </c>
      <c r="G3205" s="266">
        <v>78.0</v>
      </c>
      <c r="H3205" s="518">
        <v>3.0</v>
      </c>
      <c r="I3205" s="518">
        <v>2610.0</v>
      </c>
      <c r="J3205" s="518">
        <v>22.4</v>
      </c>
      <c r="K3205" s="266">
        <v>320.0</v>
      </c>
      <c r="L3205" s="507" t="s">
        <v>3619</v>
      </c>
      <c r="M3205" s="266">
        <v>3.0</v>
      </c>
      <c r="N3205" s="266">
        <v>3.0</v>
      </c>
      <c r="O3205" s="266">
        <v>1.0</v>
      </c>
      <c r="P3205" s="266" t="s">
        <v>166</v>
      </c>
      <c r="Q3205" s="266" t="s">
        <v>166</v>
      </c>
      <c r="R3205" s="266" t="s">
        <v>166</v>
      </c>
      <c r="S3205" s="266" t="s">
        <v>166</v>
      </c>
      <c r="T3205" s="496"/>
    </row>
    <row r="3206">
      <c r="A3206" s="494" t="s">
        <v>3401</v>
      </c>
      <c r="B3206" s="495" t="s">
        <v>3617</v>
      </c>
      <c r="C3206" s="174" t="str">
        <f t="shared" si="452"/>
        <v>MSI</v>
      </c>
      <c r="D3206" s="537" t="s">
        <v>4318</v>
      </c>
      <c r="E3206" s="266">
        <v>336.0</v>
      </c>
      <c r="F3206" s="266">
        <v>142.0</v>
      </c>
      <c r="G3206" s="266">
        <v>78.0</v>
      </c>
      <c r="H3206" s="518">
        <v>3.0</v>
      </c>
      <c r="I3206" s="518">
        <v>2625.0</v>
      </c>
      <c r="J3206" s="518">
        <v>22.4</v>
      </c>
      <c r="K3206" s="266">
        <v>320.0</v>
      </c>
      <c r="L3206" s="507" t="s">
        <v>3619</v>
      </c>
      <c r="M3206" s="266">
        <v>3.0</v>
      </c>
      <c r="N3206" s="266">
        <v>3.0</v>
      </c>
      <c r="O3206" s="266">
        <v>1.0</v>
      </c>
      <c r="P3206" s="266" t="s">
        <v>166</v>
      </c>
      <c r="Q3206" s="266" t="s">
        <v>166</v>
      </c>
      <c r="R3206" s="266" t="s">
        <v>166</v>
      </c>
      <c r="S3206" s="266" t="s">
        <v>166</v>
      </c>
      <c r="T3206" s="496"/>
    </row>
    <row r="3207">
      <c r="A3207" s="494" t="s">
        <v>3401</v>
      </c>
      <c r="B3207" s="495" t="s">
        <v>3617</v>
      </c>
      <c r="C3207" s="452" t="str">
        <f>HYPERLINK("https://www.nvidia.com/en-us/","Nvidia")</f>
        <v>Nvidia</v>
      </c>
      <c r="D3207" s="452" t="s">
        <v>3812</v>
      </c>
      <c r="E3207" s="266">
        <v>304.0</v>
      </c>
      <c r="F3207" s="266">
        <v>137.0</v>
      </c>
      <c r="G3207" s="266">
        <v>61.0</v>
      </c>
      <c r="H3207" s="518">
        <v>3.0</v>
      </c>
      <c r="I3207" s="518">
        <v>2510.0</v>
      </c>
      <c r="J3207" s="518">
        <v>22.4</v>
      </c>
      <c r="K3207" s="266">
        <v>320.0</v>
      </c>
      <c r="L3207" s="507" t="s">
        <v>3619</v>
      </c>
      <c r="M3207" s="266">
        <v>2.0</v>
      </c>
      <c r="N3207" s="266">
        <v>3.0</v>
      </c>
      <c r="O3207" s="266">
        <v>1.0</v>
      </c>
      <c r="P3207" s="266" t="s">
        <v>166</v>
      </c>
      <c r="Q3207" s="266" t="s">
        <v>166</v>
      </c>
      <c r="R3207" s="266" t="s">
        <v>166</v>
      </c>
      <c r="S3207" s="266" t="s">
        <v>166</v>
      </c>
      <c r="T3207" s="496"/>
    </row>
    <row r="3208">
      <c r="A3208" s="494" t="s">
        <v>3401</v>
      </c>
      <c r="B3208" s="495" t="s">
        <v>3617</v>
      </c>
      <c r="C3208" s="452" t="str">
        <f t="shared" ref="C3208:C3213" si="453">HYPERLINK("http://www.palit.com/palit/index.php?lang=en","Palit")</f>
        <v>Palit</v>
      </c>
      <c r="D3208" s="537" t="s">
        <v>3998</v>
      </c>
      <c r="E3208" s="266">
        <v>328.9</v>
      </c>
      <c r="F3208" s="266">
        <v>130.5</v>
      </c>
      <c r="G3208" s="266">
        <v>63.5</v>
      </c>
      <c r="H3208" s="260">
        <v>2.0</v>
      </c>
      <c r="I3208" s="518">
        <v>2505.0</v>
      </c>
      <c r="J3208" s="518">
        <v>22.4</v>
      </c>
      <c r="K3208" s="266">
        <v>320.0</v>
      </c>
      <c r="L3208" s="507" t="s">
        <v>3619</v>
      </c>
      <c r="M3208" s="266">
        <v>3.0</v>
      </c>
      <c r="N3208" s="266">
        <v>3.0</v>
      </c>
      <c r="O3208" s="266">
        <v>1.0</v>
      </c>
      <c r="P3208" s="266" t="s">
        <v>166</v>
      </c>
      <c r="Q3208" s="266" t="s">
        <v>166</v>
      </c>
      <c r="R3208" s="266" t="s">
        <v>166</v>
      </c>
      <c r="S3208" s="266" t="s">
        <v>166</v>
      </c>
      <c r="T3208" s="496"/>
    </row>
    <row r="3209">
      <c r="A3209" s="494" t="s">
        <v>3401</v>
      </c>
      <c r="B3209" s="495" t="s">
        <v>3617</v>
      </c>
      <c r="C3209" s="452" t="str">
        <f t="shared" si="453"/>
        <v>Palit</v>
      </c>
      <c r="D3209" s="537" t="s">
        <v>4067</v>
      </c>
      <c r="E3209" s="266">
        <v>328.9</v>
      </c>
      <c r="F3209" s="266">
        <v>132.9</v>
      </c>
      <c r="G3209" s="266">
        <v>63.4</v>
      </c>
      <c r="H3209" s="260">
        <v>2.0</v>
      </c>
      <c r="I3209" s="518">
        <v>2505.0</v>
      </c>
      <c r="J3209" s="518">
        <v>22.4</v>
      </c>
      <c r="K3209" s="266">
        <v>320.0</v>
      </c>
      <c r="L3209" s="507" t="s">
        <v>3619</v>
      </c>
      <c r="M3209" s="266">
        <v>3.0</v>
      </c>
      <c r="N3209" s="266">
        <v>3.0</v>
      </c>
      <c r="O3209" s="266">
        <v>1.0</v>
      </c>
      <c r="P3209" s="266" t="s">
        <v>166</v>
      </c>
      <c r="Q3209" s="266" t="s">
        <v>166</v>
      </c>
      <c r="R3209" s="266" t="s">
        <v>166</v>
      </c>
      <c r="S3209" s="266" t="s">
        <v>166</v>
      </c>
      <c r="T3209" s="496"/>
    </row>
    <row r="3210">
      <c r="A3210" s="494" t="s">
        <v>3401</v>
      </c>
      <c r="B3210" s="495" t="s">
        <v>3617</v>
      </c>
      <c r="C3210" s="452" t="str">
        <f t="shared" si="453"/>
        <v>Palit</v>
      </c>
      <c r="D3210" s="537" t="s">
        <v>4068</v>
      </c>
      <c r="E3210" s="266">
        <v>328.9</v>
      </c>
      <c r="F3210" s="266">
        <v>132.9</v>
      </c>
      <c r="G3210" s="266">
        <v>63.4</v>
      </c>
      <c r="H3210" s="260">
        <v>2.0</v>
      </c>
      <c r="I3210" s="518">
        <v>2610.0</v>
      </c>
      <c r="J3210" s="518">
        <v>22.4</v>
      </c>
      <c r="K3210" s="266">
        <v>320.0</v>
      </c>
      <c r="L3210" s="507" t="s">
        <v>3619</v>
      </c>
      <c r="M3210" s="266">
        <v>3.0</v>
      </c>
      <c r="N3210" s="266">
        <v>3.0</v>
      </c>
      <c r="O3210" s="266">
        <v>1.0</v>
      </c>
      <c r="P3210" s="266" t="s">
        <v>166</v>
      </c>
      <c r="Q3210" s="266" t="s">
        <v>166</v>
      </c>
      <c r="R3210" s="266" t="s">
        <v>166</v>
      </c>
      <c r="S3210" s="266" t="s">
        <v>166</v>
      </c>
      <c r="T3210" s="496"/>
    </row>
    <row r="3211">
      <c r="A3211" s="494" t="s">
        <v>3401</v>
      </c>
      <c r="B3211" s="495" t="s">
        <v>3617</v>
      </c>
      <c r="C3211" s="452" t="str">
        <f t="shared" si="453"/>
        <v>Palit</v>
      </c>
      <c r="D3211" s="537" t="s">
        <v>4572</v>
      </c>
      <c r="E3211" s="266">
        <v>329.4</v>
      </c>
      <c r="F3211" s="266">
        <v>137.5</v>
      </c>
      <c r="G3211" s="266">
        <v>71.5</v>
      </c>
      <c r="H3211" s="260">
        <v>3.0</v>
      </c>
      <c r="I3211" s="518">
        <v>2505.0</v>
      </c>
      <c r="J3211" s="518">
        <v>22.4</v>
      </c>
      <c r="K3211" s="266">
        <v>340.0</v>
      </c>
      <c r="L3211" s="507" t="s">
        <v>3619</v>
      </c>
      <c r="M3211" s="266">
        <v>3.0</v>
      </c>
      <c r="N3211" s="266">
        <v>3.0</v>
      </c>
      <c r="O3211" s="266">
        <v>1.0</v>
      </c>
      <c r="P3211" s="266" t="s">
        <v>166</v>
      </c>
      <c r="Q3211" s="266" t="s">
        <v>166</v>
      </c>
      <c r="R3211" s="266" t="s">
        <v>166</v>
      </c>
      <c r="S3211" s="266" t="s">
        <v>166</v>
      </c>
      <c r="T3211" s="496"/>
    </row>
    <row r="3212">
      <c r="A3212" s="494" t="s">
        <v>3401</v>
      </c>
      <c r="B3212" s="495" t="s">
        <v>3617</v>
      </c>
      <c r="C3212" s="452" t="str">
        <f t="shared" si="453"/>
        <v>Palit</v>
      </c>
      <c r="D3212" s="537" t="s">
        <v>4000</v>
      </c>
      <c r="E3212" s="266">
        <v>329.4</v>
      </c>
      <c r="F3212" s="266">
        <v>137.5</v>
      </c>
      <c r="G3212" s="266">
        <v>71.5</v>
      </c>
      <c r="H3212" s="260">
        <v>3.0</v>
      </c>
      <c r="I3212" s="518">
        <v>2505.0</v>
      </c>
      <c r="J3212" s="518">
        <v>22.4</v>
      </c>
      <c r="K3212" s="266">
        <v>340.0</v>
      </c>
      <c r="L3212" s="507" t="s">
        <v>3619</v>
      </c>
      <c r="M3212" s="266">
        <v>3.0</v>
      </c>
      <c r="N3212" s="266">
        <v>3.0</v>
      </c>
      <c r="O3212" s="266">
        <v>1.0</v>
      </c>
      <c r="P3212" s="266" t="s">
        <v>166</v>
      </c>
      <c r="Q3212" s="266" t="s">
        <v>166</v>
      </c>
      <c r="R3212" s="266" t="s">
        <v>166</v>
      </c>
      <c r="S3212" s="266" t="s">
        <v>166</v>
      </c>
      <c r="T3212" s="496"/>
    </row>
    <row r="3213">
      <c r="A3213" s="494" t="s">
        <v>3401</v>
      </c>
      <c r="B3213" s="495" t="s">
        <v>3617</v>
      </c>
      <c r="C3213" s="452" t="str">
        <f t="shared" si="453"/>
        <v>Palit</v>
      </c>
      <c r="D3213" s="537" t="s">
        <v>4324</v>
      </c>
      <c r="E3213" s="266">
        <v>329.4</v>
      </c>
      <c r="F3213" s="266">
        <v>137.5</v>
      </c>
      <c r="G3213" s="266">
        <v>71.5</v>
      </c>
      <c r="H3213" s="260">
        <v>3.0</v>
      </c>
      <c r="I3213" s="518">
        <v>2640.0</v>
      </c>
      <c r="J3213" s="518">
        <v>22.4</v>
      </c>
      <c r="K3213" s="266">
        <v>340.0</v>
      </c>
      <c r="L3213" s="507" t="s">
        <v>3619</v>
      </c>
      <c r="M3213" s="266">
        <v>3.0</v>
      </c>
      <c r="N3213" s="266">
        <v>3.0</v>
      </c>
      <c r="O3213" s="266">
        <v>1.0</v>
      </c>
      <c r="P3213" s="266" t="s">
        <v>166</v>
      </c>
      <c r="Q3213" s="266" t="s">
        <v>166</v>
      </c>
      <c r="R3213" s="266" t="s">
        <v>166</v>
      </c>
      <c r="S3213" s="266" t="s">
        <v>166</v>
      </c>
      <c r="T3213" s="496"/>
    </row>
    <row r="3214">
      <c r="A3214" s="494" t="s">
        <v>3401</v>
      </c>
      <c r="B3214" s="495" t="s">
        <v>3617</v>
      </c>
      <c r="C3214" s="452" t="str">
        <f t="shared" ref="C3214:C3218" si="454">HYPERLINK("https://pny.com/","PNY")</f>
        <v>PNY</v>
      </c>
      <c r="D3214" s="537" t="s">
        <v>4352</v>
      </c>
      <c r="E3214" s="266">
        <v>340.36</v>
      </c>
      <c r="F3214" s="266">
        <v>143.0</v>
      </c>
      <c r="G3214" s="266">
        <v>59.44</v>
      </c>
      <c r="H3214" s="260">
        <v>3.0</v>
      </c>
      <c r="I3214" s="518">
        <v>2505.0</v>
      </c>
      <c r="J3214" s="518">
        <v>22.4</v>
      </c>
      <c r="K3214" s="266">
        <v>320.0</v>
      </c>
      <c r="L3214" s="507" t="s">
        <v>3619</v>
      </c>
      <c r="M3214" s="266">
        <v>3.0</v>
      </c>
      <c r="N3214" s="266">
        <v>3.0</v>
      </c>
      <c r="O3214" s="266">
        <v>1.0</v>
      </c>
      <c r="P3214" s="266" t="s">
        <v>166</v>
      </c>
      <c r="Q3214" s="266" t="s">
        <v>166</v>
      </c>
      <c r="R3214" s="266" t="s">
        <v>166</v>
      </c>
      <c r="S3214" s="266" t="s">
        <v>166</v>
      </c>
      <c r="T3214" s="496"/>
    </row>
    <row r="3215">
      <c r="A3215" s="572" t="s">
        <v>3401</v>
      </c>
      <c r="B3215" s="573" t="s">
        <v>3617</v>
      </c>
      <c r="C3215" s="452" t="str">
        <f t="shared" si="454"/>
        <v>PNY</v>
      </c>
      <c r="D3215" s="537" t="s">
        <v>4326</v>
      </c>
      <c r="E3215" s="266">
        <v>328.93</v>
      </c>
      <c r="F3215" s="266">
        <v>132.84</v>
      </c>
      <c r="G3215" s="266">
        <v>63.5</v>
      </c>
      <c r="H3215" s="260">
        <v>2.0</v>
      </c>
      <c r="I3215" s="518">
        <v>2505.0</v>
      </c>
      <c r="J3215" s="518">
        <v>22.4</v>
      </c>
      <c r="K3215" s="266">
        <v>320.0</v>
      </c>
      <c r="L3215" s="507" t="s">
        <v>3619</v>
      </c>
      <c r="M3215" s="266">
        <v>3.0</v>
      </c>
      <c r="N3215" s="266">
        <v>3.0</v>
      </c>
      <c r="O3215" s="266">
        <v>1.0</v>
      </c>
      <c r="P3215" s="266" t="s">
        <v>166</v>
      </c>
      <c r="Q3215" s="266" t="s">
        <v>166</v>
      </c>
      <c r="R3215" s="266" t="s">
        <v>166</v>
      </c>
      <c r="S3215" s="266" t="s">
        <v>166</v>
      </c>
      <c r="T3215" s="496"/>
    </row>
    <row r="3216">
      <c r="A3216" s="494" t="s">
        <v>3401</v>
      </c>
      <c r="B3216" s="495" t="s">
        <v>3617</v>
      </c>
      <c r="C3216" s="452" t="str">
        <f t="shared" si="454"/>
        <v>PNY</v>
      </c>
      <c r="D3216" s="537" t="s">
        <v>4353</v>
      </c>
      <c r="E3216" s="266">
        <v>351.0</v>
      </c>
      <c r="F3216" s="266">
        <v>145.0</v>
      </c>
      <c r="G3216" s="266">
        <v>63.0</v>
      </c>
      <c r="H3216" s="260">
        <v>3.0</v>
      </c>
      <c r="I3216" s="518">
        <v>2505.0</v>
      </c>
      <c r="J3216" s="518">
        <v>22.4</v>
      </c>
      <c r="K3216" s="266">
        <v>320.0</v>
      </c>
      <c r="L3216" s="507" t="s">
        <v>3619</v>
      </c>
      <c r="M3216" s="266">
        <v>3.0</v>
      </c>
      <c r="N3216" s="266">
        <v>3.0</v>
      </c>
      <c r="O3216" s="266">
        <v>1.0</v>
      </c>
      <c r="P3216" s="266" t="s">
        <v>166</v>
      </c>
      <c r="Q3216" s="266" t="s">
        <v>166</v>
      </c>
      <c r="R3216" s="266" t="s">
        <v>166</v>
      </c>
      <c r="S3216" s="266" t="s">
        <v>166</v>
      </c>
      <c r="T3216" s="496"/>
    </row>
    <row r="3217">
      <c r="A3217" s="494" t="s">
        <v>3401</v>
      </c>
      <c r="B3217" s="495" t="s">
        <v>3617</v>
      </c>
      <c r="C3217" s="452" t="str">
        <f t="shared" si="454"/>
        <v>PNY</v>
      </c>
      <c r="D3217" s="537" t="s">
        <v>4471</v>
      </c>
      <c r="E3217" s="266">
        <v>331.72</v>
      </c>
      <c r="F3217" s="266">
        <v>137.0</v>
      </c>
      <c r="G3217" s="266">
        <v>71.12</v>
      </c>
      <c r="H3217" s="260">
        <v>3.0</v>
      </c>
      <c r="I3217" s="518">
        <v>2510.0</v>
      </c>
      <c r="J3217" s="518">
        <v>22.4</v>
      </c>
      <c r="K3217" s="266">
        <v>320.0</v>
      </c>
      <c r="L3217" s="507" t="s">
        <v>3619</v>
      </c>
      <c r="M3217" s="266">
        <v>3.0</v>
      </c>
      <c r="N3217" s="266">
        <v>3.0</v>
      </c>
      <c r="O3217" s="266">
        <v>1.0</v>
      </c>
      <c r="P3217" s="266" t="s">
        <v>166</v>
      </c>
      <c r="Q3217" s="266" t="s">
        <v>166</v>
      </c>
      <c r="R3217" s="266" t="s">
        <v>166</v>
      </c>
      <c r="S3217" s="266" t="s">
        <v>166</v>
      </c>
      <c r="T3217" s="496"/>
    </row>
    <row r="3218">
      <c r="A3218" s="494" t="s">
        <v>3401</v>
      </c>
      <c r="B3218" s="495" t="s">
        <v>3617</v>
      </c>
      <c r="C3218" s="452" t="str">
        <f t="shared" si="454"/>
        <v>PNY</v>
      </c>
      <c r="D3218" s="537" t="s">
        <v>4472</v>
      </c>
      <c r="E3218" s="266">
        <v>331.72</v>
      </c>
      <c r="F3218" s="266">
        <v>137.0</v>
      </c>
      <c r="G3218" s="266">
        <v>71.12</v>
      </c>
      <c r="H3218" s="260">
        <v>3.0</v>
      </c>
      <c r="I3218" s="518">
        <v>2550.0</v>
      </c>
      <c r="J3218" s="518">
        <v>22.4</v>
      </c>
      <c r="K3218" s="266">
        <v>320.0</v>
      </c>
      <c r="L3218" s="507" t="s">
        <v>3619</v>
      </c>
      <c r="M3218" s="266">
        <v>3.0</v>
      </c>
      <c r="N3218" s="266">
        <v>3.0</v>
      </c>
      <c r="O3218" s="266">
        <v>1.0</v>
      </c>
      <c r="P3218" s="266" t="s">
        <v>166</v>
      </c>
      <c r="Q3218" s="266" t="s">
        <v>166</v>
      </c>
      <c r="R3218" s="266" t="s">
        <v>166</v>
      </c>
      <c r="S3218" s="266" t="s">
        <v>166</v>
      </c>
      <c r="T3218" s="496"/>
    </row>
    <row r="3219">
      <c r="A3219" s="494" t="s">
        <v>3401</v>
      </c>
      <c r="B3219" s="495" t="s">
        <v>3617</v>
      </c>
      <c r="C3219" s="452" t="s">
        <v>3378</v>
      </c>
      <c r="D3219" s="452" t="s">
        <v>4573</v>
      </c>
      <c r="E3219" s="266">
        <v>330.0</v>
      </c>
      <c r="F3219" s="266">
        <v>132.0</v>
      </c>
      <c r="G3219" s="266">
        <v>70.0</v>
      </c>
      <c r="H3219" s="260">
        <v>3.0</v>
      </c>
      <c r="I3219" s="518">
        <v>2505.0</v>
      </c>
      <c r="J3219" s="518">
        <v>22.4</v>
      </c>
      <c r="K3219" s="266">
        <v>320.0</v>
      </c>
      <c r="L3219" s="507" t="s">
        <v>3619</v>
      </c>
      <c r="M3219" s="266">
        <v>3.0</v>
      </c>
      <c r="N3219" s="266">
        <v>3.0</v>
      </c>
      <c r="O3219" s="266">
        <v>1.0</v>
      </c>
      <c r="P3219" s="266" t="s">
        <v>166</v>
      </c>
      <c r="Q3219" s="266" t="s">
        <v>166</v>
      </c>
      <c r="R3219" s="266" t="s">
        <v>166</v>
      </c>
      <c r="S3219" s="266" t="s">
        <v>166</v>
      </c>
      <c r="T3219" s="496"/>
    </row>
    <row r="3220">
      <c r="A3220" s="494" t="s">
        <v>3401</v>
      </c>
      <c r="B3220" s="495" t="s">
        <v>3617</v>
      </c>
      <c r="C3220" s="452" t="s">
        <v>3378</v>
      </c>
      <c r="D3220" s="537" t="s">
        <v>3794</v>
      </c>
      <c r="E3220" s="266">
        <v>327.0</v>
      </c>
      <c r="F3220" s="266">
        <v>124.0</v>
      </c>
      <c r="G3220" s="266">
        <v>58.0</v>
      </c>
      <c r="H3220" s="260">
        <v>3.0</v>
      </c>
      <c r="I3220" s="518">
        <v>2505.0</v>
      </c>
      <c r="J3220" s="518">
        <v>22.4</v>
      </c>
      <c r="K3220" s="266">
        <v>320.0</v>
      </c>
      <c r="L3220" s="507" t="s">
        <v>3619</v>
      </c>
      <c r="M3220" s="266">
        <v>3.0</v>
      </c>
      <c r="N3220" s="266">
        <v>3.0</v>
      </c>
      <c r="O3220" s="266">
        <v>1.0</v>
      </c>
      <c r="P3220" s="266" t="s">
        <v>166</v>
      </c>
      <c r="Q3220" s="266" t="s">
        <v>166</v>
      </c>
      <c r="R3220" s="266" t="s">
        <v>166</v>
      </c>
      <c r="S3220" s="266" t="s">
        <v>166</v>
      </c>
      <c r="T3220" s="496"/>
    </row>
    <row r="3221">
      <c r="A3221" s="494" t="s">
        <v>3401</v>
      </c>
      <c r="B3221" s="495" t="s">
        <v>3617</v>
      </c>
      <c r="C3221" s="452" t="s">
        <v>3440</v>
      </c>
      <c r="D3221" s="537" t="s">
        <v>4556</v>
      </c>
      <c r="E3221" s="266">
        <v>367.0</v>
      </c>
      <c r="F3221" s="266">
        <v>150.0</v>
      </c>
      <c r="G3221" s="266">
        <v>74.0</v>
      </c>
      <c r="H3221" s="260">
        <v>3.0</v>
      </c>
      <c r="I3221" s="518">
        <v>2505.0</v>
      </c>
      <c r="J3221" s="518">
        <v>22.4</v>
      </c>
      <c r="K3221" s="266">
        <v>320.0</v>
      </c>
      <c r="L3221" s="507" t="s">
        <v>3619</v>
      </c>
      <c r="M3221" s="266">
        <v>3.0</v>
      </c>
      <c r="N3221" s="266">
        <v>3.0</v>
      </c>
      <c r="O3221" s="266">
        <v>1.0</v>
      </c>
      <c r="P3221" s="266" t="s">
        <v>166</v>
      </c>
      <c r="Q3221" s="266" t="s">
        <v>166</v>
      </c>
      <c r="R3221" s="266" t="s">
        <v>166</v>
      </c>
      <c r="S3221" s="266" t="s">
        <v>166</v>
      </c>
      <c r="T3221" s="496"/>
    </row>
    <row r="3222">
      <c r="A3222" s="494" t="s">
        <v>3401</v>
      </c>
      <c r="B3222" s="495" t="s">
        <v>3617</v>
      </c>
      <c r="C3222" s="452" t="s">
        <v>3440</v>
      </c>
      <c r="D3222" s="537" t="s">
        <v>4160</v>
      </c>
      <c r="E3222" s="266">
        <v>367.0</v>
      </c>
      <c r="F3222" s="266">
        <v>150.0</v>
      </c>
      <c r="G3222" s="266">
        <v>74.0</v>
      </c>
      <c r="H3222" s="260">
        <v>3.0</v>
      </c>
      <c r="I3222" s="518">
        <v>2565.0</v>
      </c>
      <c r="J3222" s="518">
        <v>22.4</v>
      </c>
      <c r="K3222" s="266">
        <v>320.0</v>
      </c>
      <c r="L3222" s="507" t="s">
        <v>3619</v>
      </c>
      <c r="M3222" s="266">
        <v>3.0</v>
      </c>
      <c r="N3222" s="266">
        <v>3.0</v>
      </c>
      <c r="O3222" s="266">
        <v>1.0</v>
      </c>
      <c r="P3222" s="266" t="s">
        <v>166</v>
      </c>
      <c r="Q3222" s="266" t="s">
        <v>166</v>
      </c>
      <c r="R3222" s="266" t="s">
        <v>166</v>
      </c>
      <c r="S3222" s="266" t="s">
        <v>166</v>
      </c>
      <c r="T3222" s="496"/>
    </row>
    <row r="3223">
      <c r="A3223" s="494" t="s">
        <v>3401</v>
      </c>
      <c r="B3223" s="495" t="s">
        <v>3617</v>
      </c>
      <c r="C3223" s="452" t="s">
        <v>3440</v>
      </c>
      <c r="D3223" s="537" t="s">
        <v>4354</v>
      </c>
      <c r="E3223" s="266">
        <v>356.1</v>
      </c>
      <c r="F3223" s="266">
        <v>150.1</v>
      </c>
      <c r="G3223" s="266">
        <v>71.4</v>
      </c>
      <c r="H3223" s="260">
        <v>3.0</v>
      </c>
      <c r="I3223" s="518">
        <v>2505.0</v>
      </c>
      <c r="J3223" s="518">
        <v>22.4</v>
      </c>
      <c r="K3223" s="266">
        <v>320.0</v>
      </c>
      <c r="L3223" s="507" t="s">
        <v>3619</v>
      </c>
      <c r="M3223" s="266">
        <v>3.0</v>
      </c>
      <c r="N3223" s="266">
        <v>3.0</v>
      </c>
      <c r="O3223" s="266">
        <v>1.0</v>
      </c>
      <c r="P3223" s="266" t="s">
        <v>166</v>
      </c>
      <c r="Q3223" s="266" t="s">
        <v>166</v>
      </c>
      <c r="R3223" s="266" t="s">
        <v>166</v>
      </c>
      <c r="S3223" s="266" t="s">
        <v>166</v>
      </c>
      <c r="T3223" s="496"/>
    </row>
    <row r="3224">
      <c r="A3224" s="494" t="s">
        <v>3401</v>
      </c>
      <c r="B3224" s="495" t="s">
        <v>3617</v>
      </c>
      <c r="C3224" s="452" t="s">
        <v>3440</v>
      </c>
      <c r="D3224" s="537" t="s">
        <v>4531</v>
      </c>
      <c r="E3224" s="266">
        <v>306.8</v>
      </c>
      <c r="F3224" s="266">
        <v>119.4</v>
      </c>
      <c r="G3224" s="266">
        <v>58.5</v>
      </c>
      <c r="H3224" s="260">
        <v>2.0</v>
      </c>
      <c r="I3224" s="518">
        <v>2505.0</v>
      </c>
      <c r="J3224" s="518">
        <v>22.4</v>
      </c>
      <c r="K3224" s="266">
        <v>320.0</v>
      </c>
      <c r="L3224" s="507" t="s">
        <v>3619</v>
      </c>
      <c r="M3224" s="266">
        <v>3.0</v>
      </c>
      <c r="N3224" s="266">
        <v>3.0</v>
      </c>
      <c r="O3224" s="266">
        <v>1.0</v>
      </c>
      <c r="P3224" s="266" t="s">
        <v>166</v>
      </c>
      <c r="Q3224" s="266" t="s">
        <v>166</v>
      </c>
      <c r="R3224" s="266" t="s">
        <v>166</v>
      </c>
      <c r="S3224" s="266" t="s">
        <v>166</v>
      </c>
      <c r="T3224" s="496"/>
    </row>
    <row r="3225">
      <c r="A3225" s="494" t="s">
        <v>3401</v>
      </c>
      <c r="B3225" s="495" t="s">
        <v>3617</v>
      </c>
      <c r="C3225" s="452" t="s">
        <v>3440</v>
      </c>
      <c r="D3225" s="537" t="s">
        <v>4355</v>
      </c>
      <c r="E3225" s="266">
        <v>356.1</v>
      </c>
      <c r="F3225" s="266">
        <v>150.1</v>
      </c>
      <c r="G3225" s="266">
        <v>71.4</v>
      </c>
      <c r="H3225" s="260">
        <v>3.0</v>
      </c>
      <c r="I3225" s="518">
        <v>2520.0</v>
      </c>
      <c r="J3225" s="518">
        <v>22.4</v>
      </c>
      <c r="K3225" s="266">
        <v>320.0</v>
      </c>
      <c r="L3225" s="507" t="s">
        <v>3619</v>
      </c>
      <c r="M3225" s="266">
        <v>3.0</v>
      </c>
      <c r="N3225" s="266">
        <v>3.0</v>
      </c>
      <c r="O3225" s="266">
        <v>1.0</v>
      </c>
      <c r="P3225" s="266" t="s">
        <v>166</v>
      </c>
      <c r="Q3225" s="266" t="s">
        <v>166</v>
      </c>
      <c r="R3225" s="266" t="s">
        <v>166</v>
      </c>
      <c r="S3225" s="266" t="s">
        <v>166</v>
      </c>
      <c r="T3225" s="496"/>
    </row>
    <row r="3226">
      <c r="A3226" s="494" t="s">
        <v>3401</v>
      </c>
      <c r="B3226" s="495" t="s">
        <v>3617</v>
      </c>
      <c r="C3226" s="452" t="s">
        <v>3440</v>
      </c>
      <c r="D3226" s="537" t="s">
        <v>4403</v>
      </c>
      <c r="E3226" s="266">
        <v>356.1</v>
      </c>
      <c r="F3226" s="266">
        <v>150.1</v>
      </c>
      <c r="G3226" s="266">
        <v>71.4</v>
      </c>
      <c r="H3226" s="260">
        <v>3.0</v>
      </c>
      <c r="I3226" s="518">
        <v>2520.0</v>
      </c>
      <c r="J3226" s="518">
        <v>22.4</v>
      </c>
      <c r="K3226" s="266">
        <v>320.0</v>
      </c>
      <c r="L3226" s="507" t="s">
        <v>3619</v>
      </c>
      <c r="M3226" s="266">
        <v>3.0</v>
      </c>
      <c r="N3226" s="266">
        <v>3.0</v>
      </c>
      <c r="O3226" s="266">
        <v>1.0</v>
      </c>
      <c r="P3226" s="266" t="s">
        <v>166</v>
      </c>
      <c r="Q3226" s="266" t="s">
        <v>166</v>
      </c>
      <c r="R3226" s="266" t="s">
        <v>166</v>
      </c>
      <c r="S3226" s="266" t="s">
        <v>166</v>
      </c>
      <c r="T3226" s="496"/>
    </row>
    <row r="3227">
      <c r="A3227" s="494" t="s">
        <v>3401</v>
      </c>
      <c r="B3227" s="495" t="s">
        <v>3617</v>
      </c>
      <c r="C3227" s="452" t="s">
        <v>3440</v>
      </c>
      <c r="D3227" s="537" t="s">
        <v>4557</v>
      </c>
      <c r="E3227" s="266">
        <v>355.5</v>
      </c>
      <c r="F3227" s="266">
        <v>149.6</v>
      </c>
      <c r="G3227" s="266">
        <v>72.1</v>
      </c>
      <c r="H3227" s="260">
        <v>3.0</v>
      </c>
      <c r="I3227" s="518">
        <v>2565.0</v>
      </c>
      <c r="J3227" s="518">
        <v>22.4</v>
      </c>
      <c r="K3227" s="266">
        <v>320.0</v>
      </c>
      <c r="L3227" s="507" t="s">
        <v>3619</v>
      </c>
      <c r="M3227" s="266">
        <v>3.0</v>
      </c>
      <c r="N3227" s="266">
        <v>3.0</v>
      </c>
      <c r="O3227" s="266">
        <v>1.0</v>
      </c>
      <c r="P3227" s="266" t="s">
        <v>166</v>
      </c>
      <c r="Q3227" s="266" t="s">
        <v>166</v>
      </c>
      <c r="R3227" s="266" t="s">
        <v>166</v>
      </c>
      <c r="S3227" s="266" t="s">
        <v>166</v>
      </c>
      <c r="T3227" s="496"/>
    </row>
    <row r="3228">
      <c r="A3228" s="498" t="s">
        <v>3401</v>
      </c>
      <c r="B3228" s="499" t="s">
        <v>3617</v>
      </c>
      <c r="C3228" s="500" t="s">
        <v>3440</v>
      </c>
      <c r="D3228" s="545" t="s">
        <v>4574</v>
      </c>
      <c r="E3228" s="501">
        <v>355.5</v>
      </c>
      <c r="F3228" s="501">
        <v>149.6</v>
      </c>
      <c r="G3228" s="501">
        <v>72.1</v>
      </c>
      <c r="H3228" s="393">
        <v>3.0</v>
      </c>
      <c r="I3228" s="651">
        <v>2565.0</v>
      </c>
      <c r="J3228" s="651">
        <v>22.4</v>
      </c>
      <c r="K3228" s="501">
        <v>320.0</v>
      </c>
      <c r="L3228" s="501" t="s">
        <v>3619</v>
      </c>
      <c r="M3228" s="501">
        <v>3.0</v>
      </c>
      <c r="N3228" s="501">
        <v>3.0</v>
      </c>
      <c r="O3228" s="501">
        <v>1.0</v>
      </c>
      <c r="P3228" s="501" t="s">
        <v>166</v>
      </c>
      <c r="Q3228" s="501" t="s">
        <v>166</v>
      </c>
      <c r="R3228" s="501" t="s">
        <v>166</v>
      </c>
      <c r="S3228" s="501" t="s">
        <v>166</v>
      </c>
      <c r="T3228" s="503"/>
    </row>
    <row r="3229">
      <c r="A3229" s="494" t="s">
        <v>3401</v>
      </c>
      <c r="B3229" s="505" t="s">
        <v>3620</v>
      </c>
      <c r="C3229" s="282" t="str">
        <f t="shared" ref="C3229:C3237" si="455">HYPERLINK("https://www.asus.com/","Asus")</f>
        <v>Asus</v>
      </c>
      <c r="D3229" s="544" t="s">
        <v>4451</v>
      </c>
      <c r="E3229" s="507">
        <v>300.0</v>
      </c>
      <c r="F3229" s="507">
        <v>120.0</v>
      </c>
      <c r="G3229" s="507">
        <v>50.0</v>
      </c>
      <c r="H3229" s="260">
        <v>2.0</v>
      </c>
      <c r="I3229" s="260">
        <v>2580.0</v>
      </c>
      <c r="J3229" s="260">
        <v>23.0</v>
      </c>
      <c r="K3229" s="507">
        <v>320.0</v>
      </c>
      <c r="L3229" s="507" t="s">
        <v>3619</v>
      </c>
      <c r="M3229" s="507">
        <v>3.0</v>
      </c>
      <c r="N3229" s="507">
        <v>3.0</v>
      </c>
      <c r="O3229" s="507">
        <v>1.0</v>
      </c>
      <c r="P3229" s="507" t="s">
        <v>166</v>
      </c>
      <c r="Q3229" s="507" t="s">
        <v>166</v>
      </c>
      <c r="R3229" s="507" t="s">
        <v>166</v>
      </c>
      <c r="S3229" s="507" t="s">
        <v>166</v>
      </c>
      <c r="T3229" s="509"/>
    </row>
    <row r="3230">
      <c r="A3230" s="494" t="s">
        <v>3401</v>
      </c>
      <c r="B3230" s="505" t="s">
        <v>3620</v>
      </c>
      <c r="C3230" s="282" t="str">
        <f t="shared" si="455"/>
        <v>Asus</v>
      </c>
      <c r="D3230" s="544" t="s">
        <v>4452</v>
      </c>
      <c r="E3230" s="507">
        <v>300.0</v>
      </c>
      <c r="F3230" s="507">
        <v>120.0</v>
      </c>
      <c r="G3230" s="507">
        <v>50.0</v>
      </c>
      <c r="H3230" s="260">
        <v>2.0</v>
      </c>
      <c r="I3230" s="260">
        <v>2640.0</v>
      </c>
      <c r="J3230" s="260">
        <v>23.0</v>
      </c>
      <c r="K3230" s="507">
        <v>320.0</v>
      </c>
      <c r="L3230" s="507" t="s">
        <v>3619</v>
      </c>
      <c r="M3230" s="507">
        <v>3.0</v>
      </c>
      <c r="N3230" s="507">
        <v>3.0</v>
      </c>
      <c r="O3230" s="507">
        <v>1.0</v>
      </c>
      <c r="P3230" s="507" t="s">
        <v>166</v>
      </c>
      <c r="Q3230" s="507" t="s">
        <v>166</v>
      </c>
      <c r="R3230" s="507" t="s">
        <v>166</v>
      </c>
      <c r="S3230" s="507" t="s">
        <v>166</v>
      </c>
      <c r="T3230" s="509"/>
    </row>
    <row r="3231">
      <c r="A3231" s="572" t="s">
        <v>3401</v>
      </c>
      <c r="B3231" s="573" t="s">
        <v>3620</v>
      </c>
      <c r="C3231" s="454" t="str">
        <f t="shared" si="455"/>
        <v>Asus</v>
      </c>
      <c r="D3231" s="544" t="s">
        <v>4566</v>
      </c>
      <c r="E3231" s="507">
        <v>310.0</v>
      </c>
      <c r="F3231" s="507">
        <v>144.8</v>
      </c>
      <c r="G3231" s="507">
        <v>87.5</v>
      </c>
      <c r="H3231" s="260">
        <v>2.0</v>
      </c>
      <c r="I3231" s="260">
        <v>2640.0</v>
      </c>
      <c r="J3231" s="260">
        <v>23.0</v>
      </c>
      <c r="K3231" s="507">
        <v>320.0</v>
      </c>
      <c r="L3231" s="507" t="s">
        <v>3619</v>
      </c>
      <c r="M3231" s="507">
        <v>2.0</v>
      </c>
      <c r="N3231" s="507">
        <v>3.0</v>
      </c>
      <c r="O3231" s="507">
        <v>2.0</v>
      </c>
      <c r="P3231" s="507" t="s">
        <v>166</v>
      </c>
      <c r="Q3231" s="507" t="s">
        <v>166</v>
      </c>
      <c r="R3231" s="507" t="s">
        <v>166</v>
      </c>
      <c r="S3231" s="507" t="s">
        <v>166</v>
      </c>
      <c r="T3231" s="509"/>
    </row>
    <row r="3232">
      <c r="A3232" s="494" t="s">
        <v>3401</v>
      </c>
      <c r="B3232" s="505" t="s">
        <v>3620</v>
      </c>
      <c r="C3232" s="282" t="str">
        <f t="shared" si="455"/>
        <v>Asus</v>
      </c>
      <c r="D3232" s="544" t="s">
        <v>3477</v>
      </c>
      <c r="E3232" s="507">
        <v>348.2</v>
      </c>
      <c r="F3232" s="507">
        <v>150.0</v>
      </c>
      <c r="G3232" s="507">
        <v>72.6</v>
      </c>
      <c r="H3232" s="260">
        <v>2.0</v>
      </c>
      <c r="I3232" s="260">
        <v>2580.0</v>
      </c>
      <c r="J3232" s="260">
        <v>23.0</v>
      </c>
      <c r="K3232" s="507">
        <v>320.0</v>
      </c>
      <c r="L3232" s="507" t="s">
        <v>3619</v>
      </c>
      <c r="M3232" s="507">
        <v>3.0</v>
      </c>
      <c r="N3232" s="507">
        <v>3.0</v>
      </c>
      <c r="O3232" s="507">
        <v>2.0</v>
      </c>
      <c r="P3232" s="507" t="s">
        <v>166</v>
      </c>
      <c r="Q3232" s="507" t="s">
        <v>166</v>
      </c>
      <c r="R3232" s="507" t="s">
        <v>166</v>
      </c>
      <c r="S3232" s="507" t="s">
        <v>166</v>
      </c>
      <c r="T3232" s="509"/>
    </row>
    <row r="3233">
      <c r="A3233" s="494" t="s">
        <v>3401</v>
      </c>
      <c r="B3233" s="505" t="s">
        <v>3620</v>
      </c>
      <c r="C3233" s="282" t="str">
        <f t="shared" si="455"/>
        <v>Asus</v>
      </c>
      <c r="D3233" s="544" t="s">
        <v>3478</v>
      </c>
      <c r="E3233" s="507">
        <v>348.2</v>
      </c>
      <c r="F3233" s="507">
        <v>150.0</v>
      </c>
      <c r="G3233" s="507">
        <v>72.6</v>
      </c>
      <c r="H3233" s="260">
        <v>2.0</v>
      </c>
      <c r="I3233" s="260">
        <v>2640.0</v>
      </c>
      <c r="J3233" s="260">
        <v>23.0</v>
      </c>
      <c r="K3233" s="507">
        <v>320.0</v>
      </c>
      <c r="L3233" s="507" t="s">
        <v>3619</v>
      </c>
      <c r="M3233" s="507">
        <v>3.0</v>
      </c>
      <c r="N3233" s="507">
        <v>3.0</v>
      </c>
      <c r="O3233" s="507">
        <v>2.0</v>
      </c>
      <c r="P3233" s="507" t="s">
        <v>166</v>
      </c>
      <c r="Q3233" s="507" t="s">
        <v>166</v>
      </c>
      <c r="R3233" s="507" t="s">
        <v>166</v>
      </c>
      <c r="S3233" s="507" t="s">
        <v>166</v>
      </c>
      <c r="T3233" s="509"/>
    </row>
    <row r="3234">
      <c r="A3234" s="494" t="s">
        <v>3401</v>
      </c>
      <c r="B3234" s="505" t="s">
        <v>3620</v>
      </c>
      <c r="C3234" s="282" t="str">
        <f t="shared" si="455"/>
        <v>Asus</v>
      </c>
      <c r="D3234" s="544" t="s">
        <v>3631</v>
      </c>
      <c r="E3234" s="507">
        <v>357.6</v>
      </c>
      <c r="F3234" s="507">
        <v>149.3</v>
      </c>
      <c r="G3234" s="507">
        <v>70.1</v>
      </c>
      <c r="H3234" s="260">
        <v>2.0</v>
      </c>
      <c r="I3234" s="260">
        <v>2580.0</v>
      </c>
      <c r="J3234" s="260">
        <v>23.0</v>
      </c>
      <c r="K3234" s="507">
        <v>320.0</v>
      </c>
      <c r="L3234" s="507" t="s">
        <v>3619</v>
      </c>
      <c r="M3234" s="507">
        <v>3.0</v>
      </c>
      <c r="N3234" s="507">
        <v>3.0</v>
      </c>
      <c r="O3234" s="507">
        <v>2.0</v>
      </c>
      <c r="P3234" s="507" t="s">
        <v>166</v>
      </c>
      <c r="Q3234" s="507" t="s">
        <v>166</v>
      </c>
      <c r="R3234" s="507" t="s">
        <v>166</v>
      </c>
      <c r="S3234" s="507" t="s">
        <v>166</v>
      </c>
      <c r="T3234" s="509"/>
    </row>
    <row r="3235">
      <c r="A3235" s="494" t="s">
        <v>3401</v>
      </c>
      <c r="B3235" s="505" t="s">
        <v>3620</v>
      </c>
      <c r="C3235" s="282" t="str">
        <f t="shared" si="455"/>
        <v>Asus</v>
      </c>
      <c r="D3235" s="544" t="s">
        <v>3643</v>
      </c>
      <c r="E3235" s="507">
        <v>357.6</v>
      </c>
      <c r="F3235" s="507">
        <v>149.3</v>
      </c>
      <c r="G3235" s="507">
        <v>70.1</v>
      </c>
      <c r="H3235" s="260">
        <v>2.0</v>
      </c>
      <c r="I3235" s="260">
        <v>2670.0</v>
      </c>
      <c r="J3235" s="260">
        <v>23.0</v>
      </c>
      <c r="K3235" s="507">
        <v>320.0</v>
      </c>
      <c r="L3235" s="507" t="s">
        <v>3619</v>
      </c>
      <c r="M3235" s="507">
        <v>3.0</v>
      </c>
      <c r="N3235" s="507">
        <v>3.0</v>
      </c>
      <c r="O3235" s="507">
        <v>2.0</v>
      </c>
      <c r="P3235" s="507" t="s">
        <v>166</v>
      </c>
      <c r="Q3235" s="507" t="s">
        <v>166</v>
      </c>
      <c r="R3235" s="507" t="s">
        <v>166</v>
      </c>
      <c r="S3235" s="507" t="s">
        <v>166</v>
      </c>
      <c r="T3235" s="509"/>
    </row>
    <row r="3236">
      <c r="A3236" s="494" t="s">
        <v>3401</v>
      </c>
      <c r="B3236" s="505" t="s">
        <v>3620</v>
      </c>
      <c r="C3236" s="282" t="str">
        <f t="shared" si="455"/>
        <v>Asus</v>
      </c>
      <c r="D3236" s="544" t="s">
        <v>4269</v>
      </c>
      <c r="E3236" s="507">
        <v>357.6</v>
      </c>
      <c r="F3236" s="507">
        <v>149.3</v>
      </c>
      <c r="G3236" s="507">
        <v>70.1</v>
      </c>
      <c r="H3236" s="260">
        <v>2.0</v>
      </c>
      <c r="I3236" s="260">
        <v>2580.0</v>
      </c>
      <c r="J3236" s="260">
        <v>23.0</v>
      </c>
      <c r="K3236" s="507">
        <v>320.0</v>
      </c>
      <c r="L3236" s="507" t="s">
        <v>3619</v>
      </c>
      <c r="M3236" s="507">
        <v>3.0</v>
      </c>
      <c r="N3236" s="507">
        <v>3.0</v>
      </c>
      <c r="O3236" s="507">
        <v>2.0</v>
      </c>
      <c r="P3236" s="507" t="s">
        <v>166</v>
      </c>
      <c r="Q3236" s="507" t="s">
        <v>166</v>
      </c>
      <c r="R3236" s="507" t="s">
        <v>166</v>
      </c>
      <c r="S3236" s="507" t="s">
        <v>166</v>
      </c>
      <c r="T3236" s="509"/>
    </row>
    <row r="3237">
      <c r="A3237" s="494" t="s">
        <v>3401</v>
      </c>
      <c r="B3237" s="505" t="s">
        <v>3620</v>
      </c>
      <c r="C3237" s="282" t="str">
        <f t="shared" si="455"/>
        <v>Asus</v>
      </c>
      <c r="D3237" s="544" t="s">
        <v>4042</v>
      </c>
      <c r="E3237" s="507">
        <v>357.6</v>
      </c>
      <c r="F3237" s="507">
        <v>149.3</v>
      </c>
      <c r="G3237" s="507">
        <v>70.1</v>
      </c>
      <c r="H3237" s="260">
        <v>2.0</v>
      </c>
      <c r="I3237" s="260">
        <v>2670.0</v>
      </c>
      <c r="J3237" s="260">
        <v>23.0</v>
      </c>
      <c r="K3237" s="507">
        <v>320.0</v>
      </c>
      <c r="L3237" s="507" t="s">
        <v>3619</v>
      </c>
      <c r="M3237" s="507">
        <v>3.0</v>
      </c>
      <c r="N3237" s="507">
        <v>3.0</v>
      </c>
      <c r="O3237" s="507">
        <v>2.0</v>
      </c>
      <c r="P3237" s="507" t="s">
        <v>166</v>
      </c>
      <c r="Q3237" s="507" t="s">
        <v>166</v>
      </c>
      <c r="R3237" s="507" t="s">
        <v>166</v>
      </c>
      <c r="S3237" s="507" t="s">
        <v>166</v>
      </c>
      <c r="T3237" s="509"/>
    </row>
    <row r="3238">
      <c r="A3238" s="494" t="s">
        <v>3401</v>
      </c>
      <c r="B3238" s="505" t="s">
        <v>3620</v>
      </c>
      <c r="C3238" s="452" t="s">
        <v>3575</v>
      </c>
      <c r="D3238" s="544" t="s">
        <v>4087</v>
      </c>
      <c r="E3238" s="507">
        <f>337-12</f>
        <v>325</v>
      </c>
      <c r="F3238" s="507">
        <f>150-15</f>
        <v>135</v>
      </c>
      <c r="G3238" s="507">
        <v>60.9</v>
      </c>
      <c r="H3238" s="260">
        <v>3.0</v>
      </c>
      <c r="I3238" s="260">
        <v>2595.0</v>
      </c>
      <c r="J3238" s="260">
        <v>23.0</v>
      </c>
      <c r="K3238" s="507">
        <v>320.0</v>
      </c>
      <c r="L3238" s="507" t="s">
        <v>3619</v>
      </c>
      <c r="M3238" s="507">
        <v>3.0</v>
      </c>
      <c r="N3238" s="507">
        <v>3.0</v>
      </c>
      <c r="O3238" s="507">
        <v>1.0</v>
      </c>
      <c r="P3238" s="507" t="s">
        <v>166</v>
      </c>
      <c r="Q3238" s="507" t="s">
        <v>166</v>
      </c>
      <c r="R3238" s="507" t="s">
        <v>166</v>
      </c>
      <c r="S3238" s="507" t="s">
        <v>166</v>
      </c>
      <c r="T3238" s="509"/>
    </row>
    <row r="3239">
      <c r="A3239" s="494" t="s">
        <v>3401</v>
      </c>
      <c r="B3239" s="505" t="s">
        <v>3620</v>
      </c>
      <c r="C3239" s="452" t="s">
        <v>3575</v>
      </c>
      <c r="D3239" s="544" t="s">
        <v>3889</v>
      </c>
      <c r="E3239" s="507">
        <f>343.8-12</f>
        <v>331.8</v>
      </c>
      <c r="F3239" s="507">
        <f>147.6-15</f>
        <v>132.6</v>
      </c>
      <c r="G3239" s="507">
        <v>70.5</v>
      </c>
      <c r="H3239" s="260">
        <v>3.0</v>
      </c>
      <c r="I3239" s="260">
        <v>2625.0</v>
      </c>
      <c r="J3239" s="260">
        <v>23.0</v>
      </c>
      <c r="K3239" s="507">
        <v>340.0</v>
      </c>
      <c r="L3239" s="507" t="s">
        <v>3619</v>
      </c>
      <c r="M3239" s="507">
        <v>3.0</v>
      </c>
      <c r="N3239" s="507">
        <v>3.0</v>
      </c>
      <c r="O3239" s="507">
        <v>1.0</v>
      </c>
      <c r="P3239" s="507" t="s">
        <v>166</v>
      </c>
      <c r="Q3239" s="507" t="s">
        <v>166</v>
      </c>
      <c r="R3239" s="507" t="s">
        <v>166</v>
      </c>
      <c r="S3239" s="507" t="s">
        <v>166</v>
      </c>
      <c r="T3239" s="509"/>
    </row>
    <row r="3240">
      <c r="A3240" s="494" t="s">
        <v>3401</v>
      </c>
      <c r="B3240" s="505" t="s">
        <v>3620</v>
      </c>
      <c r="C3240" s="452" t="s">
        <v>3575</v>
      </c>
      <c r="D3240" s="544" t="s">
        <v>3943</v>
      </c>
      <c r="E3240" s="507">
        <f t="shared" ref="E3240:E3241" si="456">348.5-12</f>
        <v>336.5</v>
      </c>
      <c r="F3240" s="507">
        <f t="shared" ref="F3240:F3241" si="457">159.5-15</f>
        <v>144.5</v>
      </c>
      <c r="G3240" s="507">
        <v>70.4</v>
      </c>
      <c r="H3240" s="260">
        <v>3.0</v>
      </c>
      <c r="I3240" s="260">
        <v>2640.0</v>
      </c>
      <c r="J3240" s="260">
        <v>23.0</v>
      </c>
      <c r="K3240" s="507">
        <v>350.0</v>
      </c>
      <c r="L3240" s="507" t="s">
        <v>3619</v>
      </c>
      <c r="M3240" s="507">
        <v>3.0</v>
      </c>
      <c r="N3240" s="507">
        <v>3.0</v>
      </c>
      <c r="O3240" s="507">
        <v>1.0</v>
      </c>
      <c r="P3240" s="507" t="s">
        <v>166</v>
      </c>
      <c r="Q3240" s="507" t="s">
        <v>166</v>
      </c>
      <c r="R3240" s="507" t="s">
        <v>166</v>
      </c>
      <c r="S3240" s="507" t="s">
        <v>166</v>
      </c>
      <c r="T3240" s="509"/>
    </row>
    <row r="3241">
      <c r="A3241" s="494" t="s">
        <v>3401</v>
      </c>
      <c r="B3241" s="505" t="s">
        <v>3620</v>
      </c>
      <c r="C3241" s="452" t="s">
        <v>3575</v>
      </c>
      <c r="D3241" s="544" t="s">
        <v>4521</v>
      </c>
      <c r="E3241" s="507">
        <f t="shared" si="456"/>
        <v>336.5</v>
      </c>
      <c r="F3241" s="507">
        <f t="shared" si="457"/>
        <v>144.5</v>
      </c>
      <c r="G3241" s="507">
        <v>70.4</v>
      </c>
      <c r="H3241" s="260">
        <v>3.0</v>
      </c>
      <c r="I3241" s="260">
        <v>2640.0</v>
      </c>
      <c r="J3241" s="260">
        <v>23.0</v>
      </c>
      <c r="K3241" s="507">
        <v>350.0</v>
      </c>
      <c r="L3241" s="507" t="s">
        <v>3619</v>
      </c>
      <c r="M3241" s="507">
        <v>3.0</v>
      </c>
      <c r="N3241" s="507">
        <v>3.0</v>
      </c>
      <c r="O3241" s="507">
        <v>1.0</v>
      </c>
      <c r="P3241" s="507" t="s">
        <v>166</v>
      </c>
      <c r="Q3241" s="507" t="s">
        <v>166</v>
      </c>
      <c r="R3241" s="507" t="s">
        <v>166</v>
      </c>
      <c r="S3241" s="507" t="s">
        <v>166</v>
      </c>
      <c r="T3241" s="509"/>
    </row>
    <row r="3242">
      <c r="A3242" s="494" t="s">
        <v>3401</v>
      </c>
      <c r="B3242" s="505" t="s">
        <v>3620</v>
      </c>
      <c r="C3242" s="452" t="s">
        <v>3575</v>
      </c>
      <c r="D3242" s="544" t="s">
        <v>3970</v>
      </c>
      <c r="E3242" s="507">
        <f>253.5-12</f>
        <v>241.5</v>
      </c>
      <c r="F3242" s="507">
        <f>170.8-15</f>
        <v>155.8</v>
      </c>
      <c r="G3242" s="507">
        <v>41.5</v>
      </c>
      <c r="H3242" s="260">
        <v>2.0</v>
      </c>
      <c r="I3242" s="260">
        <v>2640.0</v>
      </c>
      <c r="J3242" s="260">
        <v>23.0</v>
      </c>
      <c r="K3242" s="507">
        <v>350.0</v>
      </c>
      <c r="L3242" s="507" t="s">
        <v>3619</v>
      </c>
      <c r="M3242" s="507" t="s">
        <v>166</v>
      </c>
      <c r="N3242" s="507">
        <v>3.0</v>
      </c>
      <c r="O3242" s="507">
        <v>1.0</v>
      </c>
      <c r="P3242" s="507" t="s">
        <v>166</v>
      </c>
      <c r="Q3242" s="507" t="s">
        <v>166</v>
      </c>
      <c r="R3242" s="507" t="s">
        <v>174</v>
      </c>
      <c r="S3242" s="507" t="s">
        <v>166</v>
      </c>
      <c r="T3242" s="509"/>
    </row>
    <row r="3243">
      <c r="A3243" s="494" t="s">
        <v>3401</v>
      </c>
      <c r="B3243" s="505" t="s">
        <v>3620</v>
      </c>
      <c r="C3243" s="452" t="str">
        <f t="shared" ref="C3243:C3245" si="458">HYPERLINK("http://www.gainward.com/main/index.php?lang=en","Gainward")</f>
        <v>Gainward</v>
      </c>
      <c r="D3243" s="544" t="s">
        <v>4503</v>
      </c>
      <c r="E3243" s="507">
        <v>328.9</v>
      </c>
      <c r="F3243" s="507">
        <v>128.0</v>
      </c>
      <c r="G3243" s="507">
        <v>63.5</v>
      </c>
      <c r="H3243" s="260">
        <v>2.0</v>
      </c>
      <c r="I3243" s="260">
        <v>2580.0</v>
      </c>
      <c r="J3243" s="260">
        <v>23.0</v>
      </c>
      <c r="K3243" s="507">
        <v>320.0</v>
      </c>
      <c r="L3243" s="507" t="s">
        <v>3619</v>
      </c>
      <c r="M3243" s="507">
        <v>3.0</v>
      </c>
      <c r="N3243" s="507">
        <v>3.0</v>
      </c>
      <c r="O3243" s="507">
        <v>1.0</v>
      </c>
      <c r="P3243" s="507" t="s">
        <v>166</v>
      </c>
      <c r="Q3243" s="507" t="s">
        <v>166</v>
      </c>
      <c r="R3243" s="507" t="s">
        <v>166</v>
      </c>
      <c r="S3243" s="507" t="s">
        <v>166</v>
      </c>
      <c r="T3243" s="509"/>
    </row>
    <row r="3244">
      <c r="A3244" s="494" t="s">
        <v>3401</v>
      </c>
      <c r="B3244" s="505" t="s">
        <v>3620</v>
      </c>
      <c r="C3244" s="452" t="str">
        <f t="shared" si="458"/>
        <v>Gainward</v>
      </c>
      <c r="D3244" s="544" t="s">
        <v>3371</v>
      </c>
      <c r="E3244" s="507">
        <v>328.9</v>
      </c>
      <c r="F3244" s="507">
        <v>131.1</v>
      </c>
      <c r="G3244" s="507">
        <v>63.6</v>
      </c>
      <c r="H3244" s="260">
        <v>2.0</v>
      </c>
      <c r="I3244" s="260">
        <v>2550.0</v>
      </c>
      <c r="J3244" s="260">
        <v>23.0</v>
      </c>
      <c r="K3244" s="507">
        <v>320.0</v>
      </c>
      <c r="L3244" s="507" t="s">
        <v>3619</v>
      </c>
      <c r="M3244" s="507">
        <v>3.0</v>
      </c>
      <c r="N3244" s="507">
        <v>3.0</v>
      </c>
      <c r="O3244" s="507">
        <v>1.0</v>
      </c>
      <c r="P3244" s="507" t="s">
        <v>166</v>
      </c>
      <c r="Q3244" s="507" t="s">
        <v>166</v>
      </c>
      <c r="R3244" s="507" t="s">
        <v>166</v>
      </c>
      <c r="S3244" s="507" t="s">
        <v>166</v>
      </c>
      <c r="T3244" s="509"/>
    </row>
    <row r="3245">
      <c r="A3245" s="494" t="s">
        <v>3401</v>
      </c>
      <c r="B3245" s="505" t="s">
        <v>3620</v>
      </c>
      <c r="C3245" s="452" t="str">
        <f t="shared" si="458"/>
        <v>Gainward</v>
      </c>
      <c r="D3245" s="544" t="s">
        <v>4413</v>
      </c>
      <c r="E3245" s="507">
        <v>328.9</v>
      </c>
      <c r="F3245" s="507">
        <v>131.1</v>
      </c>
      <c r="G3245" s="507">
        <v>63.6</v>
      </c>
      <c r="H3245" s="260">
        <v>2.0</v>
      </c>
      <c r="I3245" s="260">
        <v>2610.0</v>
      </c>
      <c r="J3245" s="260">
        <v>23.0</v>
      </c>
      <c r="K3245" s="507">
        <v>320.0</v>
      </c>
      <c r="L3245" s="507" t="s">
        <v>3619</v>
      </c>
      <c r="M3245" s="507">
        <v>3.0</v>
      </c>
      <c r="N3245" s="507">
        <v>3.0</v>
      </c>
      <c r="O3245" s="507">
        <v>1.0</v>
      </c>
      <c r="P3245" s="507" t="s">
        <v>166</v>
      </c>
      <c r="Q3245" s="507" t="s">
        <v>166</v>
      </c>
      <c r="R3245" s="507" t="s">
        <v>166</v>
      </c>
      <c r="S3245" s="507" t="s">
        <v>166</v>
      </c>
      <c r="T3245" s="509"/>
    </row>
    <row r="3246">
      <c r="A3246" s="494" t="s">
        <v>3401</v>
      </c>
      <c r="B3246" s="505" t="s">
        <v>3620</v>
      </c>
      <c r="C3246" s="454" t="s">
        <v>3456</v>
      </c>
      <c r="D3246" s="544" t="s">
        <v>4540</v>
      </c>
      <c r="E3246" s="507">
        <v>336.0</v>
      </c>
      <c r="F3246" s="507">
        <v>138.0</v>
      </c>
      <c r="G3246" s="507">
        <v>66.0</v>
      </c>
      <c r="H3246" s="260">
        <v>3.0</v>
      </c>
      <c r="I3246" s="260">
        <v>2565.0</v>
      </c>
      <c r="J3246" s="260">
        <v>23.0</v>
      </c>
      <c r="K3246" s="507">
        <v>320.0</v>
      </c>
      <c r="L3246" s="507" t="s">
        <v>3619</v>
      </c>
      <c r="M3246" s="507">
        <v>3.0</v>
      </c>
      <c r="N3246" s="507">
        <v>3.0</v>
      </c>
      <c r="O3246" s="507">
        <v>1.0</v>
      </c>
      <c r="P3246" s="507" t="s">
        <v>166</v>
      </c>
      <c r="Q3246" s="507" t="s">
        <v>166</v>
      </c>
      <c r="R3246" s="507" t="s">
        <v>166</v>
      </c>
      <c r="S3246" s="507" t="s">
        <v>166</v>
      </c>
      <c r="T3246" s="509"/>
    </row>
    <row r="3247">
      <c r="A3247" s="494" t="s">
        <v>3401</v>
      </c>
      <c r="B3247" s="505" t="s">
        <v>3620</v>
      </c>
      <c r="C3247" s="454" t="s">
        <v>3456</v>
      </c>
      <c r="D3247" s="544" t="s">
        <v>4541</v>
      </c>
      <c r="E3247" s="507">
        <v>336.0</v>
      </c>
      <c r="F3247" s="507">
        <v>138.0</v>
      </c>
      <c r="G3247" s="507">
        <v>66.0</v>
      </c>
      <c r="H3247" s="260">
        <v>3.0</v>
      </c>
      <c r="I3247" s="260">
        <v>2625.0</v>
      </c>
      <c r="J3247" s="260">
        <v>23.0</v>
      </c>
      <c r="K3247" s="507">
        <v>320.0</v>
      </c>
      <c r="L3247" s="507" t="s">
        <v>3619</v>
      </c>
      <c r="M3247" s="507">
        <v>3.0</v>
      </c>
      <c r="N3247" s="507">
        <v>3.0</v>
      </c>
      <c r="O3247" s="507">
        <v>1.0</v>
      </c>
      <c r="P3247" s="507" t="s">
        <v>166</v>
      </c>
      <c r="Q3247" s="507" t="s">
        <v>166</v>
      </c>
      <c r="R3247" s="507" t="s">
        <v>166</v>
      </c>
      <c r="S3247" s="507" t="s">
        <v>166</v>
      </c>
      <c r="T3247" s="509"/>
    </row>
    <row r="3248">
      <c r="A3248" s="494" t="s">
        <v>3401</v>
      </c>
      <c r="B3248" s="505" t="s">
        <v>3620</v>
      </c>
      <c r="C3248" s="174" t="str">
        <f t="shared" ref="C3248:C3252" si="459">HYPERLINK("https://www.gigabyte.com/","Gigabyte")</f>
        <v>Gigabyte</v>
      </c>
      <c r="D3248" s="544" t="s">
        <v>3597</v>
      </c>
      <c r="E3248" s="507">
        <v>330.0</v>
      </c>
      <c r="F3248" s="507">
        <v>136.0</v>
      </c>
      <c r="G3248" s="507">
        <v>56.0</v>
      </c>
      <c r="H3248" s="260">
        <v>2.0</v>
      </c>
      <c r="I3248" s="260">
        <v>2550.0</v>
      </c>
      <c r="J3248" s="260">
        <v>23.0</v>
      </c>
      <c r="K3248" s="507">
        <v>320.0</v>
      </c>
      <c r="L3248" s="507" t="s">
        <v>3619</v>
      </c>
      <c r="M3248" s="507">
        <v>3.0</v>
      </c>
      <c r="N3248" s="507">
        <v>3.0</v>
      </c>
      <c r="O3248" s="507">
        <v>1.0</v>
      </c>
      <c r="P3248" s="507" t="s">
        <v>166</v>
      </c>
      <c r="Q3248" s="507" t="s">
        <v>166</v>
      </c>
      <c r="R3248" s="507" t="s">
        <v>166</v>
      </c>
      <c r="S3248" s="507" t="s">
        <v>166</v>
      </c>
      <c r="T3248" s="509"/>
    </row>
    <row r="3249">
      <c r="A3249" s="494" t="s">
        <v>3401</v>
      </c>
      <c r="B3249" s="505" t="s">
        <v>3620</v>
      </c>
      <c r="C3249" s="174" t="str">
        <f t="shared" si="459"/>
        <v>Gigabyte</v>
      </c>
      <c r="D3249" s="544" t="s">
        <v>4575</v>
      </c>
      <c r="E3249" s="507">
        <v>330.0</v>
      </c>
      <c r="F3249" s="507">
        <v>136.0</v>
      </c>
      <c r="G3249" s="507">
        <v>58.0</v>
      </c>
      <c r="H3249" s="260">
        <v>2.0</v>
      </c>
      <c r="I3249" s="260">
        <v>2550.0</v>
      </c>
      <c r="J3249" s="260">
        <v>23.0</v>
      </c>
      <c r="K3249" s="507">
        <v>320.0</v>
      </c>
      <c r="L3249" s="507" t="s">
        <v>3619</v>
      </c>
      <c r="M3249" s="507">
        <v>3.0</v>
      </c>
      <c r="N3249" s="507">
        <v>3.0</v>
      </c>
      <c r="O3249" s="507">
        <v>1.0</v>
      </c>
      <c r="P3249" s="507" t="s">
        <v>166</v>
      </c>
      <c r="Q3249" s="507" t="s">
        <v>166</v>
      </c>
      <c r="R3249" s="507" t="s">
        <v>166</v>
      </c>
      <c r="S3249" s="507" t="s">
        <v>166</v>
      </c>
      <c r="T3249" s="509"/>
    </row>
    <row r="3250">
      <c r="A3250" s="494" t="s">
        <v>3401</v>
      </c>
      <c r="B3250" s="505" t="s">
        <v>3620</v>
      </c>
      <c r="C3250" s="174" t="str">
        <f t="shared" si="459"/>
        <v>Gigabyte</v>
      </c>
      <c r="D3250" s="544" t="s">
        <v>3851</v>
      </c>
      <c r="E3250" s="507">
        <v>342.0</v>
      </c>
      <c r="F3250" s="507">
        <v>150.0</v>
      </c>
      <c r="G3250" s="507">
        <v>75.0</v>
      </c>
      <c r="H3250" s="260">
        <v>2.0</v>
      </c>
      <c r="I3250" s="260">
        <v>2595.0</v>
      </c>
      <c r="J3250" s="260">
        <v>23.0</v>
      </c>
      <c r="K3250" s="507">
        <v>320.0</v>
      </c>
      <c r="L3250" s="507" t="s">
        <v>3619</v>
      </c>
      <c r="M3250" s="507">
        <v>3.0</v>
      </c>
      <c r="N3250" s="507">
        <v>3.0</v>
      </c>
      <c r="O3250" s="507">
        <v>1.0</v>
      </c>
      <c r="P3250" s="507" t="s">
        <v>166</v>
      </c>
      <c r="Q3250" s="507" t="s">
        <v>166</v>
      </c>
      <c r="R3250" s="507" t="s">
        <v>166</v>
      </c>
      <c r="S3250" s="507" t="s">
        <v>166</v>
      </c>
      <c r="T3250" s="509"/>
    </row>
    <row r="3251">
      <c r="A3251" s="494" t="s">
        <v>3401</v>
      </c>
      <c r="B3251" s="505" t="s">
        <v>3620</v>
      </c>
      <c r="C3251" s="174" t="str">
        <f t="shared" si="459"/>
        <v>Gigabyte</v>
      </c>
      <c r="D3251" s="544" t="s">
        <v>3630</v>
      </c>
      <c r="E3251" s="507">
        <v>342.0</v>
      </c>
      <c r="F3251" s="507">
        <v>150.0</v>
      </c>
      <c r="G3251" s="507">
        <v>75.0</v>
      </c>
      <c r="H3251" s="260">
        <v>2.0</v>
      </c>
      <c r="I3251" s="260">
        <v>2595.0</v>
      </c>
      <c r="J3251" s="260">
        <v>23.0</v>
      </c>
      <c r="K3251" s="507">
        <v>320.0</v>
      </c>
      <c r="L3251" s="507" t="s">
        <v>3619</v>
      </c>
      <c r="M3251" s="507">
        <v>3.0</v>
      </c>
      <c r="N3251" s="507">
        <v>3.0</v>
      </c>
      <c r="O3251" s="507">
        <v>1.0</v>
      </c>
      <c r="P3251" s="507" t="s">
        <v>166</v>
      </c>
      <c r="Q3251" s="507" t="s">
        <v>166</v>
      </c>
      <c r="R3251" s="507" t="s">
        <v>166</v>
      </c>
      <c r="S3251" s="507" t="s">
        <v>166</v>
      </c>
      <c r="T3251" s="509"/>
    </row>
    <row r="3252">
      <c r="A3252" s="494" t="s">
        <v>3401</v>
      </c>
      <c r="B3252" s="505" t="s">
        <v>3620</v>
      </c>
      <c r="C3252" s="174" t="str">
        <f t="shared" si="459"/>
        <v>Gigabyte</v>
      </c>
      <c r="D3252" s="544" t="s">
        <v>3725</v>
      </c>
      <c r="E3252" s="507">
        <v>357.0</v>
      </c>
      <c r="F3252" s="507">
        <v>163.0</v>
      </c>
      <c r="G3252" s="507">
        <v>75.0</v>
      </c>
      <c r="H3252" s="260">
        <v>2.0</v>
      </c>
      <c r="I3252" s="260">
        <v>2625.0</v>
      </c>
      <c r="J3252" s="260">
        <v>23.0</v>
      </c>
      <c r="K3252" s="507">
        <v>320.0</v>
      </c>
      <c r="L3252" s="507" t="s">
        <v>3619</v>
      </c>
      <c r="M3252" s="507">
        <v>3.0</v>
      </c>
      <c r="N3252" s="507">
        <v>3.0</v>
      </c>
      <c r="O3252" s="507">
        <v>1.0</v>
      </c>
      <c r="P3252" s="507" t="s">
        <v>166</v>
      </c>
      <c r="Q3252" s="507" t="s">
        <v>166</v>
      </c>
      <c r="R3252" s="507" t="s">
        <v>166</v>
      </c>
      <c r="S3252" s="507" t="s">
        <v>166</v>
      </c>
      <c r="T3252" s="509"/>
    </row>
    <row r="3253">
      <c r="A3253" s="494" t="s">
        <v>3401</v>
      </c>
      <c r="B3253" s="505" t="s">
        <v>3620</v>
      </c>
      <c r="C3253" s="452" t="str">
        <f t="shared" ref="C3253:C3257" si="460">HYPERLINK("http://www.inno3d.com/","Inno3D")</f>
        <v>Inno3D</v>
      </c>
      <c r="D3253" s="544" t="s">
        <v>351</v>
      </c>
      <c r="E3253" s="507">
        <v>337.0</v>
      </c>
      <c r="F3253" s="507">
        <v>141.0</v>
      </c>
      <c r="G3253" s="507">
        <v>40.0</v>
      </c>
      <c r="H3253" s="260">
        <v>2.0</v>
      </c>
      <c r="I3253" s="260">
        <v>2550.0</v>
      </c>
      <c r="J3253" s="260">
        <v>23.0</v>
      </c>
      <c r="K3253" s="507">
        <v>320.0</v>
      </c>
      <c r="L3253" s="507" t="s">
        <v>3619</v>
      </c>
      <c r="M3253" s="507">
        <v>3.0</v>
      </c>
      <c r="N3253" s="507">
        <v>3.0</v>
      </c>
      <c r="O3253" s="507">
        <v>1.0</v>
      </c>
      <c r="P3253" s="507" t="s">
        <v>166</v>
      </c>
      <c r="Q3253" s="507" t="s">
        <v>166</v>
      </c>
      <c r="R3253" s="507" t="s">
        <v>166</v>
      </c>
      <c r="S3253" s="507" t="s">
        <v>166</v>
      </c>
      <c r="T3253" s="509"/>
    </row>
    <row r="3254">
      <c r="A3254" s="494" t="s">
        <v>3401</v>
      </c>
      <c r="B3254" s="505" t="s">
        <v>3620</v>
      </c>
      <c r="C3254" s="452" t="str">
        <f t="shared" si="460"/>
        <v>Inno3D</v>
      </c>
      <c r="D3254" s="544" t="s">
        <v>4347</v>
      </c>
      <c r="E3254" s="507">
        <v>328.0</v>
      </c>
      <c r="F3254" s="507">
        <v>137.0</v>
      </c>
      <c r="G3254" s="507">
        <v>62.0</v>
      </c>
      <c r="H3254" s="260">
        <v>3.0</v>
      </c>
      <c r="I3254" s="260">
        <v>2580.0</v>
      </c>
      <c r="J3254" s="260">
        <v>23.0</v>
      </c>
      <c r="K3254" s="507">
        <v>320.0</v>
      </c>
      <c r="L3254" s="507" t="s">
        <v>3619</v>
      </c>
      <c r="M3254" s="507">
        <v>3.0</v>
      </c>
      <c r="N3254" s="507">
        <v>3.0</v>
      </c>
      <c r="O3254" s="507">
        <v>1.0</v>
      </c>
      <c r="P3254" s="507" t="s">
        <v>166</v>
      </c>
      <c r="Q3254" s="507" t="s">
        <v>166</v>
      </c>
      <c r="R3254" s="507" t="s">
        <v>166</v>
      </c>
      <c r="S3254" s="507" t="s">
        <v>166</v>
      </c>
      <c r="T3254" s="509"/>
    </row>
    <row r="3255">
      <c r="A3255" s="494" t="s">
        <v>3401</v>
      </c>
      <c r="B3255" s="505" t="s">
        <v>3620</v>
      </c>
      <c r="C3255" s="452" t="str">
        <f t="shared" si="460"/>
        <v>Inno3D</v>
      </c>
      <c r="D3255" s="544" t="s">
        <v>4576</v>
      </c>
      <c r="E3255" s="507">
        <v>328.0</v>
      </c>
      <c r="F3255" s="507">
        <v>137.0</v>
      </c>
      <c r="G3255" s="507">
        <v>62.0</v>
      </c>
      <c r="H3255" s="260">
        <v>3.0</v>
      </c>
      <c r="I3255" s="260">
        <v>2580.0</v>
      </c>
      <c r="J3255" s="260">
        <v>23.0</v>
      </c>
      <c r="K3255" s="507">
        <v>320.0</v>
      </c>
      <c r="L3255" s="507" t="s">
        <v>3619</v>
      </c>
      <c r="M3255" s="507">
        <v>3.0</v>
      </c>
      <c r="N3255" s="507">
        <v>3.0</v>
      </c>
      <c r="O3255" s="507">
        <v>1.0</v>
      </c>
      <c r="P3255" s="507" t="s">
        <v>166</v>
      </c>
      <c r="Q3255" s="507" t="s">
        <v>166</v>
      </c>
      <c r="R3255" s="507" t="s">
        <v>166</v>
      </c>
      <c r="S3255" s="507" t="s">
        <v>166</v>
      </c>
      <c r="T3255" s="509"/>
    </row>
    <row r="3256">
      <c r="A3256" s="494" t="s">
        <v>3401</v>
      </c>
      <c r="B3256" s="505" t="s">
        <v>3620</v>
      </c>
      <c r="C3256" s="452" t="str">
        <f t="shared" si="460"/>
        <v>Inno3D</v>
      </c>
      <c r="D3256" s="544" t="s">
        <v>3921</v>
      </c>
      <c r="E3256" s="507">
        <v>334.0</v>
      </c>
      <c r="F3256" s="507">
        <v>148.0</v>
      </c>
      <c r="G3256" s="507">
        <v>62.0</v>
      </c>
      <c r="H3256" s="260">
        <v>3.0</v>
      </c>
      <c r="I3256" s="260">
        <v>2610.0</v>
      </c>
      <c r="J3256" s="260">
        <v>23.0</v>
      </c>
      <c r="K3256" s="507">
        <v>320.0</v>
      </c>
      <c r="L3256" s="507" t="s">
        <v>3619</v>
      </c>
      <c r="M3256" s="507">
        <v>3.0</v>
      </c>
      <c r="N3256" s="507">
        <v>3.0</v>
      </c>
      <c r="O3256" s="507">
        <v>1.0</v>
      </c>
      <c r="P3256" s="507" t="s">
        <v>166</v>
      </c>
      <c r="Q3256" s="507" t="s">
        <v>166</v>
      </c>
      <c r="R3256" s="507" t="s">
        <v>166</v>
      </c>
      <c r="S3256" s="507" t="s">
        <v>166</v>
      </c>
      <c r="T3256" s="509"/>
    </row>
    <row r="3257">
      <c r="A3257" s="494" t="s">
        <v>3401</v>
      </c>
      <c r="B3257" s="505" t="s">
        <v>3620</v>
      </c>
      <c r="C3257" s="452" t="str">
        <f t="shared" si="460"/>
        <v>Inno3D</v>
      </c>
      <c r="D3257" s="544" t="s">
        <v>3992</v>
      </c>
      <c r="E3257" s="507">
        <v>280.0</v>
      </c>
      <c r="F3257" s="507">
        <v>137.0</v>
      </c>
      <c r="G3257" s="507">
        <v>41.0</v>
      </c>
      <c r="H3257" s="260">
        <v>2.0</v>
      </c>
      <c r="I3257" s="260">
        <v>2610.0</v>
      </c>
      <c r="J3257" s="260">
        <v>23.0</v>
      </c>
      <c r="K3257" s="507">
        <v>320.0</v>
      </c>
      <c r="L3257" s="507" t="s">
        <v>3619</v>
      </c>
      <c r="M3257" s="507">
        <v>3.0</v>
      </c>
      <c r="N3257" s="507">
        <v>3.0</v>
      </c>
      <c r="O3257" s="507">
        <v>1.0</v>
      </c>
      <c r="P3257" s="507" t="s">
        <v>166</v>
      </c>
      <c r="Q3257" s="507" t="s">
        <v>166</v>
      </c>
      <c r="R3257" s="507" t="s">
        <v>174</v>
      </c>
      <c r="S3257" s="507" t="s">
        <v>166</v>
      </c>
      <c r="T3257" s="509"/>
    </row>
    <row r="3258">
      <c r="A3258" s="494" t="s">
        <v>3401</v>
      </c>
      <c r="B3258" s="505" t="s">
        <v>3620</v>
      </c>
      <c r="C3258" s="452" t="s">
        <v>3538</v>
      </c>
      <c r="D3258" s="544" t="s">
        <v>3600</v>
      </c>
      <c r="E3258" s="507">
        <v>351.5</v>
      </c>
      <c r="F3258" s="507">
        <v>145.2</v>
      </c>
      <c r="G3258" s="507">
        <v>68.3</v>
      </c>
      <c r="H3258" s="260">
        <v>3.0</v>
      </c>
      <c r="I3258" s="260">
        <v>2550.0</v>
      </c>
      <c r="J3258" s="260">
        <v>23.0</v>
      </c>
      <c r="K3258" s="507">
        <v>320.0</v>
      </c>
      <c r="L3258" s="507" t="s">
        <v>3619</v>
      </c>
      <c r="M3258" s="507">
        <v>3.0</v>
      </c>
      <c r="N3258" s="507">
        <v>3.0</v>
      </c>
      <c r="O3258" s="507">
        <v>1.0</v>
      </c>
      <c r="P3258" s="507" t="s">
        <v>166</v>
      </c>
      <c r="Q3258" s="507" t="s">
        <v>166</v>
      </c>
      <c r="R3258" s="507" t="s">
        <v>166</v>
      </c>
      <c r="S3258" s="507" t="s">
        <v>166</v>
      </c>
      <c r="T3258" s="509"/>
    </row>
    <row r="3259">
      <c r="A3259" s="494" t="s">
        <v>3401</v>
      </c>
      <c r="B3259" s="505" t="s">
        <v>3620</v>
      </c>
      <c r="C3259" s="452" t="str">
        <f t="shared" ref="C3259:C3260" si="461">HYPERLINK("http://manli.com/en","Manli")</f>
        <v>Manli</v>
      </c>
      <c r="D3259" s="544" t="s">
        <v>4577</v>
      </c>
      <c r="E3259" s="507">
        <v>320.0</v>
      </c>
      <c r="F3259" s="507">
        <v>138.0</v>
      </c>
      <c r="G3259" s="507">
        <v>58.0</v>
      </c>
      <c r="H3259" s="260">
        <v>2.0</v>
      </c>
      <c r="I3259" s="260">
        <v>2550.0</v>
      </c>
      <c r="J3259" s="260">
        <v>23.0</v>
      </c>
      <c r="K3259" s="507">
        <v>320.0</v>
      </c>
      <c r="L3259" s="507" t="s">
        <v>3619</v>
      </c>
      <c r="M3259" s="507">
        <v>3.0</v>
      </c>
      <c r="N3259" s="507">
        <v>3.0</v>
      </c>
      <c r="O3259" s="507">
        <v>1.0</v>
      </c>
      <c r="P3259" s="507" t="s">
        <v>166</v>
      </c>
      <c r="Q3259" s="507" t="s">
        <v>166</v>
      </c>
      <c r="R3259" s="507" t="s">
        <v>166</v>
      </c>
      <c r="S3259" s="507" t="s">
        <v>166</v>
      </c>
      <c r="T3259" s="509"/>
    </row>
    <row r="3260">
      <c r="A3260" s="494" t="s">
        <v>3401</v>
      </c>
      <c r="B3260" s="505" t="s">
        <v>3620</v>
      </c>
      <c r="C3260" s="452" t="str">
        <f t="shared" si="461"/>
        <v>Manli</v>
      </c>
      <c r="D3260" s="544" t="s">
        <v>4570</v>
      </c>
      <c r="E3260" s="507">
        <v>351.0</v>
      </c>
      <c r="F3260" s="507">
        <v>145.0</v>
      </c>
      <c r="G3260" s="507">
        <v>63.0</v>
      </c>
      <c r="H3260" s="260">
        <v>3.0</v>
      </c>
      <c r="I3260" s="260">
        <v>2550.0</v>
      </c>
      <c r="J3260" s="260">
        <v>23.0</v>
      </c>
      <c r="K3260" s="507">
        <v>320.0</v>
      </c>
      <c r="L3260" s="507" t="s">
        <v>3619</v>
      </c>
      <c r="M3260" s="507">
        <v>3.0</v>
      </c>
      <c r="N3260" s="507">
        <v>3.0</v>
      </c>
      <c r="O3260" s="507">
        <v>1.0</v>
      </c>
      <c r="P3260" s="507" t="s">
        <v>166</v>
      </c>
      <c r="Q3260" s="507" t="s">
        <v>166</v>
      </c>
      <c r="R3260" s="507" t="s">
        <v>166</v>
      </c>
      <c r="S3260" s="507" t="s">
        <v>166</v>
      </c>
      <c r="T3260" s="509"/>
    </row>
    <row r="3261">
      <c r="A3261" s="494" t="s">
        <v>3401</v>
      </c>
      <c r="B3261" s="505" t="s">
        <v>3620</v>
      </c>
      <c r="C3261" s="174" t="str">
        <f t="shared" ref="C3261:C3271" si="462">HYPERLINK("https://www.msi.com/index.php","MSI")</f>
        <v>MSI</v>
      </c>
      <c r="D3261" s="544" t="s">
        <v>4146</v>
      </c>
      <c r="E3261" s="507">
        <v>322.0</v>
      </c>
      <c r="F3261" s="507">
        <v>136.0</v>
      </c>
      <c r="G3261" s="507">
        <v>62.0</v>
      </c>
      <c r="H3261" s="260">
        <v>3.0</v>
      </c>
      <c r="I3261" s="260">
        <v>2565.0</v>
      </c>
      <c r="J3261" s="260">
        <v>23.0</v>
      </c>
      <c r="K3261" s="507">
        <v>320.0</v>
      </c>
      <c r="L3261" s="507" t="s">
        <v>3619</v>
      </c>
      <c r="M3261" s="507">
        <v>3.0</v>
      </c>
      <c r="N3261" s="507">
        <v>2.0</v>
      </c>
      <c r="O3261" s="507">
        <v>2.0</v>
      </c>
      <c r="P3261" s="507" t="s">
        <v>166</v>
      </c>
      <c r="Q3261" s="507" t="s">
        <v>166</v>
      </c>
      <c r="R3261" s="507" t="s">
        <v>166</v>
      </c>
      <c r="S3261" s="507" t="s">
        <v>166</v>
      </c>
      <c r="T3261" s="509"/>
    </row>
    <row r="3262">
      <c r="A3262" s="494" t="s">
        <v>3401</v>
      </c>
      <c r="B3262" s="505" t="s">
        <v>3620</v>
      </c>
      <c r="C3262" s="174" t="str">
        <f t="shared" si="462"/>
        <v>MSI</v>
      </c>
      <c r="D3262" s="544" t="s">
        <v>4147</v>
      </c>
      <c r="E3262" s="507">
        <v>322.0</v>
      </c>
      <c r="F3262" s="507">
        <v>136.0</v>
      </c>
      <c r="G3262" s="507">
        <v>62.0</v>
      </c>
      <c r="H3262" s="260">
        <v>3.0</v>
      </c>
      <c r="I3262" s="260">
        <v>2595.0</v>
      </c>
      <c r="J3262" s="260">
        <v>23.0</v>
      </c>
      <c r="K3262" s="507">
        <v>320.0</v>
      </c>
      <c r="L3262" s="507" t="s">
        <v>3619</v>
      </c>
      <c r="M3262" s="507">
        <v>3.0</v>
      </c>
      <c r="N3262" s="507">
        <v>2.0</v>
      </c>
      <c r="O3262" s="507">
        <v>2.0</v>
      </c>
      <c r="P3262" s="507" t="s">
        <v>166</v>
      </c>
      <c r="Q3262" s="507" t="s">
        <v>166</v>
      </c>
      <c r="R3262" s="507" t="s">
        <v>166</v>
      </c>
      <c r="S3262" s="507" t="s">
        <v>166</v>
      </c>
      <c r="T3262" s="509"/>
    </row>
    <row r="3263">
      <c r="A3263" s="494" t="s">
        <v>3401</v>
      </c>
      <c r="B3263" s="505" t="s">
        <v>3620</v>
      </c>
      <c r="C3263" s="174" t="str">
        <f t="shared" si="462"/>
        <v>MSI</v>
      </c>
      <c r="D3263" s="544" t="s">
        <v>4563</v>
      </c>
      <c r="E3263" s="507">
        <v>312.0</v>
      </c>
      <c r="F3263" s="507">
        <v>141.0</v>
      </c>
      <c r="G3263" s="507">
        <v>61.0</v>
      </c>
      <c r="H3263" s="260">
        <v>3.0</v>
      </c>
      <c r="I3263" s="260">
        <v>2625.0</v>
      </c>
      <c r="J3263" s="260">
        <v>23.0</v>
      </c>
      <c r="K3263" s="507">
        <v>320.0</v>
      </c>
      <c r="L3263" s="507" t="s">
        <v>3619</v>
      </c>
      <c r="M3263" s="507">
        <v>2.0</v>
      </c>
      <c r="N3263" s="507">
        <v>3.0</v>
      </c>
      <c r="O3263" s="507">
        <v>1.0</v>
      </c>
      <c r="P3263" s="507" t="s">
        <v>166</v>
      </c>
      <c r="Q3263" s="507" t="s">
        <v>166</v>
      </c>
      <c r="R3263" s="507" t="s">
        <v>166</v>
      </c>
      <c r="S3263" s="507" t="s">
        <v>166</v>
      </c>
      <c r="T3263" s="509"/>
    </row>
    <row r="3264">
      <c r="A3264" s="494" t="s">
        <v>3401</v>
      </c>
      <c r="B3264" s="505" t="s">
        <v>3620</v>
      </c>
      <c r="C3264" s="174" t="str">
        <f t="shared" si="462"/>
        <v>MSI</v>
      </c>
      <c r="D3264" s="544" t="s">
        <v>4493</v>
      </c>
      <c r="E3264" s="507">
        <v>322.0</v>
      </c>
      <c r="F3264" s="507">
        <v>136.0</v>
      </c>
      <c r="G3264" s="507">
        <v>62.0</v>
      </c>
      <c r="H3264" s="260">
        <v>3.0</v>
      </c>
      <c r="I3264" s="260">
        <v>2565.0</v>
      </c>
      <c r="J3264" s="260">
        <v>23.0</v>
      </c>
      <c r="K3264" s="507">
        <v>320.0</v>
      </c>
      <c r="L3264" s="507" t="s">
        <v>3619</v>
      </c>
      <c r="M3264" s="507">
        <v>3.0</v>
      </c>
      <c r="N3264" s="507">
        <v>2.0</v>
      </c>
      <c r="O3264" s="507">
        <v>2.0</v>
      </c>
      <c r="P3264" s="507" t="s">
        <v>166</v>
      </c>
      <c r="Q3264" s="507" t="s">
        <v>166</v>
      </c>
      <c r="R3264" s="507" t="s">
        <v>166</v>
      </c>
      <c r="S3264" s="507" t="s">
        <v>166</v>
      </c>
      <c r="T3264" s="509"/>
    </row>
    <row r="3265">
      <c r="A3265" s="494" t="s">
        <v>3401</v>
      </c>
      <c r="B3265" s="505" t="s">
        <v>3620</v>
      </c>
      <c r="C3265" s="174" t="str">
        <f t="shared" si="462"/>
        <v>MSI</v>
      </c>
      <c r="D3265" s="544" t="s">
        <v>4496</v>
      </c>
      <c r="E3265" s="507">
        <v>322.0</v>
      </c>
      <c r="F3265" s="507">
        <v>136.0</v>
      </c>
      <c r="G3265" s="507">
        <v>62.0</v>
      </c>
      <c r="H3265" s="260">
        <v>3.0</v>
      </c>
      <c r="I3265" s="260">
        <v>2625.0</v>
      </c>
      <c r="J3265" s="260">
        <v>23.0</v>
      </c>
      <c r="K3265" s="507">
        <v>320.0</v>
      </c>
      <c r="L3265" s="507" t="s">
        <v>3619</v>
      </c>
      <c r="M3265" s="507">
        <v>3.0</v>
      </c>
      <c r="N3265" s="507">
        <v>2.0</v>
      </c>
      <c r="O3265" s="507">
        <v>2.0</v>
      </c>
      <c r="P3265" s="507" t="s">
        <v>166</v>
      </c>
      <c r="Q3265" s="507" t="s">
        <v>166</v>
      </c>
      <c r="R3265" s="507" t="s">
        <v>166</v>
      </c>
      <c r="S3265" s="507" t="s">
        <v>166</v>
      </c>
      <c r="T3265" s="509"/>
    </row>
    <row r="3266">
      <c r="A3266" s="494" t="s">
        <v>3401</v>
      </c>
      <c r="B3266" s="505" t="s">
        <v>3620</v>
      </c>
      <c r="C3266" s="174" t="str">
        <f t="shared" si="462"/>
        <v>MSI</v>
      </c>
      <c r="D3266" s="544" t="s">
        <v>4495</v>
      </c>
      <c r="E3266" s="507">
        <v>322.0</v>
      </c>
      <c r="F3266" s="507">
        <v>136.0</v>
      </c>
      <c r="G3266" s="507">
        <v>62.0</v>
      </c>
      <c r="H3266" s="260">
        <v>3.0</v>
      </c>
      <c r="I3266" s="260">
        <v>2565.0</v>
      </c>
      <c r="J3266" s="260">
        <v>23.0</v>
      </c>
      <c r="K3266" s="507">
        <v>320.0</v>
      </c>
      <c r="L3266" s="507" t="s">
        <v>3619</v>
      </c>
      <c r="M3266" s="507">
        <v>3.0</v>
      </c>
      <c r="N3266" s="507">
        <v>2.0</v>
      </c>
      <c r="O3266" s="507">
        <v>2.0</v>
      </c>
      <c r="P3266" s="507" t="s">
        <v>166</v>
      </c>
      <c r="Q3266" s="507" t="s">
        <v>166</v>
      </c>
      <c r="R3266" s="507" t="s">
        <v>166</v>
      </c>
      <c r="S3266" s="507" t="s">
        <v>166</v>
      </c>
      <c r="T3266" s="509"/>
    </row>
    <row r="3267">
      <c r="A3267" s="494" t="s">
        <v>3401</v>
      </c>
      <c r="B3267" s="505" t="s">
        <v>3620</v>
      </c>
      <c r="C3267" s="174" t="str">
        <f t="shared" si="462"/>
        <v>MSI</v>
      </c>
      <c r="D3267" s="544" t="s">
        <v>4497</v>
      </c>
      <c r="E3267" s="507">
        <v>322.0</v>
      </c>
      <c r="F3267" s="507">
        <v>136.0</v>
      </c>
      <c r="G3267" s="507">
        <v>62.0</v>
      </c>
      <c r="H3267" s="260">
        <v>3.0</v>
      </c>
      <c r="I3267" s="260">
        <v>2625.0</v>
      </c>
      <c r="J3267" s="260">
        <v>23.0</v>
      </c>
      <c r="K3267" s="507">
        <v>320.0</v>
      </c>
      <c r="L3267" s="507" t="s">
        <v>3619</v>
      </c>
      <c r="M3267" s="507">
        <v>3.0</v>
      </c>
      <c r="N3267" s="507">
        <v>2.0</v>
      </c>
      <c r="O3267" s="507">
        <v>2.0</v>
      </c>
      <c r="P3267" s="507" t="s">
        <v>166</v>
      </c>
      <c r="Q3267" s="507" t="s">
        <v>166</v>
      </c>
      <c r="R3267" s="507" t="s">
        <v>166</v>
      </c>
      <c r="S3267" s="507" t="s">
        <v>166</v>
      </c>
      <c r="T3267" s="509"/>
    </row>
    <row r="3268">
      <c r="A3268" s="494" t="s">
        <v>3401</v>
      </c>
      <c r="B3268" s="505" t="s">
        <v>3620</v>
      </c>
      <c r="C3268" s="174" t="str">
        <f t="shared" si="462"/>
        <v>MSI</v>
      </c>
      <c r="D3268" s="544" t="s">
        <v>3720</v>
      </c>
      <c r="E3268" s="507">
        <v>337.0</v>
      </c>
      <c r="F3268" s="507">
        <v>140.0</v>
      </c>
      <c r="G3268" s="507">
        <v>67.0</v>
      </c>
      <c r="H3268" s="260">
        <v>3.0</v>
      </c>
      <c r="I3268" s="260">
        <v>2565.0</v>
      </c>
      <c r="J3268" s="260">
        <v>23.0</v>
      </c>
      <c r="K3268" s="507">
        <v>320.0</v>
      </c>
      <c r="L3268" s="507" t="s">
        <v>3619</v>
      </c>
      <c r="M3268" s="507">
        <v>3.0</v>
      </c>
      <c r="N3268" s="507">
        <v>3.0</v>
      </c>
      <c r="O3268" s="507">
        <v>1.0</v>
      </c>
      <c r="P3268" s="507" t="s">
        <v>166</v>
      </c>
      <c r="Q3268" s="507" t="s">
        <v>166</v>
      </c>
      <c r="R3268" s="507" t="s">
        <v>166</v>
      </c>
      <c r="S3268" s="507" t="s">
        <v>166</v>
      </c>
      <c r="T3268" s="509"/>
    </row>
    <row r="3269">
      <c r="A3269" s="494" t="s">
        <v>3401</v>
      </c>
      <c r="B3269" s="505" t="s">
        <v>3620</v>
      </c>
      <c r="C3269" s="174" t="str">
        <f t="shared" si="462"/>
        <v>MSI</v>
      </c>
      <c r="D3269" s="544" t="s">
        <v>3721</v>
      </c>
      <c r="E3269" s="507">
        <v>337.0</v>
      </c>
      <c r="F3269" s="507">
        <v>140.0</v>
      </c>
      <c r="G3269" s="507">
        <v>67.0</v>
      </c>
      <c r="H3269" s="260">
        <v>3.0</v>
      </c>
      <c r="I3269" s="260">
        <v>2625.0</v>
      </c>
      <c r="J3269" s="260">
        <v>23.0</v>
      </c>
      <c r="K3269" s="507">
        <v>320.0</v>
      </c>
      <c r="L3269" s="507" t="s">
        <v>3619</v>
      </c>
      <c r="M3269" s="507">
        <v>3.0</v>
      </c>
      <c r="N3269" s="507">
        <v>3.0</v>
      </c>
      <c r="O3269" s="507">
        <v>1.0</v>
      </c>
      <c r="P3269" s="507" t="s">
        <v>166</v>
      </c>
      <c r="Q3269" s="507" t="s">
        <v>166</v>
      </c>
      <c r="R3269" s="507" t="s">
        <v>166</v>
      </c>
      <c r="S3269" s="507" t="s">
        <v>166</v>
      </c>
      <c r="T3269" s="509"/>
    </row>
    <row r="3270">
      <c r="A3270" s="494" t="s">
        <v>3401</v>
      </c>
      <c r="B3270" s="505" t="s">
        <v>3620</v>
      </c>
      <c r="C3270" s="174" t="str">
        <f t="shared" si="462"/>
        <v>MSI</v>
      </c>
      <c r="D3270" s="544" t="s">
        <v>4316</v>
      </c>
      <c r="E3270" s="507">
        <v>336.0</v>
      </c>
      <c r="F3270" s="507">
        <v>142.0</v>
      </c>
      <c r="G3270" s="507">
        <v>78.0</v>
      </c>
      <c r="H3270" s="260">
        <v>3.0</v>
      </c>
      <c r="I3270" s="260">
        <v>2625.0</v>
      </c>
      <c r="J3270" s="260">
        <v>23.0</v>
      </c>
      <c r="K3270" s="507">
        <v>320.0</v>
      </c>
      <c r="L3270" s="507" t="s">
        <v>3619</v>
      </c>
      <c r="M3270" s="507">
        <v>3.0</v>
      </c>
      <c r="N3270" s="507">
        <v>3.0</v>
      </c>
      <c r="O3270" s="507">
        <v>1.0</v>
      </c>
      <c r="P3270" s="507" t="s">
        <v>166</v>
      </c>
      <c r="Q3270" s="507" t="s">
        <v>166</v>
      </c>
      <c r="R3270" s="507" t="s">
        <v>166</v>
      </c>
      <c r="S3270" s="507" t="s">
        <v>166</v>
      </c>
      <c r="T3270" s="509"/>
    </row>
    <row r="3271">
      <c r="A3271" s="494" t="s">
        <v>3401</v>
      </c>
      <c r="B3271" s="505" t="s">
        <v>3620</v>
      </c>
      <c r="C3271" s="174" t="str">
        <f t="shared" si="462"/>
        <v>MSI</v>
      </c>
      <c r="D3271" s="544" t="s">
        <v>4318</v>
      </c>
      <c r="E3271" s="507">
        <v>336.0</v>
      </c>
      <c r="F3271" s="507">
        <v>142.0</v>
      </c>
      <c r="G3271" s="507">
        <v>78.0</v>
      </c>
      <c r="H3271" s="260">
        <v>3.0</v>
      </c>
      <c r="I3271" s="260">
        <v>2655.0</v>
      </c>
      <c r="J3271" s="260">
        <v>23.0</v>
      </c>
      <c r="K3271" s="507">
        <v>320.0</v>
      </c>
      <c r="L3271" s="507" t="s">
        <v>3619</v>
      </c>
      <c r="M3271" s="507">
        <v>3.0</v>
      </c>
      <c r="N3271" s="507">
        <v>3.0</v>
      </c>
      <c r="O3271" s="507">
        <v>1.0</v>
      </c>
      <c r="P3271" s="507" t="s">
        <v>166</v>
      </c>
      <c r="Q3271" s="507" t="s">
        <v>166</v>
      </c>
      <c r="R3271" s="507" t="s">
        <v>166</v>
      </c>
      <c r="S3271" s="507" t="s">
        <v>166</v>
      </c>
      <c r="T3271" s="509"/>
    </row>
    <row r="3272">
      <c r="A3272" s="494" t="s">
        <v>3401</v>
      </c>
      <c r="B3272" s="505" t="s">
        <v>3620</v>
      </c>
      <c r="C3272" s="452" t="str">
        <f>HYPERLINK("https://www.nvidia.com/en-us/","Nvidia")</f>
        <v>Nvidia</v>
      </c>
      <c r="D3272" s="544" t="s">
        <v>3812</v>
      </c>
      <c r="E3272" s="507">
        <v>304.0</v>
      </c>
      <c r="F3272" s="507">
        <v>137.0</v>
      </c>
      <c r="G3272" s="507">
        <v>61.0</v>
      </c>
      <c r="H3272" s="260">
        <v>3.0</v>
      </c>
      <c r="I3272" s="260">
        <v>2510.0</v>
      </c>
      <c r="J3272" s="260">
        <v>23.0</v>
      </c>
      <c r="K3272" s="507">
        <v>320.0</v>
      </c>
      <c r="L3272" s="507" t="s">
        <v>3619</v>
      </c>
      <c r="M3272" s="507">
        <v>2.0</v>
      </c>
      <c r="N3272" s="507">
        <v>3.0</v>
      </c>
      <c r="O3272" s="507">
        <v>1.0</v>
      </c>
      <c r="P3272" s="507" t="s">
        <v>166</v>
      </c>
      <c r="Q3272" s="507" t="s">
        <v>166</v>
      </c>
      <c r="R3272" s="507" t="s">
        <v>166</v>
      </c>
      <c r="S3272" s="507" t="s">
        <v>166</v>
      </c>
      <c r="T3272" s="509"/>
    </row>
    <row r="3273">
      <c r="A3273" s="494" t="s">
        <v>3401</v>
      </c>
      <c r="B3273" s="505" t="s">
        <v>3620</v>
      </c>
      <c r="C3273" s="452" t="str">
        <f t="shared" ref="C3273:C3275" si="463">HYPERLINK("http://www.palit.com/palit/index.php?lang=en","Palit")</f>
        <v>Palit</v>
      </c>
      <c r="D3273" s="544" t="s">
        <v>4321</v>
      </c>
      <c r="E3273" s="507">
        <v>328.9</v>
      </c>
      <c r="F3273" s="507">
        <v>130.5</v>
      </c>
      <c r="G3273" s="507">
        <v>63.5</v>
      </c>
      <c r="H3273" s="260">
        <v>2.0</v>
      </c>
      <c r="I3273" s="260">
        <v>2580.0</v>
      </c>
      <c r="J3273" s="260">
        <v>23.0</v>
      </c>
      <c r="K3273" s="507">
        <v>320.0</v>
      </c>
      <c r="L3273" s="507" t="s">
        <v>3619</v>
      </c>
      <c r="M3273" s="507">
        <v>3.0</v>
      </c>
      <c r="N3273" s="507">
        <v>3.0</v>
      </c>
      <c r="O3273" s="507">
        <v>1.0</v>
      </c>
      <c r="P3273" s="507" t="s">
        <v>166</v>
      </c>
      <c r="Q3273" s="507" t="s">
        <v>166</v>
      </c>
      <c r="R3273" s="507" t="s">
        <v>166</v>
      </c>
      <c r="S3273" s="507" t="s">
        <v>166</v>
      </c>
      <c r="T3273" s="509"/>
    </row>
    <row r="3274">
      <c r="A3274" s="494" t="s">
        <v>3401</v>
      </c>
      <c r="B3274" s="505" t="s">
        <v>3620</v>
      </c>
      <c r="C3274" s="452" t="str">
        <f t="shared" si="463"/>
        <v>Palit</v>
      </c>
      <c r="D3274" s="544" t="s">
        <v>4067</v>
      </c>
      <c r="E3274" s="507">
        <v>328.9</v>
      </c>
      <c r="F3274" s="507">
        <v>132.9</v>
      </c>
      <c r="G3274" s="507">
        <v>63.4</v>
      </c>
      <c r="H3274" s="260">
        <v>2.0</v>
      </c>
      <c r="I3274" s="260">
        <v>2550.0</v>
      </c>
      <c r="J3274" s="260">
        <v>23.0</v>
      </c>
      <c r="K3274" s="507">
        <v>320.0</v>
      </c>
      <c r="L3274" s="507" t="s">
        <v>3619</v>
      </c>
      <c r="M3274" s="507">
        <v>3.0</v>
      </c>
      <c r="N3274" s="507">
        <v>3.0</v>
      </c>
      <c r="O3274" s="507">
        <v>1.0</v>
      </c>
      <c r="P3274" s="507" t="s">
        <v>166</v>
      </c>
      <c r="Q3274" s="507" t="s">
        <v>166</v>
      </c>
      <c r="R3274" s="507" t="s">
        <v>166</v>
      </c>
      <c r="S3274" s="507" t="s">
        <v>166</v>
      </c>
      <c r="T3274" s="509"/>
    </row>
    <row r="3275">
      <c r="A3275" s="494" t="s">
        <v>3401</v>
      </c>
      <c r="B3275" s="505" t="s">
        <v>3620</v>
      </c>
      <c r="C3275" s="452" t="str">
        <f t="shared" si="463"/>
        <v>Palit</v>
      </c>
      <c r="D3275" s="544" t="s">
        <v>4068</v>
      </c>
      <c r="E3275" s="507">
        <v>328.9</v>
      </c>
      <c r="F3275" s="507">
        <v>132.9</v>
      </c>
      <c r="G3275" s="507">
        <v>63.4</v>
      </c>
      <c r="H3275" s="260">
        <v>2.0</v>
      </c>
      <c r="I3275" s="260">
        <v>2610.0</v>
      </c>
      <c r="J3275" s="260">
        <v>23.0</v>
      </c>
      <c r="K3275" s="507">
        <v>320.0</v>
      </c>
      <c r="L3275" s="507" t="s">
        <v>3619</v>
      </c>
      <c r="M3275" s="507">
        <v>3.0</v>
      </c>
      <c r="N3275" s="507">
        <v>3.0</v>
      </c>
      <c r="O3275" s="507">
        <v>1.0</v>
      </c>
      <c r="P3275" s="507" t="s">
        <v>166</v>
      </c>
      <c r="Q3275" s="507" t="s">
        <v>166</v>
      </c>
      <c r="R3275" s="507" t="s">
        <v>166</v>
      </c>
      <c r="S3275" s="507" t="s">
        <v>166</v>
      </c>
      <c r="T3275" s="509"/>
    </row>
    <row r="3276">
      <c r="A3276" s="494" t="s">
        <v>3401</v>
      </c>
      <c r="B3276" s="505" t="s">
        <v>3620</v>
      </c>
      <c r="C3276" s="452" t="str">
        <f t="shared" ref="C3276:C3277" si="464">HYPERLINK("https://pny.com/","PNY")</f>
        <v>PNY</v>
      </c>
      <c r="D3276" s="544" t="s">
        <v>4564</v>
      </c>
      <c r="E3276" s="507">
        <v>340.4</v>
      </c>
      <c r="F3276" s="507">
        <v>144.0</v>
      </c>
      <c r="G3276" s="507">
        <v>61.5</v>
      </c>
      <c r="H3276" s="260">
        <v>3.0</v>
      </c>
      <c r="I3276" s="260">
        <v>2565.0</v>
      </c>
      <c r="J3276" s="260">
        <v>23.0</v>
      </c>
      <c r="K3276" s="507">
        <v>320.0</v>
      </c>
      <c r="L3276" s="507" t="s">
        <v>3619</v>
      </c>
      <c r="M3276" s="507">
        <v>3.0</v>
      </c>
      <c r="N3276" s="507">
        <v>3.0</v>
      </c>
      <c r="O3276" s="507">
        <v>1.0</v>
      </c>
      <c r="P3276" s="507" t="s">
        <v>166</v>
      </c>
      <c r="Q3276" s="507" t="s">
        <v>166</v>
      </c>
      <c r="R3276" s="507" t="s">
        <v>166</v>
      </c>
      <c r="S3276" s="507" t="s">
        <v>166</v>
      </c>
      <c r="T3276" s="509"/>
    </row>
    <row r="3277">
      <c r="A3277" s="494" t="s">
        <v>3401</v>
      </c>
      <c r="B3277" s="505" t="s">
        <v>3620</v>
      </c>
      <c r="C3277" s="452" t="str">
        <f t="shared" si="464"/>
        <v>PNY</v>
      </c>
      <c r="D3277" s="544" t="s">
        <v>4472</v>
      </c>
      <c r="E3277" s="507">
        <v>331.7</v>
      </c>
      <c r="F3277" s="507">
        <v>137.7</v>
      </c>
      <c r="G3277" s="507">
        <v>71.1</v>
      </c>
      <c r="H3277" s="260">
        <v>3.0</v>
      </c>
      <c r="I3277" s="260">
        <v>2595.0</v>
      </c>
      <c r="J3277" s="260">
        <v>23.0</v>
      </c>
      <c r="K3277" s="507">
        <v>320.0</v>
      </c>
      <c r="L3277" s="507" t="s">
        <v>3619</v>
      </c>
      <c r="M3277" s="507">
        <v>3.0</v>
      </c>
      <c r="N3277" s="507">
        <v>3.0</v>
      </c>
      <c r="O3277" s="507">
        <v>1.0</v>
      </c>
      <c r="P3277" s="507" t="s">
        <v>166</v>
      </c>
      <c r="Q3277" s="507" t="s">
        <v>166</v>
      </c>
      <c r="R3277" s="507" t="s">
        <v>166</v>
      </c>
      <c r="S3277" s="507" t="s">
        <v>166</v>
      </c>
      <c r="T3277" s="509"/>
    </row>
    <row r="3278">
      <c r="A3278" s="494" t="s">
        <v>3401</v>
      </c>
      <c r="B3278" s="505" t="s">
        <v>3620</v>
      </c>
      <c r="C3278" s="452" t="s">
        <v>3378</v>
      </c>
      <c r="D3278" s="544" t="s">
        <v>4474</v>
      </c>
      <c r="E3278" s="507">
        <v>325.0</v>
      </c>
      <c r="F3278" s="507">
        <v>133.0</v>
      </c>
      <c r="G3278" s="507">
        <v>63.0</v>
      </c>
      <c r="H3278" s="260">
        <v>2.0</v>
      </c>
      <c r="I3278" s="260">
        <v>2550.0</v>
      </c>
      <c r="J3278" s="260">
        <v>23.0</v>
      </c>
      <c r="K3278" s="507">
        <v>320.0</v>
      </c>
      <c r="L3278" s="507" t="s">
        <v>3619</v>
      </c>
      <c r="M3278" s="507">
        <v>3.0</v>
      </c>
      <c r="N3278" s="507">
        <v>3.0</v>
      </c>
      <c r="O3278" s="507">
        <v>1.0</v>
      </c>
      <c r="P3278" s="507" t="s">
        <v>166</v>
      </c>
      <c r="Q3278" s="507" t="s">
        <v>166</v>
      </c>
      <c r="R3278" s="507" t="s">
        <v>166</v>
      </c>
      <c r="S3278" s="507" t="s">
        <v>166</v>
      </c>
      <c r="T3278" s="509"/>
    </row>
    <row r="3279">
      <c r="A3279" s="494" t="s">
        <v>3401</v>
      </c>
      <c r="B3279" s="505" t="s">
        <v>3620</v>
      </c>
      <c r="C3279" s="452" t="s">
        <v>3378</v>
      </c>
      <c r="D3279" s="544" t="s">
        <v>3794</v>
      </c>
      <c r="E3279" s="507">
        <v>326.0</v>
      </c>
      <c r="F3279" s="507">
        <v>138.0</v>
      </c>
      <c r="G3279" s="507">
        <v>63.0</v>
      </c>
      <c r="H3279" s="260">
        <v>3.0</v>
      </c>
      <c r="I3279" s="260">
        <v>2640.0</v>
      </c>
      <c r="J3279" s="260">
        <v>23.0</v>
      </c>
      <c r="K3279" s="507">
        <v>320.0</v>
      </c>
      <c r="L3279" s="507" t="s">
        <v>3619</v>
      </c>
      <c r="M3279" s="507">
        <v>3.0</v>
      </c>
      <c r="N3279" s="507">
        <v>3.0</v>
      </c>
      <c r="O3279" s="507">
        <v>1.0</v>
      </c>
      <c r="P3279" s="507" t="s">
        <v>166</v>
      </c>
      <c r="Q3279" s="507" t="s">
        <v>166</v>
      </c>
      <c r="R3279" s="507" t="s">
        <v>166</v>
      </c>
      <c r="S3279" s="507" t="s">
        <v>166</v>
      </c>
      <c r="T3279" s="509"/>
    </row>
    <row r="3280">
      <c r="A3280" s="494" t="s">
        <v>3401</v>
      </c>
      <c r="B3280" s="505" t="s">
        <v>3620</v>
      </c>
      <c r="C3280" s="452" t="s">
        <v>3440</v>
      </c>
      <c r="D3280" s="544" t="s">
        <v>4531</v>
      </c>
      <c r="E3280" s="507">
        <v>306.8</v>
      </c>
      <c r="F3280" s="507">
        <v>119.4</v>
      </c>
      <c r="G3280" s="507">
        <v>58.5</v>
      </c>
      <c r="H3280" s="260">
        <v>2.0</v>
      </c>
      <c r="I3280" s="260">
        <v>2550.0</v>
      </c>
      <c r="J3280" s="260">
        <v>23.0</v>
      </c>
      <c r="K3280" s="507">
        <v>320.0</v>
      </c>
      <c r="L3280" s="507" t="s">
        <v>3619</v>
      </c>
      <c r="M3280" s="507">
        <v>3.0</v>
      </c>
      <c r="N3280" s="507">
        <v>3.0</v>
      </c>
      <c r="O3280" s="507">
        <v>1.0</v>
      </c>
      <c r="P3280" s="507" t="s">
        <v>166</v>
      </c>
      <c r="Q3280" s="507" t="s">
        <v>166</v>
      </c>
      <c r="R3280" s="507" t="s">
        <v>166</v>
      </c>
      <c r="S3280" s="507" t="s">
        <v>166</v>
      </c>
      <c r="T3280" s="509"/>
    </row>
    <row r="3281">
      <c r="A3281" s="494" t="s">
        <v>3401</v>
      </c>
      <c r="B3281" s="505" t="s">
        <v>3620</v>
      </c>
      <c r="C3281" s="452" t="s">
        <v>3440</v>
      </c>
      <c r="D3281" s="544" t="s">
        <v>4403</v>
      </c>
      <c r="E3281" s="507">
        <v>306.8</v>
      </c>
      <c r="F3281" s="507">
        <v>119.4</v>
      </c>
      <c r="G3281" s="507">
        <v>58.5</v>
      </c>
      <c r="H3281" s="260">
        <v>2.0</v>
      </c>
      <c r="I3281" s="260">
        <v>2565.0</v>
      </c>
      <c r="J3281" s="260">
        <v>23.0</v>
      </c>
      <c r="K3281" s="507">
        <v>320.0</v>
      </c>
      <c r="L3281" s="507" t="s">
        <v>3619</v>
      </c>
      <c r="M3281" s="507">
        <v>3.0</v>
      </c>
      <c r="N3281" s="507">
        <v>3.0</v>
      </c>
      <c r="O3281" s="507">
        <v>1.0</v>
      </c>
      <c r="P3281" s="507" t="s">
        <v>166</v>
      </c>
      <c r="Q3281" s="507" t="s">
        <v>166</v>
      </c>
      <c r="R3281" s="507" t="s">
        <v>166</v>
      </c>
      <c r="S3281" s="507" t="s">
        <v>166</v>
      </c>
      <c r="T3281" s="509"/>
    </row>
    <row r="3282">
      <c r="A3282" s="498" t="s">
        <v>3401</v>
      </c>
      <c r="B3282" s="539" t="s">
        <v>3620</v>
      </c>
      <c r="C3282" s="500" t="s">
        <v>3440</v>
      </c>
      <c r="D3282" s="549" t="s">
        <v>4557</v>
      </c>
      <c r="E3282" s="519">
        <v>355.5</v>
      </c>
      <c r="F3282" s="519">
        <v>149.6</v>
      </c>
      <c r="G3282" s="519">
        <v>72.1</v>
      </c>
      <c r="H3282" s="393">
        <v>3.0</v>
      </c>
      <c r="I3282" s="393">
        <v>2610.0</v>
      </c>
      <c r="J3282" s="393">
        <v>23.0</v>
      </c>
      <c r="K3282" s="519">
        <v>320.0</v>
      </c>
      <c r="L3282" s="519" t="s">
        <v>3619</v>
      </c>
      <c r="M3282" s="519">
        <v>3.0</v>
      </c>
      <c r="N3282" s="519">
        <v>3.0</v>
      </c>
      <c r="O3282" s="519">
        <v>1.0</v>
      </c>
      <c r="P3282" s="519" t="s">
        <v>166</v>
      </c>
      <c r="Q3282" s="519" t="s">
        <v>166</v>
      </c>
      <c r="R3282" s="519" t="s">
        <v>166</v>
      </c>
      <c r="S3282" s="519" t="s">
        <v>166</v>
      </c>
      <c r="T3282" s="541"/>
    </row>
    <row r="3283">
      <c r="A3283" s="504" t="s">
        <v>3401</v>
      </c>
      <c r="B3283" s="505" t="s">
        <v>3621</v>
      </c>
      <c r="C3283" s="282" t="str">
        <f t="shared" ref="C3283:C3294" si="465">HYPERLINK("https://www.asus.com/","Asus")</f>
        <v>Asus</v>
      </c>
      <c r="D3283" s="544" t="s">
        <v>4578</v>
      </c>
      <c r="E3283" s="507">
        <v>325.9</v>
      </c>
      <c r="F3283" s="507">
        <v>140.2</v>
      </c>
      <c r="G3283" s="507">
        <v>62.8</v>
      </c>
      <c r="H3283" s="260">
        <v>2.0</v>
      </c>
      <c r="I3283" s="260">
        <v>2550.0</v>
      </c>
      <c r="J3283" s="260">
        <v>21.0</v>
      </c>
      <c r="K3283" s="507">
        <v>450.0</v>
      </c>
      <c r="L3283" s="507" t="s">
        <v>3619</v>
      </c>
      <c r="M3283" s="507">
        <v>3.0</v>
      </c>
      <c r="N3283" s="507">
        <v>3.0</v>
      </c>
      <c r="O3283" s="507">
        <v>2.0</v>
      </c>
      <c r="P3283" s="507" t="s">
        <v>166</v>
      </c>
      <c r="Q3283" s="507" t="s">
        <v>166</v>
      </c>
      <c r="R3283" s="507" t="s">
        <v>166</v>
      </c>
      <c r="S3283" s="507" t="s">
        <v>166</v>
      </c>
      <c r="T3283" s="509"/>
    </row>
    <row r="3284">
      <c r="A3284" s="504" t="s">
        <v>3401</v>
      </c>
      <c r="B3284" s="505" t="s">
        <v>3621</v>
      </c>
      <c r="C3284" s="282" t="str">
        <f t="shared" si="465"/>
        <v>Asus</v>
      </c>
      <c r="D3284" s="544" t="s">
        <v>4579</v>
      </c>
      <c r="E3284" s="507">
        <v>325.9</v>
      </c>
      <c r="F3284" s="507">
        <v>140.2</v>
      </c>
      <c r="G3284" s="507">
        <v>62.8</v>
      </c>
      <c r="H3284" s="260">
        <v>2.0</v>
      </c>
      <c r="I3284" s="260">
        <v>2595.0</v>
      </c>
      <c r="J3284" s="260">
        <v>21.0</v>
      </c>
      <c r="K3284" s="507">
        <v>450.0</v>
      </c>
      <c r="L3284" s="507" t="s">
        <v>3619</v>
      </c>
      <c r="M3284" s="507">
        <v>3.0</v>
      </c>
      <c r="N3284" s="507">
        <v>3.0</v>
      </c>
      <c r="O3284" s="507">
        <v>2.0</v>
      </c>
      <c r="P3284" s="507" t="s">
        <v>166</v>
      </c>
      <c r="Q3284" s="507" t="s">
        <v>166</v>
      </c>
      <c r="R3284" s="507" t="s">
        <v>166</v>
      </c>
      <c r="S3284" s="507" t="s">
        <v>166</v>
      </c>
      <c r="T3284" s="509"/>
    </row>
    <row r="3285">
      <c r="A3285" s="504" t="s">
        <v>3401</v>
      </c>
      <c r="B3285" s="505" t="s">
        <v>3621</v>
      </c>
      <c r="C3285" s="282" t="str">
        <f t="shared" si="465"/>
        <v>Asus</v>
      </c>
      <c r="D3285" s="544" t="s">
        <v>3477</v>
      </c>
      <c r="E3285" s="507">
        <v>348.2</v>
      </c>
      <c r="F3285" s="507">
        <v>150.0</v>
      </c>
      <c r="G3285" s="507">
        <v>72.6</v>
      </c>
      <c r="H3285" s="260">
        <v>2.0</v>
      </c>
      <c r="I3285" s="260">
        <v>2550.0</v>
      </c>
      <c r="J3285" s="260">
        <v>21.0</v>
      </c>
      <c r="K3285" s="507">
        <v>450.0</v>
      </c>
      <c r="L3285" s="507" t="s">
        <v>3619</v>
      </c>
      <c r="M3285" s="507">
        <v>3.0</v>
      </c>
      <c r="N3285" s="507">
        <v>3.0</v>
      </c>
      <c r="O3285" s="507">
        <v>2.0</v>
      </c>
      <c r="P3285" s="507" t="s">
        <v>166</v>
      </c>
      <c r="Q3285" s="507" t="s">
        <v>166</v>
      </c>
      <c r="R3285" s="507" t="s">
        <v>166</v>
      </c>
      <c r="S3285" s="507" t="s">
        <v>166</v>
      </c>
      <c r="T3285" s="509"/>
    </row>
    <row r="3286">
      <c r="A3286" s="504" t="s">
        <v>3401</v>
      </c>
      <c r="B3286" s="505" t="s">
        <v>3621</v>
      </c>
      <c r="C3286" s="282" t="str">
        <f t="shared" si="465"/>
        <v>Asus</v>
      </c>
      <c r="D3286" s="544" t="s">
        <v>3478</v>
      </c>
      <c r="E3286" s="507">
        <v>348.2</v>
      </c>
      <c r="F3286" s="507">
        <v>150.0</v>
      </c>
      <c r="G3286" s="507">
        <v>72.6</v>
      </c>
      <c r="H3286" s="260">
        <v>2.0</v>
      </c>
      <c r="I3286" s="260">
        <v>2595.0</v>
      </c>
      <c r="J3286" s="260">
        <v>21.0</v>
      </c>
      <c r="K3286" s="507">
        <v>450.0</v>
      </c>
      <c r="L3286" s="507" t="s">
        <v>3619</v>
      </c>
      <c r="M3286" s="507">
        <v>3.0</v>
      </c>
      <c r="N3286" s="507">
        <v>3.0</v>
      </c>
      <c r="O3286" s="507">
        <v>2.0</v>
      </c>
      <c r="P3286" s="507" t="s">
        <v>166</v>
      </c>
      <c r="Q3286" s="507" t="s">
        <v>166</v>
      </c>
      <c r="R3286" s="507" t="s">
        <v>166</v>
      </c>
      <c r="S3286" s="507" t="s">
        <v>166</v>
      </c>
      <c r="T3286" s="509"/>
    </row>
    <row r="3287">
      <c r="A3287" s="494" t="s">
        <v>3401</v>
      </c>
      <c r="B3287" s="505" t="s">
        <v>3621</v>
      </c>
      <c r="C3287" s="174" t="str">
        <f t="shared" si="465"/>
        <v>Asus</v>
      </c>
      <c r="D3287" s="537" t="s">
        <v>3631</v>
      </c>
      <c r="E3287" s="266">
        <v>357.6</v>
      </c>
      <c r="F3287" s="266">
        <v>149.3</v>
      </c>
      <c r="G3287" s="266">
        <v>70.1</v>
      </c>
      <c r="H3287" s="518">
        <v>2.0</v>
      </c>
      <c r="I3287" s="518">
        <v>2550.0</v>
      </c>
      <c r="J3287" s="260">
        <v>21.0</v>
      </c>
      <c r="K3287" s="507">
        <v>450.0</v>
      </c>
      <c r="L3287" s="507" t="s">
        <v>3619</v>
      </c>
      <c r="M3287" s="266">
        <v>3.0</v>
      </c>
      <c r="N3287" s="266">
        <v>3.0</v>
      </c>
      <c r="O3287" s="266">
        <v>2.0</v>
      </c>
      <c r="P3287" s="266" t="s">
        <v>166</v>
      </c>
      <c r="Q3287" s="266" t="s">
        <v>166</v>
      </c>
      <c r="R3287" s="266" t="s">
        <v>166</v>
      </c>
      <c r="S3287" s="266" t="s">
        <v>166</v>
      </c>
      <c r="T3287" s="496"/>
    </row>
    <row r="3288">
      <c r="A3288" s="494" t="s">
        <v>3401</v>
      </c>
      <c r="B3288" s="505" t="s">
        <v>3621</v>
      </c>
      <c r="C3288" s="174" t="str">
        <f t="shared" si="465"/>
        <v>Asus</v>
      </c>
      <c r="D3288" s="537" t="s">
        <v>3643</v>
      </c>
      <c r="E3288" s="266">
        <v>357.6</v>
      </c>
      <c r="F3288" s="266">
        <v>149.3</v>
      </c>
      <c r="G3288" s="266">
        <v>70.1</v>
      </c>
      <c r="H3288" s="518">
        <v>2.0</v>
      </c>
      <c r="I3288" s="518">
        <v>2640.0</v>
      </c>
      <c r="J3288" s="260">
        <v>21.0</v>
      </c>
      <c r="K3288" s="507">
        <v>500.0</v>
      </c>
      <c r="L3288" s="507" t="s">
        <v>3619</v>
      </c>
      <c r="M3288" s="266">
        <v>3.0</v>
      </c>
      <c r="N3288" s="266">
        <v>3.0</v>
      </c>
      <c r="O3288" s="266">
        <v>2.0</v>
      </c>
      <c r="P3288" s="266" t="s">
        <v>166</v>
      </c>
      <c r="Q3288" s="266" t="s">
        <v>166</v>
      </c>
      <c r="R3288" s="266" t="s">
        <v>166</v>
      </c>
      <c r="S3288" s="266" t="s">
        <v>166</v>
      </c>
      <c r="T3288" s="509"/>
    </row>
    <row r="3289">
      <c r="A3289" s="494" t="s">
        <v>3401</v>
      </c>
      <c r="B3289" s="505" t="s">
        <v>3621</v>
      </c>
      <c r="C3289" s="174" t="str">
        <f t="shared" si="465"/>
        <v>Asus</v>
      </c>
      <c r="D3289" s="537" t="s">
        <v>4580</v>
      </c>
      <c r="E3289" s="266">
        <v>357.6</v>
      </c>
      <c r="F3289" s="266">
        <v>149.3</v>
      </c>
      <c r="G3289" s="266">
        <v>70.1</v>
      </c>
      <c r="H3289" s="518">
        <v>2.0</v>
      </c>
      <c r="I3289" s="518">
        <v>2640.0</v>
      </c>
      <c r="J3289" s="260">
        <v>21.0</v>
      </c>
      <c r="K3289" s="507">
        <v>500.0</v>
      </c>
      <c r="L3289" s="507" t="s">
        <v>3619</v>
      </c>
      <c r="M3289" s="266">
        <v>3.0</v>
      </c>
      <c r="N3289" s="266">
        <v>3.0</v>
      </c>
      <c r="O3289" s="266">
        <v>2.0</v>
      </c>
      <c r="P3289" s="266" t="s">
        <v>166</v>
      </c>
      <c r="Q3289" s="266" t="s">
        <v>166</v>
      </c>
      <c r="R3289" s="266" t="s">
        <v>166</v>
      </c>
      <c r="S3289" s="266" t="s">
        <v>166</v>
      </c>
      <c r="T3289" s="509"/>
    </row>
    <row r="3290">
      <c r="A3290" s="494" t="s">
        <v>3401</v>
      </c>
      <c r="B3290" s="505" t="s">
        <v>3621</v>
      </c>
      <c r="C3290" s="174" t="str">
        <f t="shared" si="465"/>
        <v>Asus</v>
      </c>
      <c r="D3290" s="537" t="s">
        <v>4269</v>
      </c>
      <c r="E3290" s="266">
        <v>357.6</v>
      </c>
      <c r="F3290" s="266">
        <v>149.3</v>
      </c>
      <c r="G3290" s="266">
        <v>70.1</v>
      </c>
      <c r="H3290" s="518">
        <v>2.0</v>
      </c>
      <c r="I3290" s="518">
        <v>2550.0</v>
      </c>
      <c r="J3290" s="260">
        <v>21.0</v>
      </c>
      <c r="K3290" s="507">
        <v>450.0</v>
      </c>
      <c r="L3290" s="507" t="s">
        <v>3619</v>
      </c>
      <c r="M3290" s="266">
        <v>3.0</v>
      </c>
      <c r="N3290" s="266">
        <v>3.0</v>
      </c>
      <c r="O3290" s="266">
        <v>2.0</v>
      </c>
      <c r="P3290" s="266" t="s">
        <v>166</v>
      </c>
      <c r="Q3290" s="266" t="s">
        <v>166</v>
      </c>
      <c r="R3290" s="266" t="s">
        <v>166</v>
      </c>
      <c r="S3290" s="266" t="s">
        <v>166</v>
      </c>
      <c r="T3290" s="509"/>
    </row>
    <row r="3291">
      <c r="A3291" s="494" t="s">
        <v>3401</v>
      </c>
      <c r="B3291" s="505" t="s">
        <v>3621</v>
      </c>
      <c r="C3291" s="174" t="str">
        <f t="shared" si="465"/>
        <v>Asus</v>
      </c>
      <c r="D3291" s="537" t="s">
        <v>4042</v>
      </c>
      <c r="E3291" s="266">
        <v>357.6</v>
      </c>
      <c r="F3291" s="266">
        <v>149.3</v>
      </c>
      <c r="G3291" s="266">
        <v>70.1</v>
      </c>
      <c r="H3291" s="518">
        <v>2.0</v>
      </c>
      <c r="I3291" s="518">
        <v>2640.0</v>
      </c>
      <c r="J3291" s="260">
        <v>21.0</v>
      </c>
      <c r="K3291" s="507">
        <v>500.0</v>
      </c>
      <c r="L3291" s="507" t="s">
        <v>3619</v>
      </c>
      <c r="M3291" s="266">
        <v>3.0</v>
      </c>
      <c r="N3291" s="266">
        <v>3.0</v>
      </c>
      <c r="O3291" s="266">
        <v>2.0</v>
      </c>
      <c r="P3291" s="266" t="s">
        <v>166</v>
      </c>
      <c r="Q3291" s="266" t="s">
        <v>166</v>
      </c>
      <c r="R3291" s="266" t="s">
        <v>166</v>
      </c>
      <c r="S3291" s="266" t="s">
        <v>166</v>
      </c>
      <c r="T3291" s="509"/>
    </row>
    <row r="3292">
      <c r="A3292" s="494" t="s">
        <v>3401</v>
      </c>
      <c r="B3292" s="505" t="s">
        <v>3621</v>
      </c>
      <c r="C3292" s="174" t="str">
        <f t="shared" si="465"/>
        <v>Asus</v>
      </c>
      <c r="D3292" s="537" t="s">
        <v>4581</v>
      </c>
      <c r="E3292" s="266">
        <v>293.0</v>
      </c>
      <c r="F3292" s="266">
        <v>133.0</v>
      </c>
      <c r="G3292" s="266">
        <v>52.0</v>
      </c>
      <c r="H3292" s="518">
        <v>2.0</v>
      </c>
      <c r="I3292" s="518">
        <v>2550.0</v>
      </c>
      <c r="J3292" s="260">
        <v>21.0</v>
      </c>
      <c r="K3292" s="507">
        <v>450.0</v>
      </c>
      <c r="L3292" s="507" t="s">
        <v>3619</v>
      </c>
      <c r="M3292" s="266">
        <v>1.0</v>
      </c>
      <c r="N3292" s="266">
        <v>3.0</v>
      </c>
      <c r="O3292" s="266">
        <v>2.0</v>
      </c>
      <c r="P3292" s="266" t="s">
        <v>166</v>
      </c>
      <c r="Q3292" s="266" t="s">
        <v>166</v>
      </c>
      <c r="R3292" s="266" t="s">
        <v>174</v>
      </c>
      <c r="S3292" s="266" t="s">
        <v>174</v>
      </c>
      <c r="T3292" s="509"/>
    </row>
    <row r="3293">
      <c r="A3293" s="494" t="s">
        <v>3401</v>
      </c>
      <c r="B3293" s="505" t="s">
        <v>3621</v>
      </c>
      <c r="C3293" s="174" t="str">
        <f t="shared" si="465"/>
        <v>Asus</v>
      </c>
      <c r="D3293" s="537" t="s">
        <v>4582</v>
      </c>
      <c r="E3293" s="266">
        <v>293.0</v>
      </c>
      <c r="F3293" s="266">
        <v>133.0</v>
      </c>
      <c r="G3293" s="266">
        <v>52.0</v>
      </c>
      <c r="H3293" s="518">
        <v>2.0</v>
      </c>
      <c r="I3293" s="518">
        <v>2640.0</v>
      </c>
      <c r="J3293" s="260">
        <v>21.0</v>
      </c>
      <c r="K3293" s="507">
        <v>500.0</v>
      </c>
      <c r="L3293" s="507" t="s">
        <v>3619</v>
      </c>
      <c r="M3293" s="266">
        <v>1.0</v>
      </c>
      <c r="N3293" s="266">
        <v>3.0</v>
      </c>
      <c r="O3293" s="266">
        <v>2.0</v>
      </c>
      <c r="P3293" s="266" t="s">
        <v>166</v>
      </c>
      <c r="Q3293" s="266" t="s">
        <v>166</v>
      </c>
      <c r="R3293" s="266" t="s">
        <v>174</v>
      </c>
      <c r="S3293" s="266" t="s">
        <v>174</v>
      </c>
      <c r="T3293" s="509"/>
    </row>
    <row r="3294">
      <c r="A3294" s="572" t="s">
        <v>3401</v>
      </c>
      <c r="B3294" s="573" t="s">
        <v>3621</v>
      </c>
      <c r="C3294" s="660" t="str">
        <f t="shared" si="465"/>
        <v>Asus</v>
      </c>
      <c r="D3294" s="537" t="s">
        <v>4583</v>
      </c>
      <c r="E3294" s="266">
        <v>286.5</v>
      </c>
      <c r="F3294" s="266">
        <v>148.3</v>
      </c>
      <c r="G3294" s="266">
        <v>50.0</v>
      </c>
      <c r="H3294" s="518">
        <v>2.0</v>
      </c>
      <c r="I3294" s="518">
        <v>2700.0</v>
      </c>
      <c r="J3294" s="260">
        <v>21.0</v>
      </c>
      <c r="K3294" s="507">
        <v>500.0</v>
      </c>
      <c r="L3294" s="507" t="s">
        <v>3619</v>
      </c>
      <c r="M3294" s="266" t="s">
        <v>166</v>
      </c>
      <c r="N3294" s="266">
        <v>3.0</v>
      </c>
      <c r="O3294" s="266">
        <v>2.0</v>
      </c>
      <c r="P3294" s="266" t="s">
        <v>166</v>
      </c>
      <c r="Q3294" s="266" t="s">
        <v>166</v>
      </c>
      <c r="R3294" s="266" t="s">
        <v>174</v>
      </c>
      <c r="S3294" s="266" t="s">
        <v>166</v>
      </c>
      <c r="T3294" s="509"/>
    </row>
    <row r="3295">
      <c r="A3295" s="494" t="s">
        <v>3401</v>
      </c>
      <c r="B3295" s="505" t="s">
        <v>3621</v>
      </c>
      <c r="C3295" s="452" t="s">
        <v>3575</v>
      </c>
      <c r="D3295" s="537" t="s">
        <v>4071</v>
      </c>
      <c r="E3295" s="266">
        <f>327-12</f>
        <v>315</v>
      </c>
      <c r="F3295" s="266">
        <f>151.2-15</f>
        <v>136.2</v>
      </c>
      <c r="G3295" s="266">
        <v>67.1</v>
      </c>
      <c r="H3295" s="518">
        <v>2.0</v>
      </c>
      <c r="I3295" s="518">
        <v>2565.0</v>
      </c>
      <c r="J3295" s="260">
        <v>21.0</v>
      </c>
      <c r="K3295" s="507">
        <v>450.0</v>
      </c>
      <c r="L3295" s="507" t="s">
        <v>3619</v>
      </c>
      <c r="M3295" s="266">
        <v>3.0</v>
      </c>
      <c r="N3295" s="266">
        <v>3.0</v>
      </c>
      <c r="O3295" s="266">
        <v>1.0</v>
      </c>
      <c r="P3295" s="266" t="s">
        <v>166</v>
      </c>
      <c r="Q3295" s="266" t="s">
        <v>166</v>
      </c>
      <c r="R3295" s="266" t="s">
        <v>166</v>
      </c>
      <c r="S3295" s="266" t="s">
        <v>166</v>
      </c>
      <c r="T3295" s="509"/>
    </row>
    <row r="3296">
      <c r="A3296" s="494" t="s">
        <v>3401</v>
      </c>
      <c r="B3296" s="505" t="s">
        <v>3621</v>
      </c>
      <c r="C3296" s="452" t="s">
        <v>3575</v>
      </c>
      <c r="D3296" s="537" t="s">
        <v>3889</v>
      </c>
      <c r="E3296" s="266">
        <f>343.8-12</f>
        <v>331.8</v>
      </c>
      <c r="F3296" s="266">
        <f>147.6-15</f>
        <v>132.6</v>
      </c>
      <c r="G3296" s="266">
        <v>70.5</v>
      </c>
      <c r="H3296" s="518">
        <v>3.0</v>
      </c>
      <c r="I3296" s="518">
        <v>2610.0</v>
      </c>
      <c r="J3296" s="260">
        <v>21.0</v>
      </c>
      <c r="K3296" s="507">
        <v>485.0</v>
      </c>
      <c r="L3296" s="507" t="s">
        <v>3619</v>
      </c>
      <c r="M3296" s="266">
        <v>3.0</v>
      </c>
      <c r="N3296" s="266">
        <v>3.0</v>
      </c>
      <c r="O3296" s="266">
        <v>1.0</v>
      </c>
      <c r="P3296" s="266" t="s">
        <v>166</v>
      </c>
      <c r="Q3296" s="266" t="s">
        <v>166</v>
      </c>
      <c r="R3296" s="266" t="s">
        <v>166</v>
      </c>
      <c r="S3296" s="266" t="s">
        <v>166</v>
      </c>
      <c r="T3296" s="509"/>
    </row>
    <row r="3297">
      <c r="A3297" s="494" t="s">
        <v>3401</v>
      </c>
      <c r="B3297" s="505" t="s">
        <v>3621</v>
      </c>
      <c r="C3297" s="452" t="s">
        <v>3575</v>
      </c>
      <c r="D3297" s="537" t="s">
        <v>3943</v>
      </c>
      <c r="E3297" s="266">
        <f t="shared" ref="E3297:E3298" si="466">348.5-12</f>
        <v>336.5</v>
      </c>
      <c r="F3297" s="266">
        <f t="shared" ref="F3297:F3298" si="467">159.5-15</f>
        <v>144.5</v>
      </c>
      <c r="G3297" s="266">
        <v>70.4</v>
      </c>
      <c r="H3297" s="518">
        <v>3.0</v>
      </c>
      <c r="I3297" s="518">
        <v>2625.0</v>
      </c>
      <c r="J3297" s="260">
        <v>21.0</v>
      </c>
      <c r="K3297" s="266">
        <v>515.0</v>
      </c>
      <c r="L3297" s="507" t="s">
        <v>3619</v>
      </c>
      <c r="M3297" s="266">
        <v>3.0</v>
      </c>
      <c r="N3297" s="266">
        <v>3.0</v>
      </c>
      <c r="O3297" s="266">
        <v>1.0</v>
      </c>
      <c r="P3297" s="266" t="s">
        <v>166</v>
      </c>
      <c r="Q3297" s="266" t="s">
        <v>166</v>
      </c>
      <c r="R3297" s="266" t="s">
        <v>166</v>
      </c>
      <c r="S3297" s="266" t="s">
        <v>166</v>
      </c>
      <c r="T3297" s="509"/>
    </row>
    <row r="3298">
      <c r="A3298" s="494" t="s">
        <v>3401</v>
      </c>
      <c r="B3298" s="505" t="s">
        <v>3621</v>
      </c>
      <c r="C3298" s="452" t="s">
        <v>3575</v>
      </c>
      <c r="D3298" s="537" t="s">
        <v>4584</v>
      </c>
      <c r="E3298" s="266">
        <f t="shared" si="466"/>
        <v>336.5</v>
      </c>
      <c r="F3298" s="266">
        <f t="shared" si="467"/>
        <v>144.5</v>
      </c>
      <c r="G3298" s="266">
        <v>70.4</v>
      </c>
      <c r="H3298" s="260">
        <v>3.0</v>
      </c>
      <c r="I3298" s="518">
        <v>2625.0</v>
      </c>
      <c r="J3298" s="260">
        <v>21.0</v>
      </c>
      <c r="K3298" s="266">
        <v>515.0</v>
      </c>
      <c r="L3298" s="507" t="s">
        <v>3619</v>
      </c>
      <c r="M3298" s="266">
        <v>3.0</v>
      </c>
      <c r="N3298" s="266">
        <v>3.0</v>
      </c>
      <c r="O3298" s="266">
        <v>1.0</v>
      </c>
      <c r="P3298" s="266" t="s">
        <v>166</v>
      </c>
      <c r="Q3298" s="266" t="s">
        <v>166</v>
      </c>
      <c r="R3298" s="266" t="s">
        <v>166</v>
      </c>
      <c r="S3298" s="266" t="s">
        <v>166</v>
      </c>
      <c r="T3298" s="509"/>
    </row>
    <row r="3299">
      <c r="A3299" s="494" t="s">
        <v>3401</v>
      </c>
      <c r="B3299" s="505" t="s">
        <v>3621</v>
      </c>
      <c r="C3299" s="452" t="s">
        <v>3575</v>
      </c>
      <c r="D3299" s="537" t="s">
        <v>3970</v>
      </c>
      <c r="E3299" s="266">
        <f>253.5-12</f>
        <v>241.5</v>
      </c>
      <c r="F3299" s="266">
        <f>170.8-15</f>
        <v>155.8</v>
      </c>
      <c r="G3299" s="266">
        <v>41.5</v>
      </c>
      <c r="H3299" s="260">
        <v>2.0</v>
      </c>
      <c r="I3299" s="518">
        <v>2640.0</v>
      </c>
      <c r="J3299" s="260">
        <v>21.0</v>
      </c>
      <c r="K3299" s="266">
        <v>550.0</v>
      </c>
      <c r="L3299" s="507" t="s">
        <v>3619</v>
      </c>
      <c r="M3299" s="266" t="s">
        <v>166</v>
      </c>
      <c r="N3299" s="266">
        <v>3.0</v>
      </c>
      <c r="O3299" s="266">
        <v>1.0</v>
      </c>
      <c r="P3299" s="266" t="s">
        <v>166</v>
      </c>
      <c r="Q3299" s="266" t="s">
        <v>166</v>
      </c>
      <c r="R3299" s="266" t="s">
        <v>174</v>
      </c>
      <c r="S3299" s="266" t="s">
        <v>166</v>
      </c>
      <c r="T3299" s="509"/>
    </row>
    <row r="3300">
      <c r="A3300" s="494" t="s">
        <v>3401</v>
      </c>
      <c r="B3300" s="505" t="s">
        <v>3621</v>
      </c>
      <c r="C3300" s="452" t="str">
        <f t="shared" ref="C3300:C3303" si="468">HYPERLINK("http://www.gainward.com/main/index.php?lang=en","Gainward")</f>
        <v>Gainward</v>
      </c>
      <c r="D3300" s="537" t="s">
        <v>4193</v>
      </c>
      <c r="E3300" s="266">
        <v>350.0</v>
      </c>
      <c r="F3300" s="266">
        <v>140.0</v>
      </c>
      <c r="G3300" s="266">
        <v>76.0</v>
      </c>
      <c r="H3300" s="260">
        <v>3.0</v>
      </c>
      <c r="I3300" s="518">
        <v>2520.0</v>
      </c>
      <c r="J3300" s="260">
        <v>21.0</v>
      </c>
      <c r="K3300" s="266">
        <v>450.0</v>
      </c>
      <c r="L3300" s="507" t="s">
        <v>3619</v>
      </c>
      <c r="M3300" s="266">
        <v>3.0</v>
      </c>
      <c r="N3300" s="266">
        <v>3.0</v>
      </c>
      <c r="O3300" s="266">
        <v>1.0</v>
      </c>
      <c r="P3300" s="266" t="s">
        <v>166</v>
      </c>
      <c r="Q3300" s="266" t="s">
        <v>166</v>
      </c>
      <c r="R3300" s="266" t="s">
        <v>166</v>
      </c>
      <c r="S3300" s="266" t="s">
        <v>166</v>
      </c>
      <c r="T3300" s="509"/>
    </row>
    <row r="3301">
      <c r="A3301" s="494" t="s">
        <v>3401</v>
      </c>
      <c r="B3301" s="505" t="s">
        <v>3621</v>
      </c>
      <c r="C3301" s="452" t="str">
        <f t="shared" si="468"/>
        <v>Gainward</v>
      </c>
      <c r="D3301" s="537" t="s">
        <v>4195</v>
      </c>
      <c r="E3301" s="266">
        <v>350.0</v>
      </c>
      <c r="F3301" s="266">
        <v>140.0</v>
      </c>
      <c r="G3301" s="266">
        <v>76.0</v>
      </c>
      <c r="H3301" s="260">
        <v>3.0</v>
      </c>
      <c r="I3301" s="518">
        <v>2580.0</v>
      </c>
      <c r="J3301" s="260">
        <v>21.0</v>
      </c>
      <c r="K3301" s="266">
        <v>450.0</v>
      </c>
      <c r="L3301" s="507" t="s">
        <v>3619</v>
      </c>
      <c r="M3301" s="266">
        <v>3.0</v>
      </c>
      <c r="N3301" s="266">
        <v>3.0</v>
      </c>
      <c r="O3301" s="266">
        <v>1.0</v>
      </c>
      <c r="P3301" s="266" t="s">
        <v>166</v>
      </c>
      <c r="Q3301" s="266" t="s">
        <v>166</v>
      </c>
      <c r="R3301" s="266" t="s">
        <v>166</v>
      </c>
      <c r="S3301" s="266" t="s">
        <v>166</v>
      </c>
      <c r="T3301" s="509"/>
    </row>
    <row r="3302">
      <c r="A3302" s="494" t="s">
        <v>3401</v>
      </c>
      <c r="B3302" s="505" t="s">
        <v>3621</v>
      </c>
      <c r="C3302" s="452" t="str">
        <f t="shared" si="468"/>
        <v>Gainward</v>
      </c>
      <c r="D3302" s="537" t="s">
        <v>3953</v>
      </c>
      <c r="E3302" s="266">
        <v>329.4</v>
      </c>
      <c r="F3302" s="266">
        <v>141.6</v>
      </c>
      <c r="G3302" s="266">
        <v>69.7</v>
      </c>
      <c r="H3302" s="260">
        <v>3.0</v>
      </c>
      <c r="I3302" s="518">
        <v>2520.0</v>
      </c>
      <c r="J3302" s="260">
        <v>21.0</v>
      </c>
      <c r="K3302" s="266">
        <v>450.0</v>
      </c>
      <c r="L3302" s="507" t="s">
        <v>3619</v>
      </c>
      <c r="M3302" s="266">
        <v>3.0</v>
      </c>
      <c r="N3302" s="266">
        <v>3.0</v>
      </c>
      <c r="O3302" s="266">
        <v>1.0</v>
      </c>
      <c r="P3302" s="266" t="s">
        <v>166</v>
      </c>
      <c r="Q3302" s="266" t="s">
        <v>166</v>
      </c>
      <c r="R3302" s="266" t="s">
        <v>166</v>
      </c>
      <c r="S3302" s="266" t="s">
        <v>166</v>
      </c>
      <c r="T3302" s="509"/>
    </row>
    <row r="3303">
      <c r="A3303" s="494" t="s">
        <v>3401</v>
      </c>
      <c r="B3303" s="505" t="s">
        <v>3621</v>
      </c>
      <c r="C3303" s="452" t="str">
        <f t="shared" si="468"/>
        <v>Gainward</v>
      </c>
      <c r="D3303" s="537" t="s">
        <v>3954</v>
      </c>
      <c r="E3303" s="266">
        <v>329.4</v>
      </c>
      <c r="F3303" s="266">
        <v>141.6</v>
      </c>
      <c r="G3303" s="266">
        <v>69.7</v>
      </c>
      <c r="H3303" s="260">
        <v>3.0</v>
      </c>
      <c r="I3303" s="518">
        <v>2610.0</v>
      </c>
      <c r="J3303" s="260">
        <v>21.0</v>
      </c>
      <c r="K3303" s="266">
        <v>450.0</v>
      </c>
      <c r="L3303" s="507" t="s">
        <v>3619</v>
      </c>
      <c r="M3303" s="266">
        <v>3.0</v>
      </c>
      <c r="N3303" s="266">
        <v>3.0</v>
      </c>
      <c r="O3303" s="266">
        <v>1.0</v>
      </c>
      <c r="P3303" s="266" t="s">
        <v>166</v>
      </c>
      <c r="Q3303" s="266" t="s">
        <v>166</v>
      </c>
      <c r="R3303" s="266" t="s">
        <v>166</v>
      </c>
      <c r="S3303" s="266" t="s">
        <v>166</v>
      </c>
      <c r="T3303" s="509"/>
    </row>
    <row r="3304">
      <c r="A3304" s="494" t="s">
        <v>3401</v>
      </c>
      <c r="B3304" s="505" t="s">
        <v>3621</v>
      </c>
      <c r="C3304" s="454" t="s">
        <v>3456</v>
      </c>
      <c r="D3304" s="537" t="s">
        <v>4204</v>
      </c>
      <c r="E3304" s="266">
        <v>338.0</v>
      </c>
      <c r="F3304" s="266">
        <v>139.0</v>
      </c>
      <c r="G3304" s="266">
        <v>69.0</v>
      </c>
      <c r="H3304" s="260">
        <v>3.0</v>
      </c>
      <c r="I3304" s="518">
        <v>2520.0</v>
      </c>
      <c r="J3304" s="260">
        <v>21.0</v>
      </c>
      <c r="K3304" s="266">
        <v>450.0</v>
      </c>
      <c r="L3304" s="507" t="s">
        <v>3619</v>
      </c>
      <c r="M3304" s="266">
        <v>3.0</v>
      </c>
      <c r="N3304" s="266">
        <v>3.0</v>
      </c>
      <c r="O3304" s="266">
        <v>1.0</v>
      </c>
      <c r="P3304" s="266" t="s">
        <v>166</v>
      </c>
      <c r="Q3304" s="266" t="s">
        <v>166</v>
      </c>
      <c r="R3304" s="266" t="s">
        <v>166</v>
      </c>
      <c r="S3304" s="266" t="s">
        <v>166</v>
      </c>
      <c r="T3304" s="509"/>
    </row>
    <row r="3305">
      <c r="A3305" s="494" t="s">
        <v>3401</v>
      </c>
      <c r="B3305" s="505" t="s">
        <v>3621</v>
      </c>
      <c r="C3305" s="454" t="s">
        <v>3456</v>
      </c>
      <c r="D3305" s="537" t="s">
        <v>4206</v>
      </c>
      <c r="E3305" s="266">
        <v>338.0</v>
      </c>
      <c r="F3305" s="266">
        <v>139.0</v>
      </c>
      <c r="G3305" s="266">
        <v>69.0</v>
      </c>
      <c r="H3305" s="260">
        <v>3.0</v>
      </c>
      <c r="I3305" s="518">
        <v>2565.0</v>
      </c>
      <c r="J3305" s="260">
        <v>21.0</v>
      </c>
      <c r="K3305" s="266">
        <v>450.0</v>
      </c>
      <c r="L3305" s="507" t="s">
        <v>3619</v>
      </c>
      <c r="M3305" s="266">
        <v>3.0</v>
      </c>
      <c r="N3305" s="266">
        <v>3.0</v>
      </c>
      <c r="O3305" s="266">
        <v>1.0</v>
      </c>
      <c r="P3305" s="266" t="s">
        <v>166</v>
      </c>
      <c r="Q3305" s="266" t="s">
        <v>166</v>
      </c>
      <c r="R3305" s="266" t="s">
        <v>166</v>
      </c>
      <c r="S3305" s="266" t="s">
        <v>166</v>
      </c>
      <c r="T3305" s="509"/>
    </row>
    <row r="3306">
      <c r="A3306" s="494" t="s">
        <v>3401</v>
      </c>
      <c r="B3306" s="505" t="s">
        <v>3621</v>
      </c>
      <c r="C3306" s="454" t="s">
        <v>3456</v>
      </c>
      <c r="D3306" s="537" t="s">
        <v>4257</v>
      </c>
      <c r="E3306" s="266">
        <v>338.0</v>
      </c>
      <c r="F3306" s="266">
        <v>139.0</v>
      </c>
      <c r="G3306" s="266">
        <v>69.0</v>
      </c>
      <c r="H3306" s="260">
        <v>3.0</v>
      </c>
      <c r="I3306" s="518">
        <v>2520.0</v>
      </c>
      <c r="J3306" s="260">
        <v>21.0</v>
      </c>
      <c r="K3306" s="266">
        <v>450.0</v>
      </c>
      <c r="L3306" s="507" t="s">
        <v>3619</v>
      </c>
      <c r="M3306" s="266">
        <v>3.0</v>
      </c>
      <c r="N3306" s="266">
        <v>3.0</v>
      </c>
      <c r="O3306" s="266">
        <v>1.0</v>
      </c>
      <c r="P3306" s="266" t="s">
        <v>166</v>
      </c>
      <c r="Q3306" s="266" t="s">
        <v>166</v>
      </c>
      <c r="R3306" s="266" t="s">
        <v>166</v>
      </c>
      <c r="S3306" s="266" t="s">
        <v>166</v>
      </c>
      <c r="T3306" s="509"/>
    </row>
    <row r="3307">
      <c r="A3307" s="494" t="s">
        <v>3401</v>
      </c>
      <c r="B3307" s="505" t="s">
        <v>3621</v>
      </c>
      <c r="C3307" s="454" t="s">
        <v>3456</v>
      </c>
      <c r="D3307" s="537" t="s">
        <v>4258</v>
      </c>
      <c r="E3307" s="266">
        <v>338.0</v>
      </c>
      <c r="F3307" s="266">
        <v>139.0</v>
      </c>
      <c r="G3307" s="266">
        <v>69.0</v>
      </c>
      <c r="H3307" s="260">
        <v>3.0</v>
      </c>
      <c r="I3307" s="518">
        <v>2580.0</v>
      </c>
      <c r="J3307" s="260">
        <v>21.0</v>
      </c>
      <c r="K3307" s="266">
        <v>450.0</v>
      </c>
      <c r="L3307" s="507" t="s">
        <v>3619</v>
      </c>
      <c r="M3307" s="266">
        <v>3.0</v>
      </c>
      <c r="N3307" s="266">
        <v>3.0</v>
      </c>
      <c r="O3307" s="266">
        <v>1.0</v>
      </c>
      <c r="P3307" s="266" t="s">
        <v>166</v>
      </c>
      <c r="Q3307" s="266" t="s">
        <v>166</v>
      </c>
      <c r="R3307" s="266" t="s">
        <v>166</v>
      </c>
      <c r="S3307" s="266" t="s">
        <v>166</v>
      </c>
      <c r="T3307" s="509"/>
    </row>
    <row r="3308">
      <c r="A3308" s="494" t="s">
        <v>3401</v>
      </c>
      <c r="B3308" s="505" t="s">
        <v>3621</v>
      </c>
      <c r="C3308" s="454" t="s">
        <v>3456</v>
      </c>
      <c r="D3308" s="537" t="s">
        <v>4585</v>
      </c>
      <c r="E3308" s="266">
        <v>344.0</v>
      </c>
      <c r="F3308" s="266">
        <v>144.0</v>
      </c>
      <c r="G3308" s="266">
        <v>77.0</v>
      </c>
      <c r="H3308" s="260">
        <v>3.0</v>
      </c>
      <c r="I3308" s="518">
        <v>2595.0</v>
      </c>
      <c r="J3308" s="260">
        <v>21.0</v>
      </c>
      <c r="K3308" s="266">
        <v>550.0</v>
      </c>
      <c r="L3308" s="507" t="s">
        <v>4444</v>
      </c>
      <c r="M3308" s="266">
        <v>3.0</v>
      </c>
      <c r="N3308" s="266">
        <v>3.0</v>
      </c>
      <c r="O3308" s="266">
        <v>1.0</v>
      </c>
      <c r="P3308" s="266" t="s">
        <v>166</v>
      </c>
      <c r="Q3308" s="266" t="s">
        <v>166</v>
      </c>
      <c r="R3308" s="266" t="s">
        <v>166</v>
      </c>
      <c r="S3308" s="266" t="s">
        <v>166</v>
      </c>
      <c r="T3308" s="509"/>
    </row>
    <row r="3309">
      <c r="A3309" s="494" t="s">
        <v>3401</v>
      </c>
      <c r="B3309" s="505" t="s">
        <v>3621</v>
      </c>
      <c r="C3309" s="454" t="s">
        <v>3456</v>
      </c>
      <c r="D3309" s="537" t="s">
        <v>4586</v>
      </c>
      <c r="E3309" s="266">
        <v>344.0</v>
      </c>
      <c r="F3309" s="266">
        <v>144.0</v>
      </c>
      <c r="G3309" s="266">
        <v>77.0</v>
      </c>
      <c r="H3309" s="260">
        <v>3.0</v>
      </c>
      <c r="I3309" s="518">
        <v>2625.0</v>
      </c>
      <c r="J3309" s="260">
        <v>21.0</v>
      </c>
      <c r="K3309" s="266">
        <v>550.0</v>
      </c>
      <c r="L3309" s="507" t="s">
        <v>4444</v>
      </c>
      <c r="M3309" s="266">
        <v>3.0</v>
      </c>
      <c r="N3309" s="266">
        <v>3.0</v>
      </c>
      <c r="O3309" s="266">
        <v>1.0</v>
      </c>
      <c r="P3309" s="266" t="s">
        <v>166</v>
      </c>
      <c r="Q3309" s="266" t="s">
        <v>166</v>
      </c>
      <c r="R3309" s="266" t="s">
        <v>166</v>
      </c>
      <c r="S3309" s="266" t="s">
        <v>166</v>
      </c>
      <c r="T3309" s="509"/>
    </row>
    <row r="3310">
      <c r="A3310" s="494" t="s">
        <v>3401</v>
      </c>
      <c r="B3310" s="505" t="s">
        <v>3621</v>
      </c>
      <c r="C3310" s="454" t="s">
        <v>3456</v>
      </c>
      <c r="D3310" s="537" t="s">
        <v>4540</v>
      </c>
      <c r="E3310" s="266">
        <v>336.0</v>
      </c>
      <c r="F3310" s="266">
        <v>138.0</v>
      </c>
      <c r="G3310" s="266">
        <v>74.0</v>
      </c>
      <c r="H3310" s="260">
        <v>3.0</v>
      </c>
      <c r="I3310" s="518">
        <v>2535.0</v>
      </c>
      <c r="J3310" s="260">
        <v>21.0</v>
      </c>
      <c r="K3310" s="266">
        <v>450.0</v>
      </c>
      <c r="L3310" s="507" t="s">
        <v>3619</v>
      </c>
      <c r="M3310" s="266">
        <v>3.0</v>
      </c>
      <c r="N3310" s="266">
        <v>3.0</v>
      </c>
      <c r="O3310" s="266">
        <v>1.0</v>
      </c>
      <c r="P3310" s="266" t="s">
        <v>166</v>
      </c>
      <c r="Q3310" s="266" t="s">
        <v>166</v>
      </c>
      <c r="R3310" s="266" t="s">
        <v>166</v>
      </c>
      <c r="S3310" s="266" t="s">
        <v>166</v>
      </c>
      <c r="T3310" s="509"/>
    </row>
    <row r="3311">
      <c r="A3311" s="494" t="s">
        <v>3401</v>
      </c>
      <c r="B3311" s="505" t="s">
        <v>3621</v>
      </c>
      <c r="C3311" s="454" t="s">
        <v>3456</v>
      </c>
      <c r="D3311" s="537" t="s">
        <v>4587</v>
      </c>
      <c r="E3311" s="266">
        <v>336.0</v>
      </c>
      <c r="F3311" s="266">
        <v>138.0</v>
      </c>
      <c r="G3311" s="266">
        <v>74.0</v>
      </c>
      <c r="H3311" s="260">
        <v>3.0</v>
      </c>
      <c r="I3311" s="518">
        <v>2535.0</v>
      </c>
      <c r="J3311" s="260">
        <v>21.0</v>
      </c>
      <c r="K3311" s="266">
        <v>450.0</v>
      </c>
      <c r="L3311" s="507" t="s">
        <v>3619</v>
      </c>
      <c r="M3311" s="266">
        <v>3.0</v>
      </c>
      <c r="N3311" s="266">
        <v>3.0</v>
      </c>
      <c r="O3311" s="266">
        <v>1.0</v>
      </c>
      <c r="P3311" s="266" t="s">
        <v>166</v>
      </c>
      <c r="Q3311" s="266" t="s">
        <v>166</v>
      </c>
      <c r="R3311" s="266" t="s">
        <v>166</v>
      </c>
      <c r="S3311" s="266" t="s">
        <v>166</v>
      </c>
      <c r="T3311" s="509"/>
    </row>
    <row r="3312">
      <c r="A3312" s="494" t="s">
        <v>3401</v>
      </c>
      <c r="B3312" s="505" t="s">
        <v>3621</v>
      </c>
      <c r="C3312" s="454" t="s">
        <v>3456</v>
      </c>
      <c r="D3312" s="537" t="s">
        <v>4541</v>
      </c>
      <c r="E3312" s="266">
        <v>336.0</v>
      </c>
      <c r="F3312" s="266">
        <v>138.0</v>
      </c>
      <c r="G3312" s="266">
        <v>74.0</v>
      </c>
      <c r="H3312" s="260">
        <v>3.0</v>
      </c>
      <c r="I3312" s="518">
        <v>2595.0</v>
      </c>
      <c r="J3312" s="260">
        <v>21.0</v>
      </c>
      <c r="K3312" s="266">
        <v>450.0</v>
      </c>
      <c r="L3312" s="507" t="s">
        <v>3619</v>
      </c>
      <c r="M3312" s="266">
        <v>3.0</v>
      </c>
      <c r="N3312" s="266">
        <v>3.0</v>
      </c>
      <c r="O3312" s="266">
        <v>1.0</v>
      </c>
      <c r="P3312" s="266" t="s">
        <v>166</v>
      </c>
      <c r="Q3312" s="266" t="s">
        <v>166</v>
      </c>
      <c r="R3312" s="266" t="s">
        <v>166</v>
      </c>
      <c r="S3312" s="266" t="s">
        <v>166</v>
      </c>
      <c r="T3312" s="509"/>
    </row>
    <row r="3313">
      <c r="A3313" s="494" t="s">
        <v>3401</v>
      </c>
      <c r="B3313" s="505" t="s">
        <v>3621</v>
      </c>
      <c r="C3313" s="454" t="s">
        <v>3456</v>
      </c>
      <c r="D3313" s="537" t="s">
        <v>4542</v>
      </c>
      <c r="E3313" s="266">
        <v>336.0</v>
      </c>
      <c r="F3313" s="266">
        <v>138.0</v>
      </c>
      <c r="G3313" s="266">
        <v>74.0</v>
      </c>
      <c r="H3313" s="260">
        <v>3.0</v>
      </c>
      <c r="I3313" s="518">
        <v>2595.0</v>
      </c>
      <c r="J3313" s="260">
        <v>21.0</v>
      </c>
      <c r="K3313" s="266">
        <v>450.0</v>
      </c>
      <c r="L3313" s="507" t="s">
        <v>3619</v>
      </c>
      <c r="M3313" s="266">
        <v>3.0</v>
      </c>
      <c r="N3313" s="266">
        <v>3.0</v>
      </c>
      <c r="O3313" s="266">
        <v>1.0</v>
      </c>
      <c r="P3313" s="266" t="s">
        <v>166</v>
      </c>
      <c r="Q3313" s="266" t="s">
        <v>166</v>
      </c>
      <c r="R3313" s="266" t="s">
        <v>166</v>
      </c>
      <c r="S3313" s="266" t="s">
        <v>166</v>
      </c>
      <c r="T3313" s="509"/>
    </row>
    <row r="3314">
      <c r="A3314" s="494" t="s">
        <v>3401</v>
      </c>
      <c r="B3314" s="505" t="s">
        <v>3621</v>
      </c>
      <c r="C3314" s="454" t="s">
        <v>3456</v>
      </c>
      <c r="D3314" s="537" t="s">
        <v>3837</v>
      </c>
      <c r="E3314" s="266">
        <v>344.0</v>
      </c>
      <c r="F3314" s="266">
        <v>144.0</v>
      </c>
      <c r="G3314" s="266">
        <v>77.0</v>
      </c>
      <c r="H3314" s="260">
        <v>3.0</v>
      </c>
      <c r="I3314" s="518">
        <v>2610.0</v>
      </c>
      <c r="J3314" s="260">
        <v>21.0</v>
      </c>
      <c r="K3314" s="507">
        <v>550.0</v>
      </c>
      <c r="L3314" s="507" t="s">
        <v>4444</v>
      </c>
      <c r="M3314" s="266">
        <v>3.0</v>
      </c>
      <c r="N3314" s="266">
        <v>3.0</v>
      </c>
      <c r="O3314" s="266">
        <v>1.0</v>
      </c>
      <c r="P3314" s="266" t="s">
        <v>166</v>
      </c>
      <c r="Q3314" s="266" t="s">
        <v>166</v>
      </c>
      <c r="R3314" s="266" t="s">
        <v>166</v>
      </c>
      <c r="S3314" s="266" t="s">
        <v>166</v>
      </c>
      <c r="T3314" s="509"/>
    </row>
    <row r="3315">
      <c r="A3315" s="494" t="s">
        <v>3401</v>
      </c>
      <c r="B3315" s="505" t="s">
        <v>3621</v>
      </c>
      <c r="C3315" s="174" t="str">
        <f t="shared" ref="C3315:C3323" si="469">HYPERLINK("https://www.gigabyte.com/","Gigabyte")</f>
        <v>Gigabyte</v>
      </c>
      <c r="D3315" s="537" t="s">
        <v>3597</v>
      </c>
      <c r="E3315" s="266">
        <v>331.0</v>
      </c>
      <c r="F3315" s="266">
        <v>150.0</v>
      </c>
      <c r="G3315" s="266">
        <v>70.0</v>
      </c>
      <c r="H3315" s="260">
        <v>2.0</v>
      </c>
      <c r="I3315" s="518">
        <v>2520.0</v>
      </c>
      <c r="J3315" s="260">
        <v>21.0</v>
      </c>
      <c r="K3315" s="507">
        <v>450.0</v>
      </c>
      <c r="L3315" s="507" t="s">
        <v>3619</v>
      </c>
      <c r="M3315" s="266">
        <v>3.0</v>
      </c>
      <c r="N3315" s="266">
        <v>3.0</v>
      </c>
      <c r="O3315" s="266">
        <v>1.0</v>
      </c>
      <c r="P3315" s="266" t="s">
        <v>166</v>
      </c>
      <c r="Q3315" s="266" t="s">
        <v>166</v>
      </c>
      <c r="R3315" s="266" t="s">
        <v>166</v>
      </c>
      <c r="S3315" s="266" t="s">
        <v>166</v>
      </c>
      <c r="T3315" s="509"/>
    </row>
    <row r="3316">
      <c r="A3316" s="494" t="s">
        <v>3401</v>
      </c>
      <c r="B3316" s="505" t="s">
        <v>3621</v>
      </c>
      <c r="C3316" s="174" t="str">
        <f t="shared" si="469"/>
        <v>Gigabyte</v>
      </c>
      <c r="D3316" s="537" t="s">
        <v>4575</v>
      </c>
      <c r="E3316" s="266">
        <v>331.0</v>
      </c>
      <c r="F3316" s="266">
        <v>136.0</v>
      </c>
      <c r="G3316" s="266">
        <v>55.5</v>
      </c>
      <c r="H3316" s="260">
        <v>2.0</v>
      </c>
      <c r="I3316" s="518">
        <v>2520.0</v>
      </c>
      <c r="J3316" s="260">
        <v>21.0</v>
      </c>
      <c r="K3316" s="507">
        <v>450.0</v>
      </c>
      <c r="L3316" s="507" t="s">
        <v>3619</v>
      </c>
      <c r="M3316" s="266">
        <v>3.0</v>
      </c>
      <c r="N3316" s="266">
        <v>3.0</v>
      </c>
      <c r="O3316" s="266">
        <v>1.0</v>
      </c>
      <c r="P3316" s="266" t="s">
        <v>166</v>
      </c>
      <c r="Q3316" s="266" t="s">
        <v>166</v>
      </c>
      <c r="R3316" s="266" t="s">
        <v>166</v>
      </c>
      <c r="S3316" s="266" t="s">
        <v>166</v>
      </c>
      <c r="T3316" s="509"/>
    </row>
    <row r="3317">
      <c r="A3317" s="494" t="s">
        <v>3401</v>
      </c>
      <c r="B3317" s="505" t="s">
        <v>3621</v>
      </c>
      <c r="C3317" s="174" t="str">
        <f t="shared" si="469"/>
        <v>Gigabyte</v>
      </c>
      <c r="D3317" s="537" t="s">
        <v>3850</v>
      </c>
      <c r="E3317" s="266">
        <v>342.0</v>
      </c>
      <c r="F3317" s="266">
        <v>150.0</v>
      </c>
      <c r="G3317" s="266">
        <v>75.0</v>
      </c>
      <c r="H3317" s="260">
        <v>2.0</v>
      </c>
      <c r="I3317" s="518">
        <v>2520.0</v>
      </c>
      <c r="J3317" s="260">
        <v>21.0</v>
      </c>
      <c r="K3317" s="507">
        <v>450.0</v>
      </c>
      <c r="L3317" s="507" t="s">
        <v>3619</v>
      </c>
      <c r="M3317" s="266">
        <v>3.0</v>
      </c>
      <c r="N3317" s="266">
        <v>3.0</v>
      </c>
      <c r="O3317" s="266">
        <v>1.0</v>
      </c>
      <c r="P3317" s="266" t="s">
        <v>166</v>
      </c>
      <c r="Q3317" s="266" t="s">
        <v>166</v>
      </c>
      <c r="R3317" s="266" t="s">
        <v>166</v>
      </c>
      <c r="S3317" s="266" t="s">
        <v>166</v>
      </c>
      <c r="T3317" s="509"/>
    </row>
    <row r="3318">
      <c r="A3318" s="494" t="s">
        <v>3401</v>
      </c>
      <c r="B3318" s="505" t="s">
        <v>3621</v>
      </c>
      <c r="C3318" s="174" t="str">
        <f t="shared" si="469"/>
        <v>Gigabyte</v>
      </c>
      <c r="D3318" s="537" t="s">
        <v>3851</v>
      </c>
      <c r="E3318" s="266">
        <v>342.0</v>
      </c>
      <c r="F3318" s="266">
        <v>150.0</v>
      </c>
      <c r="G3318" s="266">
        <v>75.0</v>
      </c>
      <c r="H3318" s="260">
        <v>2.0</v>
      </c>
      <c r="I3318" s="518">
        <v>2535.0</v>
      </c>
      <c r="J3318" s="260">
        <v>21.0</v>
      </c>
      <c r="K3318" s="507">
        <v>450.0</v>
      </c>
      <c r="L3318" s="507" t="s">
        <v>3619</v>
      </c>
      <c r="M3318" s="266">
        <v>3.0</v>
      </c>
      <c r="N3318" s="266">
        <v>3.0</v>
      </c>
      <c r="O3318" s="266">
        <v>1.0</v>
      </c>
      <c r="P3318" s="266" t="s">
        <v>166</v>
      </c>
      <c r="Q3318" s="266" t="s">
        <v>166</v>
      </c>
      <c r="R3318" s="266" t="s">
        <v>166</v>
      </c>
      <c r="S3318" s="266" t="s">
        <v>166</v>
      </c>
      <c r="T3318" s="509"/>
    </row>
    <row r="3319">
      <c r="A3319" s="494" t="s">
        <v>3401</v>
      </c>
      <c r="B3319" s="505" t="s">
        <v>3621</v>
      </c>
      <c r="C3319" s="174" t="str">
        <f t="shared" si="469"/>
        <v>Gigabyte</v>
      </c>
      <c r="D3319" s="537" t="s">
        <v>3409</v>
      </c>
      <c r="E3319" s="266">
        <v>340.0</v>
      </c>
      <c r="F3319" s="266">
        <v>150.2</v>
      </c>
      <c r="G3319" s="266">
        <v>75.2</v>
      </c>
      <c r="H3319" s="518">
        <v>2.0</v>
      </c>
      <c r="I3319" s="518">
        <v>2520.0</v>
      </c>
      <c r="J3319" s="260">
        <v>21.0</v>
      </c>
      <c r="K3319" s="507">
        <v>450.0</v>
      </c>
      <c r="L3319" s="507" t="s">
        <v>3619</v>
      </c>
      <c r="M3319" s="266">
        <v>3.0</v>
      </c>
      <c r="N3319" s="266">
        <v>3.0</v>
      </c>
      <c r="O3319" s="266">
        <v>1.0</v>
      </c>
      <c r="P3319" s="266" t="s">
        <v>166</v>
      </c>
      <c r="Q3319" s="266" t="s">
        <v>166</v>
      </c>
      <c r="R3319" s="266" t="s">
        <v>166</v>
      </c>
      <c r="S3319" s="266" t="s">
        <v>166</v>
      </c>
      <c r="T3319" s="509"/>
    </row>
    <row r="3320">
      <c r="A3320" s="494" t="s">
        <v>3401</v>
      </c>
      <c r="B3320" s="505" t="s">
        <v>3621</v>
      </c>
      <c r="C3320" s="174" t="str">
        <f t="shared" si="469"/>
        <v>Gigabyte</v>
      </c>
      <c r="D3320" s="537" t="s">
        <v>3630</v>
      </c>
      <c r="E3320" s="266">
        <v>340.0</v>
      </c>
      <c r="F3320" s="266">
        <v>150.2</v>
      </c>
      <c r="G3320" s="266">
        <v>75.2</v>
      </c>
      <c r="H3320" s="518">
        <v>2.0</v>
      </c>
      <c r="I3320" s="518">
        <v>2535.0</v>
      </c>
      <c r="J3320" s="260">
        <v>21.0</v>
      </c>
      <c r="K3320" s="507">
        <v>450.0</v>
      </c>
      <c r="L3320" s="507" t="s">
        <v>3619</v>
      </c>
      <c r="M3320" s="266">
        <v>3.0</v>
      </c>
      <c r="N3320" s="266">
        <v>3.0</v>
      </c>
      <c r="O3320" s="266">
        <v>1.0</v>
      </c>
      <c r="P3320" s="266" t="s">
        <v>166</v>
      </c>
      <c r="Q3320" s="266" t="s">
        <v>166</v>
      </c>
      <c r="R3320" s="266" t="s">
        <v>166</v>
      </c>
      <c r="S3320" s="266" t="s">
        <v>166</v>
      </c>
      <c r="T3320" s="509"/>
    </row>
    <row r="3321">
      <c r="A3321" s="494" t="s">
        <v>3401</v>
      </c>
      <c r="B3321" s="505" t="s">
        <v>3621</v>
      </c>
      <c r="C3321" s="174" t="str">
        <f t="shared" si="469"/>
        <v>Gigabyte</v>
      </c>
      <c r="D3321" s="537" t="s">
        <v>3725</v>
      </c>
      <c r="E3321" s="266">
        <v>358.5</v>
      </c>
      <c r="F3321" s="266">
        <v>162.8</v>
      </c>
      <c r="G3321" s="266">
        <v>75.1</v>
      </c>
      <c r="H3321" s="518">
        <v>2.0</v>
      </c>
      <c r="I3321" s="518">
        <v>2550.0</v>
      </c>
      <c r="J3321" s="260">
        <v>21.0</v>
      </c>
      <c r="K3321" s="507">
        <v>450.0</v>
      </c>
      <c r="L3321" s="507" t="s">
        <v>3619</v>
      </c>
      <c r="M3321" s="266">
        <v>3.0</v>
      </c>
      <c r="N3321" s="266">
        <v>3.0</v>
      </c>
      <c r="O3321" s="266">
        <v>1.0</v>
      </c>
      <c r="P3321" s="266" t="s">
        <v>166</v>
      </c>
      <c r="Q3321" s="266" t="s">
        <v>166</v>
      </c>
      <c r="R3321" s="266" t="s">
        <v>166</v>
      </c>
      <c r="S3321" s="266" t="s">
        <v>166</v>
      </c>
      <c r="T3321" s="509"/>
    </row>
    <row r="3322">
      <c r="A3322" s="494" t="s">
        <v>3401</v>
      </c>
      <c r="B3322" s="505" t="s">
        <v>3621</v>
      </c>
      <c r="C3322" s="174" t="str">
        <f t="shared" si="469"/>
        <v>Gigabyte</v>
      </c>
      <c r="D3322" s="537" t="s">
        <v>4588</v>
      </c>
      <c r="E3322" s="507">
        <v>238.0</v>
      </c>
      <c r="F3322" s="507">
        <v>141.0</v>
      </c>
      <c r="G3322" s="507">
        <v>40.0</v>
      </c>
      <c r="H3322" s="260">
        <v>2.0</v>
      </c>
      <c r="I3322" s="260">
        <v>2565.0</v>
      </c>
      <c r="J3322" s="260">
        <v>21.0</v>
      </c>
      <c r="K3322" s="507">
        <v>450.0</v>
      </c>
      <c r="L3322" s="507" t="s">
        <v>3619</v>
      </c>
      <c r="M3322" s="507" t="s">
        <v>166</v>
      </c>
      <c r="N3322" s="266">
        <v>3.0</v>
      </c>
      <c r="O3322" s="266">
        <v>1.0</v>
      </c>
      <c r="P3322" s="266" t="s">
        <v>166</v>
      </c>
      <c r="Q3322" s="266" t="s">
        <v>166</v>
      </c>
      <c r="R3322" s="266" t="s">
        <v>174</v>
      </c>
      <c r="S3322" s="266" t="s">
        <v>166</v>
      </c>
      <c r="T3322" s="509"/>
    </row>
    <row r="3323">
      <c r="A3323" s="494" t="s">
        <v>3401</v>
      </c>
      <c r="B3323" s="505" t="s">
        <v>3621</v>
      </c>
      <c r="C3323" s="174" t="str">
        <f t="shared" si="469"/>
        <v>Gigabyte</v>
      </c>
      <c r="D3323" s="537" t="s">
        <v>4589</v>
      </c>
      <c r="E3323" s="507">
        <v>238.0</v>
      </c>
      <c r="F3323" s="507">
        <v>141.0</v>
      </c>
      <c r="G3323" s="507">
        <v>40.0</v>
      </c>
      <c r="H3323" s="260">
        <v>2.0</v>
      </c>
      <c r="I3323" s="260">
        <v>2565.0</v>
      </c>
      <c r="J3323" s="260">
        <v>21.0</v>
      </c>
      <c r="K3323" s="507">
        <v>450.0</v>
      </c>
      <c r="L3323" s="507" t="s">
        <v>3619</v>
      </c>
      <c r="M3323" s="507" t="s">
        <v>166</v>
      </c>
      <c r="N3323" s="266">
        <v>3.0</v>
      </c>
      <c r="O3323" s="266">
        <v>1.0</v>
      </c>
      <c r="P3323" s="266" t="s">
        <v>166</v>
      </c>
      <c r="Q3323" s="266" t="s">
        <v>166</v>
      </c>
      <c r="R3323" s="266" t="s">
        <v>174</v>
      </c>
      <c r="S3323" s="266" t="s">
        <v>166</v>
      </c>
      <c r="T3323" s="509"/>
    </row>
    <row r="3324">
      <c r="A3324" s="494" t="s">
        <v>3401</v>
      </c>
      <c r="B3324" s="505" t="s">
        <v>3621</v>
      </c>
      <c r="C3324" s="452" t="str">
        <f t="shared" ref="C3324:C3329" si="470">HYPERLINK("http://www.inno3d.com/","Inno3D")</f>
        <v>Inno3D</v>
      </c>
      <c r="D3324" s="537" t="s">
        <v>351</v>
      </c>
      <c r="E3324" s="507">
        <v>336.0</v>
      </c>
      <c r="F3324" s="507">
        <v>145.0</v>
      </c>
      <c r="G3324" s="507">
        <v>60.0</v>
      </c>
      <c r="H3324" s="260">
        <v>3.0</v>
      </c>
      <c r="I3324" s="260">
        <v>2520.0</v>
      </c>
      <c r="J3324" s="260">
        <v>21.0</v>
      </c>
      <c r="K3324" s="507">
        <v>450.0</v>
      </c>
      <c r="L3324" s="507" t="s">
        <v>3619</v>
      </c>
      <c r="M3324" s="507">
        <v>3.0</v>
      </c>
      <c r="N3324" s="266">
        <v>3.0</v>
      </c>
      <c r="O3324" s="266">
        <v>1.0</v>
      </c>
      <c r="P3324" s="266" t="s">
        <v>166</v>
      </c>
      <c r="Q3324" s="266" t="s">
        <v>166</v>
      </c>
      <c r="R3324" s="266" t="s">
        <v>166</v>
      </c>
      <c r="S3324" s="266" t="s">
        <v>166</v>
      </c>
      <c r="T3324" s="509"/>
    </row>
    <row r="3325">
      <c r="A3325" s="494" t="s">
        <v>3401</v>
      </c>
      <c r="B3325" s="505" t="s">
        <v>3621</v>
      </c>
      <c r="C3325" s="452" t="str">
        <f t="shared" si="470"/>
        <v>Inno3D</v>
      </c>
      <c r="D3325" s="537" t="s">
        <v>4347</v>
      </c>
      <c r="E3325" s="507">
        <v>336.0</v>
      </c>
      <c r="F3325" s="507">
        <v>145.0</v>
      </c>
      <c r="G3325" s="507">
        <v>60.0</v>
      </c>
      <c r="H3325" s="260">
        <v>3.0</v>
      </c>
      <c r="I3325" s="260">
        <v>2550.0</v>
      </c>
      <c r="J3325" s="260">
        <v>21.0</v>
      </c>
      <c r="K3325" s="507">
        <v>450.0</v>
      </c>
      <c r="L3325" s="507" t="s">
        <v>3619</v>
      </c>
      <c r="M3325" s="507">
        <v>3.0</v>
      </c>
      <c r="N3325" s="266">
        <v>3.0</v>
      </c>
      <c r="O3325" s="266">
        <v>1.0</v>
      </c>
      <c r="P3325" s="266" t="s">
        <v>166</v>
      </c>
      <c r="Q3325" s="266" t="s">
        <v>166</v>
      </c>
      <c r="R3325" s="266" t="s">
        <v>166</v>
      </c>
      <c r="S3325" s="266" t="s">
        <v>166</v>
      </c>
      <c r="T3325" s="509"/>
    </row>
    <row r="3326">
      <c r="A3326" s="494" t="s">
        <v>3401</v>
      </c>
      <c r="B3326" s="505" t="s">
        <v>3621</v>
      </c>
      <c r="C3326" s="452" t="str">
        <f t="shared" si="470"/>
        <v>Inno3D</v>
      </c>
      <c r="D3326" s="537" t="s">
        <v>4576</v>
      </c>
      <c r="E3326" s="507">
        <v>336.0</v>
      </c>
      <c r="F3326" s="507">
        <v>145.0</v>
      </c>
      <c r="G3326" s="507">
        <v>60.0</v>
      </c>
      <c r="H3326" s="260">
        <v>3.0</v>
      </c>
      <c r="I3326" s="260">
        <v>2550.0</v>
      </c>
      <c r="J3326" s="260">
        <v>21.0</v>
      </c>
      <c r="K3326" s="507">
        <v>450.0</v>
      </c>
      <c r="L3326" s="507" t="s">
        <v>3619</v>
      </c>
      <c r="M3326" s="507">
        <v>3.0</v>
      </c>
      <c r="N3326" s="266">
        <v>3.0</v>
      </c>
      <c r="O3326" s="266">
        <v>1.0</v>
      </c>
      <c r="P3326" s="266" t="s">
        <v>166</v>
      </c>
      <c r="Q3326" s="266" t="s">
        <v>166</v>
      </c>
      <c r="R3326" s="266" t="s">
        <v>166</v>
      </c>
      <c r="S3326" s="266" t="s">
        <v>166</v>
      </c>
      <c r="T3326" s="509"/>
    </row>
    <row r="3327">
      <c r="A3327" s="494" t="s">
        <v>3401</v>
      </c>
      <c r="B3327" s="505" t="s">
        <v>3621</v>
      </c>
      <c r="C3327" s="452" t="str">
        <f t="shared" si="470"/>
        <v>Inno3D</v>
      </c>
      <c r="D3327" s="537" t="s">
        <v>3921</v>
      </c>
      <c r="E3327" s="507">
        <v>334.0</v>
      </c>
      <c r="F3327" s="507">
        <v>148.0</v>
      </c>
      <c r="G3327" s="507">
        <v>63.0</v>
      </c>
      <c r="H3327" s="260">
        <v>3.0</v>
      </c>
      <c r="I3327" s="260">
        <v>2580.0</v>
      </c>
      <c r="J3327" s="260">
        <v>21.0</v>
      </c>
      <c r="K3327" s="507">
        <v>450.0</v>
      </c>
      <c r="L3327" s="507" t="s">
        <v>3619</v>
      </c>
      <c r="M3327" s="507">
        <v>3.0</v>
      </c>
      <c r="N3327" s="266">
        <v>3.0</v>
      </c>
      <c r="O3327" s="266">
        <v>1.0</v>
      </c>
      <c r="P3327" s="266" t="s">
        <v>166</v>
      </c>
      <c r="Q3327" s="266" t="s">
        <v>166</v>
      </c>
      <c r="R3327" s="266" t="s">
        <v>166</v>
      </c>
      <c r="S3327" s="266" t="s">
        <v>166</v>
      </c>
      <c r="T3327" s="509"/>
    </row>
    <row r="3328">
      <c r="A3328" s="494" t="s">
        <v>3401</v>
      </c>
      <c r="B3328" s="505" t="s">
        <v>3621</v>
      </c>
      <c r="C3328" s="452" t="str">
        <f t="shared" si="470"/>
        <v>Inno3D</v>
      </c>
      <c r="D3328" s="537" t="s">
        <v>3992</v>
      </c>
      <c r="E3328" s="507">
        <v>280.0</v>
      </c>
      <c r="F3328" s="507">
        <v>137.0</v>
      </c>
      <c r="G3328" s="507">
        <v>41.0</v>
      </c>
      <c r="H3328" s="260">
        <v>2.0</v>
      </c>
      <c r="I3328" s="260">
        <v>2580.0</v>
      </c>
      <c r="J3328" s="260">
        <v>21.0</v>
      </c>
      <c r="K3328" s="507">
        <v>450.0</v>
      </c>
      <c r="L3328" s="507" t="s">
        <v>3619</v>
      </c>
      <c r="M3328" s="507" t="s">
        <v>166</v>
      </c>
      <c r="N3328" s="266">
        <v>3.0</v>
      </c>
      <c r="O3328" s="266">
        <v>1.0</v>
      </c>
      <c r="P3328" s="266" t="s">
        <v>166</v>
      </c>
      <c r="Q3328" s="266" t="s">
        <v>166</v>
      </c>
      <c r="R3328" s="507" t="s">
        <v>174</v>
      </c>
      <c r="S3328" s="507" t="s">
        <v>166</v>
      </c>
      <c r="T3328" s="509"/>
    </row>
    <row r="3329">
      <c r="A3329" s="494" t="s">
        <v>3401</v>
      </c>
      <c r="B3329" s="505" t="s">
        <v>3621</v>
      </c>
      <c r="C3329" s="452" t="str">
        <f t="shared" si="470"/>
        <v>Inno3D</v>
      </c>
      <c r="D3329" s="537" t="s">
        <v>4590</v>
      </c>
      <c r="E3329" s="507">
        <v>223.0</v>
      </c>
      <c r="F3329" s="507">
        <v>161.0</v>
      </c>
      <c r="G3329" s="507">
        <v>38.0</v>
      </c>
      <c r="H3329" s="260">
        <v>2.0</v>
      </c>
      <c r="I3329" s="260">
        <v>2595.0</v>
      </c>
      <c r="J3329" s="260">
        <v>21.0</v>
      </c>
      <c r="K3329" s="507">
        <v>450.0</v>
      </c>
      <c r="L3329" s="507" t="s">
        <v>3619</v>
      </c>
      <c r="M3329" s="507" t="s">
        <v>166</v>
      </c>
      <c r="N3329" s="266">
        <v>3.0</v>
      </c>
      <c r="O3329" s="266">
        <v>1.0</v>
      </c>
      <c r="P3329" s="266" t="s">
        <v>166</v>
      </c>
      <c r="Q3329" s="266" t="s">
        <v>166</v>
      </c>
      <c r="R3329" s="507" t="s">
        <v>174</v>
      </c>
      <c r="S3329" s="507" t="s">
        <v>166</v>
      </c>
      <c r="T3329" s="509"/>
    </row>
    <row r="3330">
      <c r="A3330" s="494" t="s">
        <v>3401</v>
      </c>
      <c r="B3330" s="505" t="s">
        <v>3621</v>
      </c>
      <c r="C3330" s="452" t="s">
        <v>3538</v>
      </c>
      <c r="D3330" s="537" t="s">
        <v>4416</v>
      </c>
      <c r="E3330" s="507">
        <v>351.5</v>
      </c>
      <c r="F3330" s="507">
        <v>145.2</v>
      </c>
      <c r="G3330" s="507">
        <v>68.3</v>
      </c>
      <c r="H3330" s="260">
        <v>3.0</v>
      </c>
      <c r="I3330" s="260">
        <v>2520.0</v>
      </c>
      <c r="J3330" s="260">
        <v>21.0</v>
      </c>
      <c r="K3330" s="507">
        <v>450.0</v>
      </c>
      <c r="L3330" s="507" t="s">
        <v>3619</v>
      </c>
      <c r="M3330" s="507">
        <v>3.0</v>
      </c>
      <c r="N3330" s="266">
        <v>3.0</v>
      </c>
      <c r="O3330" s="266">
        <v>1.0</v>
      </c>
      <c r="P3330" s="266" t="s">
        <v>166</v>
      </c>
      <c r="Q3330" s="266" t="s">
        <v>166</v>
      </c>
      <c r="R3330" s="507" t="s">
        <v>166</v>
      </c>
      <c r="S3330" s="507" t="s">
        <v>166</v>
      </c>
      <c r="T3330" s="509"/>
    </row>
    <row r="3331">
      <c r="A3331" s="494" t="s">
        <v>3401</v>
      </c>
      <c r="B3331" s="505" t="s">
        <v>3621</v>
      </c>
      <c r="C3331" s="452" t="str">
        <f>HYPERLINK("http://manli.com/en","Manli")</f>
        <v>Manli</v>
      </c>
      <c r="D3331" s="537" t="s">
        <v>4591</v>
      </c>
      <c r="E3331" s="507">
        <v>351.0</v>
      </c>
      <c r="F3331" s="507">
        <v>145.0</v>
      </c>
      <c r="G3331" s="507">
        <v>63.0</v>
      </c>
      <c r="H3331" s="260">
        <v>3.0</v>
      </c>
      <c r="I3331" s="260">
        <v>2520.0</v>
      </c>
      <c r="J3331" s="260">
        <v>21.0</v>
      </c>
      <c r="K3331" s="507">
        <v>450.0</v>
      </c>
      <c r="L3331" s="507" t="s">
        <v>3619</v>
      </c>
      <c r="M3331" s="507">
        <v>3.0</v>
      </c>
      <c r="N3331" s="266">
        <v>3.0</v>
      </c>
      <c r="O3331" s="266">
        <v>1.0</v>
      </c>
      <c r="P3331" s="266" t="s">
        <v>166</v>
      </c>
      <c r="Q3331" s="266" t="s">
        <v>166</v>
      </c>
      <c r="R3331" s="507" t="s">
        <v>166</v>
      </c>
      <c r="S3331" s="507" t="s">
        <v>166</v>
      </c>
      <c r="T3331" s="509"/>
    </row>
    <row r="3332">
      <c r="A3332" s="494" t="s">
        <v>3401</v>
      </c>
      <c r="B3332" s="505" t="s">
        <v>3621</v>
      </c>
      <c r="C3332" s="174" t="s">
        <v>3565</v>
      </c>
      <c r="D3332" s="537" t="s">
        <v>3810</v>
      </c>
      <c r="E3332" s="507">
        <v>330.0</v>
      </c>
      <c r="F3332" s="507">
        <v>142.0</v>
      </c>
      <c r="G3332" s="507">
        <v>70.0</v>
      </c>
      <c r="H3332" s="260">
        <v>3.0</v>
      </c>
      <c r="I3332" s="260">
        <v>2520.0</v>
      </c>
      <c r="J3332" s="260">
        <v>21.0</v>
      </c>
      <c r="K3332" s="507">
        <v>450.0</v>
      </c>
      <c r="L3332" s="507" t="s">
        <v>3619</v>
      </c>
      <c r="M3332" s="507">
        <v>3.0</v>
      </c>
      <c r="N3332" s="266">
        <v>3.0</v>
      </c>
      <c r="O3332" s="266">
        <v>1.0</v>
      </c>
      <c r="P3332" s="266" t="s">
        <v>166</v>
      </c>
      <c r="Q3332" s="266" t="s">
        <v>166</v>
      </c>
      <c r="R3332" s="507" t="s">
        <v>166</v>
      </c>
      <c r="S3332" s="507" t="s">
        <v>166</v>
      </c>
      <c r="T3332" s="509"/>
    </row>
    <row r="3333">
      <c r="A3333" s="494" t="s">
        <v>3401</v>
      </c>
      <c r="B3333" s="505" t="s">
        <v>3621</v>
      </c>
      <c r="C3333" s="174" t="s">
        <v>3565</v>
      </c>
      <c r="D3333" s="537" t="s">
        <v>4549</v>
      </c>
      <c r="E3333" s="507">
        <v>337.0</v>
      </c>
      <c r="F3333" s="507">
        <v>137.0</v>
      </c>
      <c r="G3333" s="507">
        <v>66.0</v>
      </c>
      <c r="H3333" s="260">
        <v>2.0</v>
      </c>
      <c r="I3333" s="260">
        <v>2580.0</v>
      </c>
      <c r="J3333" s="260">
        <v>21.0</v>
      </c>
      <c r="K3333" s="507">
        <v>450.0</v>
      </c>
      <c r="L3333" s="507" t="s">
        <v>3619</v>
      </c>
      <c r="M3333" s="507">
        <v>5.0</v>
      </c>
      <c r="N3333" s="266">
        <v>3.0</v>
      </c>
      <c r="O3333" s="266">
        <v>1.0</v>
      </c>
      <c r="P3333" s="266" t="s">
        <v>166</v>
      </c>
      <c r="Q3333" s="266" t="s">
        <v>166</v>
      </c>
      <c r="R3333" s="507" t="s">
        <v>166</v>
      </c>
      <c r="S3333" s="507" t="s">
        <v>166</v>
      </c>
      <c r="T3333" s="509"/>
    </row>
    <row r="3334">
      <c r="A3334" s="494" t="s">
        <v>3401</v>
      </c>
      <c r="B3334" s="505" t="s">
        <v>3621</v>
      </c>
      <c r="C3334" s="174" t="str">
        <f t="shared" ref="C3334:C3345" si="471">HYPERLINK("https://www.msi.com/index.php","MSI")</f>
        <v>MSI</v>
      </c>
      <c r="D3334" s="537" t="s">
        <v>4146</v>
      </c>
      <c r="E3334" s="507">
        <v>322.0</v>
      </c>
      <c r="F3334" s="507">
        <v>136.0</v>
      </c>
      <c r="G3334" s="507">
        <v>62.0</v>
      </c>
      <c r="H3334" s="260">
        <v>3.0</v>
      </c>
      <c r="I3334" s="260">
        <v>2535.0</v>
      </c>
      <c r="J3334" s="260">
        <v>21.0</v>
      </c>
      <c r="K3334" s="507">
        <v>450.0</v>
      </c>
      <c r="L3334" s="507" t="s">
        <v>3619</v>
      </c>
      <c r="M3334" s="507">
        <v>3.0</v>
      </c>
      <c r="N3334" s="266">
        <v>3.0</v>
      </c>
      <c r="O3334" s="266">
        <v>1.0</v>
      </c>
      <c r="P3334" s="266" t="s">
        <v>166</v>
      </c>
      <c r="Q3334" s="266" t="s">
        <v>166</v>
      </c>
      <c r="R3334" s="266" t="s">
        <v>166</v>
      </c>
      <c r="S3334" s="266" t="s">
        <v>166</v>
      </c>
      <c r="T3334" s="509"/>
    </row>
    <row r="3335">
      <c r="A3335" s="494" t="s">
        <v>3401</v>
      </c>
      <c r="B3335" s="505" t="s">
        <v>3621</v>
      </c>
      <c r="C3335" s="174" t="str">
        <f t="shared" si="471"/>
        <v>MSI</v>
      </c>
      <c r="D3335" s="537" t="s">
        <v>4147</v>
      </c>
      <c r="E3335" s="507">
        <v>322.0</v>
      </c>
      <c r="F3335" s="507">
        <v>136.0</v>
      </c>
      <c r="G3335" s="507">
        <v>62.0</v>
      </c>
      <c r="H3335" s="260">
        <v>3.0</v>
      </c>
      <c r="I3335" s="260">
        <v>2565.0</v>
      </c>
      <c r="J3335" s="260">
        <v>21.0</v>
      </c>
      <c r="K3335" s="507">
        <v>450.0</v>
      </c>
      <c r="L3335" s="507" t="s">
        <v>3619</v>
      </c>
      <c r="M3335" s="507">
        <v>3.0</v>
      </c>
      <c r="N3335" s="266">
        <v>3.0</v>
      </c>
      <c r="O3335" s="266">
        <v>1.0</v>
      </c>
      <c r="P3335" s="266" t="s">
        <v>166</v>
      </c>
      <c r="Q3335" s="266" t="s">
        <v>166</v>
      </c>
      <c r="R3335" s="266" t="s">
        <v>166</v>
      </c>
      <c r="S3335" s="266" t="s">
        <v>166</v>
      </c>
      <c r="T3335" s="509"/>
    </row>
    <row r="3336">
      <c r="A3336" s="494" t="s">
        <v>3401</v>
      </c>
      <c r="B3336" s="505" t="s">
        <v>3621</v>
      </c>
      <c r="C3336" s="174" t="str">
        <f t="shared" si="471"/>
        <v>MSI</v>
      </c>
      <c r="D3336" s="537" t="s">
        <v>4489</v>
      </c>
      <c r="E3336" s="507">
        <v>322.0</v>
      </c>
      <c r="F3336" s="507">
        <v>136.0</v>
      </c>
      <c r="G3336" s="507">
        <v>62.0</v>
      </c>
      <c r="H3336" s="260">
        <v>3.0</v>
      </c>
      <c r="I3336" s="260">
        <v>2535.0</v>
      </c>
      <c r="J3336" s="260">
        <v>21.0</v>
      </c>
      <c r="K3336" s="507">
        <v>450.0</v>
      </c>
      <c r="L3336" s="507" t="s">
        <v>3619</v>
      </c>
      <c r="M3336" s="507">
        <v>3.0</v>
      </c>
      <c r="N3336" s="266">
        <v>2.0</v>
      </c>
      <c r="O3336" s="266">
        <v>2.0</v>
      </c>
      <c r="P3336" s="266" t="s">
        <v>166</v>
      </c>
      <c r="Q3336" s="266" t="s">
        <v>166</v>
      </c>
      <c r="R3336" s="266" t="s">
        <v>166</v>
      </c>
      <c r="S3336" s="266" t="s">
        <v>166</v>
      </c>
      <c r="T3336" s="509"/>
    </row>
    <row r="3337">
      <c r="A3337" s="494" t="s">
        <v>3401</v>
      </c>
      <c r="B3337" s="505" t="s">
        <v>3621</v>
      </c>
      <c r="C3337" s="174" t="str">
        <f t="shared" si="471"/>
        <v>MSI</v>
      </c>
      <c r="D3337" s="537" t="s">
        <v>4490</v>
      </c>
      <c r="E3337" s="507">
        <v>322.0</v>
      </c>
      <c r="F3337" s="507">
        <v>136.0</v>
      </c>
      <c r="G3337" s="507">
        <v>62.0</v>
      </c>
      <c r="H3337" s="260">
        <v>3.0</v>
      </c>
      <c r="I3337" s="260">
        <v>2565.0</v>
      </c>
      <c r="J3337" s="260">
        <v>21.0</v>
      </c>
      <c r="K3337" s="507">
        <v>450.0</v>
      </c>
      <c r="L3337" s="507" t="s">
        <v>3619</v>
      </c>
      <c r="M3337" s="507">
        <v>3.0</v>
      </c>
      <c r="N3337" s="266">
        <v>2.0</v>
      </c>
      <c r="O3337" s="266">
        <v>2.0</v>
      </c>
      <c r="P3337" s="266" t="s">
        <v>166</v>
      </c>
      <c r="Q3337" s="266" t="s">
        <v>166</v>
      </c>
      <c r="R3337" s="266" t="s">
        <v>166</v>
      </c>
      <c r="S3337" s="266" t="s">
        <v>166</v>
      </c>
      <c r="T3337" s="509"/>
    </row>
    <row r="3338">
      <c r="A3338" s="494" t="s">
        <v>3401</v>
      </c>
      <c r="B3338" s="505" t="s">
        <v>3621</v>
      </c>
      <c r="C3338" s="174" t="str">
        <f t="shared" si="471"/>
        <v>MSI</v>
      </c>
      <c r="D3338" s="537" t="s">
        <v>4493</v>
      </c>
      <c r="E3338" s="507">
        <v>322.0</v>
      </c>
      <c r="F3338" s="507">
        <v>136.0</v>
      </c>
      <c r="G3338" s="507">
        <v>62.0</v>
      </c>
      <c r="H3338" s="260">
        <v>3.0</v>
      </c>
      <c r="I3338" s="260">
        <v>2535.0</v>
      </c>
      <c r="J3338" s="260">
        <v>21.0</v>
      </c>
      <c r="K3338" s="507">
        <v>450.0</v>
      </c>
      <c r="L3338" s="507" t="s">
        <v>3619</v>
      </c>
      <c r="M3338" s="507">
        <v>3.0</v>
      </c>
      <c r="N3338" s="266">
        <v>2.0</v>
      </c>
      <c r="O3338" s="266">
        <v>2.0</v>
      </c>
      <c r="P3338" s="266" t="s">
        <v>166</v>
      </c>
      <c r="Q3338" s="266" t="s">
        <v>166</v>
      </c>
      <c r="R3338" s="266" t="s">
        <v>166</v>
      </c>
      <c r="S3338" s="266" t="s">
        <v>166</v>
      </c>
      <c r="T3338" s="509"/>
    </row>
    <row r="3339">
      <c r="A3339" s="494" t="s">
        <v>3401</v>
      </c>
      <c r="B3339" s="505" t="s">
        <v>3621</v>
      </c>
      <c r="C3339" s="174" t="str">
        <f t="shared" si="471"/>
        <v>MSI</v>
      </c>
      <c r="D3339" s="537" t="s">
        <v>4496</v>
      </c>
      <c r="E3339" s="507">
        <v>322.0</v>
      </c>
      <c r="F3339" s="507">
        <v>136.0</v>
      </c>
      <c r="G3339" s="507">
        <v>62.0</v>
      </c>
      <c r="H3339" s="260">
        <v>3.0</v>
      </c>
      <c r="I3339" s="260">
        <v>2610.0</v>
      </c>
      <c r="J3339" s="260">
        <v>21.0</v>
      </c>
      <c r="K3339" s="507">
        <v>450.0</v>
      </c>
      <c r="L3339" s="507" t="s">
        <v>3619</v>
      </c>
      <c r="M3339" s="507">
        <v>3.0</v>
      </c>
      <c r="N3339" s="266">
        <v>2.0</v>
      </c>
      <c r="O3339" s="266">
        <v>2.0</v>
      </c>
      <c r="P3339" s="266" t="s">
        <v>166</v>
      </c>
      <c r="Q3339" s="266" t="s">
        <v>166</v>
      </c>
      <c r="R3339" s="266" t="s">
        <v>166</v>
      </c>
      <c r="S3339" s="266" t="s">
        <v>166</v>
      </c>
      <c r="T3339" s="509"/>
    </row>
    <row r="3340">
      <c r="A3340" s="494" t="s">
        <v>3401</v>
      </c>
      <c r="B3340" s="505" t="s">
        <v>3621</v>
      </c>
      <c r="C3340" s="174" t="str">
        <f t="shared" si="471"/>
        <v>MSI</v>
      </c>
      <c r="D3340" s="537" t="s">
        <v>3720</v>
      </c>
      <c r="E3340" s="507">
        <v>337.0</v>
      </c>
      <c r="F3340" s="507">
        <v>140.0</v>
      </c>
      <c r="G3340" s="507">
        <v>77.0</v>
      </c>
      <c r="H3340" s="260">
        <v>3.0</v>
      </c>
      <c r="I3340" s="260">
        <v>2535.0</v>
      </c>
      <c r="J3340" s="260">
        <v>21.0</v>
      </c>
      <c r="K3340" s="507">
        <v>450.0</v>
      </c>
      <c r="L3340" s="507" t="s">
        <v>3619</v>
      </c>
      <c r="M3340" s="507">
        <v>3.0</v>
      </c>
      <c r="N3340" s="266">
        <v>3.0</v>
      </c>
      <c r="O3340" s="266">
        <v>1.0</v>
      </c>
      <c r="P3340" s="266" t="s">
        <v>166</v>
      </c>
      <c r="Q3340" s="266" t="s">
        <v>166</v>
      </c>
      <c r="R3340" s="266" t="s">
        <v>166</v>
      </c>
      <c r="S3340" s="266" t="s">
        <v>166</v>
      </c>
      <c r="T3340" s="509"/>
    </row>
    <row r="3341">
      <c r="A3341" s="494" t="s">
        <v>3401</v>
      </c>
      <c r="B3341" s="505" t="s">
        <v>3621</v>
      </c>
      <c r="C3341" s="174" t="str">
        <f t="shared" si="471"/>
        <v>MSI</v>
      </c>
      <c r="D3341" s="537" t="s">
        <v>3721</v>
      </c>
      <c r="E3341" s="507">
        <v>337.0</v>
      </c>
      <c r="F3341" s="507">
        <v>140.0</v>
      </c>
      <c r="G3341" s="507">
        <v>77.0</v>
      </c>
      <c r="H3341" s="260">
        <v>3.0</v>
      </c>
      <c r="I3341" s="260">
        <v>2610.0</v>
      </c>
      <c r="J3341" s="260">
        <v>21.0</v>
      </c>
      <c r="K3341" s="507">
        <v>450.0</v>
      </c>
      <c r="L3341" s="507" t="s">
        <v>3619</v>
      </c>
      <c r="M3341" s="507">
        <v>3.0</v>
      </c>
      <c r="N3341" s="266">
        <v>3.0</v>
      </c>
      <c r="O3341" s="266">
        <v>1.0</v>
      </c>
      <c r="P3341" s="266" t="s">
        <v>166</v>
      </c>
      <c r="Q3341" s="266" t="s">
        <v>166</v>
      </c>
      <c r="R3341" s="266" t="s">
        <v>166</v>
      </c>
      <c r="S3341" s="266" t="s">
        <v>166</v>
      </c>
      <c r="T3341" s="509"/>
    </row>
    <row r="3342">
      <c r="A3342" s="494" t="s">
        <v>3401</v>
      </c>
      <c r="B3342" s="505" t="s">
        <v>3621</v>
      </c>
      <c r="C3342" s="174" t="str">
        <f t="shared" si="471"/>
        <v>MSI</v>
      </c>
      <c r="D3342" s="537" t="s">
        <v>4316</v>
      </c>
      <c r="E3342" s="507">
        <v>336.0</v>
      </c>
      <c r="F3342" s="507">
        <v>142.0</v>
      </c>
      <c r="G3342" s="507">
        <v>78.0</v>
      </c>
      <c r="H3342" s="260">
        <v>3.0</v>
      </c>
      <c r="I3342" s="260">
        <v>2610.0</v>
      </c>
      <c r="J3342" s="260">
        <v>21.0</v>
      </c>
      <c r="K3342" s="507">
        <v>480.0</v>
      </c>
      <c r="L3342" s="507" t="s">
        <v>3619</v>
      </c>
      <c r="M3342" s="507">
        <v>3.0</v>
      </c>
      <c r="N3342" s="266">
        <v>3.0</v>
      </c>
      <c r="O3342" s="266">
        <v>1.0</v>
      </c>
      <c r="P3342" s="266" t="s">
        <v>166</v>
      </c>
      <c r="Q3342" s="266" t="s">
        <v>166</v>
      </c>
      <c r="R3342" s="266" t="s">
        <v>166</v>
      </c>
      <c r="S3342" s="266" t="s">
        <v>166</v>
      </c>
      <c r="T3342" s="509"/>
    </row>
    <row r="3343">
      <c r="A3343" s="494" t="s">
        <v>3401</v>
      </c>
      <c r="B3343" s="505" t="s">
        <v>3621</v>
      </c>
      <c r="C3343" s="174" t="str">
        <f t="shared" si="471"/>
        <v>MSI</v>
      </c>
      <c r="D3343" s="537" t="s">
        <v>4318</v>
      </c>
      <c r="E3343" s="507">
        <v>336.0</v>
      </c>
      <c r="F3343" s="507">
        <v>142.0</v>
      </c>
      <c r="G3343" s="507">
        <v>78.0</v>
      </c>
      <c r="H3343" s="260">
        <v>3.0</v>
      </c>
      <c r="I3343" s="260">
        <v>2640.0</v>
      </c>
      <c r="J3343" s="260">
        <v>21.0</v>
      </c>
      <c r="K3343" s="507">
        <v>480.0</v>
      </c>
      <c r="L3343" s="507" t="s">
        <v>3619</v>
      </c>
      <c r="M3343" s="507">
        <v>3.0</v>
      </c>
      <c r="N3343" s="266">
        <v>3.0</v>
      </c>
      <c r="O3343" s="266">
        <v>1.0</v>
      </c>
      <c r="P3343" s="266" t="s">
        <v>166</v>
      </c>
      <c r="Q3343" s="266" t="s">
        <v>166</v>
      </c>
      <c r="R3343" s="266" t="s">
        <v>166</v>
      </c>
      <c r="S3343" s="266" t="s">
        <v>166</v>
      </c>
      <c r="T3343" s="509"/>
    </row>
    <row r="3344">
      <c r="A3344" s="494" t="s">
        <v>3401</v>
      </c>
      <c r="B3344" s="505" t="s">
        <v>3621</v>
      </c>
      <c r="C3344" s="174" t="str">
        <f t="shared" si="471"/>
        <v>MSI</v>
      </c>
      <c r="D3344" s="537" t="s">
        <v>4592</v>
      </c>
      <c r="E3344" s="507">
        <v>280.0</v>
      </c>
      <c r="F3344" s="507">
        <v>140.0</v>
      </c>
      <c r="G3344" s="507">
        <v>43.0</v>
      </c>
      <c r="H3344" s="260">
        <v>2.0</v>
      </c>
      <c r="I3344" s="260">
        <v>2610.0</v>
      </c>
      <c r="J3344" s="260">
        <v>21.0</v>
      </c>
      <c r="K3344" s="507">
        <v>480.0</v>
      </c>
      <c r="L3344" s="507" t="s">
        <v>3619</v>
      </c>
      <c r="M3344" s="507">
        <v>1.0</v>
      </c>
      <c r="N3344" s="266">
        <v>3.0</v>
      </c>
      <c r="O3344" s="266">
        <v>1.0</v>
      </c>
      <c r="P3344" s="266" t="s">
        <v>166</v>
      </c>
      <c r="Q3344" s="266" t="s">
        <v>166</v>
      </c>
      <c r="R3344" s="266" t="s">
        <v>174</v>
      </c>
      <c r="S3344" s="266" t="s">
        <v>166</v>
      </c>
      <c r="T3344" s="509"/>
    </row>
    <row r="3345">
      <c r="A3345" s="494" t="s">
        <v>3401</v>
      </c>
      <c r="B3345" s="505" t="s">
        <v>3621</v>
      </c>
      <c r="C3345" s="174" t="str">
        <f t="shared" si="471"/>
        <v>MSI</v>
      </c>
      <c r="D3345" s="537" t="s">
        <v>4593</v>
      </c>
      <c r="E3345" s="507">
        <v>280.0</v>
      </c>
      <c r="F3345" s="507">
        <v>140.0</v>
      </c>
      <c r="G3345" s="507">
        <v>43.0</v>
      </c>
      <c r="H3345" s="260">
        <v>2.0</v>
      </c>
      <c r="I3345" s="260">
        <v>2640.0</v>
      </c>
      <c r="J3345" s="260">
        <v>21.0</v>
      </c>
      <c r="K3345" s="507">
        <v>480.0</v>
      </c>
      <c r="L3345" s="507" t="s">
        <v>3619</v>
      </c>
      <c r="M3345" s="507">
        <v>1.0</v>
      </c>
      <c r="N3345" s="266">
        <v>3.0</v>
      </c>
      <c r="O3345" s="266">
        <v>1.0</v>
      </c>
      <c r="P3345" s="266" t="s">
        <v>166</v>
      </c>
      <c r="Q3345" s="266" t="s">
        <v>166</v>
      </c>
      <c r="R3345" s="266" t="s">
        <v>174</v>
      </c>
      <c r="S3345" s="266" t="s">
        <v>166</v>
      </c>
      <c r="T3345" s="509"/>
    </row>
    <row r="3346">
      <c r="A3346" s="504" t="s">
        <v>3401</v>
      </c>
      <c r="B3346" s="505" t="s">
        <v>3621</v>
      </c>
      <c r="C3346" s="506" t="str">
        <f>HYPERLINK("https://www.nvidia.com/en-us/","Nvidia")</f>
        <v>Nvidia</v>
      </c>
      <c r="D3346" s="506" t="s">
        <v>3812</v>
      </c>
      <c r="E3346" s="507">
        <v>304.0</v>
      </c>
      <c r="F3346" s="507">
        <v>137.0</v>
      </c>
      <c r="G3346" s="507">
        <v>61.0</v>
      </c>
      <c r="H3346" s="260">
        <v>3.0</v>
      </c>
      <c r="I3346" s="260">
        <v>2520.0</v>
      </c>
      <c r="J3346" s="260">
        <v>21.0</v>
      </c>
      <c r="K3346" s="507">
        <v>450.0</v>
      </c>
      <c r="L3346" s="507" t="s">
        <v>3619</v>
      </c>
      <c r="M3346" s="507">
        <v>2.0</v>
      </c>
      <c r="N3346" s="507">
        <v>3.0</v>
      </c>
      <c r="O3346" s="507">
        <v>1.0</v>
      </c>
      <c r="P3346" s="507" t="s">
        <v>166</v>
      </c>
      <c r="Q3346" s="507" t="s">
        <v>166</v>
      </c>
      <c r="R3346" s="507" t="s">
        <v>166</v>
      </c>
      <c r="S3346" s="507" t="s">
        <v>166</v>
      </c>
      <c r="T3346" s="509"/>
    </row>
    <row r="3347">
      <c r="A3347" s="504" t="s">
        <v>3401</v>
      </c>
      <c r="B3347" s="505" t="s">
        <v>3621</v>
      </c>
      <c r="C3347" s="452" t="str">
        <f t="shared" ref="C3347:C3349" si="472">HYPERLINK("http://www.palit.com/palit/index.php?lang=en","Palit")</f>
        <v>Palit</v>
      </c>
      <c r="D3347" s="537" t="s">
        <v>4572</v>
      </c>
      <c r="E3347" s="266">
        <v>329.4</v>
      </c>
      <c r="F3347" s="266">
        <v>137.5</v>
      </c>
      <c r="G3347" s="266">
        <v>71.5</v>
      </c>
      <c r="H3347" s="260">
        <v>3.0</v>
      </c>
      <c r="I3347" s="518">
        <v>2520.0</v>
      </c>
      <c r="J3347" s="260">
        <v>21.0</v>
      </c>
      <c r="K3347" s="266">
        <v>450.0</v>
      </c>
      <c r="L3347" s="507" t="s">
        <v>3619</v>
      </c>
      <c r="M3347" s="266">
        <v>3.0</v>
      </c>
      <c r="N3347" s="266">
        <v>3.0</v>
      </c>
      <c r="O3347" s="266">
        <v>1.0</v>
      </c>
      <c r="P3347" s="266" t="s">
        <v>166</v>
      </c>
      <c r="Q3347" s="266" t="s">
        <v>166</v>
      </c>
      <c r="R3347" s="266" t="s">
        <v>166</v>
      </c>
      <c r="S3347" s="266" t="s">
        <v>166</v>
      </c>
      <c r="T3347" s="509"/>
    </row>
    <row r="3348">
      <c r="A3348" s="504" t="s">
        <v>3401</v>
      </c>
      <c r="B3348" s="505" t="s">
        <v>3621</v>
      </c>
      <c r="C3348" s="452" t="str">
        <f t="shared" si="472"/>
        <v>Palit</v>
      </c>
      <c r="D3348" s="537" t="s">
        <v>4000</v>
      </c>
      <c r="E3348" s="266">
        <v>329.4</v>
      </c>
      <c r="F3348" s="266">
        <v>137.5</v>
      </c>
      <c r="G3348" s="266">
        <v>71.5</v>
      </c>
      <c r="H3348" s="260">
        <v>3.0</v>
      </c>
      <c r="I3348" s="518">
        <v>2520.0</v>
      </c>
      <c r="J3348" s="260">
        <v>21.0</v>
      </c>
      <c r="K3348" s="266">
        <v>450.0</v>
      </c>
      <c r="L3348" s="507" t="s">
        <v>3619</v>
      </c>
      <c r="M3348" s="266">
        <v>3.0</v>
      </c>
      <c r="N3348" s="266">
        <v>3.0</v>
      </c>
      <c r="O3348" s="266">
        <v>1.0</v>
      </c>
      <c r="P3348" s="266" t="s">
        <v>166</v>
      </c>
      <c r="Q3348" s="266" t="s">
        <v>166</v>
      </c>
      <c r="R3348" s="266" t="s">
        <v>166</v>
      </c>
      <c r="S3348" s="266" t="s">
        <v>166</v>
      </c>
      <c r="T3348" s="509"/>
    </row>
    <row r="3349">
      <c r="A3349" s="504" t="s">
        <v>3401</v>
      </c>
      <c r="B3349" s="505" t="s">
        <v>3621</v>
      </c>
      <c r="C3349" s="452" t="str">
        <f t="shared" si="472"/>
        <v>Palit</v>
      </c>
      <c r="D3349" s="537" t="s">
        <v>4324</v>
      </c>
      <c r="E3349" s="266">
        <v>329.4</v>
      </c>
      <c r="F3349" s="266">
        <v>137.5</v>
      </c>
      <c r="G3349" s="266">
        <v>71.5</v>
      </c>
      <c r="H3349" s="260">
        <v>3.0</v>
      </c>
      <c r="I3349" s="518">
        <v>2610.0</v>
      </c>
      <c r="J3349" s="260">
        <v>21.0</v>
      </c>
      <c r="K3349" s="266">
        <v>450.0</v>
      </c>
      <c r="L3349" s="507" t="s">
        <v>3619</v>
      </c>
      <c r="M3349" s="266">
        <v>3.0</v>
      </c>
      <c r="N3349" s="266">
        <v>3.0</v>
      </c>
      <c r="O3349" s="266">
        <v>1.0</v>
      </c>
      <c r="P3349" s="266" t="s">
        <v>166</v>
      </c>
      <c r="Q3349" s="266" t="s">
        <v>166</v>
      </c>
      <c r="R3349" s="266" t="s">
        <v>166</v>
      </c>
      <c r="S3349" s="266" t="s">
        <v>166</v>
      </c>
      <c r="T3349" s="509"/>
    </row>
    <row r="3350">
      <c r="A3350" s="504" t="s">
        <v>3401</v>
      </c>
      <c r="B3350" s="505" t="s">
        <v>3621</v>
      </c>
      <c r="C3350" s="452" t="str">
        <f t="shared" ref="C3350:C3354" si="473">HYPERLINK("https://pny.com/","PNY")</f>
        <v>PNY</v>
      </c>
      <c r="D3350" s="537" t="s">
        <v>4352</v>
      </c>
      <c r="E3350" s="266">
        <v>336.8</v>
      </c>
      <c r="F3350" s="266">
        <v>143.0</v>
      </c>
      <c r="G3350" s="266">
        <v>59.18</v>
      </c>
      <c r="H3350" s="260">
        <v>3.0</v>
      </c>
      <c r="I3350" s="518">
        <v>2520.0</v>
      </c>
      <c r="J3350" s="260">
        <v>21.0</v>
      </c>
      <c r="K3350" s="266">
        <v>450.0</v>
      </c>
      <c r="L3350" s="507" t="s">
        <v>3619</v>
      </c>
      <c r="M3350" s="266">
        <v>3.0</v>
      </c>
      <c r="N3350" s="266">
        <v>3.0</v>
      </c>
      <c r="O3350" s="266">
        <v>1.0</v>
      </c>
      <c r="P3350" s="266" t="s">
        <v>166</v>
      </c>
      <c r="Q3350" s="266" t="s">
        <v>166</v>
      </c>
      <c r="R3350" s="266" t="s">
        <v>166</v>
      </c>
      <c r="S3350" s="266" t="s">
        <v>166</v>
      </c>
      <c r="T3350" s="509"/>
    </row>
    <row r="3351">
      <c r="A3351" s="504" t="s">
        <v>3401</v>
      </c>
      <c r="B3351" s="505" t="s">
        <v>3621</v>
      </c>
      <c r="C3351" s="452" t="str">
        <f t="shared" si="473"/>
        <v>PNY</v>
      </c>
      <c r="D3351" s="537" t="s">
        <v>4326</v>
      </c>
      <c r="E3351" s="266">
        <v>329.44</v>
      </c>
      <c r="F3351" s="266">
        <v>141.48</v>
      </c>
      <c r="G3351" s="266">
        <v>69.6</v>
      </c>
      <c r="H3351" s="260">
        <v>3.0</v>
      </c>
      <c r="I3351" s="518">
        <v>2520.0</v>
      </c>
      <c r="J3351" s="260">
        <v>21.0</v>
      </c>
      <c r="K3351" s="266">
        <v>450.0</v>
      </c>
      <c r="L3351" s="507" t="s">
        <v>3619</v>
      </c>
      <c r="M3351" s="266">
        <v>3.0</v>
      </c>
      <c r="N3351" s="266">
        <v>3.0</v>
      </c>
      <c r="O3351" s="266">
        <v>1.0</v>
      </c>
      <c r="P3351" s="266" t="s">
        <v>166</v>
      </c>
      <c r="Q3351" s="266" t="s">
        <v>166</v>
      </c>
      <c r="R3351" s="266" t="s">
        <v>166</v>
      </c>
      <c r="S3351" s="266" t="s">
        <v>166</v>
      </c>
      <c r="T3351" s="509"/>
    </row>
    <row r="3352">
      <c r="A3352" s="504" t="s">
        <v>3401</v>
      </c>
      <c r="B3352" s="505" t="s">
        <v>3621</v>
      </c>
      <c r="C3352" s="452" t="str">
        <f t="shared" si="473"/>
        <v>PNY</v>
      </c>
      <c r="D3352" s="537" t="s">
        <v>4353</v>
      </c>
      <c r="E3352" s="266">
        <v>351.0</v>
      </c>
      <c r="F3352" s="266">
        <v>145.0</v>
      </c>
      <c r="G3352" s="266">
        <v>63.0</v>
      </c>
      <c r="H3352" s="260">
        <v>3.0</v>
      </c>
      <c r="I3352" s="518">
        <v>2520.0</v>
      </c>
      <c r="J3352" s="260">
        <v>21.0</v>
      </c>
      <c r="K3352" s="266">
        <v>450.0</v>
      </c>
      <c r="L3352" s="507" t="s">
        <v>3619</v>
      </c>
      <c r="M3352" s="266">
        <v>3.0</v>
      </c>
      <c r="N3352" s="266">
        <v>3.0</v>
      </c>
      <c r="O3352" s="266">
        <v>1.0</v>
      </c>
      <c r="P3352" s="266" t="s">
        <v>166</v>
      </c>
      <c r="Q3352" s="266" t="s">
        <v>166</v>
      </c>
      <c r="R3352" s="266" t="s">
        <v>166</v>
      </c>
      <c r="S3352" s="266" t="s">
        <v>166</v>
      </c>
      <c r="T3352" s="509"/>
    </row>
    <row r="3353">
      <c r="A3353" s="504" t="s">
        <v>3401</v>
      </c>
      <c r="B3353" s="505" t="s">
        <v>3621</v>
      </c>
      <c r="C3353" s="452" t="str">
        <f t="shared" si="473"/>
        <v>PNY</v>
      </c>
      <c r="D3353" s="537" t="s">
        <v>4471</v>
      </c>
      <c r="E3353" s="266">
        <v>331.72</v>
      </c>
      <c r="F3353" s="266">
        <v>137.0</v>
      </c>
      <c r="G3353" s="266">
        <v>71.12</v>
      </c>
      <c r="H3353" s="260">
        <v>3.0</v>
      </c>
      <c r="I3353" s="518">
        <v>2520.0</v>
      </c>
      <c r="J3353" s="260">
        <v>21.0</v>
      </c>
      <c r="K3353" s="266">
        <v>450.0</v>
      </c>
      <c r="L3353" s="507" t="s">
        <v>3619</v>
      </c>
      <c r="M3353" s="266">
        <v>3.0</v>
      </c>
      <c r="N3353" s="266">
        <v>3.0</v>
      </c>
      <c r="O3353" s="266">
        <v>1.0</v>
      </c>
      <c r="P3353" s="266" t="s">
        <v>166</v>
      </c>
      <c r="Q3353" s="266" t="s">
        <v>166</v>
      </c>
      <c r="R3353" s="266" t="s">
        <v>166</v>
      </c>
      <c r="S3353" s="266" t="s">
        <v>166</v>
      </c>
      <c r="T3353" s="509"/>
    </row>
    <row r="3354">
      <c r="A3354" s="504" t="s">
        <v>3401</v>
      </c>
      <c r="B3354" s="505" t="s">
        <v>3621</v>
      </c>
      <c r="C3354" s="452" t="str">
        <f t="shared" si="473"/>
        <v>PNY</v>
      </c>
      <c r="D3354" s="452" t="s">
        <v>4472</v>
      </c>
      <c r="E3354" s="266">
        <v>331.72</v>
      </c>
      <c r="F3354" s="266">
        <v>137.0</v>
      </c>
      <c r="G3354" s="266">
        <v>71.12</v>
      </c>
      <c r="H3354" s="260">
        <v>3.0</v>
      </c>
      <c r="I3354" s="518">
        <v>2565.0</v>
      </c>
      <c r="J3354" s="260">
        <v>21.0</v>
      </c>
      <c r="K3354" s="266">
        <v>450.0</v>
      </c>
      <c r="L3354" s="507" t="s">
        <v>3619</v>
      </c>
      <c r="M3354" s="266">
        <v>3.0</v>
      </c>
      <c r="N3354" s="266">
        <v>3.0</v>
      </c>
      <c r="O3354" s="266">
        <v>1.0</v>
      </c>
      <c r="P3354" s="266" t="s">
        <v>166</v>
      </c>
      <c r="Q3354" s="266" t="s">
        <v>166</v>
      </c>
      <c r="R3354" s="266" t="s">
        <v>166</v>
      </c>
      <c r="S3354" s="266" t="s">
        <v>166</v>
      </c>
      <c r="T3354" s="509"/>
    </row>
    <row r="3355">
      <c r="A3355" s="504" t="s">
        <v>3401</v>
      </c>
      <c r="B3355" s="505" t="s">
        <v>3621</v>
      </c>
      <c r="C3355" s="452" t="s">
        <v>3378</v>
      </c>
      <c r="D3355" s="452" t="s">
        <v>4573</v>
      </c>
      <c r="E3355" s="266">
        <v>338.0</v>
      </c>
      <c r="F3355" s="266">
        <v>152.0</v>
      </c>
      <c r="G3355" s="266">
        <v>70.0</v>
      </c>
      <c r="H3355" s="260">
        <v>3.0</v>
      </c>
      <c r="I3355" s="518">
        <v>2520.0</v>
      </c>
      <c r="J3355" s="260">
        <v>21.0</v>
      </c>
      <c r="K3355" s="266">
        <v>470.0</v>
      </c>
      <c r="L3355" s="507" t="s">
        <v>3619</v>
      </c>
      <c r="M3355" s="266">
        <v>3.0</v>
      </c>
      <c r="N3355" s="266">
        <v>3.0</v>
      </c>
      <c r="O3355" s="266">
        <v>1.0</v>
      </c>
      <c r="P3355" s="266" t="s">
        <v>166</v>
      </c>
      <c r="Q3355" s="266" t="s">
        <v>166</v>
      </c>
      <c r="R3355" s="266" t="s">
        <v>166</v>
      </c>
      <c r="S3355" s="266" t="s">
        <v>166</v>
      </c>
      <c r="T3355" s="509"/>
    </row>
    <row r="3356">
      <c r="A3356" s="504" t="s">
        <v>3401</v>
      </c>
      <c r="B3356" s="505" t="s">
        <v>3621</v>
      </c>
      <c r="C3356" s="452" t="s">
        <v>3440</v>
      </c>
      <c r="D3356" s="452" t="s">
        <v>4160</v>
      </c>
      <c r="E3356" s="266">
        <v>367.0</v>
      </c>
      <c r="F3356" s="266">
        <v>150.0</v>
      </c>
      <c r="G3356" s="266">
        <v>74.0</v>
      </c>
      <c r="H3356" s="260">
        <v>3.0</v>
      </c>
      <c r="I3356" s="518">
        <v>2550.0</v>
      </c>
      <c r="J3356" s="260">
        <v>21.0</v>
      </c>
      <c r="K3356" s="266">
        <v>450.0</v>
      </c>
      <c r="L3356" s="507" t="s">
        <v>3619</v>
      </c>
      <c r="M3356" s="266">
        <v>3.0</v>
      </c>
      <c r="N3356" s="266">
        <v>3.0</v>
      </c>
      <c r="O3356" s="266">
        <v>1.0</v>
      </c>
      <c r="P3356" s="266" t="s">
        <v>166</v>
      </c>
      <c r="Q3356" s="266" t="s">
        <v>166</v>
      </c>
      <c r="R3356" s="266" t="s">
        <v>166</v>
      </c>
      <c r="S3356" s="266" t="s">
        <v>166</v>
      </c>
      <c r="T3356" s="509"/>
    </row>
    <row r="3357">
      <c r="A3357" s="572" t="s">
        <v>3401</v>
      </c>
      <c r="B3357" s="573" t="s">
        <v>3621</v>
      </c>
      <c r="C3357" s="661" t="s">
        <v>3440</v>
      </c>
      <c r="D3357" s="537" t="s">
        <v>4251</v>
      </c>
      <c r="E3357" s="266">
        <v>381.0</v>
      </c>
      <c r="F3357" s="266">
        <v>154.0</v>
      </c>
      <c r="G3357" s="266">
        <v>74.0</v>
      </c>
      <c r="H3357" s="260">
        <v>3.0</v>
      </c>
      <c r="I3357" s="518">
        <v>2625.0</v>
      </c>
      <c r="J3357" s="260">
        <v>21.0</v>
      </c>
      <c r="K3357" s="266">
        <v>450.0</v>
      </c>
      <c r="L3357" s="507" t="s">
        <v>3619</v>
      </c>
      <c r="M3357" s="266">
        <v>3.0</v>
      </c>
      <c r="N3357" s="266">
        <v>3.0</v>
      </c>
      <c r="O3357" s="266">
        <v>1.0</v>
      </c>
      <c r="P3357" s="266" t="s">
        <v>166</v>
      </c>
      <c r="Q3357" s="266" t="s">
        <v>166</v>
      </c>
      <c r="R3357" s="266" t="s">
        <v>166</v>
      </c>
      <c r="S3357" s="266" t="s">
        <v>166</v>
      </c>
      <c r="T3357" s="509"/>
    </row>
    <row r="3358">
      <c r="A3358" s="504" t="s">
        <v>3401</v>
      </c>
      <c r="B3358" s="505" t="s">
        <v>3621</v>
      </c>
      <c r="C3358" s="452" t="s">
        <v>3440</v>
      </c>
      <c r="D3358" s="537" t="s">
        <v>4354</v>
      </c>
      <c r="E3358" s="266">
        <v>356.1</v>
      </c>
      <c r="F3358" s="266">
        <v>150.1</v>
      </c>
      <c r="G3358" s="266">
        <v>71.4</v>
      </c>
      <c r="H3358" s="260">
        <v>3.0</v>
      </c>
      <c r="I3358" s="518">
        <v>2520.0</v>
      </c>
      <c r="J3358" s="260">
        <v>21.0</v>
      </c>
      <c r="K3358" s="266">
        <v>450.0</v>
      </c>
      <c r="L3358" s="507" t="s">
        <v>3619</v>
      </c>
      <c r="M3358" s="266">
        <v>3.0</v>
      </c>
      <c r="N3358" s="266">
        <v>3.0</v>
      </c>
      <c r="O3358" s="266">
        <v>1.0</v>
      </c>
      <c r="P3358" s="266" t="s">
        <v>166</v>
      </c>
      <c r="Q3358" s="266" t="s">
        <v>166</v>
      </c>
      <c r="R3358" s="266" t="s">
        <v>166</v>
      </c>
      <c r="S3358" s="266" t="s">
        <v>166</v>
      </c>
      <c r="T3358" s="509"/>
    </row>
    <row r="3359">
      <c r="A3359" s="504" t="s">
        <v>3401</v>
      </c>
      <c r="B3359" s="505" t="s">
        <v>3621</v>
      </c>
      <c r="C3359" s="452" t="s">
        <v>3440</v>
      </c>
      <c r="D3359" s="537" t="s">
        <v>4355</v>
      </c>
      <c r="E3359" s="266">
        <v>356.1</v>
      </c>
      <c r="F3359" s="266">
        <v>150.1</v>
      </c>
      <c r="G3359" s="266">
        <v>71.4</v>
      </c>
      <c r="H3359" s="260">
        <v>3.0</v>
      </c>
      <c r="I3359" s="518">
        <v>2535.0</v>
      </c>
      <c r="J3359" s="260">
        <v>21.0</v>
      </c>
      <c r="K3359" s="266">
        <v>450.0</v>
      </c>
      <c r="L3359" s="507" t="s">
        <v>3619</v>
      </c>
      <c r="M3359" s="266">
        <v>3.0</v>
      </c>
      <c r="N3359" s="266">
        <v>3.0</v>
      </c>
      <c r="O3359" s="266">
        <v>1.0</v>
      </c>
      <c r="P3359" s="266" t="s">
        <v>166</v>
      </c>
      <c r="Q3359" s="266" t="s">
        <v>166</v>
      </c>
      <c r="R3359" s="266" t="s">
        <v>166</v>
      </c>
      <c r="S3359" s="266" t="s">
        <v>166</v>
      </c>
      <c r="T3359" s="509"/>
    </row>
    <row r="3360">
      <c r="A3360" s="504" t="s">
        <v>3401</v>
      </c>
      <c r="B3360" s="505" t="s">
        <v>3621</v>
      </c>
      <c r="C3360" s="452" t="s">
        <v>3440</v>
      </c>
      <c r="D3360" s="537" t="s">
        <v>4403</v>
      </c>
      <c r="E3360" s="266">
        <v>356.1</v>
      </c>
      <c r="F3360" s="266">
        <v>150.1</v>
      </c>
      <c r="G3360" s="266">
        <v>71.4</v>
      </c>
      <c r="H3360" s="260">
        <v>3.0</v>
      </c>
      <c r="I3360" s="518">
        <v>2535.0</v>
      </c>
      <c r="J3360" s="260">
        <v>21.0</v>
      </c>
      <c r="K3360" s="266">
        <v>450.0</v>
      </c>
      <c r="L3360" s="507" t="s">
        <v>3619</v>
      </c>
      <c r="M3360" s="266">
        <v>3.0</v>
      </c>
      <c r="N3360" s="266">
        <v>3.0</v>
      </c>
      <c r="O3360" s="266">
        <v>1.0</v>
      </c>
      <c r="P3360" s="266" t="s">
        <v>166</v>
      </c>
      <c r="Q3360" s="266" t="s">
        <v>166</v>
      </c>
      <c r="R3360" s="266" t="s">
        <v>166</v>
      </c>
      <c r="S3360" s="266" t="s">
        <v>166</v>
      </c>
      <c r="T3360" s="509"/>
    </row>
    <row r="3361">
      <c r="A3361" s="504" t="s">
        <v>3401</v>
      </c>
      <c r="B3361" s="505" t="s">
        <v>3621</v>
      </c>
      <c r="C3361" s="452" t="s">
        <v>3440</v>
      </c>
      <c r="D3361" s="537" t="s">
        <v>4557</v>
      </c>
      <c r="E3361" s="266">
        <v>355.5</v>
      </c>
      <c r="F3361" s="266">
        <v>149.6</v>
      </c>
      <c r="G3361" s="266">
        <v>72.1</v>
      </c>
      <c r="H3361" s="260">
        <v>3.0</v>
      </c>
      <c r="I3361" s="518">
        <v>2580.0</v>
      </c>
      <c r="J3361" s="260">
        <v>21.0</v>
      </c>
      <c r="K3361" s="266">
        <v>450.0</v>
      </c>
      <c r="L3361" s="507" t="s">
        <v>3619</v>
      </c>
      <c r="M3361" s="266">
        <v>3.0</v>
      </c>
      <c r="N3361" s="266">
        <v>3.0</v>
      </c>
      <c r="O3361" s="266">
        <v>1.0</v>
      </c>
      <c r="P3361" s="266" t="s">
        <v>166</v>
      </c>
      <c r="Q3361" s="266" t="s">
        <v>166</v>
      </c>
      <c r="R3361" s="266" t="s">
        <v>166</v>
      </c>
      <c r="S3361" s="266" t="s">
        <v>166</v>
      </c>
      <c r="T3361" s="509"/>
    </row>
    <row r="3362">
      <c r="A3362" s="504" t="s">
        <v>3401</v>
      </c>
      <c r="B3362" s="505" t="s">
        <v>3621</v>
      </c>
      <c r="C3362" s="452" t="s">
        <v>3440</v>
      </c>
      <c r="D3362" s="537" t="s">
        <v>4574</v>
      </c>
      <c r="E3362" s="266">
        <v>355.5</v>
      </c>
      <c r="F3362" s="266">
        <v>149.6</v>
      </c>
      <c r="G3362" s="266">
        <v>72.1</v>
      </c>
      <c r="H3362" s="260">
        <v>3.0</v>
      </c>
      <c r="I3362" s="518">
        <v>2580.0</v>
      </c>
      <c r="J3362" s="260">
        <v>21.0</v>
      </c>
      <c r="K3362" s="266">
        <v>450.0</v>
      </c>
      <c r="L3362" s="507" t="s">
        <v>3619</v>
      </c>
      <c r="M3362" s="266">
        <v>3.0</v>
      </c>
      <c r="N3362" s="266">
        <v>3.0</v>
      </c>
      <c r="O3362" s="266">
        <v>1.0</v>
      </c>
      <c r="P3362" s="266" t="s">
        <v>166</v>
      </c>
      <c r="Q3362" s="266" t="s">
        <v>166</v>
      </c>
      <c r="R3362" s="266" t="s">
        <v>166</v>
      </c>
      <c r="S3362" s="266" t="s">
        <v>166</v>
      </c>
      <c r="T3362" s="509"/>
    </row>
    <row r="3363">
      <c r="L3363" s="493"/>
      <c r="M3363" s="493"/>
    </row>
    <row r="3364">
      <c r="L3364" s="493"/>
      <c r="M3364" s="493"/>
    </row>
    <row r="3365">
      <c r="L3365" s="493"/>
      <c r="M3365" s="493"/>
    </row>
    <row r="3366">
      <c r="L3366" s="493"/>
      <c r="M3366" s="493"/>
    </row>
    <row r="3367">
      <c r="L3367" s="493"/>
      <c r="M3367" s="493"/>
    </row>
    <row r="3368">
      <c r="L3368" s="493"/>
      <c r="M3368" s="493"/>
    </row>
    <row r="3369">
      <c r="L3369" s="493"/>
      <c r="M3369" s="493"/>
    </row>
    <row r="3370">
      <c r="L3370" s="493"/>
      <c r="M3370" s="493"/>
    </row>
    <row r="3371">
      <c r="L3371" s="493"/>
      <c r="M3371" s="493"/>
    </row>
    <row r="3372">
      <c r="L3372" s="493"/>
      <c r="M3372" s="493"/>
    </row>
    <row r="3373">
      <c r="L3373" s="493"/>
      <c r="M3373" s="493"/>
    </row>
    <row r="3374">
      <c r="L3374" s="493"/>
      <c r="M3374" s="493"/>
    </row>
    <row r="3375">
      <c r="L3375" s="493"/>
      <c r="M3375" s="493"/>
    </row>
    <row r="3376">
      <c r="L3376" s="493"/>
      <c r="M3376" s="493"/>
    </row>
    <row r="3377">
      <c r="L3377" s="493"/>
      <c r="M3377" s="493"/>
    </row>
  </sheetData>
  <autoFilter ref="$A$1:$T$3362"/>
  <customSheetViews>
    <customSheetView guid="{A2146494-90CE-4744-8428-68CBD6BCC1D5}" filter="1" showAutoFilter="1">
      <autoFilter ref="$A$1:$T$3362">
        <filterColumn colId="6">
          <customFilters>
            <customFilter operator="lessThanOrEqual" val="44"/>
          </customFilters>
        </filterColumn>
      </autoFilter>
    </customSheetView>
    <customSheetView guid="{B1A53A6D-003C-4B18-89BB-0984FCCD638C}" filter="1" showAutoFilter="1">
      <autoFilter ref="$A$1:$T$3362">
        <filterColumn colId="1">
          <filters>
            <filter val="Arc A380 6GB GDDR6"/>
            <filter val="RX 6600 XT 8GB GDDR6"/>
            <filter val="RTX 3080 10GB GDDR6X"/>
            <filter val="RX 6650 XT 8GB GDDR6"/>
            <filter val="Arc A770 16GB GDDR6"/>
            <filter val="RTX 3070 8GB GDDR6"/>
            <filter val="Arc A750 8GB GDDR6"/>
            <filter val="RTX 3080 12GB GDDR6X"/>
            <filter val="RX 7600 XT 16GB GDDR6"/>
            <filter val="RTX 3060 8GB GDDR6"/>
            <filter val="RX 6950 XT 16GB GDDR6"/>
            <filter val="RTX 3090 24GB GDDR6X"/>
            <filter val="RTX 3070 Ti 8GB GDDR6X"/>
            <filter val="RTX 3060 Ti 8GB GDDR6"/>
            <filter val="RTX 3080 Ti 12GB GDDR6X"/>
            <filter val="RTX 3060 Ti 8GB GDDR6X"/>
            <filter val="RX 6700 10GB GDDR6"/>
            <filter val="RTX 3050 6GB GDDR6"/>
            <filter val="RX 7700 XT 12GB GDDR6"/>
            <filter val="RTX 3050 8GB GDDR6"/>
            <filter val="RX 6750 XT 12GB GDDR6"/>
            <filter val="RX 6700 XT 12GB GDDR6"/>
            <filter val="RTX 3090 Ti 24GB GDDR6X"/>
            <filter val="RTX 3060 12GB GDDR6"/>
            <filter val="RX 7900 GRE 16GB GDDR6"/>
            <filter val="RX 7900 XT 20GB GDDR6"/>
            <filter val="RX 6500 XT 4GB GDDR6"/>
            <filter val="RX 7800 XT 16GB GDDR6"/>
            <filter val="RX 6600 8GB GDDR6"/>
            <filter val="RX 7600 8GB GDDR6"/>
            <filter val="Arc A770 8GB GDDR6"/>
            <filter val="RX 7900 XTX 24GB GDDR6"/>
          </filters>
        </filterColumn>
        <filterColumn colId="0">
          <filters>
            <filter val="Nvidia"/>
          </filters>
        </filterColumn>
      </autoFilter>
    </customSheetView>
    <customSheetView guid="{B8EED002-5DBD-4D9A-8090-3E4DFBD387F6}" filter="1" showAutoFilter="1">
      <autoFilter ref="$A$1:$T$3362">
        <filterColumn colId="0">
          <filters>
            <filter val="Nvidia"/>
          </filters>
        </filterColumn>
      </autoFilter>
    </customSheetView>
    <customSheetView guid="{8ED02128-7C2D-4648-810F-1691FA522EA1}" filter="1" showAutoFilter="1">
      <autoFilter ref="$A$1:$T$3362">
        <filterColumn colId="1">
          <filters>
            <filter val="GTX 1080 Ti 11GB GDDR5X"/>
            <filter val="RTX 4060 Ti 8GB GDDR6"/>
            <filter val="RTX 4080 SUPER 16GB GDDR6X"/>
            <filter val="RX 6800 XT 16GB GDDR6"/>
            <filter val="GTX 1650 SUPER 4GB GDDR6"/>
            <filter val="Arc A380 6GB GDDR6"/>
            <filter val="RX 6600 XT 8GB GDDR6"/>
            <filter val="RTX 2060 12GB GDDR6"/>
            <filter val="RTX 2080 Ti 11GB GDDR6"/>
            <filter val="RTX 3080 10GB GDDR6X"/>
            <filter val="RX 6650 XT 8GB GDDR6"/>
            <filter val="Arc A770 16GB GDDR6"/>
            <filter val="RTX 4070 SUPER 12GB GDDR6X"/>
            <filter val="RTX 3070 8GB GDDR6"/>
            <filter val="Arc A750 8GB GDDR6"/>
            <filter val="RTX 3080 12GB GDDR6X"/>
            <filter val="RTX 3060 8GB GDDR6"/>
            <filter val="GTX 1650 4GB GDDR5"/>
            <filter val="RTX 4060 8GB GDDR6"/>
            <filter val="GTX 1650 4GB GDDR6"/>
            <filter val="RX 6950 XT 16GB GDDR6"/>
            <filter val="RTX 3090 24GB GDDR6X"/>
            <filter val="RTX 2060 6GB GDDR6"/>
            <filter val="RTX 3070 Ti 8GB GDDR6X"/>
            <filter val="RTX 3060 Ti 8GB GDDR6"/>
            <filter val="RTX 4070 12GB GDDR6X"/>
            <filter val="RTX 3080 Ti 12GB GDDR6X"/>
            <filter val="RTX 4070 Ti SUPER 16GB GDDR6X"/>
            <filter val="RTX 3060 Ti 8GB GDDR6X"/>
            <filter val="RX 6700 10GB GDDR6"/>
            <filter val="RTX 3050 6GB GDDR6"/>
            <filter val="RTX 2060 SUPER 8GB GDDR6"/>
            <filter val="RX 6800 16GB GDDR6"/>
            <filter val="RTX 4080 16GB GDDR6X"/>
            <filter val="GTX 1660 6GB GDDR5"/>
            <filter val="RTX 3050 8GB GDDR6"/>
            <filter val="RX 6750 XT 12GB GDDR6"/>
            <filter val="RTX 2070 8GB GDDR6"/>
            <filter val="RTX 4090 24GB GDDR6X"/>
            <filter val="GTX 1630 4GB GDDR6"/>
            <filter val="RTX 2070 SUPER 8GB GDDR6"/>
            <filter val="RX 6700 XT 12GB GDDR6"/>
            <filter val="RTX 3090 Ti 24GB GDDR6X"/>
            <filter val="GTX 1660 Ti 6GB GDDR6"/>
            <filter val="RTX 3060 12GB GDDR6"/>
            <filter val="RTX 4060 Ti 16GB GDDR6"/>
            <filter val="RTX 2080 SUPER 8GB GDDR6"/>
            <filter val="RX 7900 GRE 16GB GDDR6"/>
            <filter val="RX 6500 XT 4GB GDDR6"/>
            <filter val="GTX 1660 SUPER 6GB GDDR6"/>
            <filter val="RX 6600 8GB GDDR6"/>
            <filter val="RX 6900 XT 16GB GDDR6"/>
            <filter val="Arc A770 8GB GDDR6"/>
            <filter val="RTX 4070 Ti 12GB GDDR6X"/>
            <filter val="RTX 2080 8GB GDDR6"/>
          </filters>
        </filterColumn>
        <filterColumn colId="0">
          <filters>
            <filter val="AMD"/>
          </filters>
        </filterColumn>
      </autoFilter>
    </customSheetView>
    <customSheetView guid="{A7E90181-6589-40C3-AF72-EE9CB3025C7A}" filter="1" showAutoFilter="1">
      <autoFilter ref="$A$1:$T$3362">
        <filterColumn colId="15">
          <filters>
            <filter val="1"/>
          </filters>
        </filterColumn>
      </autoFilter>
    </customSheetView>
    <customSheetView guid="{6890B77D-197E-478A-9A61-D2A76B50FDCE}" filter="1" showAutoFilter="1">
      <autoFilter ref="$A$1:$T$3362">
        <sortState ref="A1:T3362">
          <sortCondition ref="C1:C3362"/>
        </sortState>
      </autoFilter>
    </customSheetView>
    <customSheetView guid="{5DD041BA-2ABE-4709-938D-3F4754640E1F}" filter="1" showAutoFilter="1">
      <autoFilter ref="$A$1:$T$3362">
        <filterColumn colId="0">
          <filters>
            <filter val="AMD"/>
          </filters>
        </filterColumn>
        <filterColumn colId="1">
          <filters>
            <filter val="GTX 1080 Ti 11GB GDDR5X"/>
            <filter val="RTX 4060 Ti 8GB GDDR6"/>
            <filter val="RTX 4080 SUPER 16GB GDDR6X"/>
            <filter val="GTX 1650 SUPER 4GB GDDR6"/>
            <filter val="Arc A380 6GB GDDR6"/>
            <filter val="RTX 2060 12GB GDDR6"/>
            <filter val="RTX 2080 Ti 11GB GDDR6"/>
            <filter val="RTX 3080 10GB GDDR6X"/>
            <filter val="Arc A770 16GB GDDR6"/>
            <filter val="RTX 4070 SUPER 12GB GDDR6X"/>
            <filter val="RTX 3070 8GB GDDR6"/>
            <filter val="Arc A750 8GB GDDR6"/>
            <filter val="RTX 3080 12GB GDDR6X"/>
            <filter val="RX 7600 XT 16GB GDDR6"/>
            <filter val="RTX 3060 8GB GDDR6"/>
            <filter val="GTX 1650 4GB GDDR5"/>
            <filter val="RTX 4060 8GB GDDR6"/>
            <filter val="GTX 1650 4GB GDDR6"/>
            <filter val="RTX 3090 24GB GDDR6X"/>
            <filter val="RTX 2060 6GB GDDR6"/>
            <filter val="RTX 3070 Ti 8GB GDDR6X"/>
            <filter val="RTX 3060 Ti 8GB GDDR6"/>
            <filter val="RTX 4070 12GB GDDR6X"/>
            <filter val="RTX 3080 Ti 12GB GDDR6X"/>
            <filter val="RTX 4070 Ti SUPER 16GB GDDR6X"/>
            <filter val="RTX 3060 Ti 8GB GDDR6X"/>
            <filter val="RTX 3050 6GB GDDR6"/>
            <filter val="RTX 2060 SUPER 8GB GDDR6"/>
            <filter val="RTX 4080 16GB GDDR6X"/>
            <filter val="RX 7700 XT 12GB GDDR6"/>
            <filter val="GTX 1660 6GB GDDR5"/>
            <filter val="RTX 3050 8GB GDDR6"/>
            <filter val="RTX 2070 8GB GDDR6"/>
            <filter val="RTX 4090 24GB GDDR6X"/>
            <filter val="GTX 1630 4GB GDDR6"/>
            <filter val="RTX 2070 SUPER 8GB GDDR6"/>
            <filter val="RTX 3090 Ti 24GB GDDR6X"/>
            <filter val="GTX 1660 Ti 6GB GDDR6"/>
            <filter val="RTX 3060 12GB GDDR6"/>
            <filter val="RTX 4060 Ti 16GB GDDR6"/>
            <filter val="RTX 2080 SUPER 8GB GDDR6"/>
            <filter val="RX 7900 GRE 16GB GDDR6"/>
            <filter val="RX 7900 XT 20GB GDDR6"/>
            <filter val="RX 7800 XT 16GB GDDR6"/>
            <filter val="GTX 1660 SUPER 6GB GDDR6"/>
            <filter val="RX 7600 8GB GDDR6"/>
            <filter val="Arc A770 8GB GDDR6"/>
            <filter val="RTX 4070 Ti 12GB GDDR6X"/>
            <filter val="RX 7900 XTX 24GB GDDR6"/>
            <filter val="RTX 2080 8GB GDDR6"/>
          </filters>
        </filterColumn>
      </autoFilter>
    </customSheetView>
    <customSheetView guid="{3C7B2DE6-29DD-4C1F-8F9A-8FEB4F4DF572}" filter="1" showAutoFilter="1">
      <autoFilter ref="$A$1:$T$3362">
        <filterColumn colId="0">
          <filters>
            <filter val="Nvidia"/>
          </filters>
        </filterColumn>
        <filterColumn colId="1">
          <filters>
            <filter val="GTX 1080 Ti 11GB GDDR5X"/>
            <filter val="RX 6800 XT 16GB GDDR6"/>
            <filter val="Arc A380 6GB GDDR6"/>
            <filter val="RX 6600 XT 8GB GDDR6"/>
            <filter val="RX 6650 XT 8GB GDDR6"/>
            <filter val="Arc A770 16GB GDDR6"/>
            <filter val="Arc A750 8GB GDDR6"/>
            <filter val="RX 7600 XT 16GB GDDR6"/>
            <filter val="RX 5500 XT 4GB GDDR6"/>
            <filter val="RX 5600 XT 6GB GDDR6"/>
            <filter val="RX 6950 XT 16GB GDDR6"/>
            <filter val="RX 5700 XT 8GB GDDR6"/>
            <filter val="RX 6700 10GB GDDR6"/>
            <filter val="RX 6800 16GB GDDR6"/>
            <filter val="RX 7700 XT 12GB GDDR6"/>
            <filter val="RX 6750 XT 12GB GDDR6"/>
            <filter val="RX 6700 XT 12GB GDDR6"/>
            <filter val="RX 7900 GRE 16GB GDDR6"/>
            <filter val="Radeon VII 16GB HBM2"/>
            <filter val="RX 5700 8GB GDDR6"/>
            <filter val="RX 5500 XT 8GB GDDR6"/>
            <filter val="RX 7900 XT 20GB GDDR6"/>
            <filter val="RX 6500 XT 4GB GDDR6"/>
            <filter val="RX 7800 XT 16GB GDDR6"/>
            <filter val="RX 6600 8GB GDDR6"/>
            <filter val="RX 6900 XT 16GB GDDR6"/>
            <filter val="RX 7600 8GB GDDR6"/>
            <filter val="Arc A770 8GB GDDR6"/>
            <filter val="RX 7900 XTX 24GB GDDR6"/>
          </filters>
        </filterColumn>
      </autoFilter>
    </customSheetView>
    <customSheetView guid="{E6ADA16B-A869-4D9F-9829-DC293F52D7AE}" filter="1" showAutoFilter="1">
      <autoFilter ref="$A$1:$T$3362">
        <filterColumn colId="1">
          <filters>
            <filter val="Arc A380 6GB GDDR6"/>
            <filter val="RX 6600 XT 8GB GDDR6"/>
            <filter val="RTX 2060 12GB GDDR6"/>
            <filter val="RTX 2080 Ti 11GB GDDR6"/>
            <filter val="RX 6650 XT 8GB GDDR6"/>
            <filter val="Arc A770 16GB GDDR6"/>
            <filter val="Arc A750 8GB GDDR6"/>
            <filter val="RX 7600 XT 16GB GDDR6"/>
            <filter val="RX 6950 XT 16GB GDDR6"/>
            <filter val="RTX 2060 6GB GDDR6"/>
            <filter val="RX 6700 10GB GDDR6"/>
            <filter val="RTX 2060 SUPER 8GB GDDR6"/>
            <filter val="RX 7700 XT 12GB GDDR6"/>
            <filter val="RX 6750 XT 12GB GDDR6"/>
            <filter val="RTX 2070 8GB GDDR6"/>
            <filter val="RTX 2070 SUPER 8GB GDDR6"/>
            <filter val="RX 6700 XT 12GB GDDR6"/>
            <filter val="RTX 2080 SUPER 8GB GDDR6"/>
            <filter val="RX 7900 GRE 16GB GDDR6"/>
            <filter val="RX 7900 XT 20GB GDDR6"/>
            <filter val="RX 6500 XT 4GB GDDR6"/>
            <filter val="RX 7800 XT 16GB GDDR6"/>
            <filter val="RX 6600 8GB GDDR6"/>
            <filter val="RX 7600 8GB GDDR6"/>
            <filter val="Arc A770 8GB GDDR6"/>
            <filter val="RX 7900 XTX 24GB GDDR6"/>
            <filter val="RTX 2080 8GB GDDR6"/>
          </filters>
        </filterColumn>
        <filterColumn colId="0">
          <filters>
            <filter val="Nvidia"/>
          </filters>
        </filterColumn>
      </autoFilter>
    </customSheetView>
    <customSheetView guid="{4456132C-ADF5-4567-8202-860CECFBBA7C}" filter="1" showAutoFilter="1">
      <autoFilter ref="$A$1:$T$3362">
        <filterColumn colId="17">
          <filters>
            <filter val="Y"/>
          </filters>
        </filterColumn>
      </autoFilter>
    </customSheetView>
    <customSheetView guid="{DE694868-D39E-4DF2-9144-08E49C0746DC}" filter="1" showAutoFilter="1">
      <autoFilter ref="$A$1:$T$3362">
        <filterColumn colId="1">
          <filters>
            <filter val="GTX 1080 Ti 11GB GDDR5X"/>
            <filter val="RTX 4060 Ti 8GB GDDR6"/>
            <filter val="RTX 4080 SUPER 16GB GDDR6X"/>
            <filter val="GTX 1650 SUPER 4GB GDDR6"/>
            <filter val="Arc A380 6GB GDDR6"/>
            <filter val="RTX 2060 12GB GDDR6"/>
            <filter val="RTX 2080 Ti 11GB GDDR6"/>
            <filter val="RTX 3080 10GB GDDR6X"/>
            <filter val="Arc A770 16GB GDDR6"/>
            <filter val="RTX 4070 SUPER 12GB GDDR6X"/>
            <filter val="RTX 3070 8GB GDDR6"/>
            <filter val="Arc A750 8GB GDDR6"/>
            <filter val="RTX 3080 12GB GDDR6X"/>
            <filter val="RX 5500 XT 4GB GDDR6"/>
            <filter val="RTX 3060 8GB GDDR6"/>
            <filter val="GTX 1650 4GB GDDR5"/>
            <filter val="RTX 4060 8GB GDDR6"/>
            <filter val="GTX 1650 4GB GDDR6"/>
            <filter val="RX 5600 XT 6GB GDDR6"/>
            <filter val="RTX 3090 24GB GDDR6X"/>
            <filter val="RX 5700 XT 8GB GDDR6"/>
            <filter val="RTX 2060 6GB GDDR6"/>
            <filter val="RTX 3070 Ti 8GB GDDR6X"/>
            <filter val="RTX 3060 Ti 8GB GDDR6"/>
            <filter val="RTX 4070 12GB GDDR6X"/>
            <filter val="RTX 3080 Ti 12GB GDDR6X"/>
            <filter val="RTX 4070 Ti SUPER 16GB GDDR6X"/>
            <filter val="RTX 3060 Ti 8GB GDDR6X"/>
            <filter val="RTX 3050 6GB GDDR6"/>
            <filter val="RTX 2060 SUPER 8GB GDDR6"/>
            <filter val="RTX 4080 16GB GDDR6X"/>
            <filter val="GTX 1660 6GB GDDR5"/>
            <filter val="RTX 3050 8GB GDDR6"/>
            <filter val="RTX 2070 8GB GDDR6"/>
            <filter val="RTX 4090 24GB GDDR6X"/>
            <filter val="GTX 1630 4GB GDDR6"/>
            <filter val="RTX 2070 SUPER 8GB GDDR6"/>
            <filter val="RTX 3090 Ti 24GB GDDR6X"/>
            <filter val="GTX 1660 Ti 6GB GDDR6"/>
            <filter val="RTX 3060 12GB GDDR6"/>
            <filter val="RTX 4060 Ti 16GB GDDR6"/>
            <filter val="RTX 2080 SUPER 8GB GDDR6"/>
            <filter val="RX 7900 GRE 16GB GDDR6"/>
            <filter val="RX 5700 8GB GDDR6"/>
            <filter val="RX 5500 XT 8GB GDDR6"/>
            <filter val="GTX 1660 SUPER 6GB GDDR6"/>
            <filter val="Arc A770 8GB GDDR6"/>
            <filter val="RTX 4070 Ti 12GB GDDR6X"/>
            <filter val="RTX 2080 8GB GDDR6"/>
          </filters>
        </filterColumn>
        <filterColumn colId="0">
          <filters>
            <filter val="AMD"/>
          </filters>
        </filterColumn>
      </autoFilter>
    </customSheetView>
    <customSheetView guid="{ED4BB880-FC57-4587-A42E-3A21D3864B4F}" filter="1" showAutoFilter="1">
      <autoFilter ref="$A$1:$T$3362">
        <filterColumn colId="0">
          <filters>
            <filter val="Intel"/>
          </filters>
        </filterColumn>
      </autoFilter>
    </customSheetView>
    <customSheetView guid="{ECBFC636-0966-47CD-A593-4DF79A393444}" filter="1" showAutoFilter="1">
      <autoFilter ref="$A$1:$T$3362">
        <filterColumn colId="17">
          <filters>
            <filter val="-"/>
          </filters>
        </filterColumn>
        <filterColumn colId="6">
          <customFilters>
            <customFilter operator="lessThanOrEqual" val="44"/>
          </customFilters>
        </filterColumn>
      </autoFilter>
    </customSheetView>
    <customSheetView guid="{3AEE755D-1901-4D49-AD7C-CE645738D3F2}" filter="1" showAutoFilter="1">
      <autoFilter ref="$A$1:$T$3362">
        <filterColumn colId="0">
          <filters>
            <filter val="Nvidia"/>
          </filters>
        </filterColumn>
        <filterColumn colId="1">
          <filters>
            <filter val="RTX 4060 Ti 8GB GDDR6"/>
            <filter val="RTX 4080 SUPER 16GB GDDR6X"/>
            <filter val="RX 6800 XT 16GB GDDR6"/>
            <filter val="Arc A380 6GB GDDR6"/>
            <filter val="RX 6600 XT 8GB GDDR6"/>
            <filter val="RX 6650 XT 8GB GDDR6"/>
            <filter val="Arc A770 16GB GDDR6"/>
            <filter val="RTX 4070 SUPER 12GB GDDR6X"/>
            <filter val="Arc A750 8GB GDDR6"/>
            <filter val="RX 7600 XT 16GB GDDR6"/>
            <filter val="RX 5500 XT 4GB GDDR6"/>
            <filter val="RTX 4060 8GB GDDR6"/>
            <filter val="RX 5600 XT 6GB GDDR6"/>
            <filter val="RX 6950 XT 16GB GDDR6"/>
            <filter val="RX 5700 XT 8GB GDDR6"/>
            <filter val="RTX 4070 12GB GDDR6X"/>
            <filter val="RTX 4070 Ti SUPER 16GB GDDR6X"/>
            <filter val="RX 6700 10GB GDDR6"/>
            <filter val="RX 6800 16GB GDDR6"/>
            <filter val="RTX 4080 16GB GDDR6X"/>
            <filter val="RX 7700 XT 12GB GDDR6"/>
            <filter val="RX 6750 XT 12GB GDDR6"/>
            <filter val="RTX 4090 24GB GDDR6X"/>
            <filter val="RX 6700 XT 12GB GDDR6"/>
            <filter val="RTX 4060 Ti 16GB GDDR6"/>
            <filter val="RX 7900 GRE 16GB GDDR6"/>
            <filter val="Radeon VII 16GB HBM2"/>
            <filter val="RX 5700 8GB GDDR6"/>
            <filter val="RX 5500 XT 8GB GDDR6"/>
            <filter val="RX 7900 XT 20GB GDDR6"/>
            <filter val="RX 6500 XT 4GB GDDR6"/>
            <filter val="RX 7800 XT 16GB GDDR6"/>
            <filter val="RX 6600 8GB GDDR6"/>
            <filter val="RX 6900 XT 16GB GDDR6"/>
            <filter val="RX 7600 8GB GDDR6"/>
            <filter val="Arc A770 8GB GDDR6"/>
            <filter val="RTX 4070 Ti 12GB GDDR6X"/>
            <filter val="RX 7900 XTX 24GB GDDR6"/>
          </filters>
        </filterColumn>
      </autoFilter>
    </customSheetView>
    <customSheetView guid="{23F8A8D4-BF6F-443E-A7CB-443445CFA23F}" filter="1" showAutoFilter="1">
      <autoFilter ref="$A$1:$T$3362">
        <filterColumn colId="0">
          <filters>
            <filter val="AMD"/>
          </filters>
        </filterColumn>
      </autoFilter>
    </customSheetView>
    <customSheetView guid="{81C2CD55-3E6E-46FA-8685-6BA37EC7EAD2}" filter="1" showAutoFilter="1">
      <autoFilter ref="$A$1:$T$3362">
        <filterColumn colId="1">
          <filters>
            <filter val="GTX 1650 SUPER 4GB GDDR6"/>
            <filter val="Arc A380 6GB GDDR6"/>
            <filter val="RX 6600 XT 8GB GDDR6"/>
            <filter val="RX 6650 XT 8GB GDDR6"/>
            <filter val="Arc A770 16GB GDDR6"/>
            <filter val="Arc A750 8GB GDDR6"/>
            <filter val="RX 7600 XT 16GB GDDR6"/>
            <filter val="GTX 1650 4GB GDDR5"/>
            <filter val="GTX 1650 4GB GDDR6"/>
            <filter val="RX 6950 XT 16GB GDDR6"/>
            <filter val="RX 6700 10GB GDDR6"/>
            <filter val="RX 7700 XT 12GB GDDR6"/>
            <filter val="GTX 1660 6GB GDDR5"/>
            <filter val="RX 6750 XT 12GB GDDR6"/>
            <filter val="GTX 1630 4GB GDDR6"/>
            <filter val="RX 6700 XT 12GB GDDR6"/>
            <filter val="GTX 1660 Ti 6GB GDDR6"/>
            <filter val="RX 7900 GRE 16GB GDDR6"/>
            <filter val="RX 7900 XT 20GB GDDR6"/>
            <filter val="RX 6500 XT 4GB GDDR6"/>
            <filter val="RX 7800 XT 16GB GDDR6"/>
            <filter val="GTX 1660 SUPER 6GB GDDR6"/>
            <filter val="RX 6600 8GB GDDR6"/>
            <filter val="RX 7600 8GB GDDR6"/>
            <filter val="Arc A770 8GB GDDR6"/>
            <filter val="RX 7900 XTX 24GB GDDR6"/>
          </filters>
        </filterColumn>
        <filterColumn colId="0">
          <filters>
            <filter val="Nvidia"/>
          </filters>
        </filterColumn>
      </autoFilter>
    </customSheetView>
  </customSheetViews>
  <conditionalFormatting sqref="E2:E3362">
    <cfRule type="colorScale" priority="1">
      <colorScale>
        <cfvo type="min"/>
        <cfvo type="formula" val="270"/>
        <cfvo type="max"/>
        <color rgb="FF57BB8A"/>
        <color rgb="FFFFD666"/>
        <color rgb="FFE67C73"/>
      </colorScale>
    </cfRule>
  </conditionalFormatting>
  <conditionalFormatting sqref="F2:F3362">
    <cfRule type="colorScale" priority="2">
      <colorScale>
        <cfvo type="min"/>
        <cfvo type="percentile" val="50"/>
        <cfvo type="max"/>
        <color rgb="FF57BB8A"/>
        <color rgb="FFFFD666"/>
        <color rgb="FFE67C73"/>
      </colorScale>
    </cfRule>
  </conditionalFormatting>
  <conditionalFormatting sqref="G2:G3362">
    <cfRule type="colorScale" priority="3">
      <colorScale>
        <cfvo type="formula" val="20"/>
        <cfvo type="formula" val="40"/>
        <cfvo type="max"/>
        <color rgb="FF57BB8A"/>
        <color rgb="FFFFD666"/>
        <color rgb="FFE67C73"/>
      </colorScale>
    </cfRule>
  </conditionalFormatting>
  <conditionalFormatting sqref="K2:K3362">
    <cfRule type="colorScale" priority="4">
      <colorScale>
        <cfvo type="min"/>
        <cfvo type="percentile" val="50"/>
        <cfvo type="max"/>
        <color rgb="FF57BB8A"/>
        <color rgb="FFFFD666"/>
        <color rgb="FFE67C73"/>
      </colorScale>
    </cfRule>
  </conditionalFormatting>
  <conditionalFormatting sqref="I2:I3362">
    <cfRule type="colorScale" priority="5">
      <colorScale>
        <cfvo type="min"/>
        <cfvo type="percentile" val="50"/>
        <cfvo type="max"/>
        <color rgb="FFE67C73"/>
        <color rgb="FFFFD666"/>
        <color rgb="FF57BB8A"/>
      </colorScale>
    </cfRule>
  </conditionalFormatting>
  <conditionalFormatting sqref="H2:H3362">
    <cfRule type="colorScale" priority="6">
      <colorScale>
        <cfvo type="formula" val="1"/>
        <cfvo type="formula" val="2"/>
        <cfvo type="max"/>
        <color rgb="FF57BB8A"/>
        <color rgb="FFFFD666"/>
        <color rgb="FFE67C73"/>
      </colorScale>
    </cfRule>
  </conditionalFormatting>
  <conditionalFormatting sqref="J2:J3362">
    <cfRule type="colorScale" priority="7">
      <colorScale>
        <cfvo type="min"/>
        <cfvo type="percentile" val="50"/>
        <cfvo type="max"/>
        <color rgb="FFE67C73"/>
        <color rgb="FFFFD666"/>
        <color rgb="FF57BB8A"/>
      </colorScale>
    </cfRule>
  </conditionalFormatting>
  <conditionalFormatting sqref="M2:Q3362">
    <cfRule type="colorScale" priority="8">
      <colorScale>
        <cfvo type="formula" val="1"/>
        <cfvo type="formula" val="2"/>
        <cfvo type="formula" val="3"/>
        <color rgb="FFE67C73"/>
        <color rgb="FFFFD666"/>
        <color rgb="FF57BB8A"/>
      </colorScale>
    </cfRule>
  </conditionalFormatting>
  <conditionalFormatting sqref="R2:R3362">
    <cfRule type="cellIs" dxfId="3" priority="9" operator="equal">
      <formula>"Y"</formula>
    </cfRule>
  </conditionalFormatting>
  <conditionalFormatting sqref="S2:S3362">
    <cfRule type="cellIs" dxfId="3" priority="10" operator="equal">
      <formula>"Y"</formula>
    </cfRule>
  </conditionalFormatting>
  <hyperlinks>
    <hyperlink r:id="rId2" ref="D3"/>
    <hyperlink r:id="rId3" ref="C4"/>
    <hyperlink r:id="rId4" ref="D4"/>
    <hyperlink r:id="rId5" ref="D6"/>
    <hyperlink r:id="rId6" ref="D11"/>
    <hyperlink r:id="rId7" ref="D12"/>
    <hyperlink r:id="rId8" location="kf" ref="D14"/>
    <hyperlink r:id="rId9" ref="D15"/>
    <hyperlink r:id="rId10" ref="D16"/>
    <hyperlink r:id="rId11" ref="D18"/>
    <hyperlink r:id="rId12" ref="D22"/>
    <hyperlink r:id="rId13" ref="D23"/>
    <hyperlink r:id="rId14" ref="C24"/>
    <hyperlink r:id="rId15" ref="D24"/>
    <hyperlink r:id="rId16" location="kf" ref="D25"/>
    <hyperlink r:id="rId17" location="kf" ref="D27"/>
    <hyperlink r:id="rId18" ref="D28"/>
    <hyperlink r:id="rId19" ref="D29"/>
    <hyperlink r:id="rId20" ref="D32"/>
    <hyperlink r:id="rId21" ref="D33"/>
    <hyperlink r:id="rId22" ref="C35"/>
    <hyperlink r:id="rId23" ref="D35"/>
    <hyperlink r:id="rId24" ref="C36"/>
    <hyperlink r:id="rId25" ref="D36"/>
    <hyperlink r:id="rId26" ref="D37"/>
    <hyperlink r:id="rId27" ref="D38"/>
    <hyperlink r:id="rId28" ref="D39"/>
    <hyperlink r:id="rId29" ref="D40"/>
    <hyperlink r:id="rId30" ref="D41"/>
    <hyperlink r:id="rId31" ref="D42"/>
    <hyperlink r:id="rId32" ref="D43"/>
    <hyperlink r:id="rId33" ref="D44"/>
    <hyperlink r:id="rId34" ref="D45"/>
    <hyperlink r:id="rId35" ref="D46"/>
    <hyperlink r:id="rId36" ref="D47"/>
    <hyperlink r:id="rId37" ref="C48"/>
    <hyperlink r:id="rId38" ref="D48"/>
    <hyperlink r:id="rId39" ref="C49"/>
    <hyperlink r:id="rId40" ref="D49"/>
    <hyperlink r:id="rId41" ref="C50"/>
    <hyperlink r:id="rId42" ref="D50"/>
    <hyperlink r:id="rId43" location="kf" ref="D51"/>
    <hyperlink r:id="rId44" location="kf" ref="D52"/>
    <hyperlink r:id="rId45" ref="D53"/>
    <hyperlink r:id="rId46" ref="D54"/>
    <hyperlink r:id="rId47" ref="D55"/>
    <hyperlink r:id="rId48" ref="D56"/>
    <hyperlink r:id="rId49" ref="D57"/>
    <hyperlink r:id="rId50" ref="D58"/>
    <hyperlink r:id="rId51" ref="D59"/>
    <hyperlink r:id="rId52" ref="D60"/>
    <hyperlink r:id="rId53" ref="D61"/>
    <hyperlink r:id="rId54" ref="D64"/>
    <hyperlink r:id="rId55" ref="D65"/>
    <hyperlink r:id="rId56" ref="D66"/>
    <hyperlink r:id="rId57" ref="D67"/>
    <hyperlink r:id="rId58" ref="C71"/>
    <hyperlink r:id="rId59" ref="D71"/>
    <hyperlink r:id="rId60" ref="C72"/>
    <hyperlink r:id="rId61" ref="D72"/>
    <hyperlink r:id="rId62" ref="D75"/>
    <hyperlink r:id="rId63" ref="D76"/>
    <hyperlink r:id="rId64" ref="D77"/>
    <hyperlink r:id="rId65" ref="D78"/>
    <hyperlink r:id="rId66" ref="D79"/>
    <hyperlink r:id="rId67" ref="D80"/>
    <hyperlink r:id="rId68" ref="C81"/>
    <hyperlink r:id="rId69" ref="D81"/>
    <hyperlink r:id="rId70" ref="C82"/>
    <hyperlink r:id="rId71" ref="D82"/>
    <hyperlink r:id="rId72" ref="C83"/>
    <hyperlink r:id="rId73" ref="D83"/>
    <hyperlink r:id="rId74" location="kf" ref="D85"/>
    <hyperlink r:id="rId75" ref="D87"/>
    <hyperlink r:id="rId76" ref="D89"/>
    <hyperlink r:id="rId77" ref="D90"/>
    <hyperlink r:id="rId78" ref="D91"/>
    <hyperlink r:id="rId79" ref="D92"/>
    <hyperlink r:id="rId80" ref="D93"/>
    <hyperlink r:id="rId81" ref="D94"/>
    <hyperlink r:id="rId82" ref="D95"/>
    <hyperlink r:id="rId83" ref="D96"/>
    <hyperlink r:id="rId84" ref="D97"/>
    <hyperlink r:id="rId85" ref="D98"/>
    <hyperlink r:id="rId86" ref="D102"/>
    <hyperlink r:id="rId87" ref="D104"/>
    <hyperlink r:id="rId88" ref="D105"/>
    <hyperlink r:id="rId89" ref="D107"/>
    <hyperlink r:id="rId90" ref="D108"/>
    <hyperlink r:id="rId91" ref="D109"/>
    <hyperlink r:id="rId92" ref="C110"/>
    <hyperlink r:id="rId93" ref="D110"/>
    <hyperlink r:id="rId94" ref="C111"/>
    <hyperlink r:id="rId95" ref="D111"/>
    <hyperlink r:id="rId96" ref="D115"/>
    <hyperlink r:id="rId97" ref="D116"/>
    <hyperlink r:id="rId98" ref="D117"/>
    <hyperlink r:id="rId99" ref="D118"/>
    <hyperlink r:id="rId100" ref="D119"/>
    <hyperlink r:id="rId101" ref="D120"/>
    <hyperlink r:id="rId102" ref="D121"/>
    <hyperlink r:id="rId103" ref="D122"/>
    <hyperlink r:id="rId104" ref="C123"/>
    <hyperlink r:id="rId105" ref="D123"/>
    <hyperlink r:id="rId106" ref="C124"/>
    <hyperlink r:id="rId107" ref="D124"/>
    <hyperlink r:id="rId108" ref="C125"/>
    <hyperlink r:id="rId109" ref="D125"/>
    <hyperlink r:id="rId110" ref="C126"/>
    <hyperlink r:id="rId111" ref="D126"/>
    <hyperlink r:id="rId112" ref="C127"/>
    <hyperlink r:id="rId113" ref="D127"/>
    <hyperlink r:id="rId114" location="kf" ref="D129"/>
    <hyperlink r:id="rId115" location="kf" ref="D130"/>
    <hyperlink r:id="rId116" location="kf" ref="D131"/>
    <hyperlink r:id="rId117" ref="D133"/>
    <hyperlink r:id="rId118" ref="D135"/>
    <hyperlink r:id="rId119" ref="D136"/>
    <hyperlink r:id="rId120" ref="D137"/>
    <hyperlink r:id="rId121" ref="D138"/>
    <hyperlink r:id="rId122" ref="D139"/>
    <hyperlink r:id="rId123" ref="D140"/>
    <hyperlink r:id="rId124" ref="D144"/>
    <hyperlink r:id="rId125" ref="D145"/>
    <hyperlink r:id="rId126" ref="D148"/>
    <hyperlink r:id="rId127" ref="D149"/>
    <hyperlink r:id="rId128" ref="D150"/>
    <hyperlink r:id="rId129" ref="D151"/>
    <hyperlink r:id="rId130" ref="D152"/>
    <hyperlink r:id="rId131" ref="D154"/>
    <hyperlink r:id="rId132" ref="D155"/>
    <hyperlink r:id="rId133" ref="D156"/>
    <hyperlink r:id="rId134" ref="D157"/>
    <hyperlink r:id="rId135" ref="D158"/>
    <hyperlink r:id="rId136" ref="D159"/>
    <hyperlink r:id="rId137" ref="D160"/>
    <hyperlink r:id="rId138" ref="D161"/>
    <hyperlink r:id="rId139" ref="D162"/>
    <hyperlink r:id="rId140" ref="C163"/>
    <hyperlink r:id="rId141" ref="D163"/>
    <hyperlink r:id="rId142" ref="C164"/>
    <hyperlink r:id="rId143" ref="D164"/>
    <hyperlink r:id="rId144" ref="C165"/>
    <hyperlink r:id="rId145" ref="D165"/>
    <hyperlink r:id="rId146" ref="D166"/>
    <hyperlink r:id="rId147" ref="D167"/>
    <hyperlink r:id="rId148" ref="C168"/>
    <hyperlink r:id="rId149" ref="D168"/>
    <hyperlink r:id="rId150" location="kf" ref="D169"/>
    <hyperlink r:id="rId151" ref="D170"/>
    <hyperlink r:id="rId152" ref="C171"/>
    <hyperlink r:id="rId153" ref="C172"/>
    <hyperlink r:id="rId154" ref="D173"/>
    <hyperlink r:id="rId155" ref="D174"/>
    <hyperlink r:id="rId156" ref="C175"/>
    <hyperlink r:id="rId157" ref="D175"/>
    <hyperlink r:id="rId158" location="kf" ref="D176"/>
    <hyperlink r:id="rId159" ref="D177"/>
    <hyperlink r:id="rId160" ref="D178"/>
    <hyperlink r:id="rId161" ref="D179"/>
    <hyperlink r:id="rId162" ref="D180"/>
    <hyperlink r:id="rId163" ref="D181"/>
    <hyperlink r:id="rId164" ref="C182"/>
    <hyperlink r:id="rId165" ref="D183"/>
    <hyperlink r:id="rId166" ref="D184"/>
    <hyperlink r:id="rId167" ref="D185"/>
    <hyperlink r:id="rId168" ref="D186"/>
    <hyperlink r:id="rId169" ref="D187"/>
    <hyperlink r:id="rId170" ref="C188"/>
    <hyperlink r:id="rId171" ref="D188"/>
    <hyperlink r:id="rId172" location="kf" ref="D189"/>
    <hyperlink r:id="rId173" location="kf" ref="D190"/>
    <hyperlink r:id="rId174" location="kf" ref="D191"/>
    <hyperlink r:id="rId175" ref="D192"/>
    <hyperlink r:id="rId176" ref="D193"/>
    <hyperlink r:id="rId177" ref="D194"/>
    <hyperlink r:id="rId178" ref="D195"/>
    <hyperlink r:id="rId179" ref="D196"/>
    <hyperlink r:id="rId180" ref="D197"/>
    <hyperlink r:id="rId181" ref="D198"/>
    <hyperlink r:id="rId182" ref="D199"/>
    <hyperlink r:id="rId183" ref="D200"/>
    <hyperlink r:id="rId184" ref="D201"/>
    <hyperlink r:id="rId185" ref="D202"/>
    <hyperlink r:id="rId186" ref="C203"/>
    <hyperlink r:id="rId187" ref="D203"/>
    <hyperlink r:id="rId188" ref="C204"/>
    <hyperlink r:id="rId189" ref="D205"/>
    <hyperlink r:id="rId190" ref="D206"/>
    <hyperlink r:id="rId191" ref="D207"/>
    <hyperlink r:id="rId192" ref="D208"/>
    <hyperlink r:id="rId193" ref="D209"/>
    <hyperlink r:id="rId194" ref="D210"/>
    <hyperlink r:id="rId195" ref="D211"/>
    <hyperlink r:id="rId196" location="kf" ref="D212"/>
    <hyperlink r:id="rId197" location="kf" ref="D213"/>
    <hyperlink r:id="rId198" ref="D214"/>
    <hyperlink r:id="rId199" ref="D215"/>
    <hyperlink r:id="rId200" ref="D216"/>
    <hyperlink r:id="rId201" ref="D217"/>
    <hyperlink r:id="rId202" ref="D218"/>
    <hyperlink r:id="rId203" ref="D219"/>
    <hyperlink r:id="rId204" ref="D220"/>
    <hyperlink r:id="rId205" ref="D221"/>
    <hyperlink r:id="rId206" ref="D222"/>
    <hyperlink r:id="rId207" ref="D223"/>
    <hyperlink r:id="rId208" ref="D224"/>
    <hyperlink r:id="rId209" ref="D225"/>
    <hyperlink r:id="rId210" ref="D226"/>
    <hyperlink r:id="rId211" ref="C227"/>
    <hyperlink r:id="rId212" ref="D227"/>
    <hyperlink r:id="rId213" ref="D228"/>
    <hyperlink r:id="rId214" ref="D229"/>
    <hyperlink r:id="rId215" ref="D230"/>
    <hyperlink r:id="rId216" ref="D231"/>
    <hyperlink r:id="rId217" ref="D232"/>
    <hyperlink r:id="rId218" ref="D233"/>
    <hyperlink r:id="rId219" ref="D234"/>
    <hyperlink r:id="rId220" ref="D235"/>
    <hyperlink r:id="rId221" ref="D236"/>
    <hyperlink r:id="rId222" ref="D237"/>
    <hyperlink r:id="rId223" ref="D238"/>
    <hyperlink r:id="rId224" ref="D239"/>
    <hyperlink r:id="rId225" ref="D240"/>
    <hyperlink r:id="rId226" ref="D241"/>
    <hyperlink r:id="rId227" ref="C242"/>
    <hyperlink r:id="rId228" ref="D242"/>
    <hyperlink r:id="rId229" ref="C243"/>
    <hyperlink r:id="rId230" ref="D243"/>
    <hyperlink r:id="rId231" ref="C244"/>
    <hyperlink r:id="rId232" ref="D244"/>
    <hyperlink r:id="rId233" location="kf" ref="D245"/>
    <hyperlink r:id="rId234" ref="D246"/>
    <hyperlink r:id="rId235" ref="D247"/>
    <hyperlink r:id="rId236" ref="D248"/>
    <hyperlink r:id="rId237" location="kf" ref="D249"/>
    <hyperlink r:id="rId238" ref="D250"/>
    <hyperlink r:id="rId239" ref="D251"/>
    <hyperlink r:id="rId240" ref="D252"/>
    <hyperlink r:id="rId241" ref="D253"/>
    <hyperlink r:id="rId242" ref="D254"/>
    <hyperlink r:id="rId243" ref="D255"/>
    <hyperlink r:id="rId244" ref="D256"/>
    <hyperlink r:id="rId245" ref="D257"/>
    <hyperlink r:id="rId246" ref="D258"/>
    <hyperlink r:id="rId247" ref="D259"/>
    <hyperlink r:id="rId248" ref="D260"/>
    <hyperlink r:id="rId249" ref="D261"/>
    <hyperlink r:id="rId250" ref="D262"/>
    <hyperlink r:id="rId251" ref="D263"/>
    <hyperlink r:id="rId252" ref="D264"/>
    <hyperlink r:id="rId253" ref="D265"/>
    <hyperlink r:id="rId254" ref="D266"/>
    <hyperlink r:id="rId255" ref="D267"/>
    <hyperlink r:id="rId256" ref="D268"/>
    <hyperlink r:id="rId257" ref="C269"/>
    <hyperlink r:id="rId258" ref="D269"/>
    <hyperlink r:id="rId259" ref="C270"/>
    <hyperlink r:id="rId260" ref="D271"/>
    <hyperlink r:id="rId261" ref="D272"/>
    <hyperlink r:id="rId262" ref="D273"/>
    <hyperlink r:id="rId263" ref="D274"/>
    <hyperlink r:id="rId264" ref="D275"/>
    <hyperlink r:id="rId265" location="kf" ref="D276"/>
    <hyperlink r:id="rId266" location="kf" ref="D277"/>
    <hyperlink r:id="rId267" ref="D278"/>
    <hyperlink r:id="rId268" ref="D279"/>
    <hyperlink r:id="rId269" ref="D280"/>
    <hyperlink r:id="rId270" ref="D281"/>
    <hyperlink r:id="rId271" ref="D282"/>
    <hyperlink r:id="rId272" ref="D283"/>
    <hyperlink r:id="rId273" ref="D284"/>
    <hyperlink r:id="rId274" ref="D285"/>
    <hyperlink r:id="rId275" ref="D286"/>
    <hyperlink r:id="rId276" ref="D287"/>
    <hyperlink r:id="rId277" ref="C288"/>
    <hyperlink r:id="rId278" ref="D288"/>
    <hyperlink r:id="rId279" ref="D289"/>
    <hyperlink r:id="rId280" ref="D290"/>
    <hyperlink r:id="rId281" ref="D291"/>
    <hyperlink r:id="rId282" ref="D292"/>
    <hyperlink r:id="rId283" ref="D293"/>
    <hyperlink r:id="rId284" ref="D294"/>
    <hyperlink r:id="rId285" ref="D295"/>
    <hyperlink r:id="rId286" ref="C296"/>
    <hyperlink r:id="rId287" ref="D296"/>
    <hyperlink r:id="rId288" ref="C297"/>
    <hyperlink r:id="rId289" ref="D297"/>
    <hyperlink r:id="rId290" location="kf" ref="D298"/>
    <hyperlink r:id="rId291" ref="D299"/>
    <hyperlink r:id="rId292" location="kf" ref="D300"/>
    <hyperlink r:id="rId293" location="kf" ref="D301"/>
    <hyperlink r:id="rId294" ref="D302"/>
    <hyperlink r:id="rId295" ref="D303"/>
    <hyperlink r:id="rId296" ref="D304"/>
    <hyperlink r:id="rId297" ref="D305"/>
    <hyperlink r:id="rId298" ref="D306"/>
    <hyperlink r:id="rId299" ref="D307"/>
    <hyperlink r:id="rId300" ref="D308"/>
    <hyperlink r:id="rId301" ref="D309"/>
    <hyperlink r:id="rId302" ref="D310"/>
    <hyperlink r:id="rId303" ref="D311"/>
    <hyperlink r:id="rId304" ref="D312"/>
    <hyperlink r:id="rId305" ref="D313"/>
    <hyperlink r:id="rId306" ref="D314"/>
    <hyperlink r:id="rId307" ref="D315"/>
    <hyperlink r:id="rId308" ref="D316"/>
    <hyperlink r:id="rId309" ref="D317"/>
    <hyperlink r:id="rId310" ref="D318"/>
    <hyperlink r:id="rId311" ref="C319"/>
    <hyperlink r:id="rId312" ref="D319"/>
    <hyperlink r:id="rId313" ref="C320"/>
    <hyperlink r:id="rId314" ref="D320"/>
    <hyperlink r:id="rId315" ref="D321"/>
    <hyperlink r:id="rId316" ref="D322"/>
    <hyperlink r:id="rId317" ref="D323"/>
    <hyperlink r:id="rId318" ref="D324"/>
    <hyperlink r:id="rId319" ref="D325"/>
    <hyperlink r:id="rId320" ref="D326"/>
    <hyperlink r:id="rId321" ref="D327"/>
    <hyperlink r:id="rId322" ref="D328"/>
    <hyperlink r:id="rId323" ref="C329"/>
    <hyperlink r:id="rId324" ref="D329"/>
    <hyperlink r:id="rId325" ref="C330"/>
    <hyperlink r:id="rId326" ref="D330"/>
    <hyperlink r:id="rId327" location="kf" ref="D331"/>
    <hyperlink r:id="rId328" ref="D332"/>
    <hyperlink r:id="rId329" location="kf" ref="D333"/>
    <hyperlink r:id="rId330" location="kf" ref="D334"/>
    <hyperlink r:id="rId331" location="kf" ref="D335"/>
    <hyperlink r:id="rId332" ref="D336"/>
    <hyperlink r:id="rId333" ref="D337"/>
    <hyperlink r:id="rId334" ref="D338"/>
    <hyperlink r:id="rId335" ref="D339"/>
    <hyperlink r:id="rId336" ref="D340"/>
    <hyperlink r:id="rId337" ref="D341"/>
    <hyperlink r:id="rId338" ref="D342"/>
    <hyperlink r:id="rId339" ref="D343"/>
    <hyperlink r:id="rId340" ref="D344"/>
    <hyperlink r:id="rId341" ref="D345"/>
    <hyperlink r:id="rId342" ref="D346"/>
    <hyperlink r:id="rId343" ref="D347"/>
    <hyperlink r:id="rId344" ref="D348"/>
    <hyperlink r:id="rId345" ref="D349"/>
    <hyperlink r:id="rId346" ref="D350"/>
    <hyperlink r:id="rId347" ref="D351"/>
    <hyperlink r:id="rId348" ref="C352"/>
    <hyperlink r:id="rId349" ref="D352"/>
    <hyperlink r:id="rId350" ref="D353"/>
    <hyperlink r:id="rId351" ref="D355"/>
    <hyperlink r:id="rId352" ref="D356"/>
    <hyperlink r:id="rId353" ref="D357"/>
    <hyperlink r:id="rId354" ref="D358"/>
    <hyperlink r:id="rId355" ref="D359"/>
    <hyperlink r:id="rId356" ref="D360"/>
    <hyperlink r:id="rId357" ref="D361"/>
    <hyperlink r:id="rId358" ref="D362"/>
    <hyperlink r:id="rId359" ref="C363"/>
    <hyperlink r:id="rId360" ref="D363"/>
    <hyperlink r:id="rId361" location="kf" ref="D364"/>
    <hyperlink r:id="rId362" location="kf" ref="D365"/>
    <hyperlink r:id="rId363" location="kf" ref="D366"/>
    <hyperlink r:id="rId364" location="kf" ref="D367"/>
    <hyperlink r:id="rId365" ref="D368"/>
    <hyperlink r:id="rId366" ref="D369"/>
    <hyperlink r:id="rId367" ref="D370"/>
    <hyperlink r:id="rId368" ref="D371"/>
    <hyperlink r:id="rId369" ref="D372"/>
    <hyperlink r:id="rId370" ref="D373"/>
    <hyperlink r:id="rId371" ref="D374"/>
    <hyperlink r:id="rId372" ref="D375"/>
    <hyperlink r:id="rId373" ref="D376"/>
    <hyperlink r:id="rId374" ref="D377"/>
    <hyperlink r:id="rId375" ref="D378"/>
    <hyperlink r:id="rId376" ref="D379"/>
    <hyperlink r:id="rId377" ref="D380"/>
    <hyperlink r:id="rId378" ref="D381"/>
    <hyperlink r:id="rId379" ref="D382"/>
    <hyperlink r:id="rId380" ref="D383"/>
    <hyperlink r:id="rId381" ref="D384"/>
    <hyperlink r:id="rId382" ref="D385"/>
    <hyperlink r:id="rId383" ref="D386"/>
    <hyperlink r:id="rId384" ref="D387"/>
    <hyperlink r:id="rId385" ref="D388"/>
    <hyperlink r:id="rId386" ref="D389"/>
    <hyperlink r:id="rId387" ref="D390"/>
    <hyperlink r:id="rId388" ref="D391"/>
    <hyperlink r:id="rId389" ref="D392"/>
    <hyperlink r:id="rId390" ref="D393"/>
    <hyperlink r:id="rId391" ref="D394"/>
    <hyperlink r:id="rId392" ref="D395"/>
    <hyperlink r:id="rId393" location="kf" ref="D396"/>
    <hyperlink r:id="rId394" location="kf" ref="D397"/>
    <hyperlink r:id="rId395" ref="D398"/>
    <hyperlink r:id="rId396" ref="D399"/>
    <hyperlink r:id="rId397" ref="D400"/>
    <hyperlink r:id="rId398" ref="D401"/>
    <hyperlink r:id="rId399" ref="D402"/>
    <hyperlink r:id="rId400" ref="D403"/>
    <hyperlink r:id="rId401" ref="D404"/>
    <hyperlink r:id="rId402" ref="D405"/>
    <hyperlink r:id="rId403" ref="D406"/>
    <hyperlink r:id="rId404" ref="D407"/>
    <hyperlink r:id="rId405" ref="D408"/>
    <hyperlink r:id="rId406" ref="D409"/>
    <hyperlink r:id="rId407" ref="D410"/>
    <hyperlink r:id="rId408" location="kf" ref="D411"/>
    <hyperlink r:id="rId409" ref="D412"/>
    <hyperlink r:id="rId410" ref="D413"/>
    <hyperlink r:id="rId411" ref="D414"/>
    <hyperlink r:id="rId412" ref="D415"/>
    <hyperlink r:id="rId413" ref="D416"/>
    <hyperlink r:id="rId414" ref="D417"/>
    <hyperlink r:id="rId415" ref="C418"/>
    <hyperlink r:id="rId416" ref="D418"/>
    <hyperlink r:id="rId417" ref="C419"/>
    <hyperlink r:id="rId418" ref="D420"/>
    <hyperlink r:id="rId419" ref="D421"/>
    <hyperlink r:id="rId420" ref="D422"/>
    <hyperlink r:id="rId421" ref="D423"/>
    <hyperlink r:id="rId422" location="kf" ref="D424"/>
    <hyperlink r:id="rId423" ref="D425"/>
    <hyperlink r:id="rId424" ref="D426"/>
    <hyperlink r:id="rId425" ref="D427"/>
    <hyperlink r:id="rId426" ref="D428"/>
    <hyperlink r:id="rId427" ref="D429"/>
    <hyperlink r:id="rId428" ref="C430"/>
    <hyperlink r:id="rId429" ref="D431"/>
    <hyperlink r:id="rId430" ref="D432"/>
    <hyperlink r:id="rId431" ref="D433"/>
    <hyperlink r:id="rId432" ref="D434"/>
    <hyperlink r:id="rId433" ref="D435"/>
    <hyperlink r:id="rId434" location="kf" ref="D436"/>
    <hyperlink r:id="rId435" ref="D437"/>
    <hyperlink r:id="rId436" ref="D438"/>
    <hyperlink r:id="rId437" ref="D439"/>
    <hyperlink r:id="rId438" ref="D440"/>
    <hyperlink r:id="rId439" ref="D441"/>
    <hyperlink r:id="rId440" ref="D442"/>
    <hyperlink r:id="rId441" ref="D443"/>
    <hyperlink r:id="rId442" ref="C444"/>
    <hyperlink r:id="rId443" ref="D444"/>
    <hyperlink r:id="rId444" ref="C445"/>
    <hyperlink r:id="rId445" ref="C446"/>
    <hyperlink r:id="rId446" ref="D447"/>
    <hyperlink r:id="rId447" ref="D448"/>
    <hyperlink r:id="rId448" ref="D449"/>
    <hyperlink r:id="rId449" ref="D450"/>
    <hyperlink r:id="rId450" ref="D451"/>
    <hyperlink r:id="rId451" ref="D452"/>
    <hyperlink r:id="rId452" ref="D453"/>
    <hyperlink r:id="rId453" location="kf"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C467"/>
    <hyperlink r:id="rId467" ref="D467"/>
    <hyperlink r:id="rId468" ref="D468"/>
    <hyperlink r:id="rId469" ref="D469"/>
    <hyperlink r:id="rId470" ref="D470"/>
    <hyperlink r:id="rId471" ref="D471"/>
    <hyperlink r:id="rId472" location="kf" ref="D472"/>
    <hyperlink r:id="rId473" ref="D473"/>
    <hyperlink r:id="rId474" ref="D474"/>
    <hyperlink r:id="rId475" ref="D475"/>
    <hyperlink r:id="rId476" ref="D476"/>
    <hyperlink r:id="rId477" ref="D477"/>
    <hyperlink r:id="rId478" ref="D478"/>
    <hyperlink r:id="rId479" ref="D479"/>
    <hyperlink r:id="rId480" ref="D480"/>
    <hyperlink r:id="rId481" location="Overview" ref="D481"/>
    <hyperlink r:id="rId482" ref="D482"/>
    <hyperlink r:id="rId483" ref="D483"/>
    <hyperlink r:id="rId484" ref="D484"/>
    <hyperlink r:id="rId485" ref="D485"/>
    <hyperlink r:id="rId486" ref="D486"/>
    <hyperlink r:id="rId487" ref="D487"/>
    <hyperlink r:id="rId488" location="kf" ref="D488"/>
    <hyperlink r:id="rId489" location="kf" ref="D489"/>
    <hyperlink r:id="rId490" location="kf" ref="D490"/>
    <hyperlink r:id="rId491" ref="D491"/>
    <hyperlink r:id="rId492" ref="D492"/>
    <hyperlink r:id="rId493" ref="D493"/>
    <hyperlink r:id="rId494" ref="D494"/>
    <hyperlink r:id="rId495" ref="D495"/>
    <hyperlink r:id="rId496" ref="D496"/>
    <hyperlink r:id="rId497" ref="D497"/>
    <hyperlink r:id="rId498" ref="D498"/>
    <hyperlink r:id="rId499" ref="D499"/>
    <hyperlink r:id="rId500" ref="D500"/>
    <hyperlink r:id="rId501" ref="C501"/>
    <hyperlink r:id="rId502" ref="D501"/>
    <hyperlink r:id="rId503" ref="D502"/>
    <hyperlink r:id="rId504" location="Overview" ref="D503"/>
    <hyperlink r:id="rId505" ref="D504"/>
    <hyperlink r:id="rId506" ref="D505"/>
    <hyperlink r:id="rId507" ref="D506"/>
    <hyperlink r:id="rId508" ref="D507"/>
    <hyperlink r:id="rId509" ref="D508"/>
    <hyperlink r:id="rId510" ref="D509"/>
    <hyperlink r:id="rId511" ref="D510"/>
    <hyperlink r:id="rId512" ref="D511"/>
    <hyperlink r:id="rId513" location="kf" ref="D512"/>
    <hyperlink r:id="rId514" location="kf" ref="D513"/>
    <hyperlink r:id="rId515" location="kf" ref="D514"/>
    <hyperlink r:id="rId516" ref="D515"/>
    <hyperlink r:id="rId517" ref="D516"/>
    <hyperlink r:id="rId518" ref="D517"/>
    <hyperlink r:id="rId519" ref="D518"/>
    <hyperlink r:id="rId520" ref="D519"/>
    <hyperlink r:id="rId521" ref="D520"/>
    <hyperlink r:id="rId522" ref="D521"/>
    <hyperlink r:id="rId523" ref="D522"/>
    <hyperlink r:id="rId524" ref="D523"/>
    <hyperlink r:id="rId525" ref="D524"/>
    <hyperlink r:id="rId526" ref="D525"/>
    <hyperlink r:id="rId527" ref="D526"/>
    <hyperlink r:id="rId528" ref="C527"/>
    <hyperlink r:id="rId529" ref="D527"/>
    <hyperlink r:id="rId530" ref="C528"/>
    <hyperlink r:id="rId531" ref="D528"/>
    <hyperlink r:id="rId532" ref="C529"/>
    <hyperlink r:id="rId533" ref="D529"/>
    <hyperlink r:id="rId534" ref="C530"/>
    <hyperlink r:id="rId535" ref="D530"/>
    <hyperlink r:id="rId536" ref="D531"/>
    <hyperlink r:id="rId537" ref="C532"/>
    <hyperlink r:id="rId538" ref="D532"/>
    <hyperlink r:id="rId539" ref="C533"/>
    <hyperlink r:id="rId540" ref="D533"/>
    <hyperlink r:id="rId541" ref="C534"/>
    <hyperlink r:id="rId542" ref="D534"/>
    <hyperlink r:id="rId543" ref="C535"/>
    <hyperlink r:id="rId544" ref="D535"/>
    <hyperlink r:id="rId545" ref="D536"/>
    <hyperlink r:id="rId546" ref="C537"/>
    <hyperlink r:id="rId547" ref="D537"/>
    <hyperlink r:id="rId548" ref="C538"/>
    <hyperlink r:id="rId549" ref="D538"/>
    <hyperlink r:id="rId550" ref="C539"/>
    <hyperlink r:id="rId551" ref="D539"/>
    <hyperlink r:id="rId552" ref="D540"/>
    <hyperlink r:id="rId553" ref="C541"/>
    <hyperlink r:id="rId554" ref="D541"/>
    <hyperlink r:id="rId555" ref="C542"/>
    <hyperlink r:id="rId556" ref="D542"/>
    <hyperlink r:id="rId557" ref="D543"/>
    <hyperlink r:id="rId558" ref="D544"/>
    <hyperlink r:id="rId559" ref="D545"/>
    <hyperlink r:id="rId560" ref="D546"/>
    <hyperlink r:id="rId561" ref="C547"/>
    <hyperlink r:id="rId562" ref="D547"/>
    <hyperlink r:id="rId563" ref="C548"/>
    <hyperlink r:id="rId564" ref="D548"/>
    <hyperlink r:id="rId565" ref="C549"/>
    <hyperlink r:id="rId566" ref="D549"/>
    <hyperlink r:id="rId567" ref="C550"/>
    <hyperlink r:id="rId568" ref="D550"/>
    <hyperlink r:id="rId569" ref="C551"/>
    <hyperlink r:id="rId570" ref="D551"/>
    <hyperlink r:id="rId571" ref="D552"/>
    <hyperlink r:id="rId572" ref="D553"/>
    <hyperlink r:id="rId573" ref="D554"/>
    <hyperlink r:id="rId574" ref="D555"/>
    <hyperlink r:id="rId575" ref="D556"/>
    <hyperlink r:id="rId576" ref="D557"/>
    <hyperlink r:id="rId577" ref="D558"/>
    <hyperlink r:id="rId578" ref="D559"/>
    <hyperlink r:id="rId579" ref="D560"/>
    <hyperlink r:id="rId580" ref="D561"/>
    <hyperlink r:id="rId581" ref="D562"/>
    <hyperlink r:id="rId582" ref="D563"/>
    <hyperlink r:id="rId583" ref="D564"/>
    <hyperlink r:id="rId584" ref="D565"/>
    <hyperlink r:id="rId585" ref="D566"/>
    <hyperlink r:id="rId586" ref="D567"/>
    <hyperlink r:id="rId587" ref="D568"/>
    <hyperlink r:id="rId588" ref="D569"/>
    <hyperlink r:id="rId589" ref="D570"/>
    <hyperlink r:id="rId590" ref="D571"/>
    <hyperlink r:id="rId591" ref="D572"/>
    <hyperlink r:id="rId592" ref="C573"/>
    <hyperlink r:id="rId593" ref="D573"/>
    <hyperlink r:id="rId594" ref="C574"/>
    <hyperlink r:id="rId595" ref="D574"/>
    <hyperlink r:id="rId596" ref="C575"/>
    <hyperlink r:id="rId597" ref="D575"/>
    <hyperlink r:id="rId598" ref="C576"/>
    <hyperlink r:id="rId599" ref="D576"/>
    <hyperlink r:id="rId600" ref="C577"/>
    <hyperlink r:id="rId601" ref="D577"/>
    <hyperlink r:id="rId602" ref="C578"/>
    <hyperlink r:id="rId603" ref="D578"/>
    <hyperlink r:id="rId604" location="kf" ref="D579"/>
    <hyperlink r:id="rId605" location="kf" ref="D580"/>
    <hyperlink r:id="rId606" location="kf" ref="D581"/>
    <hyperlink r:id="rId607" location="kf" ref="D582"/>
    <hyperlink r:id="rId608" location="kf" ref="D583"/>
    <hyperlink r:id="rId609" location="kf" ref="D584"/>
    <hyperlink r:id="rId610" location="kf" ref="D585"/>
    <hyperlink r:id="rId611" location="kf" ref="D586"/>
    <hyperlink r:id="rId612" location="kf" ref="D587"/>
    <hyperlink r:id="rId613" ref="C588"/>
    <hyperlink r:id="rId614" ref="D588"/>
    <hyperlink r:id="rId615" ref="C589"/>
    <hyperlink r:id="rId616" ref="D589"/>
    <hyperlink r:id="rId617" ref="C590"/>
    <hyperlink r:id="rId618" ref="D590"/>
    <hyperlink r:id="rId619" ref="D591"/>
    <hyperlink r:id="rId620" ref="D592"/>
    <hyperlink r:id="rId621" ref="D593"/>
    <hyperlink r:id="rId622" ref="D594"/>
    <hyperlink r:id="rId623" ref="D595"/>
    <hyperlink r:id="rId624" ref="D596"/>
    <hyperlink r:id="rId625" ref="D597"/>
    <hyperlink r:id="rId626" ref="D598"/>
    <hyperlink r:id="rId627" ref="D599"/>
    <hyperlink r:id="rId628" ref="D600"/>
    <hyperlink r:id="rId629" ref="D601"/>
    <hyperlink r:id="rId630" ref="D602"/>
    <hyperlink r:id="rId631" ref="D603"/>
    <hyperlink r:id="rId632" ref="D604"/>
    <hyperlink r:id="rId633" ref="D605"/>
    <hyperlink r:id="rId634" ref="D606"/>
    <hyperlink r:id="rId635" ref="D607"/>
    <hyperlink r:id="rId636" ref="D608"/>
    <hyperlink r:id="rId637" ref="D609"/>
    <hyperlink r:id="rId638" ref="D610"/>
    <hyperlink r:id="rId639" ref="D611"/>
    <hyperlink r:id="rId640" ref="D612"/>
    <hyperlink r:id="rId641" ref="D613"/>
    <hyperlink r:id="rId642" ref="D614"/>
    <hyperlink r:id="rId643" ref="D615"/>
    <hyperlink r:id="rId644" ref="D616"/>
    <hyperlink r:id="rId645" ref="D617"/>
    <hyperlink r:id="rId646" ref="D618"/>
    <hyperlink r:id="rId647" ref="D619"/>
    <hyperlink r:id="rId648" ref="D620"/>
    <hyperlink r:id="rId649" ref="D621"/>
    <hyperlink r:id="rId650" ref="C622"/>
    <hyperlink r:id="rId651" ref="D622"/>
    <hyperlink r:id="rId652" ref="C623"/>
    <hyperlink r:id="rId653" location="_pp=0_625_44" ref="D623"/>
    <hyperlink r:id="rId654" ref="D624"/>
    <hyperlink r:id="rId655" ref="D625"/>
    <hyperlink r:id="rId656" ref="D626"/>
    <hyperlink r:id="rId657" ref="C627"/>
    <hyperlink r:id="rId658" ref="D627"/>
    <hyperlink r:id="rId659" ref="C628"/>
    <hyperlink r:id="rId660" ref="D628"/>
    <hyperlink r:id="rId661" ref="C629"/>
    <hyperlink r:id="rId662" ref="D629"/>
    <hyperlink r:id="rId663" location="kf" ref="D630"/>
    <hyperlink r:id="rId664" location="kf" ref="D631"/>
    <hyperlink r:id="rId665" location="kf" ref="D632"/>
    <hyperlink r:id="rId666" ref="D633"/>
    <hyperlink r:id="rId667" ref="D634"/>
    <hyperlink r:id="rId668" ref="C635"/>
    <hyperlink r:id="rId669" location="_pp=0_625_44" ref="D635"/>
    <hyperlink r:id="rId670" ref="D636"/>
    <hyperlink r:id="rId671" ref="D637"/>
    <hyperlink r:id="rId672" ref="D638"/>
    <hyperlink r:id="rId673" ref="C639"/>
    <hyperlink r:id="rId674" ref="D639"/>
    <hyperlink r:id="rId675" ref="C640"/>
    <hyperlink r:id="rId676" ref="D640"/>
    <hyperlink r:id="rId677" ref="C641"/>
    <hyperlink r:id="rId678" ref="D641"/>
    <hyperlink r:id="rId679" ref="C642"/>
    <hyperlink r:id="rId680" ref="D642"/>
    <hyperlink r:id="rId681" ref="D643"/>
    <hyperlink r:id="rId682" ref="D644"/>
    <hyperlink r:id="rId683" ref="D645"/>
    <hyperlink r:id="rId684" ref="D646"/>
    <hyperlink r:id="rId685" ref="D647"/>
    <hyperlink r:id="rId686" ref="C648"/>
    <hyperlink r:id="rId687" location="_pp=0_625_61" ref="D648"/>
    <hyperlink r:id="rId688" ref="D649"/>
    <hyperlink r:id="rId689" ref="D650"/>
    <hyperlink r:id="rId690" ref="D651"/>
    <hyperlink r:id="rId691" ref="C652"/>
    <hyperlink r:id="rId692" ref="D652"/>
    <hyperlink r:id="rId693" ref="C653"/>
    <hyperlink r:id="rId694" ref="D653"/>
    <hyperlink r:id="rId695" ref="C654"/>
    <hyperlink r:id="rId696" ref="D654"/>
    <hyperlink r:id="rId697" location="kf" ref="D655"/>
    <hyperlink r:id="rId698" ref="D656"/>
    <hyperlink r:id="rId699" ref="D657"/>
    <hyperlink r:id="rId700" ref="D658"/>
    <hyperlink r:id="rId701" ref="C659"/>
    <hyperlink r:id="rId702" location="_pp=0_625_37" ref="D659"/>
    <hyperlink r:id="rId703" ref="C660"/>
    <hyperlink r:id="rId704" location="_pp=0_625_37" ref="D660"/>
    <hyperlink r:id="rId705" ref="C661"/>
    <hyperlink r:id="rId706" location="_pp=0_625_37" ref="D661"/>
    <hyperlink r:id="rId707" ref="D662"/>
    <hyperlink r:id="rId708" ref="D663"/>
    <hyperlink r:id="rId709" ref="D664"/>
    <hyperlink r:id="rId710" ref="D665"/>
    <hyperlink r:id="rId711" ref="D666"/>
    <hyperlink r:id="rId712" ref="C667"/>
    <hyperlink r:id="rId713" ref="D667"/>
    <hyperlink r:id="rId714" ref="C668"/>
    <hyperlink r:id="rId715" ref="D668"/>
    <hyperlink r:id="rId716" ref="C669"/>
    <hyperlink r:id="rId717" ref="D669"/>
    <hyperlink r:id="rId718" ref="C670"/>
    <hyperlink r:id="rId719" ref="D670"/>
    <hyperlink r:id="rId720" ref="C671"/>
    <hyperlink r:id="rId721" ref="D671"/>
    <hyperlink r:id="rId722" ref="C672"/>
    <hyperlink r:id="rId723" ref="D672"/>
    <hyperlink r:id="rId724" ref="C673"/>
    <hyperlink r:id="rId725" ref="D673"/>
    <hyperlink r:id="rId726" ref="C674"/>
    <hyperlink r:id="rId727" ref="D674"/>
    <hyperlink r:id="rId728" ref="D675"/>
    <hyperlink r:id="rId729" ref="D676"/>
    <hyperlink r:id="rId730" ref="C679"/>
    <hyperlink r:id="rId731" ref="C680"/>
    <hyperlink r:id="rId732" ref="C681"/>
    <hyperlink r:id="rId733" location="kf" ref="D684"/>
    <hyperlink r:id="rId734" location="kf" ref="D685"/>
    <hyperlink r:id="rId735" ref="D686"/>
    <hyperlink r:id="rId736" ref="D687"/>
    <hyperlink r:id="rId737" ref="C688"/>
    <hyperlink r:id="rId738" ref="D688"/>
    <hyperlink r:id="rId739" ref="D691"/>
    <hyperlink r:id="rId740" ref="D692"/>
    <hyperlink r:id="rId741" ref="D693"/>
    <hyperlink r:id="rId742" ref="D694"/>
    <hyperlink r:id="rId743" ref="C699"/>
    <hyperlink r:id="rId744" location="_pp=0_625_60" ref="D699"/>
    <hyperlink r:id="rId745" ref="C700"/>
    <hyperlink r:id="rId746" location="_pp=0_625_60" ref="D700"/>
    <hyperlink r:id="rId747" ref="D701"/>
    <hyperlink r:id="rId748" ref="D702"/>
    <hyperlink r:id="rId749" ref="D703"/>
    <hyperlink r:id="rId750" ref="D704"/>
    <hyperlink r:id="rId751" ref="D705"/>
    <hyperlink r:id="rId752" ref="D706"/>
    <hyperlink r:id="rId753" ref="D707"/>
    <hyperlink r:id="rId754" ref="D708"/>
    <hyperlink r:id="rId755" ref="D709"/>
    <hyperlink r:id="rId756" ref="D710"/>
    <hyperlink r:id="rId757" ref="D711"/>
    <hyperlink r:id="rId758" ref="C712"/>
    <hyperlink r:id="rId759" ref="D712"/>
    <hyperlink r:id="rId760" ref="C713"/>
    <hyperlink r:id="rId761" ref="D713"/>
    <hyperlink r:id="rId762" ref="C714"/>
    <hyperlink r:id="rId763" ref="D714"/>
    <hyperlink r:id="rId764" ref="C715"/>
    <hyperlink r:id="rId765" ref="D715"/>
    <hyperlink r:id="rId766" ref="C716"/>
    <hyperlink r:id="rId767" ref="D716"/>
    <hyperlink r:id="rId768" ref="C717"/>
    <hyperlink r:id="rId769" ref="D717"/>
    <hyperlink r:id="rId770" ref="C718"/>
    <hyperlink r:id="rId771" ref="D718"/>
    <hyperlink r:id="rId772" ref="C721"/>
    <hyperlink r:id="rId773" ref="C722"/>
    <hyperlink r:id="rId774" ref="C723"/>
    <hyperlink r:id="rId775" ref="C724"/>
    <hyperlink r:id="rId776" location="kf" ref="D726"/>
    <hyperlink r:id="rId777" location="kf" ref="D727"/>
    <hyperlink r:id="rId778" ref="D728"/>
    <hyperlink r:id="rId779" ref="D729"/>
    <hyperlink r:id="rId780" ref="D730"/>
    <hyperlink r:id="rId781" ref="C731"/>
    <hyperlink r:id="rId782" ref="D731"/>
    <hyperlink r:id="rId783" ref="D735"/>
    <hyperlink r:id="rId784" ref="D736"/>
    <hyperlink r:id="rId785" ref="D737"/>
    <hyperlink r:id="rId786" ref="D738"/>
    <hyperlink r:id="rId787" ref="D739"/>
    <hyperlink r:id="rId788" ref="D740"/>
    <hyperlink r:id="rId789" ref="C744"/>
    <hyperlink r:id="rId790" location="_pp=0_625_36" ref="D744"/>
    <hyperlink r:id="rId791" ref="C745"/>
    <hyperlink r:id="rId792" location="_pp=0_625_36" ref="D745"/>
    <hyperlink r:id="rId793" ref="D746"/>
    <hyperlink r:id="rId794" ref="D747"/>
    <hyperlink r:id="rId795" ref="D748"/>
    <hyperlink r:id="rId796" ref="D749"/>
    <hyperlink r:id="rId797" ref="D750"/>
    <hyperlink r:id="rId798" ref="D751"/>
    <hyperlink r:id="rId799" ref="D752"/>
    <hyperlink r:id="rId800" ref="D753"/>
    <hyperlink r:id="rId801" ref="C754"/>
    <hyperlink r:id="rId802" ref="D754"/>
    <hyperlink r:id="rId803" ref="C755"/>
    <hyperlink r:id="rId804" ref="D755"/>
    <hyperlink r:id="rId805" ref="C756"/>
    <hyperlink r:id="rId806" ref="D756"/>
    <hyperlink r:id="rId807" ref="C757"/>
    <hyperlink r:id="rId808" ref="D757"/>
    <hyperlink r:id="rId809" ref="C758"/>
    <hyperlink r:id="rId810" ref="D758"/>
    <hyperlink r:id="rId811" ref="C759"/>
    <hyperlink r:id="rId812" ref="D759"/>
    <hyperlink r:id="rId813" ref="C760"/>
    <hyperlink r:id="rId814" ref="D760"/>
    <hyperlink r:id="rId815" ref="C761"/>
    <hyperlink r:id="rId816" ref="D761"/>
    <hyperlink r:id="rId817" ref="C762"/>
    <hyperlink r:id="rId818" ref="D762"/>
    <hyperlink r:id="rId819" ref="C763"/>
    <hyperlink r:id="rId820" ref="D763"/>
    <hyperlink r:id="rId821" ref="D764"/>
    <hyperlink r:id="rId822" ref="D765"/>
    <hyperlink r:id="rId823" ref="C768"/>
    <hyperlink r:id="rId824" ref="C769"/>
    <hyperlink r:id="rId825" location="kf" ref="D771"/>
    <hyperlink r:id="rId826" location="kf" ref="D772"/>
    <hyperlink r:id="rId827" location="kf" ref="D773"/>
    <hyperlink r:id="rId828" location="kf" ref="D774"/>
    <hyperlink r:id="rId829" ref="D775"/>
    <hyperlink r:id="rId830" ref="C776"/>
    <hyperlink r:id="rId831" ref="D776"/>
    <hyperlink r:id="rId832" ref="D779"/>
    <hyperlink r:id="rId833" ref="D780"/>
    <hyperlink r:id="rId834" ref="D781"/>
    <hyperlink r:id="rId835" ref="D782"/>
    <hyperlink r:id="rId836" ref="D783"/>
    <hyperlink r:id="rId837" ref="D784"/>
    <hyperlink r:id="rId838" ref="C788"/>
    <hyperlink r:id="rId839" location="_pp=0_625_47" ref="D788"/>
    <hyperlink r:id="rId840" ref="C789"/>
    <hyperlink r:id="rId841" location="_pp=0_625_47" ref="D789"/>
    <hyperlink r:id="rId842" ref="C790"/>
    <hyperlink r:id="rId843" location="_pp=0_625_47" ref="D790"/>
    <hyperlink r:id="rId844" ref="D791"/>
    <hyperlink r:id="rId845" ref="D792"/>
    <hyperlink r:id="rId846" ref="D793"/>
    <hyperlink r:id="rId847" ref="D794"/>
    <hyperlink r:id="rId848" ref="D795"/>
    <hyperlink r:id="rId849" ref="D796"/>
    <hyperlink r:id="rId850" ref="D797"/>
    <hyperlink r:id="rId851" ref="D798"/>
    <hyperlink r:id="rId852" ref="D799"/>
    <hyperlink r:id="rId853" ref="D800"/>
    <hyperlink r:id="rId854" ref="D801"/>
    <hyperlink r:id="rId855" ref="D802"/>
    <hyperlink r:id="rId856" ref="D803"/>
    <hyperlink r:id="rId857" ref="D804"/>
    <hyperlink r:id="rId858" ref="C805"/>
    <hyperlink r:id="rId859" ref="D805"/>
    <hyperlink r:id="rId860" ref="C806"/>
    <hyperlink r:id="rId861" ref="D806"/>
    <hyperlink r:id="rId862" ref="C807"/>
    <hyperlink r:id="rId863" ref="D807"/>
    <hyperlink r:id="rId864" ref="C808"/>
    <hyperlink r:id="rId865" ref="D808"/>
    <hyperlink r:id="rId866" ref="C809"/>
    <hyperlink r:id="rId867" ref="D809"/>
    <hyperlink r:id="rId868" ref="C810"/>
    <hyperlink r:id="rId869" ref="D810"/>
    <hyperlink r:id="rId870" ref="C811"/>
    <hyperlink r:id="rId871" ref="D811"/>
    <hyperlink r:id="rId872" ref="C812"/>
    <hyperlink r:id="rId873" ref="D812"/>
    <hyperlink r:id="rId874" ref="C813"/>
    <hyperlink r:id="rId875" ref="D813"/>
    <hyperlink r:id="rId876" ref="C814"/>
    <hyperlink r:id="rId877" ref="D814"/>
    <hyperlink r:id="rId878" ref="C815"/>
    <hyperlink r:id="rId879" ref="D815"/>
    <hyperlink r:id="rId880" ref="C816"/>
    <hyperlink r:id="rId881" ref="D816"/>
    <hyperlink r:id="rId882" ref="C817"/>
    <hyperlink r:id="rId883" ref="D817"/>
    <hyperlink r:id="rId884" ref="C818"/>
    <hyperlink r:id="rId885" ref="D818"/>
    <hyperlink r:id="rId886" ref="D819"/>
    <hyperlink r:id="rId887" ref="D820"/>
    <hyperlink r:id="rId888" ref="D821"/>
    <hyperlink r:id="rId889" ref="D822"/>
    <hyperlink r:id="rId890" ref="D826"/>
    <hyperlink r:id="rId891" ref="C827"/>
    <hyperlink r:id="rId892" ref="C828"/>
    <hyperlink r:id="rId893" ref="C829"/>
    <hyperlink r:id="rId894" location="kf" ref="D831"/>
    <hyperlink r:id="rId895" location="kf" ref="D832"/>
    <hyperlink r:id="rId896" location="kf" ref="D833"/>
    <hyperlink r:id="rId897" location="kf" ref="D834"/>
    <hyperlink r:id="rId898" location="kf" ref="D835"/>
    <hyperlink r:id="rId899" location="kf" ref="D836"/>
    <hyperlink r:id="rId900" ref="D837"/>
    <hyperlink r:id="rId901" ref="D838"/>
    <hyperlink r:id="rId902" ref="D839"/>
    <hyperlink r:id="rId903" ref="D840"/>
    <hyperlink r:id="rId904" ref="D841"/>
    <hyperlink r:id="rId905" ref="D846"/>
    <hyperlink r:id="rId906" ref="D847"/>
    <hyperlink r:id="rId907" ref="D848"/>
    <hyperlink r:id="rId908" ref="D849"/>
    <hyperlink r:id="rId909" ref="D850"/>
    <hyperlink r:id="rId910" ref="D851"/>
    <hyperlink r:id="rId911" ref="D852"/>
    <hyperlink r:id="rId912" ref="D853"/>
    <hyperlink r:id="rId913" ref="D854"/>
    <hyperlink r:id="rId914" ref="C862"/>
    <hyperlink r:id="rId915" ref="D862"/>
    <hyperlink r:id="rId916" ref="D863"/>
    <hyperlink r:id="rId917" ref="D864"/>
    <hyperlink r:id="rId918" ref="C865"/>
    <hyperlink r:id="rId919" ref="D865"/>
    <hyperlink r:id="rId920" ref="D866"/>
    <hyperlink r:id="rId921" ref="D867"/>
    <hyperlink r:id="rId922" ref="D868"/>
    <hyperlink r:id="rId923" ref="C869"/>
    <hyperlink r:id="rId924" ref="D869"/>
    <hyperlink r:id="rId925" ref="C870"/>
    <hyperlink r:id="rId926" ref="D870"/>
    <hyperlink r:id="rId927" ref="C871"/>
    <hyperlink r:id="rId928" ref="D871"/>
    <hyperlink r:id="rId929" ref="C872"/>
    <hyperlink r:id="rId930" ref="D872"/>
    <hyperlink r:id="rId931" location="kf" ref="D873"/>
    <hyperlink r:id="rId932" location="kf" ref="D874"/>
    <hyperlink r:id="rId933" ref="D875"/>
    <hyperlink r:id="rId934" ref="D876"/>
    <hyperlink r:id="rId935" ref="D877"/>
    <hyperlink r:id="rId936" ref="D878"/>
    <hyperlink r:id="rId937" ref="D879"/>
    <hyperlink r:id="rId938" ref="D880"/>
    <hyperlink r:id="rId939" ref="D881"/>
    <hyperlink r:id="rId940" ref="D882"/>
    <hyperlink r:id="rId941" ref="C883"/>
    <hyperlink r:id="rId942" ref="D883"/>
    <hyperlink r:id="rId943" ref="C884"/>
    <hyperlink r:id="rId944" location="_pp=0_625_47" ref="D884"/>
    <hyperlink r:id="rId945" ref="D885"/>
    <hyperlink r:id="rId946" ref="D886"/>
    <hyperlink r:id="rId947" ref="D887"/>
    <hyperlink r:id="rId948" ref="D888"/>
    <hyperlink r:id="rId949" ref="D889"/>
    <hyperlink r:id="rId950" ref="D890"/>
    <hyperlink r:id="rId951" ref="D891"/>
    <hyperlink r:id="rId952" ref="D892"/>
    <hyperlink r:id="rId953" ref="D893"/>
    <hyperlink r:id="rId954" ref="D894"/>
    <hyperlink r:id="rId955" ref="D895"/>
    <hyperlink r:id="rId956" ref="D896"/>
    <hyperlink r:id="rId957" ref="D897"/>
    <hyperlink r:id="rId958" ref="D898"/>
    <hyperlink r:id="rId959" ref="D899"/>
    <hyperlink r:id="rId960" ref="C900"/>
    <hyperlink r:id="rId961" ref="D900"/>
    <hyperlink r:id="rId962" ref="C901"/>
    <hyperlink r:id="rId963" ref="D901"/>
    <hyperlink r:id="rId964" ref="C902"/>
    <hyperlink r:id="rId965" ref="D902"/>
    <hyperlink r:id="rId966" ref="C903"/>
    <hyperlink r:id="rId967" ref="D903"/>
    <hyperlink r:id="rId968" ref="C904"/>
    <hyperlink r:id="rId969" ref="D904"/>
    <hyperlink r:id="rId970" ref="C905"/>
    <hyperlink r:id="rId971" ref="D905"/>
    <hyperlink r:id="rId972" ref="C906"/>
    <hyperlink r:id="rId973" ref="D906"/>
    <hyperlink r:id="rId974" ref="C907"/>
    <hyperlink r:id="rId975" ref="D907"/>
    <hyperlink r:id="rId976" ref="C908"/>
    <hyperlink r:id="rId977" ref="D908"/>
    <hyperlink r:id="rId978" ref="C909"/>
    <hyperlink r:id="rId979" ref="C910"/>
    <hyperlink r:id="rId980" ref="D910"/>
    <hyperlink r:id="rId981" ref="C911"/>
    <hyperlink r:id="rId982" ref="D911"/>
    <hyperlink r:id="rId983" ref="C912"/>
    <hyperlink r:id="rId984" ref="C913"/>
    <hyperlink r:id="rId985" ref="C914"/>
    <hyperlink r:id="rId986" ref="C915"/>
    <hyperlink r:id="rId987" ref="D915"/>
    <hyperlink r:id="rId988" ref="C916"/>
    <hyperlink r:id="rId989" ref="D916"/>
    <hyperlink r:id="rId990" ref="D917"/>
    <hyperlink r:id="rId991" ref="D918"/>
    <hyperlink r:id="rId992" ref="D919"/>
    <hyperlink r:id="rId993" ref="D920"/>
    <hyperlink r:id="rId994" ref="D921"/>
    <hyperlink r:id="rId995" ref="D922"/>
    <hyperlink r:id="rId996" ref="D925"/>
    <hyperlink r:id="rId997" ref="D926"/>
    <hyperlink r:id="rId998" ref="D927"/>
    <hyperlink r:id="rId999" ref="C928"/>
    <hyperlink r:id="rId1000" ref="C929"/>
    <hyperlink r:id="rId1001" ref="C930"/>
    <hyperlink r:id="rId1002" ref="C931"/>
    <hyperlink r:id="rId1003" ref="D931"/>
    <hyperlink r:id="rId1004" ref="C932"/>
    <hyperlink r:id="rId1005" ref="D932"/>
    <hyperlink r:id="rId1006" ref="C933"/>
    <hyperlink r:id="rId1007" ref="D933"/>
    <hyperlink r:id="rId1008" location="kf" ref="D934"/>
    <hyperlink r:id="rId1009" location="kf" ref="D935"/>
    <hyperlink r:id="rId1010" location="kf" ref="D936"/>
    <hyperlink r:id="rId1011" location="kf" ref="D937"/>
    <hyperlink r:id="rId1012" location="kf" ref="D938"/>
    <hyperlink r:id="rId1013" location="kf" ref="D939"/>
    <hyperlink r:id="rId1014" location="kf" ref="D940"/>
    <hyperlink r:id="rId1015" location="kf" ref="D941"/>
    <hyperlink r:id="rId1016" location="kf" ref="D942"/>
    <hyperlink r:id="rId1017" ref="D943"/>
    <hyperlink r:id="rId1018" ref="D944"/>
    <hyperlink r:id="rId1019" ref="D945"/>
    <hyperlink r:id="rId1020" ref="D946"/>
    <hyperlink r:id="rId1021" ref="D947"/>
    <hyperlink r:id="rId1022" ref="D948"/>
    <hyperlink r:id="rId1023" ref="D949"/>
    <hyperlink r:id="rId1024" ref="D952"/>
    <hyperlink r:id="rId1025" ref="D953"/>
    <hyperlink r:id="rId1026" ref="D954"/>
    <hyperlink r:id="rId1027" ref="D955"/>
    <hyperlink r:id="rId1028" ref="D956"/>
    <hyperlink r:id="rId1029" ref="D957"/>
    <hyperlink r:id="rId1030" ref="D958"/>
    <hyperlink r:id="rId1031" ref="D959"/>
    <hyperlink r:id="rId1032" ref="D960"/>
    <hyperlink r:id="rId1033" ref="D961"/>
    <hyperlink r:id="rId1034" ref="D966"/>
    <hyperlink r:id="rId1035" ref="D972"/>
    <hyperlink r:id="rId1036" ref="C973"/>
    <hyperlink r:id="rId1037" location="_pp=0_625_47" ref="D973"/>
    <hyperlink r:id="rId1038" ref="C974"/>
    <hyperlink r:id="rId1039" location="_pp=0_625_47" ref="D974"/>
    <hyperlink r:id="rId1040" ref="D975"/>
    <hyperlink r:id="rId1041" ref="D976"/>
    <hyperlink r:id="rId1042" ref="D977"/>
    <hyperlink r:id="rId1043" ref="D978"/>
    <hyperlink r:id="rId1044" ref="D979"/>
    <hyperlink r:id="rId1045" ref="D980"/>
    <hyperlink r:id="rId1046" ref="D981"/>
    <hyperlink r:id="rId1047" ref="D982"/>
    <hyperlink r:id="rId1048" ref="D983"/>
    <hyperlink r:id="rId1049" ref="D984"/>
    <hyperlink r:id="rId1050" ref="D985"/>
    <hyperlink r:id="rId1051" ref="D986"/>
    <hyperlink r:id="rId1052" ref="D987"/>
    <hyperlink r:id="rId1053" ref="C988"/>
    <hyperlink r:id="rId1054" ref="D988"/>
    <hyperlink r:id="rId1055" ref="C989"/>
    <hyperlink r:id="rId1056" ref="D989"/>
    <hyperlink r:id="rId1057" ref="C990"/>
    <hyperlink r:id="rId1058" ref="D990"/>
    <hyperlink r:id="rId1059" ref="C991"/>
    <hyperlink r:id="rId1060" ref="D991"/>
    <hyperlink r:id="rId1061" ref="C992"/>
    <hyperlink r:id="rId1062" ref="D992"/>
    <hyperlink r:id="rId1063" ref="C993"/>
    <hyperlink r:id="rId1064" ref="D993"/>
    <hyperlink r:id="rId1065" ref="C994"/>
    <hyperlink r:id="rId1066" ref="D994"/>
    <hyperlink r:id="rId1067" ref="C995"/>
    <hyperlink r:id="rId1068" ref="D995"/>
    <hyperlink r:id="rId1069" ref="C996"/>
    <hyperlink r:id="rId1070" ref="D996"/>
    <hyperlink r:id="rId1071" ref="C997"/>
    <hyperlink r:id="rId1072" ref="D997"/>
    <hyperlink r:id="rId1073" ref="C998"/>
    <hyperlink r:id="rId1074" ref="D998"/>
    <hyperlink r:id="rId1075" ref="C999"/>
    <hyperlink r:id="rId1076" ref="D999"/>
    <hyperlink r:id="rId1077" ref="C1000"/>
    <hyperlink r:id="rId1078" ref="D1000"/>
    <hyperlink r:id="rId1079" ref="C1001"/>
    <hyperlink r:id="rId1080" ref="D1001"/>
    <hyperlink r:id="rId1081" ref="C1002"/>
    <hyperlink r:id="rId1082" ref="D1002"/>
    <hyperlink r:id="rId1083" ref="D1003"/>
    <hyperlink r:id="rId1084" ref="D1004"/>
    <hyperlink r:id="rId1085" ref="D1005"/>
    <hyperlink r:id="rId1086" ref="D1006"/>
    <hyperlink r:id="rId1087" ref="D1007"/>
    <hyperlink r:id="rId1088" ref="D1008"/>
    <hyperlink r:id="rId1089" ref="D1009"/>
    <hyperlink r:id="rId1090" ref="D1010"/>
    <hyperlink r:id="rId1091" ref="D1011"/>
    <hyperlink r:id="rId1092" ref="D1014"/>
    <hyperlink r:id="rId1093" ref="D1016"/>
    <hyperlink r:id="rId1094" ref="D1017"/>
    <hyperlink r:id="rId1095" ref="D1018"/>
    <hyperlink r:id="rId1096" ref="D1019"/>
    <hyperlink r:id="rId1097" ref="C1020"/>
    <hyperlink r:id="rId1098" ref="C1021"/>
    <hyperlink r:id="rId1099" ref="C1022"/>
    <hyperlink r:id="rId1100" ref="C1023"/>
    <hyperlink r:id="rId1101" ref="C1024"/>
    <hyperlink r:id="rId1102" ref="D1024"/>
    <hyperlink r:id="rId1103" ref="C1025"/>
    <hyperlink r:id="rId1104" ref="D1025"/>
    <hyperlink r:id="rId1105" ref="C1026"/>
    <hyperlink r:id="rId1106" ref="D1026"/>
    <hyperlink r:id="rId1107" ref="C1027"/>
    <hyperlink r:id="rId1108" ref="D1027"/>
    <hyperlink r:id="rId1109" ref="C1028"/>
    <hyperlink r:id="rId1110" ref="D1028"/>
    <hyperlink r:id="rId1111" ref="C1029"/>
    <hyperlink r:id="rId1112" ref="D1029"/>
    <hyperlink r:id="rId1113" ref="C1030"/>
    <hyperlink r:id="rId1114" ref="D1030"/>
    <hyperlink r:id="rId1115" location="kf" ref="D1031"/>
    <hyperlink r:id="rId1116" location="kf" ref="D1032"/>
    <hyperlink r:id="rId1117" location="kf" ref="D1033"/>
    <hyperlink r:id="rId1118" location="kf" ref="D1034"/>
    <hyperlink r:id="rId1119" location="kf" ref="D1035"/>
    <hyperlink r:id="rId1120" location="kf" ref="D1036"/>
    <hyperlink r:id="rId1121" location="kf" ref="D1037"/>
    <hyperlink r:id="rId1122" location="kf" ref="D1038"/>
    <hyperlink r:id="rId1123" location="kf" ref="D1039"/>
    <hyperlink r:id="rId1124" location="kf" ref="D1040"/>
    <hyperlink r:id="rId1125" ref="D1041"/>
    <hyperlink r:id="rId1126" ref="D1042"/>
    <hyperlink r:id="rId1127" ref="D1049"/>
    <hyperlink r:id="rId1128" ref="D1050"/>
    <hyperlink r:id="rId1129" ref="D1051"/>
    <hyperlink r:id="rId1130" ref="D1052"/>
    <hyperlink r:id="rId1131" ref="D1053"/>
    <hyperlink r:id="rId1132" ref="D1054"/>
    <hyperlink r:id="rId1133" ref="D1055"/>
    <hyperlink r:id="rId1134" ref="D1056"/>
    <hyperlink r:id="rId1135" ref="D1057"/>
    <hyperlink r:id="rId1136" ref="D1058"/>
    <hyperlink r:id="rId1137" ref="D1059"/>
    <hyperlink r:id="rId1138" ref="D1060"/>
    <hyperlink r:id="rId1139" ref="D1065"/>
    <hyperlink r:id="rId1140" ref="D1066"/>
    <hyperlink r:id="rId1141" ref="D1067"/>
    <hyperlink r:id="rId1142" ref="D1068"/>
    <hyperlink r:id="rId1143" ref="D1071"/>
    <hyperlink r:id="rId1144" ref="C1072"/>
    <hyperlink r:id="rId1145" location="_pp=0_625_47" ref="D1072"/>
    <hyperlink r:id="rId1146" ref="D1073"/>
    <hyperlink r:id="rId1147" ref="D1074"/>
    <hyperlink r:id="rId1148" ref="D1075"/>
    <hyperlink r:id="rId1149" ref="D1076"/>
    <hyperlink r:id="rId1150" ref="D1077"/>
    <hyperlink r:id="rId1151" ref="D1078"/>
    <hyperlink r:id="rId1152" ref="D1079"/>
    <hyperlink r:id="rId1153" ref="C1080"/>
    <hyperlink r:id="rId1154" ref="D1080"/>
    <hyperlink r:id="rId1155" ref="C1081"/>
    <hyperlink r:id="rId1156" ref="D1081"/>
    <hyperlink r:id="rId1157" ref="C1082"/>
    <hyperlink r:id="rId1158" ref="D1082"/>
    <hyperlink r:id="rId1159" ref="C1083"/>
    <hyperlink r:id="rId1160" ref="D1083"/>
    <hyperlink r:id="rId1161" ref="C1084"/>
    <hyperlink r:id="rId1162" ref="D1084"/>
    <hyperlink r:id="rId1163" ref="C1085"/>
    <hyperlink r:id="rId1164" ref="D1085"/>
    <hyperlink r:id="rId1165" ref="C1086"/>
    <hyperlink r:id="rId1166" ref="D1086"/>
    <hyperlink r:id="rId1167" ref="C1087"/>
    <hyperlink r:id="rId1168" ref="D1087"/>
    <hyperlink r:id="rId1169" ref="C1088"/>
    <hyperlink r:id="rId1170" ref="C1089"/>
    <hyperlink r:id="rId1171" ref="C1090"/>
    <hyperlink r:id="rId1172" ref="C1091"/>
    <hyperlink r:id="rId1173" ref="C1092"/>
    <hyperlink r:id="rId1174" ref="D1092"/>
    <hyperlink r:id="rId1175" ref="C1093"/>
    <hyperlink r:id="rId1176" ref="D1093"/>
    <hyperlink r:id="rId1177" ref="C1094"/>
    <hyperlink r:id="rId1178" ref="D1094"/>
    <hyperlink r:id="rId1179" ref="C1095"/>
    <hyperlink r:id="rId1180" ref="D1095"/>
    <hyperlink r:id="rId1181" ref="D1096"/>
    <hyperlink r:id="rId1182" ref="D1097"/>
    <hyperlink r:id="rId1183" ref="D1098"/>
    <hyperlink r:id="rId1184" ref="D1099"/>
    <hyperlink r:id="rId1185" ref="D1100"/>
    <hyperlink r:id="rId1186" ref="D1101"/>
    <hyperlink r:id="rId1187" ref="D1102"/>
    <hyperlink r:id="rId1188" ref="D1103"/>
    <hyperlink r:id="rId1189" ref="D1104"/>
    <hyperlink r:id="rId1190" ref="D1105"/>
    <hyperlink r:id="rId1191" ref="D1107"/>
    <hyperlink r:id="rId1192" ref="D1108"/>
    <hyperlink r:id="rId1193" ref="D1109"/>
    <hyperlink r:id="rId1194" ref="D1110"/>
    <hyperlink r:id="rId1195" ref="D1111"/>
    <hyperlink r:id="rId1196" ref="C1112"/>
    <hyperlink r:id="rId1197" ref="C1113"/>
    <hyperlink r:id="rId1198" ref="D1113"/>
    <hyperlink r:id="rId1199" ref="C1114"/>
    <hyperlink r:id="rId1200" ref="D1114"/>
    <hyperlink r:id="rId1201" ref="C1115"/>
    <hyperlink r:id="rId1202" ref="D1115"/>
    <hyperlink r:id="rId1203" ref="C1116"/>
    <hyperlink r:id="rId1204" ref="D1116"/>
    <hyperlink r:id="rId1205" ref="C1117"/>
    <hyperlink r:id="rId1206" ref="D1117"/>
    <hyperlink r:id="rId1207" ref="C1118"/>
    <hyperlink r:id="rId1208" ref="D1118"/>
    <hyperlink r:id="rId1209" ref="C1119"/>
    <hyperlink r:id="rId1210" ref="D1119"/>
    <hyperlink r:id="rId1211" ref="C1120"/>
    <hyperlink r:id="rId1212" ref="D1120"/>
    <hyperlink r:id="rId1213" ref="C1121"/>
    <hyperlink r:id="rId1214" ref="D1121"/>
    <hyperlink r:id="rId1215" location="kf" ref="D1122"/>
    <hyperlink r:id="rId1216" location="kf" ref="D1123"/>
    <hyperlink r:id="rId1217" location="kf" ref="D1124"/>
    <hyperlink r:id="rId1218" location="kf" ref="D1125"/>
    <hyperlink r:id="rId1219" location="kf" ref="D1126"/>
    <hyperlink r:id="rId1220" location="kf" ref="D1127"/>
    <hyperlink r:id="rId1221" location="kf" ref="D1128"/>
    <hyperlink r:id="rId1222" ref="D1129"/>
    <hyperlink r:id="rId1223" ref="D1130"/>
    <hyperlink r:id="rId1224" ref="D1131"/>
    <hyperlink r:id="rId1225" ref="D1132"/>
    <hyperlink r:id="rId1226" ref="D1133"/>
    <hyperlink r:id="rId1227" ref="D1134"/>
    <hyperlink r:id="rId1228" ref="D1135"/>
    <hyperlink r:id="rId1229" ref="D1136"/>
    <hyperlink r:id="rId1230" ref="D1141"/>
    <hyperlink r:id="rId1231" ref="D1142"/>
    <hyperlink r:id="rId1232" ref="D1143"/>
    <hyperlink r:id="rId1233" ref="D1144"/>
    <hyperlink r:id="rId1234" ref="D1145"/>
    <hyperlink r:id="rId1235" ref="D1146"/>
    <hyperlink r:id="rId1236" ref="D1147"/>
    <hyperlink r:id="rId1237" ref="D1148"/>
    <hyperlink r:id="rId1238" ref="D1149"/>
    <hyperlink r:id="rId1239" ref="D1150"/>
    <hyperlink r:id="rId1240" ref="D1151"/>
    <hyperlink r:id="rId1241" ref="D1154"/>
    <hyperlink r:id="rId1242" ref="D1155"/>
    <hyperlink r:id="rId1243" ref="D1156"/>
    <hyperlink r:id="rId1244" ref="D1157"/>
    <hyperlink r:id="rId1245" ref="D1158"/>
    <hyperlink r:id="rId1246" ref="D1159"/>
    <hyperlink r:id="rId1247" ref="D1160"/>
    <hyperlink r:id="rId1248" ref="D1167"/>
    <hyperlink r:id="rId1249" ref="C1168"/>
    <hyperlink r:id="rId1250" location="_pp=0_625_47" ref="D1168"/>
    <hyperlink r:id="rId1251" ref="C1169"/>
    <hyperlink r:id="rId1252" location="_pp=0_625_47" ref="D1169"/>
    <hyperlink r:id="rId1253" ref="D1170"/>
    <hyperlink r:id="rId1254" ref="D1171"/>
    <hyperlink r:id="rId1255" ref="D1172"/>
    <hyperlink r:id="rId1256" ref="D1173"/>
    <hyperlink r:id="rId1257" ref="D1174"/>
    <hyperlink r:id="rId1258" ref="D1175"/>
    <hyperlink r:id="rId1259" ref="D1176"/>
    <hyperlink r:id="rId1260" ref="D1177"/>
    <hyperlink r:id="rId1261" ref="D1178"/>
    <hyperlink r:id="rId1262" ref="D1179"/>
    <hyperlink r:id="rId1263" ref="D1180"/>
    <hyperlink r:id="rId1264" ref="C1181"/>
    <hyperlink r:id="rId1265" ref="D1181"/>
    <hyperlink r:id="rId1266" ref="C1182"/>
    <hyperlink r:id="rId1267" ref="D1182"/>
    <hyperlink r:id="rId1268" ref="C1183"/>
    <hyperlink r:id="rId1269" ref="D1183"/>
    <hyperlink r:id="rId1270" ref="C1184"/>
    <hyperlink r:id="rId1271" ref="D1184"/>
    <hyperlink r:id="rId1272" ref="C1185"/>
    <hyperlink r:id="rId1273" ref="D1185"/>
    <hyperlink r:id="rId1274" ref="C1186"/>
    <hyperlink r:id="rId1275" ref="D1186"/>
    <hyperlink r:id="rId1276" ref="C1187"/>
    <hyperlink r:id="rId1277" ref="D1187"/>
    <hyperlink r:id="rId1278" ref="C1188"/>
    <hyperlink r:id="rId1279" ref="D1188"/>
    <hyperlink r:id="rId1280" ref="C1189"/>
    <hyperlink r:id="rId1281" ref="D1189"/>
    <hyperlink r:id="rId1282" ref="C1190"/>
    <hyperlink r:id="rId1283" ref="D1190"/>
    <hyperlink r:id="rId1284" ref="D1191"/>
    <hyperlink r:id="rId1285" ref="D1192"/>
    <hyperlink r:id="rId1286" ref="D1193"/>
    <hyperlink r:id="rId1287" ref="D1194"/>
    <hyperlink r:id="rId1288" ref="D1195"/>
    <hyperlink r:id="rId1289" ref="D1196"/>
    <hyperlink r:id="rId1290" ref="D1197"/>
    <hyperlink r:id="rId1291" ref="D1198"/>
    <hyperlink r:id="rId1292" ref="D1199"/>
    <hyperlink r:id="rId1293" ref="D1200"/>
    <hyperlink r:id="rId1294" ref="D1201"/>
    <hyperlink r:id="rId1295" ref="D1202"/>
    <hyperlink r:id="rId1296" ref="D1205"/>
    <hyperlink r:id="rId1297" ref="D1206"/>
    <hyperlink r:id="rId1298" ref="D1207"/>
    <hyperlink r:id="rId1299" ref="D1208"/>
    <hyperlink r:id="rId1300" ref="D1209"/>
    <hyperlink r:id="rId1301" ref="C1210"/>
    <hyperlink r:id="rId1302" ref="C1211"/>
    <hyperlink r:id="rId1303" ref="C1212"/>
    <hyperlink r:id="rId1304" ref="C1213"/>
    <hyperlink r:id="rId1305" ref="C1214"/>
    <hyperlink r:id="rId1306" ref="D1214"/>
    <hyperlink r:id="rId1307" ref="C1215"/>
    <hyperlink r:id="rId1308" ref="D1215"/>
    <hyperlink r:id="rId1309" ref="C1216"/>
    <hyperlink r:id="rId1310" ref="D1216"/>
    <hyperlink r:id="rId1311" ref="C1217"/>
    <hyperlink r:id="rId1312" ref="D1217"/>
    <hyperlink r:id="rId1313" ref="C1218"/>
    <hyperlink r:id="rId1314" ref="D1218"/>
    <hyperlink r:id="rId1315" ref="C1219"/>
    <hyperlink r:id="rId1316" ref="D1219"/>
    <hyperlink r:id="rId1317" ref="C1220"/>
    <hyperlink r:id="rId1318" ref="D1220"/>
    <hyperlink r:id="rId1319" ref="C1221"/>
    <hyperlink r:id="rId1320" ref="D1221"/>
    <hyperlink r:id="rId1321" ref="C1222"/>
    <hyperlink r:id="rId1322" ref="D1222"/>
    <hyperlink r:id="rId1323" ref="C1223"/>
    <hyperlink r:id="rId1324" ref="D1223"/>
    <hyperlink r:id="rId1325" ref="C1224"/>
    <hyperlink r:id="rId1326" ref="D1224"/>
    <hyperlink r:id="rId1327" ref="C1225"/>
    <hyperlink r:id="rId1328" ref="D1225"/>
    <hyperlink r:id="rId1329" ref="C1226"/>
    <hyperlink r:id="rId1330" location="kf" ref="D1227"/>
    <hyperlink r:id="rId1331" location="kf" ref="D1228"/>
    <hyperlink r:id="rId1332" location="kf" ref="D1229"/>
    <hyperlink r:id="rId1333" location="kf" ref="D1230"/>
    <hyperlink r:id="rId1334" location="kf" ref="D1231"/>
    <hyperlink r:id="rId1335" location="kf" ref="D1232"/>
    <hyperlink r:id="rId1336" location="kf" ref="D1233"/>
    <hyperlink r:id="rId1337" location="kf" ref="D1234"/>
    <hyperlink r:id="rId1338" location="kf" ref="D1235"/>
    <hyperlink r:id="rId1339" location="kf" ref="D1236"/>
    <hyperlink r:id="rId1340" location="kf" ref="D1237"/>
    <hyperlink r:id="rId1341" ref="D1238"/>
    <hyperlink r:id="rId1342" ref="D1239"/>
    <hyperlink r:id="rId1343" ref="D1240"/>
    <hyperlink r:id="rId1344" ref="D1241"/>
    <hyperlink r:id="rId1345" ref="D1242"/>
    <hyperlink r:id="rId1346" ref="D1243"/>
    <hyperlink r:id="rId1347" ref="D1248"/>
    <hyperlink r:id="rId1348" ref="D1249"/>
    <hyperlink r:id="rId1349" ref="D1250"/>
    <hyperlink r:id="rId1350" ref="D1251"/>
    <hyperlink r:id="rId1351" ref="D1252"/>
    <hyperlink r:id="rId1352" ref="D1253"/>
    <hyperlink r:id="rId1353" ref="D1254"/>
    <hyperlink r:id="rId1354" ref="D1255"/>
    <hyperlink r:id="rId1355" ref="D1256"/>
    <hyperlink r:id="rId1356" ref="D1257"/>
    <hyperlink r:id="rId1357" ref="D1258"/>
    <hyperlink r:id="rId1358" ref="D1259"/>
    <hyperlink r:id="rId1359" ref="D1265"/>
    <hyperlink r:id="rId1360" ref="D1266"/>
    <hyperlink r:id="rId1361" ref="D1267"/>
    <hyperlink r:id="rId1362" ref="D1268"/>
    <hyperlink r:id="rId1363" ref="C1273"/>
    <hyperlink r:id="rId1364" location="_pp=0_625_47" ref="D1273"/>
    <hyperlink r:id="rId1365" ref="D1274"/>
    <hyperlink r:id="rId1366" ref="D1275"/>
    <hyperlink r:id="rId1367" ref="D1276"/>
    <hyperlink r:id="rId1368" ref="D1277"/>
    <hyperlink r:id="rId1369" ref="D1278"/>
    <hyperlink r:id="rId1370" ref="D1279"/>
    <hyperlink r:id="rId1371" ref="D1280"/>
    <hyperlink r:id="rId1372" ref="D1281"/>
    <hyperlink r:id="rId1373" ref="D1282"/>
    <hyperlink r:id="rId1374" ref="C1283"/>
    <hyperlink r:id="rId1375" ref="D1283"/>
    <hyperlink r:id="rId1376" ref="C1284"/>
    <hyperlink r:id="rId1377" ref="D1284"/>
    <hyperlink r:id="rId1378" ref="C1285"/>
    <hyperlink r:id="rId1379" ref="D1285"/>
    <hyperlink r:id="rId1380" ref="C1286"/>
    <hyperlink r:id="rId1381" ref="D1286"/>
    <hyperlink r:id="rId1382" ref="C1287"/>
    <hyperlink r:id="rId1383" ref="D1287"/>
    <hyperlink r:id="rId1384" ref="C1288"/>
    <hyperlink r:id="rId1385" ref="D1288"/>
    <hyperlink r:id="rId1386" ref="C1289"/>
    <hyperlink r:id="rId1387" ref="D1289"/>
    <hyperlink r:id="rId1388" ref="C1290"/>
    <hyperlink r:id="rId1389" ref="D1290"/>
    <hyperlink r:id="rId1390" ref="C1291"/>
    <hyperlink r:id="rId1391" ref="D1291"/>
    <hyperlink r:id="rId1392" ref="C1292"/>
    <hyperlink r:id="rId1393" ref="D1292"/>
    <hyperlink r:id="rId1394" ref="D1293"/>
    <hyperlink r:id="rId1395" ref="D1294"/>
    <hyperlink r:id="rId1396" ref="D1295"/>
    <hyperlink r:id="rId1397" ref="D1296"/>
    <hyperlink r:id="rId1398" ref="D1297"/>
    <hyperlink r:id="rId1399" ref="D1298"/>
    <hyperlink r:id="rId1400" ref="D1299"/>
    <hyperlink r:id="rId1401" ref="D1300"/>
    <hyperlink r:id="rId1402" ref="D1301"/>
    <hyperlink r:id="rId1403" ref="D1302"/>
    <hyperlink r:id="rId1404" ref="D1303"/>
    <hyperlink r:id="rId1405" ref="D1304"/>
    <hyperlink r:id="rId1406" ref="D1305"/>
    <hyperlink r:id="rId1407" ref="D1306"/>
    <hyperlink r:id="rId1408" ref="D1307"/>
    <hyperlink r:id="rId1409" ref="D1308"/>
    <hyperlink r:id="rId1410" ref="D1309"/>
    <hyperlink r:id="rId1411" ref="C1310"/>
    <hyperlink r:id="rId1412" ref="C1311"/>
    <hyperlink r:id="rId1413" ref="D1311"/>
    <hyperlink r:id="rId1414" ref="C1312"/>
    <hyperlink r:id="rId1415" ref="D1312"/>
    <hyperlink r:id="rId1416" ref="C1313"/>
    <hyperlink r:id="rId1417" ref="D1313"/>
    <hyperlink r:id="rId1418" ref="C1314"/>
    <hyperlink r:id="rId1419" ref="D1314"/>
    <hyperlink r:id="rId1420" ref="C1315"/>
    <hyperlink r:id="rId1421" ref="D1315"/>
    <hyperlink r:id="rId1422" ref="C1316"/>
    <hyperlink r:id="rId1423" ref="D1316"/>
    <hyperlink r:id="rId1424" ref="C1317"/>
    <hyperlink r:id="rId1425" ref="D1317"/>
    <hyperlink r:id="rId1426" ref="C1318"/>
    <hyperlink r:id="rId1427" ref="D1318"/>
    <hyperlink r:id="rId1428" ref="C1319"/>
    <hyperlink r:id="rId1429" ref="D1319"/>
    <hyperlink r:id="rId1430" location="kf" ref="D1320"/>
    <hyperlink r:id="rId1431" location="kf" ref="D1321"/>
    <hyperlink r:id="rId1432" location="kf" ref="D1322"/>
    <hyperlink r:id="rId1433" location="kf" ref="D1323"/>
    <hyperlink r:id="rId1434" location="kf" ref="D1324"/>
    <hyperlink r:id="rId1435" location="kf" ref="D1325"/>
    <hyperlink r:id="rId1436" location="kf" ref="D1326"/>
    <hyperlink r:id="rId1437" location="kf" ref="D1327"/>
    <hyperlink r:id="rId1438" location="kf" ref="D1328"/>
    <hyperlink r:id="rId1439" location="kf" ref="D1329"/>
    <hyperlink r:id="rId1440" ref="D1330"/>
    <hyperlink r:id="rId1441" ref="D1331"/>
    <hyperlink r:id="rId1442" ref="D1332"/>
    <hyperlink r:id="rId1443" ref="D1333"/>
    <hyperlink r:id="rId1444" ref="D1334"/>
    <hyperlink r:id="rId1445" ref="D1335"/>
    <hyperlink r:id="rId1446" ref="D1336"/>
    <hyperlink r:id="rId1447" ref="D1337"/>
    <hyperlink r:id="rId1448" ref="D1339"/>
    <hyperlink r:id="rId1449" ref="D1341"/>
    <hyperlink r:id="rId1450" ref="D1343"/>
    <hyperlink r:id="rId1451" ref="D1344"/>
    <hyperlink r:id="rId1452" ref="D1345"/>
    <hyperlink r:id="rId1453" ref="D1346"/>
    <hyperlink r:id="rId1454" ref="D1347"/>
    <hyperlink r:id="rId1455" ref="D1348"/>
    <hyperlink r:id="rId1456" ref="D1349"/>
    <hyperlink r:id="rId1457" ref="D1350"/>
    <hyperlink r:id="rId1458" ref="D1351"/>
    <hyperlink r:id="rId1459" ref="D1354"/>
    <hyperlink r:id="rId1460" ref="D1355"/>
    <hyperlink r:id="rId1461" ref="D1356"/>
    <hyperlink r:id="rId1462" ref="D1357"/>
    <hyperlink r:id="rId1463" ref="D1358"/>
    <hyperlink r:id="rId1464" ref="D1359"/>
    <hyperlink r:id="rId1465" ref="D1364"/>
    <hyperlink r:id="rId1466" ref="D1366"/>
    <hyperlink r:id="rId1467" ref="D1367"/>
    <hyperlink r:id="rId1468" ref="D1368"/>
    <hyperlink r:id="rId1469" ref="D1369"/>
    <hyperlink r:id="rId1470" ref="D1370"/>
    <hyperlink r:id="rId1471" ref="D1371"/>
    <hyperlink r:id="rId1472" ref="D1372"/>
    <hyperlink r:id="rId1473" ref="D1373"/>
    <hyperlink r:id="rId1474" ref="D1374"/>
    <hyperlink r:id="rId1475" ref="D1375"/>
    <hyperlink r:id="rId1476" ref="C1376"/>
    <hyperlink r:id="rId1477" ref="D1376"/>
    <hyperlink r:id="rId1478" ref="C1377"/>
    <hyperlink r:id="rId1479" ref="D1377"/>
    <hyperlink r:id="rId1480" ref="C1378"/>
    <hyperlink r:id="rId1481" ref="D1378"/>
    <hyperlink r:id="rId1482" ref="C1379"/>
    <hyperlink r:id="rId1483" ref="D1379"/>
    <hyperlink r:id="rId1484" ref="C1380"/>
    <hyperlink r:id="rId1485" ref="D1380"/>
    <hyperlink r:id="rId1486" ref="C1381"/>
    <hyperlink r:id="rId1487" ref="D1381"/>
    <hyperlink r:id="rId1488" ref="C1382"/>
    <hyperlink r:id="rId1489" ref="D1382"/>
    <hyperlink r:id="rId1490" ref="C1383"/>
    <hyperlink r:id="rId1491" ref="D1383"/>
    <hyperlink r:id="rId1492" ref="C1384"/>
    <hyperlink r:id="rId1493" ref="D1384"/>
    <hyperlink r:id="rId1494" ref="C1385"/>
    <hyperlink r:id="rId1495" ref="D1385"/>
    <hyperlink r:id="rId1496" ref="D1386"/>
    <hyperlink r:id="rId1497" ref="D1387"/>
    <hyperlink r:id="rId1498" ref="D1388"/>
    <hyperlink r:id="rId1499" ref="D1389"/>
    <hyperlink r:id="rId1500" ref="D1390"/>
    <hyperlink r:id="rId1501" ref="D1391"/>
    <hyperlink r:id="rId1502" ref="D1392"/>
    <hyperlink r:id="rId1503" ref="D1393"/>
    <hyperlink r:id="rId1504" ref="D1394"/>
    <hyperlink r:id="rId1505" ref="D1395"/>
    <hyperlink r:id="rId1506" ref="D1396"/>
    <hyperlink r:id="rId1507" ref="D1397"/>
    <hyperlink r:id="rId1508" ref="D1398"/>
    <hyperlink r:id="rId1509" ref="D1399"/>
    <hyperlink r:id="rId1510" ref="D1400"/>
    <hyperlink r:id="rId1511" ref="D1401"/>
    <hyperlink r:id="rId1512" ref="C1402"/>
    <hyperlink r:id="rId1513" ref="C1403"/>
    <hyperlink r:id="rId1514" ref="D1403"/>
    <hyperlink r:id="rId1515" ref="C1404"/>
    <hyperlink r:id="rId1516" ref="D1404"/>
    <hyperlink r:id="rId1517" ref="C1405"/>
    <hyperlink r:id="rId1518" ref="C1406"/>
    <hyperlink r:id="rId1519" ref="C1407"/>
    <hyperlink r:id="rId1520" ref="C1408"/>
    <hyperlink r:id="rId1521" ref="D1408"/>
    <hyperlink r:id="rId1522" ref="C1409"/>
    <hyperlink r:id="rId1523" ref="D1409"/>
    <hyperlink r:id="rId1524" ref="C1410"/>
    <hyperlink r:id="rId1525" ref="D1410"/>
    <hyperlink r:id="rId1526" ref="C1411"/>
    <hyperlink r:id="rId1527" ref="D1411"/>
    <hyperlink r:id="rId1528" ref="C1412"/>
    <hyperlink r:id="rId1529" ref="D1412"/>
    <hyperlink r:id="rId1530" location="kf" ref="D1413"/>
    <hyperlink r:id="rId1531" location="kf" ref="D1414"/>
    <hyperlink r:id="rId1532" location="kf" ref="D1415"/>
    <hyperlink r:id="rId1533" location="kf" ref="D1416"/>
    <hyperlink r:id="rId1534" location="kf" ref="D1417"/>
    <hyperlink r:id="rId1535" location="kf" ref="D1418"/>
    <hyperlink r:id="rId1536" location="kf" ref="D1419"/>
    <hyperlink r:id="rId1537" location="kf" ref="D1420"/>
    <hyperlink r:id="rId1538" location="kf" ref="D1421"/>
    <hyperlink r:id="rId1539" location="kf" ref="D1422"/>
    <hyperlink r:id="rId1540" ref="D1423"/>
    <hyperlink r:id="rId1541" ref="D1424"/>
    <hyperlink r:id="rId1542" ref="D1425"/>
    <hyperlink r:id="rId1543" ref="D1426"/>
    <hyperlink r:id="rId1544" ref="D1427"/>
    <hyperlink r:id="rId1545" ref="D1428"/>
    <hyperlink r:id="rId1546" ref="D1431"/>
    <hyperlink r:id="rId1547" ref="D1433"/>
    <hyperlink r:id="rId1548" ref="D1434"/>
    <hyperlink r:id="rId1549" ref="D1435"/>
    <hyperlink r:id="rId1550" ref="D1436"/>
    <hyperlink r:id="rId1551" ref="D1437"/>
    <hyperlink r:id="rId1552" ref="D1438"/>
    <hyperlink r:id="rId1553" ref="D1439"/>
    <hyperlink r:id="rId1554" ref="D1440"/>
    <hyperlink r:id="rId1555" ref="D1441"/>
    <hyperlink r:id="rId1556" ref="D1442"/>
    <hyperlink r:id="rId1557" ref="D1443"/>
    <hyperlink r:id="rId1558" ref="D1444"/>
    <hyperlink r:id="rId1559" ref="D1445"/>
    <hyperlink r:id="rId1560" ref="D1446"/>
    <hyperlink r:id="rId1561" ref="D1447"/>
    <hyperlink r:id="rId1562" ref="D1448"/>
    <hyperlink r:id="rId1563" ref="D1451"/>
    <hyperlink r:id="rId1564" ref="D1452"/>
    <hyperlink r:id="rId1565" ref="D1453"/>
    <hyperlink r:id="rId1566" ref="D1454"/>
    <hyperlink r:id="rId1567" ref="D1459"/>
    <hyperlink r:id="rId1568" ref="D1460"/>
    <hyperlink r:id="rId1569" ref="D1462"/>
    <hyperlink r:id="rId1570" ref="D1463"/>
    <hyperlink r:id="rId1571" ref="D1465"/>
    <hyperlink r:id="rId1572" ref="D1466"/>
    <hyperlink r:id="rId1573" ref="D1467"/>
    <hyperlink r:id="rId1574" ref="D1468"/>
    <hyperlink r:id="rId1575" ref="D1469"/>
    <hyperlink r:id="rId1576" ref="C1470"/>
    <hyperlink r:id="rId1577" ref="D1470"/>
    <hyperlink r:id="rId1578" ref="C1471"/>
    <hyperlink r:id="rId1579" ref="D1471"/>
    <hyperlink r:id="rId1580" ref="C1472"/>
    <hyperlink r:id="rId1581" ref="D1472"/>
    <hyperlink r:id="rId1582" ref="C1473"/>
    <hyperlink r:id="rId1583" ref="D1473"/>
    <hyperlink r:id="rId1584" ref="D1474"/>
    <hyperlink r:id="rId1585" ref="D1475"/>
    <hyperlink r:id="rId1586" ref="D1476"/>
    <hyperlink r:id="rId1587" ref="C1477"/>
    <hyperlink r:id="rId1588" ref="D1477"/>
    <hyperlink r:id="rId1589" ref="C1478"/>
    <hyperlink r:id="rId1590" ref="D1478"/>
    <hyperlink r:id="rId1591" ref="C1479"/>
    <hyperlink r:id="rId1592" ref="D1479"/>
    <hyperlink r:id="rId1593" location="kf" ref="D1480"/>
    <hyperlink r:id="rId1594" ref="D1481"/>
    <hyperlink r:id="rId1595" ref="D1482"/>
    <hyperlink r:id="rId1596" ref="C1483"/>
    <hyperlink r:id="rId1597" ref="D1483"/>
    <hyperlink r:id="rId1598" ref="C1484"/>
    <hyperlink r:id="rId1599" ref="D1484"/>
    <hyperlink r:id="rId1600" ref="D1485"/>
    <hyperlink r:id="rId1601" ref="D1486"/>
    <hyperlink r:id="rId1602" ref="C1487"/>
    <hyperlink r:id="rId1603" ref="D1487"/>
    <hyperlink r:id="rId1604" ref="D1488"/>
    <hyperlink r:id="rId1605" ref="D1489"/>
    <hyperlink r:id="rId1606" ref="D1490"/>
    <hyperlink r:id="rId1607" ref="D1491"/>
    <hyperlink r:id="rId1608" ref="D1492"/>
    <hyperlink r:id="rId1609" ref="D1493"/>
    <hyperlink r:id="rId1610" ref="D1494"/>
    <hyperlink r:id="rId1611" ref="D1495"/>
    <hyperlink r:id="rId1612" ref="D1496"/>
    <hyperlink r:id="rId1613" ref="D1497"/>
    <hyperlink r:id="rId1614" ref="D1498"/>
    <hyperlink r:id="rId1615" ref="C1499"/>
    <hyperlink r:id="rId1616" ref="D1499"/>
    <hyperlink r:id="rId1617" ref="D1500"/>
    <hyperlink r:id="rId1618" ref="D1501"/>
    <hyperlink r:id="rId1619" ref="D1502"/>
    <hyperlink r:id="rId1620" ref="D1503"/>
    <hyperlink r:id="rId1621" ref="D1504"/>
    <hyperlink r:id="rId1622" ref="C1505"/>
    <hyperlink r:id="rId1623" ref="D1505"/>
    <hyperlink r:id="rId1624" ref="C1506"/>
    <hyperlink r:id="rId1625" ref="D1506"/>
    <hyperlink r:id="rId1626" ref="C1507"/>
    <hyperlink r:id="rId1627" ref="D1507"/>
    <hyperlink r:id="rId1628" ref="D1508"/>
    <hyperlink r:id="rId1629" ref="D1509"/>
    <hyperlink r:id="rId1630" ref="D1510"/>
    <hyperlink r:id="rId1631" ref="D1511"/>
    <hyperlink r:id="rId1632" ref="D1512"/>
    <hyperlink r:id="rId1633" ref="C1513"/>
    <hyperlink r:id="rId1634" location="_pp=0_625_63" ref="D1513"/>
    <hyperlink r:id="rId1635" ref="D1514"/>
    <hyperlink r:id="rId1636" ref="D1515"/>
    <hyperlink r:id="rId1637" ref="D1516"/>
    <hyperlink r:id="rId1638" ref="D1517"/>
    <hyperlink r:id="rId1639" ref="D1518"/>
    <hyperlink r:id="rId1640" ref="D1519"/>
    <hyperlink r:id="rId1641" ref="D1520"/>
    <hyperlink r:id="rId1642" ref="D1521"/>
    <hyperlink r:id="rId1643" ref="D1522"/>
    <hyperlink r:id="rId1644" ref="D1523"/>
    <hyperlink r:id="rId1645" ref="D1524"/>
    <hyperlink r:id="rId1646" ref="D1525"/>
    <hyperlink r:id="rId1647" ref="C1526"/>
    <hyperlink r:id="rId1648" ref="D1526"/>
    <hyperlink r:id="rId1649" ref="C1527"/>
    <hyperlink r:id="rId1650" ref="D1527"/>
    <hyperlink r:id="rId1651" ref="C1528"/>
    <hyperlink r:id="rId1652" ref="D1528"/>
    <hyperlink r:id="rId1653" ref="C1529"/>
    <hyperlink r:id="rId1654" ref="D1529"/>
    <hyperlink r:id="rId1655" ref="C1530"/>
    <hyperlink r:id="rId1656" ref="D1530"/>
    <hyperlink r:id="rId1657" ref="C1531"/>
    <hyperlink r:id="rId1658" ref="D1531"/>
    <hyperlink r:id="rId1659" ref="C1532"/>
    <hyperlink r:id="rId1660" ref="D1532"/>
    <hyperlink r:id="rId1661" ref="C1533"/>
    <hyperlink r:id="rId1662" ref="D1533"/>
    <hyperlink r:id="rId1663" ref="C1534"/>
    <hyperlink r:id="rId1664" ref="D1534"/>
    <hyperlink r:id="rId1665" ref="C1535"/>
    <hyperlink r:id="rId1666" ref="D1535"/>
    <hyperlink r:id="rId1667" ref="C1536"/>
    <hyperlink r:id="rId1668" ref="D1536"/>
    <hyperlink r:id="rId1669" ref="C1537"/>
    <hyperlink r:id="rId1670" ref="D1537"/>
    <hyperlink r:id="rId1671" ref="C1538"/>
    <hyperlink r:id="rId1672" ref="D1538"/>
    <hyperlink r:id="rId1673" ref="C1539"/>
    <hyperlink r:id="rId1674" ref="D1539"/>
    <hyperlink r:id="rId1675" ref="C1540"/>
    <hyperlink r:id="rId1676" ref="D1540"/>
    <hyperlink r:id="rId1677" ref="C1541"/>
    <hyperlink r:id="rId1678" ref="D1541"/>
    <hyperlink r:id="rId1679" ref="C1542"/>
    <hyperlink r:id="rId1680" ref="D1542"/>
    <hyperlink r:id="rId1681" ref="C1543"/>
    <hyperlink r:id="rId1682" ref="D1543"/>
    <hyperlink r:id="rId1683" ref="C1544"/>
    <hyperlink r:id="rId1684" ref="D1544"/>
    <hyperlink r:id="rId1685" ref="C1545"/>
    <hyperlink r:id="rId1686" ref="D1545"/>
    <hyperlink r:id="rId1687" ref="D1546"/>
    <hyperlink r:id="rId1688" ref="D1547"/>
    <hyperlink r:id="rId1689" ref="D1548"/>
    <hyperlink r:id="rId1690" ref="D1549"/>
    <hyperlink r:id="rId1691" ref="D1550"/>
    <hyperlink r:id="rId1692" ref="C1551"/>
    <hyperlink r:id="rId1693" ref="D1551"/>
    <hyperlink r:id="rId1694" ref="C1552"/>
    <hyperlink r:id="rId1695" ref="D1552"/>
    <hyperlink r:id="rId1696" ref="C1553"/>
    <hyperlink r:id="rId1697" ref="D1553"/>
    <hyperlink r:id="rId1698" ref="C1554"/>
    <hyperlink r:id="rId1699" ref="D1554"/>
    <hyperlink r:id="rId1700" ref="C1555"/>
    <hyperlink r:id="rId1701" ref="D1555"/>
    <hyperlink r:id="rId1702" ref="C1556"/>
    <hyperlink r:id="rId1703" ref="D1556"/>
    <hyperlink r:id="rId1704" ref="C1557"/>
    <hyperlink r:id="rId1705" ref="D1557"/>
    <hyperlink r:id="rId1706" ref="C1558"/>
    <hyperlink r:id="rId1707" ref="D1558"/>
    <hyperlink r:id="rId1708" ref="C1559"/>
    <hyperlink r:id="rId1709" ref="D1559"/>
    <hyperlink r:id="rId1710" ref="C1560"/>
    <hyperlink r:id="rId1711" ref="D1560"/>
    <hyperlink r:id="rId1712" ref="C1561"/>
    <hyperlink r:id="rId1713" ref="D1561"/>
    <hyperlink r:id="rId1714" ref="C1562"/>
    <hyperlink r:id="rId1715" ref="D1562"/>
    <hyperlink r:id="rId1716" ref="C1563"/>
    <hyperlink r:id="rId1717" ref="D1563"/>
    <hyperlink r:id="rId1718" ref="C1564"/>
    <hyperlink r:id="rId1719" ref="D1564"/>
    <hyperlink r:id="rId1720" ref="C1565"/>
    <hyperlink r:id="rId1721" ref="D1565"/>
    <hyperlink r:id="rId1722" ref="C1566"/>
    <hyperlink r:id="rId1723" ref="D1566"/>
    <hyperlink r:id="rId1724" ref="C1567"/>
    <hyperlink r:id="rId1725" ref="D1567"/>
    <hyperlink r:id="rId1726" ref="C1568"/>
    <hyperlink r:id="rId1727" ref="D1568"/>
    <hyperlink r:id="rId1728" ref="C1569"/>
    <hyperlink r:id="rId1729" ref="D1569"/>
    <hyperlink r:id="rId1730" ref="C1570"/>
    <hyperlink r:id="rId1731" ref="D1570"/>
    <hyperlink r:id="rId1732" ref="C1571"/>
    <hyperlink r:id="rId1733" ref="D1571"/>
    <hyperlink r:id="rId1734" ref="C1572"/>
    <hyperlink r:id="rId1735" ref="D1572"/>
    <hyperlink r:id="rId1736" ref="C1573"/>
    <hyperlink r:id="rId1737" ref="D1573"/>
    <hyperlink r:id="rId1738" ref="D1574"/>
    <hyperlink r:id="rId1739" location="kf" ref="D1575"/>
    <hyperlink r:id="rId1740" ref="D1576"/>
    <hyperlink r:id="rId1741" location="kf" ref="D1577"/>
    <hyperlink r:id="rId1742" ref="D1578"/>
    <hyperlink r:id="rId1743" location="kf" ref="D1579"/>
    <hyperlink r:id="rId1744" location="kf" ref="D1580"/>
    <hyperlink r:id="rId1745" location="kf" ref="D1581"/>
    <hyperlink r:id="rId1746" location="kf" ref="D1582"/>
    <hyperlink r:id="rId1747" location="kf" ref="D1583"/>
    <hyperlink r:id="rId1748" ref="D1584"/>
    <hyperlink r:id="rId1749" ref="D1585"/>
    <hyperlink r:id="rId1750" ref="D1586"/>
    <hyperlink r:id="rId1751" ref="C1587"/>
    <hyperlink r:id="rId1752" ref="D1587"/>
    <hyperlink r:id="rId1753" ref="C1588"/>
    <hyperlink r:id="rId1754" ref="D1588"/>
    <hyperlink r:id="rId1755" ref="C1589"/>
    <hyperlink r:id="rId1756" ref="D1589"/>
    <hyperlink r:id="rId1757" ref="D1590"/>
    <hyperlink r:id="rId1758" ref="D1591"/>
    <hyperlink r:id="rId1759" ref="D1592"/>
    <hyperlink r:id="rId1760" ref="D1593"/>
    <hyperlink r:id="rId1761" ref="D1594"/>
    <hyperlink r:id="rId1762" ref="C1595"/>
    <hyperlink r:id="rId1763" ref="D1595"/>
    <hyperlink r:id="rId1764" ref="C1596"/>
    <hyperlink r:id="rId1765" ref="D1596"/>
    <hyperlink r:id="rId1766" ref="D1597"/>
    <hyperlink r:id="rId1767" ref="D1598"/>
    <hyperlink r:id="rId1768" ref="D1599"/>
    <hyperlink r:id="rId1769" ref="D1600"/>
    <hyperlink r:id="rId1770" ref="D1601"/>
    <hyperlink r:id="rId1771" ref="D1602"/>
    <hyperlink r:id="rId1772" ref="D1603"/>
    <hyperlink r:id="rId1773" ref="D1604"/>
    <hyperlink r:id="rId1774" ref="D1605"/>
    <hyperlink r:id="rId1775" ref="D1606"/>
    <hyperlink r:id="rId1776" ref="D1607"/>
    <hyperlink r:id="rId1777" ref="D1608"/>
    <hyperlink r:id="rId1778" ref="D1609"/>
    <hyperlink r:id="rId1779" ref="D1610"/>
    <hyperlink r:id="rId1780" ref="D1611"/>
    <hyperlink r:id="rId1781" ref="C1612"/>
    <hyperlink r:id="rId1782" ref="D1612"/>
    <hyperlink r:id="rId1783" ref="C1613"/>
    <hyperlink r:id="rId1784" ref="D1613"/>
    <hyperlink r:id="rId1785" ref="C1614"/>
    <hyperlink r:id="rId1786" ref="D1614"/>
    <hyperlink r:id="rId1787" ref="D1615"/>
    <hyperlink r:id="rId1788" ref="D1616"/>
    <hyperlink r:id="rId1789" ref="D1617"/>
    <hyperlink r:id="rId1790" ref="D1618"/>
    <hyperlink r:id="rId1791" ref="D1619"/>
    <hyperlink r:id="rId1792" ref="D1620"/>
    <hyperlink r:id="rId1793" ref="D1621"/>
    <hyperlink r:id="rId1794" ref="D1622"/>
    <hyperlink r:id="rId1795" ref="D1623"/>
    <hyperlink r:id="rId1796" ref="D1624"/>
    <hyperlink r:id="rId1797" ref="D1625"/>
    <hyperlink r:id="rId1798" ref="D1626"/>
    <hyperlink r:id="rId1799" ref="D1627"/>
    <hyperlink r:id="rId1800" ref="D1628"/>
    <hyperlink r:id="rId1801" ref="D1629"/>
    <hyperlink r:id="rId1802" ref="D1630"/>
    <hyperlink r:id="rId1803" ref="D1631"/>
    <hyperlink r:id="rId1804" ref="D1632"/>
    <hyperlink r:id="rId1805" ref="C1633"/>
    <hyperlink r:id="rId1806" location="_pp=0_625_63" ref="D1633"/>
    <hyperlink r:id="rId1807" ref="D1634"/>
    <hyperlink r:id="rId1808" ref="D1635"/>
    <hyperlink r:id="rId1809" ref="D1636"/>
    <hyperlink r:id="rId1810" ref="D1637"/>
    <hyperlink r:id="rId1811" ref="D1638"/>
    <hyperlink r:id="rId1812" ref="D1639"/>
    <hyperlink r:id="rId1813" ref="D1640"/>
    <hyperlink r:id="rId1814" ref="D1641"/>
    <hyperlink r:id="rId1815" ref="D1642"/>
    <hyperlink r:id="rId1816" ref="D1643"/>
    <hyperlink r:id="rId1817" ref="D1644"/>
    <hyperlink r:id="rId1818" ref="D1645"/>
    <hyperlink r:id="rId1819" ref="D1646"/>
    <hyperlink r:id="rId1820" ref="D1647"/>
    <hyperlink r:id="rId1821" ref="D1648"/>
    <hyperlink r:id="rId1822" ref="D1649"/>
    <hyperlink r:id="rId1823" ref="C1650"/>
    <hyperlink r:id="rId1824" ref="D1650"/>
    <hyperlink r:id="rId1825" ref="C1651"/>
    <hyperlink r:id="rId1826" ref="D1651"/>
    <hyperlink r:id="rId1827" ref="C1652"/>
    <hyperlink r:id="rId1828" ref="D1652"/>
    <hyperlink r:id="rId1829" ref="C1653"/>
    <hyperlink r:id="rId1830" ref="D1653"/>
    <hyperlink r:id="rId1831" ref="C1654"/>
    <hyperlink r:id="rId1832" ref="D1654"/>
    <hyperlink r:id="rId1833" ref="C1655"/>
    <hyperlink r:id="rId1834" ref="D1655"/>
    <hyperlink r:id="rId1835" ref="C1656"/>
    <hyperlink r:id="rId1836" ref="D1656"/>
    <hyperlink r:id="rId1837" ref="C1657"/>
    <hyperlink r:id="rId1838" ref="D1657"/>
    <hyperlink r:id="rId1839" ref="C1658"/>
    <hyperlink r:id="rId1840" ref="D1658"/>
    <hyperlink r:id="rId1841" ref="C1659"/>
    <hyperlink r:id="rId1842" ref="D1659"/>
    <hyperlink r:id="rId1843" ref="C1660"/>
    <hyperlink r:id="rId1844" ref="D1660"/>
    <hyperlink r:id="rId1845" ref="C1661"/>
    <hyperlink r:id="rId1846" ref="D1661"/>
    <hyperlink r:id="rId1847" ref="C1662"/>
    <hyperlink r:id="rId1848" ref="D1662"/>
    <hyperlink r:id="rId1849" ref="C1663"/>
    <hyperlink r:id="rId1850" ref="D1663"/>
    <hyperlink r:id="rId1851" ref="C1664"/>
    <hyperlink r:id="rId1852" ref="D1664"/>
    <hyperlink r:id="rId1853" ref="C1665"/>
    <hyperlink r:id="rId1854" ref="D1665"/>
    <hyperlink r:id="rId1855" ref="C1666"/>
    <hyperlink r:id="rId1856" ref="D1666"/>
    <hyperlink r:id="rId1857" ref="C1667"/>
    <hyperlink r:id="rId1858" ref="D1667"/>
    <hyperlink r:id="rId1859" ref="C1668"/>
    <hyperlink r:id="rId1860" ref="D1668"/>
    <hyperlink r:id="rId1861" ref="C1669"/>
    <hyperlink r:id="rId1862" ref="D1669"/>
    <hyperlink r:id="rId1863" ref="C1670"/>
    <hyperlink r:id="rId1864" ref="D1670"/>
    <hyperlink r:id="rId1865" ref="D1671"/>
    <hyperlink r:id="rId1866" ref="D1672"/>
    <hyperlink r:id="rId1867" ref="D1674"/>
    <hyperlink r:id="rId1868" ref="D1676"/>
    <hyperlink r:id="rId1869" ref="D1677"/>
    <hyperlink r:id="rId1870" ref="D1678"/>
    <hyperlink r:id="rId1871" ref="D1679"/>
    <hyperlink r:id="rId1872" ref="D1680"/>
    <hyperlink r:id="rId1873" ref="D1681"/>
    <hyperlink r:id="rId1874" ref="D1682"/>
    <hyperlink r:id="rId1875" ref="D1683"/>
    <hyperlink r:id="rId1876" ref="D1684"/>
    <hyperlink r:id="rId1877" ref="D1685"/>
    <hyperlink r:id="rId1878" ref="D1686"/>
    <hyperlink r:id="rId1879" ref="D1687"/>
    <hyperlink r:id="rId1880" ref="D1688"/>
    <hyperlink r:id="rId1881" ref="D1689"/>
    <hyperlink r:id="rId1882" ref="D1690"/>
    <hyperlink r:id="rId1883" ref="D1691"/>
    <hyperlink r:id="rId1884" ref="D1692"/>
    <hyperlink r:id="rId1885" ref="D1693"/>
    <hyperlink r:id="rId1886" ref="D1694"/>
    <hyperlink r:id="rId1887" ref="D1695"/>
    <hyperlink r:id="rId1888" ref="D1696"/>
    <hyperlink r:id="rId1889" ref="D1697"/>
    <hyperlink r:id="rId1890" ref="D1698"/>
    <hyperlink r:id="rId1891" ref="D1699"/>
    <hyperlink r:id="rId1892" ref="D1700"/>
    <hyperlink r:id="rId1893" ref="C1701"/>
    <hyperlink r:id="rId1894" ref="D1701"/>
    <hyperlink r:id="rId1895" ref="C1702"/>
    <hyperlink r:id="rId1896" ref="D1702"/>
    <hyperlink r:id="rId1897" ref="C1703"/>
    <hyperlink r:id="rId1898" ref="D1703"/>
    <hyperlink r:id="rId1899" ref="C1704"/>
    <hyperlink r:id="rId1900" ref="D1704"/>
    <hyperlink r:id="rId1901" ref="C1705"/>
    <hyperlink r:id="rId1902" ref="D1705"/>
    <hyperlink r:id="rId1903" ref="C1706"/>
    <hyperlink r:id="rId1904" ref="D1706"/>
    <hyperlink r:id="rId1905" ref="C1707"/>
    <hyperlink r:id="rId1906" ref="D1707"/>
    <hyperlink r:id="rId1907" ref="C1708"/>
    <hyperlink r:id="rId1908" ref="D1708"/>
    <hyperlink r:id="rId1909" ref="C1709"/>
    <hyperlink r:id="rId1910" ref="D1709"/>
    <hyperlink r:id="rId1911" ref="C1710"/>
    <hyperlink r:id="rId1912" ref="D1710"/>
    <hyperlink r:id="rId1913" ref="C1711"/>
    <hyperlink r:id="rId1914" ref="D1711"/>
    <hyperlink r:id="rId1915" ref="C1712"/>
    <hyperlink r:id="rId1916" ref="D1712"/>
    <hyperlink r:id="rId1917" ref="C1713"/>
    <hyperlink r:id="rId1918" ref="D1713"/>
    <hyperlink r:id="rId1919" ref="C1714"/>
    <hyperlink r:id="rId1920" ref="D1714"/>
    <hyperlink r:id="rId1921" ref="C1715"/>
    <hyperlink r:id="rId1922" ref="D1715"/>
    <hyperlink r:id="rId1923" ref="C1716"/>
    <hyperlink r:id="rId1924" ref="D1716"/>
    <hyperlink r:id="rId1925" ref="C1717"/>
    <hyperlink r:id="rId1926" ref="D1717"/>
    <hyperlink r:id="rId1927" ref="C1718"/>
    <hyperlink r:id="rId1928" ref="D1718"/>
    <hyperlink r:id="rId1929" ref="C1719"/>
    <hyperlink r:id="rId1930" ref="D1719"/>
    <hyperlink r:id="rId1931" ref="C1720"/>
    <hyperlink r:id="rId1932" ref="D1720"/>
    <hyperlink r:id="rId1933" ref="C1721"/>
    <hyperlink r:id="rId1934" ref="D1721"/>
    <hyperlink r:id="rId1935" location="kf" ref="D1722"/>
    <hyperlink r:id="rId1936" location="kf" ref="D1723"/>
    <hyperlink r:id="rId1937" location="kf" ref="D1724"/>
    <hyperlink r:id="rId1938" location="kf" ref="D1725"/>
    <hyperlink r:id="rId1939" location="kf" ref="D1726"/>
    <hyperlink r:id="rId1940" location="kf" ref="D1727"/>
    <hyperlink r:id="rId1941" location="kf" ref="D1728"/>
    <hyperlink r:id="rId1942" location="kf" ref="D1729"/>
    <hyperlink r:id="rId1943" location="kf" ref="D1731"/>
    <hyperlink r:id="rId1944" location="kf" ref="D1732"/>
    <hyperlink r:id="rId1945" location="kf" ref="D1733"/>
    <hyperlink r:id="rId1946" location="kf" ref="D1734"/>
    <hyperlink r:id="rId1947" location="kf" ref="D1735"/>
    <hyperlink r:id="rId1948" location="kf" ref="D1736"/>
    <hyperlink r:id="rId1949" location="kf" ref="D1737"/>
    <hyperlink r:id="rId1950" location="kf" ref="D1738"/>
    <hyperlink r:id="rId1951" location="kf" ref="D1739"/>
    <hyperlink r:id="rId1952" location="kf" ref="D1740"/>
    <hyperlink r:id="rId1953" ref="D1741"/>
    <hyperlink r:id="rId1954" ref="D1742"/>
    <hyperlink r:id="rId1955" ref="D1743"/>
    <hyperlink r:id="rId1956" ref="D1744"/>
    <hyperlink r:id="rId1957" ref="D1745"/>
    <hyperlink r:id="rId1958" ref="C1746"/>
    <hyperlink r:id="rId1959" ref="D1746"/>
    <hyperlink r:id="rId1960" ref="C1747"/>
    <hyperlink r:id="rId1961" ref="D1747"/>
    <hyperlink r:id="rId1962" ref="D1748"/>
    <hyperlink r:id="rId1963" ref="D1749"/>
    <hyperlink r:id="rId1964" ref="D1750"/>
    <hyperlink r:id="rId1965" ref="D1751"/>
    <hyperlink r:id="rId1966" ref="C1752"/>
    <hyperlink r:id="rId1967" ref="D1752"/>
    <hyperlink r:id="rId1968" ref="C1753"/>
    <hyperlink r:id="rId1969" ref="D1753"/>
    <hyperlink r:id="rId1970" ref="C1754"/>
    <hyperlink r:id="rId1971" ref="D1754"/>
    <hyperlink r:id="rId1972" ref="D1755"/>
    <hyperlink r:id="rId1973" ref="D1756"/>
    <hyperlink r:id="rId1974" ref="D1757"/>
    <hyperlink r:id="rId1975" ref="D1758"/>
    <hyperlink r:id="rId1976" ref="D1759"/>
    <hyperlink r:id="rId1977" ref="D1760"/>
    <hyperlink r:id="rId1978" ref="D1761"/>
    <hyperlink r:id="rId1979" ref="D1762"/>
    <hyperlink r:id="rId1980" ref="D1763"/>
    <hyperlink r:id="rId1981" ref="D1764"/>
    <hyperlink r:id="rId1982" ref="D1765"/>
    <hyperlink r:id="rId1983" ref="D1766"/>
    <hyperlink r:id="rId1984" ref="D1767"/>
    <hyperlink r:id="rId1985" ref="D1768"/>
    <hyperlink r:id="rId1986" ref="D1769"/>
    <hyperlink r:id="rId1987" ref="D1770"/>
    <hyperlink r:id="rId1988" ref="D1771"/>
    <hyperlink r:id="rId1989" ref="D1772"/>
    <hyperlink r:id="rId1990" ref="D1773"/>
    <hyperlink r:id="rId1991" ref="D1774"/>
    <hyperlink r:id="rId1992" ref="D1775"/>
    <hyperlink r:id="rId1993" ref="D1776"/>
    <hyperlink r:id="rId1994" ref="D1777"/>
    <hyperlink r:id="rId1995" ref="D1778"/>
    <hyperlink r:id="rId1996" ref="D1779"/>
    <hyperlink r:id="rId1997" ref="D1780"/>
    <hyperlink r:id="rId1998" ref="D1781"/>
    <hyperlink r:id="rId1999" ref="D1782"/>
    <hyperlink r:id="rId2000" ref="D1783"/>
    <hyperlink r:id="rId2001" ref="D1784"/>
    <hyperlink r:id="rId2002" ref="D1785"/>
    <hyperlink r:id="rId2003" ref="D1786"/>
    <hyperlink r:id="rId2004" ref="D1787"/>
    <hyperlink r:id="rId2005" ref="D1788"/>
    <hyperlink r:id="rId2006" ref="D1789"/>
    <hyperlink r:id="rId2007" ref="D1790"/>
    <hyperlink r:id="rId2008" ref="D1791"/>
    <hyperlink r:id="rId2009" ref="C1792"/>
    <hyperlink r:id="rId2010" ref="D1792"/>
    <hyperlink r:id="rId2011" ref="C1793"/>
    <hyperlink r:id="rId2012" ref="D1793"/>
    <hyperlink r:id="rId2013" ref="C1794"/>
    <hyperlink r:id="rId2014" ref="D1794"/>
    <hyperlink r:id="rId2015" ref="C1795"/>
    <hyperlink r:id="rId2016" ref="D1795"/>
    <hyperlink r:id="rId2017" ref="C1796"/>
    <hyperlink r:id="rId2018" ref="D1796"/>
    <hyperlink r:id="rId2019" ref="C1797"/>
    <hyperlink r:id="rId2020" ref="D1797"/>
    <hyperlink r:id="rId2021" ref="C1798"/>
    <hyperlink r:id="rId2022" ref="D1798"/>
    <hyperlink r:id="rId2023" ref="C1799"/>
    <hyperlink r:id="rId2024" ref="D1799"/>
    <hyperlink r:id="rId2025" ref="C1800"/>
    <hyperlink r:id="rId2026" ref="D1800"/>
    <hyperlink r:id="rId2027" ref="C1801"/>
    <hyperlink r:id="rId2028" ref="D1801"/>
    <hyperlink r:id="rId2029" ref="C1802"/>
    <hyperlink r:id="rId2030" ref="D1802"/>
    <hyperlink r:id="rId2031" ref="C1803"/>
    <hyperlink r:id="rId2032" ref="D1803"/>
    <hyperlink r:id="rId2033" ref="C1804"/>
    <hyperlink r:id="rId2034" ref="D1804"/>
    <hyperlink r:id="rId2035" ref="C1805"/>
    <hyperlink r:id="rId2036" ref="D1805"/>
    <hyperlink r:id="rId2037" ref="C1806"/>
    <hyperlink r:id="rId2038" ref="D1806"/>
    <hyperlink r:id="rId2039" ref="C1807"/>
    <hyperlink r:id="rId2040" ref="D1807"/>
    <hyperlink r:id="rId2041" ref="D1808"/>
    <hyperlink r:id="rId2042" ref="D1809"/>
    <hyperlink r:id="rId2043" ref="D1810"/>
    <hyperlink r:id="rId2044" ref="D1811"/>
    <hyperlink r:id="rId2045" ref="D1812"/>
    <hyperlink r:id="rId2046" ref="D1813"/>
    <hyperlink r:id="rId2047" ref="C1814"/>
    <hyperlink r:id="rId2048" ref="D1814"/>
    <hyperlink r:id="rId2049" ref="C1815"/>
    <hyperlink r:id="rId2050" ref="D1815"/>
    <hyperlink r:id="rId2051" ref="C1816"/>
    <hyperlink r:id="rId2052" ref="D1816"/>
    <hyperlink r:id="rId2053" ref="C1817"/>
    <hyperlink r:id="rId2054" ref="D1817"/>
    <hyperlink r:id="rId2055" ref="C1818"/>
    <hyperlink r:id="rId2056" ref="D1818"/>
    <hyperlink r:id="rId2057" ref="C1819"/>
    <hyperlink r:id="rId2058" ref="D1819"/>
    <hyperlink r:id="rId2059" ref="C1820"/>
    <hyperlink r:id="rId2060" ref="D1820"/>
    <hyperlink r:id="rId2061" ref="C1821"/>
    <hyperlink r:id="rId2062" ref="D1821"/>
    <hyperlink r:id="rId2063" ref="C1822"/>
    <hyperlink r:id="rId2064" ref="D1822"/>
    <hyperlink r:id="rId2065" ref="C1823"/>
    <hyperlink r:id="rId2066" ref="D1823"/>
    <hyperlink r:id="rId2067" ref="C1824"/>
    <hyperlink r:id="rId2068" ref="D1824"/>
    <hyperlink r:id="rId2069" ref="C1825"/>
    <hyperlink r:id="rId2070" ref="D1825"/>
    <hyperlink r:id="rId2071" ref="C1826"/>
    <hyperlink r:id="rId2072" ref="D1826"/>
    <hyperlink r:id="rId2073" ref="D1827"/>
    <hyperlink r:id="rId2074" ref="D1828"/>
    <hyperlink r:id="rId2075" ref="D1829"/>
    <hyperlink r:id="rId2076" ref="D1830"/>
    <hyperlink r:id="rId2077" ref="D1831"/>
    <hyperlink r:id="rId2078" ref="D1832"/>
    <hyperlink r:id="rId2079" ref="C1833"/>
    <hyperlink r:id="rId2080" ref="D1833"/>
    <hyperlink r:id="rId2081" ref="C1834"/>
    <hyperlink r:id="rId2082" ref="D1834"/>
    <hyperlink r:id="rId2083" ref="C1835"/>
    <hyperlink r:id="rId2084" location="_pp=0_625_63" ref="D1835"/>
    <hyperlink r:id="rId2085" ref="D1836"/>
    <hyperlink r:id="rId2086" ref="D1837"/>
    <hyperlink r:id="rId2087" ref="D1838"/>
    <hyperlink r:id="rId2088" ref="D1839"/>
    <hyperlink r:id="rId2089" ref="D1840"/>
    <hyperlink r:id="rId2090" ref="D1841"/>
    <hyperlink r:id="rId2091" ref="D1842"/>
    <hyperlink r:id="rId2092" ref="D1843"/>
    <hyperlink r:id="rId2093" ref="D1844"/>
    <hyperlink r:id="rId2094" ref="D1845"/>
    <hyperlink r:id="rId2095" ref="D1846"/>
    <hyperlink r:id="rId2096" ref="D1847"/>
    <hyperlink r:id="rId2097" ref="D1848"/>
    <hyperlink r:id="rId2098" ref="D1849"/>
    <hyperlink r:id="rId2099" ref="D1850"/>
    <hyperlink r:id="rId2100" ref="D1851"/>
    <hyperlink r:id="rId2101" ref="D1852"/>
    <hyperlink r:id="rId2102" ref="D1853"/>
    <hyperlink r:id="rId2103" ref="D1854"/>
    <hyperlink r:id="rId2104" ref="D1855"/>
    <hyperlink r:id="rId2105" ref="D1856"/>
    <hyperlink r:id="rId2106" ref="D1857"/>
    <hyperlink r:id="rId2107" ref="D1858"/>
    <hyperlink r:id="rId2108" ref="D1859"/>
    <hyperlink r:id="rId2109" ref="D1860"/>
    <hyperlink r:id="rId2110" ref="C1861"/>
    <hyperlink r:id="rId2111" ref="D1861"/>
    <hyperlink r:id="rId2112" ref="C1862"/>
    <hyperlink r:id="rId2113" ref="D1862"/>
    <hyperlink r:id="rId2114" ref="C1863"/>
    <hyperlink r:id="rId2115" ref="D1863"/>
    <hyperlink r:id="rId2116" ref="C1864"/>
    <hyperlink r:id="rId2117" ref="D1864"/>
    <hyperlink r:id="rId2118" ref="C1865"/>
    <hyperlink r:id="rId2119" ref="D1865"/>
    <hyperlink r:id="rId2120" ref="C1866"/>
    <hyperlink r:id="rId2121" ref="D1866"/>
    <hyperlink r:id="rId2122" ref="C1867"/>
    <hyperlink r:id="rId2123" ref="D1867"/>
    <hyperlink r:id="rId2124" ref="C1868"/>
    <hyperlink r:id="rId2125" ref="D1868"/>
    <hyperlink r:id="rId2126" ref="C1869"/>
    <hyperlink r:id="rId2127" ref="D1869"/>
    <hyperlink r:id="rId2128" ref="C1870"/>
    <hyperlink r:id="rId2129" ref="D1870"/>
    <hyperlink r:id="rId2130" ref="C1871"/>
    <hyperlink r:id="rId2131" ref="D1871"/>
    <hyperlink r:id="rId2132" ref="C1872"/>
    <hyperlink r:id="rId2133" ref="D1872"/>
    <hyperlink r:id="rId2134" ref="C1873"/>
    <hyperlink r:id="rId2135" ref="D1873"/>
    <hyperlink r:id="rId2136" ref="C1874"/>
    <hyperlink r:id="rId2137" ref="D1874"/>
    <hyperlink r:id="rId2138" ref="C1875"/>
    <hyperlink r:id="rId2139" ref="D1875"/>
    <hyperlink r:id="rId2140" ref="C1876"/>
    <hyperlink r:id="rId2141" ref="D1876"/>
    <hyperlink r:id="rId2142" ref="C1877"/>
    <hyperlink r:id="rId2143" ref="D1877"/>
    <hyperlink r:id="rId2144" ref="C1878"/>
    <hyperlink r:id="rId2145" ref="D1878"/>
    <hyperlink r:id="rId2146" ref="C1879"/>
    <hyperlink r:id="rId2147" ref="D1879"/>
    <hyperlink r:id="rId2148" ref="C1880"/>
    <hyperlink r:id="rId2149" ref="D1880"/>
    <hyperlink r:id="rId2150" ref="C1881"/>
    <hyperlink r:id="rId2151" ref="D1881"/>
    <hyperlink r:id="rId2152" ref="C1882"/>
    <hyperlink r:id="rId2153" ref="D1882"/>
    <hyperlink r:id="rId2154" ref="D1883"/>
    <hyperlink r:id="rId2155" ref="D1885"/>
    <hyperlink r:id="rId2156" ref="D1886"/>
    <hyperlink r:id="rId2157" ref="D1888"/>
    <hyperlink r:id="rId2158" ref="D1890"/>
    <hyperlink r:id="rId2159" ref="D1891"/>
    <hyperlink r:id="rId2160" ref="D1892"/>
    <hyperlink r:id="rId2161" ref="D1893"/>
    <hyperlink r:id="rId2162" ref="D1894"/>
    <hyperlink r:id="rId2163" ref="D1895"/>
    <hyperlink r:id="rId2164" ref="D1896"/>
    <hyperlink r:id="rId2165" ref="D1897"/>
    <hyperlink r:id="rId2166" ref="D1898"/>
    <hyperlink r:id="rId2167" ref="D1899"/>
    <hyperlink r:id="rId2168" ref="D1900"/>
    <hyperlink r:id="rId2169" ref="D1901"/>
    <hyperlink r:id="rId2170" ref="D1902"/>
    <hyperlink r:id="rId2171" ref="D1903"/>
    <hyperlink r:id="rId2172" ref="D1904"/>
    <hyperlink r:id="rId2173" ref="D1905"/>
    <hyperlink r:id="rId2174" ref="D1906"/>
    <hyperlink r:id="rId2175" ref="D1907"/>
    <hyperlink r:id="rId2176" ref="D1908"/>
    <hyperlink r:id="rId2177" ref="D1909"/>
    <hyperlink r:id="rId2178" ref="D1910"/>
    <hyperlink r:id="rId2179" ref="D1911"/>
    <hyperlink r:id="rId2180" ref="D1912"/>
    <hyperlink r:id="rId2181" ref="D1913"/>
    <hyperlink r:id="rId2182" ref="D1914"/>
    <hyperlink r:id="rId2183" ref="D1915"/>
    <hyperlink r:id="rId2184" ref="C1916"/>
    <hyperlink r:id="rId2185" ref="D1916"/>
    <hyperlink r:id="rId2186" ref="C1917"/>
    <hyperlink r:id="rId2187" ref="D1917"/>
    <hyperlink r:id="rId2188" ref="C1918"/>
    <hyperlink r:id="rId2189" ref="D1918"/>
    <hyperlink r:id="rId2190" ref="C1919"/>
    <hyperlink r:id="rId2191" ref="D1919"/>
    <hyperlink r:id="rId2192" ref="C1920"/>
    <hyperlink r:id="rId2193" ref="D1920"/>
    <hyperlink r:id="rId2194" ref="C1921"/>
    <hyperlink r:id="rId2195" ref="D1921"/>
    <hyperlink r:id="rId2196" ref="C1922"/>
    <hyperlink r:id="rId2197" ref="D1922"/>
    <hyperlink r:id="rId2198" ref="C1923"/>
    <hyperlink r:id="rId2199" ref="D1923"/>
    <hyperlink r:id="rId2200" ref="C1924"/>
    <hyperlink r:id="rId2201" ref="D1924"/>
    <hyperlink r:id="rId2202" ref="C1925"/>
    <hyperlink r:id="rId2203" ref="D1925"/>
    <hyperlink r:id="rId2204" ref="C1926"/>
    <hyperlink r:id="rId2205" ref="D1926"/>
    <hyperlink r:id="rId2206" ref="C1927"/>
    <hyperlink r:id="rId2207" ref="D1927"/>
    <hyperlink r:id="rId2208" ref="C1928"/>
    <hyperlink r:id="rId2209" ref="D1928"/>
    <hyperlink r:id="rId2210" ref="C1929"/>
    <hyperlink r:id="rId2211" ref="D1929"/>
    <hyperlink r:id="rId2212" ref="C1930"/>
    <hyperlink r:id="rId2213" ref="D1930"/>
    <hyperlink r:id="rId2214" ref="C1931"/>
    <hyperlink r:id="rId2215" ref="D1931"/>
    <hyperlink r:id="rId2216" ref="C1932"/>
    <hyperlink r:id="rId2217" ref="D1932"/>
    <hyperlink r:id="rId2218" ref="C1933"/>
    <hyperlink r:id="rId2219" ref="D1933"/>
    <hyperlink r:id="rId2220" ref="C1934"/>
    <hyperlink r:id="rId2221" ref="D1934"/>
    <hyperlink r:id="rId2222" ref="C1935"/>
    <hyperlink r:id="rId2223" ref="D1935"/>
    <hyperlink r:id="rId2224" ref="C1936"/>
    <hyperlink r:id="rId2225" ref="D1936"/>
    <hyperlink r:id="rId2226" ref="C1937"/>
    <hyperlink r:id="rId2227" ref="D1937"/>
    <hyperlink r:id="rId2228" ref="C1938"/>
    <hyperlink r:id="rId2229" ref="D1938"/>
    <hyperlink r:id="rId2230" ref="C1939"/>
    <hyperlink r:id="rId2231" ref="D1939"/>
    <hyperlink r:id="rId2232" ref="C1940"/>
    <hyperlink r:id="rId2233" ref="D1940"/>
    <hyperlink r:id="rId2234" ref="C1941"/>
    <hyperlink r:id="rId2235" ref="D1941"/>
    <hyperlink r:id="rId2236" ref="C1942"/>
    <hyperlink r:id="rId2237" ref="D1942"/>
    <hyperlink r:id="rId2238" ref="C1943"/>
    <hyperlink r:id="rId2239" ref="D1943"/>
    <hyperlink r:id="rId2240" ref="C1944"/>
    <hyperlink r:id="rId2241" ref="D1944"/>
    <hyperlink r:id="rId2242" ref="C1945"/>
    <hyperlink r:id="rId2243" ref="D1945"/>
    <hyperlink r:id="rId2244" ref="C1946"/>
    <hyperlink r:id="rId2245" ref="D1946"/>
    <hyperlink r:id="rId2246" ref="C1947"/>
    <hyperlink r:id="rId2247" ref="D1947"/>
    <hyperlink r:id="rId2248" ref="C1948"/>
    <hyperlink r:id="rId2249" ref="D1948"/>
    <hyperlink r:id="rId2250" ref="C1949"/>
    <hyperlink r:id="rId2251" ref="D1949"/>
    <hyperlink r:id="rId2252" ref="C1950"/>
    <hyperlink r:id="rId2253" ref="D1950"/>
    <hyperlink r:id="rId2254" ref="C1951"/>
    <hyperlink r:id="rId2255" ref="D1951"/>
    <hyperlink r:id="rId2256" ref="C1952"/>
    <hyperlink r:id="rId2257" ref="D1952"/>
    <hyperlink r:id="rId2258" ref="C1953"/>
    <hyperlink r:id="rId2259" ref="D1953"/>
    <hyperlink r:id="rId2260" location="kf" ref="D1954"/>
    <hyperlink r:id="rId2261" location="kf" ref="D1955"/>
    <hyperlink r:id="rId2262" ref="D1956"/>
    <hyperlink r:id="rId2263" location="kf" ref="D1957"/>
    <hyperlink r:id="rId2264" ref="D1958"/>
    <hyperlink r:id="rId2265" location="kf" ref="D1959"/>
    <hyperlink r:id="rId2266" location="kf" ref="D1960"/>
    <hyperlink r:id="rId2267" location="kf" ref="D1961"/>
    <hyperlink r:id="rId2268" location="kf" ref="D1962"/>
    <hyperlink r:id="rId2269" location="kf" ref="D1963"/>
    <hyperlink r:id="rId2270" ref="D1964"/>
    <hyperlink r:id="rId2271" ref="D1965"/>
    <hyperlink r:id="rId2272" ref="D1966"/>
    <hyperlink r:id="rId2273" ref="D1967"/>
    <hyperlink r:id="rId2274" ref="D1968"/>
    <hyperlink r:id="rId2275" ref="D1969"/>
    <hyperlink r:id="rId2276" ref="D1970"/>
    <hyperlink r:id="rId2277" ref="D1971"/>
    <hyperlink r:id="rId2278" ref="C1972"/>
    <hyperlink r:id="rId2279" ref="D1972"/>
    <hyperlink r:id="rId2280" ref="C1973"/>
    <hyperlink r:id="rId2281" ref="D1973"/>
    <hyperlink r:id="rId2282" ref="D1974"/>
    <hyperlink r:id="rId2283" ref="D1975"/>
    <hyperlink r:id="rId2284" ref="D1976"/>
    <hyperlink r:id="rId2285" ref="D1977"/>
    <hyperlink r:id="rId2286" ref="C1978"/>
    <hyperlink r:id="rId2287" ref="D1978"/>
    <hyperlink r:id="rId2288" ref="C1979"/>
    <hyperlink r:id="rId2289" ref="C1980"/>
    <hyperlink r:id="rId2290" ref="D1980"/>
    <hyperlink r:id="rId2291" ref="C1981"/>
    <hyperlink r:id="rId2292" ref="D1981"/>
    <hyperlink r:id="rId2293" ref="D1982"/>
    <hyperlink r:id="rId2294" ref="D1983"/>
    <hyperlink r:id="rId2295" ref="D1984"/>
    <hyperlink r:id="rId2296" ref="D1985"/>
    <hyperlink r:id="rId2297" ref="D1986"/>
    <hyperlink r:id="rId2298" ref="D1987"/>
    <hyperlink r:id="rId2299" ref="D1988"/>
    <hyperlink r:id="rId2300" ref="D1989"/>
    <hyperlink r:id="rId2301" ref="D1990"/>
    <hyperlink r:id="rId2302" ref="D1991"/>
    <hyperlink r:id="rId2303" ref="D1992"/>
    <hyperlink r:id="rId2304" ref="D1993"/>
    <hyperlink r:id="rId2305" ref="D1994"/>
    <hyperlink r:id="rId2306" ref="D1995"/>
    <hyperlink r:id="rId2307" ref="D1996"/>
    <hyperlink r:id="rId2308" ref="D1997"/>
    <hyperlink r:id="rId2309" ref="D1998"/>
    <hyperlink r:id="rId2310" ref="D1999"/>
    <hyperlink r:id="rId2311" ref="D2000"/>
    <hyperlink r:id="rId2312" ref="D2001"/>
    <hyperlink r:id="rId2313" ref="D2002"/>
    <hyperlink r:id="rId2314" ref="D2003"/>
    <hyperlink r:id="rId2315" ref="D2004"/>
    <hyperlink r:id="rId2316" ref="D2005"/>
    <hyperlink r:id="rId2317" ref="D2006"/>
    <hyperlink r:id="rId2318" ref="D2007"/>
    <hyperlink r:id="rId2319" ref="D2008"/>
    <hyperlink r:id="rId2320" ref="D2009"/>
    <hyperlink r:id="rId2321" ref="D2010"/>
    <hyperlink r:id="rId2322" ref="D2011"/>
    <hyperlink r:id="rId2323" ref="D2012"/>
    <hyperlink r:id="rId2324" ref="D2013"/>
    <hyperlink r:id="rId2325" ref="D2014"/>
    <hyperlink r:id="rId2326" ref="D2015"/>
    <hyperlink r:id="rId2327" ref="D2016"/>
    <hyperlink r:id="rId2328" ref="D2017"/>
    <hyperlink r:id="rId2329" ref="D2018"/>
    <hyperlink r:id="rId2330" ref="D2019"/>
    <hyperlink r:id="rId2331" ref="D2020"/>
    <hyperlink r:id="rId2332" ref="D2021"/>
    <hyperlink r:id="rId2333" ref="D2022"/>
    <hyperlink r:id="rId2334" ref="C2023"/>
    <hyperlink r:id="rId2335" ref="D2023"/>
    <hyperlink r:id="rId2336" ref="D2024"/>
    <hyperlink r:id="rId2337" ref="D2025"/>
    <hyperlink r:id="rId2338" ref="D2026"/>
    <hyperlink r:id="rId2339" ref="D2027"/>
    <hyperlink r:id="rId2340" ref="D2028"/>
    <hyperlink r:id="rId2341" ref="D2029"/>
    <hyperlink r:id="rId2342" ref="D2030"/>
    <hyperlink r:id="rId2343" ref="D2031"/>
    <hyperlink r:id="rId2344" ref="D2032"/>
    <hyperlink r:id="rId2345" ref="D2033"/>
    <hyperlink r:id="rId2346" ref="D2034"/>
    <hyperlink r:id="rId2347" ref="D2035"/>
    <hyperlink r:id="rId2348" ref="D2036"/>
    <hyperlink r:id="rId2349" ref="D2037"/>
    <hyperlink r:id="rId2350" ref="D2038"/>
    <hyperlink r:id="rId2351" ref="D2039"/>
    <hyperlink r:id="rId2352" ref="D2040"/>
    <hyperlink r:id="rId2353" ref="D2041"/>
    <hyperlink r:id="rId2354" ref="D2042"/>
    <hyperlink r:id="rId2355" ref="D2043"/>
    <hyperlink r:id="rId2356" ref="D2044"/>
    <hyperlink r:id="rId2357" ref="D2045"/>
    <hyperlink r:id="rId2358" ref="D2046"/>
    <hyperlink r:id="rId2359" ref="D2047"/>
    <hyperlink r:id="rId2360" ref="D2048"/>
    <hyperlink r:id="rId2361" ref="C2049"/>
    <hyperlink r:id="rId2362" ref="D2049"/>
    <hyperlink r:id="rId2363" ref="C2050"/>
    <hyperlink r:id="rId2364" ref="D2050"/>
    <hyperlink r:id="rId2365" ref="C2051"/>
    <hyperlink r:id="rId2366" ref="D2051"/>
    <hyperlink r:id="rId2367" ref="C2052"/>
    <hyperlink r:id="rId2368" ref="D2052"/>
    <hyperlink r:id="rId2369" ref="C2053"/>
    <hyperlink r:id="rId2370" ref="D2053"/>
    <hyperlink r:id="rId2371" ref="C2054"/>
    <hyperlink r:id="rId2372" ref="D2054"/>
    <hyperlink r:id="rId2373" ref="C2055"/>
    <hyperlink r:id="rId2374" ref="D2055"/>
    <hyperlink r:id="rId2375" ref="C2056"/>
    <hyperlink r:id="rId2376" ref="D2056"/>
    <hyperlink r:id="rId2377" ref="C2057"/>
    <hyperlink r:id="rId2378" ref="D2057"/>
    <hyperlink r:id="rId2379" ref="C2058"/>
    <hyperlink r:id="rId2380" ref="D2058"/>
    <hyperlink r:id="rId2381" ref="D2063"/>
    <hyperlink r:id="rId2382" ref="D2064"/>
    <hyperlink r:id="rId2383" ref="D2065"/>
    <hyperlink r:id="rId2384" ref="D2066"/>
    <hyperlink r:id="rId2385" ref="D2067"/>
    <hyperlink r:id="rId2386" ref="D2068"/>
    <hyperlink r:id="rId2387" ref="C2069"/>
    <hyperlink r:id="rId2388" ref="D2069"/>
    <hyperlink r:id="rId2389" ref="C2070"/>
    <hyperlink r:id="rId2390" ref="D2070"/>
    <hyperlink r:id="rId2391" ref="C2071"/>
    <hyperlink r:id="rId2392" ref="D2071"/>
    <hyperlink r:id="rId2393" ref="C2072"/>
    <hyperlink r:id="rId2394" ref="D2072"/>
    <hyperlink r:id="rId2395" ref="C2073"/>
    <hyperlink r:id="rId2396" ref="D2073"/>
    <hyperlink r:id="rId2397" ref="C2074"/>
    <hyperlink r:id="rId2398" ref="D2074"/>
    <hyperlink r:id="rId2399" ref="C2075"/>
    <hyperlink r:id="rId2400" ref="D2075"/>
    <hyperlink r:id="rId2401" ref="C2076"/>
    <hyperlink r:id="rId2402" ref="D2076"/>
    <hyperlink r:id="rId2403" ref="C2077"/>
    <hyperlink r:id="rId2404" ref="D2077"/>
    <hyperlink r:id="rId2405" ref="C2078"/>
    <hyperlink r:id="rId2406" ref="D2078"/>
    <hyperlink r:id="rId2407" ref="C2079"/>
    <hyperlink r:id="rId2408" ref="D2079"/>
    <hyperlink r:id="rId2409" ref="C2080"/>
    <hyperlink r:id="rId2410" ref="D2080"/>
    <hyperlink r:id="rId2411" ref="C2081"/>
    <hyperlink r:id="rId2412" ref="D2081"/>
    <hyperlink r:id="rId2413" ref="C2082"/>
    <hyperlink r:id="rId2414" ref="D2082"/>
    <hyperlink r:id="rId2415" ref="C2083"/>
    <hyperlink r:id="rId2416" ref="D2083"/>
    <hyperlink r:id="rId2417" ref="C2084"/>
    <hyperlink r:id="rId2418" ref="D2084"/>
    <hyperlink r:id="rId2419" ref="C2085"/>
    <hyperlink r:id="rId2420" ref="D2085"/>
    <hyperlink r:id="rId2421" location="kf" ref="D2086"/>
    <hyperlink r:id="rId2422" location="kf" ref="D2087"/>
    <hyperlink r:id="rId2423" location="kf" ref="D2088"/>
    <hyperlink r:id="rId2424" location="kf" ref="D2089"/>
    <hyperlink r:id="rId2425" location="kf" ref="D2090"/>
    <hyperlink r:id="rId2426" ref="D2091"/>
    <hyperlink r:id="rId2427" ref="D2092"/>
    <hyperlink r:id="rId2428" ref="D2093"/>
    <hyperlink r:id="rId2429" ref="D2094"/>
    <hyperlink r:id="rId2430" ref="C2095"/>
    <hyperlink r:id="rId2431" ref="D2095"/>
    <hyperlink r:id="rId2432" ref="D2096"/>
    <hyperlink r:id="rId2433" ref="D2097"/>
    <hyperlink r:id="rId2434" ref="D2098"/>
    <hyperlink r:id="rId2435" ref="D2099"/>
    <hyperlink r:id="rId2436" ref="D2100"/>
    <hyperlink r:id="rId2437" ref="D2101"/>
    <hyperlink r:id="rId2438" ref="D2102"/>
    <hyperlink r:id="rId2439" ref="D2103"/>
    <hyperlink r:id="rId2440" ref="D2104"/>
    <hyperlink r:id="rId2441" ref="D2105"/>
    <hyperlink r:id="rId2442" ref="D2106"/>
    <hyperlink r:id="rId2443" ref="D2107"/>
    <hyperlink r:id="rId2444" ref="D2108"/>
    <hyperlink r:id="rId2445" ref="D2109"/>
    <hyperlink r:id="rId2446" ref="D2110"/>
    <hyperlink r:id="rId2447" ref="D2111"/>
    <hyperlink r:id="rId2448" ref="D2112"/>
    <hyperlink r:id="rId2449" ref="D2113"/>
    <hyperlink r:id="rId2450" ref="D2114"/>
    <hyperlink r:id="rId2451" ref="D2115"/>
    <hyperlink r:id="rId2452" ref="D2116"/>
    <hyperlink r:id="rId2453" ref="D2117"/>
    <hyperlink r:id="rId2454" ref="D2118"/>
    <hyperlink r:id="rId2455" ref="D2119"/>
    <hyperlink r:id="rId2456" ref="C2120"/>
    <hyperlink r:id="rId2457" location="_pp=0_625_63" ref="D2120"/>
    <hyperlink r:id="rId2458" ref="D2121"/>
    <hyperlink r:id="rId2459" ref="D2122"/>
    <hyperlink r:id="rId2460" ref="D2123"/>
    <hyperlink r:id="rId2461" ref="D2124"/>
    <hyperlink r:id="rId2462" ref="D2125"/>
    <hyperlink r:id="rId2463" ref="D2126"/>
    <hyperlink r:id="rId2464" ref="D2127"/>
    <hyperlink r:id="rId2465" ref="D2128"/>
    <hyperlink r:id="rId2466" ref="D2129"/>
    <hyperlink r:id="rId2467" ref="D2130"/>
    <hyperlink r:id="rId2468" ref="D2131"/>
    <hyperlink r:id="rId2469" ref="D2132"/>
    <hyperlink r:id="rId2470" ref="D2133"/>
    <hyperlink r:id="rId2471" ref="D2134"/>
    <hyperlink r:id="rId2472" ref="D2135"/>
    <hyperlink r:id="rId2473" ref="D2136"/>
    <hyperlink r:id="rId2474" ref="D2137"/>
    <hyperlink r:id="rId2475" ref="C2138"/>
    <hyperlink r:id="rId2476" ref="D2138"/>
    <hyperlink r:id="rId2477" ref="C2139"/>
    <hyperlink r:id="rId2478" ref="D2139"/>
    <hyperlink r:id="rId2479" ref="C2140"/>
    <hyperlink r:id="rId2480" ref="D2140"/>
    <hyperlink r:id="rId2481" ref="C2141"/>
    <hyperlink r:id="rId2482" ref="D2141"/>
    <hyperlink r:id="rId2483" ref="C2142"/>
    <hyperlink r:id="rId2484" ref="D2142"/>
    <hyperlink r:id="rId2485" ref="C2143"/>
    <hyperlink r:id="rId2486" ref="D2143"/>
    <hyperlink r:id="rId2487" ref="C2144"/>
    <hyperlink r:id="rId2488" ref="D2144"/>
    <hyperlink r:id="rId2489" ref="C2145"/>
    <hyperlink r:id="rId2490" ref="D2145"/>
    <hyperlink r:id="rId2491" ref="C2146"/>
    <hyperlink r:id="rId2492" ref="D2146"/>
    <hyperlink r:id="rId2493" ref="C2147"/>
    <hyperlink r:id="rId2494" ref="D2147"/>
    <hyperlink r:id="rId2495" ref="C2148"/>
    <hyperlink r:id="rId2496" ref="D2148"/>
    <hyperlink r:id="rId2497" ref="C2149"/>
    <hyperlink r:id="rId2498" ref="D2149"/>
    <hyperlink r:id="rId2499" ref="C2150"/>
    <hyperlink r:id="rId2500" ref="D2150"/>
    <hyperlink r:id="rId2501" ref="C2151"/>
    <hyperlink r:id="rId2502" ref="D2151"/>
    <hyperlink r:id="rId2503" ref="C2152"/>
    <hyperlink r:id="rId2504" ref="D2152"/>
    <hyperlink r:id="rId2505" ref="C2153"/>
    <hyperlink r:id="rId2506" ref="D2153"/>
    <hyperlink r:id="rId2507" ref="C2154"/>
    <hyperlink r:id="rId2508" ref="D2154"/>
    <hyperlink r:id="rId2509" ref="C2155"/>
    <hyperlink r:id="rId2510" ref="D2155"/>
    <hyperlink r:id="rId2511" ref="C2156"/>
    <hyperlink r:id="rId2512" ref="D2156"/>
    <hyperlink r:id="rId2513" ref="C2157"/>
    <hyperlink r:id="rId2514" ref="D2157"/>
    <hyperlink r:id="rId2515" ref="C2158"/>
    <hyperlink r:id="rId2516" ref="D2158"/>
    <hyperlink r:id="rId2517" ref="C2159"/>
    <hyperlink r:id="rId2518" ref="D2159"/>
    <hyperlink r:id="rId2519" ref="C2160"/>
    <hyperlink r:id="rId2520" ref="D2160"/>
    <hyperlink r:id="rId2521" ref="C2161"/>
    <hyperlink r:id="rId2522" ref="D2161"/>
    <hyperlink r:id="rId2523" ref="C2162"/>
    <hyperlink r:id="rId2524" ref="D2162"/>
    <hyperlink r:id="rId2525" ref="C2163"/>
    <hyperlink r:id="rId2526" ref="D2163"/>
    <hyperlink r:id="rId2527" ref="D2164"/>
    <hyperlink r:id="rId2528" ref="D2166"/>
    <hyperlink r:id="rId2529" ref="D2168"/>
    <hyperlink r:id="rId2530" ref="D2170"/>
    <hyperlink r:id="rId2531" ref="D2172"/>
    <hyperlink r:id="rId2532" ref="D2173"/>
    <hyperlink r:id="rId2533" ref="D2174"/>
    <hyperlink r:id="rId2534" ref="D2176"/>
    <hyperlink r:id="rId2535" ref="D2178"/>
    <hyperlink r:id="rId2536" ref="D2179"/>
    <hyperlink r:id="rId2537" ref="D2181"/>
    <hyperlink r:id="rId2538" ref="D2182"/>
    <hyperlink r:id="rId2539" ref="D2183"/>
    <hyperlink r:id="rId2540" ref="D2184"/>
    <hyperlink r:id="rId2541" ref="D2185"/>
    <hyperlink r:id="rId2542" ref="D2186"/>
    <hyperlink r:id="rId2543" ref="D2187"/>
    <hyperlink r:id="rId2544" ref="D2188"/>
    <hyperlink r:id="rId2545" ref="D2189"/>
    <hyperlink r:id="rId2546" ref="D2190"/>
    <hyperlink r:id="rId2547" ref="D2191"/>
    <hyperlink r:id="rId2548" ref="D2192"/>
    <hyperlink r:id="rId2549" ref="D2193"/>
    <hyperlink r:id="rId2550" ref="D2194"/>
    <hyperlink r:id="rId2551" ref="D2195"/>
    <hyperlink r:id="rId2552" ref="D2196"/>
    <hyperlink r:id="rId2553" ref="D2197"/>
    <hyperlink r:id="rId2554" ref="D2198"/>
    <hyperlink r:id="rId2555" ref="D2199"/>
    <hyperlink r:id="rId2556" ref="D2200"/>
    <hyperlink r:id="rId2557" ref="D2201"/>
    <hyperlink r:id="rId2558" ref="D2202"/>
    <hyperlink r:id="rId2559" ref="C2203"/>
    <hyperlink r:id="rId2560" ref="C2204"/>
    <hyperlink r:id="rId2561" ref="D2204"/>
    <hyperlink r:id="rId2562" ref="C2205"/>
    <hyperlink r:id="rId2563" ref="D2205"/>
    <hyperlink r:id="rId2564" ref="C2206"/>
    <hyperlink r:id="rId2565" ref="D2206"/>
    <hyperlink r:id="rId2566" ref="C2207"/>
    <hyperlink r:id="rId2567" ref="D2207"/>
    <hyperlink r:id="rId2568" ref="C2208"/>
    <hyperlink r:id="rId2569" ref="D2208"/>
    <hyperlink r:id="rId2570" ref="C2209"/>
    <hyperlink r:id="rId2571" ref="D2209"/>
    <hyperlink r:id="rId2572" ref="C2210"/>
    <hyperlink r:id="rId2573" ref="D2210"/>
    <hyperlink r:id="rId2574" ref="C2211"/>
    <hyperlink r:id="rId2575" ref="D2211"/>
    <hyperlink r:id="rId2576" ref="C2212"/>
    <hyperlink r:id="rId2577" ref="D2212"/>
    <hyperlink r:id="rId2578" ref="C2213"/>
    <hyperlink r:id="rId2579" ref="D2213"/>
    <hyperlink r:id="rId2580" ref="C2214"/>
    <hyperlink r:id="rId2581" ref="D2214"/>
    <hyperlink r:id="rId2582" ref="C2215"/>
    <hyperlink r:id="rId2583" ref="D2215"/>
    <hyperlink r:id="rId2584" ref="C2216"/>
    <hyperlink r:id="rId2585" ref="D2216"/>
    <hyperlink r:id="rId2586" ref="C2217"/>
    <hyperlink r:id="rId2587" ref="D2217"/>
    <hyperlink r:id="rId2588" ref="C2218"/>
    <hyperlink r:id="rId2589" ref="D2218"/>
    <hyperlink r:id="rId2590" ref="C2219"/>
    <hyperlink r:id="rId2591" ref="D2219"/>
    <hyperlink r:id="rId2592" ref="C2220"/>
    <hyperlink r:id="rId2593" ref="D2220"/>
    <hyperlink r:id="rId2594" ref="C2221"/>
    <hyperlink r:id="rId2595" ref="D2221"/>
    <hyperlink r:id="rId2596" ref="C2222"/>
    <hyperlink r:id="rId2597" ref="D2222"/>
    <hyperlink r:id="rId2598" ref="C2223"/>
    <hyperlink r:id="rId2599" ref="D2223"/>
    <hyperlink r:id="rId2600" ref="C2224"/>
    <hyperlink r:id="rId2601" ref="D2224"/>
    <hyperlink r:id="rId2602" ref="C2225"/>
    <hyperlink r:id="rId2603" ref="D2225"/>
    <hyperlink r:id="rId2604" ref="C2226"/>
    <hyperlink r:id="rId2605" ref="D2226"/>
    <hyperlink r:id="rId2606" location="kf" ref="D2227"/>
    <hyperlink r:id="rId2607" ref="D2228"/>
    <hyperlink r:id="rId2608" ref="D2229"/>
    <hyperlink r:id="rId2609" location="kf" ref="D2230"/>
    <hyperlink r:id="rId2610" location="kf" ref="D2231"/>
    <hyperlink r:id="rId2611" ref="D2232"/>
    <hyperlink r:id="rId2612" location="kf" ref="D2233"/>
    <hyperlink r:id="rId2613" location="kf" ref="D2234"/>
    <hyperlink r:id="rId2614" location="kf" ref="D2235"/>
    <hyperlink r:id="rId2615" location="kf" ref="D2236"/>
    <hyperlink r:id="rId2616" location="kf" ref="D2237"/>
    <hyperlink r:id="rId2617" location="kf" ref="D2238"/>
    <hyperlink r:id="rId2618" location="kf" ref="D2239"/>
    <hyperlink r:id="rId2619" location="kf" ref="D2240"/>
    <hyperlink r:id="rId2620" location="kf" ref="D2241"/>
    <hyperlink r:id="rId2621" location="kf" ref="D2242"/>
    <hyperlink r:id="rId2622" location="kf" ref="D2243"/>
    <hyperlink r:id="rId2623" location="kf" ref="D2244"/>
    <hyperlink r:id="rId2624" location="kf" ref="D2245"/>
    <hyperlink r:id="rId2625" location="kf" ref="D2246"/>
    <hyperlink r:id="rId2626" location="kf" ref="D2247"/>
    <hyperlink r:id="rId2627" ref="D2248"/>
    <hyperlink r:id="rId2628" ref="D2249"/>
    <hyperlink r:id="rId2629" ref="D2250"/>
    <hyperlink r:id="rId2630" ref="D2251"/>
    <hyperlink r:id="rId2631" ref="D2252"/>
    <hyperlink r:id="rId2632" ref="D2253"/>
    <hyperlink r:id="rId2633" ref="D2254"/>
    <hyperlink r:id="rId2634" ref="D2255"/>
    <hyperlink r:id="rId2635" ref="D2256"/>
    <hyperlink r:id="rId2636" ref="D2257"/>
    <hyperlink r:id="rId2637" ref="C2258"/>
    <hyperlink r:id="rId2638" ref="D2258"/>
    <hyperlink r:id="rId2639" ref="D2259"/>
    <hyperlink r:id="rId2640" ref="D2260"/>
    <hyperlink r:id="rId2641" ref="D2261"/>
    <hyperlink r:id="rId2642" ref="D2262"/>
    <hyperlink r:id="rId2643" ref="D2263"/>
    <hyperlink r:id="rId2644" ref="C2264"/>
    <hyperlink r:id="rId2645" ref="D2264"/>
    <hyperlink r:id="rId2646" ref="C2265"/>
    <hyperlink r:id="rId2647" ref="D2265"/>
    <hyperlink r:id="rId2648" ref="D2266"/>
    <hyperlink r:id="rId2649" ref="D2267"/>
    <hyperlink r:id="rId2650" ref="D2268"/>
    <hyperlink r:id="rId2651" ref="D2269"/>
    <hyperlink r:id="rId2652" ref="D2270"/>
    <hyperlink r:id="rId2653" ref="D2271"/>
    <hyperlink r:id="rId2654" ref="D2272"/>
    <hyperlink r:id="rId2655" ref="D2273"/>
    <hyperlink r:id="rId2656" ref="D2274"/>
    <hyperlink r:id="rId2657" ref="D2275"/>
    <hyperlink r:id="rId2658" ref="D2276"/>
    <hyperlink r:id="rId2659" ref="D2277"/>
    <hyperlink r:id="rId2660" ref="D2278"/>
    <hyperlink r:id="rId2661" ref="D2279"/>
    <hyperlink r:id="rId2662" ref="D2280"/>
    <hyperlink r:id="rId2663" ref="D2281"/>
    <hyperlink r:id="rId2664" ref="D2282"/>
    <hyperlink r:id="rId2665" ref="D2283"/>
    <hyperlink r:id="rId2666" ref="D2284"/>
    <hyperlink r:id="rId2667" ref="D2285"/>
    <hyperlink r:id="rId2668" ref="D2286"/>
    <hyperlink r:id="rId2669" ref="D2287"/>
    <hyperlink r:id="rId2670" ref="D2288"/>
    <hyperlink r:id="rId2671" ref="D2289"/>
    <hyperlink r:id="rId2672" ref="D2290"/>
    <hyperlink r:id="rId2673" ref="D2291"/>
    <hyperlink r:id="rId2674" ref="D2292"/>
    <hyperlink r:id="rId2675" ref="D2293"/>
    <hyperlink r:id="rId2676" ref="D2294"/>
    <hyperlink r:id="rId2677" ref="D2295"/>
    <hyperlink r:id="rId2678" ref="D2296"/>
    <hyperlink r:id="rId2679" ref="D2297"/>
    <hyperlink r:id="rId2680" ref="D2298"/>
    <hyperlink r:id="rId2681" ref="D2299"/>
    <hyperlink r:id="rId2682" ref="D2300"/>
    <hyperlink r:id="rId2683" ref="D2301"/>
    <hyperlink r:id="rId2684" ref="C2302"/>
    <hyperlink r:id="rId2685" ref="D2302"/>
    <hyperlink r:id="rId2686" ref="D2303"/>
    <hyperlink r:id="rId2687" ref="D2304"/>
    <hyperlink r:id="rId2688" ref="D2305"/>
    <hyperlink r:id="rId2689" ref="D2306"/>
    <hyperlink r:id="rId2690" ref="D2307"/>
    <hyperlink r:id="rId2691" ref="D2308"/>
    <hyperlink r:id="rId2692" ref="D2309"/>
    <hyperlink r:id="rId2693" ref="D2310"/>
    <hyperlink r:id="rId2694" ref="D2311"/>
    <hyperlink r:id="rId2695" ref="D2312"/>
    <hyperlink r:id="rId2696" ref="D2313"/>
    <hyperlink r:id="rId2697" ref="D2314"/>
    <hyperlink r:id="rId2698" ref="D2315"/>
    <hyperlink r:id="rId2699" ref="D2316"/>
    <hyperlink r:id="rId2700" ref="D2318"/>
    <hyperlink r:id="rId2701" ref="D2319"/>
    <hyperlink r:id="rId2702" ref="D2320"/>
    <hyperlink r:id="rId2703" ref="D2321"/>
    <hyperlink r:id="rId2704" ref="D2322"/>
    <hyperlink r:id="rId2705" ref="C2323"/>
    <hyperlink r:id="rId2706" ref="D2323"/>
    <hyperlink r:id="rId2707" ref="C2324"/>
    <hyperlink r:id="rId2708" ref="D2324"/>
    <hyperlink r:id="rId2709" ref="C2325"/>
    <hyperlink r:id="rId2710" ref="D2325"/>
    <hyperlink r:id="rId2711" ref="C2326"/>
    <hyperlink r:id="rId2712" ref="D2326"/>
    <hyperlink r:id="rId2713" ref="D2336"/>
    <hyperlink r:id="rId2714" ref="D2337"/>
    <hyperlink r:id="rId2715" ref="D2338"/>
    <hyperlink r:id="rId2716" ref="D2339"/>
    <hyperlink r:id="rId2717" ref="C2340"/>
    <hyperlink r:id="rId2718" ref="D2340"/>
    <hyperlink r:id="rId2719" ref="C2341"/>
    <hyperlink r:id="rId2720" ref="D2341"/>
    <hyperlink r:id="rId2721" ref="D2347"/>
    <hyperlink r:id="rId2722" ref="D2348"/>
    <hyperlink r:id="rId2723" ref="D2349"/>
    <hyperlink r:id="rId2724" ref="D2350"/>
    <hyperlink r:id="rId2725" ref="D2351"/>
    <hyperlink r:id="rId2726" ref="C2352"/>
    <hyperlink r:id="rId2727" ref="D2352"/>
    <hyperlink r:id="rId2728" ref="D2353"/>
    <hyperlink r:id="rId2729" ref="D2354"/>
    <hyperlink r:id="rId2730" ref="D2355"/>
    <hyperlink r:id="rId2731" ref="D2356"/>
    <hyperlink r:id="rId2732" ref="D2357"/>
    <hyperlink r:id="rId2733" ref="D2358"/>
    <hyperlink r:id="rId2734" ref="D2359"/>
    <hyperlink r:id="rId2735" ref="D2360"/>
    <hyperlink r:id="rId2736" ref="D2361"/>
    <hyperlink r:id="rId2737" ref="D2362"/>
    <hyperlink r:id="rId2738" ref="D2363"/>
    <hyperlink r:id="rId2739" ref="D2364"/>
    <hyperlink r:id="rId2740" ref="D2365"/>
    <hyperlink r:id="rId2741" ref="D2366"/>
    <hyperlink r:id="rId2742" ref="D2367"/>
    <hyperlink r:id="rId2743" ref="D2368"/>
    <hyperlink r:id="rId2744" ref="D2369"/>
    <hyperlink r:id="rId2745" ref="D2370"/>
    <hyperlink r:id="rId2746" ref="D2371"/>
    <hyperlink r:id="rId2747" ref="D2372"/>
    <hyperlink r:id="rId2748" ref="D2373"/>
    <hyperlink r:id="rId2749" ref="D2374"/>
    <hyperlink r:id="rId2750" ref="D2375"/>
    <hyperlink r:id="rId2751" ref="D2376"/>
    <hyperlink r:id="rId2752" ref="D2377"/>
    <hyperlink r:id="rId2753" ref="D2378"/>
    <hyperlink r:id="rId2754" ref="C2379"/>
    <hyperlink r:id="rId2755" ref="D2379"/>
    <hyperlink r:id="rId2756" ref="C2380"/>
    <hyperlink r:id="rId2757" ref="D2380"/>
    <hyperlink r:id="rId2758" ref="C2381"/>
    <hyperlink r:id="rId2759" ref="D2381"/>
    <hyperlink r:id="rId2760" ref="C2382"/>
    <hyperlink r:id="rId2761" ref="D2382"/>
    <hyperlink r:id="rId2762" ref="C2383"/>
    <hyperlink r:id="rId2763" ref="D2383"/>
    <hyperlink r:id="rId2764" ref="C2384"/>
    <hyperlink r:id="rId2765" ref="D2384"/>
    <hyperlink r:id="rId2766" ref="C2385"/>
    <hyperlink r:id="rId2767" ref="D2385"/>
    <hyperlink r:id="rId2768" ref="D2386"/>
    <hyperlink r:id="rId2769" ref="D2387"/>
    <hyperlink r:id="rId2770" ref="D2388"/>
    <hyperlink r:id="rId2771" ref="D2389"/>
    <hyperlink r:id="rId2772" ref="D2390"/>
    <hyperlink r:id="rId2773" ref="D2391"/>
    <hyperlink r:id="rId2774" ref="D2392"/>
    <hyperlink r:id="rId2775" ref="D2393"/>
    <hyperlink r:id="rId2776" ref="D2394"/>
    <hyperlink r:id="rId2777" ref="D2395"/>
    <hyperlink r:id="rId2778" ref="D2396"/>
    <hyperlink r:id="rId2779" ref="D2397"/>
    <hyperlink r:id="rId2780" ref="D2398"/>
    <hyperlink r:id="rId2781" ref="D2399"/>
    <hyperlink r:id="rId2782" ref="D2400"/>
    <hyperlink r:id="rId2783" ref="D2401"/>
    <hyperlink r:id="rId2784" ref="D2402"/>
    <hyperlink r:id="rId2785" ref="C2403"/>
    <hyperlink r:id="rId2786" ref="D2403"/>
    <hyperlink r:id="rId2787" ref="C2404"/>
    <hyperlink r:id="rId2788" ref="D2404"/>
    <hyperlink r:id="rId2789" ref="C2405"/>
    <hyperlink r:id="rId2790" ref="D2405"/>
    <hyperlink r:id="rId2791" ref="C2406"/>
    <hyperlink r:id="rId2792" ref="D2406"/>
    <hyperlink r:id="rId2793" ref="C2407"/>
    <hyperlink r:id="rId2794" ref="D2407"/>
    <hyperlink r:id="rId2795" ref="C2408"/>
    <hyperlink r:id="rId2796" ref="D2408"/>
    <hyperlink r:id="rId2797" ref="C2409"/>
    <hyperlink r:id="rId2798" ref="D2409"/>
    <hyperlink r:id="rId2799" ref="C2410"/>
    <hyperlink r:id="rId2800" ref="D2410"/>
    <hyperlink r:id="rId2801" ref="C2411"/>
    <hyperlink r:id="rId2802" ref="D2411"/>
    <hyperlink r:id="rId2803" ref="C2412"/>
    <hyperlink r:id="rId2804" ref="D2412"/>
    <hyperlink r:id="rId2805" ref="C2413"/>
    <hyperlink r:id="rId2806" ref="D2413"/>
    <hyperlink r:id="rId2807" ref="C2414"/>
    <hyperlink r:id="rId2808" ref="D2414"/>
    <hyperlink r:id="rId2809" ref="C2415"/>
    <hyperlink r:id="rId2810" ref="D2415"/>
    <hyperlink r:id="rId2811" ref="C2416"/>
    <hyperlink r:id="rId2812" ref="D2416"/>
    <hyperlink r:id="rId2813" ref="C2417"/>
    <hyperlink r:id="rId2814" ref="D2417"/>
    <hyperlink r:id="rId2815" ref="C2418"/>
    <hyperlink r:id="rId2816" ref="D2418"/>
    <hyperlink r:id="rId2817" ref="C2419"/>
    <hyperlink r:id="rId2818" ref="D2419"/>
    <hyperlink r:id="rId2819" ref="C2420"/>
    <hyperlink r:id="rId2820" ref="D2420"/>
    <hyperlink r:id="rId2821" ref="C2421"/>
    <hyperlink r:id="rId2822" ref="D2421"/>
    <hyperlink r:id="rId2823" location="kf" ref="D2422"/>
    <hyperlink r:id="rId2824" location="kf" ref="D2423"/>
    <hyperlink r:id="rId2825" location="kf" ref="D2424"/>
    <hyperlink r:id="rId2826" location="kf" ref="D2425"/>
    <hyperlink r:id="rId2827" location="kf" ref="D2426"/>
    <hyperlink r:id="rId2828" location="kf" ref="D2427"/>
    <hyperlink r:id="rId2829" location="kf" ref="D2428"/>
    <hyperlink r:id="rId2830" location="kf" ref="D2429"/>
    <hyperlink r:id="rId2831" ref="D2430"/>
    <hyperlink r:id="rId2832" ref="D2431"/>
    <hyperlink r:id="rId2833" ref="D2432"/>
    <hyperlink r:id="rId2834" ref="D2433"/>
    <hyperlink r:id="rId2835" ref="D2434"/>
    <hyperlink r:id="rId2836" ref="D2435"/>
    <hyperlink r:id="rId2837" ref="C2436"/>
    <hyperlink r:id="rId2838" ref="D2436"/>
    <hyperlink r:id="rId2839" ref="D2437"/>
    <hyperlink r:id="rId2840" ref="D2438"/>
    <hyperlink r:id="rId2841" ref="D2439"/>
    <hyperlink r:id="rId2842" ref="D2440"/>
    <hyperlink r:id="rId2843" ref="C2441"/>
    <hyperlink r:id="rId2844" ref="D2441"/>
    <hyperlink r:id="rId2845" ref="D2442"/>
    <hyperlink r:id="rId2846" ref="D2443"/>
    <hyperlink r:id="rId2847" ref="D2444"/>
    <hyperlink r:id="rId2848" ref="D2445"/>
    <hyperlink r:id="rId2849" ref="D2446"/>
    <hyperlink r:id="rId2850" ref="D2447"/>
    <hyperlink r:id="rId2851" ref="D2448"/>
    <hyperlink r:id="rId2852" ref="D2449"/>
    <hyperlink r:id="rId2853" ref="D2450"/>
    <hyperlink r:id="rId2854" ref="D2451"/>
    <hyperlink r:id="rId2855" ref="D2452"/>
    <hyperlink r:id="rId2856" ref="D2453"/>
    <hyperlink r:id="rId2857" ref="D2454"/>
    <hyperlink r:id="rId2858" ref="D2455"/>
    <hyperlink r:id="rId2859" ref="D2456"/>
    <hyperlink r:id="rId2860" ref="D2457"/>
    <hyperlink r:id="rId2861" ref="D2458"/>
    <hyperlink r:id="rId2862" ref="D2459"/>
    <hyperlink r:id="rId2863" ref="D2460"/>
    <hyperlink r:id="rId2864" ref="D2461"/>
    <hyperlink r:id="rId2865" ref="C2462"/>
    <hyperlink r:id="rId2866" location="_pp=0_625_63" ref="D2462"/>
    <hyperlink r:id="rId2867" ref="D2464"/>
    <hyperlink r:id="rId2868" ref="D2465"/>
    <hyperlink r:id="rId2869" ref="D2466"/>
    <hyperlink r:id="rId2870" ref="D2467"/>
    <hyperlink r:id="rId2871" ref="D2468"/>
    <hyperlink r:id="rId2872" ref="D2469"/>
    <hyperlink r:id="rId2873" ref="D2470"/>
    <hyperlink r:id="rId2874" ref="D2471"/>
    <hyperlink r:id="rId2875" ref="D2472"/>
    <hyperlink r:id="rId2876" ref="C2473"/>
    <hyperlink r:id="rId2877" ref="D2473"/>
    <hyperlink r:id="rId2878" ref="C2474"/>
    <hyperlink r:id="rId2879" ref="D2474"/>
    <hyperlink r:id="rId2880" ref="C2475"/>
    <hyperlink r:id="rId2881" ref="D2475"/>
    <hyperlink r:id="rId2882" ref="C2476"/>
    <hyperlink r:id="rId2883" ref="D2476"/>
    <hyperlink r:id="rId2884" ref="C2477"/>
    <hyperlink r:id="rId2885" ref="D2477"/>
    <hyperlink r:id="rId2886" ref="C2478"/>
    <hyperlink r:id="rId2887" ref="D2478"/>
    <hyperlink r:id="rId2888" ref="C2479"/>
    <hyperlink r:id="rId2889" ref="D2479"/>
    <hyperlink r:id="rId2890" ref="C2480"/>
    <hyperlink r:id="rId2891" ref="D2480"/>
    <hyperlink r:id="rId2892" ref="C2481"/>
    <hyperlink r:id="rId2893" ref="C2482"/>
    <hyperlink r:id="rId2894" ref="D2482"/>
    <hyperlink r:id="rId2895" ref="C2483"/>
    <hyperlink r:id="rId2896" ref="D2483"/>
    <hyperlink r:id="rId2897" ref="C2484"/>
    <hyperlink r:id="rId2898" ref="D2484"/>
    <hyperlink r:id="rId2899" ref="C2485"/>
    <hyperlink r:id="rId2900" ref="D2485"/>
    <hyperlink r:id="rId2901" ref="C2486"/>
    <hyperlink r:id="rId2902" ref="D2486"/>
    <hyperlink r:id="rId2903" ref="D2487"/>
    <hyperlink r:id="rId2904" ref="D2488"/>
    <hyperlink r:id="rId2905" ref="D2489"/>
    <hyperlink r:id="rId2906" ref="D2490"/>
    <hyperlink r:id="rId2907" ref="D2491"/>
    <hyperlink r:id="rId2908" ref="D2492"/>
    <hyperlink r:id="rId2909" ref="D2493"/>
    <hyperlink r:id="rId2910" ref="D2494"/>
    <hyperlink r:id="rId2911" ref="D2495"/>
    <hyperlink r:id="rId2912" ref="D2496"/>
    <hyperlink r:id="rId2913" ref="D2497"/>
    <hyperlink r:id="rId2914" ref="D2498"/>
    <hyperlink r:id="rId2915" ref="D2499"/>
    <hyperlink r:id="rId2916" ref="D2500"/>
    <hyperlink r:id="rId2917" ref="D2501"/>
    <hyperlink r:id="rId2918" ref="D2502"/>
    <hyperlink r:id="rId2919" ref="D2503"/>
    <hyperlink r:id="rId2920" ref="D2504"/>
    <hyperlink r:id="rId2921" ref="D2505"/>
    <hyperlink r:id="rId2922" ref="C2506"/>
    <hyperlink r:id="rId2923" ref="C2507"/>
    <hyperlink r:id="rId2924" ref="D2507"/>
    <hyperlink r:id="rId2925" ref="C2508"/>
    <hyperlink r:id="rId2926" ref="D2508"/>
    <hyperlink r:id="rId2927" ref="C2509"/>
    <hyperlink r:id="rId2928" ref="D2509"/>
    <hyperlink r:id="rId2929" ref="C2510"/>
    <hyperlink r:id="rId2930" ref="D2510"/>
    <hyperlink r:id="rId2931" ref="C2511"/>
    <hyperlink r:id="rId2932" ref="D2511"/>
    <hyperlink r:id="rId2933" ref="C2512"/>
    <hyperlink r:id="rId2934" ref="D2512"/>
    <hyperlink r:id="rId2935" ref="C2513"/>
    <hyperlink r:id="rId2936" ref="D2513"/>
    <hyperlink r:id="rId2937" ref="C2514"/>
    <hyperlink r:id="rId2938" ref="D2514"/>
    <hyperlink r:id="rId2939" ref="C2515"/>
    <hyperlink r:id="rId2940" ref="D2515"/>
    <hyperlink r:id="rId2941" ref="C2516"/>
    <hyperlink r:id="rId2942" ref="D2516"/>
    <hyperlink r:id="rId2943" ref="C2517"/>
    <hyperlink r:id="rId2944" ref="D2517"/>
    <hyperlink r:id="rId2945" ref="C2518"/>
    <hyperlink r:id="rId2946" ref="D2518"/>
    <hyperlink r:id="rId2947" ref="C2519"/>
    <hyperlink r:id="rId2948" ref="D2519"/>
    <hyperlink r:id="rId2949" ref="C2520"/>
    <hyperlink r:id="rId2950" ref="D2520"/>
    <hyperlink r:id="rId2951" ref="C2521"/>
    <hyperlink r:id="rId2952" ref="D2521"/>
    <hyperlink r:id="rId2953" ref="C2522"/>
    <hyperlink r:id="rId2954" ref="D2522"/>
    <hyperlink r:id="rId2955" ref="C2523"/>
    <hyperlink r:id="rId2956" ref="D2523"/>
    <hyperlink r:id="rId2957" ref="C2524"/>
    <hyperlink r:id="rId2958" ref="D2524"/>
    <hyperlink r:id="rId2959" location="kf" ref="D2526"/>
    <hyperlink r:id="rId2960" location="kf" ref="D2527"/>
    <hyperlink r:id="rId2961" location="kf" ref="D2528"/>
    <hyperlink r:id="rId2962" location="kf" ref="D2529"/>
    <hyperlink r:id="rId2963" location="kf" ref="D2530"/>
    <hyperlink r:id="rId2964" location="kf" ref="D2531"/>
    <hyperlink r:id="rId2965" location="kf" ref="D2532"/>
    <hyperlink r:id="rId2966" location="kf" ref="D2533"/>
    <hyperlink r:id="rId2967" location="kf" ref="D2534"/>
    <hyperlink r:id="rId2968" ref="D2535"/>
    <hyperlink r:id="rId2969" ref="D2536"/>
    <hyperlink r:id="rId2970" ref="D2537"/>
    <hyperlink r:id="rId2971" ref="D2538"/>
    <hyperlink r:id="rId2972" ref="D2539"/>
    <hyperlink r:id="rId2973" ref="C2540"/>
    <hyperlink r:id="rId2974" ref="D2540"/>
    <hyperlink r:id="rId2975" ref="D2541"/>
    <hyperlink r:id="rId2976" ref="D2542"/>
    <hyperlink r:id="rId2977" ref="D2543"/>
    <hyperlink r:id="rId2978" ref="D2545"/>
    <hyperlink r:id="rId2979" ref="D2546"/>
    <hyperlink r:id="rId2980" ref="D2547"/>
    <hyperlink r:id="rId2981" ref="D2548"/>
    <hyperlink r:id="rId2982" ref="D2549"/>
    <hyperlink r:id="rId2983" ref="D2550"/>
    <hyperlink r:id="rId2984" ref="D2551"/>
    <hyperlink r:id="rId2985" ref="D2552"/>
    <hyperlink r:id="rId2986" ref="D2553"/>
    <hyperlink r:id="rId2987" ref="D2554"/>
    <hyperlink r:id="rId2988" ref="D2555"/>
    <hyperlink r:id="rId2989" ref="D2556"/>
    <hyperlink r:id="rId2990" ref="D2557"/>
    <hyperlink r:id="rId2991" ref="D2558"/>
    <hyperlink r:id="rId2992" ref="D2559"/>
    <hyperlink r:id="rId2993" ref="D2560"/>
    <hyperlink r:id="rId2994" ref="D2561"/>
    <hyperlink r:id="rId2995" ref="D2562"/>
    <hyperlink r:id="rId2996" ref="D2563"/>
    <hyperlink r:id="rId2997" ref="D2564"/>
    <hyperlink r:id="rId2998" ref="D2565"/>
    <hyperlink r:id="rId2999" ref="D2566"/>
    <hyperlink r:id="rId3000" ref="D2567"/>
    <hyperlink r:id="rId3001" ref="D2568"/>
    <hyperlink r:id="rId3002" ref="D2569"/>
    <hyperlink r:id="rId3003" ref="C2570"/>
    <hyperlink r:id="rId3004" ref="D2570"/>
    <hyperlink r:id="rId3005" ref="C2571"/>
    <hyperlink r:id="rId3006" ref="D2571"/>
    <hyperlink r:id="rId3007" ref="C2572"/>
    <hyperlink r:id="rId3008" ref="D2572"/>
    <hyperlink r:id="rId3009" ref="D2573"/>
    <hyperlink r:id="rId3010" ref="D2574"/>
    <hyperlink r:id="rId3011" ref="D2575"/>
    <hyperlink r:id="rId3012" ref="D2576"/>
    <hyperlink r:id="rId3013" ref="D2577"/>
    <hyperlink r:id="rId3014" ref="D2578"/>
    <hyperlink r:id="rId3015" ref="D2579"/>
    <hyperlink r:id="rId3016" ref="C2580"/>
    <hyperlink r:id="rId3017" ref="D2580"/>
    <hyperlink r:id="rId3018" ref="C2581"/>
    <hyperlink r:id="rId3019" ref="D2581"/>
    <hyperlink r:id="rId3020" ref="C2582"/>
    <hyperlink r:id="rId3021" ref="D2582"/>
    <hyperlink r:id="rId3022" ref="C2583"/>
    <hyperlink r:id="rId3023" ref="D2583"/>
    <hyperlink r:id="rId3024" ref="C2584"/>
    <hyperlink r:id="rId3025" ref="D2584"/>
    <hyperlink r:id="rId3026" ref="C2585"/>
    <hyperlink r:id="rId3027" ref="D2585"/>
    <hyperlink r:id="rId3028" location="kf" ref="D2586"/>
    <hyperlink r:id="rId3029" location="kf" ref="D2587"/>
    <hyperlink r:id="rId3030" location="kf" ref="D2588"/>
    <hyperlink r:id="rId3031" ref="D2589"/>
    <hyperlink r:id="rId3032" ref="D2590"/>
    <hyperlink r:id="rId3033" ref="D2591"/>
    <hyperlink r:id="rId3034" ref="D2592"/>
    <hyperlink r:id="rId3035" ref="D2593"/>
    <hyperlink r:id="rId3036" ref="D2594"/>
    <hyperlink r:id="rId3037" ref="D2595"/>
    <hyperlink r:id="rId3038" ref="D2596"/>
    <hyperlink r:id="rId3039" ref="D2597"/>
    <hyperlink r:id="rId3040" ref="D2598"/>
    <hyperlink r:id="rId3041" ref="D2599"/>
    <hyperlink r:id="rId3042" ref="D2600"/>
    <hyperlink r:id="rId3043" ref="D2601"/>
    <hyperlink r:id="rId3044" ref="D2602"/>
    <hyperlink r:id="rId3045" ref="D2603"/>
    <hyperlink r:id="rId3046" ref="C2604"/>
    <hyperlink r:id="rId3047" ref="D2604"/>
    <hyperlink r:id="rId3048" ref="C2605"/>
    <hyperlink r:id="rId3049" ref="D2605"/>
    <hyperlink r:id="rId3050" ref="D2606"/>
    <hyperlink r:id="rId3051" ref="D2607"/>
    <hyperlink r:id="rId3052" ref="D2608"/>
    <hyperlink r:id="rId3053" ref="D2609"/>
    <hyperlink r:id="rId3054" ref="D2610"/>
    <hyperlink r:id="rId3055" ref="D2611"/>
    <hyperlink r:id="rId3056" ref="D2612"/>
    <hyperlink r:id="rId3057" ref="D2613"/>
    <hyperlink r:id="rId3058" ref="C2614"/>
    <hyperlink r:id="rId3059" ref="D2614"/>
    <hyperlink r:id="rId3060" ref="C2615"/>
    <hyperlink r:id="rId3061" ref="D2615"/>
    <hyperlink r:id="rId3062" ref="C2616"/>
    <hyperlink r:id="rId3063" ref="D2616"/>
    <hyperlink r:id="rId3064" ref="C2617"/>
    <hyperlink r:id="rId3065" ref="D2617"/>
    <hyperlink r:id="rId3066" ref="C2618"/>
    <hyperlink r:id="rId3067" ref="D2618"/>
    <hyperlink r:id="rId3068" ref="C2619"/>
    <hyperlink r:id="rId3069" ref="D2619"/>
    <hyperlink r:id="rId3070" ref="D2620"/>
    <hyperlink r:id="rId3071" ref="D2621"/>
    <hyperlink r:id="rId3072" ref="D2622"/>
    <hyperlink r:id="rId3073" ref="D2623"/>
    <hyperlink r:id="rId3074" ref="D2624"/>
    <hyperlink r:id="rId3075" ref="D2625"/>
    <hyperlink r:id="rId3076" ref="D2626"/>
    <hyperlink r:id="rId3077" ref="C2627"/>
    <hyperlink r:id="rId3078" ref="D2627"/>
    <hyperlink r:id="rId3079" ref="C2628"/>
    <hyperlink r:id="rId3080" ref="D2628"/>
    <hyperlink r:id="rId3081" ref="C2629"/>
    <hyperlink r:id="rId3082" ref="D2629"/>
    <hyperlink r:id="rId3083" ref="C2630"/>
    <hyperlink r:id="rId3084" ref="D2630"/>
    <hyperlink r:id="rId3085" ref="C2631"/>
    <hyperlink r:id="rId3086" ref="D2631"/>
    <hyperlink r:id="rId3087" ref="C2632"/>
    <hyperlink r:id="rId3088" ref="D2632"/>
    <hyperlink r:id="rId3089" ref="C2633"/>
    <hyperlink r:id="rId3090" ref="D2633"/>
    <hyperlink r:id="rId3091" ref="C2634"/>
    <hyperlink r:id="rId3092" ref="D2634"/>
    <hyperlink r:id="rId3093" location="kf" ref="D2635"/>
    <hyperlink r:id="rId3094" ref="D2636"/>
    <hyperlink r:id="rId3095" location="kf" ref="D2637"/>
    <hyperlink r:id="rId3096" ref="D2638"/>
    <hyperlink r:id="rId3097" location="kf" ref="D2639"/>
    <hyperlink r:id="rId3098" location="kf" ref="D2640"/>
    <hyperlink r:id="rId3099" ref="D2641"/>
    <hyperlink r:id="rId3100" ref="D2642"/>
    <hyperlink r:id="rId3101" ref="D2643"/>
    <hyperlink r:id="rId3102" ref="C2644"/>
    <hyperlink r:id="rId3103" ref="D2644"/>
    <hyperlink r:id="rId3104" ref="C2645"/>
    <hyperlink r:id="rId3105" ref="D2645"/>
    <hyperlink r:id="rId3106" ref="C2646"/>
    <hyperlink r:id="rId3107" ref="D2646"/>
    <hyperlink r:id="rId3108" ref="C2647"/>
    <hyperlink r:id="rId3109" ref="D2647"/>
    <hyperlink r:id="rId3110" ref="C2648"/>
    <hyperlink r:id="rId3111" ref="D2648"/>
    <hyperlink r:id="rId3112" ref="D2649"/>
    <hyperlink r:id="rId3113" ref="D2650"/>
    <hyperlink r:id="rId3114" ref="D2651"/>
    <hyperlink r:id="rId3115" ref="D2652"/>
    <hyperlink r:id="rId3116" ref="D2653"/>
    <hyperlink r:id="rId3117" ref="D2654"/>
    <hyperlink r:id="rId3118" ref="D2655"/>
    <hyperlink r:id="rId3119" ref="D2656"/>
    <hyperlink r:id="rId3120" ref="D2657"/>
    <hyperlink r:id="rId3121" ref="D2658"/>
    <hyperlink r:id="rId3122" ref="D2659"/>
    <hyperlink r:id="rId3123" ref="D2660"/>
    <hyperlink r:id="rId3124" ref="D2661"/>
    <hyperlink r:id="rId3125" ref="C2662"/>
    <hyperlink r:id="rId3126" ref="D2662"/>
    <hyperlink r:id="rId3127" ref="C2663"/>
    <hyperlink r:id="rId3128" ref="D2663"/>
    <hyperlink r:id="rId3129" ref="C2664"/>
    <hyperlink r:id="rId3130" ref="D2664"/>
    <hyperlink r:id="rId3131" ref="C2665"/>
    <hyperlink r:id="rId3132" ref="D2665"/>
    <hyperlink r:id="rId3133" ref="C2666"/>
    <hyperlink r:id="rId3134" ref="D2666"/>
    <hyperlink r:id="rId3135" ref="C2667"/>
    <hyperlink r:id="rId3136" ref="D2667"/>
    <hyperlink r:id="rId3137" ref="C2668"/>
    <hyperlink r:id="rId3138" ref="D2668"/>
    <hyperlink r:id="rId3139" ref="C2669"/>
    <hyperlink r:id="rId3140" ref="D2669"/>
    <hyperlink r:id="rId3141" ref="C2670"/>
    <hyperlink r:id="rId3142" ref="D2670"/>
    <hyperlink r:id="rId3143" ref="C2671"/>
    <hyperlink r:id="rId3144" ref="D2671"/>
    <hyperlink r:id="rId3145" ref="D2672"/>
    <hyperlink r:id="rId3146" ref="D2673"/>
    <hyperlink r:id="rId3147" ref="D2674"/>
    <hyperlink r:id="rId3148" ref="D2675"/>
    <hyperlink r:id="rId3149" ref="D2676"/>
    <hyperlink r:id="rId3150" ref="D2677"/>
    <hyperlink r:id="rId3151" ref="D2678"/>
    <hyperlink r:id="rId3152" ref="D2679"/>
    <hyperlink r:id="rId3153" ref="D2680"/>
    <hyperlink r:id="rId3154" ref="D2681"/>
    <hyperlink r:id="rId3155" ref="D2682"/>
    <hyperlink r:id="rId3156" ref="D2683"/>
    <hyperlink r:id="rId3157" ref="C2684"/>
    <hyperlink r:id="rId3158" ref="D2684"/>
    <hyperlink r:id="rId3159" ref="C2685"/>
    <hyperlink r:id="rId3160" ref="D2685"/>
    <hyperlink r:id="rId3161" ref="C2686"/>
    <hyperlink r:id="rId3162" ref="D2686"/>
    <hyperlink r:id="rId3163" ref="C2687"/>
    <hyperlink r:id="rId3164" ref="D2687"/>
    <hyperlink r:id="rId3165" ref="C2688"/>
    <hyperlink r:id="rId3166" ref="D2688"/>
    <hyperlink r:id="rId3167" ref="C2689"/>
    <hyperlink r:id="rId3168" ref="D2689"/>
    <hyperlink r:id="rId3169" ref="D2690"/>
    <hyperlink r:id="rId3170" ref="D2691"/>
    <hyperlink r:id="rId3171" ref="D2692"/>
    <hyperlink r:id="rId3172" ref="D2693"/>
    <hyperlink r:id="rId3173" ref="D2694"/>
    <hyperlink r:id="rId3174" ref="D2695"/>
    <hyperlink r:id="rId3175" ref="C2696"/>
    <hyperlink r:id="rId3176" ref="D2696"/>
    <hyperlink r:id="rId3177" ref="C2697"/>
    <hyperlink r:id="rId3178" ref="D2697"/>
    <hyperlink r:id="rId3179" ref="C2698"/>
    <hyperlink r:id="rId3180" ref="D2698"/>
    <hyperlink r:id="rId3181" ref="C2699"/>
    <hyperlink r:id="rId3182" ref="D2699"/>
    <hyperlink r:id="rId3183" ref="C2700"/>
    <hyperlink r:id="rId3184" ref="D2700"/>
    <hyperlink r:id="rId3185" ref="C2701"/>
    <hyperlink r:id="rId3186" ref="D2701"/>
    <hyperlink r:id="rId3187" ref="C2702"/>
    <hyperlink r:id="rId3188" ref="D2702"/>
    <hyperlink r:id="rId3189" ref="C2703"/>
    <hyperlink r:id="rId3190" ref="D2703"/>
    <hyperlink r:id="rId3191" location="kf" ref="D2704"/>
    <hyperlink r:id="rId3192" location="kf" ref="D2705"/>
    <hyperlink r:id="rId3193" location="kf" ref="D2706"/>
    <hyperlink r:id="rId3194" location="kf" ref="D2707"/>
    <hyperlink r:id="rId3195" location="kf" ref="D2708"/>
    <hyperlink r:id="rId3196" location="kf" ref="D2709"/>
    <hyperlink r:id="rId3197" ref="D2710"/>
    <hyperlink r:id="rId3198" ref="D2711"/>
    <hyperlink r:id="rId3199" ref="D2712"/>
    <hyperlink r:id="rId3200" ref="D2713"/>
    <hyperlink r:id="rId3201" ref="D2714"/>
    <hyperlink r:id="rId3202" ref="D2715"/>
    <hyperlink r:id="rId3203" ref="C2716"/>
    <hyperlink r:id="rId3204" ref="D2716"/>
    <hyperlink r:id="rId3205" ref="D2717"/>
    <hyperlink r:id="rId3206" ref="C2718"/>
    <hyperlink r:id="rId3207" ref="D2718"/>
    <hyperlink r:id="rId3208" ref="C2719"/>
    <hyperlink r:id="rId3209" ref="D2719"/>
    <hyperlink r:id="rId3210" ref="C2720"/>
    <hyperlink r:id="rId3211" ref="D2720"/>
    <hyperlink r:id="rId3212" ref="C2721"/>
    <hyperlink r:id="rId3213" ref="D2721"/>
    <hyperlink r:id="rId3214" ref="C2722"/>
    <hyperlink r:id="rId3215" ref="D2722"/>
    <hyperlink r:id="rId3216" ref="D2723"/>
    <hyperlink r:id="rId3217" ref="D2724"/>
    <hyperlink r:id="rId3218" ref="D2725"/>
    <hyperlink r:id="rId3219" ref="D2726"/>
    <hyperlink r:id="rId3220" ref="D2727"/>
    <hyperlink r:id="rId3221" ref="D2728"/>
    <hyperlink r:id="rId3222" ref="D2729"/>
    <hyperlink r:id="rId3223" ref="D2730"/>
    <hyperlink r:id="rId3224" ref="D2731"/>
    <hyperlink r:id="rId3225" ref="D2732"/>
    <hyperlink r:id="rId3226" ref="D2733"/>
    <hyperlink r:id="rId3227" ref="D2734"/>
    <hyperlink r:id="rId3228" ref="D2735"/>
    <hyperlink r:id="rId3229" ref="D2736"/>
    <hyperlink r:id="rId3230" ref="D2737"/>
    <hyperlink r:id="rId3231" ref="D2738"/>
    <hyperlink r:id="rId3232" ref="D2739"/>
    <hyperlink r:id="rId3233" ref="D2740"/>
    <hyperlink r:id="rId3234" ref="D2741"/>
    <hyperlink r:id="rId3235" ref="D2742"/>
    <hyperlink r:id="rId3236" ref="D2743"/>
    <hyperlink r:id="rId3237" ref="D2744"/>
    <hyperlink r:id="rId3238" ref="C2745"/>
    <hyperlink r:id="rId3239" ref="D2745"/>
    <hyperlink r:id="rId3240" ref="C2746"/>
    <hyperlink r:id="rId3241" ref="D2746"/>
    <hyperlink r:id="rId3242" ref="C2747"/>
    <hyperlink r:id="rId3243" ref="D2747"/>
    <hyperlink r:id="rId3244" ref="C2748"/>
    <hyperlink r:id="rId3245" ref="D2748"/>
    <hyperlink r:id="rId3246" ref="C2749"/>
    <hyperlink r:id="rId3247" ref="D2749"/>
    <hyperlink r:id="rId3248" ref="C2750"/>
    <hyperlink r:id="rId3249" ref="D2750"/>
    <hyperlink r:id="rId3250" ref="C2751"/>
    <hyperlink r:id="rId3251" ref="D2751"/>
    <hyperlink r:id="rId3252" ref="C2752"/>
    <hyperlink r:id="rId3253" ref="D2752"/>
    <hyperlink r:id="rId3254" ref="D2753"/>
    <hyperlink r:id="rId3255" ref="D2754"/>
    <hyperlink r:id="rId3256" ref="D2755"/>
    <hyperlink r:id="rId3257" ref="D2756"/>
    <hyperlink r:id="rId3258" ref="D2757"/>
    <hyperlink r:id="rId3259" ref="D2758"/>
    <hyperlink r:id="rId3260" ref="D2759"/>
    <hyperlink r:id="rId3261" ref="D2760"/>
    <hyperlink r:id="rId3262" ref="D2761"/>
    <hyperlink r:id="rId3263" ref="D2762"/>
    <hyperlink r:id="rId3264" ref="D2763"/>
    <hyperlink r:id="rId3265" ref="C2764"/>
    <hyperlink r:id="rId3266" ref="D2764"/>
    <hyperlink r:id="rId3267" ref="C2765"/>
    <hyperlink r:id="rId3268" ref="D2765"/>
    <hyperlink r:id="rId3269" ref="C2766"/>
    <hyperlink r:id="rId3270" ref="D2766"/>
    <hyperlink r:id="rId3271" ref="C2767"/>
    <hyperlink r:id="rId3272" ref="D2767"/>
    <hyperlink r:id="rId3273" ref="C2768"/>
    <hyperlink r:id="rId3274" ref="D2768"/>
    <hyperlink r:id="rId3275" ref="C2769"/>
    <hyperlink r:id="rId3276" ref="D2769"/>
    <hyperlink r:id="rId3277" ref="D2770"/>
    <hyperlink r:id="rId3278" ref="D2771"/>
    <hyperlink r:id="rId3279" ref="C2772"/>
    <hyperlink r:id="rId3280" ref="D2772"/>
    <hyperlink r:id="rId3281" ref="C2773"/>
    <hyperlink r:id="rId3282" ref="D2773"/>
    <hyperlink r:id="rId3283" location="kf" ref="D2774"/>
    <hyperlink r:id="rId3284" ref="D2775"/>
    <hyperlink r:id="rId3285" location="kf" ref="D2776"/>
    <hyperlink r:id="rId3286" ref="D2777"/>
    <hyperlink r:id="rId3287" ref="D2778"/>
    <hyperlink r:id="rId3288" ref="D2779"/>
    <hyperlink r:id="rId3289" ref="D2780"/>
    <hyperlink r:id="rId3290" ref="D2781"/>
    <hyperlink r:id="rId3291" ref="D2782"/>
    <hyperlink r:id="rId3292" ref="D2783"/>
    <hyperlink r:id="rId3293" ref="D2784"/>
    <hyperlink r:id="rId3294" ref="D2785"/>
    <hyperlink r:id="rId3295" ref="D2786"/>
    <hyperlink r:id="rId3296" ref="D2787"/>
    <hyperlink r:id="rId3297" ref="D2788"/>
    <hyperlink r:id="rId3298" ref="D2789"/>
    <hyperlink r:id="rId3299" ref="D2790"/>
    <hyperlink r:id="rId3300" ref="D2791"/>
    <hyperlink r:id="rId3301" ref="D2792"/>
    <hyperlink r:id="rId3302" ref="D2793"/>
    <hyperlink r:id="rId3303" ref="C2794"/>
    <hyperlink r:id="rId3304" ref="D2794"/>
    <hyperlink r:id="rId3305" ref="C2795"/>
    <hyperlink r:id="rId3306" ref="D2795"/>
    <hyperlink r:id="rId3307" ref="C2796"/>
    <hyperlink r:id="rId3308" ref="D2796"/>
    <hyperlink r:id="rId3309" ref="D2797"/>
    <hyperlink r:id="rId3310" ref="D2798"/>
    <hyperlink r:id="rId3311" ref="D2799"/>
    <hyperlink r:id="rId3312" ref="D2800"/>
    <hyperlink r:id="rId3313" ref="D2801"/>
    <hyperlink r:id="rId3314" ref="D2802"/>
    <hyperlink r:id="rId3315" ref="D2803"/>
    <hyperlink r:id="rId3316" ref="D2804"/>
    <hyperlink r:id="rId3317" ref="D2805"/>
    <hyperlink r:id="rId3318" ref="D2806"/>
    <hyperlink r:id="rId3319" ref="D2807"/>
    <hyperlink r:id="rId3320" ref="D2808"/>
    <hyperlink r:id="rId3321" ref="D2809"/>
    <hyperlink r:id="rId3322" ref="D2810"/>
    <hyperlink r:id="rId3323" ref="D2811"/>
    <hyperlink r:id="rId3324" ref="D2812"/>
    <hyperlink r:id="rId3325" ref="D2813"/>
    <hyperlink r:id="rId3326" ref="D2814"/>
    <hyperlink r:id="rId3327" ref="C2815"/>
    <hyperlink r:id="rId3328" ref="D2815"/>
    <hyperlink r:id="rId3329" ref="C2816"/>
    <hyperlink r:id="rId3330" ref="D2816"/>
    <hyperlink r:id="rId3331" ref="C2817"/>
    <hyperlink r:id="rId3332" ref="D2817"/>
    <hyperlink r:id="rId3333" ref="C2818"/>
    <hyperlink r:id="rId3334" ref="D2818"/>
    <hyperlink r:id="rId3335" ref="C2819"/>
    <hyperlink r:id="rId3336" ref="D2819"/>
    <hyperlink r:id="rId3337" ref="C2820"/>
    <hyperlink r:id="rId3338" ref="D2820"/>
    <hyperlink r:id="rId3339" ref="C2821"/>
    <hyperlink r:id="rId3340" ref="D2821"/>
    <hyperlink r:id="rId3341" ref="D2822"/>
    <hyperlink r:id="rId3342" ref="D2823"/>
    <hyperlink r:id="rId3343" ref="D2824"/>
    <hyperlink r:id="rId3344" ref="D2825"/>
    <hyperlink r:id="rId3345" ref="D2826"/>
    <hyperlink r:id="rId3346" ref="D2827"/>
    <hyperlink r:id="rId3347" ref="D2828"/>
    <hyperlink r:id="rId3348" ref="D2829"/>
    <hyperlink r:id="rId3349" ref="D2830"/>
    <hyperlink r:id="rId3350" ref="D2831"/>
    <hyperlink r:id="rId3351" ref="D2832"/>
    <hyperlink r:id="rId3352" ref="C2833"/>
    <hyperlink r:id="rId3353" ref="D2833"/>
    <hyperlink r:id="rId3354" ref="C2834"/>
    <hyperlink r:id="rId3355" ref="D2834"/>
    <hyperlink r:id="rId3356" ref="C2835"/>
    <hyperlink r:id="rId3357" ref="D2835"/>
    <hyperlink r:id="rId3358" ref="C2836"/>
    <hyperlink r:id="rId3359" ref="D2836"/>
    <hyperlink r:id="rId3360" ref="C2837"/>
    <hyperlink r:id="rId3361" ref="D2837"/>
    <hyperlink r:id="rId3362" ref="C2838"/>
    <hyperlink r:id="rId3363" ref="D2838"/>
    <hyperlink r:id="rId3364" ref="C2839"/>
    <hyperlink r:id="rId3365" ref="D2839"/>
    <hyperlink r:id="rId3366" ref="C2840"/>
    <hyperlink r:id="rId3367" ref="D2840"/>
    <hyperlink r:id="rId3368" ref="C2841"/>
    <hyperlink r:id="rId3369" ref="D2841"/>
    <hyperlink r:id="rId3370" ref="D2842"/>
    <hyperlink r:id="rId3371" location="kf" ref="D2843"/>
    <hyperlink r:id="rId3372" location="kf" ref="D2844"/>
    <hyperlink r:id="rId3373" ref="D2845"/>
    <hyperlink r:id="rId3374" ref="D2846"/>
    <hyperlink r:id="rId3375" location="kf" ref="D2847"/>
    <hyperlink r:id="rId3376" ref="D2848"/>
    <hyperlink r:id="rId3377" ref="D2849"/>
    <hyperlink r:id="rId3378" location="kf" ref="D2850"/>
    <hyperlink r:id="rId3379" location="kf" ref="D2851"/>
    <hyperlink r:id="rId3380" location="kf" ref="D2852"/>
    <hyperlink r:id="rId3381" ref="D2853"/>
    <hyperlink r:id="rId3382" ref="D2854"/>
    <hyperlink r:id="rId3383" ref="D2855"/>
    <hyperlink r:id="rId3384" ref="D2856"/>
    <hyperlink r:id="rId3385" ref="D2857"/>
    <hyperlink r:id="rId3386" ref="C2858"/>
    <hyperlink r:id="rId3387" ref="D2858"/>
    <hyperlink r:id="rId3388" ref="C2859"/>
    <hyperlink r:id="rId3389" ref="D2859"/>
    <hyperlink r:id="rId3390" ref="D2860"/>
    <hyperlink r:id="rId3391" ref="C2861"/>
    <hyperlink r:id="rId3392" ref="D2861"/>
    <hyperlink r:id="rId3393" ref="C2862"/>
    <hyperlink r:id="rId3394" ref="D2862"/>
    <hyperlink r:id="rId3395" ref="C2863"/>
    <hyperlink r:id="rId3396" ref="D2863"/>
    <hyperlink r:id="rId3397" ref="C2864"/>
    <hyperlink r:id="rId3398" ref="D2864"/>
    <hyperlink r:id="rId3399" ref="D2865"/>
    <hyperlink r:id="rId3400" ref="D2866"/>
    <hyperlink r:id="rId3401" ref="D2867"/>
    <hyperlink r:id="rId3402" ref="D2868"/>
    <hyperlink r:id="rId3403" ref="D2869"/>
    <hyperlink r:id="rId3404" ref="D2870"/>
    <hyperlink r:id="rId3405" ref="D2871"/>
    <hyperlink r:id="rId3406" ref="D2872"/>
    <hyperlink r:id="rId3407" ref="D2873"/>
    <hyperlink r:id="rId3408" ref="D2874"/>
    <hyperlink r:id="rId3409" ref="D2875"/>
    <hyperlink r:id="rId3410" ref="D2876"/>
    <hyperlink r:id="rId3411" ref="D2877"/>
    <hyperlink r:id="rId3412" ref="D2878"/>
    <hyperlink r:id="rId3413" ref="D2879"/>
    <hyperlink r:id="rId3414" ref="D2880"/>
    <hyperlink r:id="rId3415" ref="D2881"/>
    <hyperlink r:id="rId3416" ref="D2882"/>
    <hyperlink r:id="rId3417" ref="D2883"/>
    <hyperlink r:id="rId3418" ref="D2884"/>
    <hyperlink r:id="rId3419" ref="D2885"/>
    <hyperlink r:id="rId3420" ref="D2886"/>
    <hyperlink r:id="rId3421" ref="D2887"/>
    <hyperlink r:id="rId3422" ref="D2888"/>
    <hyperlink r:id="rId3423" ref="D2889"/>
    <hyperlink r:id="rId3424" ref="D2890"/>
    <hyperlink r:id="rId3425" ref="C2891"/>
    <hyperlink r:id="rId3426" ref="C2892"/>
    <hyperlink r:id="rId3427" ref="D2892"/>
    <hyperlink r:id="rId3428" ref="C2893"/>
    <hyperlink r:id="rId3429" ref="D2893"/>
    <hyperlink r:id="rId3430" ref="C2894"/>
    <hyperlink r:id="rId3431" ref="D2894"/>
    <hyperlink r:id="rId3432" ref="C2895"/>
    <hyperlink r:id="rId3433" ref="D2895"/>
    <hyperlink r:id="rId3434" ref="C2896"/>
    <hyperlink r:id="rId3435" ref="D2896"/>
    <hyperlink r:id="rId3436" ref="C2897"/>
    <hyperlink r:id="rId3437" ref="D2897"/>
    <hyperlink r:id="rId3438" ref="C2898"/>
    <hyperlink r:id="rId3439" ref="D2898"/>
    <hyperlink r:id="rId3440" ref="C2899"/>
    <hyperlink r:id="rId3441" ref="D2899"/>
    <hyperlink r:id="rId3442" ref="C2900"/>
    <hyperlink r:id="rId3443" ref="D2900"/>
    <hyperlink r:id="rId3444" ref="C2901"/>
    <hyperlink r:id="rId3445" ref="D2901"/>
    <hyperlink r:id="rId3446" ref="C2902"/>
    <hyperlink r:id="rId3447" ref="D2902"/>
    <hyperlink r:id="rId3448" ref="D2903"/>
    <hyperlink r:id="rId3449" ref="D2904"/>
    <hyperlink r:id="rId3450" ref="D2905"/>
    <hyperlink r:id="rId3451" ref="D2906"/>
    <hyperlink r:id="rId3452" ref="D2907"/>
    <hyperlink r:id="rId3453" ref="D2908"/>
    <hyperlink r:id="rId3454" ref="D2909"/>
    <hyperlink r:id="rId3455" ref="D2910"/>
    <hyperlink r:id="rId3456" ref="D2911"/>
    <hyperlink r:id="rId3457" ref="D2912"/>
    <hyperlink r:id="rId3458" ref="D2913"/>
    <hyperlink r:id="rId3459" ref="D2914"/>
    <hyperlink r:id="rId3460" ref="D2915"/>
    <hyperlink r:id="rId3461" ref="D2916"/>
    <hyperlink r:id="rId3462" ref="D2917"/>
    <hyperlink r:id="rId3463" ref="D2918"/>
    <hyperlink r:id="rId3464" ref="C2919"/>
    <hyperlink r:id="rId3465" ref="D2919"/>
    <hyperlink r:id="rId3466" ref="C2920"/>
    <hyperlink r:id="rId3467" ref="D2920"/>
    <hyperlink r:id="rId3468" ref="C2921"/>
    <hyperlink r:id="rId3469" ref="D2921"/>
    <hyperlink r:id="rId3470" ref="C2922"/>
    <hyperlink r:id="rId3471" ref="D2922"/>
    <hyperlink r:id="rId3472" ref="C2923"/>
    <hyperlink r:id="rId3473" ref="D2923"/>
    <hyperlink r:id="rId3474" ref="D2924"/>
    <hyperlink r:id="rId3475" ref="D2925"/>
    <hyperlink r:id="rId3476" ref="D2926"/>
    <hyperlink r:id="rId3477" ref="C2927"/>
    <hyperlink r:id="rId3478" ref="D2927"/>
    <hyperlink r:id="rId3479" ref="C2928"/>
    <hyperlink r:id="rId3480" ref="D2928"/>
    <hyperlink r:id="rId3481" ref="C2929"/>
    <hyperlink r:id="rId3482" ref="D2929"/>
    <hyperlink r:id="rId3483" ref="C2930"/>
    <hyperlink r:id="rId3484" ref="D2930"/>
    <hyperlink r:id="rId3485" location="kf" ref="D2931"/>
    <hyperlink r:id="rId3486" location="kf" ref="D2932"/>
    <hyperlink r:id="rId3487" ref="D2933"/>
    <hyperlink r:id="rId3488" location="kf" ref="D2934"/>
    <hyperlink r:id="rId3489" location="kf" ref="D2935"/>
    <hyperlink r:id="rId3490" location="kf" ref="D2936"/>
    <hyperlink r:id="rId3491" ref="D2937"/>
    <hyperlink r:id="rId3492" ref="D2938"/>
    <hyperlink r:id="rId3493" ref="D2939"/>
    <hyperlink r:id="rId3494" ref="D2940"/>
    <hyperlink r:id="rId3495" ref="D2941"/>
    <hyperlink r:id="rId3496" ref="C2942"/>
    <hyperlink r:id="rId3497" ref="D2942"/>
    <hyperlink r:id="rId3498" ref="D2943"/>
    <hyperlink r:id="rId3499" ref="C2944"/>
    <hyperlink r:id="rId3500" ref="D2944"/>
    <hyperlink r:id="rId3501" ref="D2945"/>
    <hyperlink r:id="rId3502" ref="D2946"/>
    <hyperlink r:id="rId3503" ref="D2947"/>
    <hyperlink r:id="rId3504" ref="D2948"/>
    <hyperlink r:id="rId3505" ref="D2949"/>
    <hyperlink r:id="rId3506" ref="D2950"/>
    <hyperlink r:id="rId3507" ref="D2951"/>
    <hyperlink r:id="rId3508" ref="D2952"/>
    <hyperlink r:id="rId3509" ref="D2953"/>
    <hyperlink r:id="rId3510" ref="D2954"/>
    <hyperlink r:id="rId3511" ref="D2955"/>
    <hyperlink r:id="rId3512" ref="D2956"/>
    <hyperlink r:id="rId3513" ref="D2957"/>
    <hyperlink r:id="rId3514" ref="D2958"/>
    <hyperlink r:id="rId3515" ref="D2959"/>
    <hyperlink r:id="rId3516" ref="D2960"/>
    <hyperlink r:id="rId3517" ref="D2961"/>
    <hyperlink r:id="rId3518" ref="D2962"/>
    <hyperlink r:id="rId3519" ref="C2963"/>
    <hyperlink r:id="rId3520" ref="D2963"/>
    <hyperlink r:id="rId3521" ref="C2964"/>
    <hyperlink r:id="rId3522" ref="D2964"/>
    <hyperlink r:id="rId3523" ref="C2965"/>
    <hyperlink r:id="rId3524" ref="D2965"/>
    <hyperlink r:id="rId3525" ref="C2966"/>
    <hyperlink r:id="rId3526" ref="D2966"/>
    <hyperlink r:id="rId3527" ref="C2967"/>
    <hyperlink r:id="rId3528" ref="D2967"/>
    <hyperlink r:id="rId3529" ref="D2968"/>
    <hyperlink r:id="rId3530" ref="D2969"/>
    <hyperlink r:id="rId3531" ref="D2970"/>
    <hyperlink r:id="rId3532" ref="D2971"/>
    <hyperlink r:id="rId3533" ref="D2972"/>
    <hyperlink r:id="rId3534" ref="D2973"/>
    <hyperlink r:id="rId3535" ref="D2974"/>
    <hyperlink r:id="rId3536" ref="C2975"/>
    <hyperlink r:id="rId3537" ref="D2975"/>
    <hyperlink r:id="rId3538" ref="C2976"/>
    <hyperlink r:id="rId3539" ref="D2976"/>
    <hyperlink r:id="rId3540" ref="C2977"/>
    <hyperlink r:id="rId3541" ref="D2977"/>
    <hyperlink r:id="rId3542" ref="C2978"/>
    <hyperlink r:id="rId3543" ref="D2978"/>
    <hyperlink r:id="rId3544" ref="C2979"/>
    <hyperlink r:id="rId3545" ref="D2979"/>
    <hyperlink r:id="rId3546" ref="D2980"/>
    <hyperlink r:id="rId3547" ref="D2981"/>
    <hyperlink r:id="rId3548" ref="D2982"/>
    <hyperlink r:id="rId3549" ref="D2983"/>
    <hyperlink r:id="rId3550" ref="D2984"/>
    <hyperlink r:id="rId3551" ref="D2985"/>
    <hyperlink r:id="rId3552" ref="D2986"/>
    <hyperlink r:id="rId3553" ref="D2987"/>
    <hyperlink r:id="rId3554" ref="D2988"/>
    <hyperlink r:id="rId3555" ref="D2989"/>
    <hyperlink r:id="rId3556" ref="D2990"/>
    <hyperlink r:id="rId3557" ref="D2991"/>
    <hyperlink r:id="rId3558" ref="D2992"/>
    <hyperlink r:id="rId3559" ref="C2993"/>
    <hyperlink r:id="rId3560" ref="D2993"/>
    <hyperlink r:id="rId3561" ref="C2994"/>
    <hyperlink r:id="rId3562" ref="D2994"/>
    <hyperlink r:id="rId3563" ref="C2995"/>
    <hyperlink r:id="rId3564" ref="D2995"/>
    <hyperlink r:id="rId3565" ref="C2996"/>
    <hyperlink r:id="rId3566" ref="D2996"/>
    <hyperlink r:id="rId3567" ref="C2997"/>
    <hyperlink r:id="rId3568" ref="D2997"/>
    <hyperlink r:id="rId3569" ref="C2998"/>
    <hyperlink r:id="rId3570" ref="D2998"/>
    <hyperlink r:id="rId3571" ref="C2999"/>
    <hyperlink r:id="rId3572" ref="D2999"/>
    <hyperlink r:id="rId3573" ref="C3000"/>
    <hyperlink r:id="rId3574" ref="D3000"/>
    <hyperlink r:id="rId3575" ref="C3001"/>
    <hyperlink r:id="rId3576" ref="D3001"/>
    <hyperlink r:id="rId3577" ref="C3002"/>
    <hyperlink r:id="rId3578" ref="D3002"/>
    <hyperlink r:id="rId3579" ref="C3003"/>
    <hyperlink r:id="rId3580" ref="D3003"/>
    <hyperlink r:id="rId3581" ref="C3004"/>
    <hyperlink r:id="rId3582" ref="D3004"/>
    <hyperlink r:id="rId3583" ref="C3005"/>
    <hyperlink r:id="rId3584" ref="D3005"/>
    <hyperlink r:id="rId3585" ref="C3006"/>
    <hyperlink r:id="rId3586" ref="D3006"/>
    <hyperlink r:id="rId3587" ref="C3007"/>
    <hyperlink r:id="rId3588" ref="D3007"/>
    <hyperlink r:id="rId3589" location="kf" ref="D3008"/>
    <hyperlink r:id="rId3590" location="kf" ref="D3009"/>
    <hyperlink r:id="rId3591" location="kf" ref="D3010"/>
    <hyperlink r:id="rId3592" ref="D3011"/>
    <hyperlink r:id="rId3593" location="kf" ref="D3012"/>
    <hyperlink r:id="rId3594" location="kf" ref="D3013"/>
    <hyperlink r:id="rId3595" location="kf" ref="D3014"/>
    <hyperlink r:id="rId3596" location="kf" ref="D3015"/>
    <hyperlink r:id="rId3597" ref="D3016"/>
    <hyperlink r:id="rId3598" location="kf" ref="D3017"/>
    <hyperlink r:id="rId3599" ref="D3018"/>
    <hyperlink r:id="rId3600" location="kf" ref="D3019"/>
    <hyperlink r:id="rId3601" location="kf" ref="D3020"/>
    <hyperlink r:id="rId3602" ref="D3021"/>
    <hyperlink r:id="rId3603" location="kf" ref="D3022"/>
    <hyperlink r:id="rId3604" ref="D3023"/>
    <hyperlink r:id="rId3605" ref="D3024"/>
    <hyperlink r:id="rId3606" ref="D3025"/>
    <hyperlink r:id="rId3607" ref="C3026"/>
    <hyperlink r:id="rId3608" ref="D3026"/>
    <hyperlink r:id="rId3609" ref="D3027"/>
    <hyperlink r:id="rId3610" ref="D3028"/>
    <hyperlink r:id="rId3611" ref="D3029"/>
    <hyperlink r:id="rId3612" ref="C3030"/>
    <hyperlink r:id="rId3613" ref="D3030"/>
    <hyperlink r:id="rId3614" ref="C3031"/>
    <hyperlink r:id="rId3615" ref="D3031"/>
    <hyperlink r:id="rId3616" ref="C3032"/>
    <hyperlink r:id="rId3617" ref="D3032"/>
    <hyperlink r:id="rId3618" ref="C3033"/>
    <hyperlink r:id="rId3619" ref="D3033"/>
    <hyperlink r:id="rId3620" ref="D3034"/>
    <hyperlink r:id="rId3621" ref="D3035"/>
    <hyperlink r:id="rId3622" ref="D3036"/>
    <hyperlink r:id="rId3623" ref="D3037"/>
    <hyperlink r:id="rId3624" ref="D3038"/>
    <hyperlink r:id="rId3625" ref="D3039"/>
    <hyperlink r:id="rId3626" ref="D3040"/>
    <hyperlink r:id="rId3627" ref="D3041"/>
    <hyperlink r:id="rId3628" ref="D3042"/>
    <hyperlink r:id="rId3629" ref="D3043"/>
    <hyperlink r:id="rId3630" ref="D3044"/>
    <hyperlink r:id="rId3631" ref="D3045"/>
    <hyperlink r:id="rId3632" ref="D3046"/>
    <hyperlink r:id="rId3633" ref="D3047"/>
    <hyperlink r:id="rId3634" ref="D3048"/>
    <hyperlink r:id="rId3635" ref="D3049"/>
    <hyperlink r:id="rId3636" ref="D3050"/>
    <hyperlink r:id="rId3637" ref="D3051"/>
    <hyperlink r:id="rId3638" ref="D3052"/>
    <hyperlink r:id="rId3639" ref="D3053"/>
    <hyperlink r:id="rId3640" ref="D3054"/>
    <hyperlink r:id="rId3641" ref="D3055"/>
    <hyperlink r:id="rId3642" ref="D3056"/>
    <hyperlink r:id="rId3643" ref="D3057"/>
    <hyperlink r:id="rId3644" ref="D3058"/>
    <hyperlink r:id="rId3645" ref="D3059"/>
    <hyperlink r:id="rId3646" ref="D3060"/>
    <hyperlink r:id="rId3647" ref="D3061"/>
    <hyperlink r:id="rId3648" ref="D3062"/>
    <hyperlink r:id="rId3649" ref="D3063"/>
    <hyperlink r:id="rId3650" ref="D3064"/>
    <hyperlink r:id="rId3651" ref="D3065"/>
    <hyperlink r:id="rId3652" ref="C3066"/>
    <hyperlink r:id="rId3653" ref="D3066"/>
    <hyperlink r:id="rId3654" ref="C3067"/>
    <hyperlink r:id="rId3655" ref="D3067"/>
    <hyperlink r:id="rId3656" ref="C3068"/>
    <hyperlink r:id="rId3657" ref="D3068"/>
    <hyperlink r:id="rId3658" ref="C3069"/>
    <hyperlink r:id="rId3659" ref="D3069"/>
    <hyperlink r:id="rId3660" ref="C3070"/>
    <hyperlink r:id="rId3661" ref="D3070"/>
    <hyperlink r:id="rId3662" ref="C3071"/>
    <hyperlink r:id="rId3663" ref="D3071"/>
    <hyperlink r:id="rId3664" ref="C3072"/>
    <hyperlink r:id="rId3665" ref="D3072"/>
    <hyperlink r:id="rId3666" ref="C3073"/>
    <hyperlink r:id="rId3667" ref="D3073"/>
    <hyperlink r:id="rId3668" ref="C3074"/>
    <hyperlink r:id="rId3669" ref="D3074"/>
    <hyperlink r:id="rId3670" ref="C3075"/>
    <hyperlink r:id="rId3671" ref="D3075"/>
    <hyperlink r:id="rId3672" ref="C3076"/>
    <hyperlink r:id="rId3673" ref="D3076"/>
    <hyperlink r:id="rId3674" ref="C3077"/>
    <hyperlink r:id="rId3675" ref="D3077"/>
    <hyperlink r:id="rId3676" ref="C3078"/>
    <hyperlink r:id="rId3677" ref="D3078"/>
    <hyperlink r:id="rId3678" ref="D3079"/>
    <hyperlink r:id="rId3679" ref="D3080"/>
    <hyperlink r:id="rId3680" ref="D3081"/>
    <hyperlink r:id="rId3681" ref="D3082"/>
    <hyperlink r:id="rId3682" ref="D3083"/>
    <hyperlink r:id="rId3683" ref="D3084"/>
    <hyperlink r:id="rId3684" ref="D3085"/>
    <hyperlink r:id="rId3685" ref="D3086"/>
    <hyperlink r:id="rId3686" ref="D3087"/>
    <hyperlink r:id="rId3687" ref="C3088"/>
    <hyperlink r:id="rId3688" ref="D3088"/>
    <hyperlink r:id="rId3689" ref="C3089"/>
    <hyperlink r:id="rId3690" ref="D3089"/>
    <hyperlink r:id="rId3691" ref="C3090"/>
    <hyperlink r:id="rId3692" ref="D3090"/>
    <hyperlink r:id="rId3693" ref="C3091"/>
    <hyperlink r:id="rId3694" ref="D3091"/>
    <hyperlink r:id="rId3695" ref="C3092"/>
    <hyperlink r:id="rId3696" ref="D3092"/>
    <hyperlink r:id="rId3697" ref="D3093"/>
    <hyperlink r:id="rId3698" ref="D3094"/>
    <hyperlink r:id="rId3699" ref="D3095"/>
    <hyperlink r:id="rId3700" ref="D3096"/>
    <hyperlink r:id="rId3701" ref="D3097"/>
    <hyperlink r:id="rId3702" ref="C3098"/>
    <hyperlink r:id="rId3703" ref="D3098"/>
    <hyperlink r:id="rId3704" ref="C3099"/>
    <hyperlink r:id="rId3705" ref="D3099"/>
    <hyperlink r:id="rId3706" ref="C3100"/>
    <hyperlink r:id="rId3707" ref="D3100"/>
    <hyperlink r:id="rId3708" ref="C3101"/>
    <hyperlink r:id="rId3709" ref="D3101"/>
    <hyperlink r:id="rId3710" location="kf" ref="D3102"/>
    <hyperlink r:id="rId3711" location="kf" ref="D3103"/>
    <hyperlink r:id="rId3712" location="kf" ref="D3104"/>
    <hyperlink r:id="rId3713" location="kf" ref="D3105"/>
    <hyperlink r:id="rId3714" location="kf" ref="D3106"/>
    <hyperlink r:id="rId3715" location="kf" ref="D3107"/>
    <hyperlink r:id="rId3716" ref="D3108"/>
    <hyperlink r:id="rId3717" ref="D3109"/>
    <hyperlink r:id="rId3718" ref="D3110"/>
    <hyperlink r:id="rId3719" ref="D3111"/>
    <hyperlink r:id="rId3720" ref="D3112"/>
    <hyperlink r:id="rId3721" ref="D3113"/>
    <hyperlink r:id="rId3722" ref="D3114"/>
    <hyperlink r:id="rId3723" ref="D3115"/>
    <hyperlink r:id="rId3724" ref="D3116"/>
    <hyperlink r:id="rId3725" ref="D3117"/>
    <hyperlink r:id="rId3726" ref="D3118"/>
    <hyperlink r:id="rId3727" ref="D3119"/>
    <hyperlink r:id="rId3728" ref="D3120"/>
    <hyperlink r:id="rId3729" ref="D3121"/>
    <hyperlink r:id="rId3730" ref="D3122"/>
    <hyperlink r:id="rId3731" ref="D3123"/>
    <hyperlink r:id="rId3732" ref="D3124"/>
    <hyperlink r:id="rId3733" ref="D3125"/>
    <hyperlink r:id="rId3734" ref="D3126"/>
    <hyperlink r:id="rId3735" ref="D3127"/>
    <hyperlink r:id="rId3736" ref="D3128"/>
    <hyperlink r:id="rId3737" ref="D3129"/>
    <hyperlink r:id="rId3738" ref="D3130"/>
    <hyperlink r:id="rId3739" ref="D3131"/>
    <hyperlink r:id="rId3740" ref="D3132"/>
    <hyperlink r:id="rId3741" ref="D3133"/>
    <hyperlink r:id="rId3742" ref="D3134"/>
    <hyperlink r:id="rId3743" ref="D3135"/>
    <hyperlink r:id="rId3744" ref="C3136"/>
    <hyperlink r:id="rId3745" ref="D3136"/>
    <hyperlink r:id="rId3746" ref="C3137"/>
    <hyperlink r:id="rId3747" ref="D3137"/>
    <hyperlink r:id="rId3748" ref="C3138"/>
    <hyperlink r:id="rId3749" ref="D3138"/>
    <hyperlink r:id="rId3750" ref="C3139"/>
    <hyperlink r:id="rId3751" ref="D3139"/>
    <hyperlink r:id="rId3752" ref="C3140"/>
    <hyperlink r:id="rId3753" ref="D3140"/>
    <hyperlink r:id="rId3754" ref="D3141"/>
    <hyperlink r:id="rId3755" ref="D3142"/>
    <hyperlink r:id="rId3756" ref="D3143"/>
    <hyperlink r:id="rId3757" ref="D3144"/>
    <hyperlink r:id="rId3758" ref="D3145"/>
    <hyperlink r:id="rId3759" ref="D3146"/>
    <hyperlink r:id="rId3760" ref="D3147"/>
    <hyperlink r:id="rId3761" ref="D3148"/>
    <hyperlink r:id="rId3762" ref="D3149"/>
    <hyperlink r:id="rId3763" ref="C3150"/>
    <hyperlink r:id="rId3764" ref="D3150"/>
    <hyperlink r:id="rId3765" ref="C3151"/>
    <hyperlink r:id="rId3766" ref="D3151"/>
    <hyperlink r:id="rId3767" ref="C3152"/>
    <hyperlink r:id="rId3768" ref="D3152"/>
    <hyperlink r:id="rId3769" ref="C3153"/>
    <hyperlink r:id="rId3770" ref="D3153"/>
    <hyperlink r:id="rId3771" ref="C3154"/>
    <hyperlink r:id="rId3772" ref="D3154"/>
    <hyperlink r:id="rId3773" ref="D3155"/>
    <hyperlink r:id="rId3774" ref="D3156"/>
    <hyperlink r:id="rId3775" ref="D3157"/>
    <hyperlink r:id="rId3776" ref="D3158"/>
    <hyperlink r:id="rId3777" ref="D3159"/>
    <hyperlink r:id="rId3778" ref="D3160"/>
    <hyperlink r:id="rId3779" ref="D3161"/>
    <hyperlink r:id="rId3780" ref="D3162"/>
    <hyperlink r:id="rId3781" ref="C3163"/>
    <hyperlink r:id="rId3782" ref="D3163"/>
    <hyperlink r:id="rId3783" ref="C3164"/>
    <hyperlink r:id="rId3784" ref="D3164"/>
    <hyperlink r:id="rId3785" ref="C3165"/>
    <hyperlink r:id="rId3786" ref="D3165"/>
    <hyperlink r:id="rId3787" ref="C3166"/>
    <hyperlink r:id="rId3788" ref="D3166"/>
    <hyperlink r:id="rId3789" ref="C3167"/>
    <hyperlink r:id="rId3790" ref="D3167"/>
    <hyperlink r:id="rId3791" ref="C3168"/>
    <hyperlink r:id="rId3792" ref="D3168"/>
    <hyperlink r:id="rId3793" ref="C3169"/>
    <hyperlink r:id="rId3794" ref="D3169"/>
    <hyperlink r:id="rId3795" ref="C3170"/>
    <hyperlink r:id="rId3796" ref="D3170"/>
    <hyperlink r:id="rId3797" ref="C3171"/>
    <hyperlink r:id="rId3798" ref="D3171"/>
    <hyperlink r:id="rId3799" ref="C3172"/>
    <hyperlink r:id="rId3800" ref="D3172"/>
    <hyperlink r:id="rId3801" location="kf" ref="D3173"/>
    <hyperlink r:id="rId3802" location="kf" ref="D3174"/>
    <hyperlink r:id="rId3803" location="kf" ref="D3175"/>
    <hyperlink r:id="rId3804" location="kf" ref="D3176"/>
    <hyperlink r:id="rId3805" location="kf" ref="D3177"/>
    <hyperlink r:id="rId3806" location="kf" ref="D3178"/>
    <hyperlink r:id="rId3807" location="kf" ref="D3179"/>
    <hyperlink r:id="rId3808" location="kf" ref="D3180"/>
    <hyperlink r:id="rId3809" location="kf" ref="D3181"/>
    <hyperlink r:id="rId3810" location="kf" ref="D3182"/>
    <hyperlink r:id="rId3811" ref="D3183"/>
    <hyperlink r:id="rId3812" ref="D3184"/>
    <hyperlink r:id="rId3813" ref="D3185"/>
    <hyperlink r:id="rId3814" ref="D3186"/>
    <hyperlink r:id="rId3815" ref="C3187"/>
    <hyperlink r:id="rId3816" ref="D3187"/>
    <hyperlink r:id="rId3817" ref="D3188"/>
    <hyperlink r:id="rId3818" ref="D3189"/>
    <hyperlink r:id="rId3819" ref="C3190"/>
    <hyperlink r:id="rId3820" ref="D3190"/>
    <hyperlink r:id="rId3821" ref="C3191"/>
    <hyperlink r:id="rId3822" ref="D3191"/>
    <hyperlink r:id="rId3823" ref="C3192"/>
    <hyperlink r:id="rId3824" ref="D3192"/>
    <hyperlink r:id="rId3825" ref="C3193"/>
    <hyperlink r:id="rId3826" ref="D3193"/>
    <hyperlink r:id="rId3827" ref="C3194"/>
    <hyperlink r:id="rId3828" ref="D3194"/>
    <hyperlink r:id="rId3829" ref="D3195"/>
    <hyperlink r:id="rId3830" ref="D3196"/>
    <hyperlink r:id="rId3831" ref="D3197"/>
    <hyperlink r:id="rId3832" ref="D3198"/>
    <hyperlink r:id="rId3833" ref="D3199"/>
    <hyperlink r:id="rId3834" ref="D3200"/>
    <hyperlink r:id="rId3835" ref="D3201"/>
    <hyperlink r:id="rId3836" ref="D3202"/>
    <hyperlink r:id="rId3837" ref="D3203"/>
    <hyperlink r:id="rId3838" ref="D3204"/>
    <hyperlink r:id="rId3839" ref="D3205"/>
    <hyperlink r:id="rId3840" ref="D3206"/>
    <hyperlink r:id="rId3841" ref="D3207"/>
    <hyperlink r:id="rId3842" ref="D3208"/>
    <hyperlink r:id="rId3843" ref="D3209"/>
    <hyperlink r:id="rId3844" ref="D3210"/>
    <hyperlink r:id="rId3845" ref="D3211"/>
    <hyperlink r:id="rId3846" ref="D3212"/>
    <hyperlink r:id="rId3847" ref="D3213"/>
    <hyperlink r:id="rId3848" ref="D3214"/>
    <hyperlink r:id="rId3849" ref="D3215"/>
    <hyperlink r:id="rId3850" ref="D3216"/>
    <hyperlink r:id="rId3851" ref="D3217"/>
    <hyperlink r:id="rId3852" ref="D3218"/>
    <hyperlink r:id="rId3853" ref="C3219"/>
    <hyperlink r:id="rId3854" ref="D3219"/>
    <hyperlink r:id="rId3855" ref="C3220"/>
    <hyperlink r:id="rId3856" ref="D3220"/>
    <hyperlink r:id="rId3857" ref="C3221"/>
    <hyperlink r:id="rId3858" ref="D3221"/>
    <hyperlink r:id="rId3859" ref="C3222"/>
    <hyperlink r:id="rId3860" ref="D3222"/>
    <hyperlink r:id="rId3861" ref="C3223"/>
    <hyperlink r:id="rId3862" ref="D3223"/>
    <hyperlink r:id="rId3863" ref="C3224"/>
    <hyperlink r:id="rId3864" ref="D3224"/>
    <hyperlink r:id="rId3865" ref="C3225"/>
    <hyperlink r:id="rId3866" ref="D3225"/>
    <hyperlink r:id="rId3867" ref="C3226"/>
    <hyperlink r:id="rId3868" ref="D3226"/>
    <hyperlink r:id="rId3869" ref="C3227"/>
    <hyperlink r:id="rId3870" ref="D3227"/>
    <hyperlink r:id="rId3871" ref="C3228"/>
    <hyperlink r:id="rId3872" ref="D3228"/>
    <hyperlink r:id="rId3873" ref="D3229"/>
    <hyperlink r:id="rId3874" ref="D3230"/>
    <hyperlink r:id="rId3875" ref="D3231"/>
    <hyperlink r:id="rId3876" ref="D3232"/>
    <hyperlink r:id="rId3877" ref="D3233"/>
    <hyperlink r:id="rId3878" ref="D3234"/>
    <hyperlink r:id="rId3879" ref="D3235"/>
    <hyperlink r:id="rId3880" ref="D3236"/>
    <hyperlink r:id="rId3881" ref="D3237"/>
    <hyperlink r:id="rId3882" ref="C3238"/>
    <hyperlink r:id="rId3883" ref="D3238"/>
    <hyperlink r:id="rId3884" ref="C3239"/>
    <hyperlink r:id="rId3885" ref="D3239"/>
    <hyperlink r:id="rId3886" ref="C3240"/>
    <hyperlink r:id="rId3887" ref="D3240"/>
    <hyperlink r:id="rId3888" ref="C3241"/>
    <hyperlink r:id="rId3889" ref="D3241"/>
    <hyperlink r:id="rId3890" ref="C3242"/>
    <hyperlink r:id="rId3891" ref="D3242"/>
    <hyperlink r:id="rId3892" ref="D3243"/>
    <hyperlink r:id="rId3893" ref="D3244"/>
    <hyperlink r:id="rId3894" ref="D3245"/>
    <hyperlink r:id="rId3895" ref="C3246"/>
    <hyperlink r:id="rId3896" ref="D3246"/>
    <hyperlink r:id="rId3897" ref="C3247"/>
    <hyperlink r:id="rId3898" ref="D3247"/>
    <hyperlink r:id="rId3899" location="kf" ref="D3248"/>
    <hyperlink r:id="rId3900" location="kf" ref="D3249"/>
    <hyperlink r:id="rId3901" location="kf" ref="D3250"/>
    <hyperlink r:id="rId3902" location="kf" ref="D3251"/>
    <hyperlink r:id="rId3903" location="kf" ref="D3252"/>
    <hyperlink r:id="rId3904" ref="D3253"/>
    <hyperlink r:id="rId3905" ref="D3254"/>
    <hyperlink r:id="rId3906" ref="D3255"/>
    <hyperlink r:id="rId3907" ref="D3256"/>
    <hyperlink r:id="rId3908" ref="D3257"/>
    <hyperlink r:id="rId3909" ref="C3258"/>
    <hyperlink r:id="rId3910" ref="D3258"/>
    <hyperlink r:id="rId3911" ref="D3259"/>
    <hyperlink r:id="rId3912" ref="D3260"/>
    <hyperlink r:id="rId3913" ref="D3261"/>
    <hyperlink r:id="rId3914" ref="D3262"/>
    <hyperlink r:id="rId3915" ref="D3263"/>
    <hyperlink r:id="rId3916" ref="D3264"/>
    <hyperlink r:id="rId3917" ref="D3265"/>
    <hyperlink r:id="rId3918" ref="D3266"/>
    <hyperlink r:id="rId3919" ref="D3267"/>
    <hyperlink r:id="rId3920" ref="D3268"/>
    <hyperlink r:id="rId3921" ref="D3269"/>
    <hyperlink r:id="rId3922" ref="D3270"/>
    <hyperlink r:id="rId3923" ref="D3271"/>
    <hyperlink r:id="rId3924" ref="D3272"/>
    <hyperlink r:id="rId3925" ref="D3273"/>
    <hyperlink r:id="rId3926" ref="D3274"/>
    <hyperlink r:id="rId3927" ref="D3275"/>
    <hyperlink r:id="rId3928" ref="D3276"/>
    <hyperlink r:id="rId3929" ref="D3277"/>
    <hyperlink r:id="rId3930" ref="C3278"/>
    <hyperlink r:id="rId3931" ref="D3278"/>
    <hyperlink r:id="rId3932" ref="C3279"/>
    <hyperlink r:id="rId3933" ref="D3279"/>
    <hyperlink r:id="rId3934" ref="C3280"/>
    <hyperlink r:id="rId3935" ref="D3280"/>
    <hyperlink r:id="rId3936" ref="C3281"/>
    <hyperlink r:id="rId3937" ref="D3281"/>
    <hyperlink r:id="rId3938" ref="C3282"/>
    <hyperlink r:id="rId3939" ref="D3282"/>
    <hyperlink r:id="rId3940" ref="D3283"/>
    <hyperlink r:id="rId3941" ref="D3284"/>
    <hyperlink r:id="rId3942" ref="D3285"/>
    <hyperlink r:id="rId3943" ref="D3286"/>
    <hyperlink r:id="rId3944" ref="D3287"/>
    <hyperlink r:id="rId3945" ref="D3288"/>
    <hyperlink r:id="rId3946" ref="D3289"/>
    <hyperlink r:id="rId3947" ref="D3290"/>
    <hyperlink r:id="rId3948" ref="D3291"/>
    <hyperlink r:id="rId3949" ref="D3292"/>
    <hyperlink r:id="rId3950" ref="D3293"/>
    <hyperlink r:id="rId3951" ref="D3294"/>
    <hyperlink r:id="rId3952" ref="C3295"/>
    <hyperlink r:id="rId3953" ref="D3295"/>
    <hyperlink r:id="rId3954" ref="C3296"/>
    <hyperlink r:id="rId3955" ref="D3296"/>
    <hyperlink r:id="rId3956" ref="C3297"/>
    <hyperlink r:id="rId3957" ref="D3297"/>
    <hyperlink r:id="rId3958" ref="C3298"/>
    <hyperlink r:id="rId3959" ref="D3298"/>
    <hyperlink r:id="rId3960" ref="C3299"/>
    <hyperlink r:id="rId3961" ref="D3299"/>
    <hyperlink r:id="rId3962" ref="D3300"/>
    <hyperlink r:id="rId3963" ref="D3301"/>
    <hyperlink r:id="rId3964" ref="D3302"/>
    <hyperlink r:id="rId3965" ref="D3303"/>
    <hyperlink r:id="rId3966" ref="C3304"/>
    <hyperlink r:id="rId3967" ref="D3304"/>
    <hyperlink r:id="rId3968" ref="C3305"/>
    <hyperlink r:id="rId3969" ref="D3305"/>
    <hyperlink r:id="rId3970" ref="C3306"/>
    <hyperlink r:id="rId3971" ref="D3306"/>
    <hyperlink r:id="rId3972" ref="C3307"/>
    <hyperlink r:id="rId3973" ref="D3307"/>
    <hyperlink r:id="rId3974" ref="C3308"/>
    <hyperlink r:id="rId3975" ref="D3308"/>
    <hyperlink r:id="rId3976" ref="C3309"/>
    <hyperlink r:id="rId3977" ref="D3309"/>
    <hyperlink r:id="rId3978" ref="C3310"/>
    <hyperlink r:id="rId3979" ref="D3310"/>
    <hyperlink r:id="rId3980" ref="C3311"/>
    <hyperlink r:id="rId3981" ref="D3311"/>
    <hyperlink r:id="rId3982" ref="C3312"/>
    <hyperlink r:id="rId3983" ref="D3312"/>
    <hyperlink r:id="rId3984" ref="C3313"/>
    <hyperlink r:id="rId3985" ref="D3313"/>
    <hyperlink r:id="rId3986" ref="C3314"/>
    <hyperlink r:id="rId3987" ref="D3314"/>
    <hyperlink r:id="rId3988" location="kf" ref="D3315"/>
    <hyperlink r:id="rId3989" location="kf" ref="D3316"/>
    <hyperlink r:id="rId3990" ref="D3317"/>
    <hyperlink r:id="rId3991" location="kf" ref="D3318"/>
    <hyperlink r:id="rId3992" location="kf" ref="D3319"/>
    <hyperlink r:id="rId3993" location="kf" ref="D3320"/>
    <hyperlink r:id="rId3994" location="kf" ref="D3321"/>
    <hyperlink r:id="rId3995" location="kf" ref="D3322"/>
    <hyperlink r:id="rId3996" location="kf" ref="D3323"/>
    <hyperlink r:id="rId3997" ref="D3324"/>
    <hyperlink r:id="rId3998" ref="D3325"/>
    <hyperlink r:id="rId3999" ref="D3326"/>
    <hyperlink r:id="rId4000" ref="D3327"/>
    <hyperlink r:id="rId4001" ref="D3328"/>
    <hyperlink r:id="rId4002" ref="D3329"/>
    <hyperlink r:id="rId4003" ref="C3330"/>
    <hyperlink r:id="rId4004" ref="D3330"/>
    <hyperlink r:id="rId4005" ref="D3331"/>
    <hyperlink r:id="rId4006" ref="C3332"/>
    <hyperlink r:id="rId4007" ref="D3332"/>
    <hyperlink r:id="rId4008" ref="C3333"/>
    <hyperlink r:id="rId4009" ref="D3333"/>
    <hyperlink r:id="rId4010" ref="D3334"/>
    <hyperlink r:id="rId4011" ref="D3335"/>
    <hyperlink r:id="rId4012" ref="D3336"/>
    <hyperlink r:id="rId4013" ref="D3337"/>
    <hyperlink r:id="rId4014" ref="D3338"/>
    <hyperlink r:id="rId4015" ref="D3339"/>
    <hyperlink r:id="rId4016" ref="D3340"/>
    <hyperlink r:id="rId4017" ref="D3341"/>
    <hyperlink r:id="rId4018" ref="D3342"/>
    <hyperlink r:id="rId4019" ref="D3343"/>
    <hyperlink r:id="rId4020" ref="D3344"/>
    <hyperlink r:id="rId4021" ref="D3345"/>
    <hyperlink r:id="rId4022" ref="D3346"/>
    <hyperlink r:id="rId4023" ref="D3347"/>
    <hyperlink r:id="rId4024" ref="D3348"/>
    <hyperlink r:id="rId4025" ref="D3349"/>
    <hyperlink r:id="rId4026" ref="D3350"/>
    <hyperlink r:id="rId4027" ref="D3351"/>
    <hyperlink r:id="rId4028" ref="D3352"/>
    <hyperlink r:id="rId4029" ref="D3353"/>
    <hyperlink r:id="rId4030" ref="D3354"/>
    <hyperlink r:id="rId4031" ref="C3355"/>
    <hyperlink r:id="rId4032" ref="D3355"/>
    <hyperlink r:id="rId4033" ref="C3356"/>
    <hyperlink r:id="rId4034" ref="D3356"/>
    <hyperlink r:id="rId4035" ref="C3357"/>
    <hyperlink r:id="rId4036" ref="D3357"/>
    <hyperlink r:id="rId4037" ref="C3358"/>
    <hyperlink r:id="rId4038" ref="D3358"/>
    <hyperlink r:id="rId4039" ref="C3359"/>
    <hyperlink r:id="rId4040" ref="D3359"/>
    <hyperlink r:id="rId4041" ref="C3360"/>
    <hyperlink r:id="rId4042" ref="D3360"/>
    <hyperlink r:id="rId4043" ref="C3361"/>
    <hyperlink r:id="rId4044" ref="D3361"/>
    <hyperlink r:id="rId4045" ref="C3362"/>
    <hyperlink r:id="rId4046" ref="D3362"/>
  </hyperlinks>
  <drawing r:id="rId4047"/>
  <legacyDrawing r:id="rId4048"/>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CCC"/>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8.0"/>
    <col customWidth="1" min="2" max="2" width="9.63"/>
    <col customWidth="1" min="3" max="3" width="8.0"/>
    <col customWidth="1" min="4" max="4" width="18.38"/>
    <col customWidth="1" min="5" max="5" width="10.5"/>
    <col customWidth="1" min="6" max="6" width="14.38"/>
    <col customWidth="1" min="7" max="7" width="15.88"/>
    <col customWidth="1" min="8" max="8" width="8.38"/>
    <col customWidth="1" min="9" max="9" width="10.25"/>
    <col customWidth="1" min="10" max="22" width="5.63"/>
    <col customWidth="1" min="23" max="23" width="7.25"/>
    <col customWidth="1" min="24" max="24" width="6.13"/>
    <col customWidth="1" min="25" max="25" width="7.0"/>
    <col customWidth="1" min="26" max="30" width="5.63"/>
    <col customWidth="1" min="31" max="63" width="7.5"/>
  </cols>
  <sheetData>
    <row r="1" ht="91.5" customHeight="1">
      <c r="A1" s="32" t="s">
        <v>1579</v>
      </c>
      <c r="B1" s="316" t="s">
        <v>4594</v>
      </c>
      <c r="C1" s="316" t="s">
        <v>4595</v>
      </c>
      <c r="D1" s="316" t="s">
        <v>1976</v>
      </c>
      <c r="E1" s="316" t="s">
        <v>4596</v>
      </c>
      <c r="F1" s="316" t="s">
        <v>4597</v>
      </c>
      <c r="G1" s="316" t="s">
        <v>4598</v>
      </c>
      <c r="H1" s="36" t="s">
        <v>4599</v>
      </c>
      <c r="I1" s="316" t="s">
        <v>4600</v>
      </c>
      <c r="J1" s="36" t="s">
        <v>4601</v>
      </c>
      <c r="K1" s="36" t="s">
        <v>4602</v>
      </c>
      <c r="L1" s="36" t="s">
        <v>4603</v>
      </c>
      <c r="M1" s="36" t="s">
        <v>4604</v>
      </c>
      <c r="N1" s="36" t="s">
        <v>4605</v>
      </c>
      <c r="O1" s="36" t="s">
        <v>4606</v>
      </c>
      <c r="P1" s="36" t="s">
        <v>4607</v>
      </c>
      <c r="Q1" s="36" t="s">
        <v>4608</v>
      </c>
      <c r="R1" s="36" t="s">
        <v>3348</v>
      </c>
      <c r="S1" s="36" t="s">
        <v>4609</v>
      </c>
      <c r="T1" s="36" t="s">
        <v>4610</v>
      </c>
      <c r="U1" s="36" t="s">
        <v>4611</v>
      </c>
      <c r="V1" s="36" t="s">
        <v>4612</v>
      </c>
      <c r="W1" s="36" t="s">
        <v>3145</v>
      </c>
      <c r="X1" s="36" t="s">
        <v>4613</v>
      </c>
      <c r="Y1" s="36" t="s">
        <v>4614</v>
      </c>
      <c r="Z1" s="36" t="s">
        <v>4615</v>
      </c>
      <c r="AA1" s="36" t="s">
        <v>4616</v>
      </c>
      <c r="AB1" s="36" t="s">
        <v>4617</v>
      </c>
      <c r="AC1" s="36" t="s">
        <v>1588</v>
      </c>
      <c r="AD1" s="36" t="s">
        <v>4618</v>
      </c>
      <c r="AE1" s="36" t="s">
        <v>4619</v>
      </c>
      <c r="AF1" s="662"/>
      <c r="AG1" s="662"/>
      <c r="AH1" s="662"/>
      <c r="AI1" s="662"/>
      <c r="AJ1" s="662"/>
      <c r="AK1" s="662"/>
      <c r="AL1" s="662"/>
      <c r="AM1" s="662"/>
      <c r="AN1" s="662"/>
      <c r="AO1" s="662"/>
      <c r="AP1" s="662"/>
      <c r="AQ1" s="662"/>
      <c r="AR1" s="662"/>
      <c r="AS1" s="662"/>
      <c r="AT1" s="662"/>
      <c r="AU1" s="662"/>
      <c r="AV1" s="662"/>
      <c r="AW1" s="662"/>
      <c r="AX1" s="662"/>
      <c r="AY1" s="662"/>
      <c r="AZ1" s="662"/>
      <c r="BA1" s="662"/>
      <c r="BB1" s="662"/>
      <c r="BC1" s="662"/>
      <c r="BD1" s="662"/>
      <c r="BE1" s="662"/>
      <c r="BF1" s="662"/>
      <c r="BG1" s="662"/>
      <c r="BH1" s="662"/>
      <c r="BI1" s="662"/>
      <c r="BJ1" s="662"/>
      <c r="BK1" s="662"/>
    </row>
    <row r="2">
      <c r="A2" s="507" t="s">
        <v>1664</v>
      </c>
      <c r="B2" s="260" t="s">
        <v>4620</v>
      </c>
      <c r="C2" s="260" t="s">
        <v>4621</v>
      </c>
      <c r="D2" s="663" t="s">
        <v>4622</v>
      </c>
      <c r="E2" s="664">
        <v>42845.0</v>
      </c>
      <c r="F2" s="663" t="s">
        <v>4623</v>
      </c>
      <c r="G2" s="665" t="s">
        <v>4624</v>
      </c>
      <c r="H2" s="665" t="s">
        <v>4625</v>
      </c>
      <c r="I2" s="260" t="s">
        <v>4626</v>
      </c>
      <c r="J2" s="665">
        <v>2.2</v>
      </c>
      <c r="K2" s="665">
        <v>101.0</v>
      </c>
      <c r="L2" s="665">
        <v>640.0</v>
      </c>
      <c r="M2" s="665">
        <v>40.0</v>
      </c>
      <c r="N2" s="665">
        <v>16.0</v>
      </c>
      <c r="O2" s="665" t="s">
        <v>166</v>
      </c>
      <c r="P2" s="665" t="s">
        <v>166</v>
      </c>
      <c r="Q2" s="665">
        <v>1100.0</v>
      </c>
      <c r="R2" s="665">
        <v>1183.0</v>
      </c>
      <c r="S2" s="665">
        <v>2.0</v>
      </c>
      <c r="T2" s="665">
        <v>7.0</v>
      </c>
      <c r="U2" s="665">
        <v>128.0</v>
      </c>
      <c r="V2" s="665">
        <f t="shared" ref="V2:V142" si="1">T2*U2/8</f>
        <v>112</v>
      </c>
      <c r="W2" s="665" t="s">
        <v>4627</v>
      </c>
      <c r="X2" s="262">
        <f t="shared" ref="X2:X142" si="2">N2*R2/1000</f>
        <v>18.928</v>
      </c>
      <c r="Y2" s="262">
        <f t="shared" ref="Y2:Y142" si="3">M2*R2/1000</f>
        <v>47.32</v>
      </c>
      <c r="Z2" s="666">
        <v>1.211</v>
      </c>
      <c r="AA2" s="666">
        <v>0.075</v>
      </c>
      <c r="AB2" s="666">
        <v>1.211</v>
      </c>
      <c r="AC2" s="665">
        <v>50.0</v>
      </c>
      <c r="AD2" s="665" t="s">
        <v>4628</v>
      </c>
      <c r="AE2" s="667">
        <v>79.0</v>
      </c>
      <c r="AF2" s="668"/>
      <c r="AG2" s="668"/>
      <c r="AH2" s="668"/>
      <c r="AI2" s="668"/>
      <c r="AJ2" s="668"/>
      <c r="AK2" s="668"/>
      <c r="AL2" s="668"/>
      <c r="AM2" s="668"/>
      <c r="AN2" s="668"/>
      <c r="AO2" s="668"/>
      <c r="AP2" s="668"/>
      <c r="AQ2" s="668"/>
      <c r="AR2" s="668"/>
      <c r="AS2" s="668"/>
      <c r="AT2" s="668"/>
      <c r="AU2" s="668"/>
      <c r="AV2" s="668"/>
      <c r="AW2" s="668"/>
      <c r="AX2" s="668"/>
      <c r="AY2" s="668"/>
      <c r="AZ2" s="668"/>
      <c r="BA2" s="668"/>
      <c r="BB2" s="668"/>
      <c r="BC2" s="668"/>
      <c r="BD2" s="668"/>
      <c r="BE2" s="668"/>
      <c r="BF2" s="668"/>
      <c r="BG2" s="668"/>
      <c r="BH2" s="668"/>
      <c r="BI2" s="668"/>
      <c r="BJ2" s="668"/>
      <c r="BK2" s="668"/>
    </row>
    <row r="3">
      <c r="A3" s="507" t="s">
        <v>1664</v>
      </c>
      <c r="B3" s="260" t="s">
        <v>4620</v>
      </c>
      <c r="C3" s="260" t="s">
        <v>4621</v>
      </c>
      <c r="D3" s="663" t="s">
        <v>4629</v>
      </c>
      <c r="E3" s="664">
        <v>42845.0</v>
      </c>
      <c r="F3" s="663" t="s">
        <v>4623</v>
      </c>
      <c r="G3" s="665" t="s">
        <v>4624</v>
      </c>
      <c r="H3" s="665" t="s">
        <v>4625</v>
      </c>
      <c r="I3" s="260" t="s">
        <v>4626</v>
      </c>
      <c r="J3" s="665">
        <v>2.2</v>
      </c>
      <c r="K3" s="665">
        <v>101.0</v>
      </c>
      <c r="L3" s="665">
        <v>640.0</v>
      </c>
      <c r="M3" s="665">
        <v>40.0</v>
      </c>
      <c r="N3" s="665">
        <v>16.0</v>
      </c>
      <c r="O3" s="665" t="s">
        <v>166</v>
      </c>
      <c r="P3" s="665" t="s">
        <v>166</v>
      </c>
      <c r="Q3" s="665">
        <v>1100.0</v>
      </c>
      <c r="R3" s="665">
        <v>1183.0</v>
      </c>
      <c r="S3" s="665">
        <v>4.0</v>
      </c>
      <c r="T3" s="665">
        <v>7.0</v>
      </c>
      <c r="U3" s="665">
        <v>128.0</v>
      </c>
      <c r="V3" s="665">
        <f t="shared" si="1"/>
        <v>112</v>
      </c>
      <c r="W3" s="665" t="s">
        <v>4627</v>
      </c>
      <c r="X3" s="262">
        <f t="shared" si="2"/>
        <v>18.928</v>
      </c>
      <c r="Y3" s="262">
        <f t="shared" si="3"/>
        <v>47.32</v>
      </c>
      <c r="Z3" s="666">
        <v>1.211</v>
      </c>
      <c r="AA3" s="666">
        <v>0.075</v>
      </c>
      <c r="AB3" s="666">
        <v>1.211</v>
      </c>
      <c r="AC3" s="665">
        <v>50.0</v>
      </c>
      <c r="AD3" s="665" t="s">
        <v>4628</v>
      </c>
      <c r="AE3" s="667">
        <v>79.0</v>
      </c>
      <c r="AF3" s="668"/>
      <c r="AG3" s="668"/>
      <c r="AH3" s="668"/>
      <c r="AI3" s="668"/>
      <c r="AJ3" s="668"/>
      <c r="AK3" s="668"/>
      <c r="AL3" s="668"/>
      <c r="AM3" s="668"/>
      <c r="AN3" s="668"/>
      <c r="AO3" s="668"/>
      <c r="AP3" s="668"/>
      <c r="AQ3" s="668"/>
      <c r="AR3" s="668"/>
      <c r="AS3" s="668"/>
      <c r="AT3" s="668"/>
      <c r="AU3" s="668"/>
      <c r="AV3" s="668"/>
      <c r="AW3" s="668"/>
      <c r="AX3" s="668"/>
      <c r="AY3" s="668"/>
      <c r="AZ3" s="668"/>
      <c r="BA3" s="668"/>
      <c r="BB3" s="668"/>
      <c r="BC3" s="668"/>
      <c r="BD3" s="668"/>
      <c r="BE3" s="668"/>
      <c r="BF3" s="668"/>
      <c r="BG3" s="668"/>
      <c r="BH3" s="668"/>
      <c r="BI3" s="668"/>
      <c r="BJ3" s="668"/>
      <c r="BK3" s="668"/>
    </row>
    <row r="4">
      <c r="A4" s="507" t="s">
        <v>1664</v>
      </c>
      <c r="B4" s="260" t="s">
        <v>4620</v>
      </c>
      <c r="C4" s="260" t="s">
        <v>4621</v>
      </c>
      <c r="D4" s="663" t="s">
        <v>4630</v>
      </c>
      <c r="E4" s="664">
        <v>42871.0</v>
      </c>
      <c r="F4" s="663" t="s">
        <v>4631</v>
      </c>
      <c r="G4" s="665" t="s">
        <v>4624</v>
      </c>
      <c r="H4" s="665" t="s">
        <v>4625</v>
      </c>
      <c r="I4" s="260" t="s">
        <v>4626</v>
      </c>
      <c r="J4" s="665">
        <v>3.0</v>
      </c>
      <c r="K4" s="665">
        <v>123.0</v>
      </c>
      <c r="L4" s="665">
        <v>1024.0</v>
      </c>
      <c r="M4" s="665">
        <v>64.0</v>
      </c>
      <c r="N4" s="665">
        <v>16.0</v>
      </c>
      <c r="O4" s="665" t="s">
        <v>166</v>
      </c>
      <c r="P4" s="665" t="s">
        <v>166</v>
      </c>
      <c r="Q4" s="665">
        <v>1175.0</v>
      </c>
      <c r="R4" s="665">
        <v>1275.0</v>
      </c>
      <c r="S4" s="665">
        <v>2.0</v>
      </c>
      <c r="T4" s="665">
        <v>7.0</v>
      </c>
      <c r="U4" s="665">
        <v>128.0</v>
      </c>
      <c r="V4" s="665">
        <f t="shared" si="1"/>
        <v>112</v>
      </c>
      <c r="W4" s="665" t="s">
        <v>4627</v>
      </c>
      <c r="X4" s="262">
        <f t="shared" si="2"/>
        <v>20.4</v>
      </c>
      <c r="Y4" s="262">
        <f t="shared" si="3"/>
        <v>81.6</v>
      </c>
      <c r="Z4" s="666">
        <v>2.611</v>
      </c>
      <c r="AA4" s="666">
        <v>0.163</v>
      </c>
      <c r="AB4" s="666">
        <v>2.611</v>
      </c>
      <c r="AC4" s="665">
        <v>80.0</v>
      </c>
      <c r="AD4" s="665" t="s">
        <v>4628</v>
      </c>
      <c r="AE4" s="667">
        <v>99.0</v>
      </c>
      <c r="AF4" s="668"/>
      <c r="AG4" s="668"/>
      <c r="AH4" s="668"/>
      <c r="AI4" s="668"/>
      <c r="AJ4" s="668"/>
      <c r="AK4" s="668"/>
      <c r="AL4" s="668"/>
      <c r="AM4" s="668"/>
      <c r="AN4" s="668"/>
      <c r="AO4" s="668"/>
      <c r="AP4" s="668"/>
      <c r="AQ4" s="668"/>
      <c r="AR4" s="668"/>
      <c r="AS4" s="668"/>
      <c r="AT4" s="668"/>
      <c r="AU4" s="668"/>
      <c r="AV4" s="668"/>
      <c r="AW4" s="668"/>
      <c r="AX4" s="668"/>
      <c r="AY4" s="668"/>
      <c r="AZ4" s="668"/>
      <c r="BA4" s="668"/>
      <c r="BB4" s="668"/>
      <c r="BC4" s="668"/>
      <c r="BD4" s="668"/>
      <c r="BE4" s="668"/>
      <c r="BF4" s="668"/>
      <c r="BG4" s="668"/>
      <c r="BH4" s="668"/>
      <c r="BI4" s="668"/>
      <c r="BJ4" s="668"/>
      <c r="BK4" s="668"/>
    </row>
    <row r="5">
      <c r="A5" s="507" t="s">
        <v>1664</v>
      </c>
      <c r="B5" s="260" t="s">
        <v>4620</v>
      </c>
      <c r="C5" s="260" t="s">
        <v>4621</v>
      </c>
      <c r="D5" s="663" t="s">
        <v>4632</v>
      </c>
      <c r="E5" s="664">
        <v>42871.0</v>
      </c>
      <c r="F5" s="663" t="s">
        <v>4631</v>
      </c>
      <c r="G5" s="665" t="s">
        <v>4624</v>
      </c>
      <c r="H5" s="665" t="s">
        <v>4625</v>
      </c>
      <c r="I5" s="260" t="s">
        <v>4626</v>
      </c>
      <c r="J5" s="665">
        <v>3.0</v>
      </c>
      <c r="K5" s="665">
        <v>123.0</v>
      </c>
      <c r="L5" s="665">
        <v>1024.0</v>
      </c>
      <c r="M5" s="665">
        <v>64.0</v>
      </c>
      <c r="N5" s="665">
        <v>16.0</v>
      </c>
      <c r="O5" s="665" t="s">
        <v>166</v>
      </c>
      <c r="P5" s="665" t="s">
        <v>166</v>
      </c>
      <c r="Q5" s="665">
        <v>1175.0</v>
      </c>
      <c r="R5" s="665">
        <v>1275.0</v>
      </c>
      <c r="S5" s="665">
        <v>4.0</v>
      </c>
      <c r="T5" s="665">
        <v>7.0</v>
      </c>
      <c r="U5" s="665">
        <v>128.0</v>
      </c>
      <c r="V5" s="665">
        <f t="shared" si="1"/>
        <v>112</v>
      </c>
      <c r="W5" s="665" t="s">
        <v>4627</v>
      </c>
      <c r="X5" s="262">
        <f t="shared" si="2"/>
        <v>20.4</v>
      </c>
      <c r="Y5" s="262">
        <f t="shared" si="3"/>
        <v>81.6</v>
      </c>
      <c r="Z5" s="666">
        <v>2.611</v>
      </c>
      <c r="AA5" s="666">
        <v>0.163</v>
      </c>
      <c r="AB5" s="666">
        <v>2.611</v>
      </c>
      <c r="AC5" s="665">
        <v>80.0</v>
      </c>
      <c r="AD5" s="665" t="s">
        <v>4628</v>
      </c>
      <c r="AE5" s="667">
        <v>99.0</v>
      </c>
      <c r="AF5" s="668"/>
      <c r="AG5" s="668"/>
      <c r="AH5" s="668"/>
      <c r="AI5" s="668"/>
      <c r="AJ5" s="668"/>
      <c r="AK5" s="668"/>
      <c r="AL5" s="668"/>
      <c r="AM5" s="668"/>
      <c r="AN5" s="668"/>
      <c r="AO5" s="668"/>
      <c r="AP5" s="668"/>
      <c r="AQ5" s="668"/>
      <c r="AR5" s="668"/>
      <c r="AS5" s="668"/>
      <c r="AT5" s="668"/>
      <c r="AU5" s="668"/>
      <c r="AV5" s="668"/>
      <c r="AW5" s="668"/>
      <c r="AX5" s="668"/>
      <c r="AY5" s="668"/>
      <c r="AZ5" s="668"/>
      <c r="BA5" s="668"/>
      <c r="BB5" s="668"/>
      <c r="BC5" s="668"/>
      <c r="BD5" s="668"/>
      <c r="BE5" s="668"/>
      <c r="BF5" s="668"/>
      <c r="BG5" s="668"/>
      <c r="BH5" s="668"/>
      <c r="BI5" s="668"/>
      <c r="BJ5" s="668"/>
      <c r="BK5" s="668"/>
    </row>
    <row r="6">
      <c r="A6" s="507" t="s">
        <v>1664</v>
      </c>
      <c r="B6" s="260" t="s">
        <v>4620</v>
      </c>
      <c r="C6" s="260" t="s">
        <v>4621</v>
      </c>
      <c r="D6" s="663" t="s">
        <v>4633</v>
      </c>
      <c r="E6" s="664">
        <v>42843.0</v>
      </c>
      <c r="F6" s="663" t="s">
        <v>4634</v>
      </c>
      <c r="G6" s="665" t="s">
        <v>4624</v>
      </c>
      <c r="H6" s="665" t="s">
        <v>4625</v>
      </c>
      <c r="I6" s="260" t="s">
        <v>3304</v>
      </c>
      <c r="J6" s="665">
        <v>5.7</v>
      </c>
      <c r="K6" s="665">
        <v>232.0</v>
      </c>
      <c r="L6" s="665">
        <v>2048.0</v>
      </c>
      <c r="M6" s="665">
        <v>128.0</v>
      </c>
      <c r="N6" s="665">
        <v>32.0</v>
      </c>
      <c r="O6" s="665" t="s">
        <v>166</v>
      </c>
      <c r="P6" s="665" t="s">
        <v>166</v>
      </c>
      <c r="Q6" s="665">
        <v>1168.0</v>
      </c>
      <c r="R6" s="665">
        <v>1244.0</v>
      </c>
      <c r="S6" s="665">
        <v>4.0</v>
      </c>
      <c r="T6" s="665">
        <v>7.0</v>
      </c>
      <c r="U6" s="665">
        <v>256.0</v>
      </c>
      <c r="V6" s="665">
        <f t="shared" si="1"/>
        <v>224</v>
      </c>
      <c r="W6" s="665" t="s">
        <v>4627</v>
      </c>
      <c r="X6" s="262">
        <f t="shared" si="2"/>
        <v>39.808</v>
      </c>
      <c r="Y6" s="262">
        <f t="shared" si="3"/>
        <v>159.232</v>
      </c>
      <c r="Z6" s="666">
        <v>5.095</v>
      </c>
      <c r="AA6" s="666">
        <v>0.318</v>
      </c>
      <c r="AB6" s="666">
        <v>5.095</v>
      </c>
      <c r="AC6" s="665">
        <v>150.0</v>
      </c>
      <c r="AD6" s="665" t="s">
        <v>4628</v>
      </c>
      <c r="AE6" s="667">
        <v>169.0</v>
      </c>
      <c r="AF6" s="668"/>
      <c r="AG6" s="668"/>
      <c r="AH6" s="668"/>
      <c r="AI6" s="668"/>
      <c r="AJ6" s="668"/>
      <c r="AK6" s="668"/>
      <c r="AL6" s="668"/>
      <c r="AM6" s="668"/>
      <c r="AN6" s="668"/>
      <c r="AO6" s="668"/>
      <c r="AP6" s="668"/>
      <c r="AQ6" s="668"/>
      <c r="AR6" s="668"/>
      <c r="AS6" s="668"/>
      <c r="AT6" s="668"/>
      <c r="AU6" s="668"/>
      <c r="AV6" s="668"/>
      <c r="AW6" s="668"/>
      <c r="AX6" s="668"/>
      <c r="AY6" s="668"/>
      <c r="AZ6" s="668"/>
      <c r="BA6" s="668"/>
      <c r="BB6" s="668"/>
      <c r="BC6" s="668"/>
      <c r="BD6" s="668"/>
      <c r="BE6" s="668"/>
      <c r="BF6" s="668"/>
      <c r="BG6" s="668"/>
      <c r="BH6" s="668"/>
      <c r="BI6" s="668"/>
      <c r="BJ6" s="668"/>
      <c r="BK6" s="668"/>
    </row>
    <row r="7">
      <c r="A7" s="507" t="s">
        <v>1664</v>
      </c>
      <c r="B7" s="260" t="s">
        <v>4620</v>
      </c>
      <c r="C7" s="260" t="s">
        <v>4621</v>
      </c>
      <c r="D7" s="663" t="s">
        <v>4635</v>
      </c>
      <c r="E7" s="664">
        <v>42843.0</v>
      </c>
      <c r="F7" s="663" t="s">
        <v>4634</v>
      </c>
      <c r="G7" s="665" t="s">
        <v>4624</v>
      </c>
      <c r="H7" s="665" t="s">
        <v>4625</v>
      </c>
      <c r="I7" s="260" t="s">
        <v>3304</v>
      </c>
      <c r="J7" s="665">
        <v>5.7</v>
      </c>
      <c r="K7" s="665">
        <v>232.0</v>
      </c>
      <c r="L7" s="665">
        <v>2048.0</v>
      </c>
      <c r="M7" s="665">
        <v>128.0</v>
      </c>
      <c r="N7" s="665">
        <v>32.0</v>
      </c>
      <c r="O7" s="665" t="s">
        <v>166</v>
      </c>
      <c r="P7" s="665" t="s">
        <v>166</v>
      </c>
      <c r="Q7" s="665">
        <v>1168.0</v>
      </c>
      <c r="R7" s="665">
        <v>1244.0</v>
      </c>
      <c r="S7" s="665">
        <v>8.0</v>
      </c>
      <c r="T7" s="665">
        <v>7.0</v>
      </c>
      <c r="U7" s="665">
        <v>256.0</v>
      </c>
      <c r="V7" s="665">
        <f t="shared" si="1"/>
        <v>224</v>
      </c>
      <c r="W7" s="665" t="s">
        <v>4627</v>
      </c>
      <c r="X7" s="262">
        <f t="shared" si="2"/>
        <v>39.808</v>
      </c>
      <c r="Y7" s="262">
        <f t="shared" si="3"/>
        <v>159.232</v>
      </c>
      <c r="Z7" s="666">
        <v>5.095</v>
      </c>
      <c r="AA7" s="666">
        <v>0.318</v>
      </c>
      <c r="AB7" s="666">
        <v>5.095</v>
      </c>
      <c r="AC7" s="665">
        <v>150.0</v>
      </c>
      <c r="AD7" s="665" t="s">
        <v>4628</v>
      </c>
      <c r="AE7" s="667">
        <v>169.0</v>
      </c>
      <c r="AF7" s="668"/>
      <c r="AG7" s="668"/>
      <c r="AH7" s="668"/>
      <c r="AI7" s="668"/>
      <c r="AJ7" s="668"/>
      <c r="AK7" s="668"/>
      <c r="AL7" s="668"/>
      <c r="AM7" s="668"/>
      <c r="AN7" s="668"/>
      <c r="AO7" s="668"/>
      <c r="AP7" s="668"/>
      <c r="AQ7" s="668"/>
      <c r="AR7" s="668"/>
      <c r="AS7" s="668"/>
      <c r="AT7" s="668"/>
      <c r="AU7" s="668"/>
      <c r="AV7" s="668"/>
      <c r="AW7" s="668"/>
      <c r="AX7" s="668"/>
      <c r="AY7" s="668"/>
      <c r="AZ7" s="668"/>
      <c r="BA7" s="668"/>
      <c r="BB7" s="668"/>
      <c r="BC7" s="668"/>
      <c r="BD7" s="668"/>
      <c r="BE7" s="668"/>
      <c r="BF7" s="668"/>
      <c r="BG7" s="668"/>
      <c r="BH7" s="668"/>
      <c r="BI7" s="668"/>
      <c r="BJ7" s="668"/>
      <c r="BK7" s="668"/>
    </row>
    <row r="8">
      <c r="A8" s="507" t="s">
        <v>1664</v>
      </c>
      <c r="B8" s="260" t="s">
        <v>4620</v>
      </c>
      <c r="C8" s="260" t="s">
        <v>4621</v>
      </c>
      <c r="D8" s="663" t="s">
        <v>4636</v>
      </c>
      <c r="E8" s="664">
        <v>42843.0</v>
      </c>
      <c r="F8" s="663" t="s">
        <v>4637</v>
      </c>
      <c r="G8" s="665" t="s">
        <v>4624</v>
      </c>
      <c r="H8" s="665" t="s">
        <v>4625</v>
      </c>
      <c r="I8" s="260" t="s">
        <v>3304</v>
      </c>
      <c r="J8" s="665">
        <v>5.7</v>
      </c>
      <c r="K8" s="665">
        <v>232.0</v>
      </c>
      <c r="L8" s="665">
        <v>2304.0</v>
      </c>
      <c r="M8" s="665">
        <v>144.0</v>
      </c>
      <c r="N8" s="665">
        <v>32.0</v>
      </c>
      <c r="O8" s="665" t="s">
        <v>166</v>
      </c>
      <c r="P8" s="665" t="s">
        <v>166</v>
      </c>
      <c r="Q8" s="665">
        <v>1257.0</v>
      </c>
      <c r="R8" s="665">
        <v>1340.0</v>
      </c>
      <c r="S8" s="665">
        <v>4.0</v>
      </c>
      <c r="T8" s="665">
        <v>8.0</v>
      </c>
      <c r="U8" s="665">
        <v>256.0</v>
      </c>
      <c r="V8" s="665">
        <f t="shared" si="1"/>
        <v>256</v>
      </c>
      <c r="W8" s="665" t="s">
        <v>4627</v>
      </c>
      <c r="X8" s="262">
        <f t="shared" si="2"/>
        <v>42.88</v>
      </c>
      <c r="Y8" s="262">
        <f t="shared" si="3"/>
        <v>192.96</v>
      </c>
      <c r="Z8" s="666">
        <v>6.175</v>
      </c>
      <c r="AA8" s="666">
        <v>0.385</v>
      </c>
      <c r="AB8" s="666">
        <v>6.175</v>
      </c>
      <c r="AC8" s="665">
        <v>185.0</v>
      </c>
      <c r="AD8" s="665" t="s">
        <v>4628</v>
      </c>
      <c r="AE8" s="667">
        <v>199.0</v>
      </c>
      <c r="AF8" s="668"/>
      <c r="AG8" s="668"/>
      <c r="AH8" s="668"/>
      <c r="AI8" s="668"/>
      <c r="AJ8" s="668"/>
      <c r="AK8" s="668"/>
      <c r="AL8" s="668"/>
      <c r="AM8" s="668"/>
      <c r="AN8" s="668"/>
      <c r="AO8" s="668"/>
      <c r="AP8" s="668"/>
      <c r="AQ8" s="668"/>
      <c r="AR8" s="668"/>
      <c r="AS8" s="668"/>
      <c r="AT8" s="668"/>
      <c r="AU8" s="668"/>
      <c r="AV8" s="668"/>
      <c r="AW8" s="668"/>
      <c r="AX8" s="668"/>
      <c r="AY8" s="668"/>
      <c r="AZ8" s="668"/>
      <c r="BA8" s="668"/>
      <c r="BB8" s="668"/>
      <c r="BC8" s="668"/>
      <c r="BD8" s="668"/>
      <c r="BE8" s="668"/>
      <c r="BF8" s="668"/>
      <c r="BG8" s="668"/>
      <c r="BH8" s="668"/>
      <c r="BI8" s="668"/>
      <c r="BJ8" s="668"/>
      <c r="BK8" s="668"/>
    </row>
    <row r="9">
      <c r="A9" s="507" t="s">
        <v>1664</v>
      </c>
      <c r="B9" s="260" t="s">
        <v>4620</v>
      </c>
      <c r="C9" s="260" t="s">
        <v>4621</v>
      </c>
      <c r="D9" s="663" t="s">
        <v>4638</v>
      </c>
      <c r="E9" s="664">
        <v>42843.0</v>
      </c>
      <c r="F9" s="663" t="s">
        <v>4637</v>
      </c>
      <c r="G9" s="665" t="s">
        <v>4624</v>
      </c>
      <c r="H9" s="665" t="s">
        <v>4625</v>
      </c>
      <c r="I9" s="260" t="s">
        <v>3304</v>
      </c>
      <c r="J9" s="665">
        <v>5.7</v>
      </c>
      <c r="K9" s="665">
        <v>232.0</v>
      </c>
      <c r="L9" s="665">
        <v>2304.0</v>
      </c>
      <c r="M9" s="665">
        <v>144.0</v>
      </c>
      <c r="N9" s="665">
        <v>32.0</v>
      </c>
      <c r="O9" s="665" t="s">
        <v>166</v>
      </c>
      <c r="P9" s="665" t="s">
        <v>166</v>
      </c>
      <c r="Q9" s="665">
        <v>1257.0</v>
      </c>
      <c r="R9" s="665">
        <v>1340.0</v>
      </c>
      <c r="S9" s="665">
        <v>8.0</v>
      </c>
      <c r="T9" s="665">
        <v>8.0</v>
      </c>
      <c r="U9" s="665">
        <v>256.0</v>
      </c>
      <c r="V9" s="665">
        <f t="shared" si="1"/>
        <v>256</v>
      </c>
      <c r="W9" s="665" t="s">
        <v>4627</v>
      </c>
      <c r="X9" s="262">
        <f t="shared" si="2"/>
        <v>42.88</v>
      </c>
      <c r="Y9" s="262">
        <f t="shared" si="3"/>
        <v>192.96</v>
      </c>
      <c r="Z9" s="666">
        <v>6.175</v>
      </c>
      <c r="AA9" s="666">
        <v>0.385</v>
      </c>
      <c r="AB9" s="666">
        <v>6.175</v>
      </c>
      <c r="AC9" s="665">
        <v>185.0</v>
      </c>
      <c r="AD9" s="665" t="s">
        <v>4628</v>
      </c>
      <c r="AE9" s="667">
        <v>229.0</v>
      </c>
      <c r="AF9" s="668"/>
      <c r="AG9" s="668"/>
      <c r="AH9" s="668"/>
      <c r="AI9" s="668"/>
      <c r="AJ9" s="668"/>
      <c r="AK9" s="668"/>
      <c r="AL9" s="668"/>
      <c r="AM9" s="668"/>
      <c r="AN9" s="668"/>
      <c r="AO9" s="668"/>
      <c r="AP9" s="668"/>
      <c r="AQ9" s="668"/>
      <c r="AR9" s="668"/>
      <c r="AS9" s="668"/>
      <c r="AT9" s="668"/>
      <c r="AU9" s="668"/>
      <c r="AV9" s="668"/>
      <c r="AW9" s="668"/>
      <c r="AX9" s="668"/>
      <c r="AY9" s="668"/>
      <c r="AZ9" s="668"/>
      <c r="BA9" s="668"/>
      <c r="BB9" s="668"/>
      <c r="BC9" s="668"/>
      <c r="BD9" s="668"/>
      <c r="BE9" s="668"/>
      <c r="BF9" s="668"/>
      <c r="BG9" s="668"/>
      <c r="BH9" s="668"/>
      <c r="BI9" s="668"/>
      <c r="BJ9" s="668"/>
      <c r="BK9" s="668"/>
    </row>
    <row r="10">
      <c r="A10" s="519" t="s">
        <v>1664</v>
      </c>
      <c r="B10" s="393" t="s">
        <v>4620</v>
      </c>
      <c r="C10" s="393" t="s">
        <v>4621</v>
      </c>
      <c r="D10" s="669" t="s">
        <v>4639</v>
      </c>
      <c r="E10" s="670">
        <v>43419.0</v>
      </c>
      <c r="F10" s="669" t="s">
        <v>4640</v>
      </c>
      <c r="G10" s="671" t="s">
        <v>4641</v>
      </c>
      <c r="H10" s="671" t="s">
        <v>4625</v>
      </c>
      <c r="I10" s="393" t="s">
        <v>3304</v>
      </c>
      <c r="J10" s="671">
        <v>5.7</v>
      </c>
      <c r="K10" s="671">
        <v>232.0</v>
      </c>
      <c r="L10" s="671">
        <v>2304.0</v>
      </c>
      <c r="M10" s="671">
        <v>144.0</v>
      </c>
      <c r="N10" s="671">
        <v>32.0</v>
      </c>
      <c r="O10" s="671" t="s">
        <v>166</v>
      </c>
      <c r="P10" s="671" t="s">
        <v>166</v>
      </c>
      <c r="Q10" s="671">
        <v>1469.0</v>
      </c>
      <c r="R10" s="671">
        <v>1545.0</v>
      </c>
      <c r="S10" s="671">
        <v>8.0</v>
      </c>
      <c r="T10" s="671">
        <v>8.0</v>
      </c>
      <c r="U10" s="671">
        <v>256.0</v>
      </c>
      <c r="V10" s="671">
        <f t="shared" si="1"/>
        <v>256</v>
      </c>
      <c r="W10" s="671" t="s">
        <v>4627</v>
      </c>
      <c r="X10" s="672">
        <f t="shared" si="2"/>
        <v>49.44</v>
      </c>
      <c r="Y10" s="672">
        <f t="shared" si="3"/>
        <v>222.48</v>
      </c>
      <c r="Z10" s="673">
        <v>7.12</v>
      </c>
      <c r="AA10" s="673">
        <v>0.444</v>
      </c>
      <c r="AB10" s="673">
        <v>7.12</v>
      </c>
      <c r="AC10" s="671">
        <v>225.0</v>
      </c>
      <c r="AD10" s="671" t="s">
        <v>4628</v>
      </c>
      <c r="AE10" s="674">
        <v>279.0</v>
      </c>
      <c r="AF10" s="668"/>
      <c r="AG10" s="668"/>
      <c r="AH10" s="668"/>
      <c r="AI10" s="668"/>
      <c r="AJ10" s="668"/>
      <c r="AK10" s="668"/>
      <c r="AL10" s="668"/>
      <c r="AM10" s="668"/>
      <c r="AN10" s="668"/>
      <c r="AO10" s="668"/>
      <c r="AP10" s="668"/>
      <c r="AQ10" s="668"/>
      <c r="AR10" s="668"/>
      <c r="AS10" s="668"/>
      <c r="AT10" s="668"/>
      <c r="AU10" s="668"/>
      <c r="AV10" s="668"/>
      <c r="AW10" s="668"/>
      <c r="AX10" s="668"/>
      <c r="AY10" s="668"/>
      <c r="AZ10" s="668"/>
      <c r="BA10" s="668"/>
      <c r="BB10" s="668"/>
      <c r="BC10" s="668"/>
      <c r="BD10" s="668"/>
      <c r="BE10" s="668"/>
      <c r="BF10" s="668"/>
      <c r="BG10" s="668"/>
      <c r="BH10" s="668"/>
      <c r="BI10" s="668"/>
      <c r="BJ10" s="668"/>
      <c r="BK10" s="668"/>
    </row>
    <row r="11">
      <c r="A11" s="507" t="s">
        <v>1664</v>
      </c>
      <c r="B11" s="260" t="s">
        <v>4620</v>
      </c>
      <c r="C11" s="260" t="s">
        <v>4642</v>
      </c>
      <c r="D11" s="663" t="s">
        <v>4643</v>
      </c>
      <c r="E11" s="664">
        <v>42975.0</v>
      </c>
      <c r="F11" s="663" t="s">
        <v>4644</v>
      </c>
      <c r="G11" s="665" t="s">
        <v>4624</v>
      </c>
      <c r="H11" s="665" t="s">
        <v>4645</v>
      </c>
      <c r="I11" s="260" t="s">
        <v>3304</v>
      </c>
      <c r="J11" s="665">
        <v>12.5</v>
      </c>
      <c r="K11" s="665">
        <v>486.0</v>
      </c>
      <c r="L11" s="665">
        <v>3584.0</v>
      </c>
      <c r="M11" s="665">
        <v>224.0</v>
      </c>
      <c r="N11" s="665">
        <v>64.0</v>
      </c>
      <c r="O11" s="665" t="s">
        <v>166</v>
      </c>
      <c r="P11" s="665" t="s">
        <v>166</v>
      </c>
      <c r="Q11" s="665">
        <v>1156.0</v>
      </c>
      <c r="R11" s="665">
        <v>1471.0</v>
      </c>
      <c r="S11" s="665">
        <v>8.0</v>
      </c>
      <c r="T11" s="665">
        <v>1.6</v>
      </c>
      <c r="U11" s="665">
        <v>2048.0</v>
      </c>
      <c r="V11" s="665">
        <f t="shared" si="1"/>
        <v>409.6</v>
      </c>
      <c r="W11" s="665" t="s">
        <v>4646</v>
      </c>
      <c r="X11" s="262">
        <f t="shared" si="2"/>
        <v>94.144</v>
      </c>
      <c r="Y11" s="262">
        <f t="shared" si="3"/>
        <v>329.504</v>
      </c>
      <c r="Z11" s="666">
        <v>10.544</v>
      </c>
      <c r="AA11" s="666">
        <v>0.659</v>
      </c>
      <c r="AB11" s="666">
        <v>21.088</v>
      </c>
      <c r="AC11" s="665">
        <v>210.0</v>
      </c>
      <c r="AD11" s="665" t="s">
        <v>4628</v>
      </c>
      <c r="AE11" s="667">
        <v>399.0</v>
      </c>
      <c r="AF11" s="668"/>
      <c r="AG11" s="668"/>
      <c r="AH11" s="668"/>
      <c r="AI11" s="668"/>
      <c r="AJ11" s="668"/>
      <c r="AK11" s="668"/>
      <c r="AL11" s="668"/>
      <c r="AM11" s="668"/>
      <c r="AN11" s="668"/>
      <c r="AO11" s="668"/>
      <c r="AP11" s="668"/>
      <c r="AQ11" s="668"/>
      <c r="AR11" s="668"/>
      <c r="AS11" s="668"/>
      <c r="AT11" s="668"/>
      <c r="AU11" s="668"/>
      <c r="AV11" s="668"/>
      <c r="AW11" s="668"/>
      <c r="AX11" s="668"/>
      <c r="AY11" s="668"/>
      <c r="AZ11" s="668"/>
      <c r="BA11" s="668"/>
      <c r="BB11" s="668"/>
      <c r="BC11" s="668"/>
      <c r="BD11" s="668"/>
      <c r="BE11" s="668"/>
      <c r="BF11" s="668"/>
      <c r="BG11" s="668"/>
      <c r="BH11" s="668"/>
      <c r="BI11" s="668"/>
      <c r="BJ11" s="668"/>
      <c r="BK11" s="668"/>
    </row>
    <row r="12">
      <c r="A12" s="507" t="s">
        <v>1664</v>
      </c>
      <c r="B12" s="260" t="s">
        <v>4620</v>
      </c>
      <c r="C12" s="260" t="s">
        <v>4642</v>
      </c>
      <c r="D12" s="663" t="s">
        <v>4647</v>
      </c>
      <c r="E12" s="664">
        <v>42961.0</v>
      </c>
      <c r="F12" s="663" t="s">
        <v>4648</v>
      </c>
      <c r="G12" s="665" t="s">
        <v>4624</v>
      </c>
      <c r="H12" s="665" t="s">
        <v>4645</v>
      </c>
      <c r="I12" s="260" t="s">
        <v>3304</v>
      </c>
      <c r="J12" s="665">
        <v>12.5</v>
      </c>
      <c r="K12" s="665">
        <v>486.0</v>
      </c>
      <c r="L12" s="665">
        <v>4096.0</v>
      </c>
      <c r="M12" s="665">
        <v>256.0</v>
      </c>
      <c r="N12" s="665">
        <v>64.0</v>
      </c>
      <c r="O12" s="665" t="s">
        <v>166</v>
      </c>
      <c r="P12" s="665" t="s">
        <v>166</v>
      </c>
      <c r="Q12" s="665">
        <v>1247.0</v>
      </c>
      <c r="R12" s="665">
        <v>1546.0</v>
      </c>
      <c r="S12" s="665">
        <v>8.0</v>
      </c>
      <c r="T12" s="665">
        <v>1.89</v>
      </c>
      <c r="U12" s="665">
        <v>2048.0</v>
      </c>
      <c r="V12" s="665">
        <f t="shared" si="1"/>
        <v>483.84</v>
      </c>
      <c r="W12" s="665" t="s">
        <v>4646</v>
      </c>
      <c r="X12" s="262">
        <f t="shared" si="2"/>
        <v>98.944</v>
      </c>
      <c r="Y12" s="262">
        <f t="shared" si="3"/>
        <v>395.776</v>
      </c>
      <c r="Z12" s="666">
        <v>12.665</v>
      </c>
      <c r="AA12" s="666">
        <v>0.792</v>
      </c>
      <c r="AB12" s="666">
        <v>25.33</v>
      </c>
      <c r="AC12" s="665">
        <v>295.0</v>
      </c>
      <c r="AD12" s="665" t="s">
        <v>4628</v>
      </c>
      <c r="AE12" s="667">
        <v>499.0</v>
      </c>
      <c r="AF12" s="668"/>
      <c r="AG12" s="668"/>
      <c r="AH12" s="668"/>
      <c r="AI12" s="668"/>
      <c r="AJ12" s="668"/>
      <c r="AK12" s="668"/>
      <c r="AL12" s="668"/>
      <c r="AM12" s="668"/>
      <c r="AN12" s="668"/>
      <c r="AO12" s="668"/>
      <c r="AP12" s="668"/>
      <c r="AQ12" s="668"/>
      <c r="AR12" s="668"/>
      <c r="AS12" s="668"/>
      <c r="AT12" s="668"/>
      <c r="AU12" s="668"/>
      <c r="AV12" s="668"/>
      <c r="AW12" s="668"/>
      <c r="AX12" s="668"/>
      <c r="AY12" s="668"/>
      <c r="AZ12" s="668"/>
      <c r="BA12" s="668"/>
      <c r="BB12" s="668"/>
      <c r="BC12" s="668"/>
      <c r="BD12" s="668"/>
      <c r="BE12" s="668"/>
      <c r="BF12" s="668"/>
      <c r="BG12" s="668"/>
      <c r="BH12" s="668"/>
      <c r="BI12" s="668"/>
      <c r="BJ12" s="668"/>
      <c r="BK12" s="668"/>
    </row>
    <row r="13">
      <c r="A13" s="519" t="s">
        <v>1664</v>
      </c>
      <c r="B13" s="393" t="s">
        <v>4620</v>
      </c>
      <c r="C13" s="393" t="s">
        <v>4642</v>
      </c>
      <c r="D13" s="669" t="s">
        <v>4649</v>
      </c>
      <c r="E13" s="670">
        <v>42961.0</v>
      </c>
      <c r="F13" s="669" t="s">
        <v>4648</v>
      </c>
      <c r="G13" s="675" t="s">
        <v>4624</v>
      </c>
      <c r="H13" s="671" t="s">
        <v>4645</v>
      </c>
      <c r="I13" s="393" t="s">
        <v>3304</v>
      </c>
      <c r="J13" s="671">
        <v>12.5</v>
      </c>
      <c r="K13" s="671">
        <v>486.0</v>
      </c>
      <c r="L13" s="671">
        <v>4096.0</v>
      </c>
      <c r="M13" s="671">
        <v>256.0</v>
      </c>
      <c r="N13" s="671">
        <v>64.0</v>
      </c>
      <c r="O13" s="671" t="s">
        <v>166</v>
      </c>
      <c r="P13" s="671" t="s">
        <v>166</v>
      </c>
      <c r="Q13" s="671">
        <v>1406.0</v>
      </c>
      <c r="R13" s="671">
        <v>1677.0</v>
      </c>
      <c r="S13" s="671">
        <v>8.0</v>
      </c>
      <c r="T13" s="671">
        <v>1.89</v>
      </c>
      <c r="U13" s="671">
        <v>2048.0</v>
      </c>
      <c r="V13" s="671">
        <f t="shared" si="1"/>
        <v>483.84</v>
      </c>
      <c r="W13" s="671" t="s">
        <v>4646</v>
      </c>
      <c r="X13" s="672">
        <f t="shared" si="2"/>
        <v>107.328</v>
      </c>
      <c r="Y13" s="672">
        <f t="shared" si="3"/>
        <v>429.312</v>
      </c>
      <c r="Z13" s="673">
        <v>13.738</v>
      </c>
      <c r="AA13" s="673">
        <v>0.859</v>
      </c>
      <c r="AB13" s="673">
        <v>27.476</v>
      </c>
      <c r="AC13" s="671">
        <v>345.0</v>
      </c>
      <c r="AD13" s="671" t="s">
        <v>4628</v>
      </c>
      <c r="AE13" s="674">
        <v>699.0</v>
      </c>
      <c r="AF13" s="668"/>
      <c r="AG13" s="668"/>
      <c r="AH13" s="668"/>
      <c r="AI13" s="668"/>
      <c r="AJ13" s="668"/>
      <c r="AK13" s="668"/>
      <c r="AL13" s="668"/>
      <c r="AM13" s="668"/>
      <c r="AN13" s="668"/>
      <c r="AO13" s="668"/>
      <c r="AP13" s="668"/>
      <c r="AQ13" s="668"/>
      <c r="AR13" s="668"/>
      <c r="AS13" s="668"/>
      <c r="AT13" s="668"/>
      <c r="AU13" s="668"/>
      <c r="AV13" s="668"/>
      <c r="AW13" s="668"/>
      <c r="AX13" s="668"/>
      <c r="AY13" s="668"/>
      <c r="AZ13" s="668"/>
      <c r="BA13" s="668"/>
      <c r="BB13" s="668"/>
      <c r="BC13" s="668"/>
      <c r="BD13" s="668"/>
      <c r="BE13" s="668"/>
      <c r="BF13" s="668"/>
      <c r="BG13" s="668"/>
      <c r="BH13" s="668"/>
      <c r="BI13" s="668"/>
      <c r="BJ13" s="668"/>
      <c r="BK13" s="668"/>
    </row>
    <row r="14">
      <c r="A14" s="507" t="s">
        <v>1664</v>
      </c>
      <c r="B14" s="260" t="s">
        <v>4650</v>
      </c>
      <c r="C14" s="260" t="s">
        <v>4651</v>
      </c>
      <c r="D14" s="663" t="s">
        <v>4652</v>
      </c>
      <c r="E14" s="676">
        <v>42684.0</v>
      </c>
      <c r="F14" s="663" t="s">
        <v>4653</v>
      </c>
      <c r="G14" s="665" t="s">
        <v>4624</v>
      </c>
      <c r="H14" s="665" t="s">
        <v>4625</v>
      </c>
      <c r="I14" s="260" t="s">
        <v>4654</v>
      </c>
      <c r="J14" s="665">
        <v>5.7</v>
      </c>
      <c r="K14" s="665">
        <v>232.0</v>
      </c>
      <c r="L14" s="665">
        <v>2304.0</v>
      </c>
      <c r="M14" s="665">
        <v>144.0</v>
      </c>
      <c r="N14" s="665">
        <v>32.0</v>
      </c>
      <c r="O14" s="665" t="s">
        <v>166</v>
      </c>
      <c r="P14" s="665" t="s">
        <v>166</v>
      </c>
      <c r="Q14" s="665">
        <v>1188.0</v>
      </c>
      <c r="R14" s="665">
        <v>1243.0</v>
      </c>
      <c r="S14" s="665">
        <v>8.0</v>
      </c>
      <c r="T14" s="665">
        <v>7.0</v>
      </c>
      <c r="U14" s="665">
        <v>256.0</v>
      </c>
      <c r="V14" s="665">
        <f t="shared" si="1"/>
        <v>224</v>
      </c>
      <c r="W14" s="665" t="s">
        <v>4627</v>
      </c>
      <c r="X14" s="262">
        <f t="shared" si="2"/>
        <v>39.776</v>
      </c>
      <c r="Y14" s="262">
        <f t="shared" si="3"/>
        <v>178.992</v>
      </c>
      <c r="Z14" s="666">
        <v>5.728</v>
      </c>
      <c r="AA14" s="666">
        <v>0.358</v>
      </c>
      <c r="AB14" s="666">
        <v>5.728</v>
      </c>
      <c r="AC14" s="665">
        <v>130.0</v>
      </c>
      <c r="AD14" s="665" t="s">
        <v>4628</v>
      </c>
      <c r="AE14" s="667">
        <v>799.0</v>
      </c>
      <c r="AF14" s="668"/>
      <c r="AG14" s="668"/>
      <c r="AH14" s="668"/>
      <c r="AI14" s="668"/>
      <c r="AJ14" s="668"/>
      <c r="AK14" s="668"/>
      <c r="AL14" s="668"/>
      <c r="AM14" s="668"/>
      <c r="AN14" s="668"/>
      <c r="AO14" s="668"/>
      <c r="AP14" s="668"/>
      <c r="AQ14" s="668"/>
      <c r="AR14" s="668"/>
      <c r="AS14" s="668"/>
      <c r="AT14" s="668"/>
      <c r="AU14" s="668"/>
      <c r="AV14" s="668"/>
      <c r="AW14" s="668"/>
      <c r="AX14" s="668"/>
      <c r="AY14" s="668"/>
      <c r="AZ14" s="668"/>
      <c r="BA14" s="668"/>
      <c r="BB14" s="668"/>
      <c r="BC14" s="668"/>
      <c r="BD14" s="668"/>
      <c r="BE14" s="668"/>
      <c r="BF14" s="668"/>
      <c r="BG14" s="668"/>
      <c r="BH14" s="668"/>
      <c r="BI14" s="668"/>
      <c r="BJ14" s="668"/>
      <c r="BK14" s="668"/>
    </row>
    <row r="15">
      <c r="A15" s="507" t="s">
        <v>1664</v>
      </c>
      <c r="B15" s="260" t="s">
        <v>4650</v>
      </c>
      <c r="C15" s="260" t="s">
        <v>4651</v>
      </c>
      <c r="D15" s="663" t="s">
        <v>4655</v>
      </c>
      <c r="E15" s="677">
        <v>43374.0</v>
      </c>
      <c r="F15" s="663" t="s">
        <v>4648</v>
      </c>
      <c r="G15" s="665" t="s">
        <v>4624</v>
      </c>
      <c r="H15" s="665" t="s">
        <v>4645</v>
      </c>
      <c r="I15" s="260" t="s">
        <v>4654</v>
      </c>
      <c r="J15" s="665">
        <v>12.5</v>
      </c>
      <c r="K15" s="665">
        <v>486.0</v>
      </c>
      <c r="L15" s="665">
        <v>3584.0</v>
      </c>
      <c r="M15" s="665">
        <v>224.0</v>
      </c>
      <c r="N15" s="665">
        <v>64.0</v>
      </c>
      <c r="O15" s="665" t="s">
        <v>166</v>
      </c>
      <c r="P15" s="665" t="s">
        <v>166</v>
      </c>
      <c r="Q15" s="665">
        <v>1200.0</v>
      </c>
      <c r="R15" s="665">
        <v>1500.0</v>
      </c>
      <c r="S15" s="665">
        <v>8.0</v>
      </c>
      <c r="T15" s="665">
        <v>2.0</v>
      </c>
      <c r="U15" s="665">
        <v>2048.0</v>
      </c>
      <c r="V15" s="665">
        <f t="shared" si="1"/>
        <v>512</v>
      </c>
      <c r="W15" s="665" t="s">
        <v>4646</v>
      </c>
      <c r="X15" s="262">
        <f t="shared" si="2"/>
        <v>96</v>
      </c>
      <c r="Y15" s="262">
        <f t="shared" si="3"/>
        <v>336</v>
      </c>
      <c r="Z15" s="666">
        <v>10.75</v>
      </c>
      <c r="AA15" s="666">
        <v>0.672</v>
      </c>
      <c r="AB15" s="666">
        <v>21.5</v>
      </c>
      <c r="AC15" s="665">
        <v>230.0</v>
      </c>
      <c r="AD15" s="665" t="s">
        <v>4628</v>
      </c>
      <c r="AE15" s="667">
        <v>999.0</v>
      </c>
      <c r="AF15" s="668"/>
      <c r="AG15" s="668"/>
      <c r="AH15" s="668"/>
      <c r="AI15" s="668"/>
      <c r="AJ15" s="668"/>
      <c r="AK15" s="668"/>
      <c r="AL15" s="668"/>
      <c r="AM15" s="668"/>
      <c r="AN15" s="668"/>
      <c r="AO15" s="668"/>
      <c r="AP15" s="668"/>
      <c r="AQ15" s="668"/>
      <c r="AR15" s="668"/>
      <c r="AS15" s="668"/>
      <c r="AT15" s="668"/>
      <c r="AU15" s="668"/>
      <c r="AV15" s="668"/>
      <c r="AW15" s="668"/>
      <c r="AX15" s="668"/>
      <c r="AY15" s="668"/>
      <c r="AZ15" s="668"/>
      <c r="BA15" s="668"/>
      <c r="BB15" s="668"/>
      <c r="BC15" s="668"/>
      <c r="BD15" s="668"/>
      <c r="BE15" s="668"/>
      <c r="BF15" s="668"/>
      <c r="BG15" s="668"/>
      <c r="BH15" s="668"/>
      <c r="BI15" s="668"/>
      <c r="BJ15" s="668"/>
      <c r="BK15" s="668"/>
    </row>
    <row r="16">
      <c r="A16" s="501" t="s">
        <v>1664</v>
      </c>
      <c r="B16" s="651" t="s">
        <v>4650</v>
      </c>
      <c r="C16" s="651" t="s">
        <v>4651</v>
      </c>
      <c r="D16" s="678" t="s">
        <v>4656</v>
      </c>
      <c r="E16" s="679">
        <v>42948.0</v>
      </c>
      <c r="F16" s="678" t="s">
        <v>4648</v>
      </c>
      <c r="G16" s="675" t="s">
        <v>4624</v>
      </c>
      <c r="H16" s="675" t="s">
        <v>4645</v>
      </c>
      <c r="I16" s="651" t="s">
        <v>3304</v>
      </c>
      <c r="J16" s="675">
        <v>12.5</v>
      </c>
      <c r="K16" s="675">
        <v>486.0</v>
      </c>
      <c r="L16" s="675">
        <v>4096.0</v>
      </c>
      <c r="M16" s="675">
        <v>256.0</v>
      </c>
      <c r="N16" s="675">
        <v>64.0</v>
      </c>
      <c r="O16" s="675" t="s">
        <v>166</v>
      </c>
      <c r="P16" s="675" t="s">
        <v>166</v>
      </c>
      <c r="Q16" s="675">
        <v>1200.0</v>
      </c>
      <c r="R16" s="675">
        <v>1500.0</v>
      </c>
      <c r="S16" s="675">
        <v>16.0</v>
      </c>
      <c r="T16" s="675">
        <v>1.89</v>
      </c>
      <c r="U16" s="675">
        <v>2048.0</v>
      </c>
      <c r="V16" s="675">
        <f t="shared" si="1"/>
        <v>483.84</v>
      </c>
      <c r="W16" s="675" t="s">
        <v>4646</v>
      </c>
      <c r="X16" s="680">
        <f t="shared" si="2"/>
        <v>96</v>
      </c>
      <c r="Y16" s="680">
        <f t="shared" si="3"/>
        <v>384</v>
      </c>
      <c r="Z16" s="681">
        <v>12.29</v>
      </c>
      <c r="AA16" s="681">
        <v>0.768</v>
      </c>
      <c r="AB16" s="681">
        <v>24.58</v>
      </c>
      <c r="AC16" s="675">
        <v>230.0</v>
      </c>
      <c r="AD16" s="675" t="s">
        <v>4628</v>
      </c>
      <c r="AE16" s="682">
        <v>2199.0</v>
      </c>
      <c r="AF16" s="668"/>
      <c r="AG16" s="668"/>
      <c r="AH16" s="668"/>
      <c r="AI16" s="668"/>
      <c r="AJ16" s="668"/>
      <c r="AK16" s="668"/>
      <c r="AL16" s="668"/>
      <c r="AM16" s="668"/>
      <c r="AN16" s="668"/>
      <c r="AO16" s="668"/>
      <c r="AP16" s="668"/>
      <c r="AQ16" s="668"/>
      <c r="AR16" s="668"/>
      <c r="AS16" s="668"/>
      <c r="AT16" s="668"/>
      <c r="AU16" s="668"/>
      <c r="AV16" s="668"/>
      <c r="AW16" s="668"/>
      <c r="AX16" s="668"/>
      <c r="AY16" s="668"/>
      <c r="AZ16" s="668"/>
      <c r="BA16" s="668"/>
      <c r="BB16" s="668"/>
      <c r="BC16" s="668"/>
      <c r="BD16" s="668"/>
      <c r="BE16" s="668"/>
      <c r="BF16" s="668"/>
      <c r="BG16" s="668"/>
      <c r="BH16" s="668"/>
      <c r="BI16" s="668"/>
      <c r="BJ16" s="668"/>
      <c r="BK16" s="668"/>
    </row>
    <row r="17">
      <c r="A17" s="519" t="s">
        <v>1664</v>
      </c>
      <c r="B17" s="393" t="s">
        <v>4620</v>
      </c>
      <c r="C17" s="393" t="s">
        <v>4657</v>
      </c>
      <c r="D17" s="669" t="s">
        <v>3626</v>
      </c>
      <c r="E17" s="670">
        <v>43503.0</v>
      </c>
      <c r="F17" s="669" t="s">
        <v>4658</v>
      </c>
      <c r="G17" s="671" t="s">
        <v>4659</v>
      </c>
      <c r="H17" s="671" t="s">
        <v>4645</v>
      </c>
      <c r="I17" s="393" t="s">
        <v>3304</v>
      </c>
      <c r="J17" s="671">
        <v>13.2</v>
      </c>
      <c r="K17" s="671">
        <v>331.0</v>
      </c>
      <c r="L17" s="671">
        <v>3840.0</v>
      </c>
      <c r="M17" s="671">
        <v>240.0</v>
      </c>
      <c r="N17" s="671">
        <v>64.0</v>
      </c>
      <c r="O17" s="671" t="s">
        <v>166</v>
      </c>
      <c r="P17" s="671" t="s">
        <v>166</v>
      </c>
      <c r="Q17" s="671">
        <v>1400.0</v>
      </c>
      <c r="R17" s="671">
        <v>1750.0</v>
      </c>
      <c r="S17" s="671">
        <v>16.0</v>
      </c>
      <c r="T17" s="671">
        <v>2.0</v>
      </c>
      <c r="U17" s="671">
        <v>4096.0</v>
      </c>
      <c r="V17" s="671">
        <f t="shared" si="1"/>
        <v>1024</v>
      </c>
      <c r="W17" s="671" t="s">
        <v>4646</v>
      </c>
      <c r="X17" s="672">
        <f t="shared" si="2"/>
        <v>112</v>
      </c>
      <c r="Y17" s="672">
        <f t="shared" si="3"/>
        <v>420</v>
      </c>
      <c r="Z17" s="673">
        <v>13.82</v>
      </c>
      <c r="AA17" s="673">
        <v>3.46</v>
      </c>
      <c r="AB17" s="673">
        <v>27.65</v>
      </c>
      <c r="AC17" s="671">
        <v>300.0</v>
      </c>
      <c r="AD17" s="671" t="s">
        <v>4628</v>
      </c>
      <c r="AE17" s="674">
        <v>699.0</v>
      </c>
      <c r="AF17" s="668"/>
      <c r="AG17" s="668"/>
      <c r="AH17" s="668"/>
      <c r="AI17" s="668"/>
      <c r="AJ17" s="668"/>
      <c r="AK17" s="668"/>
      <c r="AL17" s="668"/>
      <c r="AM17" s="668"/>
      <c r="AN17" s="668"/>
      <c r="AO17" s="668"/>
      <c r="AP17" s="668"/>
      <c r="AQ17" s="668"/>
      <c r="AR17" s="668"/>
      <c r="AS17" s="668"/>
      <c r="AT17" s="668"/>
      <c r="AU17" s="668"/>
      <c r="AV17" s="668"/>
      <c r="AW17" s="668"/>
      <c r="AX17" s="668"/>
      <c r="AY17" s="668"/>
      <c r="AZ17" s="668"/>
      <c r="BA17" s="668"/>
      <c r="BB17" s="668"/>
      <c r="BC17" s="668"/>
      <c r="BD17" s="668"/>
      <c r="BE17" s="668"/>
      <c r="BF17" s="668"/>
      <c r="BG17" s="668"/>
      <c r="BH17" s="668"/>
      <c r="BI17" s="668"/>
      <c r="BJ17" s="668"/>
      <c r="BK17" s="668"/>
    </row>
    <row r="18">
      <c r="A18" s="507" t="s">
        <v>1664</v>
      </c>
      <c r="B18" s="260" t="s">
        <v>4620</v>
      </c>
      <c r="C18" s="260" t="s">
        <v>4660</v>
      </c>
      <c r="D18" s="663" t="s">
        <v>4661</v>
      </c>
      <c r="E18" s="683">
        <v>43811.0</v>
      </c>
      <c r="F18" s="663" t="s">
        <v>4662</v>
      </c>
      <c r="G18" s="665" t="s">
        <v>4659</v>
      </c>
      <c r="H18" s="260" t="s">
        <v>4663</v>
      </c>
      <c r="I18" s="260" t="s">
        <v>4664</v>
      </c>
      <c r="J18" s="260">
        <v>6.4</v>
      </c>
      <c r="K18" s="260">
        <v>158.0</v>
      </c>
      <c r="L18" s="260">
        <v>1408.0</v>
      </c>
      <c r="M18" s="260">
        <v>88.0</v>
      </c>
      <c r="N18" s="260">
        <v>32.0</v>
      </c>
      <c r="O18" s="260" t="s">
        <v>166</v>
      </c>
      <c r="P18" s="260" t="s">
        <v>166</v>
      </c>
      <c r="Q18" s="260">
        <v>1717.0</v>
      </c>
      <c r="R18" s="260">
        <v>1845.0</v>
      </c>
      <c r="S18" s="260">
        <v>4.0</v>
      </c>
      <c r="T18" s="260">
        <v>14.0</v>
      </c>
      <c r="U18" s="260">
        <v>128.0</v>
      </c>
      <c r="V18" s="260">
        <f t="shared" si="1"/>
        <v>224</v>
      </c>
      <c r="W18" s="260" t="s">
        <v>4665</v>
      </c>
      <c r="X18" s="262">
        <f t="shared" si="2"/>
        <v>59.04</v>
      </c>
      <c r="Y18" s="262">
        <f t="shared" si="3"/>
        <v>162.36</v>
      </c>
      <c r="Z18" s="262">
        <v>5.2</v>
      </c>
      <c r="AA18" s="262">
        <v>0.32</v>
      </c>
      <c r="AB18" s="262">
        <v>10.39</v>
      </c>
      <c r="AC18" s="260">
        <v>130.0</v>
      </c>
      <c r="AD18" s="260" t="s">
        <v>4628</v>
      </c>
      <c r="AE18" s="684">
        <v>169.0</v>
      </c>
      <c r="AF18" s="685"/>
      <c r="AG18" s="685"/>
      <c r="AH18" s="685"/>
      <c r="AI18" s="685"/>
      <c r="AJ18" s="685"/>
      <c r="AK18" s="685"/>
      <c r="AL18" s="685"/>
      <c r="AM18" s="685"/>
      <c r="AN18" s="685"/>
      <c r="AO18" s="685"/>
      <c r="AP18" s="685"/>
      <c r="AQ18" s="685"/>
      <c r="AR18" s="685"/>
      <c r="AS18" s="685"/>
      <c r="AT18" s="685"/>
      <c r="AU18" s="685"/>
      <c r="AV18" s="685"/>
      <c r="AW18" s="685"/>
      <c r="AX18" s="685"/>
      <c r="AY18" s="685"/>
      <c r="AZ18" s="685"/>
      <c r="BA18" s="685"/>
      <c r="BB18" s="685"/>
      <c r="BC18" s="685"/>
      <c r="BD18" s="685"/>
      <c r="BE18" s="685"/>
      <c r="BF18" s="685"/>
      <c r="BG18" s="685"/>
      <c r="BH18" s="685"/>
      <c r="BI18" s="685"/>
      <c r="BJ18" s="685"/>
      <c r="BK18" s="685"/>
    </row>
    <row r="19">
      <c r="A19" s="507" t="s">
        <v>1664</v>
      </c>
      <c r="B19" s="260" t="s">
        <v>4620</v>
      </c>
      <c r="C19" s="260" t="s">
        <v>4660</v>
      </c>
      <c r="D19" s="663" t="s">
        <v>4666</v>
      </c>
      <c r="E19" s="683">
        <v>43811.0</v>
      </c>
      <c r="F19" s="663" t="s">
        <v>4662</v>
      </c>
      <c r="G19" s="665" t="s">
        <v>4659</v>
      </c>
      <c r="H19" s="260" t="s">
        <v>4663</v>
      </c>
      <c r="I19" s="260" t="s">
        <v>4664</v>
      </c>
      <c r="J19" s="260">
        <v>6.4</v>
      </c>
      <c r="K19" s="260">
        <v>158.0</v>
      </c>
      <c r="L19" s="260">
        <v>1408.0</v>
      </c>
      <c r="M19" s="260">
        <v>88.0</v>
      </c>
      <c r="N19" s="260">
        <v>32.0</v>
      </c>
      <c r="O19" s="260" t="s">
        <v>166</v>
      </c>
      <c r="P19" s="260" t="s">
        <v>166</v>
      </c>
      <c r="Q19" s="260">
        <v>1717.0</v>
      </c>
      <c r="R19" s="260">
        <v>1845.0</v>
      </c>
      <c r="S19" s="260">
        <v>8.0</v>
      </c>
      <c r="T19" s="260">
        <v>14.0</v>
      </c>
      <c r="U19" s="260">
        <v>128.0</v>
      </c>
      <c r="V19" s="260">
        <f t="shared" si="1"/>
        <v>224</v>
      </c>
      <c r="W19" s="260" t="s">
        <v>4665</v>
      </c>
      <c r="X19" s="262">
        <f t="shared" si="2"/>
        <v>59.04</v>
      </c>
      <c r="Y19" s="262">
        <f t="shared" si="3"/>
        <v>162.36</v>
      </c>
      <c r="Z19" s="262">
        <v>5.2</v>
      </c>
      <c r="AA19" s="262">
        <v>0.32</v>
      </c>
      <c r="AB19" s="262">
        <v>10.39</v>
      </c>
      <c r="AC19" s="260">
        <v>130.0</v>
      </c>
      <c r="AD19" s="260" t="s">
        <v>4628</v>
      </c>
      <c r="AE19" s="684">
        <v>199.0</v>
      </c>
      <c r="AF19" s="685"/>
      <c r="AG19" s="685"/>
      <c r="AH19" s="685"/>
      <c r="AI19" s="685"/>
      <c r="AJ19" s="685"/>
      <c r="AK19" s="685"/>
      <c r="AL19" s="685"/>
      <c r="AM19" s="685"/>
      <c r="AN19" s="685"/>
      <c r="AO19" s="685"/>
      <c r="AP19" s="685"/>
      <c r="AQ19" s="685"/>
      <c r="AR19" s="685"/>
      <c r="AS19" s="685"/>
      <c r="AT19" s="685"/>
      <c r="AU19" s="685"/>
      <c r="AV19" s="685"/>
      <c r="AW19" s="685"/>
      <c r="AX19" s="685"/>
      <c r="AY19" s="685"/>
      <c r="AZ19" s="685"/>
      <c r="BA19" s="685"/>
      <c r="BB19" s="685"/>
      <c r="BC19" s="685"/>
      <c r="BD19" s="685"/>
      <c r="BE19" s="685"/>
      <c r="BF19" s="685"/>
      <c r="BG19" s="685"/>
      <c r="BH19" s="685"/>
      <c r="BI19" s="685"/>
      <c r="BJ19" s="685"/>
      <c r="BK19" s="685"/>
    </row>
    <row r="20">
      <c r="A20" s="507" t="s">
        <v>1664</v>
      </c>
      <c r="B20" s="260" t="s">
        <v>4620</v>
      </c>
      <c r="C20" s="260" t="s">
        <v>4660</v>
      </c>
      <c r="D20" s="663" t="s">
        <v>4667</v>
      </c>
      <c r="E20" s="683">
        <v>43851.0</v>
      </c>
      <c r="F20" s="663" t="s">
        <v>4668</v>
      </c>
      <c r="G20" s="665" t="s">
        <v>4659</v>
      </c>
      <c r="H20" s="260" t="s">
        <v>4663</v>
      </c>
      <c r="I20" s="260" t="s">
        <v>3308</v>
      </c>
      <c r="J20" s="260">
        <v>10.3</v>
      </c>
      <c r="K20" s="260">
        <v>251.0</v>
      </c>
      <c r="L20" s="260">
        <v>2304.0</v>
      </c>
      <c r="M20" s="260">
        <v>144.0</v>
      </c>
      <c r="N20" s="260">
        <v>64.0</v>
      </c>
      <c r="O20" s="260" t="s">
        <v>166</v>
      </c>
      <c r="P20" s="260" t="s">
        <v>166</v>
      </c>
      <c r="Q20" s="260">
        <v>1375.0</v>
      </c>
      <c r="R20" s="260">
        <v>1750.0</v>
      </c>
      <c r="S20" s="260">
        <v>6.0</v>
      </c>
      <c r="T20" s="260">
        <v>14.0</v>
      </c>
      <c r="U20" s="260">
        <v>192.0</v>
      </c>
      <c r="V20" s="260">
        <f t="shared" si="1"/>
        <v>336</v>
      </c>
      <c r="W20" s="260" t="s">
        <v>4665</v>
      </c>
      <c r="X20" s="262">
        <f t="shared" si="2"/>
        <v>112</v>
      </c>
      <c r="Y20" s="262">
        <f t="shared" si="3"/>
        <v>252</v>
      </c>
      <c r="Z20" s="262">
        <v>8.07</v>
      </c>
      <c r="AA20" s="262">
        <v>0.5</v>
      </c>
      <c r="AB20" s="262">
        <v>16.13</v>
      </c>
      <c r="AC20" s="260">
        <v>160.0</v>
      </c>
      <c r="AD20" s="260" t="s">
        <v>4628</v>
      </c>
      <c r="AE20" s="684">
        <v>279.0</v>
      </c>
      <c r="AF20" s="685"/>
      <c r="AG20" s="685"/>
      <c r="AH20" s="685"/>
      <c r="AI20" s="685"/>
      <c r="AJ20" s="685"/>
      <c r="AK20" s="685"/>
      <c r="AL20" s="685"/>
      <c r="AM20" s="685"/>
      <c r="AN20" s="685"/>
      <c r="AO20" s="685"/>
      <c r="AP20" s="685"/>
      <c r="AQ20" s="685"/>
      <c r="AR20" s="685"/>
      <c r="AS20" s="685"/>
      <c r="AT20" s="685"/>
      <c r="AU20" s="685"/>
      <c r="AV20" s="685"/>
      <c r="AW20" s="685"/>
      <c r="AX20" s="685"/>
      <c r="AY20" s="685"/>
      <c r="AZ20" s="685"/>
      <c r="BA20" s="685"/>
      <c r="BB20" s="685"/>
      <c r="BC20" s="685"/>
      <c r="BD20" s="685"/>
      <c r="BE20" s="685"/>
      <c r="BF20" s="685"/>
      <c r="BG20" s="685"/>
      <c r="BH20" s="685"/>
      <c r="BI20" s="685"/>
      <c r="BJ20" s="685"/>
      <c r="BK20" s="685"/>
    </row>
    <row r="21">
      <c r="A21" s="507" t="s">
        <v>1664</v>
      </c>
      <c r="B21" s="260" t="s">
        <v>4620</v>
      </c>
      <c r="C21" s="260" t="s">
        <v>4660</v>
      </c>
      <c r="D21" s="663" t="s">
        <v>3658</v>
      </c>
      <c r="E21" s="683">
        <v>43653.0</v>
      </c>
      <c r="F21" s="663" t="s">
        <v>4669</v>
      </c>
      <c r="G21" s="665" t="s">
        <v>4659</v>
      </c>
      <c r="H21" s="260" t="s">
        <v>4663</v>
      </c>
      <c r="I21" s="260" t="s">
        <v>3308</v>
      </c>
      <c r="J21" s="260">
        <v>10.3</v>
      </c>
      <c r="K21" s="260">
        <v>251.0</v>
      </c>
      <c r="L21" s="260">
        <v>2304.0</v>
      </c>
      <c r="M21" s="260">
        <v>144.0</v>
      </c>
      <c r="N21" s="260">
        <v>64.0</v>
      </c>
      <c r="O21" s="260" t="s">
        <v>166</v>
      </c>
      <c r="P21" s="260" t="s">
        <v>166</v>
      </c>
      <c r="Q21" s="260">
        <v>1465.0</v>
      </c>
      <c r="R21" s="260">
        <v>1725.0</v>
      </c>
      <c r="S21" s="260">
        <v>8.0</v>
      </c>
      <c r="T21" s="260">
        <v>14.0</v>
      </c>
      <c r="U21" s="260">
        <v>256.0</v>
      </c>
      <c r="V21" s="260">
        <f t="shared" si="1"/>
        <v>448</v>
      </c>
      <c r="W21" s="260" t="s">
        <v>4665</v>
      </c>
      <c r="X21" s="262">
        <f t="shared" si="2"/>
        <v>110.4</v>
      </c>
      <c r="Y21" s="262">
        <f t="shared" si="3"/>
        <v>248.4</v>
      </c>
      <c r="Z21" s="262">
        <v>7.95</v>
      </c>
      <c r="AA21" s="262">
        <v>0.5</v>
      </c>
      <c r="AB21" s="262">
        <v>15.9</v>
      </c>
      <c r="AC21" s="260">
        <v>180.0</v>
      </c>
      <c r="AD21" s="260" t="s">
        <v>4628</v>
      </c>
      <c r="AE21" s="684">
        <v>349.0</v>
      </c>
      <c r="AF21" s="685"/>
      <c r="AG21" s="685"/>
      <c r="AH21" s="685"/>
      <c r="AI21" s="685"/>
      <c r="AJ21" s="685"/>
      <c r="AK21" s="685"/>
      <c r="AL21" s="685"/>
      <c r="AM21" s="685"/>
      <c r="AN21" s="685"/>
      <c r="AO21" s="685"/>
      <c r="AP21" s="685"/>
      <c r="AQ21" s="685"/>
      <c r="AR21" s="685"/>
      <c r="AS21" s="685"/>
      <c r="AT21" s="685"/>
      <c r="AU21" s="685"/>
      <c r="AV21" s="685"/>
      <c r="AW21" s="685"/>
      <c r="AX21" s="685"/>
      <c r="AY21" s="685"/>
      <c r="AZ21" s="685"/>
      <c r="BA21" s="685"/>
      <c r="BB21" s="685"/>
      <c r="BC21" s="685"/>
      <c r="BD21" s="685"/>
      <c r="BE21" s="685"/>
      <c r="BF21" s="685"/>
      <c r="BG21" s="685"/>
      <c r="BH21" s="685"/>
      <c r="BI21" s="685"/>
      <c r="BJ21" s="685"/>
      <c r="BK21" s="685"/>
    </row>
    <row r="22">
      <c r="A22" s="507" t="s">
        <v>1664</v>
      </c>
      <c r="B22" s="260" t="s">
        <v>4620</v>
      </c>
      <c r="C22" s="260" t="s">
        <v>4660</v>
      </c>
      <c r="D22" s="663" t="s">
        <v>3674</v>
      </c>
      <c r="E22" s="683">
        <v>43653.0</v>
      </c>
      <c r="F22" s="663" t="s">
        <v>4670</v>
      </c>
      <c r="G22" s="665" t="s">
        <v>4659</v>
      </c>
      <c r="H22" s="260" t="s">
        <v>4663</v>
      </c>
      <c r="I22" s="260" t="s">
        <v>3308</v>
      </c>
      <c r="J22" s="260">
        <v>10.3</v>
      </c>
      <c r="K22" s="260">
        <v>251.0</v>
      </c>
      <c r="L22" s="260">
        <v>2560.0</v>
      </c>
      <c r="M22" s="260">
        <v>160.0</v>
      </c>
      <c r="N22" s="260">
        <v>64.0</v>
      </c>
      <c r="O22" s="260" t="s">
        <v>166</v>
      </c>
      <c r="P22" s="260" t="s">
        <v>166</v>
      </c>
      <c r="Q22" s="260">
        <v>1605.0</v>
      </c>
      <c r="R22" s="260">
        <v>1905.0</v>
      </c>
      <c r="S22" s="260">
        <v>8.0</v>
      </c>
      <c r="T22" s="260">
        <v>14.0</v>
      </c>
      <c r="U22" s="260">
        <v>256.0</v>
      </c>
      <c r="V22" s="260">
        <f t="shared" si="1"/>
        <v>448</v>
      </c>
      <c r="W22" s="260" t="s">
        <v>4665</v>
      </c>
      <c r="X22" s="262">
        <f t="shared" si="2"/>
        <v>121.92</v>
      </c>
      <c r="Y22" s="262">
        <f t="shared" si="3"/>
        <v>304.8</v>
      </c>
      <c r="Z22" s="262">
        <v>9.75</v>
      </c>
      <c r="AA22" s="262">
        <v>0.61</v>
      </c>
      <c r="AB22" s="262">
        <v>19.51</v>
      </c>
      <c r="AC22" s="260">
        <v>225.0</v>
      </c>
      <c r="AD22" s="260" t="s">
        <v>4628</v>
      </c>
      <c r="AE22" s="684">
        <v>399.0</v>
      </c>
      <c r="AF22" s="685"/>
      <c r="AG22" s="685"/>
      <c r="AH22" s="685"/>
      <c r="AI22" s="685"/>
      <c r="AJ22" s="685"/>
      <c r="AK22" s="685"/>
      <c r="AL22" s="685"/>
      <c r="AM22" s="685"/>
      <c r="AN22" s="685"/>
      <c r="AO22" s="685"/>
      <c r="AP22" s="685"/>
      <c r="AQ22" s="685"/>
      <c r="AR22" s="685"/>
      <c r="AS22" s="685"/>
      <c r="AT22" s="685"/>
      <c r="AU22" s="685"/>
      <c r="AV22" s="685"/>
      <c r="AW22" s="685"/>
      <c r="AX22" s="685"/>
      <c r="AY22" s="685"/>
      <c r="AZ22" s="685"/>
      <c r="BA22" s="685"/>
      <c r="BB22" s="685"/>
      <c r="BC22" s="685"/>
      <c r="BD22" s="685"/>
      <c r="BE22" s="685"/>
      <c r="BF22" s="685"/>
      <c r="BG22" s="685"/>
      <c r="BH22" s="685"/>
      <c r="BI22" s="685"/>
      <c r="BJ22" s="685"/>
      <c r="BK22" s="685"/>
    </row>
    <row r="23">
      <c r="A23" s="519" t="s">
        <v>1664</v>
      </c>
      <c r="B23" s="393" t="s">
        <v>4620</v>
      </c>
      <c r="C23" s="393" t="s">
        <v>4660</v>
      </c>
      <c r="D23" s="686" t="s">
        <v>4671</v>
      </c>
      <c r="E23" s="687">
        <v>43653.0</v>
      </c>
      <c r="F23" s="669" t="s">
        <v>4672</v>
      </c>
      <c r="G23" s="671" t="s">
        <v>4659</v>
      </c>
      <c r="H23" s="393" t="s">
        <v>4663</v>
      </c>
      <c r="I23" s="393" t="s">
        <v>3308</v>
      </c>
      <c r="J23" s="393">
        <v>10.3</v>
      </c>
      <c r="K23" s="393">
        <v>251.0</v>
      </c>
      <c r="L23" s="393">
        <v>2560.0</v>
      </c>
      <c r="M23" s="393">
        <v>160.0</v>
      </c>
      <c r="N23" s="393">
        <v>64.0</v>
      </c>
      <c r="O23" s="393" t="s">
        <v>166</v>
      </c>
      <c r="P23" s="393" t="s">
        <v>166</v>
      </c>
      <c r="Q23" s="393">
        <v>1680.0</v>
      </c>
      <c r="R23" s="393">
        <v>1980.0</v>
      </c>
      <c r="S23" s="393">
        <v>8.0</v>
      </c>
      <c r="T23" s="393">
        <v>14.0</v>
      </c>
      <c r="U23" s="393">
        <v>256.0</v>
      </c>
      <c r="V23" s="393">
        <f t="shared" si="1"/>
        <v>448</v>
      </c>
      <c r="W23" s="393" t="s">
        <v>4665</v>
      </c>
      <c r="X23" s="672">
        <f t="shared" si="2"/>
        <v>126.72</v>
      </c>
      <c r="Y23" s="672">
        <f t="shared" si="3"/>
        <v>316.8</v>
      </c>
      <c r="Z23" s="672">
        <v>10.14</v>
      </c>
      <c r="AA23" s="672">
        <v>0.63</v>
      </c>
      <c r="AB23" s="672">
        <v>20.28</v>
      </c>
      <c r="AC23" s="393">
        <v>235.0</v>
      </c>
      <c r="AD23" s="393" t="s">
        <v>4628</v>
      </c>
      <c r="AE23" s="688">
        <v>449.0</v>
      </c>
      <c r="AF23" s="685"/>
      <c r="AG23" s="685"/>
      <c r="AH23" s="685"/>
      <c r="AI23" s="685"/>
      <c r="AJ23" s="685"/>
      <c r="AK23" s="685"/>
      <c r="AL23" s="685"/>
      <c r="AM23" s="685"/>
      <c r="AN23" s="685"/>
      <c r="AO23" s="685"/>
      <c r="AP23" s="685"/>
      <c r="AQ23" s="685"/>
      <c r="AR23" s="685"/>
      <c r="AS23" s="685"/>
      <c r="AT23" s="685"/>
      <c r="AU23" s="685"/>
      <c r="AV23" s="685"/>
      <c r="AW23" s="685"/>
      <c r="AX23" s="685"/>
      <c r="AY23" s="685"/>
      <c r="AZ23" s="685"/>
      <c r="BA23" s="685"/>
      <c r="BB23" s="685"/>
      <c r="BC23" s="685"/>
      <c r="BD23" s="685"/>
      <c r="BE23" s="685"/>
      <c r="BF23" s="685"/>
      <c r="BG23" s="685"/>
      <c r="BH23" s="685"/>
      <c r="BI23" s="685"/>
      <c r="BJ23" s="685"/>
      <c r="BK23" s="685"/>
    </row>
    <row r="24">
      <c r="A24" s="507" t="s">
        <v>1664</v>
      </c>
      <c r="B24" s="260" t="s">
        <v>4650</v>
      </c>
      <c r="C24" s="260" t="s">
        <v>4673</v>
      </c>
      <c r="D24" s="663" t="s">
        <v>4674</v>
      </c>
      <c r="E24" s="689">
        <v>43871.0</v>
      </c>
      <c r="F24" s="663" t="s">
        <v>4675</v>
      </c>
      <c r="G24" s="665" t="s">
        <v>4659</v>
      </c>
      <c r="H24" s="260" t="s">
        <v>4663</v>
      </c>
      <c r="I24" s="260" t="s">
        <v>4664</v>
      </c>
      <c r="J24" s="260">
        <v>6.4</v>
      </c>
      <c r="K24" s="260">
        <v>158.0</v>
      </c>
      <c r="L24" s="260">
        <v>1408.0</v>
      </c>
      <c r="M24" s="260">
        <v>88.0</v>
      </c>
      <c r="N24" s="260">
        <v>32.0</v>
      </c>
      <c r="O24" s="260" t="s">
        <v>166</v>
      </c>
      <c r="P24" s="260" t="s">
        <v>166</v>
      </c>
      <c r="Q24" s="260">
        <v>1744.0</v>
      </c>
      <c r="R24" s="260">
        <v>1855.0</v>
      </c>
      <c r="S24" s="260">
        <v>8.0</v>
      </c>
      <c r="T24" s="260">
        <v>14.0</v>
      </c>
      <c r="U24" s="260">
        <v>128.0</v>
      </c>
      <c r="V24" s="260">
        <f t="shared" si="1"/>
        <v>224</v>
      </c>
      <c r="W24" s="260" t="s">
        <v>4665</v>
      </c>
      <c r="X24" s="262">
        <f t="shared" si="2"/>
        <v>59.36</v>
      </c>
      <c r="Y24" s="262">
        <f t="shared" si="3"/>
        <v>163.24</v>
      </c>
      <c r="Z24" s="262">
        <v>5.224</v>
      </c>
      <c r="AA24" s="262">
        <v>0.3265</v>
      </c>
      <c r="AB24" s="262">
        <v>10.45</v>
      </c>
      <c r="AC24" s="260">
        <v>125.0</v>
      </c>
      <c r="AD24" s="260" t="s">
        <v>4628</v>
      </c>
      <c r="AE24" s="684">
        <v>399.0</v>
      </c>
      <c r="AF24" s="685"/>
      <c r="AG24" s="685"/>
      <c r="AH24" s="685"/>
      <c r="AI24" s="685"/>
      <c r="AJ24" s="685"/>
      <c r="AK24" s="685"/>
      <c r="AL24" s="685"/>
      <c r="AM24" s="685"/>
      <c r="AN24" s="685"/>
      <c r="AO24" s="685"/>
      <c r="AP24" s="685"/>
      <c r="AQ24" s="685"/>
      <c r="AR24" s="685"/>
      <c r="AS24" s="685"/>
      <c r="AT24" s="685"/>
      <c r="AU24" s="685"/>
      <c r="AV24" s="685"/>
      <c r="AW24" s="685"/>
      <c r="AX24" s="685"/>
      <c r="AY24" s="685"/>
      <c r="AZ24" s="685"/>
      <c r="BA24" s="685"/>
      <c r="BB24" s="685"/>
      <c r="BC24" s="685"/>
      <c r="BD24" s="685"/>
      <c r="BE24" s="685"/>
      <c r="BF24" s="685"/>
      <c r="BG24" s="685"/>
      <c r="BH24" s="685"/>
      <c r="BI24" s="685"/>
      <c r="BJ24" s="685"/>
      <c r="BK24" s="685"/>
    </row>
    <row r="25">
      <c r="A25" s="519" t="s">
        <v>1664</v>
      </c>
      <c r="B25" s="393" t="s">
        <v>4650</v>
      </c>
      <c r="C25" s="393" t="s">
        <v>4673</v>
      </c>
      <c r="D25" s="669" t="s">
        <v>4676</v>
      </c>
      <c r="E25" s="690">
        <v>43788.0</v>
      </c>
      <c r="F25" s="669" t="s">
        <v>4677</v>
      </c>
      <c r="G25" s="671" t="s">
        <v>4659</v>
      </c>
      <c r="H25" s="393" t="s">
        <v>4663</v>
      </c>
      <c r="I25" s="393" t="s">
        <v>3308</v>
      </c>
      <c r="J25" s="393">
        <v>10.3</v>
      </c>
      <c r="K25" s="393">
        <v>251.0</v>
      </c>
      <c r="L25" s="393">
        <v>2304.0</v>
      </c>
      <c r="M25" s="393">
        <v>144.0</v>
      </c>
      <c r="N25" s="393">
        <v>64.0</v>
      </c>
      <c r="O25" s="393" t="s">
        <v>166</v>
      </c>
      <c r="P25" s="393" t="s">
        <v>166</v>
      </c>
      <c r="Q25" s="393">
        <v>1400.0</v>
      </c>
      <c r="R25" s="393">
        <v>1880.0</v>
      </c>
      <c r="S25" s="393">
        <v>8.0</v>
      </c>
      <c r="T25" s="393">
        <v>14.0</v>
      </c>
      <c r="U25" s="393">
        <v>256.0</v>
      </c>
      <c r="V25" s="393">
        <f t="shared" si="1"/>
        <v>448</v>
      </c>
      <c r="W25" s="393" t="s">
        <v>4665</v>
      </c>
      <c r="X25" s="672">
        <f t="shared" si="2"/>
        <v>120.32</v>
      </c>
      <c r="Y25" s="672">
        <f t="shared" si="3"/>
        <v>270.72</v>
      </c>
      <c r="Z25" s="672">
        <v>8.663</v>
      </c>
      <c r="AA25" s="672">
        <v>0.5414</v>
      </c>
      <c r="AB25" s="672">
        <v>17.33</v>
      </c>
      <c r="AC25" s="393">
        <v>205.0</v>
      </c>
      <c r="AD25" s="393" t="s">
        <v>4628</v>
      </c>
      <c r="AE25" s="688">
        <v>799.0</v>
      </c>
      <c r="AF25" s="685"/>
      <c r="AG25" s="685"/>
      <c r="AH25" s="685"/>
      <c r="AI25" s="685"/>
      <c r="AJ25" s="685"/>
      <c r="AK25" s="685"/>
      <c r="AL25" s="685"/>
      <c r="AM25" s="685"/>
      <c r="AN25" s="685"/>
      <c r="AO25" s="685"/>
      <c r="AP25" s="685"/>
      <c r="AQ25" s="685"/>
      <c r="AR25" s="685"/>
      <c r="AS25" s="685"/>
      <c r="AT25" s="685"/>
      <c r="AU25" s="685"/>
      <c r="AV25" s="685"/>
      <c r="AW25" s="685"/>
      <c r="AX25" s="685"/>
      <c r="AY25" s="685"/>
      <c r="AZ25" s="685"/>
      <c r="BA25" s="685"/>
      <c r="BB25" s="685"/>
      <c r="BC25" s="685"/>
      <c r="BD25" s="685"/>
      <c r="BE25" s="685"/>
      <c r="BF25" s="685"/>
      <c r="BG25" s="685"/>
      <c r="BH25" s="685"/>
      <c r="BI25" s="685"/>
      <c r="BJ25" s="685"/>
      <c r="BK25" s="685"/>
    </row>
    <row r="26">
      <c r="A26" s="507" t="s">
        <v>1664</v>
      </c>
      <c r="B26" s="260" t="s">
        <v>4620</v>
      </c>
      <c r="C26" s="260" t="s">
        <v>4678</v>
      </c>
      <c r="D26" s="663" t="s">
        <v>4679</v>
      </c>
      <c r="E26" s="689">
        <v>44671.0</v>
      </c>
      <c r="F26" s="663" t="s">
        <v>4680</v>
      </c>
      <c r="G26" s="665" t="s">
        <v>4681</v>
      </c>
      <c r="H26" s="260" t="s">
        <v>4682</v>
      </c>
      <c r="I26" s="260" t="s">
        <v>4683</v>
      </c>
      <c r="J26" s="260">
        <v>5.4</v>
      </c>
      <c r="K26" s="260">
        <v>107.0</v>
      </c>
      <c r="L26" s="260">
        <v>768.0</v>
      </c>
      <c r="M26" s="260">
        <v>48.0</v>
      </c>
      <c r="N26" s="260">
        <v>32.0</v>
      </c>
      <c r="O26" s="260" t="s">
        <v>166</v>
      </c>
      <c r="P26" s="260">
        <v>12.0</v>
      </c>
      <c r="Q26" s="260">
        <v>1923.0</v>
      </c>
      <c r="R26" s="260">
        <v>2321.0</v>
      </c>
      <c r="S26" s="260">
        <v>4.0</v>
      </c>
      <c r="T26" s="260">
        <v>16.0</v>
      </c>
      <c r="U26" s="260">
        <v>64.0</v>
      </c>
      <c r="V26" s="260">
        <f t="shared" si="1"/>
        <v>128</v>
      </c>
      <c r="W26" s="260" t="s">
        <v>4665</v>
      </c>
      <c r="X26" s="691">
        <f t="shared" si="2"/>
        <v>74.272</v>
      </c>
      <c r="Y26" s="692">
        <f t="shared" si="3"/>
        <v>111.408</v>
      </c>
      <c r="Z26" s="262">
        <v>3.565</v>
      </c>
      <c r="AA26" s="262">
        <v>0.2228</v>
      </c>
      <c r="AB26" s="262">
        <v>7.13</v>
      </c>
      <c r="AC26" s="260">
        <v>53.0</v>
      </c>
      <c r="AD26" s="260" t="s">
        <v>4628</v>
      </c>
      <c r="AE26" s="684">
        <v>159.0</v>
      </c>
      <c r="AF26" s="685"/>
      <c r="AG26" s="685"/>
      <c r="AH26" s="685"/>
      <c r="AI26" s="685"/>
      <c r="AJ26" s="685"/>
      <c r="AK26" s="685"/>
      <c r="AL26" s="685"/>
      <c r="AM26" s="685"/>
      <c r="AN26" s="685"/>
      <c r="AO26" s="685"/>
      <c r="AP26" s="685"/>
      <c r="AQ26" s="685"/>
      <c r="AR26" s="685"/>
      <c r="AS26" s="685"/>
      <c r="AT26" s="685"/>
      <c r="AU26" s="685"/>
      <c r="AV26" s="685"/>
      <c r="AW26" s="685"/>
      <c r="AX26" s="685"/>
      <c r="AY26" s="685"/>
      <c r="AZ26" s="685"/>
      <c r="BA26" s="685"/>
      <c r="BB26" s="685"/>
      <c r="BC26" s="685"/>
      <c r="BD26" s="685"/>
      <c r="BE26" s="685"/>
      <c r="BF26" s="685"/>
      <c r="BG26" s="685"/>
      <c r="BH26" s="685"/>
      <c r="BI26" s="685"/>
      <c r="BJ26" s="685"/>
      <c r="BK26" s="685"/>
    </row>
    <row r="27">
      <c r="A27" s="507" t="s">
        <v>1664</v>
      </c>
      <c r="B27" s="260" t="s">
        <v>4620</v>
      </c>
      <c r="C27" s="260" t="s">
        <v>4678</v>
      </c>
      <c r="D27" s="663" t="s">
        <v>4684</v>
      </c>
      <c r="E27" s="689">
        <v>44580.0</v>
      </c>
      <c r="F27" s="663" t="s">
        <v>4685</v>
      </c>
      <c r="G27" s="665" t="s">
        <v>4681</v>
      </c>
      <c r="H27" s="260" t="s">
        <v>4682</v>
      </c>
      <c r="I27" s="260" t="s">
        <v>4683</v>
      </c>
      <c r="J27" s="260">
        <v>5.4</v>
      </c>
      <c r="K27" s="260">
        <v>107.0</v>
      </c>
      <c r="L27" s="260">
        <v>1024.0</v>
      </c>
      <c r="M27" s="260">
        <v>64.0</v>
      </c>
      <c r="N27" s="260">
        <v>32.0</v>
      </c>
      <c r="O27" s="260" t="s">
        <v>166</v>
      </c>
      <c r="P27" s="260">
        <v>16.0</v>
      </c>
      <c r="Q27" s="260">
        <v>2310.0</v>
      </c>
      <c r="R27" s="260">
        <v>2815.0</v>
      </c>
      <c r="S27" s="260">
        <v>4.0</v>
      </c>
      <c r="T27" s="260">
        <v>18.0</v>
      </c>
      <c r="U27" s="260">
        <v>64.0</v>
      </c>
      <c r="V27" s="260">
        <f t="shared" si="1"/>
        <v>144</v>
      </c>
      <c r="W27" s="260" t="s">
        <v>4665</v>
      </c>
      <c r="X27" s="262">
        <f t="shared" si="2"/>
        <v>90.08</v>
      </c>
      <c r="Y27" s="262">
        <f t="shared" si="3"/>
        <v>180.16</v>
      </c>
      <c r="Z27" s="262">
        <v>5.77</v>
      </c>
      <c r="AA27" s="262">
        <v>0.360625</v>
      </c>
      <c r="AB27" s="262">
        <v>11.53</v>
      </c>
      <c r="AC27" s="260">
        <v>107.0</v>
      </c>
      <c r="AD27" s="260" t="s">
        <v>4628</v>
      </c>
      <c r="AE27" s="684">
        <v>199.0</v>
      </c>
      <c r="AF27" s="685"/>
      <c r="AG27" s="685"/>
      <c r="AH27" s="685"/>
      <c r="AI27" s="685"/>
      <c r="AJ27" s="685"/>
      <c r="AK27" s="685"/>
      <c r="AL27" s="685"/>
      <c r="AM27" s="685"/>
      <c r="AN27" s="685"/>
      <c r="AO27" s="685"/>
      <c r="AP27" s="685"/>
      <c r="AQ27" s="685"/>
      <c r="AR27" s="685"/>
      <c r="AS27" s="685"/>
      <c r="AT27" s="685"/>
      <c r="AU27" s="685"/>
      <c r="AV27" s="685"/>
      <c r="AW27" s="685"/>
      <c r="AX27" s="685"/>
      <c r="AY27" s="685"/>
      <c r="AZ27" s="685"/>
      <c r="BA27" s="685"/>
      <c r="BB27" s="685"/>
      <c r="BC27" s="685"/>
      <c r="BD27" s="685"/>
      <c r="BE27" s="685"/>
      <c r="BF27" s="685"/>
      <c r="BG27" s="685"/>
      <c r="BH27" s="685"/>
      <c r="BI27" s="685"/>
      <c r="BJ27" s="685"/>
      <c r="BK27" s="685"/>
    </row>
    <row r="28">
      <c r="A28" s="507" t="s">
        <v>1664</v>
      </c>
      <c r="B28" s="260" t="s">
        <v>4620</v>
      </c>
      <c r="C28" s="260" t="s">
        <v>4678</v>
      </c>
      <c r="D28" s="663" t="s">
        <v>4686</v>
      </c>
      <c r="E28" s="689">
        <v>44482.0</v>
      </c>
      <c r="F28" s="663" t="s">
        <v>4687</v>
      </c>
      <c r="G28" s="665" t="s">
        <v>4659</v>
      </c>
      <c r="H28" s="260" t="s">
        <v>4682</v>
      </c>
      <c r="I28" s="260" t="s">
        <v>4664</v>
      </c>
      <c r="J28" s="260">
        <v>11.06</v>
      </c>
      <c r="K28" s="260">
        <v>237.0</v>
      </c>
      <c r="L28" s="260">
        <v>1792.0</v>
      </c>
      <c r="M28" s="260">
        <v>112.0</v>
      </c>
      <c r="N28" s="260">
        <v>64.0</v>
      </c>
      <c r="O28" s="260" t="s">
        <v>166</v>
      </c>
      <c r="P28" s="260">
        <v>28.0</v>
      </c>
      <c r="Q28" s="260">
        <v>1626.0</v>
      </c>
      <c r="R28" s="260">
        <v>2491.0</v>
      </c>
      <c r="S28" s="260">
        <v>8.0</v>
      </c>
      <c r="T28" s="260">
        <v>14.0</v>
      </c>
      <c r="U28" s="260">
        <v>128.0</v>
      </c>
      <c r="V28" s="260">
        <f t="shared" si="1"/>
        <v>224</v>
      </c>
      <c r="W28" s="260" t="s">
        <v>4665</v>
      </c>
      <c r="X28" s="262">
        <f t="shared" si="2"/>
        <v>159.424</v>
      </c>
      <c r="Y28" s="262">
        <f t="shared" si="3"/>
        <v>278.992</v>
      </c>
      <c r="Z28" s="262">
        <v>8.928</v>
      </c>
      <c r="AA28" s="262">
        <v>0.558</v>
      </c>
      <c r="AB28" s="262">
        <v>17.86</v>
      </c>
      <c r="AC28" s="260">
        <v>132.0</v>
      </c>
      <c r="AD28" s="260" t="s">
        <v>4628</v>
      </c>
      <c r="AE28" s="684">
        <v>329.0</v>
      </c>
      <c r="AF28" s="685"/>
      <c r="AG28" s="685"/>
      <c r="AH28" s="685"/>
      <c r="AI28" s="685"/>
      <c r="AJ28" s="685"/>
      <c r="AK28" s="685"/>
      <c r="AL28" s="685"/>
      <c r="AM28" s="685"/>
      <c r="AN28" s="685"/>
      <c r="AO28" s="685"/>
      <c r="AP28" s="685"/>
      <c r="AQ28" s="685"/>
      <c r="AR28" s="685"/>
      <c r="AS28" s="685"/>
      <c r="AT28" s="685"/>
      <c r="AU28" s="685"/>
      <c r="AV28" s="685"/>
      <c r="AW28" s="685"/>
      <c r="AX28" s="685"/>
      <c r="AY28" s="685"/>
      <c r="AZ28" s="685"/>
      <c r="BA28" s="685"/>
      <c r="BB28" s="685"/>
      <c r="BC28" s="685"/>
      <c r="BD28" s="685"/>
      <c r="BE28" s="685"/>
      <c r="BF28" s="685"/>
      <c r="BG28" s="685"/>
      <c r="BH28" s="685"/>
      <c r="BI28" s="685"/>
      <c r="BJ28" s="685"/>
      <c r="BK28" s="685"/>
    </row>
    <row r="29">
      <c r="A29" s="507" t="s">
        <v>1664</v>
      </c>
      <c r="B29" s="260" t="s">
        <v>4620</v>
      </c>
      <c r="C29" s="260" t="s">
        <v>4678</v>
      </c>
      <c r="D29" s="663" t="s">
        <v>4688</v>
      </c>
      <c r="E29" s="689">
        <v>44419.0</v>
      </c>
      <c r="F29" s="663" t="s">
        <v>4689</v>
      </c>
      <c r="G29" s="665" t="s">
        <v>4659</v>
      </c>
      <c r="H29" s="260" t="s">
        <v>4682</v>
      </c>
      <c r="I29" s="260" t="s">
        <v>4664</v>
      </c>
      <c r="J29" s="260">
        <v>11.06</v>
      </c>
      <c r="K29" s="260">
        <v>237.0</v>
      </c>
      <c r="L29" s="260">
        <v>2048.0</v>
      </c>
      <c r="M29" s="260">
        <v>128.0</v>
      </c>
      <c r="N29" s="260">
        <v>64.0</v>
      </c>
      <c r="O29" s="260" t="s">
        <v>166</v>
      </c>
      <c r="P29" s="260">
        <v>32.0</v>
      </c>
      <c r="Q29" s="260">
        <v>1968.0</v>
      </c>
      <c r="R29" s="260">
        <v>2589.0</v>
      </c>
      <c r="S29" s="260">
        <v>8.0</v>
      </c>
      <c r="T29" s="260">
        <v>16.0</v>
      </c>
      <c r="U29" s="260">
        <v>128.0</v>
      </c>
      <c r="V29" s="260">
        <f t="shared" si="1"/>
        <v>256</v>
      </c>
      <c r="W29" s="260" t="s">
        <v>4665</v>
      </c>
      <c r="X29" s="262">
        <f t="shared" si="2"/>
        <v>165.696</v>
      </c>
      <c r="Y29" s="262">
        <f t="shared" si="3"/>
        <v>331.392</v>
      </c>
      <c r="Z29" s="262">
        <v>10.6</v>
      </c>
      <c r="AA29" s="262">
        <v>0.6628</v>
      </c>
      <c r="AB29" s="262">
        <v>21.21</v>
      </c>
      <c r="AC29" s="260">
        <v>160.0</v>
      </c>
      <c r="AD29" s="260" t="s">
        <v>4628</v>
      </c>
      <c r="AE29" s="684">
        <v>379.0</v>
      </c>
      <c r="AF29" s="685"/>
      <c r="AG29" s="685"/>
      <c r="AH29" s="685"/>
      <c r="AI29" s="685"/>
      <c r="AJ29" s="685"/>
      <c r="AK29" s="685"/>
      <c r="AL29" s="685"/>
      <c r="AM29" s="685"/>
      <c r="AN29" s="685"/>
      <c r="AO29" s="685"/>
      <c r="AP29" s="685"/>
      <c r="AQ29" s="685"/>
      <c r="AR29" s="685"/>
      <c r="AS29" s="685"/>
      <c r="AT29" s="685"/>
      <c r="AU29" s="685"/>
      <c r="AV29" s="685"/>
      <c r="AW29" s="685"/>
      <c r="AX29" s="685"/>
      <c r="AY29" s="685"/>
      <c r="AZ29" s="685"/>
      <c r="BA29" s="685"/>
      <c r="BB29" s="685"/>
      <c r="BC29" s="685"/>
      <c r="BD29" s="685"/>
      <c r="BE29" s="685"/>
      <c r="BF29" s="685"/>
      <c r="BG29" s="685"/>
      <c r="BH29" s="685"/>
      <c r="BI29" s="685"/>
      <c r="BJ29" s="685"/>
      <c r="BK29" s="685"/>
    </row>
    <row r="30">
      <c r="A30" s="507" t="s">
        <v>1664</v>
      </c>
      <c r="B30" s="260" t="s">
        <v>4620</v>
      </c>
      <c r="C30" s="260" t="s">
        <v>4678</v>
      </c>
      <c r="D30" s="663" t="s">
        <v>4690</v>
      </c>
      <c r="E30" s="689">
        <v>44691.0</v>
      </c>
      <c r="F30" s="663" t="s">
        <v>4689</v>
      </c>
      <c r="G30" s="665" t="s">
        <v>4659</v>
      </c>
      <c r="H30" s="260" t="s">
        <v>4682</v>
      </c>
      <c r="I30" s="260" t="s">
        <v>4664</v>
      </c>
      <c r="J30" s="260">
        <v>11.06</v>
      </c>
      <c r="K30" s="260">
        <v>237.0</v>
      </c>
      <c r="L30" s="260">
        <v>2048.0</v>
      </c>
      <c r="M30" s="260">
        <v>128.0</v>
      </c>
      <c r="N30" s="260">
        <v>64.0</v>
      </c>
      <c r="O30" s="260" t="s">
        <v>166</v>
      </c>
      <c r="P30" s="260">
        <v>32.0</v>
      </c>
      <c r="Q30" s="260">
        <v>2055.0</v>
      </c>
      <c r="R30" s="260">
        <v>2635.0</v>
      </c>
      <c r="S30" s="260">
        <v>8.0</v>
      </c>
      <c r="T30" s="260">
        <v>17.5</v>
      </c>
      <c r="U30" s="260">
        <v>128.0</v>
      </c>
      <c r="V30" s="260">
        <f t="shared" si="1"/>
        <v>280</v>
      </c>
      <c r="W30" s="260" t="s">
        <v>4665</v>
      </c>
      <c r="X30" s="262">
        <f t="shared" si="2"/>
        <v>168.64</v>
      </c>
      <c r="Y30" s="262">
        <f t="shared" si="3"/>
        <v>337.28</v>
      </c>
      <c r="Z30" s="262">
        <v>10.79</v>
      </c>
      <c r="AA30" s="262">
        <f t="shared" ref="AA30:AA33" si="4">Z30/16</f>
        <v>0.674375</v>
      </c>
      <c r="AB30" s="262">
        <v>21.59</v>
      </c>
      <c r="AC30" s="260">
        <v>180.0</v>
      </c>
      <c r="AD30" s="260" t="s">
        <v>4628</v>
      </c>
      <c r="AE30" s="684">
        <v>399.0</v>
      </c>
      <c r="AF30" s="685"/>
      <c r="AG30" s="685"/>
      <c r="AH30" s="685"/>
      <c r="AI30" s="685"/>
      <c r="AJ30" s="685"/>
      <c r="AK30" s="685"/>
      <c r="AL30" s="685"/>
      <c r="AM30" s="685"/>
      <c r="AN30" s="685"/>
      <c r="AO30" s="685"/>
      <c r="AP30" s="685"/>
      <c r="AQ30" s="685"/>
      <c r="AR30" s="685"/>
      <c r="AS30" s="685"/>
      <c r="AT30" s="685"/>
      <c r="AU30" s="685"/>
      <c r="AV30" s="685"/>
      <c r="AW30" s="685"/>
      <c r="AX30" s="685"/>
      <c r="AY30" s="685"/>
      <c r="AZ30" s="685"/>
      <c r="BA30" s="685"/>
      <c r="BB30" s="685"/>
      <c r="BC30" s="685"/>
      <c r="BD30" s="685"/>
      <c r="BE30" s="685"/>
      <c r="BF30" s="685"/>
      <c r="BG30" s="685"/>
      <c r="BH30" s="685"/>
      <c r="BI30" s="685"/>
      <c r="BJ30" s="685"/>
      <c r="BK30" s="685"/>
    </row>
    <row r="31">
      <c r="A31" s="507" t="s">
        <v>1664</v>
      </c>
      <c r="B31" s="260" t="s">
        <v>4620</v>
      </c>
      <c r="C31" s="260" t="s">
        <v>4678</v>
      </c>
      <c r="D31" s="663" t="s">
        <v>3707</v>
      </c>
      <c r="E31" s="693">
        <v>44713.0</v>
      </c>
      <c r="F31" s="663" t="s">
        <v>4691</v>
      </c>
      <c r="G31" s="665" t="s">
        <v>4659</v>
      </c>
      <c r="H31" s="260" t="s">
        <v>4682</v>
      </c>
      <c r="I31" s="260" t="s">
        <v>3308</v>
      </c>
      <c r="J31" s="260">
        <v>17.2</v>
      </c>
      <c r="K31" s="260">
        <v>335.0</v>
      </c>
      <c r="L31" s="260">
        <v>2304.0</v>
      </c>
      <c r="M31" s="260">
        <v>144.0</v>
      </c>
      <c r="N31" s="260">
        <v>64.0</v>
      </c>
      <c r="O31" s="260" t="s">
        <v>166</v>
      </c>
      <c r="P31" s="260">
        <v>36.0</v>
      </c>
      <c r="Q31" s="260">
        <v>1941.0</v>
      </c>
      <c r="R31" s="260">
        <v>2450.0</v>
      </c>
      <c r="S31" s="260">
        <v>10.0</v>
      </c>
      <c r="T31" s="260">
        <v>16.0</v>
      </c>
      <c r="U31" s="260">
        <v>160.0</v>
      </c>
      <c r="V31" s="260">
        <f t="shared" si="1"/>
        <v>320</v>
      </c>
      <c r="W31" s="260" t="s">
        <v>4665</v>
      </c>
      <c r="X31" s="262">
        <f t="shared" si="2"/>
        <v>156.8</v>
      </c>
      <c r="Y31" s="262">
        <f t="shared" si="3"/>
        <v>352.8</v>
      </c>
      <c r="Z31" s="262">
        <v>11.29</v>
      </c>
      <c r="AA31" s="262">
        <f t="shared" si="4"/>
        <v>0.705625</v>
      </c>
      <c r="AB31" s="262">
        <v>22.58</v>
      </c>
      <c r="AC31" s="260">
        <v>175.0</v>
      </c>
      <c r="AD31" s="260" t="s">
        <v>4628</v>
      </c>
      <c r="AE31" s="684" t="s">
        <v>170</v>
      </c>
      <c r="AF31" s="685"/>
      <c r="AG31" s="685"/>
      <c r="AH31" s="685"/>
      <c r="AI31" s="685"/>
      <c r="AJ31" s="685"/>
      <c r="AK31" s="685"/>
      <c r="AL31" s="685"/>
      <c r="AM31" s="685"/>
      <c r="AN31" s="685"/>
      <c r="AO31" s="685"/>
      <c r="AP31" s="685"/>
      <c r="AQ31" s="685"/>
      <c r="AR31" s="685"/>
      <c r="AS31" s="685"/>
      <c r="AT31" s="685"/>
      <c r="AU31" s="685"/>
      <c r="AV31" s="685"/>
      <c r="AW31" s="685"/>
      <c r="AX31" s="685"/>
      <c r="AY31" s="685"/>
      <c r="AZ31" s="685"/>
      <c r="BA31" s="685"/>
      <c r="BB31" s="685"/>
      <c r="BC31" s="685"/>
      <c r="BD31" s="685"/>
      <c r="BE31" s="685"/>
      <c r="BF31" s="685"/>
      <c r="BG31" s="685"/>
      <c r="BH31" s="685"/>
      <c r="BI31" s="685"/>
      <c r="BJ31" s="685"/>
      <c r="BK31" s="685"/>
    </row>
    <row r="32">
      <c r="A32" s="507" t="s">
        <v>1664</v>
      </c>
      <c r="B32" s="260" t="s">
        <v>4620</v>
      </c>
      <c r="C32" s="260" t="s">
        <v>4678</v>
      </c>
      <c r="D32" s="663" t="s">
        <v>3709</v>
      </c>
      <c r="E32" s="689">
        <v>44273.0</v>
      </c>
      <c r="F32" s="663" t="s">
        <v>4692</v>
      </c>
      <c r="G32" s="665" t="s">
        <v>4659</v>
      </c>
      <c r="H32" s="260" t="s">
        <v>4682</v>
      </c>
      <c r="I32" s="260" t="s">
        <v>3308</v>
      </c>
      <c r="J32" s="260">
        <v>17.2</v>
      </c>
      <c r="K32" s="260">
        <v>335.0</v>
      </c>
      <c r="L32" s="260">
        <v>2560.0</v>
      </c>
      <c r="M32" s="260">
        <v>160.0</v>
      </c>
      <c r="N32" s="260">
        <v>64.0</v>
      </c>
      <c r="O32" s="260" t="s">
        <v>166</v>
      </c>
      <c r="P32" s="260">
        <v>40.0</v>
      </c>
      <c r="Q32" s="260">
        <v>2321.0</v>
      </c>
      <c r="R32" s="260">
        <v>2581.0</v>
      </c>
      <c r="S32" s="260">
        <v>12.0</v>
      </c>
      <c r="T32" s="260">
        <v>16.0</v>
      </c>
      <c r="U32" s="260">
        <v>192.0</v>
      </c>
      <c r="V32" s="260">
        <f t="shared" si="1"/>
        <v>384</v>
      </c>
      <c r="W32" s="260" t="s">
        <v>4665</v>
      </c>
      <c r="X32" s="262">
        <f t="shared" si="2"/>
        <v>165.184</v>
      </c>
      <c r="Y32" s="262">
        <f t="shared" si="3"/>
        <v>412.96</v>
      </c>
      <c r="Z32" s="262">
        <v>13.21</v>
      </c>
      <c r="AA32" s="262">
        <f t="shared" si="4"/>
        <v>0.825625</v>
      </c>
      <c r="AB32" s="262">
        <v>26.43</v>
      </c>
      <c r="AC32" s="260">
        <v>230.0</v>
      </c>
      <c r="AD32" s="260" t="s">
        <v>4628</v>
      </c>
      <c r="AE32" s="684">
        <v>479.0</v>
      </c>
      <c r="AF32" s="685"/>
      <c r="AG32" s="685"/>
      <c r="AH32" s="685"/>
      <c r="AI32" s="685"/>
      <c r="AJ32" s="685"/>
      <c r="AK32" s="685"/>
      <c r="AL32" s="685"/>
      <c r="AM32" s="685"/>
      <c r="AN32" s="685"/>
      <c r="AO32" s="685"/>
      <c r="AP32" s="685"/>
      <c r="AQ32" s="685"/>
      <c r="AR32" s="685"/>
      <c r="AS32" s="685"/>
      <c r="AT32" s="685"/>
      <c r="AU32" s="685"/>
      <c r="AV32" s="685"/>
      <c r="AW32" s="685"/>
      <c r="AX32" s="685"/>
      <c r="AY32" s="685"/>
      <c r="AZ32" s="685"/>
      <c r="BA32" s="685"/>
      <c r="BB32" s="685"/>
      <c r="BC32" s="685"/>
      <c r="BD32" s="685"/>
      <c r="BE32" s="685"/>
      <c r="BF32" s="685"/>
      <c r="BG32" s="685"/>
      <c r="BH32" s="685"/>
      <c r="BI32" s="685"/>
      <c r="BJ32" s="685"/>
      <c r="BK32" s="685"/>
    </row>
    <row r="33">
      <c r="A33" s="507" t="s">
        <v>1664</v>
      </c>
      <c r="B33" s="260" t="s">
        <v>4620</v>
      </c>
      <c r="C33" s="260" t="s">
        <v>4678</v>
      </c>
      <c r="D33" s="663" t="s">
        <v>3719</v>
      </c>
      <c r="E33" s="689">
        <v>44691.0</v>
      </c>
      <c r="F33" s="663" t="s">
        <v>4692</v>
      </c>
      <c r="G33" s="665" t="s">
        <v>4659</v>
      </c>
      <c r="H33" s="260" t="s">
        <v>4682</v>
      </c>
      <c r="I33" s="260" t="s">
        <v>3308</v>
      </c>
      <c r="J33" s="260">
        <v>17.2</v>
      </c>
      <c r="K33" s="260">
        <v>335.0</v>
      </c>
      <c r="L33" s="260">
        <v>2560.0</v>
      </c>
      <c r="M33" s="260">
        <v>160.0</v>
      </c>
      <c r="N33" s="260">
        <v>64.0</v>
      </c>
      <c r="O33" s="260" t="s">
        <v>166</v>
      </c>
      <c r="P33" s="260">
        <v>40.0</v>
      </c>
      <c r="Q33" s="260">
        <v>2150.0</v>
      </c>
      <c r="R33" s="260">
        <v>2600.0</v>
      </c>
      <c r="S33" s="260">
        <v>12.0</v>
      </c>
      <c r="T33" s="260">
        <v>18.0</v>
      </c>
      <c r="U33" s="260">
        <v>192.0</v>
      </c>
      <c r="V33" s="260">
        <f t="shared" si="1"/>
        <v>432</v>
      </c>
      <c r="W33" s="260" t="s">
        <v>4665</v>
      </c>
      <c r="X33" s="262">
        <f t="shared" si="2"/>
        <v>166.4</v>
      </c>
      <c r="Y33" s="262">
        <f t="shared" si="3"/>
        <v>416</v>
      </c>
      <c r="Z33" s="262">
        <v>13.31</v>
      </c>
      <c r="AA33" s="262">
        <f t="shared" si="4"/>
        <v>0.831875</v>
      </c>
      <c r="AB33" s="262">
        <v>26.62</v>
      </c>
      <c r="AC33" s="260">
        <v>250.0</v>
      </c>
      <c r="AD33" s="260" t="s">
        <v>4628</v>
      </c>
      <c r="AE33" s="684">
        <v>549.0</v>
      </c>
      <c r="AF33" s="685"/>
      <c r="AG33" s="685"/>
      <c r="AH33" s="685"/>
      <c r="AI33" s="685"/>
      <c r="AJ33" s="685"/>
      <c r="AK33" s="685"/>
      <c r="AL33" s="685"/>
      <c r="AM33" s="685"/>
      <c r="AN33" s="685"/>
      <c r="AO33" s="685"/>
      <c r="AP33" s="685"/>
      <c r="AQ33" s="685"/>
      <c r="AR33" s="685"/>
      <c r="AS33" s="685"/>
      <c r="AT33" s="685"/>
      <c r="AU33" s="685"/>
      <c r="AV33" s="685"/>
      <c r="AW33" s="685"/>
      <c r="AX33" s="685"/>
      <c r="AY33" s="685"/>
      <c r="AZ33" s="685"/>
      <c r="BA33" s="685"/>
      <c r="BB33" s="685"/>
      <c r="BC33" s="685"/>
      <c r="BD33" s="685"/>
      <c r="BE33" s="685"/>
      <c r="BF33" s="685"/>
      <c r="BG33" s="685"/>
      <c r="BH33" s="685"/>
      <c r="BI33" s="685"/>
      <c r="BJ33" s="685"/>
      <c r="BK33" s="685"/>
    </row>
    <row r="34">
      <c r="A34" s="507" t="s">
        <v>1664</v>
      </c>
      <c r="B34" s="260" t="s">
        <v>4620</v>
      </c>
      <c r="C34" s="260" t="s">
        <v>4678</v>
      </c>
      <c r="D34" s="663" t="s">
        <v>3724</v>
      </c>
      <c r="E34" s="689">
        <v>44153.0</v>
      </c>
      <c r="F34" s="663" t="s">
        <v>4693</v>
      </c>
      <c r="G34" s="665" t="s">
        <v>4659</v>
      </c>
      <c r="H34" s="260" t="s">
        <v>4682</v>
      </c>
      <c r="I34" s="260" t="s">
        <v>3308</v>
      </c>
      <c r="J34" s="260">
        <v>26.8</v>
      </c>
      <c r="K34" s="260">
        <v>536.0</v>
      </c>
      <c r="L34" s="260">
        <v>3840.0</v>
      </c>
      <c r="M34" s="260">
        <v>240.0</v>
      </c>
      <c r="N34" s="260">
        <v>96.0</v>
      </c>
      <c r="O34" s="260" t="s">
        <v>166</v>
      </c>
      <c r="P34" s="260">
        <v>60.0</v>
      </c>
      <c r="Q34" s="260">
        <v>1700.0</v>
      </c>
      <c r="R34" s="260">
        <v>2105.0</v>
      </c>
      <c r="S34" s="260">
        <v>16.0</v>
      </c>
      <c r="T34" s="260">
        <v>16.0</v>
      </c>
      <c r="U34" s="260">
        <v>256.0</v>
      </c>
      <c r="V34" s="260">
        <f t="shared" si="1"/>
        <v>512</v>
      </c>
      <c r="W34" s="260" t="s">
        <v>4665</v>
      </c>
      <c r="X34" s="262">
        <f t="shared" si="2"/>
        <v>202.08</v>
      </c>
      <c r="Y34" s="262">
        <f t="shared" si="3"/>
        <v>505.2</v>
      </c>
      <c r="Z34" s="262">
        <v>16.17</v>
      </c>
      <c r="AA34" s="262">
        <v>1.01</v>
      </c>
      <c r="AB34" s="262">
        <v>32.33</v>
      </c>
      <c r="AC34" s="260">
        <v>250.0</v>
      </c>
      <c r="AD34" s="260" t="s">
        <v>4628</v>
      </c>
      <c r="AE34" s="684">
        <v>579.0</v>
      </c>
      <c r="AF34" s="685"/>
      <c r="AG34" s="685"/>
      <c r="AH34" s="685"/>
      <c r="AI34" s="685"/>
      <c r="AJ34" s="685"/>
      <c r="AK34" s="685"/>
      <c r="AL34" s="685"/>
      <c r="AM34" s="685"/>
      <c r="AN34" s="685"/>
      <c r="AO34" s="685"/>
      <c r="AP34" s="685"/>
      <c r="AQ34" s="685"/>
      <c r="AR34" s="685"/>
      <c r="AS34" s="685"/>
      <c r="AT34" s="685"/>
      <c r="AU34" s="685"/>
      <c r="AV34" s="685"/>
      <c r="AW34" s="685"/>
      <c r="AX34" s="685"/>
      <c r="AY34" s="685"/>
      <c r="AZ34" s="685"/>
      <c r="BA34" s="685"/>
      <c r="BB34" s="685"/>
      <c r="BC34" s="685"/>
      <c r="BD34" s="685"/>
      <c r="BE34" s="685"/>
      <c r="BF34" s="685"/>
      <c r="BG34" s="685"/>
      <c r="BH34" s="685"/>
      <c r="BI34" s="685"/>
      <c r="BJ34" s="685"/>
      <c r="BK34" s="685"/>
    </row>
    <row r="35">
      <c r="A35" s="507" t="s">
        <v>1664</v>
      </c>
      <c r="B35" s="260" t="s">
        <v>4620</v>
      </c>
      <c r="C35" s="260" t="s">
        <v>4678</v>
      </c>
      <c r="D35" s="663" t="s">
        <v>3732</v>
      </c>
      <c r="E35" s="689">
        <v>44153.0</v>
      </c>
      <c r="F35" s="663" t="s">
        <v>4694</v>
      </c>
      <c r="G35" s="665" t="s">
        <v>4659</v>
      </c>
      <c r="H35" s="260" t="s">
        <v>4682</v>
      </c>
      <c r="I35" s="260" t="s">
        <v>3308</v>
      </c>
      <c r="J35" s="260">
        <v>26.8</v>
      </c>
      <c r="K35" s="260">
        <v>536.0</v>
      </c>
      <c r="L35" s="260">
        <v>4608.0</v>
      </c>
      <c r="M35" s="260">
        <v>288.0</v>
      </c>
      <c r="N35" s="260">
        <v>128.0</v>
      </c>
      <c r="O35" s="260" t="s">
        <v>166</v>
      </c>
      <c r="P35" s="260">
        <v>72.0</v>
      </c>
      <c r="Q35" s="260">
        <v>1825.0</v>
      </c>
      <c r="R35" s="260">
        <v>2250.0</v>
      </c>
      <c r="S35" s="260">
        <v>16.0</v>
      </c>
      <c r="T35" s="260">
        <v>16.0</v>
      </c>
      <c r="U35" s="260">
        <v>256.0</v>
      </c>
      <c r="V35" s="260">
        <f t="shared" si="1"/>
        <v>512</v>
      </c>
      <c r="W35" s="260" t="s">
        <v>4665</v>
      </c>
      <c r="X35" s="262">
        <f t="shared" si="2"/>
        <v>288</v>
      </c>
      <c r="Y35" s="262">
        <f t="shared" si="3"/>
        <v>648</v>
      </c>
      <c r="Z35" s="262">
        <v>20.74</v>
      </c>
      <c r="AA35" s="262">
        <v>1.296</v>
      </c>
      <c r="AB35" s="262">
        <v>41.47</v>
      </c>
      <c r="AC35" s="260">
        <v>300.0</v>
      </c>
      <c r="AD35" s="260" t="s">
        <v>4628</v>
      </c>
      <c r="AE35" s="684">
        <v>649.0</v>
      </c>
      <c r="AF35" s="685"/>
      <c r="AG35" s="685"/>
      <c r="AH35" s="685"/>
      <c r="AI35" s="685"/>
      <c r="AJ35" s="685"/>
      <c r="AK35" s="685"/>
      <c r="AL35" s="685"/>
      <c r="AM35" s="685"/>
      <c r="AN35" s="685"/>
      <c r="AO35" s="685"/>
      <c r="AP35" s="685"/>
      <c r="AQ35" s="685"/>
      <c r="AR35" s="685"/>
      <c r="AS35" s="685"/>
      <c r="AT35" s="685"/>
      <c r="AU35" s="685"/>
      <c r="AV35" s="685"/>
      <c r="AW35" s="685"/>
      <c r="AX35" s="685"/>
      <c r="AY35" s="685"/>
      <c r="AZ35" s="685"/>
      <c r="BA35" s="685"/>
      <c r="BB35" s="685"/>
      <c r="BC35" s="685"/>
      <c r="BD35" s="685"/>
      <c r="BE35" s="685"/>
      <c r="BF35" s="685"/>
      <c r="BG35" s="685"/>
      <c r="BH35" s="685"/>
      <c r="BI35" s="685"/>
      <c r="BJ35" s="685"/>
      <c r="BK35" s="685"/>
    </row>
    <row r="36">
      <c r="A36" s="507" t="s">
        <v>1664</v>
      </c>
      <c r="B36" s="260" t="s">
        <v>4620</v>
      </c>
      <c r="C36" s="260" t="s">
        <v>4678</v>
      </c>
      <c r="D36" s="663" t="s">
        <v>3741</v>
      </c>
      <c r="E36" s="689">
        <v>44173.0</v>
      </c>
      <c r="F36" s="663" t="s">
        <v>4695</v>
      </c>
      <c r="G36" s="665" t="s">
        <v>4659</v>
      </c>
      <c r="H36" s="260" t="s">
        <v>4682</v>
      </c>
      <c r="I36" s="260" t="s">
        <v>3308</v>
      </c>
      <c r="J36" s="260">
        <v>26.8</v>
      </c>
      <c r="K36" s="260">
        <v>536.0</v>
      </c>
      <c r="L36" s="260">
        <v>5120.0</v>
      </c>
      <c r="M36" s="260">
        <v>320.0</v>
      </c>
      <c r="N36" s="260">
        <v>128.0</v>
      </c>
      <c r="O36" s="260" t="s">
        <v>166</v>
      </c>
      <c r="P36" s="260">
        <v>80.0</v>
      </c>
      <c r="Q36" s="260">
        <v>1825.0</v>
      </c>
      <c r="R36" s="260">
        <v>2250.0</v>
      </c>
      <c r="S36" s="260">
        <v>16.0</v>
      </c>
      <c r="T36" s="260">
        <v>16.0</v>
      </c>
      <c r="U36" s="260">
        <v>256.0</v>
      </c>
      <c r="V36" s="260">
        <f t="shared" si="1"/>
        <v>512</v>
      </c>
      <c r="W36" s="260" t="s">
        <v>4665</v>
      </c>
      <c r="X36" s="262">
        <f t="shared" si="2"/>
        <v>288</v>
      </c>
      <c r="Y36" s="262">
        <f t="shared" si="3"/>
        <v>720</v>
      </c>
      <c r="Z36" s="262">
        <v>23.04</v>
      </c>
      <c r="AA36" s="262">
        <v>1.44</v>
      </c>
      <c r="AB36" s="262">
        <v>46.08</v>
      </c>
      <c r="AC36" s="260">
        <v>300.0</v>
      </c>
      <c r="AD36" s="260" t="s">
        <v>4628</v>
      </c>
      <c r="AE36" s="684">
        <v>999.0</v>
      </c>
      <c r="AF36" s="685"/>
      <c r="AG36" s="685"/>
      <c r="AH36" s="685"/>
      <c r="AI36" s="685"/>
      <c r="AJ36" s="685"/>
      <c r="AK36" s="685"/>
      <c r="AL36" s="685"/>
      <c r="AM36" s="685"/>
      <c r="AN36" s="685"/>
      <c r="AO36" s="685"/>
      <c r="AP36" s="685"/>
      <c r="AQ36" s="685"/>
      <c r="AR36" s="685"/>
      <c r="AS36" s="685"/>
      <c r="AT36" s="685"/>
      <c r="AU36" s="685"/>
      <c r="AV36" s="685"/>
      <c r="AW36" s="685"/>
      <c r="AX36" s="685"/>
      <c r="AY36" s="685"/>
      <c r="AZ36" s="685"/>
      <c r="BA36" s="685"/>
      <c r="BB36" s="685"/>
      <c r="BC36" s="685"/>
      <c r="BD36" s="685"/>
      <c r="BE36" s="685"/>
      <c r="BF36" s="685"/>
      <c r="BG36" s="685"/>
      <c r="BH36" s="685"/>
      <c r="BI36" s="685"/>
      <c r="BJ36" s="685"/>
      <c r="BK36" s="685"/>
    </row>
    <row r="37">
      <c r="A37" s="519" t="s">
        <v>1664</v>
      </c>
      <c r="B37" s="393" t="s">
        <v>4620</v>
      </c>
      <c r="C37" s="393" t="s">
        <v>4678</v>
      </c>
      <c r="D37" s="669" t="s">
        <v>3759</v>
      </c>
      <c r="E37" s="690">
        <v>44691.0</v>
      </c>
      <c r="F37" s="669" t="s">
        <v>4695</v>
      </c>
      <c r="G37" s="671" t="s">
        <v>4659</v>
      </c>
      <c r="H37" s="393" t="s">
        <v>4682</v>
      </c>
      <c r="I37" s="393" t="s">
        <v>3308</v>
      </c>
      <c r="J37" s="393">
        <v>26.8</v>
      </c>
      <c r="K37" s="393">
        <v>536.0</v>
      </c>
      <c r="L37" s="393">
        <v>5120.0</v>
      </c>
      <c r="M37" s="393">
        <v>320.0</v>
      </c>
      <c r="N37" s="393">
        <v>128.0</v>
      </c>
      <c r="O37" s="393" t="s">
        <v>166</v>
      </c>
      <c r="P37" s="393">
        <v>80.0</v>
      </c>
      <c r="Q37" s="393">
        <v>1890.0</v>
      </c>
      <c r="R37" s="393">
        <v>2310.0</v>
      </c>
      <c r="S37" s="393">
        <v>16.0</v>
      </c>
      <c r="T37" s="393">
        <v>18.0</v>
      </c>
      <c r="U37" s="393">
        <v>256.0</v>
      </c>
      <c r="V37" s="393">
        <f t="shared" si="1"/>
        <v>576</v>
      </c>
      <c r="W37" s="393" t="s">
        <v>4665</v>
      </c>
      <c r="X37" s="672">
        <f t="shared" si="2"/>
        <v>295.68</v>
      </c>
      <c r="Y37" s="672">
        <f t="shared" si="3"/>
        <v>739.2</v>
      </c>
      <c r="Z37" s="672">
        <v>23.65</v>
      </c>
      <c r="AA37" s="672">
        <f>Z37/16</f>
        <v>1.478125</v>
      </c>
      <c r="AB37" s="672">
        <v>47.31</v>
      </c>
      <c r="AC37" s="393">
        <v>335.0</v>
      </c>
      <c r="AD37" s="393" t="s">
        <v>4628</v>
      </c>
      <c r="AE37" s="688">
        <v>1099.0</v>
      </c>
      <c r="AF37" s="685"/>
      <c r="AG37" s="685"/>
      <c r="AH37" s="685"/>
      <c r="AI37" s="685"/>
      <c r="AJ37" s="685"/>
      <c r="AK37" s="685"/>
      <c r="AL37" s="685"/>
      <c r="AM37" s="685"/>
      <c r="AN37" s="685"/>
      <c r="AO37" s="685"/>
      <c r="AP37" s="685"/>
      <c r="AQ37" s="685"/>
      <c r="AR37" s="685"/>
      <c r="AS37" s="685"/>
      <c r="AT37" s="685"/>
      <c r="AU37" s="685"/>
      <c r="AV37" s="685"/>
      <c r="AW37" s="685"/>
      <c r="AX37" s="685"/>
      <c r="AY37" s="685"/>
      <c r="AZ37" s="685"/>
      <c r="BA37" s="685"/>
      <c r="BB37" s="685"/>
      <c r="BC37" s="685"/>
      <c r="BD37" s="685"/>
      <c r="BE37" s="685"/>
      <c r="BF37" s="685"/>
      <c r="BG37" s="685"/>
      <c r="BH37" s="685"/>
      <c r="BI37" s="685"/>
      <c r="BJ37" s="685"/>
      <c r="BK37" s="685"/>
    </row>
    <row r="38">
      <c r="A38" s="507" t="s">
        <v>1664</v>
      </c>
      <c r="B38" s="260" t="s">
        <v>4650</v>
      </c>
      <c r="C38" s="260" t="s">
        <v>4673</v>
      </c>
      <c r="D38" s="663" t="s">
        <v>4696</v>
      </c>
      <c r="E38" s="260" t="s">
        <v>4697</v>
      </c>
      <c r="F38" s="663" t="s">
        <v>4698</v>
      </c>
      <c r="G38" s="665" t="s">
        <v>4681</v>
      </c>
      <c r="H38" s="260" t="s">
        <v>4682</v>
      </c>
      <c r="I38" s="260" t="s">
        <v>4683</v>
      </c>
      <c r="J38" s="260">
        <v>5.4</v>
      </c>
      <c r="K38" s="260">
        <v>107.0</v>
      </c>
      <c r="L38" s="260">
        <v>768.0</v>
      </c>
      <c r="M38" s="260">
        <v>48.0</v>
      </c>
      <c r="N38" s="260">
        <v>32.0</v>
      </c>
      <c r="O38" s="260" t="s">
        <v>166</v>
      </c>
      <c r="P38" s="260">
        <v>12.0</v>
      </c>
      <c r="Q38" s="260">
        <v>2331.0</v>
      </c>
      <c r="R38" s="260">
        <v>2331.0</v>
      </c>
      <c r="S38" s="260">
        <v>4.0</v>
      </c>
      <c r="T38" s="260">
        <v>14.0</v>
      </c>
      <c r="U38" s="260">
        <v>64.0</v>
      </c>
      <c r="V38" s="260">
        <f t="shared" si="1"/>
        <v>112</v>
      </c>
      <c r="W38" s="260" t="s">
        <v>4665</v>
      </c>
      <c r="X38" s="262">
        <f t="shared" si="2"/>
        <v>74.592</v>
      </c>
      <c r="Y38" s="262">
        <f t="shared" si="3"/>
        <v>111.888</v>
      </c>
      <c r="Z38" s="262">
        <v>3.58</v>
      </c>
      <c r="AA38" s="262">
        <v>0.223</v>
      </c>
      <c r="AB38" s="262">
        <v>7.161</v>
      </c>
      <c r="AC38" s="260">
        <v>50.0</v>
      </c>
      <c r="AD38" s="260" t="s">
        <v>4628</v>
      </c>
      <c r="AE38" s="684">
        <v>229.0</v>
      </c>
      <c r="AF38" s="685"/>
      <c r="AG38" s="685"/>
      <c r="AH38" s="685"/>
      <c r="AI38" s="685"/>
      <c r="AJ38" s="685"/>
      <c r="AK38" s="685"/>
      <c r="AL38" s="685"/>
      <c r="AM38" s="685"/>
      <c r="AN38" s="685"/>
      <c r="AO38" s="685"/>
      <c r="AP38" s="685"/>
      <c r="AQ38" s="685"/>
      <c r="AR38" s="685"/>
      <c r="AS38" s="685"/>
      <c r="AT38" s="685"/>
      <c r="AU38" s="685"/>
      <c r="AV38" s="685"/>
      <c r="AW38" s="685"/>
      <c r="AX38" s="685"/>
      <c r="AY38" s="685"/>
      <c r="AZ38" s="685"/>
      <c r="BA38" s="685"/>
      <c r="BB38" s="685"/>
      <c r="BC38" s="685"/>
      <c r="BD38" s="685"/>
      <c r="BE38" s="685"/>
      <c r="BF38" s="685"/>
      <c r="BG38" s="685"/>
      <c r="BH38" s="685"/>
      <c r="BI38" s="685"/>
      <c r="BJ38" s="685"/>
      <c r="BK38" s="685"/>
    </row>
    <row r="39">
      <c r="A39" s="507" t="s">
        <v>1664</v>
      </c>
      <c r="B39" s="260" t="s">
        <v>4650</v>
      </c>
      <c r="C39" s="260" t="s">
        <v>4673</v>
      </c>
      <c r="D39" s="663" t="s">
        <v>4699</v>
      </c>
      <c r="E39" s="260" t="s">
        <v>4700</v>
      </c>
      <c r="F39" s="663" t="s">
        <v>4701</v>
      </c>
      <c r="G39" s="665" t="s">
        <v>4659</v>
      </c>
      <c r="H39" s="260" t="s">
        <v>4682</v>
      </c>
      <c r="I39" s="260" t="s">
        <v>3308</v>
      </c>
      <c r="J39" s="260">
        <v>11.06</v>
      </c>
      <c r="K39" s="260">
        <v>237.0</v>
      </c>
      <c r="L39" s="260">
        <v>1792.0</v>
      </c>
      <c r="M39" s="260">
        <v>112.0</v>
      </c>
      <c r="N39" s="260">
        <v>64.0</v>
      </c>
      <c r="O39" s="260" t="s">
        <v>166</v>
      </c>
      <c r="P39" s="260">
        <v>28.0</v>
      </c>
      <c r="Q39" s="260">
        <v>2200.0</v>
      </c>
      <c r="R39" s="260">
        <v>2903.0</v>
      </c>
      <c r="S39" s="260">
        <v>8.0</v>
      </c>
      <c r="T39" s="260">
        <v>14.0</v>
      </c>
      <c r="U39" s="260">
        <v>128.0</v>
      </c>
      <c r="V39" s="260">
        <f t="shared" si="1"/>
        <v>224</v>
      </c>
      <c r="W39" s="260" t="s">
        <v>4665</v>
      </c>
      <c r="X39" s="262">
        <f t="shared" si="2"/>
        <v>185.792</v>
      </c>
      <c r="Y39" s="262">
        <f t="shared" si="3"/>
        <v>325.136</v>
      </c>
      <c r="Z39" s="262">
        <v>10.4</v>
      </c>
      <c r="AA39" s="262">
        <v>0.6503</v>
      </c>
      <c r="AB39" s="262">
        <v>20.8</v>
      </c>
      <c r="AC39" s="260">
        <v>100.0</v>
      </c>
      <c r="AD39" s="260" t="s">
        <v>4628</v>
      </c>
      <c r="AE39" s="684">
        <v>649.0</v>
      </c>
      <c r="AF39" s="685"/>
      <c r="AG39" s="685"/>
      <c r="AH39" s="685"/>
      <c r="AI39" s="685"/>
      <c r="AJ39" s="685"/>
      <c r="AK39" s="685"/>
      <c r="AL39" s="685"/>
      <c r="AM39" s="685"/>
      <c r="AN39" s="685"/>
      <c r="AO39" s="685"/>
      <c r="AP39" s="685"/>
      <c r="AQ39" s="685"/>
      <c r="AR39" s="685"/>
      <c r="AS39" s="685"/>
      <c r="AT39" s="685"/>
      <c r="AU39" s="685"/>
      <c r="AV39" s="685"/>
      <c r="AW39" s="685"/>
      <c r="AX39" s="685"/>
      <c r="AY39" s="685"/>
      <c r="AZ39" s="685"/>
      <c r="BA39" s="685"/>
      <c r="BB39" s="685"/>
      <c r="BC39" s="685"/>
      <c r="BD39" s="685"/>
      <c r="BE39" s="685"/>
      <c r="BF39" s="685"/>
      <c r="BG39" s="685"/>
      <c r="BH39" s="685"/>
      <c r="BI39" s="685"/>
      <c r="BJ39" s="685"/>
      <c r="BK39" s="685"/>
    </row>
    <row r="40">
      <c r="A40" s="519" t="s">
        <v>1664</v>
      </c>
      <c r="B40" s="393" t="s">
        <v>4650</v>
      </c>
      <c r="C40" s="393" t="s">
        <v>4673</v>
      </c>
      <c r="D40" s="669" t="s">
        <v>4702</v>
      </c>
      <c r="E40" s="690">
        <v>44355.0</v>
      </c>
      <c r="F40" s="669" t="s">
        <v>4703</v>
      </c>
      <c r="G40" s="671" t="s">
        <v>4659</v>
      </c>
      <c r="H40" s="393" t="s">
        <v>4682</v>
      </c>
      <c r="I40" s="393" t="s">
        <v>3308</v>
      </c>
      <c r="J40" s="393">
        <v>26.8</v>
      </c>
      <c r="K40" s="393">
        <v>536.0</v>
      </c>
      <c r="L40" s="393">
        <v>3840.0</v>
      </c>
      <c r="M40" s="393">
        <v>240.0</v>
      </c>
      <c r="N40" s="393">
        <v>96.0</v>
      </c>
      <c r="O40" s="393" t="s">
        <v>166</v>
      </c>
      <c r="P40" s="393">
        <v>60.0</v>
      </c>
      <c r="Q40" s="393">
        <v>1575.0</v>
      </c>
      <c r="R40" s="393">
        <v>2300.0</v>
      </c>
      <c r="S40" s="393">
        <v>32.0</v>
      </c>
      <c r="T40" s="393">
        <v>16.0</v>
      </c>
      <c r="U40" s="393">
        <v>256.0</v>
      </c>
      <c r="V40" s="393">
        <f t="shared" si="1"/>
        <v>512</v>
      </c>
      <c r="W40" s="393" t="s">
        <v>4665</v>
      </c>
      <c r="X40" s="672">
        <f t="shared" si="2"/>
        <v>220.8</v>
      </c>
      <c r="Y40" s="672">
        <f t="shared" si="3"/>
        <v>552</v>
      </c>
      <c r="Z40" s="672">
        <v>17.83</v>
      </c>
      <c r="AA40" s="672">
        <v>1.11</v>
      </c>
      <c r="AB40" s="672">
        <v>35.66</v>
      </c>
      <c r="AC40" s="393">
        <v>250.0</v>
      </c>
      <c r="AD40" s="393" t="s">
        <v>4628</v>
      </c>
      <c r="AE40" s="688">
        <v>2249.0</v>
      </c>
      <c r="AF40" s="685"/>
      <c r="AG40" s="685"/>
      <c r="AH40" s="685"/>
      <c r="AI40" s="685"/>
      <c r="AJ40" s="685"/>
      <c r="AK40" s="685"/>
      <c r="AL40" s="685"/>
      <c r="AM40" s="685"/>
      <c r="AN40" s="685"/>
      <c r="AO40" s="685"/>
      <c r="AP40" s="685"/>
      <c r="AQ40" s="685"/>
      <c r="AR40" s="685"/>
      <c r="AS40" s="685"/>
      <c r="AT40" s="685"/>
      <c r="AU40" s="685"/>
      <c r="AV40" s="685"/>
      <c r="AW40" s="685"/>
      <c r="AX40" s="685"/>
      <c r="AY40" s="685"/>
      <c r="AZ40" s="685"/>
      <c r="BA40" s="685"/>
      <c r="BB40" s="685"/>
      <c r="BC40" s="685"/>
      <c r="BD40" s="685"/>
      <c r="BE40" s="685"/>
      <c r="BF40" s="685"/>
      <c r="BG40" s="685"/>
      <c r="BH40" s="685"/>
      <c r="BI40" s="685"/>
      <c r="BJ40" s="685"/>
      <c r="BK40" s="685"/>
    </row>
    <row r="41">
      <c r="A41" s="507" t="s">
        <v>1664</v>
      </c>
      <c r="B41" s="260" t="s">
        <v>4620</v>
      </c>
      <c r="C41" s="260" t="s">
        <v>4704</v>
      </c>
      <c r="D41" s="663" t="s">
        <v>3393</v>
      </c>
      <c r="E41" s="694">
        <v>45071.0</v>
      </c>
      <c r="F41" s="663" t="s">
        <v>4705</v>
      </c>
      <c r="G41" s="260" t="s">
        <v>4681</v>
      </c>
      <c r="H41" s="260" t="s">
        <v>4706</v>
      </c>
      <c r="I41" s="260" t="s">
        <v>4664</v>
      </c>
      <c r="J41" s="260">
        <v>13.3</v>
      </c>
      <c r="K41" s="260">
        <v>204.0</v>
      </c>
      <c r="L41" s="260">
        <v>2048.0</v>
      </c>
      <c r="M41" s="260">
        <v>128.0</v>
      </c>
      <c r="N41" s="260">
        <v>64.0</v>
      </c>
      <c r="O41" s="260" t="s">
        <v>166</v>
      </c>
      <c r="P41" s="260">
        <v>32.0</v>
      </c>
      <c r="Q41" s="260">
        <v>1720.0</v>
      </c>
      <c r="R41" s="260">
        <v>2655.0</v>
      </c>
      <c r="S41" s="260">
        <v>8.0</v>
      </c>
      <c r="T41" s="260">
        <v>18.0</v>
      </c>
      <c r="U41" s="260">
        <v>128.0</v>
      </c>
      <c r="V41" s="260">
        <f t="shared" si="1"/>
        <v>288</v>
      </c>
      <c r="W41" s="260" t="s">
        <v>4665</v>
      </c>
      <c r="X41" s="262">
        <f t="shared" si="2"/>
        <v>169.92</v>
      </c>
      <c r="Y41" s="262">
        <f t="shared" si="3"/>
        <v>339.84</v>
      </c>
      <c r="Z41" s="262">
        <v>21.75</v>
      </c>
      <c r="AA41" s="262">
        <f t="shared" ref="AA41:AA49" si="5">Z41/16</f>
        <v>1.359375</v>
      </c>
      <c r="AB41" s="262">
        <f t="shared" ref="AB41:AB57" si="6">Z41*2</f>
        <v>43.5</v>
      </c>
      <c r="AC41" s="260">
        <v>165.0</v>
      </c>
      <c r="AD41" s="260" t="s">
        <v>4628</v>
      </c>
      <c r="AE41" s="684">
        <v>269.0</v>
      </c>
      <c r="AF41" s="685"/>
      <c r="AG41" s="685"/>
      <c r="AH41" s="685"/>
      <c r="AI41" s="685"/>
      <c r="AJ41" s="685"/>
      <c r="AK41" s="685"/>
      <c r="AL41" s="685"/>
      <c r="AM41" s="685"/>
      <c r="AN41" s="685"/>
      <c r="AO41" s="685"/>
      <c r="AP41" s="685"/>
      <c r="AQ41" s="685"/>
      <c r="AR41" s="685"/>
      <c r="AS41" s="685"/>
      <c r="AT41" s="685"/>
      <c r="AU41" s="685"/>
      <c r="AV41" s="685"/>
      <c r="AW41" s="685"/>
      <c r="AX41" s="685"/>
      <c r="AY41" s="685"/>
      <c r="AZ41" s="685"/>
      <c r="BA41" s="685"/>
      <c r="BB41" s="685"/>
      <c r="BC41" s="685"/>
      <c r="BD41" s="685"/>
      <c r="BE41" s="685"/>
      <c r="BF41" s="685"/>
      <c r="BG41" s="685"/>
      <c r="BH41" s="685"/>
      <c r="BI41" s="685"/>
      <c r="BJ41" s="685"/>
      <c r="BK41" s="685"/>
    </row>
    <row r="42">
      <c r="A42" s="507" t="s">
        <v>1664</v>
      </c>
      <c r="B42" s="260" t="s">
        <v>4620</v>
      </c>
      <c r="C42" s="260" t="s">
        <v>4704</v>
      </c>
      <c r="D42" s="663" t="s">
        <v>4707</v>
      </c>
      <c r="E42" s="689">
        <v>45315.0</v>
      </c>
      <c r="F42" s="663" t="s">
        <v>4708</v>
      </c>
      <c r="G42" s="260" t="s">
        <v>4681</v>
      </c>
      <c r="H42" s="260" t="s">
        <v>4706</v>
      </c>
      <c r="I42" s="260" t="s">
        <v>4664</v>
      </c>
      <c r="J42" s="260">
        <v>13.3</v>
      </c>
      <c r="K42" s="260">
        <v>204.0</v>
      </c>
      <c r="L42" s="260">
        <v>2048.0</v>
      </c>
      <c r="M42" s="260">
        <v>128.0</v>
      </c>
      <c r="N42" s="260">
        <v>64.0</v>
      </c>
      <c r="O42" s="260" t="s">
        <v>166</v>
      </c>
      <c r="P42" s="260">
        <v>32.0</v>
      </c>
      <c r="Q42" s="260">
        <v>1720.0</v>
      </c>
      <c r="R42" s="260">
        <v>2755.0</v>
      </c>
      <c r="S42" s="260">
        <v>16.0</v>
      </c>
      <c r="T42" s="260">
        <v>18.0</v>
      </c>
      <c r="U42" s="260">
        <v>128.0</v>
      </c>
      <c r="V42" s="260">
        <f t="shared" si="1"/>
        <v>288</v>
      </c>
      <c r="W42" s="260" t="s">
        <v>4665</v>
      </c>
      <c r="X42" s="262">
        <f t="shared" si="2"/>
        <v>176.32</v>
      </c>
      <c r="Y42" s="262">
        <f t="shared" si="3"/>
        <v>352.64</v>
      </c>
      <c r="Z42" s="262">
        <v>22.57</v>
      </c>
      <c r="AA42" s="262">
        <f t="shared" si="5"/>
        <v>1.410625</v>
      </c>
      <c r="AB42" s="262">
        <f t="shared" si="6"/>
        <v>45.14</v>
      </c>
      <c r="AC42" s="260">
        <v>190.0</v>
      </c>
      <c r="AD42" s="260" t="s">
        <v>4628</v>
      </c>
      <c r="AE42" s="684">
        <v>329.0</v>
      </c>
      <c r="AF42" s="685"/>
      <c r="AG42" s="685"/>
      <c r="AH42" s="685"/>
      <c r="AI42" s="685"/>
      <c r="AJ42" s="685"/>
      <c r="AK42" s="685"/>
      <c r="AL42" s="685"/>
      <c r="AM42" s="685"/>
      <c r="AN42" s="685"/>
      <c r="AO42" s="685"/>
      <c r="AP42" s="685"/>
      <c r="AQ42" s="685"/>
      <c r="AR42" s="685"/>
      <c r="AS42" s="685"/>
      <c r="AT42" s="685"/>
      <c r="AU42" s="685"/>
      <c r="AV42" s="685"/>
      <c r="AW42" s="685"/>
      <c r="AX42" s="685"/>
      <c r="AY42" s="685"/>
      <c r="AZ42" s="685"/>
      <c r="BA42" s="685"/>
      <c r="BB42" s="685"/>
      <c r="BC42" s="685"/>
      <c r="BD42" s="685"/>
      <c r="BE42" s="685"/>
      <c r="BF42" s="685"/>
      <c r="BG42" s="685"/>
      <c r="BH42" s="685"/>
      <c r="BI42" s="685"/>
      <c r="BJ42" s="685"/>
      <c r="BK42" s="685"/>
    </row>
    <row r="43">
      <c r="A43" s="507" t="s">
        <v>1664</v>
      </c>
      <c r="B43" s="260" t="s">
        <v>4620</v>
      </c>
      <c r="C43" s="260" t="s">
        <v>4704</v>
      </c>
      <c r="D43" s="663" t="s">
        <v>4709</v>
      </c>
      <c r="E43" s="689">
        <v>45175.0</v>
      </c>
      <c r="F43" s="663" t="s">
        <v>4710</v>
      </c>
      <c r="G43" s="260" t="s">
        <v>4711</v>
      </c>
      <c r="H43" s="260" t="s">
        <v>4706</v>
      </c>
      <c r="I43" s="260" t="s">
        <v>3308</v>
      </c>
      <c r="J43" s="260">
        <v>28.1</v>
      </c>
      <c r="K43" s="260">
        <v>346.0</v>
      </c>
      <c r="L43" s="260">
        <v>3456.0</v>
      </c>
      <c r="M43" s="260">
        <v>216.0</v>
      </c>
      <c r="N43" s="260">
        <v>96.0</v>
      </c>
      <c r="O43" s="260" t="s">
        <v>166</v>
      </c>
      <c r="P43" s="260">
        <v>54.0</v>
      </c>
      <c r="Q43" s="260">
        <v>1900.0</v>
      </c>
      <c r="R43" s="260">
        <v>2544.0</v>
      </c>
      <c r="S43" s="260">
        <v>12.0</v>
      </c>
      <c r="T43" s="260">
        <v>18.0</v>
      </c>
      <c r="U43" s="260">
        <v>192.0</v>
      </c>
      <c r="V43" s="260">
        <f t="shared" si="1"/>
        <v>432</v>
      </c>
      <c r="W43" s="260" t="s">
        <v>4665</v>
      </c>
      <c r="X43" s="262">
        <f t="shared" si="2"/>
        <v>244.224</v>
      </c>
      <c r="Y43" s="262">
        <f t="shared" si="3"/>
        <v>549.504</v>
      </c>
      <c r="Z43" s="262">
        <v>35.17</v>
      </c>
      <c r="AA43" s="262">
        <f t="shared" si="5"/>
        <v>2.198125</v>
      </c>
      <c r="AB43" s="262">
        <f t="shared" si="6"/>
        <v>70.34</v>
      </c>
      <c r="AC43" s="260">
        <v>245.0</v>
      </c>
      <c r="AD43" s="260" t="s">
        <v>4628</v>
      </c>
      <c r="AE43" s="684">
        <v>449.0</v>
      </c>
      <c r="AF43" s="685"/>
      <c r="AG43" s="685"/>
      <c r="AH43" s="685"/>
      <c r="AI43" s="685"/>
      <c r="AJ43" s="685"/>
      <c r="AK43" s="685"/>
      <c r="AL43" s="685"/>
      <c r="AM43" s="685"/>
      <c r="AN43" s="685"/>
      <c r="AO43" s="685"/>
      <c r="AP43" s="685"/>
      <c r="AQ43" s="685"/>
      <c r="AR43" s="685"/>
      <c r="AS43" s="685"/>
      <c r="AT43" s="685"/>
      <c r="AU43" s="685"/>
      <c r="AV43" s="685"/>
      <c r="AW43" s="685"/>
      <c r="AX43" s="685"/>
      <c r="AY43" s="685"/>
      <c r="AZ43" s="685"/>
      <c r="BA43" s="685"/>
      <c r="BB43" s="685"/>
      <c r="BC43" s="685"/>
      <c r="BD43" s="685"/>
      <c r="BE43" s="685"/>
      <c r="BF43" s="685"/>
      <c r="BG43" s="685"/>
      <c r="BH43" s="685"/>
      <c r="BI43" s="685"/>
      <c r="BJ43" s="685"/>
      <c r="BK43" s="685"/>
    </row>
    <row r="44">
      <c r="A44" s="507" t="s">
        <v>1664</v>
      </c>
      <c r="B44" s="260" t="s">
        <v>4620</v>
      </c>
      <c r="C44" s="260" t="s">
        <v>4704</v>
      </c>
      <c r="D44" s="663" t="s">
        <v>3780</v>
      </c>
      <c r="E44" s="689">
        <v>45175.0</v>
      </c>
      <c r="F44" s="663" t="s">
        <v>4710</v>
      </c>
      <c r="G44" s="260" t="s">
        <v>4711</v>
      </c>
      <c r="H44" s="260" t="s">
        <v>4706</v>
      </c>
      <c r="I44" s="260" t="s">
        <v>3308</v>
      </c>
      <c r="J44" s="260">
        <v>28.1</v>
      </c>
      <c r="K44" s="260">
        <v>346.0</v>
      </c>
      <c r="L44" s="260">
        <v>3840.0</v>
      </c>
      <c r="M44" s="260">
        <v>240.0</v>
      </c>
      <c r="N44" s="260">
        <v>96.0</v>
      </c>
      <c r="O44" s="260" t="s">
        <v>166</v>
      </c>
      <c r="P44" s="260">
        <v>60.0</v>
      </c>
      <c r="Q44" s="260">
        <v>1800.0</v>
      </c>
      <c r="R44" s="260">
        <v>2530.0</v>
      </c>
      <c r="S44" s="260">
        <v>16.0</v>
      </c>
      <c r="T44" s="260">
        <v>19.5</v>
      </c>
      <c r="U44" s="260">
        <v>256.0</v>
      </c>
      <c r="V44" s="260">
        <f t="shared" si="1"/>
        <v>624</v>
      </c>
      <c r="W44" s="260" t="s">
        <v>4665</v>
      </c>
      <c r="X44" s="262">
        <f t="shared" si="2"/>
        <v>242.88</v>
      </c>
      <c r="Y44" s="262">
        <f t="shared" si="3"/>
        <v>607.2</v>
      </c>
      <c r="Z44" s="262">
        <v>37.32</v>
      </c>
      <c r="AA44" s="262">
        <f t="shared" si="5"/>
        <v>2.3325</v>
      </c>
      <c r="AB44" s="262">
        <f t="shared" si="6"/>
        <v>74.64</v>
      </c>
      <c r="AC44" s="260">
        <v>263.0</v>
      </c>
      <c r="AD44" s="260" t="s">
        <v>4628</v>
      </c>
      <c r="AE44" s="684">
        <v>499.0</v>
      </c>
      <c r="AF44" s="685"/>
      <c r="AG44" s="685"/>
      <c r="AH44" s="685"/>
      <c r="AI44" s="685"/>
      <c r="AJ44" s="685"/>
      <c r="AK44" s="685"/>
      <c r="AL44" s="685"/>
      <c r="AM44" s="685"/>
      <c r="AN44" s="685"/>
      <c r="AO44" s="685"/>
      <c r="AP44" s="685"/>
      <c r="AQ44" s="685"/>
      <c r="AR44" s="685"/>
      <c r="AS44" s="685"/>
      <c r="AT44" s="685"/>
      <c r="AU44" s="685"/>
      <c r="AV44" s="685"/>
      <c r="AW44" s="685"/>
      <c r="AX44" s="685"/>
      <c r="AY44" s="685"/>
      <c r="AZ44" s="685"/>
      <c r="BA44" s="685"/>
      <c r="BB44" s="685"/>
      <c r="BC44" s="685"/>
      <c r="BD44" s="685"/>
      <c r="BE44" s="685"/>
      <c r="BF44" s="685"/>
      <c r="BG44" s="685"/>
      <c r="BH44" s="685"/>
      <c r="BI44" s="685"/>
      <c r="BJ44" s="685"/>
      <c r="BK44" s="685"/>
    </row>
    <row r="45">
      <c r="A45" s="507" t="s">
        <v>1664</v>
      </c>
      <c r="B45" s="260" t="s">
        <v>4620</v>
      </c>
      <c r="C45" s="260" t="s">
        <v>4704</v>
      </c>
      <c r="D45" s="663" t="s">
        <v>3786</v>
      </c>
      <c r="E45" s="689">
        <v>45135.0</v>
      </c>
      <c r="F45" s="663" t="s">
        <v>4712</v>
      </c>
      <c r="G45" s="260" t="s">
        <v>4711</v>
      </c>
      <c r="H45" s="260" t="s">
        <v>4706</v>
      </c>
      <c r="I45" s="260" t="s">
        <v>3308</v>
      </c>
      <c r="J45" s="260">
        <v>58.0</v>
      </c>
      <c r="K45" s="260">
        <v>522.0</v>
      </c>
      <c r="L45" s="260">
        <v>5120.0</v>
      </c>
      <c r="M45" s="260">
        <v>320.0</v>
      </c>
      <c r="N45" s="260">
        <v>192.0</v>
      </c>
      <c r="O45" s="260" t="s">
        <v>166</v>
      </c>
      <c r="P45" s="260">
        <v>80.0</v>
      </c>
      <c r="Q45" s="260">
        <v>1500.0</v>
      </c>
      <c r="R45" s="260">
        <v>2245.0</v>
      </c>
      <c r="S45" s="260">
        <v>16.0</v>
      </c>
      <c r="T45" s="260">
        <v>18.0</v>
      </c>
      <c r="U45" s="260">
        <v>256.0</v>
      </c>
      <c r="V45" s="260">
        <f t="shared" si="1"/>
        <v>576</v>
      </c>
      <c r="W45" s="260" t="s">
        <v>4665</v>
      </c>
      <c r="X45" s="262">
        <f t="shared" si="2"/>
        <v>431.04</v>
      </c>
      <c r="Y45" s="262">
        <f t="shared" si="3"/>
        <v>718.4</v>
      </c>
      <c r="Z45" s="262">
        <v>45.98</v>
      </c>
      <c r="AA45" s="262">
        <f t="shared" si="5"/>
        <v>2.87375</v>
      </c>
      <c r="AB45" s="262">
        <f t="shared" si="6"/>
        <v>91.96</v>
      </c>
      <c r="AC45" s="260">
        <v>260.0</v>
      </c>
      <c r="AD45" s="260" t="s">
        <v>4628</v>
      </c>
      <c r="AE45" s="684">
        <v>649.0</v>
      </c>
      <c r="AF45" s="685"/>
      <c r="AG45" s="685"/>
      <c r="AH45" s="685"/>
      <c r="AI45" s="685"/>
      <c r="AJ45" s="685"/>
      <c r="AK45" s="685"/>
      <c r="AL45" s="685"/>
      <c r="AM45" s="685"/>
      <c r="AN45" s="685"/>
      <c r="AO45" s="685"/>
      <c r="AP45" s="685"/>
      <c r="AQ45" s="685"/>
      <c r="AR45" s="685"/>
      <c r="AS45" s="685"/>
      <c r="AT45" s="685"/>
      <c r="AU45" s="685"/>
      <c r="AV45" s="685"/>
      <c r="AW45" s="685"/>
      <c r="AX45" s="685"/>
      <c r="AY45" s="685"/>
      <c r="AZ45" s="685"/>
      <c r="BA45" s="685"/>
      <c r="BB45" s="685"/>
      <c r="BC45" s="685"/>
      <c r="BD45" s="685"/>
      <c r="BE45" s="685"/>
      <c r="BF45" s="685"/>
      <c r="BG45" s="685"/>
      <c r="BH45" s="685"/>
      <c r="BI45" s="685"/>
      <c r="BJ45" s="685"/>
      <c r="BK45" s="685"/>
    </row>
    <row r="46">
      <c r="A46" s="507" t="s">
        <v>1664</v>
      </c>
      <c r="B46" s="260" t="s">
        <v>4620</v>
      </c>
      <c r="C46" s="260" t="s">
        <v>4704</v>
      </c>
      <c r="D46" s="663" t="s">
        <v>3788</v>
      </c>
      <c r="E46" s="689">
        <v>44908.0</v>
      </c>
      <c r="F46" s="663" t="s">
        <v>4713</v>
      </c>
      <c r="G46" s="260" t="s">
        <v>4711</v>
      </c>
      <c r="H46" s="260" t="s">
        <v>4706</v>
      </c>
      <c r="I46" s="260" t="s">
        <v>3308</v>
      </c>
      <c r="J46" s="260">
        <v>58.0</v>
      </c>
      <c r="K46" s="260">
        <v>522.0</v>
      </c>
      <c r="L46" s="260">
        <v>5376.0</v>
      </c>
      <c r="M46" s="260">
        <v>336.0</v>
      </c>
      <c r="N46" s="260">
        <v>192.0</v>
      </c>
      <c r="O46" s="260" t="s">
        <v>166</v>
      </c>
      <c r="P46" s="260">
        <v>84.0</v>
      </c>
      <c r="Q46" s="260">
        <v>1500.0</v>
      </c>
      <c r="R46" s="260">
        <v>2394.0</v>
      </c>
      <c r="S46" s="260">
        <v>20.0</v>
      </c>
      <c r="T46" s="260">
        <v>20.0</v>
      </c>
      <c r="U46" s="260">
        <v>320.0</v>
      </c>
      <c r="V46" s="260">
        <f t="shared" si="1"/>
        <v>800</v>
      </c>
      <c r="W46" s="260" t="s">
        <v>4665</v>
      </c>
      <c r="X46" s="262">
        <f t="shared" si="2"/>
        <v>459.648</v>
      </c>
      <c r="Y46" s="262">
        <f t="shared" si="3"/>
        <v>804.384</v>
      </c>
      <c r="Z46" s="262">
        <v>51.61</v>
      </c>
      <c r="AA46" s="262">
        <f t="shared" si="5"/>
        <v>3.225625</v>
      </c>
      <c r="AB46" s="262">
        <f t="shared" si="6"/>
        <v>103.22</v>
      </c>
      <c r="AC46" s="260">
        <v>300.0</v>
      </c>
      <c r="AD46" s="260" t="s">
        <v>4628</v>
      </c>
      <c r="AE46" s="684">
        <v>899.0</v>
      </c>
      <c r="AF46" s="685"/>
      <c r="AG46" s="685"/>
      <c r="AH46" s="685"/>
      <c r="AI46" s="685"/>
      <c r="AJ46" s="685"/>
      <c r="AK46" s="685"/>
      <c r="AL46" s="685"/>
      <c r="AM46" s="685"/>
      <c r="AN46" s="685"/>
      <c r="AO46" s="685"/>
      <c r="AP46" s="685"/>
      <c r="AQ46" s="685"/>
      <c r="AR46" s="685"/>
      <c r="AS46" s="685"/>
      <c r="AT46" s="685"/>
      <c r="AU46" s="685"/>
      <c r="AV46" s="685"/>
      <c r="AW46" s="685"/>
      <c r="AX46" s="685"/>
      <c r="AY46" s="685"/>
      <c r="AZ46" s="685"/>
      <c r="BA46" s="685"/>
      <c r="BB46" s="685"/>
      <c r="BC46" s="685"/>
      <c r="BD46" s="685"/>
      <c r="BE46" s="685"/>
      <c r="BF46" s="685"/>
      <c r="BG46" s="685"/>
      <c r="BH46" s="685"/>
      <c r="BI46" s="685"/>
      <c r="BJ46" s="685"/>
      <c r="BK46" s="685"/>
    </row>
    <row r="47">
      <c r="A47" s="519" t="s">
        <v>1664</v>
      </c>
      <c r="B47" s="393" t="s">
        <v>4620</v>
      </c>
      <c r="C47" s="393" t="s">
        <v>4704</v>
      </c>
      <c r="D47" s="669" t="s">
        <v>3796</v>
      </c>
      <c r="E47" s="690">
        <v>44908.0</v>
      </c>
      <c r="F47" s="669" t="s">
        <v>4714</v>
      </c>
      <c r="G47" s="393" t="s">
        <v>4711</v>
      </c>
      <c r="H47" s="393" t="s">
        <v>4706</v>
      </c>
      <c r="I47" s="393" t="s">
        <v>3308</v>
      </c>
      <c r="J47" s="393">
        <v>58.0</v>
      </c>
      <c r="K47" s="393">
        <v>522.0</v>
      </c>
      <c r="L47" s="393">
        <v>6144.0</v>
      </c>
      <c r="M47" s="393">
        <v>384.0</v>
      </c>
      <c r="N47" s="393">
        <v>192.0</v>
      </c>
      <c r="O47" s="393" t="s">
        <v>166</v>
      </c>
      <c r="P47" s="393">
        <v>96.0</v>
      </c>
      <c r="Q47" s="393">
        <v>1855.0</v>
      </c>
      <c r="R47" s="393">
        <v>2499.0</v>
      </c>
      <c r="S47" s="393">
        <v>24.0</v>
      </c>
      <c r="T47" s="393">
        <v>20.0</v>
      </c>
      <c r="U47" s="393">
        <v>384.0</v>
      </c>
      <c r="V47" s="393">
        <f t="shared" si="1"/>
        <v>960</v>
      </c>
      <c r="W47" s="393" t="s">
        <v>4665</v>
      </c>
      <c r="X47" s="672">
        <f t="shared" si="2"/>
        <v>479.808</v>
      </c>
      <c r="Y47" s="672">
        <f t="shared" si="3"/>
        <v>959.616</v>
      </c>
      <c r="Z47" s="672">
        <v>61.44</v>
      </c>
      <c r="AA47" s="672">
        <f t="shared" si="5"/>
        <v>3.84</v>
      </c>
      <c r="AB47" s="672">
        <f t="shared" si="6"/>
        <v>122.88</v>
      </c>
      <c r="AC47" s="393">
        <v>355.0</v>
      </c>
      <c r="AD47" s="393" t="s">
        <v>4628</v>
      </c>
      <c r="AE47" s="688">
        <v>999.0</v>
      </c>
      <c r="AF47" s="685"/>
      <c r="AG47" s="685"/>
      <c r="AH47" s="685"/>
      <c r="AI47" s="685"/>
      <c r="AJ47" s="685"/>
      <c r="AK47" s="685"/>
      <c r="AL47" s="685"/>
      <c r="AM47" s="685"/>
      <c r="AN47" s="685"/>
      <c r="AO47" s="685"/>
      <c r="AP47" s="685"/>
      <c r="AQ47" s="685"/>
      <c r="AR47" s="685"/>
      <c r="AS47" s="685"/>
      <c r="AT47" s="685"/>
      <c r="AU47" s="685"/>
      <c r="AV47" s="685"/>
      <c r="AW47" s="685"/>
      <c r="AX47" s="685"/>
      <c r="AY47" s="685"/>
      <c r="AZ47" s="685"/>
      <c r="BA47" s="685"/>
      <c r="BB47" s="685"/>
      <c r="BC47" s="685"/>
      <c r="BD47" s="685"/>
      <c r="BE47" s="685"/>
      <c r="BF47" s="685"/>
      <c r="BG47" s="685"/>
      <c r="BH47" s="685"/>
      <c r="BI47" s="685"/>
      <c r="BJ47" s="685"/>
      <c r="BK47" s="685"/>
    </row>
    <row r="48">
      <c r="A48" s="507" t="s">
        <v>1664</v>
      </c>
      <c r="B48" s="260" t="s">
        <v>4650</v>
      </c>
      <c r="C48" s="260" t="s">
        <v>4673</v>
      </c>
      <c r="D48" s="663" t="s">
        <v>4715</v>
      </c>
      <c r="E48" s="260" t="s">
        <v>4716</v>
      </c>
      <c r="F48" s="663" t="s">
        <v>4717</v>
      </c>
      <c r="G48" s="260" t="s">
        <v>4711</v>
      </c>
      <c r="H48" s="260" t="s">
        <v>4706</v>
      </c>
      <c r="I48" s="260" t="s">
        <v>3308</v>
      </c>
      <c r="J48" s="260">
        <v>58.0</v>
      </c>
      <c r="K48" s="260">
        <v>522.0</v>
      </c>
      <c r="L48" s="260">
        <v>4480.0</v>
      </c>
      <c r="M48" s="260">
        <v>280.0</v>
      </c>
      <c r="N48" s="260">
        <v>128.0</v>
      </c>
      <c r="O48" s="260" t="s">
        <v>166</v>
      </c>
      <c r="P48" s="260">
        <v>70.0</v>
      </c>
      <c r="Q48" s="260">
        <v>1855.0</v>
      </c>
      <c r="R48" s="260">
        <v>2499.0</v>
      </c>
      <c r="S48" s="260">
        <v>32.0</v>
      </c>
      <c r="T48" s="260">
        <v>18.0</v>
      </c>
      <c r="U48" s="260">
        <v>256.0</v>
      </c>
      <c r="V48" s="260">
        <f t="shared" si="1"/>
        <v>576</v>
      </c>
      <c r="W48" s="260" t="s">
        <v>4665</v>
      </c>
      <c r="X48" s="262">
        <f t="shared" si="2"/>
        <v>319.872</v>
      </c>
      <c r="Y48" s="262">
        <f t="shared" si="3"/>
        <v>699.72</v>
      </c>
      <c r="Z48" s="262">
        <v>44.78</v>
      </c>
      <c r="AA48" s="262">
        <f t="shared" si="5"/>
        <v>2.79875</v>
      </c>
      <c r="AB48" s="262">
        <f t="shared" si="6"/>
        <v>89.56</v>
      </c>
      <c r="AC48" s="260">
        <v>260.0</v>
      </c>
      <c r="AD48" s="260" t="s">
        <v>4628</v>
      </c>
      <c r="AE48" s="684">
        <v>2499.0</v>
      </c>
      <c r="AF48" s="685"/>
      <c r="AG48" s="685"/>
      <c r="AH48" s="685"/>
      <c r="AI48" s="685"/>
      <c r="AJ48" s="685"/>
      <c r="AK48" s="685"/>
      <c r="AL48" s="685"/>
      <c r="AM48" s="685"/>
      <c r="AN48" s="685"/>
      <c r="AO48" s="685"/>
      <c r="AP48" s="685"/>
      <c r="AQ48" s="685"/>
      <c r="AR48" s="685"/>
      <c r="AS48" s="685"/>
      <c r="AT48" s="685"/>
      <c r="AU48" s="685"/>
      <c r="AV48" s="685"/>
      <c r="AW48" s="685"/>
      <c r="AX48" s="685"/>
      <c r="AY48" s="685"/>
      <c r="AZ48" s="685"/>
      <c r="BA48" s="685"/>
      <c r="BB48" s="685"/>
      <c r="BC48" s="685"/>
      <c r="BD48" s="685"/>
      <c r="BE48" s="685"/>
      <c r="BF48" s="685"/>
      <c r="BG48" s="685"/>
      <c r="BH48" s="685"/>
      <c r="BI48" s="685"/>
      <c r="BJ48" s="685"/>
      <c r="BK48" s="685"/>
    </row>
    <row r="49">
      <c r="A49" s="519" t="s">
        <v>1664</v>
      </c>
      <c r="B49" s="393" t="s">
        <v>4650</v>
      </c>
      <c r="C49" s="393" t="s">
        <v>4673</v>
      </c>
      <c r="D49" s="669" t="s">
        <v>4718</v>
      </c>
      <c r="E49" s="393" t="s">
        <v>4716</v>
      </c>
      <c r="F49" s="669" t="s">
        <v>4717</v>
      </c>
      <c r="G49" s="393" t="s">
        <v>4711</v>
      </c>
      <c r="H49" s="393" t="s">
        <v>4706</v>
      </c>
      <c r="I49" s="393" t="s">
        <v>3308</v>
      </c>
      <c r="J49" s="393">
        <v>58.0</v>
      </c>
      <c r="K49" s="393">
        <v>522.0</v>
      </c>
      <c r="L49" s="393">
        <v>6144.0</v>
      </c>
      <c r="M49" s="393">
        <v>384.0</v>
      </c>
      <c r="N49" s="393">
        <v>192.0</v>
      </c>
      <c r="O49" s="393" t="s">
        <v>166</v>
      </c>
      <c r="P49" s="393">
        <v>96.0</v>
      </c>
      <c r="Q49" s="393">
        <v>1855.0</v>
      </c>
      <c r="R49" s="393">
        <v>2495.0</v>
      </c>
      <c r="S49" s="393">
        <v>48.0</v>
      </c>
      <c r="T49" s="393">
        <v>18.0</v>
      </c>
      <c r="U49" s="393">
        <v>384.0</v>
      </c>
      <c r="V49" s="393">
        <f t="shared" si="1"/>
        <v>864</v>
      </c>
      <c r="W49" s="393" t="s">
        <v>4665</v>
      </c>
      <c r="X49" s="672">
        <f t="shared" si="2"/>
        <v>479.04</v>
      </c>
      <c r="Y49" s="672">
        <f t="shared" si="3"/>
        <v>958.08</v>
      </c>
      <c r="Z49" s="672">
        <v>61.32</v>
      </c>
      <c r="AA49" s="672">
        <f t="shared" si="5"/>
        <v>3.8325</v>
      </c>
      <c r="AB49" s="672">
        <f t="shared" si="6"/>
        <v>122.64</v>
      </c>
      <c r="AC49" s="393">
        <v>295.0</v>
      </c>
      <c r="AD49" s="393" t="s">
        <v>4628</v>
      </c>
      <c r="AE49" s="688">
        <v>3999.0</v>
      </c>
      <c r="AF49" s="685"/>
      <c r="AG49" s="685"/>
      <c r="AH49" s="685"/>
      <c r="AI49" s="685"/>
      <c r="AJ49" s="685"/>
      <c r="AK49" s="685"/>
      <c r="AL49" s="685"/>
      <c r="AM49" s="685"/>
      <c r="AN49" s="685"/>
      <c r="AO49" s="685"/>
      <c r="AP49" s="685"/>
      <c r="AQ49" s="685"/>
      <c r="AR49" s="685"/>
      <c r="AS49" s="685"/>
      <c r="AT49" s="685"/>
      <c r="AU49" s="685"/>
      <c r="AV49" s="685"/>
      <c r="AW49" s="685"/>
      <c r="AX49" s="685"/>
      <c r="AY49" s="685"/>
      <c r="AZ49" s="685"/>
      <c r="BA49" s="685"/>
      <c r="BB49" s="685"/>
      <c r="BC49" s="685"/>
      <c r="BD49" s="685"/>
      <c r="BE49" s="685"/>
      <c r="BF49" s="685"/>
      <c r="BG49" s="685"/>
      <c r="BH49" s="685"/>
      <c r="BI49" s="685"/>
      <c r="BJ49" s="685"/>
      <c r="BK49" s="685"/>
    </row>
    <row r="50">
      <c r="A50" s="507" t="s">
        <v>1688</v>
      </c>
      <c r="B50" s="260" t="s">
        <v>4719</v>
      </c>
      <c r="C50" s="260" t="s">
        <v>4720</v>
      </c>
      <c r="D50" s="663" t="s">
        <v>4721</v>
      </c>
      <c r="E50" s="683" t="s">
        <v>170</v>
      </c>
      <c r="F50" s="663" t="s">
        <v>4722</v>
      </c>
      <c r="G50" s="260" t="s">
        <v>4681</v>
      </c>
      <c r="H50" s="260" t="s">
        <v>4723</v>
      </c>
      <c r="I50" s="260" t="s">
        <v>4664</v>
      </c>
      <c r="J50" s="260">
        <v>7.2</v>
      </c>
      <c r="K50" s="260">
        <v>157.0</v>
      </c>
      <c r="L50" s="260">
        <v>768.0</v>
      </c>
      <c r="M50" s="260">
        <v>32.0</v>
      </c>
      <c r="N50" s="260">
        <v>16.0</v>
      </c>
      <c r="O50" s="260" t="s">
        <v>166</v>
      </c>
      <c r="P50" s="260">
        <v>6.0</v>
      </c>
      <c r="Q50" s="260">
        <v>2000.0</v>
      </c>
      <c r="R50" s="260">
        <v>2000.0</v>
      </c>
      <c r="S50" s="260">
        <v>4.0</v>
      </c>
      <c r="T50" s="260">
        <v>15.5</v>
      </c>
      <c r="U50" s="260">
        <v>64.0</v>
      </c>
      <c r="V50" s="260">
        <f t="shared" si="1"/>
        <v>124</v>
      </c>
      <c r="W50" s="260" t="s">
        <v>4665</v>
      </c>
      <c r="X50" s="262">
        <f t="shared" si="2"/>
        <v>32</v>
      </c>
      <c r="Y50" s="262">
        <f t="shared" si="3"/>
        <v>64</v>
      </c>
      <c r="Z50" s="262">
        <v>3.072</v>
      </c>
      <c r="AA50" s="262">
        <f t="shared" ref="AA50:AA57" si="7">Z50/4</f>
        <v>0.768</v>
      </c>
      <c r="AB50" s="262">
        <f t="shared" si="6"/>
        <v>6.144</v>
      </c>
      <c r="AC50" s="260">
        <v>75.0</v>
      </c>
      <c r="AD50" s="260" t="s">
        <v>4628</v>
      </c>
      <c r="AE50" s="684" t="s">
        <v>170</v>
      </c>
      <c r="AF50" s="685"/>
      <c r="AG50" s="685"/>
      <c r="AH50" s="685"/>
      <c r="AI50" s="685"/>
      <c r="AJ50" s="685"/>
      <c r="AK50" s="685"/>
      <c r="AL50" s="685"/>
      <c r="AM50" s="685"/>
      <c r="AN50" s="685"/>
      <c r="AO50" s="685"/>
      <c r="AP50" s="685"/>
      <c r="AQ50" s="685"/>
      <c r="AR50" s="685"/>
      <c r="AS50" s="685"/>
      <c r="AT50" s="685"/>
      <c r="AU50" s="685"/>
      <c r="AV50" s="685"/>
      <c r="AW50" s="685"/>
      <c r="AX50" s="685"/>
      <c r="AY50" s="685"/>
      <c r="AZ50" s="685"/>
      <c r="BA50" s="685"/>
      <c r="BB50" s="685"/>
      <c r="BC50" s="685"/>
      <c r="BD50" s="685"/>
      <c r="BE50" s="685"/>
      <c r="BF50" s="685"/>
      <c r="BG50" s="685"/>
      <c r="BH50" s="685"/>
      <c r="BI50" s="685"/>
      <c r="BJ50" s="685"/>
      <c r="BK50" s="685"/>
    </row>
    <row r="51">
      <c r="A51" s="507" t="s">
        <v>1688</v>
      </c>
      <c r="B51" s="260" t="s">
        <v>4719</v>
      </c>
      <c r="C51" s="260" t="s">
        <v>4720</v>
      </c>
      <c r="D51" s="663" t="s">
        <v>4724</v>
      </c>
      <c r="E51" s="683">
        <v>44727.0</v>
      </c>
      <c r="F51" s="663" t="s">
        <v>4722</v>
      </c>
      <c r="G51" s="260" t="s">
        <v>4681</v>
      </c>
      <c r="H51" s="260" t="s">
        <v>4723</v>
      </c>
      <c r="I51" s="260" t="s">
        <v>4664</v>
      </c>
      <c r="J51" s="260">
        <v>7.2</v>
      </c>
      <c r="K51" s="260">
        <v>157.0</v>
      </c>
      <c r="L51" s="260">
        <v>1024.0</v>
      </c>
      <c r="M51" s="260">
        <v>64.0</v>
      </c>
      <c r="N51" s="260">
        <v>32.0</v>
      </c>
      <c r="O51" s="260" t="s">
        <v>166</v>
      </c>
      <c r="P51" s="260">
        <v>8.0</v>
      </c>
      <c r="Q51" s="260">
        <v>300.0</v>
      </c>
      <c r="R51" s="260">
        <v>2000.0</v>
      </c>
      <c r="S51" s="260">
        <v>6.0</v>
      </c>
      <c r="T51" s="260">
        <v>15.5</v>
      </c>
      <c r="U51" s="260">
        <v>96.0</v>
      </c>
      <c r="V51" s="260">
        <f t="shared" si="1"/>
        <v>186</v>
      </c>
      <c r="W51" s="260" t="s">
        <v>4665</v>
      </c>
      <c r="X51" s="262">
        <f t="shared" si="2"/>
        <v>64</v>
      </c>
      <c r="Y51" s="262">
        <f t="shared" si="3"/>
        <v>128</v>
      </c>
      <c r="Z51" s="262">
        <v>4.198</v>
      </c>
      <c r="AA51" s="262">
        <f t="shared" si="7"/>
        <v>1.0495</v>
      </c>
      <c r="AB51" s="262">
        <f t="shared" si="6"/>
        <v>8.396</v>
      </c>
      <c r="AC51" s="260">
        <v>75.0</v>
      </c>
      <c r="AD51" s="260" t="s">
        <v>4628</v>
      </c>
      <c r="AE51" s="684">
        <v>140.0</v>
      </c>
      <c r="AF51" s="685"/>
      <c r="AG51" s="685"/>
      <c r="AH51" s="685"/>
      <c r="AI51" s="685"/>
      <c r="AJ51" s="685"/>
      <c r="AK51" s="685"/>
      <c r="AL51" s="685"/>
      <c r="AM51" s="685"/>
      <c r="AN51" s="685"/>
      <c r="AO51" s="685"/>
      <c r="AP51" s="685"/>
      <c r="AQ51" s="685"/>
      <c r="AR51" s="685"/>
      <c r="AS51" s="685"/>
      <c r="AT51" s="685"/>
      <c r="AU51" s="685"/>
      <c r="AV51" s="685"/>
      <c r="AW51" s="685"/>
      <c r="AX51" s="685"/>
      <c r="AY51" s="685"/>
      <c r="AZ51" s="685"/>
      <c r="BA51" s="685"/>
      <c r="BB51" s="685"/>
      <c r="BC51" s="685"/>
      <c r="BD51" s="685"/>
      <c r="BE51" s="685"/>
      <c r="BF51" s="685"/>
      <c r="BG51" s="685"/>
      <c r="BH51" s="685"/>
      <c r="BI51" s="685"/>
      <c r="BJ51" s="685"/>
      <c r="BK51" s="685"/>
    </row>
    <row r="52">
      <c r="A52" s="507" t="s">
        <v>1688</v>
      </c>
      <c r="B52" s="260" t="s">
        <v>4719</v>
      </c>
      <c r="C52" s="260" t="s">
        <v>4720</v>
      </c>
      <c r="D52" s="663" t="s">
        <v>4725</v>
      </c>
      <c r="E52" s="260" t="s">
        <v>170</v>
      </c>
      <c r="F52" s="663" t="s">
        <v>4726</v>
      </c>
      <c r="G52" s="260" t="s">
        <v>4681</v>
      </c>
      <c r="H52" s="260" t="s">
        <v>4723</v>
      </c>
      <c r="I52" s="260" t="s">
        <v>3308</v>
      </c>
      <c r="J52" s="260">
        <v>21.7</v>
      </c>
      <c r="K52" s="260">
        <v>406.0</v>
      </c>
      <c r="L52" s="260">
        <v>3072.0</v>
      </c>
      <c r="M52" s="260">
        <v>192.0</v>
      </c>
      <c r="N52" s="260">
        <v>96.0</v>
      </c>
      <c r="O52" s="260" t="s">
        <v>166</v>
      </c>
      <c r="P52" s="260">
        <v>24.0</v>
      </c>
      <c r="Q52" s="260">
        <v>1700.0</v>
      </c>
      <c r="R52" s="260">
        <v>1700.0</v>
      </c>
      <c r="S52" s="260">
        <v>8.0</v>
      </c>
      <c r="T52" s="260">
        <v>16.0</v>
      </c>
      <c r="U52" s="260">
        <v>256.0</v>
      </c>
      <c r="V52" s="260">
        <f t="shared" si="1"/>
        <v>512</v>
      </c>
      <c r="W52" s="260" t="s">
        <v>4665</v>
      </c>
      <c r="X52" s="262">
        <f t="shared" si="2"/>
        <v>163.2</v>
      </c>
      <c r="Y52" s="262">
        <f t="shared" si="3"/>
        <v>326.4</v>
      </c>
      <c r="Z52" s="262">
        <v>12.9</v>
      </c>
      <c r="AA52" s="262">
        <f t="shared" si="7"/>
        <v>3.225</v>
      </c>
      <c r="AB52" s="262">
        <f t="shared" si="6"/>
        <v>25.8</v>
      </c>
      <c r="AC52" s="260">
        <v>175.0</v>
      </c>
      <c r="AD52" s="260" t="s">
        <v>4628</v>
      </c>
      <c r="AE52" s="684" t="s">
        <v>170</v>
      </c>
      <c r="AF52" s="685"/>
      <c r="AG52" s="685"/>
      <c r="AH52" s="685"/>
      <c r="AI52" s="685"/>
      <c r="AJ52" s="685"/>
      <c r="AK52" s="685"/>
      <c r="AL52" s="685"/>
      <c r="AM52" s="685"/>
      <c r="AN52" s="685"/>
      <c r="AO52" s="685"/>
      <c r="AP52" s="685"/>
      <c r="AQ52" s="685"/>
      <c r="AR52" s="685"/>
      <c r="AS52" s="685"/>
      <c r="AT52" s="685"/>
      <c r="AU52" s="685"/>
      <c r="AV52" s="685"/>
      <c r="AW52" s="685"/>
      <c r="AX52" s="685"/>
      <c r="AY52" s="685"/>
      <c r="AZ52" s="685"/>
      <c r="BA52" s="685"/>
      <c r="BB52" s="685"/>
      <c r="BC52" s="685"/>
      <c r="BD52" s="685"/>
      <c r="BE52" s="685"/>
      <c r="BF52" s="685"/>
      <c r="BG52" s="685"/>
      <c r="BH52" s="685"/>
      <c r="BI52" s="685"/>
      <c r="BJ52" s="685"/>
      <c r="BK52" s="685"/>
    </row>
    <row r="53">
      <c r="A53" s="507" t="s">
        <v>1688</v>
      </c>
      <c r="B53" s="260" t="s">
        <v>4719</v>
      </c>
      <c r="C53" s="260" t="s">
        <v>4720</v>
      </c>
      <c r="D53" s="663" t="s">
        <v>4727</v>
      </c>
      <c r="E53" s="683">
        <v>44846.0</v>
      </c>
      <c r="F53" s="663" t="s">
        <v>4726</v>
      </c>
      <c r="G53" s="260" t="s">
        <v>4681</v>
      </c>
      <c r="H53" s="260" t="s">
        <v>4723</v>
      </c>
      <c r="I53" s="260" t="s">
        <v>3308</v>
      </c>
      <c r="J53" s="260">
        <v>21.7</v>
      </c>
      <c r="K53" s="260">
        <v>406.0</v>
      </c>
      <c r="L53" s="260">
        <v>3584.0</v>
      </c>
      <c r="M53" s="260">
        <v>224.0</v>
      </c>
      <c r="N53" s="260">
        <v>112.0</v>
      </c>
      <c r="O53" s="260" t="s">
        <v>166</v>
      </c>
      <c r="P53" s="260">
        <v>28.0</v>
      </c>
      <c r="Q53" s="260">
        <v>2050.0</v>
      </c>
      <c r="R53" s="260">
        <v>2050.0</v>
      </c>
      <c r="S53" s="260">
        <v>8.0</v>
      </c>
      <c r="T53" s="260">
        <v>16.0</v>
      </c>
      <c r="U53" s="260">
        <v>256.0</v>
      </c>
      <c r="V53" s="260">
        <f t="shared" si="1"/>
        <v>512</v>
      </c>
      <c r="W53" s="260" t="s">
        <v>4665</v>
      </c>
      <c r="X53" s="262">
        <f t="shared" si="2"/>
        <v>229.6</v>
      </c>
      <c r="Y53" s="262">
        <f t="shared" si="3"/>
        <v>459.2</v>
      </c>
      <c r="Z53" s="262">
        <v>14.69</v>
      </c>
      <c r="AA53" s="262">
        <f t="shared" si="7"/>
        <v>3.6725</v>
      </c>
      <c r="AB53" s="262">
        <f t="shared" si="6"/>
        <v>29.38</v>
      </c>
      <c r="AC53" s="260">
        <v>225.0</v>
      </c>
      <c r="AD53" s="260" t="s">
        <v>4628</v>
      </c>
      <c r="AE53" s="684">
        <v>289.0</v>
      </c>
      <c r="AF53" s="685"/>
      <c r="AG53" s="685"/>
      <c r="AH53" s="685"/>
      <c r="AI53" s="685"/>
      <c r="AJ53" s="685"/>
      <c r="AK53" s="685"/>
      <c r="AL53" s="685"/>
      <c r="AM53" s="685"/>
      <c r="AN53" s="685"/>
      <c r="AO53" s="685"/>
      <c r="AP53" s="685"/>
      <c r="AQ53" s="685"/>
      <c r="AR53" s="685"/>
      <c r="AS53" s="685"/>
      <c r="AT53" s="685"/>
      <c r="AU53" s="685"/>
      <c r="AV53" s="685"/>
      <c r="AW53" s="685"/>
      <c r="AX53" s="685"/>
      <c r="AY53" s="685"/>
      <c r="AZ53" s="685"/>
      <c r="BA53" s="685"/>
      <c r="BB53" s="685"/>
      <c r="BC53" s="685"/>
      <c r="BD53" s="685"/>
      <c r="BE53" s="685"/>
      <c r="BF53" s="685"/>
      <c r="BG53" s="685"/>
      <c r="BH53" s="685"/>
      <c r="BI53" s="685"/>
      <c r="BJ53" s="685"/>
      <c r="BK53" s="685"/>
    </row>
    <row r="54">
      <c r="A54" s="507" t="s">
        <v>1688</v>
      </c>
      <c r="B54" s="260" t="s">
        <v>4719</v>
      </c>
      <c r="C54" s="260" t="s">
        <v>4720</v>
      </c>
      <c r="D54" s="663" t="s">
        <v>4728</v>
      </c>
      <c r="E54" s="683">
        <v>44846.0</v>
      </c>
      <c r="F54" s="663" t="s">
        <v>4726</v>
      </c>
      <c r="G54" s="260" t="s">
        <v>4681</v>
      </c>
      <c r="H54" s="260" t="s">
        <v>4723</v>
      </c>
      <c r="I54" s="260" t="s">
        <v>3308</v>
      </c>
      <c r="J54" s="260">
        <v>21.7</v>
      </c>
      <c r="K54" s="260">
        <v>406.0</v>
      </c>
      <c r="L54" s="260">
        <v>4096.0</v>
      </c>
      <c r="M54" s="260">
        <v>256.0</v>
      </c>
      <c r="N54" s="260">
        <v>128.0</v>
      </c>
      <c r="O54" s="260" t="s">
        <v>166</v>
      </c>
      <c r="P54" s="260">
        <v>32.0</v>
      </c>
      <c r="Q54" s="260">
        <v>2100.0</v>
      </c>
      <c r="R54" s="260">
        <v>2100.0</v>
      </c>
      <c r="S54" s="260">
        <v>8.0</v>
      </c>
      <c r="T54" s="260">
        <v>16.0</v>
      </c>
      <c r="U54" s="260">
        <v>256.0</v>
      </c>
      <c r="V54" s="260">
        <f t="shared" si="1"/>
        <v>512</v>
      </c>
      <c r="W54" s="260" t="s">
        <v>4665</v>
      </c>
      <c r="X54" s="262">
        <f t="shared" si="2"/>
        <v>268.8</v>
      </c>
      <c r="Y54" s="262">
        <f t="shared" si="3"/>
        <v>537.6</v>
      </c>
      <c r="Z54" s="262">
        <v>17.2</v>
      </c>
      <c r="AA54" s="262">
        <f t="shared" si="7"/>
        <v>4.3</v>
      </c>
      <c r="AB54" s="262">
        <f t="shared" si="6"/>
        <v>34.4</v>
      </c>
      <c r="AC54" s="260">
        <v>225.0</v>
      </c>
      <c r="AD54" s="260" t="s">
        <v>4628</v>
      </c>
      <c r="AE54" s="684">
        <v>329.0</v>
      </c>
      <c r="AF54" s="685"/>
      <c r="AG54" s="685"/>
      <c r="AH54" s="685"/>
      <c r="AI54" s="685"/>
      <c r="AJ54" s="685"/>
      <c r="AK54" s="685"/>
      <c r="AL54" s="685"/>
      <c r="AM54" s="685"/>
      <c r="AN54" s="685"/>
      <c r="AO54" s="685"/>
      <c r="AP54" s="685"/>
      <c r="AQ54" s="685"/>
      <c r="AR54" s="685"/>
      <c r="AS54" s="685"/>
      <c r="AT54" s="685"/>
      <c r="AU54" s="685"/>
      <c r="AV54" s="685"/>
      <c r="AW54" s="685"/>
      <c r="AX54" s="685"/>
      <c r="AY54" s="685"/>
      <c r="AZ54" s="685"/>
      <c r="BA54" s="685"/>
      <c r="BB54" s="685"/>
      <c r="BC54" s="685"/>
      <c r="BD54" s="685"/>
      <c r="BE54" s="685"/>
      <c r="BF54" s="685"/>
      <c r="BG54" s="685"/>
      <c r="BH54" s="685"/>
      <c r="BI54" s="685"/>
      <c r="BJ54" s="685"/>
      <c r="BK54" s="685"/>
    </row>
    <row r="55">
      <c r="A55" s="519" t="s">
        <v>1688</v>
      </c>
      <c r="B55" s="393" t="s">
        <v>4719</v>
      </c>
      <c r="C55" s="393" t="s">
        <v>4720</v>
      </c>
      <c r="D55" s="669" t="s">
        <v>4729</v>
      </c>
      <c r="E55" s="687">
        <v>44846.0</v>
      </c>
      <c r="F55" s="669" t="s">
        <v>4726</v>
      </c>
      <c r="G55" s="393" t="s">
        <v>4681</v>
      </c>
      <c r="H55" s="393" t="s">
        <v>4723</v>
      </c>
      <c r="I55" s="393" t="s">
        <v>3308</v>
      </c>
      <c r="J55" s="393">
        <v>21.7</v>
      </c>
      <c r="K55" s="393">
        <v>406.0</v>
      </c>
      <c r="L55" s="393">
        <v>4096.0</v>
      </c>
      <c r="M55" s="393">
        <v>256.0</v>
      </c>
      <c r="N55" s="393">
        <v>128.0</v>
      </c>
      <c r="O55" s="393" t="s">
        <v>166</v>
      </c>
      <c r="P55" s="393">
        <v>32.0</v>
      </c>
      <c r="Q55" s="393">
        <v>2100.0</v>
      </c>
      <c r="R55" s="393">
        <v>2100.0</v>
      </c>
      <c r="S55" s="393">
        <v>16.0</v>
      </c>
      <c r="T55" s="393">
        <v>17.5</v>
      </c>
      <c r="U55" s="393">
        <v>256.0</v>
      </c>
      <c r="V55" s="393">
        <f t="shared" si="1"/>
        <v>560</v>
      </c>
      <c r="W55" s="393" t="s">
        <v>4665</v>
      </c>
      <c r="X55" s="672">
        <f t="shared" si="2"/>
        <v>268.8</v>
      </c>
      <c r="Y55" s="672">
        <f t="shared" si="3"/>
        <v>537.6</v>
      </c>
      <c r="Z55" s="672">
        <v>17.2</v>
      </c>
      <c r="AA55" s="672">
        <f t="shared" si="7"/>
        <v>4.3</v>
      </c>
      <c r="AB55" s="672">
        <f t="shared" si="6"/>
        <v>34.4</v>
      </c>
      <c r="AC55" s="393">
        <v>225.0</v>
      </c>
      <c r="AD55" s="393" t="s">
        <v>4628</v>
      </c>
      <c r="AE55" s="688">
        <v>349.0</v>
      </c>
      <c r="AF55" s="685"/>
      <c r="AG55" s="685"/>
      <c r="AH55" s="685"/>
      <c r="AI55" s="685"/>
      <c r="AJ55" s="685"/>
      <c r="AK55" s="685"/>
      <c r="AL55" s="685"/>
      <c r="AM55" s="685"/>
      <c r="AN55" s="685"/>
      <c r="AO55" s="685"/>
      <c r="AP55" s="685"/>
      <c r="AQ55" s="685"/>
      <c r="AR55" s="685"/>
      <c r="AS55" s="685"/>
      <c r="AT55" s="685"/>
      <c r="AU55" s="685"/>
      <c r="AV55" s="685"/>
      <c r="AW55" s="685"/>
      <c r="AX55" s="685"/>
      <c r="AY55" s="685"/>
      <c r="AZ55" s="685"/>
      <c r="BA55" s="685"/>
      <c r="BB55" s="685"/>
      <c r="BC55" s="685"/>
      <c r="BD55" s="685"/>
      <c r="BE55" s="685"/>
      <c r="BF55" s="685"/>
      <c r="BG55" s="685"/>
      <c r="BH55" s="685"/>
      <c r="BI55" s="685"/>
      <c r="BJ55" s="685"/>
      <c r="BK55" s="685"/>
    </row>
    <row r="56">
      <c r="A56" s="507" t="s">
        <v>1688</v>
      </c>
      <c r="B56" s="260" t="s">
        <v>4730</v>
      </c>
      <c r="C56" s="260" t="s">
        <v>4720</v>
      </c>
      <c r="D56" s="663" t="s">
        <v>2235</v>
      </c>
      <c r="E56" s="683">
        <v>44781.0</v>
      </c>
      <c r="F56" s="663" t="s">
        <v>4722</v>
      </c>
      <c r="G56" s="260" t="s">
        <v>4681</v>
      </c>
      <c r="H56" s="260" t="s">
        <v>4723</v>
      </c>
      <c r="I56" s="260" t="s">
        <v>4664</v>
      </c>
      <c r="J56" s="260">
        <v>7.2</v>
      </c>
      <c r="K56" s="260">
        <v>157.0</v>
      </c>
      <c r="L56" s="260">
        <v>1024.0</v>
      </c>
      <c r="M56" s="260">
        <v>64.0</v>
      </c>
      <c r="N56" s="260">
        <v>32.0</v>
      </c>
      <c r="O56" s="260" t="s">
        <v>166</v>
      </c>
      <c r="P56" s="260">
        <v>8.0</v>
      </c>
      <c r="Q56" s="260">
        <v>2000.0</v>
      </c>
      <c r="R56" s="260">
        <v>2000.0</v>
      </c>
      <c r="S56" s="260">
        <v>6.0</v>
      </c>
      <c r="T56" s="260">
        <v>16.0</v>
      </c>
      <c r="U56" s="260">
        <v>96.0</v>
      </c>
      <c r="V56" s="260">
        <f t="shared" si="1"/>
        <v>192</v>
      </c>
      <c r="W56" s="260" t="s">
        <v>4665</v>
      </c>
      <c r="X56" s="262">
        <f t="shared" si="2"/>
        <v>64</v>
      </c>
      <c r="Y56" s="262">
        <f t="shared" si="3"/>
        <v>128</v>
      </c>
      <c r="Z56" s="262">
        <v>3.482</v>
      </c>
      <c r="AA56" s="262">
        <f t="shared" si="7"/>
        <v>0.8705</v>
      </c>
      <c r="AB56" s="262">
        <f t="shared" si="6"/>
        <v>6.964</v>
      </c>
      <c r="AC56" s="260">
        <v>50.0</v>
      </c>
      <c r="AD56" s="260" t="s">
        <v>4628</v>
      </c>
      <c r="AE56" s="684" t="s">
        <v>170</v>
      </c>
      <c r="AF56" s="685"/>
      <c r="AG56" s="685"/>
      <c r="AH56" s="685"/>
      <c r="AI56" s="685"/>
      <c r="AJ56" s="685"/>
      <c r="AK56" s="685"/>
      <c r="AL56" s="685"/>
      <c r="AM56" s="685"/>
      <c r="AN56" s="685"/>
      <c r="AO56" s="685"/>
      <c r="AP56" s="685"/>
      <c r="AQ56" s="685"/>
      <c r="AR56" s="685"/>
      <c r="AS56" s="685"/>
      <c r="AT56" s="685"/>
      <c r="AU56" s="685"/>
      <c r="AV56" s="685"/>
      <c r="AW56" s="685"/>
      <c r="AX56" s="685"/>
      <c r="AY56" s="685"/>
      <c r="AZ56" s="685"/>
      <c r="BA56" s="685"/>
      <c r="BB56" s="685"/>
      <c r="BC56" s="685"/>
      <c r="BD56" s="685"/>
      <c r="BE56" s="685"/>
      <c r="BF56" s="685"/>
      <c r="BG56" s="685"/>
      <c r="BH56" s="685"/>
      <c r="BI56" s="685"/>
      <c r="BJ56" s="685"/>
      <c r="BK56" s="685"/>
    </row>
    <row r="57">
      <c r="A57" s="519" t="s">
        <v>1688</v>
      </c>
      <c r="B57" s="393" t="s">
        <v>4730</v>
      </c>
      <c r="C57" s="393" t="s">
        <v>4720</v>
      </c>
      <c r="D57" s="669" t="s">
        <v>4731</v>
      </c>
      <c r="E57" s="687">
        <v>44781.0</v>
      </c>
      <c r="F57" s="669" t="s">
        <v>4722</v>
      </c>
      <c r="G57" s="393" t="s">
        <v>4681</v>
      </c>
      <c r="H57" s="393" t="s">
        <v>4723</v>
      </c>
      <c r="I57" s="393" t="s">
        <v>4664</v>
      </c>
      <c r="J57" s="393">
        <v>7.2</v>
      </c>
      <c r="K57" s="393">
        <v>157.0</v>
      </c>
      <c r="L57" s="393">
        <v>1024.0</v>
      </c>
      <c r="M57" s="393">
        <v>64.0</v>
      </c>
      <c r="N57" s="393">
        <v>32.0</v>
      </c>
      <c r="O57" s="393" t="s">
        <v>166</v>
      </c>
      <c r="P57" s="393">
        <v>8.0</v>
      </c>
      <c r="Q57" s="393">
        <v>2000.0</v>
      </c>
      <c r="R57" s="393">
        <v>2000.0</v>
      </c>
      <c r="S57" s="393">
        <v>6.0</v>
      </c>
      <c r="T57" s="393">
        <v>16.0</v>
      </c>
      <c r="U57" s="393">
        <v>96.0</v>
      </c>
      <c r="V57" s="393">
        <f t="shared" si="1"/>
        <v>192</v>
      </c>
      <c r="W57" s="393" t="s">
        <v>4665</v>
      </c>
      <c r="X57" s="672">
        <f t="shared" si="2"/>
        <v>64</v>
      </c>
      <c r="Y57" s="672">
        <f t="shared" si="3"/>
        <v>128</v>
      </c>
      <c r="Z57" s="672">
        <v>4.813</v>
      </c>
      <c r="AA57" s="672">
        <f t="shared" si="7"/>
        <v>1.20325</v>
      </c>
      <c r="AB57" s="672">
        <f t="shared" si="6"/>
        <v>9.626</v>
      </c>
      <c r="AC57" s="393">
        <v>75.0</v>
      </c>
      <c r="AD57" s="393" t="s">
        <v>4628</v>
      </c>
      <c r="AE57" s="688" t="s">
        <v>170</v>
      </c>
      <c r="AF57" s="685"/>
      <c r="AG57" s="685"/>
      <c r="AH57" s="685"/>
      <c r="AI57" s="685"/>
      <c r="AJ57" s="685"/>
      <c r="AK57" s="685"/>
      <c r="AL57" s="685"/>
      <c r="AM57" s="685"/>
      <c r="AN57" s="685"/>
      <c r="AO57" s="685"/>
      <c r="AP57" s="685"/>
      <c r="AQ57" s="685"/>
      <c r="AR57" s="685"/>
      <c r="AS57" s="685"/>
      <c r="AT57" s="685"/>
      <c r="AU57" s="685"/>
      <c r="AV57" s="685"/>
      <c r="AW57" s="685"/>
      <c r="AX57" s="685"/>
      <c r="AY57" s="685"/>
      <c r="AZ57" s="685"/>
      <c r="BA57" s="685"/>
      <c r="BB57" s="685"/>
      <c r="BC57" s="685"/>
      <c r="BD57" s="685"/>
      <c r="BE57" s="685"/>
      <c r="BF57" s="685"/>
      <c r="BG57" s="685"/>
      <c r="BH57" s="685"/>
      <c r="BI57" s="685"/>
      <c r="BJ57" s="685"/>
      <c r="BK57" s="685"/>
    </row>
    <row r="58">
      <c r="A58" s="507" t="s">
        <v>3401</v>
      </c>
      <c r="B58" s="260" t="s">
        <v>4732</v>
      </c>
      <c r="C58" s="260">
        <v>10.0</v>
      </c>
      <c r="D58" s="663" t="s">
        <v>4733</v>
      </c>
      <c r="E58" s="689">
        <v>44214.0</v>
      </c>
      <c r="F58" s="663" t="s">
        <v>4734</v>
      </c>
      <c r="G58" s="665" t="s">
        <v>4735</v>
      </c>
      <c r="H58" s="260" t="s">
        <v>4736</v>
      </c>
      <c r="I58" s="260" t="s">
        <v>3304</v>
      </c>
      <c r="J58" s="260">
        <v>1.8</v>
      </c>
      <c r="K58" s="260">
        <v>74.0</v>
      </c>
      <c r="L58" s="260">
        <v>256.0</v>
      </c>
      <c r="M58" s="260">
        <v>16.0</v>
      </c>
      <c r="N58" s="260">
        <v>16.0</v>
      </c>
      <c r="O58" s="260" t="s">
        <v>166</v>
      </c>
      <c r="P58" s="260" t="s">
        <v>166</v>
      </c>
      <c r="Q58" s="260">
        <v>1228.0</v>
      </c>
      <c r="R58" s="260">
        <v>1468.0</v>
      </c>
      <c r="S58" s="260">
        <v>2.0</v>
      </c>
      <c r="T58" s="260">
        <v>5.0</v>
      </c>
      <c r="U58" s="260">
        <v>64.0</v>
      </c>
      <c r="V58" s="260">
        <f t="shared" si="1"/>
        <v>40</v>
      </c>
      <c r="W58" s="260" t="s">
        <v>4627</v>
      </c>
      <c r="X58" s="262">
        <f t="shared" si="2"/>
        <v>23.488</v>
      </c>
      <c r="Y58" s="262">
        <f t="shared" si="3"/>
        <v>23.488</v>
      </c>
      <c r="Z58" s="262">
        <v>0.7516</v>
      </c>
      <c r="AA58" s="262">
        <v>0.0313</v>
      </c>
      <c r="AB58" s="262">
        <v>0.0155</v>
      </c>
      <c r="AC58" s="260">
        <v>30.0</v>
      </c>
      <c r="AD58" s="260" t="s">
        <v>4628</v>
      </c>
      <c r="AE58" s="684" t="s">
        <v>170</v>
      </c>
      <c r="AF58" s="685"/>
      <c r="AG58" s="685"/>
      <c r="AH58" s="685"/>
      <c r="AI58" s="685"/>
      <c r="AJ58" s="685"/>
      <c r="AK58" s="685"/>
      <c r="AL58" s="685"/>
      <c r="AM58" s="685"/>
      <c r="AN58" s="685"/>
      <c r="AO58" s="685"/>
      <c r="AP58" s="685"/>
      <c r="AQ58" s="685"/>
      <c r="AR58" s="685"/>
      <c r="AS58" s="685"/>
      <c r="AT58" s="685"/>
      <c r="AU58" s="685"/>
      <c r="AV58" s="685"/>
      <c r="AW58" s="685"/>
      <c r="AX58" s="685"/>
      <c r="AY58" s="685"/>
      <c r="AZ58" s="685"/>
      <c r="BA58" s="685"/>
      <c r="BB58" s="685"/>
      <c r="BC58" s="685"/>
      <c r="BD58" s="685"/>
      <c r="BE58" s="685"/>
      <c r="BF58" s="685"/>
      <c r="BG58" s="685"/>
      <c r="BH58" s="685"/>
      <c r="BI58" s="685"/>
      <c r="BJ58" s="685"/>
      <c r="BK58" s="685"/>
    </row>
    <row r="59">
      <c r="A59" s="507" t="s">
        <v>3401</v>
      </c>
      <c r="B59" s="260" t="s">
        <v>4732</v>
      </c>
      <c r="C59" s="260">
        <v>10.0</v>
      </c>
      <c r="D59" s="663" t="s">
        <v>4737</v>
      </c>
      <c r="E59" s="683">
        <v>42872.0</v>
      </c>
      <c r="F59" s="663" t="s">
        <v>4738</v>
      </c>
      <c r="G59" s="260" t="s">
        <v>4735</v>
      </c>
      <c r="H59" s="260" t="s">
        <v>4736</v>
      </c>
      <c r="I59" s="260" t="s">
        <v>3304</v>
      </c>
      <c r="J59" s="260">
        <v>1.8</v>
      </c>
      <c r="K59" s="260">
        <v>74.0</v>
      </c>
      <c r="L59" s="260">
        <v>384.0</v>
      </c>
      <c r="M59" s="260">
        <v>24.0</v>
      </c>
      <c r="N59" s="260">
        <v>16.0</v>
      </c>
      <c r="O59" s="260" t="s">
        <v>166</v>
      </c>
      <c r="P59" s="260" t="s">
        <v>166</v>
      </c>
      <c r="Q59" s="260">
        <v>1228.0</v>
      </c>
      <c r="R59" s="260">
        <v>1468.0</v>
      </c>
      <c r="S59" s="260">
        <v>2.0</v>
      </c>
      <c r="T59" s="260">
        <v>6.0</v>
      </c>
      <c r="U59" s="260">
        <v>64.0</v>
      </c>
      <c r="V59" s="260">
        <f t="shared" si="1"/>
        <v>48</v>
      </c>
      <c r="W59" s="260" t="s">
        <v>4627</v>
      </c>
      <c r="X59" s="262">
        <f t="shared" si="2"/>
        <v>23.488</v>
      </c>
      <c r="Y59" s="262">
        <f t="shared" si="3"/>
        <v>35.232</v>
      </c>
      <c r="Z59" s="262">
        <v>1.127</v>
      </c>
      <c r="AA59" s="262">
        <v>0.035</v>
      </c>
      <c r="AB59" s="262">
        <v>0.017</v>
      </c>
      <c r="AC59" s="260">
        <v>30.0</v>
      </c>
      <c r="AD59" s="260" t="s">
        <v>4628</v>
      </c>
      <c r="AE59" s="684">
        <v>70.0</v>
      </c>
      <c r="AF59" s="685"/>
      <c r="AG59" s="685"/>
      <c r="AH59" s="685"/>
      <c r="AI59" s="685"/>
      <c r="AJ59" s="685"/>
      <c r="AK59" s="685"/>
      <c r="AL59" s="685"/>
      <c r="AM59" s="685"/>
      <c r="AN59" s="685"/>
      <c r="AO59" s="685"/>
      <c r="AP59" s="685"/>
      <c r="AQ59" s="685"/>
      <c r="AR59" s="685"/>
      <c r="AS59" s="685"/>
      <c r="AT59" s="685"/>
      <c r="AU59" s="685"/>
      <c r="AV59" s="685"/>
      <c r="AW59" s="685"/>
      <c r="AX59" s="685"/>
      <c r="AY59" s="685"/>
      <c r="AZ59" s="685"/>
      <c r="BA59" s="685"/>
      <c r="BB59" s="685"/>
      <c r="BC59" s="685"/>
      <c r="BD59" s="685"/>
      <c r="BE59" s="685"/>
      <c r="BF59" s="685"/>
      <c r="BG59" s="685"/>
      <c r="BH59" s="685"/>
      <c r="BI59" s="685"/>
      <c r="BJ59" s="685"/>
      <c r="BK59" s="685"/>
    </row>
    <row r="60">
      <c r="A60" s="507" t="s">
        <v>3401</v>
      </c>
      <c r="B60" s="260" t="s">
        <v>4732</v>
      </c>
      <c r="C60" s="260">
        <v>10.0</v>
      </c>
      <c r="D60" s="663" t="s">
        <v>4739</v>
      </c>
      <c r="E60" s="683">
        <v>42668.0</v>
      </c>
      <c r="F60" s="663" t="s">
        <v>4740</v>
      </c>
      <c r="G60" s="260" t="s">
        <v>4735</v>
      </c>
      <c r="H60" s="260" t="s">
        <v>4736</v>
      </c>
      <c r="I60" s="260" t="s">
        <v>3304</v>
      </c>
      <c r="J60" s="260">
        <v>3.3</v>
      </c>
      <c r="K60" s="260">
        <v>132.0</v>
      </c>
      <c r="L60" s="260">
        <v>640.0</v>
      </c>
      <c r="M60" s="260">
        <v>40.0</v>
      </c>
      <c r="N60" s="260">
        <v>32.0</v>
      </c>
      <c r="O60" s="260" t="s">
        <v>166</v>
      </c>
      <c r="P60" s="260" t="s">
        <v>166</v>
      </c>
      <c r="Q60" s="260">
        <v>1354.0</v>
      </c>
      <c r="R60" s="260">
        <v>1455.0</v>
      </c>
      <c r="S60" s="260">
        <v>2.0</v>
      </c>
      <c r="T60" s="260">
        <v>7.0</v>
      </c>
      <c r="U60" s="260">
        <v>128.0</v>
      </c>
      <c r="V60" s="260">
        <f t="shared" si="1"/>
        <v>112</v>
      </c>
      <c r="W60" s="260" t="s">
        <v>4627</v>
      </c>
      <c r="X60" s="262">
        <f t="shared" si="2"/>
        <v>46.56</v>
      </c>
      <c r="Y60" s="262">
        <f t="shared" si="3"/>
        <v>58.2</v>
      </c>
      <c r="Z60" s="262">
        <v>1.862</v>
      </c>
      <c r="AA60" s="262">
        <v>0.058</v>
      </c>
      <c r="AB60" s="262">
        <v>0.029</v>
      </c>
      <c r="AC60" s="260">
        <v>75.0</v>
      </c>
      <c r="AD60" s="260" t="s">
        <v>4628</v>
      </c>
      <c r="AE60" s="684">
        <v>109.0</v>
      </c>
      <c r="AF60" s="685"/>
      <c r="AG60" s="685"/>
      <c r="AH60" s="685"/>
      <c r="AI60" s="685"/>
      <c r="AJ60" s="685"/>
      <c r="AK60" s="685"/>
      <c r="AL60" s="685"/>
      <c r="AM60" s="685"/>
      <c r="AN60" s="685"/>
      <c r="AO60" s="685"/>
      <c r="AP60" s="685"/>
      <c r="AQ60" s="685"/>
      <c r="AR60" s="685"/>
      <c r="AS60" s="685"/>
      <c r="AT60" s="685"/>
      <c r="AU60" s="685"/>
      <c r="AV60" s="685"/>
      <c r="AW60" s="685"/>
      <c r="AX60" s="685"/>
      <c r="AY60" s="685"/>
      <c r="AZ60" s="685"/>
      <c r="BA60" s="685"/>
      <c r="BB60" s="685"/>
      <c r="BC60" s="685"/>
      <c r="BD60" s="685"/>
      <c r="BE60" s="685"/>
      <c r="BF60" s="685"/>
      <c r="BG60" s="685"/>
      <c r="BH60" s="685"/>
      <c r="BI60" s="685"/>
      <c r="BJ60" s="685"/>
      <c r="BK60" s="685"/>
    </row>
    <row r="61">
      <c r="A61" s="507" t="s">
        <v>3401</v>
      </c>
      <c r="B61" s="260" t="s">
        <v>4732</v>
      </c>
      <c r="C61" s="260">
        <v>10.0</v>
      </c>
      <c r="D61" s="663" t="s">
        <v>4741</v>
      </c>
      <c r="E61" s="683">
        <v>42668.0</v>
      </c>
      <c r="F61" s="663" t="s">
        <v>4742</v>
      </c>
      <c r="G61" s="260" t="s">
        <v>4735</v>
      </c>
      <c r="H61" s="260" t="s">
        <v>4736</v>
      </c>
      <c r="I61" s="260" t="s">
        <v>3304</v>
      </c>
      <c r="J61" s="260">
        <v>3.3</v>
      </c>
      <c r="K61" s="260">
        <v>132.0</v>
      </c>
      <c r="L61" s="260">
        <v>768.0</v>
      </c>
      <c r="M61" s="260">
        <v>48.0</v>
      </c>
      <c r="N61" s="260">
        <v>32.0</v>
      </c>
      <c r="O61" s="260" t="s">
        <v>166</v>
      </c>
      <c r="P61" s="260" t="s">
        <v>166</v>
      </c>
      <c r="Q61" s="260">
        <v>1290.0</v>
      </c>
      <c r="R61" s="260">
        <v>1392.0</v>
      </c>
      <c r="S61" s="260">
        <v>4.0</v>
      </c>
      <c r="T61" s="260">
        <v>7.0</v>
      </c>
      <c r="U61" s="260">
        <v>128.0</v>
      </c>
      <c r="V61" s="260">
        <f t="shared" si="1"/>
        <v>112</v>
      </c>
      <c r="W61" s="260" t="s">
        <v>4627</v>
      </c>
      <c r="X61" s="262">
        <f t="shared" si="2"/>
        <v>44.544</v>
      </c>
      <c r="Y61" s="262">
        <f t="shared" si="3"/>
        <v>66.816</v>
      </c>
      <c r="Z61" s="262">
        <v>2.138</v>
      </c>
      <c r="AA61" s="262">
        <v>0.066</v>
      </c>
      <c r="AB61" s="262">
        <v>0.033</v>
      </c>
      <c r="AC61" s="260">
        <v>75.0</v>
      </c>
      <c r="AD61" s="260" t="s">
        <v>4628</v>
      </c>
      <c r="AE61" s="684">
        <v>139.0</v>
      </c>
      <c r="AF61" s="685"/>
      <c r="AG61" s="685"/>
      <c r="AH61" s="685"/>
      <c r="AI61" s="685"/>
      <c r="AJ61" s="685"/>
      <c r="AK61" s="685"/>
      <c r="AL61" s="685"/>
      <c r="AM61" s="685"/>
      <c r="AN61" s="685"/>
      <c r="AO61" s="685"/>
      <c r="AP61" s="685"/>
      <c r="AQ61" s="685"/>
      <c r="AR61" s="685"/>
      <c r="AS61" s="685"/>
      <c r="AT61" s="685"/>
      <c r="AU61" s="685"/>
      <c r="AV61" s="685"/>
      <c r="AW61" s="685"/>
      <c r="AX61" s="685"/>
      <c r="AY61" s="685"/>
      <c r="AZ61" s="685"/>
      <c r="BA61" s="685"/>
      <c r="BB61" s="685"/>
      <c r="BC61" s="685"/>
      <c r="BD61" s="685"/>
      <c r="BE61" s="685"/>
      <c r="BF61" s="685"/>
      <c r="BG61" s="685"/>
      <c r="BH61" s="685"/>
      <c r="BI61" s="685"/>
      <c r="BJ61" s="685"/>
      <c r="BK61" s="685"/>
    </row>
    <row r="62">
      <c r="A62" s="507" t="s">
        <v>3401</v>
      </c>
      <c r="B62" s="260" t="s">
        <v>4732</v>
      </c>
      <c r="C62" s="260">
        <v>10.0</v>
      </c>
      <c r="D62" s="663" t="s">
        <v>4743</v>
      </c>
      <c r="E62" s="683">
        <v>42600.0</v>
      </c>
      <c r="F62" s="663" t="s">
        <v>4744</v>
      </c>
      <c r="G62" s="260" t="s">
        <v>4745</v>
      </c>
      <c r="H62" s="260" t="s">
        <v>4736</v>
      </c>
      <c r="I62" s="260" t="s">
        <v>3304</v>
      </c>
      <c r="J62" s="260">
        <v>4.4</v>
      </c>
      <c r="K62" s="260">
        <v>200.0</v>
      </c>
      <c r="L62" s="260">
        <v>1152.0</v>
      </c>
      <c r="M62" s="260">
        <v>72.0</v>
      </c>
      <c r="N62" s="260">
        <v>48.0</v>
      </c>
      <c r="O62" s="260" t="s">
        <v>166</v>
      </c>
      <c r="P62" s="260" t="s">
        <v>166</v>
      </c>
      <c r="Q62" s="260">
        <v>1506.0</v>
      </c>
      <c r="R62" s="260">
        <v>1708.0</v>
      </c>
      <c r="S62" s="260">
        <v>3.0</v>
      </c>
      <c r="T62" s="260">
        <v>8.0</v>
      </c>
      <c r="U62" s="260">
        <v>192.0</v>
      </c>
      <c r="V62" s="260">
        <f t="shared" si="1"/>
        <v>192</v>
      </c>
      <c r="W62" s="260" t="s">
        <v>4627</v>
      </c>
      <c r="X62" s="262">
        <f t="shared" si="2"/>
        <v>81.984</v>
      </c>
      <c r="Y62" s="262">
        <f t="shared" si="3"/>
        <v>122.976</v>
      </c>
      <c r="Z62" s="262">
        <v>3.935</v>
      </c>
      <c r="AA62" s="262">
        <v>0.122</v>
      </c>
      <c r="AB62" s="262">
        <v>0.061</v>
      </c>
      <c r="AC62" s="260">
        <v>120.0</v>
      </c>
      <c r="AD62" s="260" t="s">
        <v>4628</v>
      </c>
      <c r="AE62" s="684">
        <v>199.0</v>
      </c>
      <c r="AF62" s="685"/>
      <c r="AG62" s="685"/>
      <c r="AH62" s="685"/>
      <c r="AI62" s="685"/>
      <c r="AJ62" s="685"/>
      <c r="AK62" s="685"/>
      <c r="AL62" s="685"/>
      <c r="AM62" s="685"/>
      <c r="AN62" s="685"/>
      <c r="AO62" s="685"/>
      <c r="AP62" s="685"/>
      <c r="AQ62" s="685"/>
      <c r="AR62" s="685"/>
      <c r="AS62" s="685"/>
      <c r="AT62" s="685"/>
      <c r="AU62" s="685"/>
      <c r="AV62" s="685"/>
      <c r="AW62" s="685"/>
      <c r="AX62" s="685"/>
      <c r="AY62" s="685"/>
      <c r="AZ62" s="685"/>
      <c r="BA62" s="685"/>
      <c r="BB62" s="685"/>
      <c r="BC62" s="685"/>
      <c r="BD62" s="685"/>
      <c r="BE62" s="685"/>
      <c r="BF62" s="685"/>
      <c r="BG62" s="685"/>
      <c r="BH62" s="685"/>
      <c r="BI62" s="685"/>
      <c r="BJ62" s="685"/>
      <c r="BK62" s="685"/>
    </row>
    <row r="63">
      <c r="A63" s="507" t="s">
        <v>3401</v>
      </c>
      <c r="B63" s="260" t="s">
        <v>4732</v>
      </c>
      <c r="C63" s="260">
        <v>10.0</v>
      </c>
      <c r="D63" s="663" t="s">
        <v>4746</v>
      </c>
      <c r="E63" s="683">
        <v>42570.0</v>
      </c>
      <c r="F63" s="663" t="s">
        <v>4747</v>
      </c>
      <c r="G63" s="260" t="s">
        <v>4745</v>
      </c>
      <c r="H63" s="260" t="s">
        <v>4736</v>
      </c>
      <c r="I63" s="260" t="s">
        <v>3304</v>
      </c>
      <c r="J63" s="260">
        <v>4.4</v>
      </c>
      <c r="K63" s="260">
        <v>200.0</v>
      </c>
      <c r="L63" s="260">
        <v>1280.0</v>
      </c>
      <c r="M63" s="260">
        <v>80.0</v>
      </c>
      <c r="N63" s="260">
        <v>48.0</v>
      </c>
      <c r="O63" s="260" t="s">
        <v>166</v>
      </c>
      <c r="P63" s="260" t="s">
        <v>166</v>
      </c>
      <c r="Q63" s="260">
        <v>1506.0</v>
      </c>
      <c r="R63" s="260">
        <v>1708.0</v>
      </c>
      <c r="S63" s="260">
        <v>6.0</v>
      </c>
      <c r="T63" s="260">
        <v>8.0</v>
      </c>
      <c r="U63" s="260">
        <v>192.0</v>
      </c>
      <c r="V63" s="260">
        <f t="shared" si="1"/>
        <v>192</v>
      </c>
      <c r="W63" s="260" t="s">
        <v>4627</v>
      </c>
      <c r="X63" s="262">
        <f t="shared" si="2"/>
        <v>81.984</v>
      </c>
      <c r="Y63" s="262">
        <f t="shared" si="3"/>
        <v>136.64</v>
      </c>
      <c r="Z63" s="262">
        <v>4.375</v>
      </c>
      <c r="AA63" s="262">
        <v>0.136</v>
      </c>
      <c r="AB63" s="262">
        <v>0.068</v>
      </c>
      <c r="AC63" s="260">
        <v>120.0</v>
      </c>
      <c r="AD63" s="260" t="s">
        <v>4628</v>
      </c>
      <c r="AE63" s="684">
        <v>249.0</v>
      </c>
      <c r="AF63" s="685"/>
      <c r="AG63" s="685"/>
      <c r="AH63" s="685"/>
      <c r="AI63" s="685"/>
      <c r="AJ63" s="685"/>
      <c r="AK63" s="685"/>
      <c r="AL63" s="685"/>
      <c r="AM63" s="685"/>
      <c r="AN63" s="685"/>
      <c r="AO63" s="685"/>
      <c r="AP63" s="685"/>
      <c r="AQ63" s="685"/>
      <c r="AR63" s="685"/>
      <c r="AS63" s="685"/>
      <c r="AT63" s="685"/>
      <c r="AU63" s="685"/>
      <c r="AV63" s="685"/>
      <c r="AW63" s="685"/>
      <c r="AX63" s="685"/>
      <c r="AY63" s="685"/>
      <c r="AZ63" s="685"/>
      <c r="BA63" s="685"/>
      <c r="BB63" s="685"/>
      <c r="BC63" s="685"/>
      <c r="BD63" s="685"/>
      <c r="BE63" s="685"/>
      <c r="BF63" s="685"/>
      <c r="BG63" s="685"/>
      <c r="BH63" s="685"/>
      <c r="BI63" s="685"/>
      <c r="BJ63" s="685"/>
      <c r="BK63" s="685"/>
    </row>
    <row r="64">
      <c r="A64" s="507" t="s">
        <v>3401</v>
      </c>
      <c r="B64" s="260" t="s">
        <v>4732</v>
      </c>
      <c r="C64" s="260">
        <v>10.0</v>
      </c>
      <c r="D64" s="663" t="s">
        <v>4748</v>
      </c>
      <c r="E64" s="683">
        <v>42845.0</v>
      </c>
      <c r="F64" s="663" t="s">
        <v>4749</v>
      </c>
      <c r="G64" s="260" t="s">
        <v>4745</v>
      </c>
      <c r="H64" s="260" t="s">
        <v>4736</v>
      </c>
      <c r="I64" s="260" t="s">
        <v>3304</v>
      </c>
      <c r="J64" s="260">
        <v>4.4</v>
      </c>
      <c r="K64" s="260">
        <v>200.0</v>
      </c>
      <c r="L64" s="260">
        <v>1280.0</v>
      </c>
      <c r="M64" s="260">
        <v>80.0</v>
      </c>
      <c r="N64" s="260">
        <v>48.0</v>
      </c>
      <c r="O64" s="260" t="s">
        <v>166</v>
      </c>
      <c r="P64" s="260" t="s">
        <v>166</v>
      </c>
      <c r="Q64" s="260">
        <v>1506.0</v>
      </c>
      <c r="R64" s="260">
        <v>1708.0</v>
      </c>
      <c r="S64" s="260">
        <v>6.0</v>
      </c>
      <c r="T64" s="260">
        <v>9.0</v>
      </c>
      <c r="U64" s="260">
        <v>192.0</v>
      </c>
      <c r="V64" s="260">
        <f t="shared" si="1"/>
        <v>216</v>
      </c>
      <c r="W64" s="260" t="s">
        <v>4627</v>
      </c>
      <c r="X64" s="262">
        <f t="shared" si="2"/>
        <v>81.984</v>
      </c>
      <c r="Y64" s="262">
        <f t="shared" si="3"/>
        <v>136.64</v>
      </c>
      <c r="Z64" s="262">
        <v>4.375</v>
      </c>
      <c r="AA64" s="262">
        <v>0.136</v>
      </c>
      <c r="AB64" s="262">
        <v>0.068</v>
      </c>
      <c r="AC64" s="260">
        <v>120.0</v>
      </c>
      <c r="AD64" s="260" t="s">
        <v>4628</v>
      </c>
      <c r="AE64" s="684">
        <v>299.0</v>
      </c>
      <c r="AF64" s="685"/>
      <c r="AG64" s="685"/>
      <c r="AH64" s="685"/>
      <c r="AI64" s="685"/>
      <c r="AJ64" s="685"/>
      <c r="AK64" s="685"/>
      <c r="AL64" s="685"/>
      <c r="AM64" s="685"/>
      <c r="AN64" s="685"/>
      <c r="AO64" s="685"/>
      <c r="AP64" s="685"/>
      <c r="AQ64" s="685"/>
      <c r="AR64" s="685"/>
      <c r="AS64" s="685"/>
      <c r="AT64" s="685"/>
      <c r="AU64" s="685"/>
      <c r="AV64" s="685"/>
      <c r="AW64" s="685"/>
      <c r="AX64" s="685"/>
      <c r="AY64" s="685"/>
      <c r="AZ64" s="685"/>
      <c r="BA64" s="685"/>
      <c r="BB64" s="685"/>
      <c r="BC64" s="685"/>
      <c r="BD64" s="685"/>
      <c r="BE64" s="685"/>
      <c r="BF64" s="685"/>
      <c r="BG64" s="685"/>
      <c r="BH64" s="685"/>
      <c r="BI64" s="685"/>
      <c r="BJ64" s="685"/>
      <c r="BK64" s="685"/>
    </row>
    <row r="65">
      <c r="A65" s="507" t="s">
        <v>3401</v>
      </c>
      <c r="B65" s="260" t="s">
        <v>4732</v>
      </c>
      <c r="C65" s="260">
        <v>10.0</v>
      </c>
      <c r="D65" s="663" t="s">
        <v>3452</v>
      </c>
      <c r="E65" s="683">
        <v>43391.0</v>
      </c>
      <c r="F65" s="663" t="s">
        <v>4750</v>
      </c>
      <c r="G65" s="260" t="s">
        <v>4745</v>
      </c>
      <c r="H65" s="260" t="s">
        <v>4736</v>
      </c>
      <c r="I65" s="260" t="s">
        <v>3304</v>
      </c>
      <c r="J65" s="260">
        <v>7.2</v>
      </c>
      <c r="K65" s="260">
        <v>314.0</v>
      </c>
      <c r="L65" s="260">
        <v>1280.0</v>
      </c>
      <c r="M65" s="260">
        <v>80.0</v>
      </c>
      <c r="N65" s="260">
        <v>48.0</v>
      </c>
      <c r="O65" s="260" t="s">
        <v>166</v>
      </c>
      <c r="P65" s="260" t="s">
        <v>166</v>
      </c>
      <c r="Q65" s="260">
        <v>1506.0</v>
      </c>
      <c r="R65" s="260">
        <v>1708.0</v>
      </c>
      <c r="S65" s="260">
        <v>6.0</v>
      </c>
      <c r="T65" s="260">
        <v>8.0</v>
      </c>
      <c r="U65" s="260">
        <v>192.0</v>
      </c>
      <c r="V65" s="260">
        <f t="shared" si="1"/>
        <v>192</v>
      </c>
      <c r="W65" s="260" t="s">
        <v>3453</v>
      </c>
      <c r="X65" s="262">
        <f t="shared" si="2"/>
        <v>81.984</v>
      </c>
      <c r="Y65" s="262">
        <f t="shared" si="3"/>
        <v>136.64</v>
      </c>
      <c r="Z65" s="262">
        <v>4.375</v>
      </c>
      <c r="AA65" s="262">
        <v>0.136</v>
      </c>
      <c r="AB65" s="262">
        <v>0.068</v>
      </c>
      <c r="AC65" s="260">
        <v>120.0</v>
      </c>
      <c r="AD65" s="260" t="s">
        <v>4628</v>
      </c>
      <c r="AE65" s="684" t="s">
        <v>170</v>
      </c>
      <c r="AF65" s="685"/>
      <c r="AG65" s="685"/>
      <c r="AH65" s="685"/>
      <c r="AI65" s="685"/>
      <c r="AJ65" s="685"/>
      <c r="AK65" s="685"/>
      <c r="AL65" s="685"/>
      <c r="AM65" s="685"/>
      <c r="AN65" s="685"/>
      <c r="AO65" s="685"/>
      <c r="AP65" s="685"/>
      <c r="AQ65" s="685"/>
      <c r="AR65" s="685"/>
      <c r="AS65" s="685"/>
      <c r="AT65" s="685"/>
      <c r="AU65" s="685"/>
      <c r="AV65" s="685"/>
      <c r="AW65" s="685"/>
      <c r="AX65" s="685"/>
      <c r="AY65" s="685"/>
      <c r="AZ65" s="685"/>
      <c r="BA65" s="685"/>
      <c r="BB65" s="685"/>
      <c r="BC65" s="685"/>
      <c r="BD65" s="685"/>
      <c r="BE65" s="685"/>
      <c r="BF65" s="685"/>
      <c r="BG65" s="685"/>
      <c r="BH65" s="685"/>
      <c r="BI65" s="685"/>
      <c r="BJ65" s="685"/>
      <c r="BK65" s="685"/>
    </row>
    <row r="66">
      <c r="A66" s="507" t="s">
        <v>3401</v>
      </c>
      <c r="B66" s="260" t="s">
        <v>4732</v>
      </c>
      <c r="C66" s="260">
        <v>10.0</v>
      </c>
      <c r="D66" s="663" t="s">
        <v>4751</v>
      </c>
      <c r="E66" s="683">
        <v>42531.0</v>
      </c>
      <c r="F66" s="663" t="s">
        <v>4752</v>
      </c>
      <c r="G66" s="260" t="s">
        <v>4745</v>
      </c>
      <c r="H66" s="260" t="s">
        <v>4736</v>
      </c>
      <c r="I66" s="260" t="s">
        <v>3304</v>
      </c>
      <c r="J66" s="260">
        <v>7.2</v>
      </c>
      <c r="K66" s="260">
        <v>314.0</v>
      </c>
      <c r="L66" s="260">
        <v>1920.0</v>
      </c>
      <c r="M66" s="260">
        <v>120.0</v>
      </c>
      <c r="N66" s="260">
        <v>64.0</v>
      </c>
      <c r="O66" s="260" t="s">
        <v>166</v>
      </c>
      <c r="P66" s="260" t="s">
        <v>166</v>
      </c>
      <c r="Q66" s="260">
        <v>1506.0</v>
      </c>
      <c r="R66" s="260">
        <v>1683.0</v>
      </c>
      <c r="S66" s="260">
        <v>8.0</v>
      </c>
      <c r="T66" s="260">
        <v>8.0</v>
      </c>
      <c r="U66" s="260">
        <v>256.0</v>
      </c>
      <c r="V66" s="260">
        <f t="shared" si="1"/>
        <v>256</v>
      </c>
      <c r="W66" s="260" t="s">
        <v>4627</v>
      </c>
      <c r="X66" s="262">
        <f t="shared" si="2"/>
        <v>107.712</v>
      </c>
      <c r="Y66" s="262">
        <f t="shared" si="3"/>
        <v>201.96</v>
      </c>
      <c r="Z66" s="262">
        <v>6.462</v>
      </c>
      <c r="AA66" s="262">
        <v>0.201</v>
      </c>
      <c r="AB66" s="262">
        <v>0.1</v>
      </c>
      <c r="AC66" s="260">
        <v>150.0</v>
      </c>
      <c r="AD66" s="260" t="s">
        <v>174</v>
      </c>
      <c r="AE66" s="684">
        <v>379.0</v>
      </c>
      <c r="AF66" s="685"/>
      <c r="AG66" s="685"/>
      <c r="AH66" s="685"/>
      <c r="AI66" s="685"/>
      <c r="AJ66" s="685"/>
      <c r="AK66" s="685"/>
      <c r="AL66" s="685"/>
      <c r="AM66" s="685"/>
      <c r="AN66" s="685"/>
      <c r="AO66" s="685"/>
      <c r="AP66" s="685"/>
      <c r="AQ66" s="685"/>
      <c r="AR66" s="685"/>
      <c r="AS66" s="685"/>
      <c r="AT66" s="685"/>
      <c r="AU66" s="685"/>
      <c r="AV66" s="685"/>
      <c r="AW66" s="685"/>
      <c r="AX66" s="685"/>
      <c r="AY66" s="685"/>
      <c r="AZ66" s="685"/>
      <c r="BA66" s="685"/>
      <c r="BB66" s="685"/>
      <c r="BC66" s="685"/>
      <c r="BD66" s="685"/>
      <c r="BE66" s="685"/>
      <c r="BF66" s="685"/>
      <c r="BG66" s="685"/>
      <c r="BH66" s="685"/>
      <c r="BI66" s="685"/>
      <c r="BJ66" s="685"/>
      <c r="BK66" s="685"/>
    </row>
    <row r="67">
      <c r="A67" s="507" t="s">
        <v>3401</v>
      </c>
      <c r="B67" s="260" t="s">
        <v>4732</v>
      </c>
      <c r="C67" s="260">
        <v>10.0</v>
      </c>
      <c r="D67" s="663" t="s">
        <v>4753</v>
      </c>
      <c r="E67" s="683">
        <v>43041.0</v>
      </c>
      <c r="F67" s="663" t="s">
        <v>4754</v>
      </c>
      <c r="G67" s="260" t="s">
        <v>4745</v>
      </c>
      <c r="H67" s="260" t="s">
        <v>4736</v>
      </c>
      <c r="I67" s="260" t="s">
        <v>3304</v>
      </c>
      <c r="J67" s="260">
        <v>7.2</v>
      </c>
      <c r="K67" s="260">
        <v>314.0</v>
      </c>
      <c r="L67" s="260">
        <v>2432.0</v>
      </c>
      <c r="M67" s="260">
        <v>152.0</v>
      </c>
      <c r="N67" s="260">
        <v>64.0</v>
      </c>
      <c r="O67" s="260" t="s">
        <v>166</v>
      </c>
      <c r="P67" s="260" t="s">
        <v>166</v>
      </c>
      <c r="Q67" s="260">
        <v>1607.0</v>
      </c>
      <c r="R67" s="260">
        <v>1683.0</v>
      </c>
      <c r="S67" s="260">
        <v>8.0</v>
      </c>
      <c r="T67" s="260">
        <v>8.0</v>
      </c>
      <c r="U67" s="260">
        <v>256.0</v>
      </c>
      <c r="V67" s="260">
        <f t="shared" si="1"/>
        <v>256</v>
      </c>
      <c r="W67" s="260" t="s">
        <v>4627</v>
      </c>
      <c r="X67" s="262">
        <f t="shared" si="2"/>
        <v>107.712</v>
      </c>
      <c r="Y67" s="262">
        <f t="shared" si="3"/>
        <v>255.816</v>
      </c>
      <c r="Z67" s="262">
        <v>8.186</v>
      </c>
      <c r="AA67" s="262">
        <v>0.255</v>
      </c>
      <c r="AB67" s="262">
        <v>0.127</v>
      </c>
      <c r="AC67" s="260">
        <v>180.0</v>
      </c>
      <c r="AD67" s="260" t="s">
        <v>174</v>
      </c>
      <c r="AE67" s="684">
        <v>449.0</v>
      </c>
      <c r="AF67" s="685"/>
      <c r="AG67" s="685"/>
      <c r="AH67" s="685"/>
      <c r="AI67" s="685"/>
      <c r="AJ67" s="685"/>
      <c r="AK67" s="685"/>
      <c r="AL67" s="685"/>
      <c r="AM67" s="685"/>
      <c r="AN67" s="685"/>
      <c r="AO67" s="685"/>
      <c r="AP67" s="685"/>
      <c r="AQ67" s="685"/>
      <c r="AR67" s="685"/>
      <c r="AS67" s="685"/>
      <c r="AT67" s="685"/>
      <c r="AU67" s="685"/>
      <c r="AV67" s="685"/>
      <c r="AW67" s="685"/>
      <c r="AX67" s="685"/>
      <c r="AY67" s="685"/>
      <c r="AZ67" s="685"/>
      <c r="BA67" s="685"/>
      <c r="BB67" s="685"/>
      <c r="BC67" s="685"/>
      <c r="BD67" s="685"/>
      <c r="BE67" s="685"/>
      <c r="BF67" s="685"/>
      <c r="BG67" s="685"/>
      <c r="BH67" s="685"/>
      <c r="BI67" s="685"/>
      <c r="BJ67" s="685"/>
      <c r="BK67" s="685"/>
    </row>
    <row r="68">
      <c r="A68" s="507" t="s">
        <v>3401</v>
      </c>
      <c r="B68" s="260" t="s">
        <v>4732</v>
      </c>
      <c r="C68" s="260">
        <v>10.0</v>
      </c>
      <c r="D68" s="663" t="s">
        <v>4755</v>
      </c>
      <c r="E68" s="683">
        <v>42517.0</v>
      </c>
      <c r="F68" s="663" t="s">
        <v>4756</v>
      </c>
      <c r="G68" s="260" t="s">
        <v>4745</v>
      </c>
      <c r="H68" s="260" t="s">
        <v>4736</v>
      </c>
      <c r="I68" s="260" t="s">
        <v>3304</v>
      </c>
      <c r="J68" s="260">
        <v>7.2</v>
      </c>
      <c r="K68" s="260">
        <v>314.0</v>
      </c>
      <c r="L68" s="260">
        <v>2560.0</v>
      </c>
      <c r="M68" s="260">
        <v>160.0</v>
      </c>
      <c r="N68" s="260">
        <v>64.0</v>
      </c>
      <c r="O68" s="260" t="s">
        <v>166</v>
      </c>
      <c r="P68" s="260" t="s">
        <v>166</v>
      </c>
      <c r="Q68" s="260">
        <v>1607.0</v>
      </c>
      <c r="R68" s="260">
        <v>1733.0</v>
      </c>
      <c r="S68" s="260">
        <v>8.0</v>
      </c>
      <c r="T68" s="260">
        <v>10.0</v>
      </c>
      <c r="U68" s="260">
        <v>256.0</v>
      </c>
      <c r="V68" s="260">
        <f t="shared" si="1"/>
        <v>320</v>
      </c>
      <c r="W68" s="260" t="s">
        <v>3453</v>
      </c>
      <c r="X68" s="262">
        <f t="shared" si="2"/>
        <v>110.912</v>
      </c>
      <c r="Y68" s="262">
        <f t="shared" si="3"/>
        <v>277.28</v>
      </c>
      <c r="Z68" s="262">
        <v>8.872</v>
      </c>
      <c r="AA68" s="262">
        <v>0.277</v>
      </c>
      <c r="AB68" s="262">
        <v>0.138</v>
      </c>
      <c r="AC68" s="260">
        <v>180.0</v>
      </c>
      <c r="AD68" s="260" t="s">
        <v>174</v>
      </c>
      <c r="AE68" s="684">
        <v>599.0</v>
      </c>
      <c r="AF68" s="685"/>
      <c r="AG68" s="685"/>
      <c r="AH68" s="685"/>
      <c r="AI68" s="685"/>
      <c r="AJ68" s="685"/>
      <c r="AK68" s="685"/>
      <c r="AL68" s="685"/>
      <c r="AM68" s="685"/>
      <c r="AN68" s="685"/>
      <c r="AO68" s="685"/>
      <c r="AP68" s="685"/>
      <c r="AQ68" s="685"/>
      <c r="AR68" s="685"/>
      <c r="AS68" s="685"/>
      <c r="AT68" s="685"/>
      <c r="AU68" s="685"/>
      <c r="AV68" s="685"/>
      <c r="AW68" s="685"/>
      <c r="AX68" s="685"/>
      <c r="AY68" s="685"/>
      <c r="AZ68" s="685"/>
      <c r="BA68" s="685"/>
      <c r="BB68" s="685"/>
      <c r="BC68" s="685"/>
      <c r="BD68" s="685"/>
      <c r="BE68" s="685"/>
      <c r="BF68" s="685"/>
      <c r="BG68" s="685"/>
      <c r="BH68" s="685"/>
      <c r="BI68" s="685"/>
      <c r="BJ68" s="685"/>
      <c r="BK68" s="685"/>
    </row>
    <row r="69">
      <c r="A69" s="507" t="s">
        <v>3401</v>
      </c>
      <c r="B69" s="260" t="s">
        <v>4732</v>
      </c>
      <c r="C69" s="260">
        <v>10.0</v>
      </c>
      <c r="D69" s="663" t="s">
        <v>4757</v>
      </c>
      <c r="E69" s="683">
        <v>42845.0</v>
      </c>
      <c r="F69" s="663" t="s">
        <v>4758</v>
      </c>
      <c r="G69" s="260" t="s">
        <v>4745</v>
      </c>
      <c r="H69" s="260" t="s">
        <v>4736</v>
      </c>
      <c r="I69" s="260" t="s">
        <v>3304</v>
      </c>
      <c r="J69" s="260">
        <v>7.2</v>
      </c>
      <c r="K69" s="260">
        <v>314.0</v>
      </c>
      <c r="L69" s="260">
        <v>2560.0</v>
      </c>
      <c r="M69" s="260">
        <v>160.0</v>
      </c>
      <c r="N69" s="260">
        <v>64.0</v>
      </c>
      <c r="O69" s="260" t="s">
        <v>166</v>
      </c>
      <c r="P69" s="260" t="s">
        <v>166</v>
      </c>
      <c r="Q69" s="260">
        <v>1607.0</v>
      </c>
      <c r="R69" s="260">
        <v>1733.0</v>
      </c>
      <c r="S69" s="260">
        <v>8.0</v>
      </c>
      <c r="T69" s="260">
        <v>11.0</v>
      </c>
      <c r="U69" s="260">
        <v>256.0</v>
      </c>
      <c r="V69" s="260">
        <f t="shared" si="1"/>
        <v>352</v>
      </c>
      <c r="W69" s="260" t="s">
        <v>3453</v>
      </c>
      <c r="X69" s="262">
        <f t="shared" si="2"/>
        <v>110.912</v>
      </c>
      <c r="Y69" s="262">
        <f t="shared" si="3"/>
        <v>277.28</v>
      </c>
      <c r="Z69" s="262">
        <v>8.872</v>
      </c>
      <c r="AA69" s="262">
        <v>0.277</v>
      </c>
      <c r="AB69" s="262">
        <v>0.138</v>
      </c>
      <c r="AC69" s="260">
        <v>180.0</v>
      </c>
      <c r="AD69" s="260" t="s">
        <v>174</v>
      </c>
      <c r="AE69" s="684">
        <v>599.0</v>
      </c>
      <c r="AF69" s="685"/>
      <c r="AG69" s="685"/>
      <c r="AH69" s="685"/>
      <c r="AI69" s="685"/>
      <c r="AJ69" s="685"/>
      <c r="AK69" s="685"/>
      <c r="AL69" s="685"/>
      <c r="AM69" s="685"/>
      <c r="AN69" s="685"/>
      <c r="AO69" s="685"/>
      <c r="AP69" s="685"/>
      <c r="AQ69" s="685"/>
      <c r="AR69" s="685"/>
      <c r="AS69" s="685"/>
      <c r="AT69" s="685"/>
      <c r="AU69" s="685"/>
      <c r="AV69" s="685"/>
      <c r="AW69" s="685"/>
      <c r="AX69" s="685"/>
      <c r="AY69" s="685"/>
      <c r="AZ69" s="685"/>
      <c r="BA69" s="685"/>
      <c r="BB69" s="685"/>
      <c r="BC69" s="685"/>
      <c r="BD69" s="685"/>
      <c r="BE69" s="685"/>
      <c r="BF69" s="685"/>
      <c r="BG69" s="685"/>
      <c r="BH69" s="685"/>
      <c r="BI69" s="685"/>
      <c r="BJ69" s="685"/>
      <c r="BK69" s="685"/>
    </row>
    <row r="70">
      <c r="A70" s="507" t="s">
        <v>3401</v>
      </c>
      <c r="B70" s="260" t="s">
        <v>4732</v>
      </c>
      <c r="C70" s="260">
        <v>10.0</v>
      </c>
      <c r="D70" s="663" t="s">
        <v>3834</v>
      </c>
      <c r="E70" s="683">
        <v>42799.0</v>
      </c>
      <c r="F70" s="663" t="s">
        <v>4759</v>
      </c>
      <c r="G70" s="260" t="s">
        <v>4745</v>
      </c>
      <c r="H70" s="260" t="s">
        <v>4736</v>
      </c>
      <c r="I70" s="260" t="s">
        <v>3304</v>
      </c>
      <c r="J70" s="260">
        <v>12.0</v>
      </c>
      <c r="K70" s="260">
        <v>471.0</v>
      </c>
      <c r="L70" s="260">
        <v>3584.0</v>
      </c>
      <c r="M70" s="260">
        <v>224.0</v>
      </c>
      <c r="N70" s="260">
        <v>88.0</v>
      </c>
      <c r="O70" s="260" t="s">
        <v>166</v>
      </c>
      <c r="P70" s="260" t="s">
        <v>166</v>
      </c>
      <c r="Q70" s="260">
        <v>1480.0</v>
      </c>
      <c r="R70" s="260">
        <v>1582.0</v>
      </c>
      <c r="S70" s="260">
        <v>11.0</v>
      </c>
      <c r="T70" s="260">
        <v>11.0</v>
      </c>
      <c r="U70" s="260">
        <v>352.0</v>
      </c>
      <c r="V70" s="260">
        <f t="shared" si="1"/>
        <v>484</v>
      </c>
      <c r="W70" s="260" t="s">
        <v>3453</v>
      </c>
      <c r="X70" s="262">
        <f t="shared" si="2"/>
        <v>139.216</v>
      </c>
      <c r="Y70" s="262">
        <f t="shared" si="3"/>
        <v>354.368</v>
      </c>
      <c r="Z70" s="262">
        <v>11.339</v>
      </c>
      <c r="AA70" s="262">
        <v>0.354</v>
      </c>
      <c r="AB70" s="262">
        <v>0.177</v>
      </c>
      <c r="AC70" s="260">
        <v>250.0</v>
      </c>
      <c r="AD70" s="260" t="s">
        <v>174</v>
      </c>
      <c r="AE70" s="684">
        <v>699.0</v>
      </c>
      <c r="AF70" s="685"/>
      <c r="AG70" s="685"/>
      <c r="AH70" s="685"/>
      <c r="AI70" s="685"/>
      <c r="AJ70" s="685"/>
      <c r="AK70" s="685"/>
      <c r="AL70" s="685"/>
      <c r="AM70" s="685"/>
      <c r="AN70" s="685"/>
      <c r="AO70" s="685"/>
      <c r="AP70" s="685"/>
      <c r="AQ70" s="685"/>
      <c r="AR70" s="685"/>
      <c r="AS70" s="685"/>
      <c r="AT70" s="685"/>
      <c r="AU70" s="685"/>
      <c r="AV70" s="685"/>
      <c r="AW70" s="685"/>
      <c r="AX70" s="685"/>
      <c r="AY70" s="685"/>
      <c r="AZ70" s="685"/>
      <c r="BA70" s="685"/>
      <c r="BB70" s="685"/>
      <c r="BC70" s="685"/>
      <c r="BD70" s="685"/>
      <c r="BE70" s="685"/>
      <c r="BF70" s="685"/>
      <c r="BG70" s="685"/>
      <c r="BH70" s="685"/>
      <c r="BI70" s="685"/>
      <c r="BJ70" s="685"/>
      <c r="BK70" s="685"/>
    </row>
    <row r="71">
      <c r="A71" s="507" t="s">
        <v>3401</v>
      </c>
      <c r="B71" s="260" t="s">
        <v>4732</v>
      </c>
      <c r="C71" s="260">
        <v>10.0</v>
      </c>
      <c r="D71" s="663" t="s">
        <v>4760</v>
      </c>
      <c r="E71" s="683">
        <v>42584.0</v>
      </c>
      <c r="F71" s="663" t="s">
        <v>4761</v>
      </c>
      <c r="G71" s="260" t="s">
        <v>4745</v>
      </c>
      <c r="H71" s="260" t="s">
        <v>4736</v>
      </c>
      <c r="I71" s="260" t="s">
        <v>3304</v>
      </c>
      <c r="J71" s="260">
        <v>12.0</v>
      </c>
      <c r="K71" s="260">
        <v>471.0</v>
      </c>
      <c r="L71" s="260">
        <v>3584.0</v>
      </c>
      <c r="M71" s="260">
        <v>224.0</v>
      </c>
      <c r="N71" s="260">
        <v>96.0</v>
      </c>
      <c r="O71" s="260" t="s">
        <v>166</v>
      </c>
      <c r="P71" s="260" t="s">
        <v>166</v>
      </c>
      <c r="Q71" s="260">
        <v>1417.0</v>
      </c>
      <c r="R71" s="260">
        <v>1531.0</v>
      </c>
      <c r="S71" s="260">
        <v>12.0</v>
      </c>
      <c r="T71" s="260">
        <v>10.0</v>
      </c>
      <c r="U71" s="260">
        <v>384.0</v>
      </c>
      <c r="V71" s="260">
        <f t="shared" si="1"/>
        <v>480</v>
      </c>
      <c r="W71" s="260" t="s">
        <v>3453</v>
      </c>
      <c r="X71" s="262">
        <f t="shared" si="2"/>
        <v>146.976</v>
      </c>
      <c r="Y71" s="262">
        <f t="shared" si="3"/>
        <v>342.944</v>
      </c>
      <c r="Z71" s="262">
        <v>10.974</v>
      </c>
      <c r="AA71" s="262">
        <v>0.342</v>
      </c>
      <c r="AB71" s="262">
        <v>0.171</v>
      </c>
      <c r="AC71" s="260">
        <v>250.0</v>
      </c>
      <c r="AD71" s="260" t="s">
        <v>174</v>
      </c>
      <c r="AE71" s="684">
        <v>1200.0</v>
      </c>
      <c r="AF71" s="685"/>
      <c r="AG71" s="685"/>
      <c r="AH71" s="685"/>
      <c r="AI71" s="685"/>
      <c r="AJ71" s="685"/>
      <c r="AK71" s="685"/>
      <c r="AL71" s="685"/>
      <c r="AM71" s="685"/>
      <c r="AN71" s="685"/>
      <c r="AO71" s="685"/>
      <c r="AP71" s="685"/>
      <c r="AQ71" s="685"/>
      <c r="AR71" s="685"/>
      <c r="AS71" s="685"/>
      <c r="AT71" s="685"/>
      <c r="AU71" s="685"/>
      <c r="AV71" s="685"/>
      <c r="AW71" s="685"/>
      <c r="AX71" s="685"/>
      <c r="AY71" s="685"/>
      <c r="AZ71" s="685"/>
      <c r="BA71" s="685"/>
      <c r="BB71" s="685"/>
      <c r="BC71" s="685"/>
      <c r="BD71" s="685"/>
      <c r="BE71" s="685"/>
      <c r="BF71" s="685"/>
      <c r="BG71" s="685"/>
      <c r="BH71" s="685"/>
      <c r="BI71" s="685"/>
      <c r="BJ71" s="685"/>
      <c r="BK71" s="685"/>
    </row>
    <row r="72">
      <c r="A72" s="519" t="s">
        <v>3401</v>
      </c>
      <c r="B72" s="393" t="s">
        <v>4732</v>
      </c>
      <c r="C72" s="393">
        <v>10.0</v>
      </c>
      <c r="D72" s="669" t="s">
        <v>4762</v>
      </c>
      <c r="E72" s="687">
        <v>42831.0</v>
      </c>
      <c r="F72" s="669" t="s">
        <v>4763</v>
      </c>
      <c r="G72" s="393" t="s">
        <v>4745</v>
      </c>
      <c r="H72" s="393" t="s">
        <v>4736</v>
      </c>
      <c r="I72" s="393" t="s">
        <v>3304</v>
      </c>
      <c r="J72" s="393">
        <v>12.0</v>
      </c>
      <c r="K72" s="393">
        <v>471.0</v>
      </c>
      <c r="L72" s="393">
        <v>3840.0</v>
      </c>
      <c r="M72" s="393">
        <v>240.0</v>
      </c>
      <c r="N72" s="393">
        <v>96.0</v>
      </c>
      <c r="O72" s="393" t="s">
        <v>166</v>
      </c>
      <c r="P72" s="393" t="s">
        <v>166</v>
      </c>
      <c r="Q72" s="393">
        <v>1405.0</v>
      </c>
      <c r="R72" s="393">
        <v>1480.0</v>
      </c>
      <c r="S72" s="393">
        <v>12.0</v>
      </c>
      <c r="T72" s="393">
        <v>11.4</v>
      </c>
      <c r="U72" s="393">
        <v>384.0</v>
      </c>
      <c r="V72" s="393">
        <f t="shared" si="1"/>
        <v>547.2</v>
      </c>
      <c r="W72" s="393" t="s">
        <v>3453</v>
      </c>
      <c r="X72" s="672">
        <f t="shared" si="2"/>
        <v>142.08</v>
      </c>
      <c r="Y72" s="672">
        <f t="shared" si="3"/>
        <v>355.2</v>
      </c>
      <c r="Z72" s="672">
        <v>11.366</v>
      </c>
      <c r="AA72" s="672">
        <v>0.355</v>
      </c>
      <c r="AB72" s="672">
        <v>0.177</v>
      </c>
      <c r="AC72" s="393">
        <v>250.0</v>
      </c>
      <c r="AD72" s="393" t="s">
        <v>174</v>
      </c>
      <c r="AE72" s="688">
        <v>1200.0</v>
      </c>
      <c r="AF72" s="685"/>
      <c r="AG72" s="685"/>
      <c r="AH72" s="685"/>
      <c r="AI72" s="685"/>
      <c r="AJ72" s="685"/>
      <c r="AK72" s="685"/>
      <c r="AL72" s="685"/>
      <c r="AM72" s="685"/>
      <c r="AN72" s="685"/>
      <c r="AO72" s="685"/>
      <c r="AP72" s="685"/>
      <c r="AQ72" s="685"/>
      <c r="AR72" s="685"/>
      <c r="AS72" s="685"/>
      <c r="AT72" s="685"/>
      <c r="AU72" s="685"/>
      <c r="AV72" s="685"/>
      <c r="AW72" s="685"/>
      <c r="AX72" s="685"/>
      <c r="AY72" s="685"/>
      <c r="AZ72" s="685"/>
      <c r="BA72" s="685"/>
      <c r="BB72" s="685"/>
      <c r="BC72" s="685"/>
      <c r="BD72" s="685"/>
      <c r="BE72" s="685"/>
      <c r="BF72" s="685"/>
      <c r="BG72" s="685"/>
      <c r="BH72" s="685"/>
      <c r="BI72" s="685"/>
      <c r="BJ72" s="685"/>
      <c r="BK72" s="685"/>
    </row>
    <row r="73">
      <c r="A73" s="507" t="s">
        <v>3401</v>
      </c>
      <c r="B73" s="260" t="s">
        <v>4764</v>
      </c>
      <c r="C73" s="260" t="s">
        <v>4765</v>
      </c>
      <c r="D73" s="663" t="s">
        <v>4766</v>
      </c>
      <c r="E73" s="683">
        <v>42773.0</v>
      </c>
      <c r="F73" s="663" t="s">
        <v>4767</v>
      </c>
      <c r="G73" s="260" t="s">
        <v>4735</v>
      </c>
      <c r="H73" s="260" t="s">
        <v>4736</v>
      </c>
      <c r="I73" s="260" t="s">
        <v>3304</v>
      </c>
      <c r="J73" s="260">
        <v>3.3</v>
      </c>
      <c r="K73" s="260">
        <v>132.0</v>
      </c>
      <c r="L73" s="260">
        <v>640.0</v>
      </c>
      <c r="M73" s="260">
        <v>40.0</v>
      </c>
      <c r="N73" s="260">
        <v>32.0</v>
      </c>
      <c r="O73" s="260" t="s">
        <v>166</v>
      </c>
      <c r="P73" s="260" t="s">
        <v>166</v>
      </c>
      <c r="Q73" s="260">
        <v>1266.0</v>
      </c>
      <c r="R73" s="260">
        <v>1480.0</v>
      </c>
      <c r="S73" s="260">
        <v>4.0</v>
      </c>
      <c r="T73" s="260">
        <v>5.0</v>
      </c>
      <c r="U73" s="260">
        <v>128.0</v>
      </c>
      <c r="V73" s="260">
        <f t="shared" si="1"/>
        <v>80</v>
      </c>
      <c r="W73" s="260" t="s">
        <v>4627</v>
      </c>
      <c r="X73" s="262">
        <f t="shared" si="2"/>
        <v>47.36</v>
      </c>
      <c r="Y73" s="262">
        <f t="shared" si="3"/>
        <v>59.2</v>
      </c>
      <c r="Z73" s="262">
        <v>1.894</v>
      </c>
      <c r="AA73" s="262">
        <v>0.059</v>
      </c>
      <c r="AB73" s="262">
        <v>0.029</v>
      </c>
      <c r="AC73" s="260">
        <v>47.0</v>
      </c>
      <c r="AD73" s="260" t="s">
        <v>4628</v>
      </c>
      <c r="AE73" s="684" t="s">
        <v>170</v>
      </c>
      <c r="AF73" s="685"/>
      <c r="AG73" s="685"/>
      <c r="AH73" s="685"/>
      <c r="AI73" s="685"/>
      <c r="AJ73" s="685"/>
      <c r="AK73" s="685"/>
      <c r="AL73" s="685"/>
      <c r="AM73" s="685"/>
      <c r="AN73" s="685"/>
      <c r="AO73" s="685"/>
      <c r="AP73" s="685"/>
      <c r="AQ73" s="685"/>
      <c r="AR73" s="685"/>
      <c r="AS73" s="685"/>
      <c r="AT73" s="685"/>
      <c r="AU73" s="685"/>
      <c r="AV73" s="685"/>
      <c r="AW73" s="685"/>
      <c r="AX73" s="685"/>
      <c r="AY73" s="685"/>
      <c r="AZ73" s="685"/>
      <c r="BA73" s="685"/>
      <c r="BB73" s="685"/>
      <c r="BC73" s="685"/>
      <c r="BD73" s="685"/>
      <c r="BE73" s="685"/>
      <c r="BF73" s="685"/>
      <c r="BG73" s="685"/>
      <c r="BH73" s="685"/>
      <c r="BI73" s="685"/>
      <c r="BJ73" s="685"/>
      <c r="BK73" s="685"/>
    </row>
    <row r="74">
      <c r="A74" s="507" t="s">
        <v>3401</v>
      </c>
      <c r="B74" s="260" t="s">
        <v>4764</v>
      </c>
      <c r="C74" s="260" t="s">
        <v>4765</v>
      </c>
      <c r="D74" s="663" t="s">
        <v>4768</v>
      </c>
      <c r="E74" s="683">
        <v>42772.0</v>
      </c>
      <c r="F74" s="663" t="s">
        <v>4769</v>
      </c>
      <c r="G74" s="260" t="s">
        <v>4745</v>
      </c>
      <c r="H74" s="260" t="s">
        <v>4736</v>
      </c>
      <c r="I74" s="260" t="s">
        <v>3304</v>
      </c>
      <c r="J74" s="260">
        <v>4.4</v>
      </c>
      <c r="K74" s="260">
        <v>200.0</v>
      </c>
      <c r="L74" s="260">
        <v>1024.0</v>
      </c>
      <c r="M74" s="260">
        <v>64.0</v>
      </c>
      <c r="N74" s="260">
        <v>40.0</v>
      </c>
      <c r="O74" s="260" t="s">
        <v>166</v>
      </c>
      <c r="P74" s="260" t="s">
        <v>166</v>
      </c>
      <c r="Q74" s="260">
        <v>1076.0</v>
      </c>
      <c r="R74" s="260">
        <v>1480.0</v>
      </c>
      <c r="S74" s="260">
        <v>5.0</v>
      </c>
      <c r="T74" s="260">
        <v>7.0</v>
      </c>
      <c r="U74" s="260">
        <v>160.0</v>
      </c>
      <c r="V74" s="260">
        <f t="shared" si="1"/>
        <v>140</v>
      </c>
      <c r="W74" s="260" t="s">
        <v>4627</v>
      </c>
      <c r="X74" s="262">
        <f t="shared" si="2"/>
        <v>59.2</v>
      </c>
      <c r="Y74" s="262">
        <f t="shared" si="3"/>
        <v>94.72</v>
      </c>
      <c r="Z74" s="262">
        <v>3.031</v>
      </c>
      <c r="AA74" s="262">
        <v>0.094</v>
      </c>
      <c r="AB74" s="262">
        <v>0.047</v>
      </c>
      <c r="AC74" s="260">
        <v>75.0</v>
      </c>
      <c r="AD74" s="260" t="s">
        <v>4628</v>
      </c>
      <c r="AE74" s="684" t="s">
        <v>170</v>
      </c>
      <c r="AF74" s="685"/>
      <c r="AG74" s="685"/>
      <c r="AH74" s="685"/>
      <c r="AI74" s="685"/>
      <c r="AJ74" s="685"/>
      <c r="AK74" s="685"/>
      <c r="AL74" s="685"/>
      <c r="AM74" s="685"/>
      <c r="AN74" s="685"/>
      <c r="AO74" s="685"/>
      <c r="AP74" s="685"/>
      <c r="AQ74" s="685"/>
      <c r="AR74" s="685"/>
      <c r="AS74" s="685"/>
      <c r="AT74" s="685"/>
      <c r="AU74" s="685"/>
      <c r="AV74" s="685"/>
      <c r="AW74" s="685"/>
      <c r="AX74" s="685"/>
      <c r="AY74" s="685"/>
      <c r="AZ74" s="685"/>
      <c r="BA74" s="685"/>
      <c r="BB74" s="685"/>
      <c r="BC74" s="685"/>
      <c r="BD74" s="685"/>
      <c r="BE74" s="685"/>
      <c r="BF74" s="685"/>
      <c r="BG74" s="685"/>
      <c r="BH74" s="685"/>
      <c r="BI74" s="685"/>
      <c r="BJ74" s="685"/>
      <c r="BK74" s="685"/>
    </row>
    <row r="75">
      <c r="A75" s="507" t="s">
        <v>3401</v>
      </c>
      <c r="B75" s="260" t="s">
        <v>4764</v>
      </c>
      <c r="C75" s="260" t="s">
        <v>4765</v>
      </c>
      <c r="D75" s="663" t="s">
        <v>4770</v>
      </c>
      <c r="E75" s="683">
        <v>43626.0</v>
      </c>
      <c r="F75" s="663" t="s">
        <v>4771</v>
      </c>
      <c r="G75" s="260" t="s">
        <v>4745</v>
      </c>
      <c r="H75" s="260" t="s">
        <v>4736</v>
      </c>
      <c r="I75" s="260" t="s">
        <v>3304</v>
      </c>
      <c r="J75" s="260">
        <v>4.4</v>
      </c>
      <c r="K75" s="260">
        <v>200.0</v>
      </c>
      <c r="L75" s="260">
        <v>1280.0</v>
      </c>
      <c r="M75" s="260">
        <v>80.0</v>
      </c>
      <c r="N75" s="260">
        <v>40.0</v>
      </c>
      <c r="O75" s="260" t="s">
        <v>166</v>
      </c>
      <c r="P75" s="260" t="s">
        <v>166</v>
      </c>
      <c r="Q75" s="260">
        <v>1000.0</v>
      </c>
      <c r="R75" s="260">
        <v>1493.0</v>
      </c>
      <c r="S75" s="260">
        <v>5.0</v>
      </c>
      <c r="T75" s="260">
        <v>10.0</v>
      </c>
      <c r="U75" s="260">
        <v>160.0</v>
      </c>
      <c r="V75" s="260">
        <f t="shared" si="1"/>
        <v>200</v>
      </c>
      <c r="W75" s="260" t="s">
        <v>3453</v>
      </c>
      <c r="X75" s="262">
        <f t="shared" si="2"/>
        <v>59.72</v>
      </c>
      <c r="Y75" s="262">
        <f t="shared" si="3"/>
        <v>119.44</v>
      </c>
      <c r="Z75" s="262">
        <v>3.82</v>
      </c>
      <c r="AA75" s="262">
        <v>0.119</v>
      </c>
      <c r="AB75" s="262">
        <v>0.059</v>
      </c>
      <c r="AC75" s="260">
        <v>75.0</v>
      </c>
      <c r="AD75" s="260" t="s">
        <v>4628</v>
      </c>
      <c r="AE75" s="684" t="s">
        <v>170</v>
      </c>
      <c r="AF75" s="685"/>
      <c r="AG75" s="685"/>
      <c r="AH75" s="685"/>
      <c r="AI75" s="685"/>
      <c r="AJ75" s="685"/>
      <c r="AK75" s="685"/>
      <c r="AL75" s="685"/>
      <c r="AM75" s="685"/>
      <c r="AN75" s="685"/>
      <c r="AO75" s="685"/>
      <c r="AP75" s="685"/>
      <c r="AQ75" s="685"/>
      <c r="AR75" s="685"/>
      <c r="AS75" s="685"/>
      <c r="AT75" s="685"/>
      <c r="AU75" s="685"/>
      <c r="AV75" s="685"/>
      <c r="AW75" s="685"/>
      <c r="AX75" s="685"/>
      <c r="AY75" s="685"/>
      <c r="AZ75" s="685"/>
      <c r="BA75" s="685"/>
      <c r="BB75" s="685"/>
      <c r="BC75" s="685"/>
      <c r="BD75" s="685"/>
      <c r="BE75" s="685"/>
      <c r="BF75" s="685"/>
      <c r="BG75" s="685"/>
      <c r="BH75" s="685"/>
      <c r="BI75" s="685"/>
      <c r="BJ75" s="685"/>
      <c r="BK75" s="685"/>
    </row>
    <row r="76">
      <c r="A76" s="507" t="s">
        <v>3401</v>
      </c>
      <c r="B76" s="260" t="s">
        <v>4764</v>
      </c>
      <c r="C76" s="260" t="s">
        <v>4765</v>
      </c>
      <c r="D76" s="663" t="s">
        <v>4772</v>
      </c>
      <c r="E76" s="683">
        <v>42644.0</v>
      </c>
      <c r="F76" s="663" t="s">
        <v>4773</v>
      </c>
      <c r="G76" s="260" t="s">
        <v>4745</v>
      </c>
      <c r="H76" s="260" t="s">
        <v>4736</v>
      </c>
      <c r="I76" s="260" t="s">
        <v>3304</v>
      </c>
      <c r="J76" s="260">
        <v>7.2</v>
      </c>
      <c r="K76" s="260">
        <v>314.0</v>
      </c>
      <c r="L76" s="260">
        <v>2560.0</v>
      </c>
      <c r="M76" s="260">
        <v>160.0</v>
      </c>
      <c r="N76" s="260">
        <v>64.0</v>
      </c>
      <c r="O76" s="260" t="s">
        <v>166</v>
      </c>
      <c r="P76" s="260" t="s">
        <v>166</v>
      </c>
      <c r="Q76" s="260">
        <v>1607.0</v>
      </c>
      <c r="R76" s="260">
        <v>1733.0</v>
      </c>
      <c r="S76" s="260">
        <v>16.0</v>
      </c>
      <c r="T76" s="260">
        <v>9.0</v>
      </c>
      <c r="U76" s="260">
        <v>256.0</v>
      </c>
      <c r="V76" s="260">
        <f t="shared" si="1"/>
        <v>288</v>
      </c>
      <c r="W76" s="260" t="s">
        <v>3453</v>
      </c>
      <c r="X76" s="262">
        <f t="shared" si="2"/>
        <v>110.912</v>
      </c>
      <c r="Y76" s="262">
        <f t="shared" si="3"/>
        <v>277.28</v>
      </c>
      <c r="Z76" s="262">
        <v>8.873</v>
      </c>
      <c r="AA76" s="262">
        <v>0.277</v>
      </c>
      <c r="AB76" s="262">
        <v>0.138</v>
      </c>
      <c r="AC76" s="260">
        <v>180.0</v>
      </c>
      <c r="AD76" s="260" t="s">
        <v>174</v>
      </c>
      <c r="AE76" s="684">
        <v>2499.0</v>
      </c>
      <c r="AF76" s="685"/>
      <c r="AG76" s="685"/>
      <c r="AH76" s="685"/>
      <c r="AI76" s="685"/>
      <c r="AJ76" s="685"/>
      <c r="AK76" s="685"/>
      <c r="AL76" s="685"/>
      <c r="AM76" s="685"/>
      <c r="AN76" s="685"/>
      <c r="AO76" s="685"/>
      <c r="AP76" s="685"/>
      <c r="AQ76" s="685"/>
      <c r="AR76" s="685"/>
      <c r="AS76" s="685"/>
      <c r="AT76" s="685"/>
      <c r="AU76" s="685"/>
      <c r="AV76" s="685"/>
      <c r="AW76" s="685"/>
      <c r="AX76" s="685"/>
      <c r="AY76" s="685"/>
      <c r="AZ76" s="685"/>
      <c r="BA76" s="685"/>
      <c r="BB76" s="685"/>
      <c r="BC76" s="685"/>
      <c r="BD76" s="685"/>
      <c r="BE76" s="685"/>
      <c r="BF76" s="685"/>
      <c r="BG76" s="685"/>
      <c r="BH76" s="685"/>
      <c r="BI76" s="685"/>
      <c r="BJ76" s="685"/>
      <c r="BK76" s="685"/>
    </row>
    <row r="77">
      <c r="A77" s="507" t="s">
        <v>3401</v>
      </c>
      <c r="B77" s="260" t="s">
        <v>4764</v>
      </c>
      <c r="C77" s="260" t="s">
        <v>4765</v>
      </c>
      <c r="D77" s="663" t="s">
        <v>4774</v>
      </c>
      <c r="E77" s="683">
        <v>42644.0</v>
      </c>
      <c r="F77" s="663" t="s">
        <v>4775</v>
      </c>
      <c r="G77" s="260" t="s">
        <v>4745</v>
      </c>
      <c r="H77" s="260" t="s">
        <v>4736</v>
      </c>
      <c r="I77" s="260" t="s">
        <v>3304</v>
      </c>
      <c r="J77" s="260">
        <v>11.8</v>
      </c>
      <c r="K77" s="260">
        <v>471.0</v>
      </c>
      <c r="L77" s="260">
        <v>3840.0</v>
      </c>
      <c r="M77" s="260">
        <v>240.0</v>
      </c>
      <c r="N77" s="260">
        <v>96.0</v>
      </c>
      <c r="O77" s="260" t="s">
        <v>166</v>
      </c>
      <c r="P77" s="260" t="s">
        <v>166</v>
      </c>
      <c r="Q77" s="260">
        <v>1506.0</v>
      </c>
      <c r="R77" s="260">
        <v>1645.0</v>
      </c>
      <c r="S77" s="260">
        <v>24.0</v>
      </c>
      <c r="T77" s="260">
        <v>9.0</v>
      </c>
      <c r="U77" s="260">
        <v>384.0</v>
      </c>
      <c r="V77" s="260">
        <f t="shared" si="1"/>
        <v>432</v>
      </c>
      <c r="W77" s="260" t="s">
        <v>3453</v>
      </c>
      <c r="X77" s="262">
        <f t="shared" si="2"/>
        <v>157.92</v>
      </c>
      <c r="Y77" s="262">
        <f t="shared" si="3"/>
        <v>394.8</v>
      </c>
      <c r="Z77" s="262">
        <v>12.63</v>
      </c>
      <c r="AA77" s="262">
        <v>0.394</v>
      </c>
      <c r="AB77" s="262">
        <v>0.197</v>
      </c>
      <c r="AC77" s="260">
        <v>250.0</v>
      </c>
      <c r="AD77" s="260" t="s">
        <v>174</v>
      </c>
      <c r="AE77" s="684">
        <v>5999.0</v>
      </c>
      <c r="AF77" s="685"/>
      <c r="AG77" s="685"/>
      <c r="AH77" s="685"/>
      <c r="AI77" s="685"/>
      <c r="AJ77" s="685"/>
      <c r="AK77" s="685"/>
      <c r="AL77" s="685"/>
      <c r="AM77" s="685"/>
      <c r="AN77" s="685"/>
      <c r="AO77" s="685"/>
      <c r="AP77" s="685"/>
      <c r="AQ77" s="685"/>
      <c r="AR77" s="685"/>
      <c r="AS77" s="685"/>
      <c r="AT77" s="685"/>
      <c r="AU77" s="685"/>
      <c r="AV77" s="685"/>
      <c r="AW77" s="685"/>
      <c r="AX77" s="685"/>
      <c r="AY77" s="685"/>
      <c r="AZ77" s="685"/>
      <c r="BA77" s="685"/>
      <c r="BB77" s="685"/>
      <c r="BC77" s="685"/>
      <c r="BD77" s="685"/>
      <c r="BE77" s="685"/>
      <c r="BF77" s="685"/>
      <c r="BG77" s="685"/>
      <c r="BH77" s="685"/>
      <c r="BI77" s="685"/>
      <c r="BJ77" s="685"/>
      <c r="BK77" s="685"/>
    </row>
    <row r="78">
      <c r="A78" s="519" t="s">
        <v>3401</v>
      </c>
      <c r="B78" s="393" t="s">
        <v>4764</v>
      </c>
      <c r="C78" s="393" t="s">
        <v>4765</v>
      </c>
      <c r="D78" s="669" t="s">
        <v>4776</v>
      </c>
      <c r="E78" s="687">
        <v>42644.0</v>
      </c>
      <c r="F78" s="669" t="s">
        <v>4776</v>
      </c>
      <c r="G78" s="393" t="s">
        <v>4745</v>
      </c>
      <c r="H78" s="393" t="s">
        <v>4736</v>
      </c>
      <c r="I78" s="393" t="s">
        <v>3304</v>
      </c>
      <c r="J78" s="393">
        <v>15.3</v>
      </c>
      <c r="K78" s="393">
        <v>610.0</v>
      </c>
      <c r="L78" s="393">
        <v>3584.0</v>
      </c>
      <c r="M78" s="393">
        <v>224.0</v>
      </c>
      <c r="N78" s="393">
        <v>96.0</v>
      </c>
      <c r="O78" s="393" t="s">
        <v>166</v>
      </c>
      <c r="P78" s="393" t="s">
        <v>166</v>
      </c>
      <c r="Q78" s="393">
        <v>1304.0</v>
      </c>
      <c r="R78" s="393">
        <v>1442.0</v>
      </c>
      <c r="S78" s="393">
        <v>16.0</v>
      </c>
      <c r="T78" s="393">
        <v>1.4</v>
      </c>
      <c r="U78" s="393">
        <v>4096.0</v>
      </c>
      <c r="V78" s="393">
        <f t="shared" si="1"/>
        <v>716.8</v>
      </c>
      <c r="W78" s="393" t="s">
        <v>4646</v>
      </c>
      <c r="X78" s="672">
        <f t="shared" si="2"/>
        <v>138.432</v>
      </c>
      <c r="Y78" s="672">
        <f t="shared" si="3"/>
        <v>323.008</v>
      </c>
      <c r="Z78" s="672">
        <v>10.34</v>
      </c>
      <c r="AA78" s="672">
        <v>5.168</v>
      </c>
      <c r="AB78" s="672">
        <v>20.67</v>
      </c>
      <c r="AC78" s="393">
        <v>235.0</v>
      </c>
      <c r="AD78" s="393" t="s">
        <v>174</v>
      </c>
      <c r="AE78" s="688" t="s">
        <v>170</v>
      </c>
      <c r="AF78" s="685"/>
      <c r="AG78" s="685"/>
      <c r="AH78" s="685"/>
      <c r="AI78" s="685"/>
      <c r="AJ78" s="685"/>
      <c r="AK78" s="685"/>
      <c r="AL78" s="685"/>
      <c r="AM78" s="685"/>
      <c r="AN78" s="685"/>
      <c r="AO78" s="685"/>
      <c r="AP78" s="685"/>
      <c r="AQ78" s="685"/>
      <c r="AR78" s="685"/>
      <c r="AS78" s="685"/>
      <c r="AT78" s="685"/>
      <c r="AU78" s="685"/>
      <c r="AV78" s="685"/>
      <c r="AW78" s="685"/>
      <c r="AX78" s="685"/>
      <c r="AY78" s="685"/>
      <c r="AZ78" s="685"/>
      <c r="BA78" s="685"/>
      <c r="BB78" s="685"/>
      <c r="BC78" s="685"/>
      <c r="BD78" s="685"/>
      <c r="BE78" s="685"/>
      <c r="BF78" s="685"/>
      <c r="BG78" s="685"/>
      <c r="BH78" s="685"/>
      <c r="BI78" s="685"/>
      <c r="BJ78" s="685"/>
      <c r="BK78" s="685"/>
    </row>
    <row r="79">
      <c r="A79" s="519" t="s">
        <v>3401</v>
      </c>
      <c r="B79" s="393" t="s">
        <v>4732</v>
      </c>
      <c r="C79" s="393" t="s">
        <v>4777</v>
      </c>
      <c r="D79" s="669" t="s">
        <v>4778</v>
      </c>
      <c r="E79" s="687">
        <v>43076.0</v>
      </c>
      <c r="F79" s="669" t="s">
        <v>4779</v>
      </c>
      <c r="G79" s="393" t="s">
        <v>4780</v>
      </c>
      <c r="H79" s="393" t="s">
        <v>4777</v>
      </c>
      <c r="I79" s="393" t="s">
        <v>3304</v>
      </c>
      <c r="J79" s="393">
        <v>21.1</v>
      </c>
      <c r="K79" s="393">
        <v>815.0</v>
      </c>
      <c r="L79" s="393">
        <v>5120.0</v>
      </c>
      <c r="M79" s="393">
        <v>320.0</v>
      </c>
      <c r="N79" s="393">
        <v>96.0</v>
      </c>
      <c r="O79" s="393">
        <v>640.0</v>
      </c>
      <c r="P79" s="393" t="s">
        <v>166</v>
      </c>
      <c r="Q79" s="393">
        <v>1200.0</v>
      </c>
      <c r="R79" s="393">
        <v>1455.0</v>
      </c>
      <c r="S79" s="393">
        <v>12.0</v>
      </c>
      <c r="T79" s="393">
        <v>1.7</v>
      </c>
      <c r="U79" s="393">
        <v>3072.0</v>
      </c>
      <c r="V79" s="393">
        <f t="shared" si="1"/>
        <v>652.8</v>
      </c>
      <c r="W79" s="393" t="s">
        <v>4646</v>
      </c>
      <c r="X79" s="672">
        <f t="shared" si="2"/>
        <v>139.68</v>
      </c>
      <c r="Y79" s="672">
        <f t="shared" si="3"/>
        <v>465.6</v>
      </c>
      <c r="Z79" s="672">
        <v>14.899</v>
      </c>
      <c r="AA79" s="672">
        <v>7.449</v>
      </c>
      <c r="AB79" s="672">
        <v>29.798</v>
      </c>
      <c r="AC79" s="393">
        <v>250.0</v>
      </c>
      <c r="AD79" s="393" t="s">
        <v>174</v>
      </c>
      <c r="AE79" s="688">
        <v>2999.0</v>
      </c>
      <c r="AF79" s="685"/>
      <c r="AG79" s="685"/>
      <c r="AH79" s="685"/>
      <c r="AI79" s="685"/>
      <c r="AJ79" s="685"/>
      <c r="AK79" s="685"/>
      <c r="AL79" s="685"/>
      <c r="AM79" s="685"/>
      <c r="AN79" s="685"/>
      <c r="AO79" s="685"/>
      <c r="AP79" s="685"/>
      <c r="AQ79" s="685"/>
      <c r="AR79" s="685"/>
      <c r="AS79" s="685"/>
      <c r="AT79" s="685"/>
      <c r="AU79" s="685"/>
      <c r="AV79" s="685"/>
      <c r="AW79" s="685"/>
      <c r="AX79" s="685"/>
      <c r="AY79" s="685"/>
      <c r="AZ79" s="685"/>
      <c r="BA79" s="685"/>
      <c r="BB79" s="685"/>
      <c r="BC79" s="685"/>
      <c r="BD79" s="685"/>
      <c r="BE79" s="685"/>
      <c r="BF79" s="685"/>
      <c r="BG79" s="685"/>
      <c r="BH79" s="685"/>
      <c r="BI79" s="685"/>
      <c r="BJ79" s="685"/>
      <c r="BK79" s="685"/>
    </row>
    <row r="80">
      <c r="A80" s="519" t="s">
        <v>3401</v>
      </c>
      <c r="B80" s="393" t="s">
        <v>4764</v>
      </c>
      <c r="C80" s="393" t="s">
        <v>4777</v>
      </c>
      <c r="D80" s="669" t="s">
        <v>4781</v>
      </c>
      <c r="E80" s="687">
        <v>43186.0</v>
      </c>
      <c r="F80" s="669" t="s">
        <v>4782</v>
      </c>
      <c r="G80" s="393" t="s">
        <v>4780</v>
      </c>
      <c r="H80" s="393" t="s">
        <v>4777</v>
      </c>
      <c r="I80" s="393" t="s">
        <v>3304</v>
      </c>
      <c r="J80" s="393">
        <v>21.1</v>
      </c>
      <c r="K80" s="393">
        <v>815.0</v>
      </c>
      <c r="L80" s="393">
        <v>5120.0</v>
      </c>
      <c r="M80" s="393">
        <v>320.0</v>
      </c>
      <c r="N80" s="393">
        <v>128.0</v>
      </c>
      <c r="O80" s="393">
        <v>640.0</v>
      </c>
      <c r="P80" s="393" t="s">
        <v>166</v>
      </c>
      <c r="Q80" s="393">
        <v>1132.0</v>
      </c>
      <c r="R80" s="393">
        <v>1627.0</v>
      </c>
      <c r="S80" s="393">
        <v>32.0</v>
      </c>
      <c r="T80" s="393">
        <v>1.7</v>
      </c>
      <c r="U80" s="393">
        <v>4096.0</v>
      </c>
      <c r="V80" s="393">
        <f t="shared" si="1"/>
        <v>870.4</v>
      </c>
      <c r="W80" s="393" t="s">
        <v>4646</v>
      </c>
      <c r="X80" s="672">
        <f t="shared" si="2"/>
        <v>208.256</v>
      </c>
      <c r="Y80" s="672">
        <f t="shared" si="3"/>
        <v>520.64</v>
      </c>
      <c r="Z80" s="672">
        <v>16.66</v>
      </c>
      <c r="AA80" s="672">
        <v>8.33</v>
      </c>
      <c r="AB80" s="672">
        <v>33.32</v>
      </c>
      <c r="AC80" s="393">
        <v>250.0</v>
      </c>
      <c r="AD80" s="393" t="s">
        <v>174</v>
      </c>
      <c r="AE80" s="688">
        <v>8999.0</v>
      </c>
      <c r="AF80" s="685"/>
      <c r="AG80" s="685"/>
      <c r="AH80" s="685"/>
      <c r="AI80" s="685"/>
      <c r="AJ80" s="685"/>
      <c r="AK80" s="685"/>
      <c r="AL80" s="685"/>
      <c r="AM80" s="685"/>
      <c r="AN80" s="685"/>
      <c r="AO80" s="685"/>
      <c r="AP80" s="685"/>
      <c r="AQ80" s="685"/>
      <c r="AR80" s="685"/>
      <c r="AS80" s="685"/>
      <c r="AT80" s="685"/>
      <c r="AU80" s="685"/>
      <c r="AV80" s="685"/>
      <c r="AW80" s="685"/>
      <c r="AX80" s="685"/>
      <c r="AY80" s="685"/>
      <c r="AZ80" s="685"/>
      <c r="BA80" s="685"/>
      <c r="BB80" s="685"/>
      <c r="BC80" s="685"/>
      <c r="BD80" s="685"/>
      <c r="BE80" s="685"/>
      <c r="BF80" s="685"/>
      <c r="BG80" s="685"/>
      <c r="BH80" s="685"/>
      <c r="BI80" s="685"/>
      <c r="BJ80" s="685"/>
      <c r="BK80" s="685"/>
    </row>
    <row r="81">
      <c r="A81" s="507" t="s">
        <v>3401</v>
      </c>
      <c r="B81" s="260" t="s">
        <v>4732</v>
      </c>
      <c r="C81" s="260">
        <v>16.0</v>
      </c>
      <c r="D81" s="663" t="s">
        <v>4783</v>
      </c>
      <c r="E81" s="683">
        <v>44740.0</v>
      </c>
      <c r="F81" s="663" t="s">
        <v>4784</v>
      </c>
      <c r="G81" s="260" t="s">
        <v>4780</v>
      </c>
      <c r="H81" s="260" t="s">
        <v>4785</v>
      </c>
      <c r="I81" s="260" t="s">
        <v>4626</v>
      </c>
      <c r="J81" s="260">
        <v>4.7</v>
      </c>
      <c r="K81" s="260">
        <v>200.0</v>
      </c>
      <c r="L81" s="260">
        <v>512.0</v>
      </c>
      <c r="M81" s="260">
        <v>32.0</v>
      </c>
      <c r="N81" s="260">
        <v>16.0</v>
      </c>
      <c r="O81" s="260" t="s">
        <v>166</v>
      </c>
      <c r="P81" s="260" t="s">
        <v>166</v>
      </c>
      <c r="Q81" s="260">
        <v>1740.0</v>
      </c>
      <c r="R81" s="260">
        <v>1785.0</v>
      </c>
      <c r="S81" s="260">
        <v>4.0</v>
      </c>
      <c r="T81" s="260">
        <v>12.0</v>
      </c>
      <c r="U81" s="260">
        <v>64.0</v>
      </c>
      <c r="V81" s="260">
        <f t="shared" si="1"/>
        <v>96</v>
      </c>
      <c r="W81" s="260" t="s">
        <v>4665</v>
      </c>
      <c r="X81" s="262">
        <f t="shared" si="2"/>
        <v>28.56</v>
      </c>
      <c r="Y81" s="262">
        <f t="shared" si="3"/>
        <v>57.12</v>
      </c>
      <c r="Z81" s="262">
        <v>1.828</v>
      </c>
      <c r="AA81" s="262">
        <v>0.0572</v>
      </c>
      <c r="AB81" s="262">
        <v>3.656</v>
      </c>
      <c r="AC81" s="260">
        <v>75.0</v>
      </c>
      <c r="AD81" s="260" t="s">
        <v>4628</v>
      </c>
      <c r="AE81" s="684">
        <v>149.0</v>
      </c>
      <c r="AF81" s="685"/>
      <c r="AG81" s="685"/>
      <c r="AH81" s="685"/>
      <c r="AI81" s="685"/>
      <c r="AJ81" s="685"/>
      <c r="AK81" s="685"/>
      <c r="AL81" s="685"/>
      <c r="AM81" s="685"/>
      <c r="AN81" s="685"/>
      <c r="AO81" s="685"/>
      <c r="AP81" s="685"/>
      <c r="AQ81" s="685"/>
      <c r="AR81" s="685"/>
      <c r="AS81" s="685"/>
      <c r="AT81" s="685"/>
      <c r="AU81" s="685"/>
      <c r="AV81" s="685"/>
      <c r="AW81" s="685"/>
      <c r="AX81" s="685"/>
      <c r="AY81" s="685"/>
      <c r="AZ81" s="685"/>
      <c r="BA81" s="685"/>
      <c r="BB81" s="685"/>
      <c r="BC81" s="685"/>
      <c r="BD81" s="685"/>
      <c r="BE81" s="685"/>
      <c r="BF81" s="685"/>
      <c r="BG81" s="685"/>
      <c r="BH81" s="685"/>
      <c r="BI81" s="685"/>
      <c r="BJ81" s="685"/>
      <c r="BK81" s="685"/>
    </row>
    <row r="82">
      <c r="A82" s="507" t="s">
        <v>3401</v>
      </c>
      <c r="B82" s="260" t="s">
        <v>4732</v>
      </c>
      <c r="C82" s="260">
        <v>16.0</v>
      </c>
      <c r="D82" s="663" t="s">
        <v>4786</v>
      </c>
      <c r="E82" s="683">
        <v>43578.0</v>
      </c>
      <c r="F82" s="663" t="s">
        <v>4787</v>
      </c>
      <c r="G82" s="260" t="s">
        <v>4780</v>
      </c>
      <c r="H82" s="260" t="s">
        <v>4785</v>
      </c>
      <c r="I82" s="260" t="s">
        <v>3304</v>
      </c>
      <c r="J82" s="260">
        <v>4.7</v>
      </c>
      <c r="K82" s="260">
        <v>200.0</v>
      </c>
      <c r="L82" s="260">
        <v>896.0</v>
      </c>
      <c r="M82" s="260">
        <v>56.0</v>
      </c>
      <c r="N82" s="260">
        <v>32.0</v>
      </c>
      <c r="O82" s="260" t="s">
        <v>166</v>
      </c>
      <c r="P82" s="260" t="s">
        <v>166</v>
      </c>
      <c r="Q82" s="260">
        <v>1485.0</v>
      </c>
      <c r="R82" s="260">
        <v>1665.0</v>
      </c>
      <c r="S82" s="260">
        <v>4.0</v>
      </c>
      <c r="T82" s="260">
        <v>8.0</v>
      </c>
      <c r="U82" s="260">
        <v>128.0</v>
      </c>
      <c r="V82" s="260">
        <f t="shared" si="1"/>
        <v>128</v>
      </c>
      <c r="W82" s="260" t="s">
        <v>4627</v>
      </c>
      <c r="X82" s="262">
        <f t="shared" si="2"/>
        <v>53.28</v>
      </c>
      <c r="Y82" s="262">
        <f t="shared" si="3"/>
        <v>93.24</v>
      </c>
      <c r="Z82" s="262">
        <v>2.98</v>
      </c>
      <c r="AA82" s="262">
        <v>0.09</v>
      </c>
      <c r="AB82" s="262">
        <v>5.97</v>
      </c>
      <c r="AC82" s="260">
        <v>75.0</v>
      </c>
      <c r="AD82" s="260" t="s">
        <v>4628</v>
      </c>
      <c r="AE82" s="684">
        <v>149.0</v>
      </c>
      <c r="AF82" s="685"/>
      <c r="AG82" s="685"/>
      <c r="AH82" s="685"/>
      <c r="AI82" s="685"/>
      <c r="AJ82" s="685"/>
      <c r="AK82" s="685"/>
      <c r="AL82" s="685"/>
      <c r="AM82" s="685"/>
      <c r="AN82" s="685"/>
      <c r="AO82" s="685"/>
      <c r="AP82" s="685"/>
      <c r="AQ82" s="685"/>
      <c r="AR82" s="685"/>
      <c r="AS82" s="685"/>
      <c r="AT82" s="685"/>
      <c r="AU82" s="685"/>
      <c r="AV82" s="685"/>
      <c r="AW82" s="685"/>
      <c r="AX82" s="685"/>
      <c r="AY82" s="685"/>
      <c r="AZ82" s="685"/>
      <c r="BA82" s="685"/>
      <c r="BB82" s="685"/>
      <c r="BC82" s="685"/>
      <c r="BD82" s="685"/>
      <c r="BE82" s="685"/>
      <c r="BF82" s="685"/>
      <c r="BG82" s="685"/>
      <c r="BH82" s="685"/>
      <c r="BI82" s="685"/>
      <c r="BJ82" s="685"/>
      <c r="BK82" s="685"/>
    </row>
    <row r="83">
      <c r="A83" s="507" t="s">
        <v>3401</v>
      </c>
      <c r="B83" s="260" t="s">
        <v>4732</v>
      </c>
      <c r="C83" s="260">
        <v>16.0</v>
      </c>
      <c r="D83" s="663" t="s">
        <v>4788</v>
      </c>
      <c r="E83" s="683">
        <v>43924.0</v>
      </c>
      <c r="F83" s="663" t="s">
        <v>4787</v>
      </c>
      <c r="G83" s="260" t="s">
        <v>4780</v>
      </c>
      <c r="H83" s="260" t="s">
        <v>4785</v>
      </c>
      <c r="I83" s="260" t="s">
        <v>3304</v>
      </c>
      <c r="J83" s="260">
        <v>4.7</v>
      </c>
      <c r="K83" s="260">
        <v>200.0</v>
      </c>
      <c r="L83" s="260">
        <v>896.0</v>
      </c>
      <c r="M83" s="260">
        <v>56.0</v>
      </c>
      <c r="N83" s="260">
        <v>32.0</v>
      </c>
      <c r="O83" s="260" t="s">
        <v>166</v>
      </c>
      <c r="P83" s="260" t="s">
        <v>166</v>
      </c>
      <c r="Q83" s="260">
        <v>1410.0</v>
      </c>
      <c r="R83" s="260">
        <v>1590.0</v>
      </c>
      <c r="S83" s="260">
        <v>4.0</v>
      </c>
      <c r="T83" s="260">
        <v>12.0</v>
      </c>
      <c r="U83" s="260">
        <v>128.0</v>
      </c>
      <c r="V83" s="260">
        <f t="shared" si="1"/>
        <v>192</v>
      </c>
      <c r="W83" s="260" t="s">
        <v>4665</v>
      </c>
      <c r="X83" s="262">
        <f t="shared" si="2"/>
        <v>50.88</v>
      </c>
      <c r="Y83" s="262">
        <f t="shared" si="3"/>
        <v>89.04</v>
      </c>
      <c r="Z83" s="262">
        <v>2.85</v>
      </c>
      <c r="AA83" s="262">
        <v>0.09</v>
      </c>
      <c r="AB83" s="262">
        <v>5.7</v>
      </c>
      <c r="AC83" s="260">
        <v>75.0</v>
      </c>
      <c r="AD83" s="260" t="s">
        <v>4628</v>
      </c>
      <c r="AE83" s="684">
        <v>149.0</v>
      </c>
      <c r="AF83" s="685"/>
      <c r="AG83" s="685"/>
      <c r="AH83" s="685"/>
      <c r="AI83" s="685"/>
      <c r="AJ83" s="685"/>
      <c r="AK83" s="685"/>
      <c r="AL83" s="685"/>
      <c r="AM83" s="685"/>
      <c r="AN83" s="685"/>
      <c r="AO83" s="685"/>
      <c r="AP83" s="685"/>
      <c r="AQ83" s="685"/>
      <c r="AR83" s="685"/>
      <c r="AS83" s="685"/>
      <c r="AT83" s="685"/>
      <c r="AU83" s="685"/>
      <c r="AV83" s="685"/>
      <c r="AW83" s="685"/>
      <c r="AX83" s="685"/>
      <c r="AY83" s="685"/>
      <c r="AZ83" s="685"/>
      <c r="BA83" s="685"/>
      <c r="BB83" s="685"/>
      <c r="BC83" s="685"/>
      <c r="BD83" s="685"/>
      <c r="BE83" s="685"/>
      <c r="BF83" s="685"/>
      <c r="BG83" s="685"/>
      <c r="BH83" s="685"/>
      <c r="BI83" s="685"/>
      <c r="BJ83" s="685"/>
      <c r="BK83" s="685"/>
    </row>
    <row r="84">
      <c r="A84" s="507" t="s">
        <v>3401</v>
      </c>
      <c r="B84" s="260" t="s">
        <v>4732</v>
      </c>
      <c r="C84" s="260">
        <v>16.0</v>
      </c>
      <c r="D84" s="663" t="s">
        <v>4789</v>
      </c>
      <c r="E84" s="683">
        <v>43791.0</v>
      </c>
      <c r="F84" s="663" t="s">
        <v>4790</v>
      </c>
      <c r="G84" s="260" t="s">
        <v>4780</v>
      </c>
      <c r="H84" s="260" t="s">
        <v>4785</v>
      </c>
      <c r="I84" s="260" t="s">
        <v>3304</v>
      </c>
      <c r="J84" s="260">
        <v>6.6</v>
      </c>
      <c r="K84" s="260">
        <v>284.0</v>
      </c>
      <c r="L84" s="260">
        <v>1280.0</v>
      </c>
      <c r="M84" s="260">
        <v>80.0</v>
      </c>
      <c r="N84" s="260">
        <v>32.0</v>
      </c>
      <c r="O84" s="260" t="s">
        <v>166</v>
      </c>
      <c r="P84" s="260" t="s">
        <v>166</v>
      </c>
      <c r="Q84" s="260">
        <v>1530.0</v>
      </c>
      <c r="R84" s="260">
        <v>1725.0</v>
      </c>
      <c r="S84" s="260">
        <v>4.0</v>
      </c>
      <c r="T84" s="260">
        <v>12.0</v>
      </c>
      <c r="U84" s="260">
        <v>128.0</v>
      </c>
      <c r="V84" s="260">
        <f t="shared" si="1"/>
        <v>192</v>
      </c>
      <c r="W84" s="260" t="s">
        <v>4665</v>
      </c>
      <c r="X84" s="262">
        <f t="shared" si="2"/>
        <v>55.2</v>
      </c>
      <c r="Y84" s="262">
        <f t="shared" si="3"/>
        <v>138</v>
      </c>
      <c r="Z84" s="262">
        <v>4.42</v>
      </c>
      <c r="AA84" s="262">
        <v>0.14</v>
      </c>
      <c r="AB84" s="262">
        <v>8.83</v>
      </c>
      <c r="AC84" s="260">
        <v>100.0</v>
      </c>
      <c r="AD84" s="260" t="s">
        <v>4628</v>
      </c>
      <c r="AE84" s="684">
        <v>159.0</v>
      </c>
      <c r="AF84" s="685"/>
      <c r="AG84" s="685"/>
      <c r="AH84" s="685"/>
      <c r="AI84" s="685"/>
      <c r="AJ84" s="685"/>
      <c r="AK84" s="685"/>
      <c r="AL84" s="685"/>
      <c r="AM84" s="685"/>
      <c r="AN84" s="685"/>
      <c r="AO84" s="685"/>
      <c r="AP84" s="685"/>
      <c r="AQ84" s="685"/>
      <c r="AR84" s="685"/>
      <c r="AS84" s="685"/>
      <c r="AT84" s="685"/>
      <c r="AU84" s="685"/>
      <c r="AV84" s="685"/>
      <c r="AW84" s="685"/>
      <c r="AX84" s="685"/>
      <c r="AY84" s="685"/>
      <c r="AZ84" s="685"/>
      <c r="BA84" s="685"/>
      <c r="BB84" s="685"/>
      <c r="BC84" s="685"/>
      <c r="BD84" s="685"/>
      <c r="BE84" s="685"/>
      <c r="BF84" s="685"/>
      <c r="BG84" s="685"/>
      <c r="BH84" s="685"/>
      <c r="BI84" s="685"/>
      <c r="BJ84" s="685"/>
      <c r="BK84" s="685"/>
    </row>
    <row r="85">
      <c r="A85" s="507" t="s">
        <v>3401</v>
      </c>
      <c r="B85" s="260" t="s">
        <v>4732</v>
      </c>
      <c r="C85" s="260">
        <v>16.0</v>
      </c>
      <c r="D85" s="663" t="s">
        <v>3511</v>
      </c>
      <c r="E85" s="683">
        <v>43538.0</v>
      </c>
      <c r="F85" s="663" t="s">
        <v>4791</v>
      </c>
      <c r="G85" s="260" t="s">
        <v>4780</v>
      </c>
      <c r="H85" s="260" t="s">
        <v>4785</v>
      </c>
      <c r="I85" s="260" t="s">
        <v>3304</v>
      </c>
      <c r="J85" s="260">
        <v>6.6</v>
      </c>
      <c r="K85" s="260">
        <v>284.0</v>
      </c>
      <c r="L85" s="260">
        <v>1408.0</v>
      </c>
      <c r="M85" s="260">
        <v>88.0</v>
      </c>
      <c r="N85" s="260">
        <v>48.0</v>
      </c>
      <c r="O85" s="260" t="s">
        <v>166</v>
      </c>
      <c r="P85" s="260" t="s">
        <v>166</v>
      </c>
      <c r="Q85" s="260">
        <v>1530.0</v>
      </c>
      <c r="R85" s="260">
        <v>1785.0</v>
      </c>
      <c r="S85" s="260">
        <v>6.0</v>
      </c>
      <c r="T85" s="260">
        <v>8.0</v>
      </c>
      <c r="U85" s="260">
        <v>192.0</v>
      </c>
      <c r="V85" s="260">
        <f t="shared" si="1"/>
        <v>192</v>
      </c>
      <c r="W85" s="260" t="s">
        <v>4627</v>
      </c>
      <c r="X85" s="262">
        <f t="shared" si="2"/>
        <v>85.68</v>
      </c>
      <c r="Y85" s="262">
        <f t="shared" si="3"/>
        <v>157.08</v>
      </c>
      <c r="Z85" s="262">
        <v>5.03</v>
      </c>
      <c r="AA85" s="262">
        <v>0.16</v>
      </c>
      <c r="AB85" s="262">
        <v>10.05</v>
      </c>
      <c r="AC85" s="260">
        <v>120.0</v>
      </c>
      <c r="AD85" s="260" t="s">
        <v>4628</v>
      </c>
      <c r="AE85" s="684">
        <v>219.0</v>
      </c>
      <c r="AF85" s="685"/>
      <c r="AG85" s="685"/>
      <c r="AH85" s="685"/>
      <c r="AI85" s="685"/>
      <c r="AJ85" s="685"/>
      <c r="AK85" s="685"/>
      <c r="AL85" s="685"/>
      <c r="AM85" s="685"/>
      <c r="AN85" s="685"/>
      <c r="AO85" s="685"/>
      <c r="AP85" s="685"/>
      <c r="AQ85" s="685"/>
      <c r="AR85" s="685"/>
      <c r="AS85" s="685"/>
      <c r="AT85" s="685"/>
      <c r="AU85" s="685"/>
      <c r="AV85" s="685"/>
      <c r="AW85" s="685"/>
      <c r="AX85" s="685"/>
      <c r="AY85" s="685"/>
      <c r="AZ85" s="685"/>
      <c r="BA85" s="685"/>
      <c r="BB85" s="685"/>
      <c r="BC85" s="685"/>
      <c r="BD85" s="685"/>
      <c r="BE85" s="685"/>
      <c r="BF85" s="685"/>
      <c r="BG85" s="685"/>
      <c r="BH85" s="685"/>
      <c r="BI85" s="685"/>
      <c r="BJ85" s="685"/>
      <c r="BK85" s="685"/>
    </row>
    <row r="86">
      <c r="A86" s="507" t="s">
        <v>3401</v>
      </c>
      <c r="B86" s="260" t="s">
        <v>4732</v>
      </c>
      <c r="C86" s="260">
        <v>16.0</v>
      </c>
      <c r="D86" s="663" t="s">
        <v>4792</v>
      </c>
      <c r="E86" s="683">
        <v>43767.0</v>
      </c>
      <c r="F86" s="663" t="s">
        <v>4791</v>
      </c>
      <c r="G86" s="260" t="s">
        <v>4780</v>
      </c>
      <c r="H86" s="260" t="s">
        <v>4785</v>
      </c>
      <c r="I86" s="260" t="s">
        <v>3304</v>
      </c>
      <c r="J86" s="260">
        <v>6.6</v>
      </c>
      <c r="K86" s="260">
        <v>284.0</v>
      </c>
      <c r="L86" s="260">
        <v>1408.0</v>
      </c>
      <c r="M86" s="260">
        <v>88.0</v>
      </c>
      <c r="N86" s="260">
        <v>48.0</v>
      </c>
      <c r="O86" s="260" t="s">
        <v>166</v>
      </c>
      <c r="P86" s="260" t="s">
        <v>166</v>
      </c>
      <c r="Q86" s="260">
        <v>1530.0</v>
      </c>
      <c r="R86" s="260">
        <v>1785.0</v>
      </c>
      <c r="S86" s="260">
        <v>6.0</v>
      </c>
      <c r="T86" s="260">
        <v>14.0</v>
      </c>
      <c r="U86" s="260">
        <v>192.0</v>
      </c>
      <c r="V86" s="260">
        <f t="shared" si="1"/>
        <v>336</v>
      </c>
      <c r="W86" s="260" t="s">
        <v>4665</v>
      </c>
      <c r="X86" s="262">
        <f t="shared" si="2"/>
        <v>85.68</v>
      </c>
      <c r="Y86" s="262">
        <f t="shared" si="3"/>
        <v>157.08</v>
      </c>
      <c r="Z86" s="262">
        <v>5.03</v>
      </c>
      <c r="AA86" s="262">
        <v>0.16</v>
      </c>
      <c r="AB86" s="262">
        <v>10.05</v>
      </c>
      <c r="AC86" s="260">
        <v>125.0</v>
      </c>
      <c r="AD86" s="260" t="s">
        <v>4628</v>
      </c>
      <c r="AE86" s="684">
        <v>229.0</v>
      </c>
      <c r="AF86" s="685"/>
      <c r="AG86" s="685"/>
      <c r="AH86" s="685"/>
      <c r="AI86" s="685"/>
      <c r="AJ86" s="685"/>
      <c r="AK86" s="685"/>
      <c r="AL86" s="685"/>
      <c r="AM86" s="685"/>
      <c r="AN86" s="685"/>
      <c r="AO86" s="685"/>
      <c r="AP86" s="685"/>
      <c r="AQ86" s="685"/>
      <c r="AR86" s="685"/>
      <c r="AS86" s="685"/>
      <c r="AT86" s="685"/>
      <c r="AU86" s="685"/>
      <c r="AV86" s="685"/>
      <c r="AW86" s="685"/>
      <c r="AX86" s="685"/>
      <c r="AY86" s="685"/>
      <c r="AZ86" s="685"/>
      <c r="BA86" s="685"/>
      <c r="BB86" s="685"/>
      <c r="BC86" s="685"/>
      <c r="BD86" s="685"/>
      <c r="BE86" s="685"/>
      <c r="BF86" s="685"/>
      <c r="BG86" s="685"/>
      <c r="BH86" s="685"/>
      <c r="BI86" s="685"/>
      <c r="BJ86" s="685"/>
      <c r="BK86" s="685"/>
    </row>
    <row r="87">
      <c r="A87" s="519" t="s">
        <v>3401</v>
      </c>
      <c r="B87" s="393" t="s">
        <v>4732</v>
      </c>
      <c r="C87" s="393">
        <v>16.0</v>
      </c>
      <c r="D87" s="669" t="s">
        <v>3525</v>
      </c>
      <c r="E87" s="687">
        <v>43517.0</v>
      </c>
      <c r="F87" s="669" t="s">
        <v>4793</v>
      </c>
      <c r="G87" s="393" t="s">
        <v>4780</v>
      </c>
      <c r="H87" s="393" t="s">
        <v>4785</v>
      </c>
      <c r="I87" s="393" t="s">
        <v>3304</v>
      </c>
      <c r="J87" s="393">
        <v>6.6</v>
      </c>
      <c r="K87" s="393">
        <v>284.0</v>
      </c>
      <c r="L87" s="393">
        <v>1536.0</v>
      </c>
      <c r="M87" s="393">
        <v>96.0</v>
      </c>
      <c r="N87" s="393">
        <v>48.0</v>
      </c>
      <c r="O87" s="393" t="s">
        <v>166</v>
      </c>
      <c r="P87" s="393" t="s">
        <v>166</v>
      </c>
      <c r="Q87" s="393">
        <v>1500.0</v>
      </c>
      <c r="R87" s="393">
        <v>1770.0</v>
      </c>
      <c r="S87" s="393">
        <v>6.0</v>
      </c>
      <c r="T87" s="393">
        <v>12.0</v>
      </c>
      <c r="U87" s="393">
        <v>192.0</v>
      </c>
      <c r="V87" s="393">
        <f t="shared" si="1"/>
        <v>288</v>
      </c>
      <c r="W87" s="393" t="s">
        <v>4665</v>
      </c>
      <c r="X87" s="672">
        <f t="shared" si="2"/>
        <v>84.96</v>
      </c>
      <c r="Y87" s="672">
        <f t="shared" si="3"/>
        <v>169.92</v>
      </c>
      <c r="Z87" s="672">
        <v>5.44</v>
      </c>
      <c r="AA87" s="672">
        <v>0.17</v>
      </c>
      <c r="AB87" s="672">
        <v>10.87</v>
      </c>
      <c r="AC87" s="393">
        <v>120.0</v>
      </c>
      <c r="AD87" s="393" t="s">
        <v>4628</v>
      </c>
      <c r="AE87" s="688">
        <v>279.0</v>
      </c>
      <c r="AF87" s="685"/>
      <c r="AG87" s="685"/>
      <c r="AH87" s="685"/>
      <c r="AI87" s="685"/>
      <c r="AJ87" s="685"/>
      <c r="AK87" s="685"/>
      <c r="AL87" s="685"/>
      <c r="AM87" s="685"/>
      <c r="AN87" s="685"/>
      <c r="AO87" s="685"/>
      <c r="AP87" s="685"/>
      <c r="AQ87" s="685"/>
      <c r="AR87" s="685"/>
      <c r="AS87" s="685"/>
      <c r="AT87" s="685"/>
      <c r="AU87" s="685"/>
      <c r="AV87" s="685"/>
      <c r="AW87" s="685"/>
      <c r="AX87" s="685"/>
      <c r="AY87" s="685"/>
      <c r="AZ87" s="685"/>
      <c r="BA87" s="685"/>
      <c r="BB87" s="685"/>
      <c r="BC87" s="685"/>
      <c r="BD87" s="685"/>
      <c r="BE87" s="685"/>
      <c r="BF87" s="685"/>
      <c r="BG87" s="685"/>
      <c r="BH87" s="685"/>
      <c r="BI87" s="685"/>
      <c r="BJ87" s="685"/>
      <c r="BK87" s="685"/>
    </row>
    <row r="88">
      <c r="A88" s="507" t="s">
        <v>3401</v>
      </c>
      <c r="B88" s="260" t="s">
        <v>166</v>
      </c>
      <c r="C88" s="260" t="s">
        <v>4794</v>
      </c>
      <c r="D88" s="663" t="s">
        <v>4795</v>
      </c>
      <c r="E88" s="683">
        <v>44322.0</v>
      </c>
      <c r="F88" s="663" t="s">
        <v>4796</v>
      </c>
      <c r="G88" s="260" t="s">
        <v>4780</v>
      </c>
      <c r="H88" s="260" t="s">
        <v>4785</v>
      </c>
      <c r="I88" s="260" t="s">
        <v>3304</v>
      </c>
      <c r="J88" s="260">
        <v>4.7</v>
      </c>
      <c r="K88" s="260">
        <v>200.0</v>
      </c>
      <c r="L88" s="260">
        <v>384.0</v>
      </c>
      <c r="M88" s="260">
        <v>24.0</v>
      </c>
      <c r="N88" s="260">
        <v>16.0</v>
      </c>
      <c r="O88" s="260" t="s">
        <v>166</v>
      </c>
      <c r="P88" s="260" t="s">
        <v>166</v>
      </c>
      <c r="Q88" s="260">
        <v>420.0</v>
      </c>
      <c r="R88" s="260">
        <v>1425.0</v>
      </c>
      <c r="S88" s="260">
        <v>2.0</v>
      </c>
      <c r="T88" s="260">
        <v>10.0</v>
      </c>
      <c r="U88" s="260">
        <v>64.0</v>
      </c>
      <c r="V88" s="260">
        <f t="shared" si="1"/>
        <v>80</v>
      </c>
      <c r="W88" s="260" t="s">
        <v>4665</v>
      </c>
      <c r="X88" s="262">
        <f t="shared" si="2"/>
        <v>22.8</v>
      </c>
      <c r="Y88" s="262">
        <f t="shared" si="3"/>
        <v>34.2</v>
      </c>
      <c r="Z88" s="262">
        <v>1.094</v>
      </c>
      <c r="AA88" s="262">
        <f t="shared" ref="AA88:AA92" si="8">Z88/32</f>
        <v>0.0341875</v>
      </c>
      <c r="AB88" s="262">
        <v>2.189</v>
      </c>
      <c r="AC88" s="260">
        <v>30.0</v>
      </c>
      <c r="AD88" s="260" t="s">
        <v>4628</v>
      </c>
      <c r="AE88" s="684" t="s">
        <v>170</v>
      </c>
      <c r="AF88" s="685"/>
      <c r="AG88" s="685"/>
      <c r="AH88" s="685"/>
      <c r="AI88" s="685"/>
      <c r="AJ88" s="685"/>
      <c r="AK88" s="685"/>
      <c r="AL88" s="685"/>
      <c r="AM88" s="685"/>
      <c r="AN88" s="685"/>
      <c r="AO88" s="685"/>
      <c r="AP88" s="685"/>
      <c r="AQ88" s="685"/>
      <c r="AR88" s="685"/>
      <c r="AS88" s="685"/>
      <c r="AT88" s="685"/>
      <c r="AU88" s="685"/>
      <c r="AV88" s="685"/>
      <c r="AW88" s="685"/>
      <c r="AX88" s="685"/>
      <c r="AY88" s="685"/>
      <c r="AZ88" s="685"/>
      <c r="BA88" s="685"/>
      <c r="BB88" s="685"/>
      <c r="BC88" s="685"/>
      <c r="BD88" s="685"/>
      <c r="BE88" s="685"/>
      <c r="BF88" s="685"/>
      <c r="BG88" s="685"/>
      <c r="BH88" s="685"/>
      <c r="BI88" s="685"/>
      <c r="BJ88" s="685"/>
      <c r="BK88" s="685"/>
    </row>
    <row r="89">
      <c r="A89" s="507" t="s">
        <v>3401</v>
      </c>
      <c r="B89" s="260" t="s">
        <v>166</v>
      </c>
      <c r="C89" s="260" t="s">
        <v>4794</v>
      </c>
      <c r="D89" s="663" t="s">
        <v>4797</v>
      </c>
      <c r="E89" s="683">
        <v>44322.0</v>
      </c>
      <c r="F89" s="663" t="s">
        <v>4796</v>
      </c>
      <c r="G89" s="260" t="s">
        <v>4780</v>
      </c>
      <c r="H89" s="260" t="s">
        <v>4785</v>
      </c>
      <c r="I89" s="260" t="s">
        <v>3304</v>
      </c>
      <c r="J89" s="260">
        <v>4.7</v>
      </c>
      <c r="K89" s="260">
        <v>200.0</v>
      </c>
      <c r="L89" s="260">
        <v>384.0</v>
      </c>
      <c r="M89" s="260">
        <v>24.0</v>
      </c>
      <c r="N89" s="260">
        <v>16.0</v>
      </c>
      <c r="O89" s="260" t="s">
        <v>166</v>
      </c>
      <c r="P89" s="260" t="s">
        <v>166</v>
      </c>
      <c r="Q89" s="260">
        <v>420.0</v>
      </c>
      <c r="R89" s="260">
        <v>1425.0</v>
      </c>
      <c r="S89" s="260">
        <v>4.0</v>
      </c>
      <c r="T89" s="260">
        <v>10.0</v>
      </c>
      <c r="U89" s="260">
        <v>64.0</v>
      </c>
      <c r="V89" s="260">
        <f t="shared" si="1"/>
        <v>80</v>
      </c>
      <c r="W89" s="260" t="s">
        <v>4665</v>
      </c>
      <c r="X89" s="262">
        <f t="shared" si="2"/>
        <v>22.8</v>
      </c>
      <c r="Y89" s="262">
        <f t="shared" si="3"/>
        <v>34.2</v>
      </c>
      <c r="Z89" s="262">
        <v>1.094</v>
      </c>
      <c r="AA89" s="262">
        <f t="shared" si="8"/>
        <v>0.0341875</v>
      </c>
      <c r="AB89" s="262">
        <v>2.189</v>
      </c>
      <c r="AC89" s="260">
        <v>30.0</v>
      </c>
      <c r="AD89" s="260" t="s">
        <v>4628</v>
      </c>
      <c r="AE89" s="684" t="s">
        <v>170</v>
      </c>
      <c r="AF89" s="685"/>
      <c r="AG89" s="685"/>
      <c r="AH89" s="685"/>
      <c r="AI89" s="685"/>
      <c r="AJ89" s="685"/>
      <c r="AK89" s="685"/>
      <c r="AL89" s="685"/>
      <c r="AM89" s="685"/>
      <c r="AN89" s="685"/>
      <c r="AO89" s="685"/>
      <c r="AP89" s="685"/>
      <c r="AQ89" s="685"/>
      <c r="AR89" s="685"/>
      <c r="AS89" s="685"/>
      <c r="AT89" s="685"/>
      <c r="AU89" s="685"/>
      <c r="AV89" s="685"/>
      <c r="AW89" s="685"/>
      <c r="AX89" s="685"/>
      <c r="AY89" s="685"/>
      <c r="AZ89" s="685"/>
      <c r="BA89" s="685"/>
      <c r="BB89" s="685"/>
      <c r="BC89" s="685"/>
      <c r="BD89" s="685"/>
      <c r="BE89" s="685"/>
      <c r="BF89" s="685"/>
      <c r="BG89" s="685"/>
      <c r="BH89" s="685"/>
      <c r="BI89" s="685"/>
      <c r="BJ89" s="685"/>
      <c r="BK89" s="685"/>
    </row>
    <row r="90">
      <c r="A90" s="507" t="s">
        <v>3401</v>
      </c>
      <c r="B90" s="260" t="s">
        <v>166</v>
      </c>
      <c r="C90" s="260" t="s">
        <v>4794</v>
      </c>
      <c r="D90" s="663" t="s">
        <v>4798</v>
      </c>
      <c r="E90" s="683">
        <v>44322.0</v>
      </c>
      <c r="F90" s="663" t="s">
        <v>4796</v>
      </c>
      <c r="G90" s="260" t="s">
        <v>4780</v>
      </c>
      <c r="H90" s="260" t="s">
        <v>4785</v>
      </c>
      <c r="I90" s="260" t="s">
        <v>3304</v>
      </c>
      <c r="J90" s="260">
        <v>4.7</v>
      </c>
      <c r="K90" s="260">
        <v>200.0</v>
      </c>
      <c r="L90" s="260">
        <v>640.0</v>
      </c>
      <c r="M90" s="260">
        <v>40.0</v>
      </c>
      <c r="N90" s="260">
        <v>32.0</v>
      </c>
      <c r="O90" s="260" t="s">
        <v>166</v>
      </c>
      <c r="P90" s="260" t="s">
        <v>166</v>
      </c>
      <c r="Q90" s="260">
        <v>735.0</v>
      </c>
      <c r="R90" s="260">
        <v>1335.0</v>
      </c>
      <c r="S90" s="260">
        <v>4.0</v>
      </c>
      <c r="T90" s="260">
        <v>10.0</v>
      </c>
      <c r="U90" s="260">
        <v>128.0</v>
      </c>
      <c r="V90" s="260">
        <f t="shared" si="1"/>
        <v>160</v>
      </c>
      <c r="W90" s="260" t="s">
        <v>4665</v>
      </c>
      <c r="X90" s="262">
        <f t="shared" si="2"/>
        <v>42.72</v>
      </c>
      <c r="Y90" s="262">
        <f t="shared" si="3"/>
        <v>53.4</v>
      </c>
      <c r="Z90" s="262">
        <v>1.709</v>
      </c>
      <c r="AA90" s="262">
        <f t="shared" si="8"/>
        <v>0.05340625</v>
      </c>
      <c r="AB90" s="262">
        <v>3.418</v>
      </c>
      <c r="AC90" s="260">
        <v>40.0</v>
      </c>
      <c r="AD90" s="260" t="s">
        <v>4628</v>
      </c>
      <c r="AE90" s="684" t="s">
        <v>170</v>
      </c>
      <c r="AF90" s="685"/>
      <c r="AG90" s="685"/>
      <c r="AH90" s="685"/>
      <c r="AI90" s="685"/>
      <c r="AJ90" s="685"/>
      <c r="AK90" s="685"/>
      <c r="AL90" s="685"/>
      <c r="AM90" s="685"/>
      <c r="AN90" s="685"/>
      <c r="AO90" s="685"/>
      <c r="AP90" s="685"/>
      <c r="AQ90" s="685"/>
      <c r="AR90" s="685"/>
      <c r="AS90" s="685"/>
      <c r="AT90" s="685"/>
      <c r="AU90" s="685"/>
      <c r="AV90" s="685"/>
      <c r="AW90" s="685"/>
      <c r="AX90" s="685"/>
      <c r="AY90" s="685"/>
      <c r="AZ90" s="685"/>
      <c r="BA90" s="685"/>
      <c r="BB90" s="685"/>
      <c r="BC90" s="685"/>
      <c r="BD90" s="685"/>
      <c r="BE90" s="685"/>
      <c r="BF90" s="685"/>
      <c r="BG90" s="685"/>
      <c r="BH90" s="685"/>
      <c r="BI90" s="685"/>
      <c r="BJ90" s="685"/>
      <c r="BK90" s="685"/>
    </row>
    <row r="91">
      <c r="A91" s="507" t="s">
        <v>3401</v>
      </c>
      <c r="B91" s="260" t="s">
        <v>166</v>
      </c>
      <c r="C91" s="260" t="s">
        <v>4794</v>
      </c>
      <c r="D91" s="663" t="s">
        <v>4799</v>
      </c>
      <c r="E91" s="683">
        <v>44322.0</v>
      </c>
      <c r="F91" s="663" t="s">
        <v>4796</v>
      </c>
      <c r="G91" s="260" t="s">
        <v>4780</v>
      </c>
      <c r="H91" s="260" t="s">
        <v>4785</v>
      </c>
      <c r="I91" s="260" t="s">
        <v>3304</v>
      </c>
      <c r="J91" s="260">
        <v>4.7</v>
      </c>
      <c r="K91" s="260">
        <v>200.0</v>
      </c>
      <c r="L91" s="260">
        <v>896.0</v>
      </c>
      <c r="M91" s="260">
        <v>56.0</v>
      </c>
      <c r="N91" s="260">
        <v>32.0</v>
      </c>
      <c r="O91" s="260" t="s">
        <v>166</v>
      </c>
      <c r="P91" s="260" t="s">
        <v>166</v>
      </c>
      <c r="Q91" s="260">
        <v>1065.0</v>
      </c>
      <c r="R91" s="260">
        <v>1395.0</v>
      </c>
      <c r="S91" s="260">
        <v>4.0</v>
      </c>
      <c r="T91" s="260">
        <v>10.0</v>
      </c>
      <c r="U91" s="260">
        <v>128.0</v>
      </c>
      <c r="V91" s="260">
        <f t="shared" si="1"/>
        <v>160</v>
      </c>
      <c r="W91" s="260" t="s">
        <v>4665</v>
      </c>
      <c r="X91" s="262">
        <f t="shared" si="2"/>
        <v>44.64</v>
      </c>
      <c r="Y91" s="262">
        <f t="shared" si="3"/>
        <v>78.12</v>
      </c>
      <c r="Z91" s="262">
        <v>2.5</v>
      </c>
      <c r="AA91" s="262">
        <f t="shared" si="8"/>
        <v>0.078125</v>
      </c>
      <c r="AB91" s="262">
        <v>5.0</v>
      </c>
      <c r="AC91" s="260">
        <v>50.0</v>
      </c>
      <c r="AD91" s="260" t="s">
        <v>4628</v>
      </c>
      <c r="AE91" s="684" t="s">
        <v>170</v>
      </c>
      <c r="AF91" s="685"/>
      <c r="AG91" s="685"/>
      <c r="AH91" s="685"/>
      <c r="AI91" s="685"/>
      <c r="AJ91" s="685"/>
      <c r="AK91" s="685"/>
      <c r="AL91" s="685"/>
      <c r="AM91" s="685"/>
      <c r="AN91" s="685"/>
      <c r="AO91" s="685"/>
      <c r="AP91" s="685"/>
      <c r="AQ91" s="685"/>
      <c r="AR91" s="685"/>
      <c r="AS91" s="685"/>
      <c r="AT91" s="685"/>
      <c r="AU91" s="685"/>
      <c r="AV91" s="685"/>
      <c r="AW91" s="685"/>
      <c r="AX91" s="685"/>
      <c r="AY91" s="685"/>
      <c r="AZ91" s="685"/>
      <c r="BA91" s="685"/>
      <c r="BB91" s="685"/>
      <c r="BC91" s="685"/>
      <c r="BD91" s="685"/>
      <c r="BE91" s="685"/>
      <c r="BF91" s="685"/>
      <c r="BG91" s="685"/>
      <c r="BH91" s="685"/>
      <c r="BI91" s="685"/>
      <c r="BJ91" s="685"/>
      <c r="BK91" s="685"/>
    </row>
    <row r="92">
      <c r="A92" s="519" t="s">
        <v>3401</v>
      </c>
      <c r="B92" s="393" t="s">
        <v>166</v>
      </c>
      <c r="C92" s="393" t="s">
        <v>4794</v>
      </c>
      <c r="D92" s="669" t="s">
        <v>4800</v>
      </c>
      <c r="E92" s="687">
        <v>44322.0</v>
      </c>
      <c r="F92" s="669" t="s">
        <v>4796</v>
      </c>
      <c r="G92" s="393" t="s">
        <v>4780</v>
      </c>
      <c r="H92" s="393" t="s">
        <v>4785</v>
      </c>
      <c r="I92" s="393" t="s">
        <v>3304</v>
      </c>
      <c r="J92" s="393">
        <v>4.7</v>
      </c>
      <c r="K92" s="393">
        <v>200.0</v>
      </c>
      <c r="L92" s="393">
        <v>896.0</v>
      </c>
      <c r="M92" s="393">
        <v>56.0</v>
      </c>
      <c r="N92" s="393">
        <v>32.0</v>
      </c>
      <c r="O92" s="393" t="s">
        <v>166</v>
      </c>
      <c r="P92" s="393" t="s">
        <v>166</v>
      </c>
      <c r="Q92" s="393">
        <v>1065.0</v>
      </c>
      <c r="R92" s="393">
        <v>1395.0</v>
      </c>
      <c r="S92" s="393">
        <v>8.0</v>
      </c>
      <c r="T92" s="393">
        <v>10.0</v>
      </c>
      <c r="U92" s="393">
        <v>128.0</v>
      </c>
      <c r="V92" s="393">
        <f t="shared" si="1"/>
        <v>160</v>
      </c>
      <c r="W92" s="393" t="s">
        <v>4665</v>
      </c>
      <c r="X92" s="672">
        <f t="shared" si="2"/>
        <v>44.64</v>
      </c>
      <c r="Y92" s="672">
        <f t="shared" si="3"/>
        <v>78.12</v>
      </c>
      <c r="Z92" s="672">
        <v>2.5</v>
      </c>
      <c r="AA92" s="672">
        <f t="shared" si="8"/>
        <v>0.078125</v>
      </c>
      <c r="AB92" s="672">
        <v>5.0</v>
      </c>
      <c r="AC92" s="393">
        <v>50.0</v>
      </c>
      <c r="AD92" s="393" t="s">
        <v>4628</v>
      </c>
      <c r="AE92" s="688" t="s">
        <v>170</v>
      </c>
      <c r="AF92" s="685"/>
      <c r="AG92" s="685"/>
      <c r="AH92" s="685"/>
      <c r="AI92" s="685"/>
      <c r="AJ92" s="685"/>
      <c r="AK92" s="685"/>
      <c r="AL92" s="685"/>
      <c r="AM92" s="685"/>
      <c r="AN92" s="685"/>
      <c r="AO92" s="685"/>
      <c r="AP92" s="685"/>
      <c r="AQ92" s="685"/>
      <c r="AR92" s="685"/>
      <c r="AS92" s="685"/>
      <c r="AT92" s="685"/>
      <c r="AU92" s="685"/>
      <c r="AV92" s="685"/>
      <c r="AW92" s="685"/>
      <c r="AX92" s="685"/>
      <c r="AY92" s="685"/>
      <c r="AZ92" s="685"/>
      <c r="BA92" s="685"/>
      <c r="BB92" s="685"/>
      <c r="BC92" s="685"/>
      <c r="BD92" s="685"/>
      <c r="BE92" s="685"/>
      <c r="BF92" s="685"/>
      <c r="BG92" s="685"/>
      <c r="BH92" s="685"/>
      <c r="BI92" s="685"/>
      <c r="BJ92" s="685"/>
      <c r="BK92" s="685"/>
    </row>
    <row r="93">
      <c r="A93" s="507" t="s">
        <v>3401</v>
      </c>
      <c r="B93" s="260" t="s">
        <v>4732</v>
      </c>
      <c r="C93" s="260">
        <v>20.0</v>
      </c>
      <c r="D93" s="663" t="s">
        <v>4801</v>
      </c>
      <c r="E93" s="683">
        <v>43480.0</v>
      </c>
      <c r="F93" s="663" t="s">
        <v>4802</v>
      </c>
      <c r="G93" s="260" t="s">
        <v>4780</v>
      </c>
      <c r="H93" s="260" t="s">
        <v>4785</v>
      </c>
      <c r="I93" s="260" t="s">
        <v>3304</v>
      </c>
      <c r="J93" s="260">
        <v>10.8</v>
      </c>
      <c r="K93" s="260">
        <v>445.0</v>
      </c>
      <c r="L93" s="260">
        <v>1920.0</v>
      </c>
      <c r="M93" s="260">
        <v>120.0</v>
      </c>
      <c r="N93" s="260">
        <v>48.0</v>
      </c>
      <c r="O93" s="260">
        <v>240.0</v>
      </c>
      <c r="P93" s="260">
        <v>30.0</v>
      </c>
      <c r="Q93" s="260">
        <v>1365.0</v>
      </c>
      <c r="R93" s="260">
        <v>1680.0</v>
      </c>
      <c r="S93" s="260">
        <v>6.0</v>
      </c>
      <c r="T93" s="260">
        <v>14.0</v>
      </c>
      <c r="U93" s="260">
        <v>192.0</v>
      </c>
      <c r="V93" s="260">
        <f t="shared" si="1"/>
        <v>336</v>
      </c>
      <c r="W93" s="260" t="s">
        <v>4665</v>
      </c>
      <c r="X93" s="262">
        <f t="shared" si="2"/>
        <v>80.64</v>
      </c>
      <c r="Y93" s="262">
        <f t="shared" si="3"/>
        <v>201.6</v>
      </c>
      <c r="Z93" s="262">
        <v>6.45</v>
      </c>
      <c r="AA93" s="262">
        <v>0.2</v>
      </c>
      <c r="AB93" s="262">
        <v>12.9</v>
      </c>
      <c r="AC93" s="260">
        <v>160.0</v>
      </c>
      <c r="AD93" s="260" t="s">
        <v>4628</v>
      </c>
      <c r="AE93" s="684">
        <v>349.0</v>
      </c>
      <c r="AF93" s="685"/>
      <c r="AG93" s="685"/>
      <c r="AH93" s="685"/>
      <c r="AI93" s="685"/>
      <c r="AJ93" s="685"/>
      <c r="AK93" s="685"/>
      <c r="AL93" s="685"/>
      <c r="AM93" s="685"/>
      <c r="AN93" s="685"/>
      <c r="AO93" s="685"/>
      <c r="AP93" s="685"/>
      <c r="AQ93" s="685"/>
      <c r="AR93" s="685"/>
      <c r="AS93" s="685"/>
      <c r="AT93" s="685"/>
      <c r="AU93" s="685"/>
      <c r="AV93" s="685"/>
      <c r="AW93" s="685"/>
      <c r="AX93" s="685"/>
      <c r="AY93" s="685"/>
      <c r="AZ93" s="685"/>
      <c r="BA93" s="685"/>
      <c r="BB93" s="685"/>
      <c r="BC93" s="685"/>
      <c r="BD93" s="685"/>
      <c r="BE93" s="685"/>
      <c r="BF93" s="685"/>
      <c r="BG93" s="685"/>
      <c r="BH93" s="685"/>
      <c r="BI93" s="685"/>
      <c r="BJ93" s="685"/>
      <c r="BK93" s="685"/>
    </row>
    <row r="94">
      <c r="A94" s="507" t="s">
        <v>3401</v>
      </c>
      <c r="B94" s="260" t="s">
        <v>4732</v>
      </c>
      <c r="C94" s="260">
        <v>20.0</v>
      </c>
      <c r="D94" s="663" t="s">
        <v>4803</v>
      </c>
      <c r="E94" s="683">
        <v>44537.0</v>
      </c>
      <c r="F94" s="663" t="s">
        <v>4804</v>
      </c>
      <c r="G94" s="260" t="s">
        <v>4780</v>
      </c>
      <c r="H94" s="260" t="s">
        <v>4785</v>
      </c>
      <c r="I94" s="260" t="s">
        <v>3304</v>
      </c>
      <c r="J94" s="260">
        <v>10.8</v>
      </c>
      <c r="K94" s="260">
        <v>445.0</v>
      </c>
      <c r="L94" s="260">
        <v>2176.0</v>
      </c>
      <c r="M94" s="260">
        <v>136.0</v>
      </c>
      <c r="N94" s="260">
        <v>48.0</v>
      </c>
      <c r="O94" s="260">
        <v>272.0</v>
      </c>
      <c r="P94" s="260">
        <v>34.0</v>
      </c>
      <c r="Q94" s="260">
        <v>1470.0</v>
      </c>
      <c r="R94" s="260">
        <v>1650.0</v>
      </c>
      <c r="S94" s="260">
        <v>12.0</v>
      </c>
      <c r="T94" s="260">
        <v>14.0</v>
      </c>
      <c r="U94" s="260">
        <v>192.0</v>
      </c>
      <c r="V94" s="260">
        <f t="shared" si="1"/>
        <v>336</v>
      </c>
      <c r="W94" s="260" t="s">
        <v>4665</v>
      </c>
      <c r="X94" s="262">
        <f t="shared" si="2"/>
        <v>79.2</v>
      </c>
      <c r="Y94" s="262">
        <f t="shared" si="3"/>
        <v>224.4</v>
      </c>
      <c r="Z94" s="262">
        <v>7.18</v>
      </c>
      <c r="AA94" s="262">
        <v>0.22</v>
      </c>
      <c r="AB94" s="262">
        <v>14.36</v>
      </c>
      <c r="AC94" s="260">
        <v>184.0</v>
      </c>
      <c r="AD94" s="260" t="s">
        <v>4628</v>
      </c>
      <c r="AE94" s="684" t="s">
        <v>170</v>
      </c>
      <c r="AF94" s="685"/>
      <c r="AG94" s="685"/>
      <c r="AH94" s="685"/>
      <c r="AI94" s="685"/>
      <c r="AJ94" s="685"/>
      <c r="AK94" s="685"/>
      <c r="AL94" s="685"/>
      <c r="AM94" s="685"/>
      <c r="AN94" s="685"/>
      <c r="AO94" s="685"/>
      <c r="AP94" s="685"/>
      <c r="AQ94" s="685"/>
      <c r="AR94" s="685"/>
      <c r="AS94" s="685"/>
      <c r="AT94" s="685"/>
      <c r="AU94" s="685"/>
      <c r="AV94" s="685"/>
      <c r="AW94" s="685"/>
      <c r="AX94" s="685"/>
      <c r="AY94" s="685"/>
      <c r="AZ94" s="685"/>
      <c r="BA94" s="685"/>
      <c r="BB94" s="685"/>
      <c r="BC94" s="685"/>
      <c r="BD94" s="685"/>
      <c r="BE94" s="685"/>
      <c r="BF94" s="685"/>
      <c r="BG94" s="685"/>
      <c r="BH94" s="685"/>
      <c r="BI94" s="685"/>
      <c r="BJ94" s="685"/>
      <c r="BK94" s="685"/>
    </row>
    <row r="95">
      <c r="A95" s="507" t="s">
        <v>3401</v>
      </c>
      <c r="B95" s="260" t="s">
        <v>4732</v>
      </c>
      <c r="C95" s="260">
        <v>20.0</v>
      </c>
      <c r="D95" s="663" t="s">
        <v>4805</v>
      </c>
      <c r="E95" s="683">
        <v>43655.0</v>
      </c>
      <c r="F95" s="663" t="s">
        <v>4806</v>
      </c>
      <c r="G95" s="260" t="s">
        <v>4780</v>
      </c>
      <c r="H95" s="260" t="s">
        <v>4785</v>
      </c>
      <c r="I95" s="260" t="s">
        <v>3304</v>
      </c>
      <c r="J95" s="260">
        <v>10.8</v>
      </c>
      <c r="K95" s="260">
        <v>445.0</v>
      </c>
      <c r="L95" s="260">
        <v>2176.0</v>
      </c>
      <c r="M95" s="260">
        <v>136.0</v>
      </c>
      <c r="N95" s="260">
        <v>64.0</v>
      </c>
      <c r="O95" s="260">
        <v>272.0</v>
      </c>
      <c r="P95" s="260">
        <v>34.0</v>
      </c>
      <c r="Q95" s="260">
        <v>1470.0</v>
      </c>
      <c r="R95" s="260">
        <v>1650.0</v>
      </c>
      <c r="S95" s="260">
        <v>8.0</v>
      </c>
      <c r="T95" s="260">
        <v>14.0</v>
      </c>
      <c r="U95" s="260">
        <v>256.0</v>
      </c>
      <c r="V95" s="260">
        <f t="shared" si="1"/>
        <v>448</v>
      </c>
      <c r="W95" s="260" t="s">
        <v>4665</v>
      </c>
      <c r="X95" s="262">
        <f t="shared" si="2"/>
        <v>105.6</v>
      </c>
      <c r="Y95" s="262">
        <f t="shared" si="3"/>
        <v>224.4</v>
      </c>
      <c r="Z95" s="262">
        <v>7.18</v>
      </c>
      <c r="AA95" s="262">
        <v>0.22</v>
      </c>
      <c r="AB95" s="262">
        <v>14.36</v>
      </c>
      <c r="AC95" s="260">
        <v>175.0</v>
      </c>
      <c r="AD95" s="260" t="s">
        <v>4628</v>
      </c>
      <c r="AE95" s="684">
        <v>399.0</v>
      </c>
      <c r="AF95" s="685"/>
      <c r="AG95" s="685"/>
      <c r="AH95" s="685"/>
      <c r="AI95" s="685"/>
      <c r="AJ95" s="685"/>
      <c r="AK95" s="685"/>
      <c r="AL95" s="685"/>
      <c r="AM95" s="685"/>
      <c r="AN95" s="685"/>
      <c r="AO95" s="685"/>
      <c r="AP95" s="685"/>
      <c r="AQ95" s="685"/>
      <c r="AR95" s="685"/>
      <c r="AS95" s="685"/>
      <c r="AT95" s="685"/>
      <c r="AU95" s="685"/>
      <c r="AV95" s="685"/>
      <c r="AW95" s="685"/>
      <c r="AX95" s="685"/>
      <c r="AY95" s="685"/>
      <c r="AZ95" s="685"/>
      <c r="BA95" s="685"/>
      <c r="BB95" s="685"/>
      <c r="BC95" s="685"/>
      <c r="BD95" s="685"/>
      <c r="BE95" s="685"/>
      <c r="BF95" s="685"/>
      <c r="BG95" s="685"/>
      <c r="BH95" s="685"/>
      <c r="BI95" s="685"/>
      <c r="BJ95" s="685"/>
      <c r="BK95" s="685"/>
    </row>
    <row r="96">
      <c r="A96" s="507" t="s">
        <v>3401</v>
      </c>
      <c r="B96" s="260" t="s">
        <v>4732</v>
      </c>
      <c r="C96" s="260">
        <v>20.0</v>
      </c>
      <c r="D96" s="663" t="s">
        <v>3967</v>
      </c>
      <c r="E96" s="683">
        <v>43390.0</v>
      </c>
      <c r="F96" s="663" t="s">
        <v>4807</v>
      </c>
      <c r="G96" s="260" t="s">
        <v>4780</v>
      </c>
      <c r="H96" s="260" t="s">
        <v>4785</v>
      </c>
      <c r="I96" s="260" t="s">
        <v>3304</v>
      </c>
      <c r="J96" s="260">
        <v>10.8</v>
      </c>
      <c r="K96" s="260">
        <v>445.0</v>
      </c>
      <c r="L96" s="260">
        <v>2304.0</v>
      </c>
      <c r="M96" s="260">
        <v>144.0</v>
      </c>
      <c r="N96" s="260">
        <v>64.0</v>
      </c>
      <c r="O96" s="260">
        <v>288.0</v>
      </c>
      <c r="P96" s="260">
        <v>36.0</v>
      </c>
      <c r="Q96" s="260">
        <v>1410.0</v>
      </c>
      <c r="R96" s="260">
        <v>1620.0</v>
      </c>
      <c r="S96" s="260">
        <v>8.0</v>
      </c>
      <c r="T96" s="260">
        <v>14.0</v>
      </c>
      <c r="U96" s="260">
        <v>256.0</v>
      </c>
      <c r="V96" s="260">
        <f t="shared" si="1"/>
        <v>448</v>
      </c>
      <c r="W96" s="260" t="s">
        <v>4665</v>
      </c>
      <c r="X96" s="262">
        <f t="shared" si="2"/>
        <v>103.68</v>
      </c>
      <c r="Y96" s="262">
        <f t="shared" si="3"/>
        <v>233.28</v>
      </c>
      <c r="Z96" s="262">
        <v>7.46</v>
      </c>
      <c r="AA96" s="262">
        <v>0.23</v>
      </c>
      <c r="AB96" s="262">
        <v>14.93</v>
      </c>
      <c r="AC96" s="260">
        <v>175.0</v>
      </c>
      <c r="AD96" s="260" t="s">
        <v>4628</v>
      </c>
      <c r="AE96" s="684">
        <v>499.0</v>
      </c>
      <c r="AF96" s="685"/>
      <c r="AG96" s="685"/>
      <c r="AH96" s="685"/>
      <c r="AI96" s="685"/>
      <c r="AJ96" s="685"/>
      <c r="AK96" s="685"/>
      <c r="AL96" s="685"/>
      <c r="AM96" s="685"/>
      <c r="AN96" s="685"/>
      <c r="AO96" s="685"/>
      <c r="AP96" s="685"/>
      <c r="AQ96" s="685"/>
      <c r="AR96" s="685"/>
      <c r="AS96" s="685"/>
      <c r="AT96" s="685"/>
      <c r="AU96" s="685"/>
      <c r="AV96" s="685"/>
      <c r="AW96" s="685"/>
      <c r="AX96" s="685"/>
      <c r="AY96" s="685"/>
      <c r="AZ96" s="685"/>
      <c r="BA96" s="685"/>
      <c r="BB96" s="685"/>
      <c r="BC96" s="685"/>
      <c r="BD96" s="685"/>
      <c r="BE96" s="685"/>
      <c r="BF96" s="685"/>
      <c r="BG96" s="685"/>
      <c r="BH96" s="685"/>
      <c r="BI96" s="685"/>
      <c r="BJ96" s="685"/>
      <c r="BK96" s="685"/>
    </row>
    <row r="97">
      <c r="A97" s="507" t="s">
        <v>3401</v>
      </c>
      <c r="B97" s="260" t="s">
        <v>4732</v>
      </c>
      <c r="C97" s="260">
        <v>20.0</v>
      </c>
      <c r="D97" s="663" t="s">
        <v>4808</v>
      </c>
      <c r="E97" s="683">
        <v>43655.0</v>
      </c>
      <c r="F97" s="663" t="s">
        <v>4809</v>
      </c>
      <c r="G97" s="260" t="s">
        <v>4780</v>
      </c>
      <c r="H97" s="260" t="s">
        <v>4785</v>
      </c>
      <c r="I97" s="260" t="s">
        <v>3304</v>
      </c>
      <c r="J97" s="260">
        <v>13.6</v>
      </c>
      <c r="K97" s="260">
        <v>545.0</v>
      </c>
      <c r="L97" s="260">
        <v>2560.0</v>
      </c>
      <c r="M97" s="260">
        <v>160.0</v>
      </c>
      <c r="N97" s="260">
        <v>64.0</v>
      </c>
      <c r="O97" s="260">
        <v>320.0</v>
      </c>
      <c r="P97" s="260">
        <v>40.0</v>
      </c>
      <c r="Q97" s="260">
        <v>1605.0</v>
      </c>
      <c r="R97" s="260">
        <v>1770.0</v>
      </c>
      <c r="S97" s="260">
        <v>8.0</v>
      </c>
      <c r="T97" s="260">
        <v>14.0</v>
      </c>
      <c r="U97" s="260">
        <v>256.0</v>
      </c>
      <c r="V97" s="260">
        <f t="shared" si="1"/>
        <v>448</v>
      </c>
      <c r="W97" s="260" t="s">
        <v>4665</v>
      </c>
      <c r="X97" s="262">
        <f t="shared" si="2"/>
        <v>113.28</v>
      </c>
      <c r="Y97" s="262">
        <f t="shared" si="3"/>
        <v>283.2</v>
      </c>
      <c r="Z97" s="262">
        <v>9.06</v>
      </c>
      <c r="AA97" s="262">
        <v>0.28</v>
      </c>
      <c r="AB97" s="262">
        <v>18.12</v>
      </c>
      <c r="AC97" s="260">
        <v>215.0</v>
      </c>
      <c r="AD97" s="260" t="s">
        <v>174</v>
      </c>
      <c r="AE97" s="684">
        <v>499.0</v>
      </c>
      <c r="AF97" s="685"/>
      <c r="AG97" s="685"/>
      <c r="AH97" s="685"/>
      <c r="AI97" s="685"/>
      <c r="AJ97" s="685"/>
      <c r="AK97" s="685"/>
      <c r="AL97" s="685"/>
      <c r="AM97" s="685"/>
      <c r="AN97" s="685"/>
      <c r="AO97" s="685"/>
      <c r="AP97" s="685"/>
      <c r="AQ97" s="685"/>
      <c r="AR97" s="685"/>
      <c r="AS97" s="685"/>
      <c r="AT97" s="685"/>
      <c r="AU97" s="685"/>
      <c r="AV97" s="685"/>
      <c r="AW97" s="685"/>
      <c r="AX97" s="685"/>
      <c r="AY97" s="685"/>
      <c r="AZ97" s="685"/>
      <c r="BA97" s="685"/>
      <c r="BB97" s="685"/>
      <c r="BC97" s="685"/>
      <c r="BD97" s="685"/>
      <c r="BE97" s="685"/>
      <c r="BF97" s="685"/>
      <c r="BG97" s="685"/>
      <c r="BH97" s="685"/>
      <c r="BI97" s="685"/>
      <c r="BJ97" s="685"/>
      <c r="BK97" s="685"/>
    </row>
    <row r="98">
      <c r="A98" s="507" t="s">
        <v>3401</v>
      </c>
      <c r="B98" s="260" t="s">
        <v>4732</v>
      </c>
      <c r="C98" s="260">
        <v>20.0</v>
      </c>
      <c r="D98" s="663" t="s">
        <v>4025</v>
      </c>
      <c r="E98" s="683">
        <v>43363.0</v>
      </c>
      <c r="F98" s="663" t="s">
        <v>4810</v>
      </c>
      <c r="G98" s="260" t="s">
        <v>4780</v>
      </c>
      <c r="H98" s="260" t="s">
        <v>4785</v>
      </c>
      <c r="I98" s="260" t="s">
        <v>3304</v>
      </c>
      <c r="J98" s="260">
        <v>13.6</v>
      </c>
      <c r="K98" s="260">
        <v>545.0</v>
      </c>
      <c r="L98" s="260">
        <v>2944.0</v>
      </c>
      <c r="M98" s="260">
        <v>184.0</v>
      </c>
      <c r="N98" s="260">
        <v>64.0</v>
      </c>
      <c r="O98" s="260">
        <v>368.0</v>
      </c>
      <c r="P98" s="260">
        <v>46.0</v>
      </c>
      <c r="Q98" s="260">
        <v>1515.0</v>
      </c>
      <c r="R98" s="260">
        <v>1710.0</v>
      </c>
      <c r="S98" s="260">
        <v>8.0</v>
      </c>
      <c r="T98" s="260">
        <v>14.0</v>
      </c>
      <c r="U98" s="260">
        <v>256.0</v>
      </c>
      <c r="V98" s="260">
        <f t="shared" si="1"/>
        <v>448</v>
      </c>
      <c r="W98" s="260" t="s">
        <v>4665</v>
      </c>
      <c r="X98" s="262">
        <f t="shared" si="2"/>
        <v>109.44</v>
      </c>
      <c r="Y98" s="262">
        <f t="shared" si="3"/>
        <v>314.64</v>
      </c>
      <c r="Z98" s="262">
        <v>10.07</v>
      </c>
      <c r="AA98" s="262">
        <v>0.31</v>
      </c>
      <c r="AB98" s="262">
        <v>20.14</v>
      </c>
      <c r="AC98" s="260">
        <v>215.0</v>
      </c>
      <c r="AD98" s="260" t="s">
        <v>174</v>
      </c>
      <c r="AE98" s="684">
        <v>699.0</v>
      </c>
      <c r="AF98" s="685"/>
      <c r="AG98" s="685"/>
      <c r="AH98" s="685"/>
      <c r="AI98" s="685"/>
      <c r="AJ98" s="685"/>
      <c r="AK98" s="685"/>
      <c r="AL98" s="685"/>
      <c r="AM98" s="685"/>
      <c r="AN98" s="685"/>
      <c r="AO98" s="685"/>
      <c r="AP98" s="685"/>
      <c r="AQ98" s="685"/>
      <c r="AR98" s="685"/>
      <c r="AS98" s="685"/>
      <c r="AT98" s="685"/>
      <c r="AU98" s="685"/>
      <c r="AV98" s="685"/>
      <c r="AW98" s="685"/>
      <c r="AX98" s="685"/>
      <c r="AY98" s="685"/>
      <c r="AZ98" s="685"/>
      <c r="BA98" s="685"/>
      <c r="BB98" s="685"/>
      <c r="BC98" s="685"/>
      <c r="BD98" s="685"/>
      <c r="BE98" s="685"/>
      <c r="BF98" s="685"/>
      <c r="BG98" s="685"/>
      <c r="BH98" s="685"/>
      <c r="BI98" s="685"/>
      <c r="BJ98" s="685"/>
      <c r="BK98" s="685"/>
    </row>
    <row r="99">
      <c r="A99" s="507" t="s">
        <v>3401</v>
      </c>
      <c r="B99" s="260" t="s">
        <v>4732</v>
      </c>
      <c r="C99" s="260">
        <v>20.0</v>
      </c>
      <c r="D99" s="663" t="s">
        <v>4811</v>
      </c>
      <c r="E99" s="683">
        <v>43669.0</v>
      </c>
      <c r="F99" s="663" t="s">
        <v>4812</v>
      </c>
      <c r="G99" s="260" t="s">
        <v>4780</v>
      </c>
      <c r="H99" s="260" t="s">
        <v>4785</v>
      </c>
      <c r="I99" s="260" t="s">
        <v>3304</v>
      </c>
      <c r="J99" s="260">
        <v>13.6</v>
      </c>
      <c r="K99" s="260">
        <v>545.0</v>
      </c>
      <c r="L99" s="260">
        <v>3072.0</v>
      </c>
      <c r="M99" s="260">
        <v>192.0</v>
      </c>
      <c r="N99" s="260">
        <v>64.0</v>
      </c>
      <c r="O99" s="260">
        <v>384.0</v>
      </c>
      <c r="P99" s="260">
        <v>48.0</v>
      </c>
      <c r="Q99" s="260">
        <v>1650.0</v>
      </c>
      <c r="R99" s="260">
        <v>1815.0</v>
      </c>
      <c r="S99" s="260">
        <v>8.0</v>
      </c>
      <c r="T99" s="260">
        <v>15.5</v>
      </c>
      <c r="U99" s="260">
        <v>256.0</v>
      </c>
      <c r="V99" s="260">
        <f t="shared" si="1"/>
        <v>496</v>
      </c>
      <c r="W99" s="260" t="s">
        <v>4665</v>
      </c>
      <c r="X99" s="262">
        <f t="shared" si="2"/>
        <v>116.16</v>
      </c>
      <c r="Y99" s="262">
        <f t="shared" si="3"/>
        <v>348.48</v>
      </c>
      <c r="Z99" s="262">
        <v>11.15</v>
      </c>
      <c r="AA99" s="262">
        <v>0.35</v>
      </c>
      <c r="AB99" s="262">
        <v>22.3</v>
      </c>
      <c r="AC99" s="260">
        <v>250.0</v>
      </c>
      <c r="AD99" s="260" t="s">
        <v>174</v>
      </c>
      <c r="AE99" s="684">
        <v>699.0</v>
      </c>
      <c r="AF99" s="685"/>
      <c r="AG99" s="685"/>
      <c r="AH99" s="685"/>
      <c r="AI99" s="685"/>
      <c r="AJ99" s="685"/>
      <c r="AK99" s="685"/>
      <c r="AL99" s="685"/>
      <c r="AM99" s="685"/>
      <c r="AN99" s="685"/>
      <c r="AO99" s="685"/>
      <c r="AP99" s="685"/>
      <c r="AQ99" s="685"/>
      <c r="AR99" s="685"/>
      <c r="AS99" s="685"/>
      <c r="AT99" s="685"/>
      <c r="AU99" s="685"/>
      <c r="AV99" s="685"/>
      <c r="AW99" s="685"/>
      <c r="AX99" s="685"/>
      <c r="AY99" s="685"/>
      <c r="AZ99" s="685"/>
      <c r="BA99" s="685"/>
      <c r="BB99" s="685"/>
      <c r="BC99" s="685"/>
      <c r="BD99" s="685"/>
      <c r="BE99" s="685"/>
      <c r="BF99" s="685"/>
      <c r="BG99" s="685"/>
      <c r="BH99" s="685"/>
      <c r="BI99" s="685"/>
      <c r="BJ99" s="685"/>
      <c r="BK99" s="685"/>
    </row>
    <row r="100">
      <c r="A100" s="507" t="s">
        <v>3401</v>
      </c>
      <c r="B100" s="260" t="s">
        <v>4732</v>
      </c>
      <c r="C100" s="260">
        <v>20.0</v>
      </c>
      <c r="D100" s="663" t="s">
        <v>4813</v>
      </c>
      <c r="E100" s="683">
        <v>43370.0</v>
      </c>
      <c r="F100" s="663" t="s">
        <v>4814</v>
      </c>
      <c r="G100" s="260" t="s">
        <v>4780</v>
      </c>
      <c r="H100" s="260" t="s">
        <v>4785</v>
      </c>
      <c r="I100" s="260" t="s">
        <v>3304</v>
      </c>
      <c r="J100" s="260">
        <v>18.6</v>
      </c>
      <c r="K100" s="260">
        <v>754.0</v>
      </c>
      <c r="L100" s="260">
        <v>4352.0</v>
      </c>
      <c r="M100" s="260">
        <v>272.0</v>
      </c>
      <c r="N100" s="260">
        <v>88.0</v>
      </c>
      <c r="O100" s="260">
        <v>544.0</v>
      </c>
      <c r="P100" s="260">
        <v>68.0</v>
      </c>
      <c r="Q100" s="260">
        <v>1350.0</v>
      </c>
      <c r="R100" s="260">
        <v>1545.0</v>
      </c>
      <c r="S100" s="260">
        <v>11.0</v>
      </c>
      <c r="T100" s="260">
        <v>14.0</v>
      </c>
      <c r="U100" s="260">
        <v>352.0</v>
      </c>
      <c r="V100" s="260">
        <f t="shared" si="1"/>
        <v>616</v>
      </c>
      <c r="W100" s="260" t="s">
        <v>4665</v>
      </c>
      <c r="X100" s="262">
        <f t="shared" si="2"/>
        <v>135.96</v>
      </c>
      <c r="Y100" s="262">
        <f t="shared" si="3"/>
        <v>420.24</v>
      </c>
      <c r="Z100" s="262">
        <v>13.45</v>
      </c>
      <c r="AA100" s="262">
        <v>0.42</v>
      </c>
      <c r="AB100" s="262">
        <v>26.9</v>
      </c>
      <c r="AC100" s="260">
        <v>250.0</v>
      </c>
      <c r="AD100" s="260" t="s">
        <v>174</v>
      </c>
      <c r="AE100" s="684">
        <v>999.0</v>
      </c>
      <c r="AF100" s="685"/>
      <c r="AG100" s="685"/>
      <c r="AH100" s="685"/>
      <c r="AI100" s="685"/>
      <c r="AJ100" s="685"/>
      <c r="AK100" s="685"/>
      <c r="AL100" s="685"/>
      <c r="AM100" s="685"/>
      <c r="AN100" s="685"/>
      <c r="AO100" s="685"/>
      <c r="AP100" s="685"/>
      <c r="AQ100" s="685"/>
      <c r="AR100" s="685"/>
      <c r="AS100" s="685"/>
      <c r="AT100" s="685"/>
      <c r="AU100" s="685"/>
      <c r="AV100" s="685"/>
      <c r="AW100" s="685"/>
      <c r="AX100" s="685"/>
      <c r="AY100" s="685"/>
      <c r="AZ100" s="685"/>
      <c r="BA100" s="685"/>
      <c r="BB100" s="685"/>
      <c r="BC100" s="685"/>
      <c r="BD100" s="685"/>
      <c r="BE100" s="685"/>
      <c r="BF100" s="685"/>
      <c r="BG100" s="685"/>
      <c r="BH100" s="685"/>
      <c r="BI100" s="685"/>
      <c r="BJ100" s="685"/>
      <c r="BK100" s="685"/>
    </row>
    <row r="101">
      <c r="A101" s="519" t="s">
        <v>3401</v>
      </c>
      <c r="B101" s="393" t="s">
        <v>4732</v>
      </c>
      <c r="C101" s="393">
        <v>20.0</v>
      </c>
      <c r="D101" s="669" t="s">
        <v>4815</v>
      </c>
      <c r="E101" s="687">
        <v>43452.0</v>
      </c>
      <c r="F101" s="669" t="s">
        <v>4816</v>
      </c>
      <c r="G101" s="393" t="s">
        <v>4780</v>
      </c>
      <c r="H101" s="393" t="s">
        <v>4785</v>
      </c>
      <c r="I101" s="393" t="s">
        <v>3304</v>
      </c>
      <c r="J101" s="393">
        <v>18.6</v>
      </c>
      <c r="K101" s="393">
        <v>754.0</v>
      </c>
      <c r="L101" s="393">
        <v>4608.0</v>
      </c>
      <c r="M101" s="393">
        <v>288.0</v>
      </c>
      <c r="N101" s="393">
        <v>96.0</v>
      </c>
      <c r="O101" s="393">
        <v>576.0</v>
      </c>
      <c r="P101" s="393">
        <v>72.0</v>
      </c>
      <c r="Q101" s="393">
        <v>1350.0</v>
      </c>
      <c r="R101" s="393">
        <v>1770.0</v>
      </c>
      <c r="S101" s="393">
        <v>24.0</v>
      </c>
      <c r="T101" s="393">
        <v>14.0</v>
      </c>
      <c r="U101" s="393">
        <v>384.0</v>
      </c>
      <c r="V101" s="393">
        <f t="shared" si="1"/>
        <v>672</v>
      </c>
      <c r="W101" s="393" t="s">
        <v>4665</v>
      </c>
      <c r="X101" s="672">
        <f t="shared" si="2"/>
        <v>169.92</v>
      </c>
      <c r="Y101" s="672">
        <f t="shared" si="3"/>
        <v>509.76</v>
      </c>
      <c r="Z101" s="672">
        <v>16.31</v>
      </c>
      <c r="AA101" s="672">
        <v>0.51</v>
      </c>
      <c r="AB101" s="672">
        <v>32.62</v>
      </c>
      <c r="AC101" s="393">
        <v>250.0</v>
      </c>
      <c r="AD101" s="393" t="s">
        <v>174</v>
      </c>
      <c r="AE101" s="688">
        <v>2499.0</v>
      </c>
      <c r="AF101" s="685"/>
      <c r="AG101" s="685"/>
      <c r="AH101" s="685"/>
      <c r="AI101" s="685"/>
      <c r="AJ101" s="685"/>
      <c r="AK101" s="685"/>
      <c r="AL101" s="685"/>
      <c r="AM101" s="685"/>
      <c r="AN101" s="685"/>
      <c r="AO101" s="685"/>
      <c r="AP101" s="685"/>
      <c r="AQ101" s="685"/>
      <c r="AR101" s="685"/>
      <c r="AS101" s="685"/>
      <c r="AT101" s="685"/>
      <c r="AU101" s="685"/>
      <c r="AV101" s="685"/>
      <c r="AW101" s="685"/>
      <c r="AX101" s="685"/>
      <c r="AY101" s="685"/>
      <c r="AZ101" s="685"/>
      <c r="BA101" s="685"/>
      <c r="BB101" s="685"/>
      <c r="BC101" s="685"/>
      <c r="BD101" s="685"/>
      <c r="BE101" s="685"/>
      <c r="BF101" s="685"/>
      <c r="BG101" s="685"/>
      <c r="BH101" s="685"/>
      <c r="BI101" s="685"/>
      <c r="BJ101" s="685"/>
      <c r="BK101" s="685"/>
    </row>
    <row r="102">
      <c r="A102" s="507" t="s">
        <v>3401</v>
      </c>
      <c r="B102" s="260" t="s">
        <v>4764</v>
      </c>
      <c r="C102" s="260" t="s">
        <v>4817</v>
      </c>
      <c r="D102" s="663" t="s">
        <v>4818</v>
      </c>
      <c r="E102" s="683">
        <v>43417.0</v>
      </c>
      <c r="F102" s="663" t="s">
        <v>4819</v>
      </c>
      <c r="G102" s="260" t="s">
        <v>4780</v>
      </c>
      <c r="H102" s="260" t="s">
        <v>4785</v>
      </c>
      <c r="I102" s="260" t="s">
        <v>3304</v>
      </c>
      <c r="J102" s="260">
        <v>13.6</v>
      </c>
      <c r="K102" s="260">
        <v>545.0</v>
      </c>
      <c r="L102" s="260">
        <v>2304.0</v>
      </c>
      <c r="M102" s="260">
        <v>144.0</v>
      </c>
      <c r="N102" s="260">
        <v>64.0</v>
      </c>
      <c r="O102" s="260">
        <v>288.0</v>
      </c>
      <c r="P102" s="260">
        <v>36.0</v>
      </c>
      <c r="Q102" s="260">
        <v>1005.0</v>
      </c>
      <c r="R102" s="260">
        <v>1545.0</v>
      </c>
      <c r="S102" s="260">
        <v>8.0</v>
      </c>
      <c r="T102" s="260">
        <v>13.0</v>
      </c>
      <c r="U102" s="260">
        <v>256.0</v>
      </c>
      <c r="V102" s="260">
        <f t="shared" si="1"/>
        <v>416</v>
      </c>
      <c r="W102" s="260" t="s">
        <v>4665</v>
      </c>
      <c r="X102" s="262">
        <f t="shared" si="2"/>
        <v>98.88</v>
      </c>
      <c r="Y102" s="262">
        <f t="shared" si="3"/>
        <v>222.48</v>
      </c>
      <c r="Z102" s="262">
        <v>7.119</v>
      </c>
      <c r="AA102" s="262">
        <v>0.222</v>
      </c>
      <c r="AB102" s="262">
        <v>14.24</v>
      </c>
      <c r="AC102" s="260">
        <v>160.0</v>
      </c>
      <c r="AD102" s="260" t="s">
        <v>4628</v>
      </c>
      <c r="AE102" s="684">
        <v>899.0</v>
      </c>
      <c r="AF102" s="685"/>
      <c r="AG102" s="685"/>
      <c r="AH102" s="685"/>
      <c r="AI102" s="685"/>
      <c r="AJ102" s="685"/>
      <c r="AK102" s="685"/>
      <c r="AL102" s="685"/>
      <c r="AM102" s="685"/>
      <c r="AN102" s="685"/>
      <c r="AO102" s="685"/>
      <c r="AP102" s="685"/>
      <c r="AQ102" s="685"/>
      <c r="AR102" s="685"/>
      <c r="AS102" s="685"/>
      <c r="AT102" s="685"/>
      <c r="AU102" s="685"/>
      <c r="AV102" s="685"/>
      <c r="AW102" s="685"/>
      <c r="AX102" s="685"/>
      <c r="AY102" s="685"/>
      <c r="AZ102" s="685"/>
      <c r="BA102" s="685"/>
      <c r="BB102" s="685"/>
      <c r="BC102" s="685"/>
      <c r="BD102" s="685"/>
      <c r="BE102" s="685"/>
      <c r="BF102" s="685"/>
      <c r="BG102" s="685"/>
      <c r="BH102" s="685"/>
      <c r="BI102" s="685"/>
      <c r="BJ102" s="685"/>
      <c r="BK102" s="685"/>
    </row>
    <row r="103">
      <c r="A103" s="507" t="s">
        <v>3401</v>
      </c>
      <c r="B103" s="260" t="s">
        <v>4764</v>
      </c>
      <c r="C103" s="260" t="s">
        <v>4817</v>
      </c>
      <c r="D103" s="663" t="s">
        <v>4820</v>
      </c>
      <c r="E103" s="683">
        <v>43325.0</v>
      </c>
      <c r="F103" s="663" t="s">
        <v>4821</v>
      </c>
      <c r="G103" s="260" t="s">
        <v>4780</v>
      </c>
      <c r="H103" s="260" t="s">
        <v>4785</v>
      </c>
      <c r="I103" s="260" t="s">
        <v>3304</v>
      </c>
      <c r="J103" s="260">
        <v>13.6</v>
      </c>
      <c r="K103" s="260">
        <v>545.0</v>
      </c>
      <c r="L103" s="260">
        <v>3072.0</v>
      </c>
      <c r="M103" s="260">
        <v>192.0</v>
      </c>
      <c r="N103" s="260">
        <v>64.0</v>
      </c>
      <c r="O103" s="260">
        <v>384.0</v>
      </c>
      <c r="P103" s="260">
        <v>48.0</v>
      </c>
      <c r="Q103" s="260">
        <v>1620.0</v>
      </c>
      <c r="R103" s="260">
        <v>1815.0</v>
      </c>
      <c r="S103" s="260">
        <v>16.0</v>
      </c>
      <c r="T103" s="260">
        <v>14.0</v>
      </c>
      <c r="U103" s="260">
        <v>256.0</v>
      </c>
      <c r="V103" s="260">
        <f t="shared" si="1"/>
        <v>448</v>
      </c>
      <c r="W103" s="260" t="s">
        <v>4665</v>
      </c>
      <c r="X103" s="262">
        <f t="shared" si="2"/>
        <v>116.16</v>
      </c>
      <c r="Y103" s="262">
        <f t="shared" si="3"/>
        <v>348.48</v>
      </c>
      <c r="Z103" s="262">
        <v>11.15</v>
      </c>
      <c r="AA103" s="262">
        <v>0.35</v>
      </c>
      <c r="AB103" s="262">
        <v>22.3</v>
      </c>
      <c r="AC103" s="260">
        <v>200.0</v>
      </c>
      <c r="AD103" s="260" t="s">
        <v>174</v>
      </c>
      <c r="AE103" s="684">
        <v>2299.0</v>
      </c>
      <c r="AF103" s="685"/>
      <c r="AG103" s="685"/>
      <c r="AH103" s="685"/>
      <c r="AI103" s="685"/>
      <c r="AJ103" s="685"/>
      <c r="AK103" s="685"/>
      <c r="AL103" s="685"/>
      <c r="AM103" s="685"/>
      <c r="AN103" s="685"/>
      <c r="AO103" s="685"/>
      <c r="AP103" s="685"/>
      <c r="AQ103" s="685"/>
      <c r="AR103" s="685"/>
      <c r="AS103" s="685"/>
      <c r="AT103" s="685"/>
      <c r="AU103" s="685"/>
      <c r="AV103" s="685"/>
      <c r="AW103" s="685"/>
      <c r="AX103" s="685"/>
      <c r="AY103" s="685"/>
      <c r="AZ103" s="685"/>
      <c r="BA103" s="685"/>
      <c r="BB103" s="685"/>
      <c r="BC103" s="685"/>
      <c r="BD103" s="685"/>
      <c r="BE103" s="685"/>
      <c r="BF103" s="685"/>
      <c r="BG103" s="685"/>
      <c r="BH103" s="685"/>
      <c r="BI103" s="685"/>
      <c r="BJ103" s="685"/>
      <c r="BK103" s="685"/>
    </row>
    <row r="104">
      <c r="A104" s="507" t="s">
        <v>3401</v>
      </c>
      <c r="B104" s="260" t="s">
        <v>4764</v>
      </c>
      <c r="C104" s="260" t="s">
        <v>4817</v>
      </c>
      <c r="D104" s="663" t="s">
        <v>4822</v>
      </c>
      <c r="E104" s="683">
        <v>43325.0</v>
      </c>
      <c r="F104" s="663" t="s">
        <v>4823</v>
      </c>
      <c r="G104" s="260" t="s">
        <v>4780</v>
      </c>
      <c r="H104" s="260" t="s">
        <v>4785</v>
      </c>
      <c r="I104" s="260" t="s">
        <v>3304</v>
      </c>
      <c r="J104" s="260">
        <v>18.6</v>
      </c>
      <c r="K104" s="260">
        <v>754.0</v>
      </c>
      <c r="L104" s="260">
        <v>4608.0</v>
      </c>
      <c r="M104" s="260">
        <v>288.0</v>
      </c>
      <c r="N104" s="260">
        <v>96.0</v>
      </c>
      <c r="O104" s="260">
        <v>576.0</v>
      </c>
      <c r="P104" s="260">
        <v>72.0</v>
      </c>
      <c r="Q104" s="260">
        <v>1440.0</v>
      </c>
      <c r="R104" s="260">
        <v>1770.0</v>
      </c>
      <c r="S104" s="260">
        <v>24.0</v>
      </c>
      <c r="T104" s="260">
        <v>14.0</v>
      </c>
      <c r="U104" s="260">
        <v>384.0</v>
      </c>
      <c r="V104" s="260">
        <f t="shared" si="1"/>
        <v>672</v>
      </c>
      <c r="W104" s="260" t="s">
        <v>4665</v>
      </c>
      <c r="X104" s="262">
        <f t="shared" si="2"/>
        <v>169.92</v>
      </c>
      <c r="Y104" s="262">
        <f t="shared" si="3"/>
        <v>509.76</v>
      </c>
      <c r="Z104" s="262">
        <v>16.31</v>
      </c>
      <c r="AA104" s="262">
        <v>0.51</v>
      </c>
      <c r="AB104" s="262">
        <v>32.62</v>
      </c>
      <c r="AC104" s="260">
        <v>250.0</v>
      </c>
      <c r="AD104" s="260" t="s">
        <v>174</v>
      </c>
      <c r="AE104" s="684">
        <v>6299.0</v>
      </c>
      <c r="AF104" s="685"/>
      <c r="AG104" s="685"/>
      <c r="AH104" s="685"/>
      <c r="AI104" s="685"/>
      <c r="AJ104" s="685"/>
      <c r="AK104" s="685"/>
      <c r="AL104" s="685"/>
      <c r="AM104" s="685"/>
      <c r="AN104" s="685"/>
      <c r="AO104" s="685"/>
      <c r="AP104" s="685"/>
      <c r="AQ104" s="685"/>
      <c r="AR104" s="685"/>
      <c r="AS104" s="685"/>
      <c r="AT104" s="685"/>
      <c r="AU104" s="685"/>
      <c r="AV104" s="685"/>
      <c r="AW104" s="685"/>
      <c r="AX104" s="685"/>
      <c r="AY104" s="685"/>
      <c r="AZ104" s="685"/>
      <c r="BA104" s="685"/>
      <c r="BB104" s="685"/>
      <c r="BC104" s="685"/>
      <c r="BD104" s="685"/>
      <c r="BE104" s="685"/>
      <c r="BF104" s="685"/>
      <c r="BG104" s="685"/>
      <c r="BH104" s="685"/>
      <c r="BI104" s="685"/>
      <c r="BJ104" s="685"/>
      <c r="BK104" s="685"/>
    </row>
    <row r="105">
      <c r="A105" s="519" t="s">
        <v>3401</v>
      </c>
      <c r="B105" s="393" t="s">
        <v>4764</v>
      </c>
      <c r="C105" s="393" t="s">
        <v>4817</v>
      </c>
      <c r="D105" s="669" t="s">
        <v>4824</v>
      </c>
      <c r="E105" s="687">
        <v>43325.0</v>
      </c>
      <c r="F105" s="669" t="s">
        <v>4823</v>
      </c>
      <c r="G105" s="393" t="s">
        <v>4780</v>
      </c>
      <c r="H105" s="393" t="s">
        <v>4785</v>
      </c>
      <c r="I105" s="393" t="s">
        <v>3304</v>
      </c>
      <c r="J105" s="393">
        <v>18.6</v>
      </c>
      <c r="K105" s="393">
        <v>754.0</v>
      </c>
      <c r="L105" s="393">
        <v>4608.0</v>
      </c>
      <c r="M105" s="393">
        <v>288.0</v>
      </c>
      <c r="N105" s="393">
        <v>96.0</v>
      </c>
      <c r="O105" s="393">
        <v>576.0</v>
      </c>
      <c r="P105" s="393">
        <v>72.0</v>
      </c>
      <c r="Q105" s="393">
        <v>1395.0</v>
      </c>
      <c r="R105" s="393">
        <v>1770.0</v>
      </c>
      <c r="S105" s="393">
        <v>48.0</v>
      </c>
      <c r="T105" s="393">
        <v>14.0</v>
      </c>
      <c r="U105" s="393">
        <v>384.0</v>
      </c>
      <c r="V105" s="393">
        <f t="shared" si="1"/>
        <v>672</v>
      </c>
      <c r="W105" s="393" t="s">
        <v>4665</v>
      </c>
      <c r="X105" s="672">
        <f t="shared" si="2"/>
        <v>169.92</v>
      </c>
      <c r="Y105" s="672">
        <f t="shared" si="3"/>
        <v>509.76</v>
      </c>
      <c r="Z105" s="672">
        <v>16.31</v>
      </c>
      <c r="AA105" s="672">
        <v>0.51</v>
      </c>
      <c r="AB105" s="672">
        <v>32.62</v>
      </c>
      <c r="AC105" s="393">
        <v>250.0</v>
      </c>
      <c r="AD105" s="393" t="s">
        <v>174</v>
      </c>
      <c r="AE105" s="688">
        <v>9999.0</v>
      </c>
      <c r="AF105" s="685"/>
      <c r="AG105" s="685"/>
      <c r="AH105" s="685"/>
      <c r="AI105" s="685"/>
      <c r="AJ105" s="685"/>
      <c r="AK105" s="685"/>
      <c r="AL105" s="685"/>
      <c r="AM105" s="685"/>
      <c r="AN105" s="685"/>
      <c r="AO105" s="685"/>
      <c r="AP105" s="685"/>
      <c r="AQ105" s="685"/>
      <c r="AR105" s="685"/>
      <c r="AS105" s="685"/>
      <c r="AT105" s="685"/>
      <c r="AU105" s="685"/>
      <c r="AV105" s="685"/>
      <c r="AW105" s="685"/>
      <c r="AX105" s="685"/>
      <c r="AY105" s="685"/>
      <c r="AZ105" s="685"/>
      <c r="BA105" s="685"/>
      <c r="BB105" s="685"/>
      <c r="BC105" s="685"/>
      <c r="BD105" s="685"/>
      <c r="BE105" s="685"/>
      <c r="BF105" s="685"/>
      <c r="BG105" s="685"/>
      <c r="BH105" s="685"/>
      <c r="BI105" s="685"/>
      <c r="BJ105" s="685"/>
      <c r="BK105" s="685"/>
    </row>
    <row r="106">
      <c r="A106" s="507" t="s">
        <v>3401</v>
      </c>
      <c r="B106" s="260" t="s">
        <v>4732</v>
      </c>
      <c r="C106" s="260">
        <v>30.0</v>
      </c>
      <c r="D106" s="663" t="s">
        <v>4825</v>
      </c>
      <c r="E106" s="683">
        <v>45324.0</v>
      </c>
      <c r="F106" s="663" t="s">
        <v>4826</v>
      </c>
      <c r="G106" s="260" t="s">
        <v>4827</v>
      </c>
      <c r="H106" s="260" t="s">
        <v>4828</v>
      </c>
      <c r="I106" s="260" t="s">
        <v>4664</v>
      </c>
      <c r="J106" s="260">
        <v>8.7</v>
      </c>
      <c r="K106" s="260">
        <v>200.0</v>
      </c>
      <c r="L106" s="260">
        <v>2048.0</v>
      </c>
      <c r="M106" s="260">
        <v>64.0</v>
      </c>
      <c r="N106" s="260">
        <v>32.0</v>
      </c>
      <c r="O106" s="260">
        <v>64.0</v>
      </c>
      <c r="P106" s="260">
        <v>16.0</v>
      </c>
      <c r="Q106" s="260">
        <v>1042.0</v>
      </c>
      <c r="R106" s="260">
        <v>1470.0</v>
      </c>
      <c r="S106" s="260">
        <v>6.0</v>
      </c>
      <c r="T106" s="260">
        <v>14.0</v>
      </c>
      <c r="U106" s="260">
        <v>96.0</v>
      </c>
      <c r="V106" s="260">
        <f t="shared" si="1"/>
        <v>168</v>
      </c>
      <c r="W106" s="260" t="s">
        <v>4665</v>
      </c>
      <c r="X106" s="262">
        <f t="shared" si="2"/>
        <v>47.04</v>
      </c>
      <c r="Y106" s="262">
        <f t="shared" si="3"/>
        <v>94.08</v>
      </c>
      <c r="Z106" s="262">
        <v>6.021</v>
      </c>
      <c r="AA106" s="262">
        <f>Z106/64</f>
        <v>0.094078125</v>
      </c>
      <c r="AB106" s="262">
        <f>Z106</f>
        <v>6.021</v>
      </c>
      <c r="AC106" s="260">
        <v>70.0</v>
      </c>
      <c r="AD106" s="260" t="s">
        <v>4628</v>
      </c>
      <c r="AE106" s="684">
        <v>179.0</v>
      </c>
      <c r="AF106" s="685"/>
      <c r="AG106" s="685"/>
      <c r="AH106" s="685"/>
      <c r="AI106" s="685"/>
      <c r="AJ106" s="685"/>
      <c r="AK106" s="685"/>
      <c r="AL106" s="685"/>
      <c r="AM106" s="685"/>
      <c r="AN106" s="685"/>
      <c r="AO106" s="685"/>
      <c r="AP106" s="685"/>
      <c r="AQ106" s="685"/>
      <c r="AR106" s="685"/>
      <c r="AS106" s="685"/>
      <c r="AT106" s="685"/>
      <c r="AU106" s="685"/>
      <c r="AV106" s="685"/>
      <c r="AW106" s="685"/>
      <c r="AX106" s="685"/>
      <c r="AY106" s="685"/>
      <c r="AZ106" s="685"/>
      <c r="BA106" s="685"/>
      <c r="BB106" s="685"/>
      <c r="BC106" s="685"/>
      <c r="BD106" s="685"/>
      <c r="BE106" s="685"/>
      <c r="BF106" s="685"/>
      <c r="BG106" s="685"/>
      <c r="BH106" s="685"/>
      <c r="BI106" s="685"/>
      <c r="BJ106" s="685"/>
      <c r="BK106" s="685"/>
    </row>
    <row r="107">
      <c r="A107" s="507" t="s">
        <v>3401</v>
      </c>
      <c r="B107" s="260" t="s">
        <v>4732</v>
      </c>
      <c r="C107" s="260">
        <v>30.0</v>
      </c>
      <c r="D107" s="663" t="s">
        <v>4829</v>
      </c>
      <c r="E107" s="683">
        <v>44588.0</v>
      </c>
      <c r="F107" s="663" t="s">
        <v>4830</v>
      </c>
      <c r="G107" s="260" t="s">
        <v>4827</v>
      </c>
      <c r="H107" s="260" t="s">
        <v>4828</v>
      </c>
      <c r="I107" s="260" t="s">
        <v>4664</v>
      </c>
      <c r="J107" s="260">
        <v>13.25</v>
      </c>
      <c r="K107" s="260">
        <v>276.0</v>
      </c>
      <c r="L107" s="260">
        <v>2560.0</v>
      </c>
      <c r="M107" s="260">
        <v>80.0</v>
      </c>
      <c r="N107" s="260">
        <v>32.0</v>
      </c>
      <c r="O107" s="260">
        <v>80.0</v>
      </c>
      <c r="P107" s="260">
        <v>20.0</v>
      </c>
      <c r="Q107" s="260">
        <v>1552.0</v>
      </c>
      <c r="R107" s="260">
        <v>1777.0</v>
      </c>
      <c r="S107" s="260">
        <v>8.0</v>
      </c>
      <c r="T107" s="260">
        <v>14.0</v>
      </c>
      <c r="U107" s="260">
        <v>128.0</v>
      </c>
      <c r="V107" s="260">
        <f t="shared" si="1"/>
        <v>224</v>
      </c>
      <c r="W107" s="260" t="s">
        <v>4665</v>
      </c>
      <c r="X107" s="262">
        <f t="shared" si="2"/>
        <v>56.864</v>
      </c>
      <c r="Y107" s="262">
        <f t="shared" si="3"/>
        <v>142.16</v>
      </c>
      <c r="Z107" s="262">
        <v>9.098</v>
      </c>
      <c r="AA107" s="262">
        <v>0.1422</v>
      </c>
      <c r="AB107" s="262">
        <v>9.098</v>
      </c>
      <c r="AC107" s="260">
        <v>130.0</v>
      </c>
      <c r="AD107" s="260" t="s">
        <v>4628</v>
      </c>
      <c r="AE107" s="684">
        <v>249.0</v>
      </c>
      <c r="AF107" s="685"/>
      <c r="AG107" s="685"/>
      <c r="AH107" s="685"/>
      <c r="AI107" s="685"/>
      <c r="AJ107" s="685"/>
      <c r="AK107" s="685"/>
      <c r="AL107" s="685"/>
      <c r="AM107" s="685"/>
      <c r="AN107" s="685"/>
      <c r="AO107" s="685"/>
      <c r="AP107" s="685"/>
      <c r="AQ107" s="685"/>
      <c r="AR107" s="685"/>
      <c r="AS107" s="685"/>
      <c r="AT107" s="685"/>
      <c r="AU107" s="685"/>
      <c r="AV107" s="685"/>
      <c r="AW107" s="685"/>
      <c r="AX107" s="685"/>
      <c r="AY107" s="685"/>
      <c r="AZ107" s="685"/>
      <c r="BA107" s="685"/>
      <c r="BB107" s="685"/>
      <c r="BC107" s="685"/>
      <c r="BD107" s="685"/>
      <c r="BE107" s="685"/>
      <c r="BF107" s="685"/>
      <c r="BG107" s="685"/>
      <c r="BH107" s="685"/>
      <c r="BI107" s="685"/>
      <c r="BJ107" s="685"/>
      <c r="BK107" s="685"/>
    </row>
    <row r="108">
      <c r="A108" s="507" t="s">
        <v>3401</v>
      </c>
      <c r="B108" s="260" t="s">
        <v>4732</v>
      </c>
      <c r="C108" s="260">
        <v>30.0</v>
      </c>
      <c r="D108" s="663" t="s">
        <v>4831</v>
      </c>
      <c r="E108" s="693">
        <v>44835.0</v>
      </c>
      <c r="F108" s="663" t="s">
        <v>4832</v>
      </c>
      <c r="G108" s="260" t="s">
        <v>4827</v>
      </c>
      <c r="H108" s="260" t="s">
        <v>4828</v>
      </c>
      <c r="I108" s="260" t="s">
        <v>3308</v>
      </c>
      <c r="J108" s="260">
        <v>13.25</v>
      </c>
      <c r="K108" s="260">
        <v>276.0</v>
      </c>
      <c r="L108" s="260">
        <v>3584.0</v>
      </c>
      <c r="M108" s="260">
        <v>112.0</v>
      </c>
      <c r="N108" s="260">
        <v>64.0</v>
      </c>
      <c r="O108" s="260">
        <v>112.0</v>
      </c>
      <c r="P108" s="260">
        <v>28.0</v>
      </c>
      <c r="Q108" s="260">
        <v>1320.0</v>
      </c>
      <c r="R108" s="260">
        <v>1777.0</v>
      </c>
      <c r="S108" s="260">
        <v>8.0</v>
      </c>
      <c r="T108" s="260">
        <v>15.0</v>
      </c>
      <c r="U108" s="260">
        <v>128.0</v>
      </c>
      <c r="V108" s="260">
        <f t="shared" si="1"/>
        <v>240</v>
      </c>
      <c r="W108" s="260" t="s">
        <v>4665</v>
      </c>
      <c r="X108" s="262">
        <f t="shared" si="2"/>
        <v>113.728</v>
      </c>
      <c r="Y108" s="262">
        <f t="shared" si="3"/>
        <v>199.024</v>
      </c>
      <c r="Z108" s="262">
        <v>12.74</v>
      </c>
      <c r="AA108" s="262">
        <v>0.199</v>
      </c>
      <c r="AB108" s="262">
        <v>12.74</v>
      </c>
      <c r="AC108" s="260">
        <v>170.0</v>
      </c>
      <c r="AD108" s="260" t="s">
        <v>4628</v>
      </c>
      <c r="AE108" s="684" t="s">
        <v>170</v>
      </c>
      <c r="AF108" s="685"/>
      <c r="AG108" s="685"/>
      <c r="AH108" s="685"/>
      <c r="AI108" s="685"/>
      <c r="AJ108" s="685"/>
      <c r="AK108" s="685"/>
      <c r="AL108" s="685"/>
      <c r="AM108" s="685"/>
      <c r="AN108" s="685"/>
      <c r="AO108" s="685"/>
      <c r="AP108" s="685"/>
      <c r="AQ108" s="685"/>
      <c r="AR108" s="685"/>
      <c r="AS108" s="685"/>
      <c r="AT108" s="685"/>
      <c r="AU108" s="685"/>
      <c r="AV108" s="685"/>
      <c r="AW108" s="685"/>
      <c r="AX108" s="685"/>
      <c r="AY108" s="685"/>
      <c r="AZ108" s="685"/>
      <c r="BA108" s="685"/>
      <c r="BB108" s="685"/>
      <c r="BC108" s="685"/>
      <c r="BD108" s="685"/>
      <c r="BE108" s="685"/>
      <c r="BF108" s="685"/>
      <c r="BG108" s="685"/>
      <c r="BH108" s="685"/>
      <c r="BI108" s="685"/>
      <c r="BJ108" s="685"/>
      <c r="BK108" s="685"/>
    </row>
    <row r="109">
      <c r="A109" s="507" t="s">
        <v>3401</v>
      </c>
      <c r="B109" s="260" t="s">
        <v>4732</v>
      </c>
      <c r="C109" s="260">
        <v>30.0</v>
      </c>
      <c r="D109" s="663" t="s">
        <v>4833</v>
      </c>
      <c r="E109" s="689">
        <v>44252.0</v>
      </c>
      <c r="F109" s="663" t="s">
        <v>4832</v>
      </c>
      <c r="G109" s="260" t="s">
        <v>4827</v>
      </c>
      <c r="H109" s="260" t="s">
        <v>4828</v>
      </c>
      <c r="I109" s="260" t="s">
        <v>3308</v>
      </c>
      <c r="J109" s="260">
        <v>13.25</v>
      </c>
      <c r="K109" s="260">
        <v>276.0</v>
      </c>
      <c r="L109" s="260">
        <v>3584.0</v>
      </c>
      <c r="M109" s="260">
        <v>112.0</v>
      </c>
      <c r="N109" s="260">
        <v>64.0</v>
      </c>
      <c r="O109" s="260">
        <v>112.0</v>
      </c>
      <c r="P109" s="260">
        <v>28.0</v>
      </c>
      <c r="Q109" s="260">
        <v>1320.0</v>
      </c>
      <c r="R109" s="260">
        <v>1777.0</v>
      </c>
      <c r="S109" s="260">
        <v>12.0</v>
      </c>
      <c r="T109" s="260">
        <v>15.0</v>
      </c>
      <c r="U109" s="260">
        <v>192.0</v>
      </c>
      <c r="V109" s="260">
        <f t="shared" si="1"/>
        <v>360</v>
      </c>
      <c r="W109" s="260" t="s">
        <v>4665</v>
      </c>
      <c r="X109" s="262">
        <f t="shared" si="2"/>
        <v>113.728</v>
      </c>
      <c r="Y109" s="262">
        <f t="shared" si="3"/>
        <v>199.024</v>
      </c>
      <c r="Z109" s="262">
        <v>12.74</v>
      </c>
      <c r="AA109" s="262">
        <v>0.199</v>
      </c>
      <c r="AB109" s="262">
        <v>12.74</v>
      </c>
      <c r="AC109" s="260">
        <v>170.0</v>
      </c>
      <c r="AD109" s="260" t="s">
        <v>4628</v>
      </c>
      <c r="AE109" s="684">
        <v>329.0</v>
      </c>
      <c r="AF109" s="685"/>
      <c r="AG109" s="685"/>
      <c r="AH109" s="685"/>
      <c r="AI109" s="685"/>
      <c r="AJ109" s="685"/>
      <c r="AK109" s="685"/>
      <c r="AL109" s="685"/>
      <c r="AM109" s="685"/>
      <c r="AN109" s="685"/>
      <c r="AO109" s="685"/>
      <c r="AP109" s="685"/>
      <c r="AQ109" s="685"/>
      <c r="AR109" s="685"/>
      <c r="AS109" s="685"/>
      <c r="AT109" s="685"/>
      <c r="AU109" s="685"/>
      <c r="AV109" s="685"/>
      <c r="AW109" s="685"/>
      <c r="AX109" s="685"/>
      <c r="AY109" s="685"/>
      <c r="AZ109" s="685"/>
      <c r="BA109" s="685"/>
      <c r="BB109" s="685"/>
      <c r="BC109" s="685"/>
      <c r="BD109" s="685"/>
      <c r="BE109" s="685"/>
      <c r="BF109" s="685"/>
      <c r="BG109" s="685"/>
      <c r="BH109" s="685"/>
      <c r="BI109" s="685"/>
      <c r="BJ109" s="685"/>
      <c r="BK109" s="685"/>
    </row>
    <row r="110">
      <c r="A110" s="507" t="s">
        <v>3401</v>
      </c>
      <c r="B110" s="260" t="s">
        <v>4732</v>
      </c>
      <c r="C110" s="260">
        <v>30.0</v>
      </c>
      <c r="D110" s="663" t="s">
        <v>4181</v>
      </c>
      <c r="E110" s="683">
        <v>44167.0</v>
      </c>
      <c r="F110" s="663" t="s">
        <v>4834</v>
      </c>
      <c r="G110" s="260" t="s">
        <v>4827</v>
      </c>
      <c r="H110" s="260" t="s">
        <v>4828</v>
      </c>
      <c r="I110" s="260" t="s">
        <v>3308</v>
      </c>
      <c r="J110" s="260">
        <v>17.4</v>
      </c>
      <c r="K110" s="260">
        <v>392.5</v>
      </c>
      <c r="L110" s="260">
        <v>4864.0</v>
      </c>
      <c r="M110" s="260">
        <v>152.0</v>
      </c>
      <c r="N110" s="260">
        <v>80.0</v>
      </c>
      <c r="O110" s="260">
        <v>152.0</v>
      </c>
      <c r="P110" s="260">
        <v>38.0</v>
      </c>
      <c r="Q110" s="260">
        <v>1410.0</v>
      </c>
      <c r="R110" s="260">
        <v>1665.0</v>
      </c>
      <c r="S110" s="260">
        <v>8.0</v>
      </c>
      <c r="T110" s="260">
        <v>14.0</v>
      </c>
      <c r="U110" s="260">
        <v>256.0</v>
      </c>
      <c r="V110" s="260">
        <f t="shared" si="1"/>
        <v>448</v>
      </c>
      <c r="W110" s="260" t="s">
        <v>4665</v>
      </c>
      <c r="X110" s="262">
        <f t="shared" si="2"/>
        <v>133.2</v>
      </c>
      <c r="Y110" s="262">
        <f t="shared" si="3"/>
        <v>253.08</v>
      </c>
      <c r="Z110" s="262">
        <v>16.197</v>
      </c>
      <c r="AA110" s="262">
        <v>0.253</v>
      </c>
      <c r="AB110" s="262">
        <v>16.197</v>
      </c>
      <c r="AC110" s="260">
        <v>200.0</v>
      </c>
      <c r="AD110" s="260" t="s">
        <v>4628</v>
      </c>
      <c r="AE110" s="684">
        <v>399.0</v>
      </c>
      <c r="AF110" s="685"/>
      <c r="AG110" s="685"/>
      <c r="AH110" s="685"/>
      <c r="AI110" s="685"/>
      <c r="AJ110" s="685"/>
      <c r="AK110" s="685"/>
      <c r="AL110" s="685"/>
      <c r="AM110" s="685"/>
      <c r="AN110" s="685"/>
      <c r="AO110" s="685"/>
      <c r="AP110" s="685"/>
      <c r="AQ110" s="685"/>
      <c r="AR110" s="685"/>
      <c r="AS110" s="685"/>
      <c r="AT110" s="685"/>
      <c r="AU110" s="685"/>
      <c r="AV110" s="685"/>
      <c r="AW110" s="685"/>
      <c r="AX110" s="685"/>
      <c r="AY110" s="685"/>
      <c r="AZ110" s="685"/>
      <c r="BA110" s="685"/>
      <c r="BB110" s="685"/>
      <c r="BC110" s="685"/>
      <c r="BD110" s="685"/>
      <c r="BE110" s="685"/>
      <c r="BF110" s="685"/>
      <c r="BG110" s="685"/>
      <c r="BH110" s="685"/>
      <c r="BI110" s="685"/>
      <c r="BJ110" s="685"/>
      <c r="BK110" s="685"/>
    </row>
    <row r="111">
      <c r="A111" s="507" t="s">
        <v>3401</v>
      </c>
      <c r="B111" s="260" t="s">
        <v>4732</v>
      </c>
      <c r="C111" s="260">
        <v>30.0</v>
      </c>
      <c r="D111" s="663" t="s">
        <v>4835</v>
      </c>
      <c r="E111" s="693">
        <v>44835.0</v>
      </c>
      <c r="F111" s="663" t="s">
        <v>4834</v>
      </c>
      <c r="G111" s="260" t="s">
        <v>4827</v>
      </c>
      <c r="H111" s="260" t="s">
        <v>4828</v>
      </c>
      <c r="I111" s="260" t="s">
        <v>3308</v>
      </c>
      <c r="J111" s="260">
        <v>17.4</v>
      </c>
      <c r="K111" s="260">
        <v>392.5</v>
      </c>
      <c r="L111" s="260">
        <v>4864.0</v>
      </c>
      <c r="M111" s="260">
        <v>152.0</v>
      </c>
      <c r="N111" s="260">
        <v>80.0</v>
      </c>
      <c r="O111" s="260">
        <v>152.0</v>
      </c>
      <c r="P111" s="260">
        <v>38.0</v>
      </c>
      <c r="Q111" s="260">
        <v>1410.0</v>
      </c>
      <c r="R111" s="260">
        <v>1665.0</v>
      </c>
      <c r="S111" s="260">
        <v>8.0</v>
      </c>
      <c r="T111" s="260">
        <v>19.0</v>
      </c>
      <c r="U111" s="260">
        <v>256.0</v>
      </c>
      <c r="V111" s="260">
        <f t="shared" si="1"/>
        <v>608</v>
      </c>
      <c r="W111" s="260" t="s">
        <v>4836</v>
      </c>
      <c r="X111" s="262">
        <f t="shared" si="2"/>
        <v>133.2</v>
      </c>
      <c r="Y111" s="262">
        <f t="shared" si="3"/>
        <v>253.08</v>
      </c>
      <c r="Z111" s="262">
        <v>16.197</v>
      </c>
      <c r="AA111" s="262">
        <v>0.253</v>
      </c>
      <c r="AB111" s="262">
        <v>16.197</v>
      </c>
      <c r="AC111" s="260">
        <v>225.0</v>
      </c>
      <c r="AD111" s="260" t="s">
        <v>4628</v>
      </c>
      <c r="AE111" s="684" t="s">
        <v>170</v>
      </c>
      <c r="AF111" s="685"/>
      <c r="AG111" s="685"/>
      <c r="AH111" s="685"/>
      <c r="AI111" s="685"/>
      <c r="AJ111" s="685"/>
      <c r="AK111" s="685"/>
      <c r="AL111" s="685"/>
      <c r="AM111" s="685"/>
      <c r="AN111" s="685"/>
      <c r="AO111" s="685"/>
      <c r="AP111" s="685"/>
      <c r="AQ111" s="685"/>
      <c r="AR111" s="685"/>
      <c r="AS111" s="685"/>
      <c r="AT111" s="685"/>
      <c r="AU111" s="685"/>
      <c r="AV111" s="685"/>
      <c r="AW111" s="685"/>
      <c r="AX111" s="685"/>
      <c r="AY111" s="685"/>
      <c r="AZ111" s="685"/>
      <c r="BA111" s="685"/>
      <c r="BB111" s="685"/>
      <c r="BC111" s="685"/>
      <c r="BD111" s="685"/>
      <c r="BE111" s="685"/>
      <c r="BF111" s="685"/>
      <c r="BG111" s="685"/>
      <c r="BH111" s="685"/>
      <c r="BI111" s="685"/>
      <c r="BJ111" s="685"/>
      <c r="BK111" s="685"/>
    </row>
    <row r="112">
      <c r="A112" s="507" t="s">
        <v>3401</v>
      </c>
      <c r="B112" s="260" t="s">
        <v>4732</v>
      </c>
      <c r="C112" s="260">
        <v>30.0</v>
      </c>
      <c r="D112" s="663" t="s">
        <v>4837</v>
      </c>
      <c r="E112" s="683">
        <v>44133.0</v>
      </c>
      <c r="F112" s="663" t="s">
        <v>4838</v>
      </c>
      <c r="G112" s="260" t="s">
        <v>4827</v>
      </c>
      <c r="H112" s="260" t="s">
        <v>4828</v>
      </c>
      <c r="I112" s="260" t="s">
        <v>3308</v>
      </c>
      <c r="J112" s="260">
        <v>17.4</v>
      </c>
      <c r="K112" s="260">
        <v>392.5</v>
      </c>
      <c r="L112" s="260">
        <v>5888.0</v>
      </c>
      <c r="M112" s="260">
        <v>184.0</v>
      </c>
      <c r="N112" s="260">
        <v>96.0</v>
      </c>
      <c r="O112" s="260">
        <v>184.0</v>
      </c>
      <c r="P112" s="260">
        <v>46.0</v>
      </c>
      <c r="Q112" s="260">
        <v>1500.0</v>
      </c>
      <c r="R112" s="260">
        <v>1725.0</v>
      </c>
      <c r="S112" s="260">
        <v>8.0</v>
      </c>
      <c r="T112" s="260">
        <v>14.0</v>
      </c>
      <c r="U112" s="260">
        <v>256.0</v>
      </c>
      <c r="V112" s="260">
        <f t="shared" si="1"/>
        <v>448</v>
      </c>
      <c r="W112" s="260" t="s">
        <v>4665</v>
      </c>
      <c r="X112" s="262">
        <f t="shared" si="2"/>
        <v>165.6</v>
      </c>
      <c r="Y112" s="262">
        <f t="shared" si="3"/>
        <v>317.4</v>
      </c>
      <c r="Z112" s="262">
        <v>20.372</v>
      </c>
      <c r="AA112" s="262">
        <v>0.318</v>
      </c>
      <c r="AB112" s="262">
        <v>20.372</v>
      </c>
      <c r="AC112" s="260">
        <v>220.0</v>
      </c>
      <c r="AD112" s="260" t="s">
        <v>4628</v>
      </c>
      <c r="AE112" s="684">
        <v>499.0</v>
      </c>
      <c r="AF112" s="685"/>
      <c r="AG112" s="685"/>
      <c r="AH112" s="685"/>
      <c r="AI112" s="685"/>
      <c r="AJ112" s="685"/>
      <c r="AK112" s="685"/>
      <c r="AL112" s="685"/>
      <c r="AM112" s="685"/>
      <c r="AN112" s="685"/>
      <c r="AO112" s="685"/>
      <c r="AP112" s="685"/>
      <c r="AQ112" s="685"/>
      <c r="AR112" s="685"/>
      <c r="AS112" s="685"/>
      <c r="AT112" s="685"/>
      <c r="AU112" s="685"/>
      <c r="AV112" s="685"/>
      <c r="AW112" s="685"/>
      <c r="AX112" s="685"/>
      <c r="AY112" s="685"/>
      <c r="AZ112" s="685"/>
      <c r="BA112" s="685"/>
      <c r="BB112" s="685"/>
      <c r="BC112" s="685"/>
      <c r="BD112" s="685"/>
      <c r="BE112" s="685"/>
      <c r="BF112" s="685"/>
      <c r="BG112" s="685"/>
      <c r="BH112" s="685"/>
      <c r="BI112" s="685"/>
      <c r="BJ112" s="685"/>
      <c r="BK112" s="685"/>
    </row>
    <row r="113">
      <c r="A113" s="507" t="s">
        <v>3401</v>
      </c>
      <c r="B113" s="260" t="s">
        <v>4732</v>
      </c>
      <c r="C113" s="260">
        <v>30.0</v>
      </c>
      <c r="D113" s="663" t="s">
        <v>4839</v>
      </c>
      <c r="E113" s="689">
        <v>44357.0</v>
      </c>
      <c r="F113" s="663" t="s">
        <v>4840</v>
      </c>
      <c r="G113" s="260" t="s">
        <v>4827</v>
      </c>
      <c r="H113" s="260" t="s">
        <v>4828</v>
      </c>
      <c r="I113" s="260" t="s">
        <v>3308</v>
      </c>
      <c r="J113" s="260">
        <v>17.4</v>
      </c>
      <c r="K113" s="260">
        <v>392.5</v>
      </c>
      <c r="L113" s="260">
        <v>6144.0</v>
      </c>
      <c r="M113" s="260">
        <v>192.0</v>
      </c>
      <c r="N113" s="260">
        <v>96.0</v>
      </c>
      <c r="O113" s="260">
        <v>192.0</v>
      </c>
      <c r="P113" s="260">
        <v>48.0</v>
      </c>
      <c r="Q113" s="260">
        <v>1575.0</v>
      </c>
      <c r="R113" s="260">
        <v>1770.0</v>
      </c>
      <c r="S113" s="260">
        <v>8.0</v>
      </c>
      <c r="T113" s="260">
        <v>19.0</v>
      </c>
      <c r="U113" s="260">
        <v>256.0</v>
      </c>
      <c r="V113" s="260">
        <f t="shared" si="1"/>
        <v>608</v>
      </c>
      <c r="W113" s="260" t="s">
        <v>4836</v>
      </c>
      <c r="X113" s="262">
        <f t="shared" si="2"/>
        <v>169.92</v>
      </c>
      <c r="Y113" s="262">
        <f t="shared" si="3"/>
        <v>339.84</v>
      </c>
      <c r="Z113" s="262">
        <v>21.75</v>
      </c>
      <c r="AA113" s="262">
        <v>0.3398</v>
      </c>
      <c r="AB113" s="262">
        <v>21.75</v>
      </c>
      <c r="AC113" s="260">
        <v>290.0</v>
      </c>
      <c r="AD113" s="260" t="s">
        <v>4628</v>
      </c>
      <c r="AE113" s="684">
        <v>599.0</v>
      </c>
      <c r="AF113" s="685"/>
      <c r="AG113" s="685"/>
      <c r="AH113" s="685"/>
      <c r="AI113" s="685"/>
      <c r="AJ113" s="685"/>
      <c r="AK113" s="685"/>
      <c r="AL113" s="685"/>
      <c r="AM113" s="685"/>
      <c r="AN113" s="685"/>
      <c r="AO113" s="685"/>
      <c r="AP113" s="685"/>
      <c r="AQ113" s="685"/>
      <c r="AR113" s="685"/>
      <c r="AS113" s="685"/>
      <c r="AT113" s="685"/>
      <c r="AU113" s="685"/>
      <c r="AV113" s="685"/>
      <c r="AW113" s="685"/>
      <c r="AX113" s="685"/>
      <c r="AY113" s="685"/>
      <c r="AZ113" s="685"/>
      <c r="BA113" s="685"/>
      <c r="BB113" s="685"/>
      <c r="BC113" s="685"/>
      <c r="BD113" s="685"/>
      <c r="BE113" s="685"/>
      <c r="BF113" s="685"/>
      <c r="BG113" s="685"/>
      <c r="BH113" s="685"/>
      <c r="BI113" s="685"/>
      <c r="BJ113" s="685"/>
      <c r="BK113" s="685"/>
    </row>
    <row r="114">
      <c r="A114" s="507" t="s">
        <v>3401</v>
      </c>
      <c r="B114" s="260" t="s">
        <v>4732</v>
      </c>
      <c r="C114" s="260">
        <v>30.0</v>
      </c>
      <c r="D114" s="663" t="s">
        <v>4841</v>
      </c>
      <c r="E114" s="683">
        <v>44091.0</v>
      </c>
      <c r="F114" s="663" t="s">
        <v>4842</v>
      </c>
      <c r="G114" s="260" t="s">
        <v>4827</v>
      </c>
      <c r="H114" s="260" t="s">
        <v>4828</v>
      </c>
      <c r="I114" s="260" t="s">
        <v>3308</v>
      </c>
      <c r="J114" s="260">
        <v>28.0</v>
      </c>
      <c r="K114" s="260">
        <v>628.4</v>
      </c>
      <c r="L114" s="260">
        <v>8704.0</v>
      </c>
      <c r="M114" s="260">
        <v>272.0</v>
      </c>
      <c r="N114" s="260">
        <v>96.0</v>
      </c>
      <c r="O114" s="260">
        <v>272.0</v>
      </c>
      <c r="P114" s="260">
        <v>68.0</v>
      </c>
      <c r="Q114" s="260">
        <v>1440.0</v>
      </c>
      <c r="R114" s="260">
        <v>1710.0</v>
      </c>
      <c r="S114" s="260">
        <v>10.0</v>
      </c>
      <c r="T114" s="260">
        <v>19.0</v>
      </c>
      <c r="U114" s="260">
        <v>320.0</v>
      </c>
      <c r="V114" s="260">
        <f t="shared" si="1"/>
        <v>760</v>
      </c>
      <c r="W114" s="260" t="s">
        <v>4836</v>
      </c>
      <c r="X114" s="262">
        <f t="shared" si="2"/>
        <v>164.16</v>
      </c>
      <c r="Y114" s="262">
        <f t="shared" si="3"/>
        <v>465.12</v>
      </c>
      <c r="Z114" s="262">
        <v>29.768</v>
      </c>
      <c r="AA114" s="262">
        <v>0.465</v>
      </c>
      <c r="AB114" s="262">
        <v>29.768</v>
      </c>
      <c r="AC114" s="260">
        <v>320.0</v>
      </c>
      <c r="AD114" s="260" t="s">
        <v>4628</v>
      </c>
      <c r="AE114" s="684">
        <v>699.0</v>
      </c>
      <c r="AF114" s="685"/>
      <c r="AG114" s="685"/>
      <c r="AH114" s="685"/>
      <c r="AI114" s="685"/>
      <c r="AJ114" s="685"/>
      <c r="AK114" s="685"/>
      <c r="AL114" s="685"/>
      <c r="AM114" s="685"/>
      <c r="AN114" s="685"/>
      <c r="AO114" s="685"/>
      <c r="AP114" s="685"/>
      <c r="AQ114" s="685"/>
      <c r="AR114" s="685"/>
      <c r="AS114" s="685"/>
      <c r="AT114" s="685"/>
      <c r="AU114" s="685"/>
      <c r="AV114" s="685"/>
      <c r="AW114" s="685"/>
      <c r="AX114" s="685"/>
      <c r="AY114" s="685"/>
      <c r="AZ114" s="685"/>
      <c r="BA114" s="685"/>
      <c r="BB114" s="685"/>
      <c r="BC114" s="685"/>
      <c r="BD114" s="685"/>
      <c r="BE114" s="685"/>
      <c r="BF114" s="685"/>
      <c r="BG114" s="685"/>
      <c r="BH114" s="685"/>
      <c r="BI114" s="685"/>
      <c r="BJ114" s="685"/>
      <c r="BK114" s="685"/>
    </row>
    <row r="115">
      <c r="A115" s="507" t="s">
        <v>3401</v>
      </c>
      <c r="B115" s="260" t="s">
        <v>4732</v>
      </c>
      <c r="C115" s="260">
        <v>30.0</v>
      </c>
      <c r="D115" s="663" t="s">
        <v>4843</v>
      </c>
      <c r="E115" s="683">
        <v>44572.0</v>
      </c>
      <c r="F115" s="663" t="s">
        <v>4844</v>
      </c>
      <c r="G115" s="260" t="s">
        <v>4827</v>
      </c>
      <c r="H115" s="260" t="s">
        <v>4828</v>
      </c>
      <c r="I115" s="260" t="s">
        <v>3308</v>
      </c>
      <c r="J115" s="260">
        <v>28.0</v>
      </c>
      <c r="K115" s="260">
        <v>628.4</v>
      </c>
      <c r="L115" s="260">
        <v>8960.0</v>
      </c>
      <c r="M115" s="260">
        <v>280.0</v>
      </c>
      <c r="N115" s="260">
        <v>112.0</v>
      </c>
      <c r="O115" s="260">
        <v>280.0</v>
      </c>
      <c r="P115" s="260">
        <v>70.0</v>
      </c>
      <c r="Q115" s="260">
        <v>1260.0</v>
      </c>
      <c r="R115" s="260">
        <v>1710.0</v>
      </c>
      <c r="S115" s="260">
        <v>12.0</v>
      </c>
      <c r="T115" s="260">
        <v>19.0</v>
      </c>
      <c r="U115" s="260">
        <v>384.0</v>
      </c>
      <c r="V115" s="260">
        <f t="shared" si="1"/>
        <v>912</v>
      </c>
      <c r="W115" s="260" t="s">
        <v>4836</v>
      </c>
      <c r="X115" s="262">
        <f t="shared" si="2"/>
        <v>191.52</v>
      </c>
      <c r="Y115" s="262">
        <f t="shared" si="3"/>
        <v>478.8</v>
      </c>
      <c r="Z115" s="262">
        <v>30.64</v>
      </c>
      <c r="AA115" s="262">
        <v>0.4788</v>
      </c>
      <c r="AB115" s="262">
        <v>30.64</v>
      </c>
      <c r="AC115" s="260">
        <v>350.0</v>
      </c>
      <c r="AD115" s="260" t="s">
        <v>4628</v>
      </c>
      <c r="AE115" s="684">
        <v>799.0</v>
      </c>
      <c r="AF115" s="685"/>
      <c r="AG115" s="685"/>
      <c r="AH115" s="685"/>
      <c r="AI115" s="685"/>
      <c r="AJ115" s="685"/>
      <c r="AK115" s="685"/>
      <c r="AL115" s="685"/>
      <c r="AM115" s="685"/>
      <c r="AN115" s="685"/>
      <c r="AO115" s="685"/>
      <c r="AP115" s="685"/>
      <c r="AQ115" s="685"/>
      <c r="AR115" s="685"/>
      <c r="AS115" s="685"/>
      <c r="AT115" s="685"/>
      <c r="AU115" s="685"/>
      <c r="AV115" s="685"/>
      <c r="AW115" s="685"/>
      <c r="AX115" s="685"/>
      <c r="AY115" s="685"/>
      <c r="AZ115" s="685"/>
      <c r="BA115" s="685"/>
      <c r="BB115" s="685"/>
      <c r="BC115" s="685"/>
      <c r="BD115" s="685"/>
      <c r="BE115" s="685"/>
      <c r="BF115" s="685"/>
      <c r="BG115" s="685"/>
      <c r="BH115" s="685"/>
      <c r="BI115" s="685"/>
      <c r="BJ115" s="685"/>
      <c r="BK115" s="685"/>
    </row>
    <row r="116">
      <c r="A116" s="507" t="s">
        <v>3401</v>
      </c>
      <c r="B116" s="260" t="s">
        <v>4732</v>
      </c>
      <c r="C116" s="260">
        <v>30.0</v>
      </c>
      <c r="D116" s="663" t="s">
        <v>4845</v>
      </c>
      <c r="E116" s="689">
        <v>44350.0</v>
      </c>
      <c r="F116" s="663" t="s">
        <v>4846</v>
      </c>
      <c r="G116" s="260" t="s">
        <v>4827</v>
      </c>
      <c r="H116" s="260" t="s">
        <v>4828</v>
      </c>
      <c r="I116" s="260" t="s">
        <v>3308</v>
      </c>
      <c r="J116" s="260">
        <v>28.0</v>
      </c>
      <c r="K116" s="260">
        <v>628.4</v>
      </c>
      <c r="L116" s="260">
        <v>10240.0</v>
      </c>
      <c r="M116" s="260">
        <v>320.0</v>
      </c>
      <c r="N116" s="260">
        <v>112.0</v>
      </c>
      <c r="O116" s="260">
        <v>320.0</v>
      </c>
      <c r="P116" s="260">
        <v>80.0</v>
      </c>
      <c r="Q116" s="260">
        <v>1365.0</v>
      </c>
      <c r="R116" s="260">
        <v>1665.0</v>
      </c>
      <c r="S116" s="260">
        <v>12.0</v>
      </c>
      <c r="T116" s="260">
        <v>19.0</v>
      </c>
      <c r="U116" s="260">
        <v>384.0</v>
      </c>
      <c r="V116" s="260">
        <f t="shared" si="1"/>
        <v>912</v>
      </c>
      <c r="W116" s="260" t="s">
        <v>4836</v>
      </c>
      <c r="X116" s="262">
        <f t="shared" si="2"/>
        <v>186.48</v>
      </c>
      <c r="Y116" s="262">
        <f t="shared" si="3"/>
        <v>532.8</v>
      </c>
      <c r="Z116" s="262">
        <v>34.1</v>
      </c>
      <c r="AA116" s="262">
        <v>0.5328</v>
      </c>
      <c r="AB116" s="262">
        <v>34.1</v>
      </c>
      <c r="AC116" s="260">
        <v>350.0</v>
      </c>
      <c r="AD116" s="260" t="s">
        <v>4628</v>
      </c>
      <c r="AE116" s="684">
        <v>1199.0</v>
      </c>
      <c r="AF116" s="685"/>
      <c r="AG116" s="685"/>
      <c r="AH116" s="685"/>
      <c r="AI116" s="685"/>
      <c r="AJ116" s="685"/>
      <c r="AK116" s="685"/>
      <c r="AL116" s="685"/>
      <c r="AM116" s="685"/>
      <c r="AN116" s="685"/>
      <c r="AO116" s="685"/>
      <c r="AP116" s="685"/>
      <c r="AQ116" s="685"/>
      <c r="AR116" s="685"/>
      <c r="AS116" s="685"/>
      <c r="AT116" s="685"/>
      <c r="AU116" s="685"/>
      <c r="AV116" s="685"/>
      <c r="AW116" s="685"/>
      <c r="AX116" s="685"/>
      <c r="AY116" s="685"/>
      <c r="AZ116" s="685"/>
      <c r="BA116" s="685"/>
      <c r="BB116" s="685"/>
      <c r="BC116" s="685"/>
      <c r="BD116" s="685"/>
      <c r="BE116" s="685"/>
      <c r="BF116" s="685"/>
      <c r="BG116" s="685"/>
      <c r="BH116" s="685"/>
      <c r="BI116" s="685"/>
      <c r="BJ116" s="685"/>
      <c r="BK116" s="685"/>
    </row>
    <row r="117">
      <c r="A117" s="507" t="s">
        <v>3401</v>
      </c>
      <c r="B117" s="260" t="s">
        <v>4732</v>
      </c>
      <c r="C117" s="260">
        <v>30.0</v>
      </c>
      <c r="D117" s="663" t="s">
        <v>4847</v>
      </c>
      <c r="E117" s="689">
        <v>44098.0</v>
      </c>
      <c r="F117" s="663" t="s">
        <v>4848</v>
      </c>
      <c r="G117" s="260" t="s">
        <v>4827</v>
      </c>
      <c r="H117" s="260" t="s">
        <v>4828</v>
      </c>
      <c r="I117" s="260" t="s">
        <v>3308</v>
      </c>
      <c r="J117" s="260">
        <v>28.0</v>
      </c>
      <c r="K117" s="260">
        <v>628.4</v>
      </c>
      <c r="L117" s="260">
        <v>10496.0</v>
      </c>
      <c r="M117" s="260">
        <v>328.0</v>
      </c>
      <c r="N117" s="260">
        <v>112.0</v>
      </c>
      <c r="O117" s="260">
        <v>328.0</v>
      </c>
      <c r="P117" s="260">
        <v>82.0</v>
      </c>
      <c r="Q117" s="260">
        <v>1395.0</v>
      </c>
      <c r="R117" s="260">
        <v>1695.0</v>
      </c>
      <c r="S117" s="260">
        <v>24.0</v>
      </c>
      <c r="T117" s="260">
        <v>19.5</v>
      </c>
      <c r="U117" s="260">
        <v>384.0</v>
      </c>
      <c r="V117" s="260">
        <f t="shared" si="1"/>
        <v>936</v>
      </c>
      <c r="W117" s="260" t="s">
        <v>4836</v>
      </c>
      <c r="X117" s="262">
        <f t="shared" si="2"/>
        <v>189.84</v>
      </c>
      <c r="Y117" s="262">
        <f t="shared" si="3"/>
        <v>555.96</v>
      </c>
      <c r="Z117" s="262">
        <v>35.686</v>
      </c>
      <c r="AA117" s="262">
        <v>0.558</v>
      </c>
      <c r="AB117" s="262">
        <v>35.686</v>
      </c>
      <c r="AC117" s="260">
        <v>350.0</v>
      </c>
      <c r="AD117" s="260" t="s">
        <v>174</v>
      </c>
      <c r="AE117" s="684">
        <v>1499.0</v>
      </c>
      <c r="AF117" s="685"/>
      <c r="AG117" s="685"/>
      <c r="AH117" s="685"/>
      <c r="AI117" s="685"/>
      <c r="AJ117" s="685"/>
      <c r="AK117" s="685"/>
      <c r="AL117" s="685"/>
      <c r="AM117" s="685"/>
      <c r="AN117" s="685"/>
      <c r="AO117" s="685"/>
      <c r="AP117" s="685"/>
      <c r="AQ117" s="685"/>
      <c r="AR117" s="685"/>
      <c r="AS117" s="685"/>
      <c r="AT117" s="685"/>
      <c r="AU117" s="685"/>
      <c r="AV117" s="685"/>
      <c r="AW117" s="685"/>
      <c r="AX117" s="685"/>
      <c r="AY117" s="685"/>
      <c r="AZ117" s="685"/>
      <c r="BA117" s="685"/>
      <c r="BB117" s="685"/>
      <c r="BC117" s="685"/>
      <c r="BD117" s="685"/>
      <c r="BE117" s="685"/>
      <c r="BF117" s="685"/>
      <c r="BG117" s="685"/>
      <c r="BH117" s="685"/>
      <c r="BI117" s="685"/>
      <c r="BJ117" s="685"/>
      <c r="BK117" s="685"/>
    </row>
    <row r="118">
      <c r="A118" s="519" t="s">
        <v>3401</v>
      </c>
      <c r="B118" s="393" t="s">
        <v>4732</v>
      </c>
      <c r="C118" s="393">
        <v>30.0</v>
      </c>
      <c r="D118" s="669" t="s">
        <v>4849</v>
      </c>
      <c r="E118" s="690">
        <v>44649.0</v>
      </c>
      <c r="F118" s="669" t="s">
        <v>4850</v>
      </c>
      <c r="G118" s="393" t="s">
        <v>4827</v>
      </c>
      <c r="H118" s="393" t="s">
        <v>4828</v>
      </c>
      <c r="I118" s="393" t="s">
        <v>3308</v>
      </c>
      <c r="J118" s="393">
        <v>28.0</v>
      </c>
      <c r="K118" s="393">
        <v>628.4</v>
      </c>
      <c r="L118" s="393">
        <v>10752.0</v>
      </c>
      <c r="M118" s="393">
        <v>336.0</v>
      </c>
      <c r="N118" s="393">
        <v>112.0</v>
      </c>
      <c r="O118" s="393">
        <v>336.0</v>
      </c>
      <c r="P118" s="393">
        <v>84.0</v>
      </c>
      <c r="Q118" s="393">
        <v>1560.0</v>
      </c>
      <c r="R118" s="393">
        <v>1860.0</v>
      </c>
      <c r="S118" s="393">
        <v>24.0</v>
      </c>
      <c r="T118" s="393">
        <v>21.0</v>
      </c>
      <c r="U118" s="393">
        <v>384.0</v>
      </c>
      <c r="V118" s="393">
        <f t="shared" si="1"/>
        <v>1008</v>
      </c>
      <c r="W118" s="393" t="s">
        <v>4836</v>
      </c>
      <c r="X118" s="672">
        <f t="shared" si="2"/>
        <v>208.32</v>
      </c>
      <c r="Y118" s="672">
        <f t="shared" si="3"/>
        <v>624.96</v>
      </c>
      <c r="Z118" s="672">
        <v>40.0</v>
      </c>
      <c r="AA118" s="672">
        <v>0.625</v>
      </c>
      <c r="AB118" s="672">
        <v>40.0</v>
      </c>
      <c r="AC118" s="393">
        <v>450.0</v>
      </c>
      <c r="AD118" s="393" t="s">
        <v>174</v>
      </c>
      <c r="AE118" s="688">
        <v>1999.0</v>
      </c>
      <c r="AF118" s="685"/>
      <c r="AG118" s="685"/>
      <c r="AH118" s="685"/>
      <c r="AI118" s="685"/>
      <c r="AJ118" s="685"/>
      <c r="AK118" s="685"/>
      <c r="AL118" s="685"/>
      <c r="AM118" s="685"/>
      <c r="AN118" s="685"/>
      <c r="AO118" s="685"/>
      <c r="AP118" s="685"/>
      <c r="AQ118" s="685"/>
      <c r="AR118" s="685"/>
      <c r="AS118" s="685"/>
      <c r="AT118" s="685"/>
      <c r="AU118" s="685"/>
      <c r="AV118" s="685"/>
      <c r="AW118" s="685"/>
      <c r="AX118" s="685"/>
      <c r="AY118" s="685"/>
      <c r="AZ118" s="685"/>
      <c r="BA118" s="685"/>
      <c r="BB118" s="685"/>
      <c r="BC118" s="685"/>
      <c r="BD118" s="685"/>
      <c r="BE118" s="685"/>
      <c r="BF118" s="685"/>
      <c r="BG118" s="685"/>
      <c r="BH118" s="685"/>
      <c r="BI118" s="685"/>
      <c r="BJ118" s="685"/>
      <c r="BK118" s="685"/>
    </row>
    <row r="119">
      <c r="A119" s="507" t="s">
        <v>3401</v>
      </c>
      <c r="B119" s="260" t="s">
        <v>166</v>
      </c>
      <c r="C119" s="260" t="s">
        <v>4817</v>
      </c>
      <c r="D119" s="663" t="s">
        <v>4851</v>
      </c>
      <c r="E119" s="693">
        <v>44470.0</v>
      </c>
      <c r="F119" s="663" t="s">
        <v>4852</v>
      </c>
      <c r="G119" s="260" t="s">
        <v>4827</v>
      </c>
      <c r="H119" s="260" t="s">
        <v>4828</v>
      </c>
      <c r="I119" s="260" t="s">
        <v>3308</v>
      </c>
      <c r="J119" s="260">
        <v>13.25</v>
      </c>
      <c r="K119" s="260">
        <v>300.0</v>
      </c>
      <c r="L119" s="260">
        <v>3328.0</v>
      </c>
      <c r="M119" s="260">
        <v>104.0</v>
      </c>
      <c r="N119" s="260">
        <v>48.0</v>
      </c>
      <c r="O119" s="260">
        <v>104.0</v>
      </c>
      <c r="P119" s="260">
        <v>26.0</v>
      </c>
      <c r="Q119" s="260">
        <v>562.0</v>
      </c>
      <c r="R119" s="260">
        <v>1200.0</v>
      </c>
      <c r="S119" s="260">
        <v>6.0</v>
      </c>
      <c r="T119" s="260">
        <v>12.0</v>
      </c>
      <c r="U119" s="260">
        <v>192.0</v>
      </c>
      <c r="V119" s="260">
        <f t="shared" si="1"/>
        <v>288</v>
      </c>
      <c r="W119" s="260" t="s">
        <v>4665</v>
      </c>
      <c r="X119" s="262">
        <f t="shared" si="2"/>
        <v>57.6</v>
      </c>
      <c r="Y119" s="262">
        <f t="shared" si="3"/>
        <v>124.8</v>
      </c>
      <c r="Z119" s="262">
        <v>7.987</v>
      </c>
      <c r="AA119" s="262">
        <v>0.1248</v>
      </c>
      <c r="AB119" s="262">
        <v>7.987</v>
      </c>
      <c r="AC119" s="260">
        <v>70.0</v>
      </c>
      <c r="AD119" s="260" t="s">
        <v>4628</v>
      </c>
      <c r="AE119" s="684">
        <v>449.0</v>
      </c>
      <c r="AF119" s="685"/>
      <c r="AG119" s="685"/>
      <c r="AH119" s="685"/>
      <c r="AI119" s="685"/>
      <c r="AJ119" s="685"/>
      <c r="AK119" s="685"/>
      <c r="AL119" s="685"/>
      <c r="AM119" s="685"/>
      <c r="AN119" s="685"/>
      <c r="AO119" s="685"/>
      <c r="AP119" s="685"/>
      <c r="AQ119" s="685"/>
      <c r="AR119" s="685"/>
      <c r="AS119" s="685"/>
      <c r="AT119" s="685"/>
      <c r="AU119" s="685"/>
      <c r="AV119" s="685"/>
      <c r="AW119" s="685"/>
      <c r="AX119" s="685"/>
      <c r="AY119" s="685"/>
      <c r="AZ119" s="685"/>
      <c r="BA119" s="685"/>
      <c r="BB119" s="685"/>
      <c r="BC119" s="685"/>
      <c r="BD119" s="685"/>
      <c r="BE119" s="685"/>
      <c r="BF119" s="685"/>
      <c r="BG119" s="685"/>
      <c r="BH119" s="685"/>
      <c r="BI119" s="685"/>
      <c r="BJ119" s="685"/>
      <c r="BK119" s="685"/>
    </row>
    <row r="120">
      <c r="A120" s="507" t="s">
        <v>3401</v>
      </c>
      <c r="B120" s="260" t="s">
        <v>166</v>
      </c>
      <c r="C120" s="260" t="s">
        <v>4817</v>
      </c>
      <c r="D120" s="663" t="s">
        <v>4853</v>
      </c>
      <c r="E120" s="693">
        <v>44501.0</v>
      </c>
      <c r="F120" s="663" t="s">
        <v>4852</v>
      </c>
      <c r="G120" s="260" t="s">
        <v>4827</v>
      </c>
      <c r="H120" s="260" t="s">
        <v>4828</v>
      </c>
      <c r="I120" s="260" t="s">
        <v>3308</v>
      </c>
      <c r="J120" s="260">
        <v>13.25</v>
      </c>
      <c r="K120" s="260">
        <v>300.0</v>
      </c>
      <c r="L120" s="260">
        <v>3328.0</v>
      </c>
      <c r="M120" s="260">
        <v>104.0</v>
      </c>
      <c r="N120" s="260">
        <v>48.0</v>
      </c>
      <c r="O120" s="260">
        <v>104.0</v>
      </c>
      <c r="P120" s="260">
        <v>26.0</v>
      </c>
      <c r="Q120" s="260">
        <v>562.0</v>
      </c>
      <c r="R120" s="260">
        <v>1200.0</v>
      </c>
      <c r="S120" s="260">
        <v>12.0</v>
      </c>
      <c r="T120" s="260">
        <v>12.0</v>
      </c>
      <c r="U120" s="260">
        <v>192.0</v>
      </c>
      <c r="V120" s="260">
        <f t="shared" si="1"/>
        <v>288</v>
      </c>
      <c r="W120" s="260" t="s">
        <v>4665</v>
      </c>
      <c r="X120" s="262">
        <f t="shared" si="2"/>
        <v>57.6</v>
      </c>
      <c r="Y120" s="262">
        <f t="shared" si="3"/>
        <v>124.8</v>
      </c>
      <c r="Z120" s="262">
        <v>7.987</v>
      </c>
      <c r="AA120" s="262">
        <v>0.1248</v>
      </c>
      <c r="AB120" s="262">
        <v>7.987</v>
      </c>
      <c r="AC120" s="260">
        <v>70.0</v>
      </c>
      <c r="AD120" s="260" t="s">
        <v>4628</v>
      </c>
      <c r="AE120" s="684">
        <v>449.0</v>
      </c>
      <c r="AF120" s="685"/>
      <c r="AG120" s="685"/>
      <c r="AH120" s="685"/>
      <c r="AI120" s="685"/>
      <c r="AJ120" s="685"/>
      <c r="AK120" s="685"/>
      <c r="AL120" s="685"/>
      <c r="AM120" s="685"/>
      <c r="AN120" s="685"/>
      <c r="AO120" s="685"/>
      <c r="AP120" s="685"/>
      <c r="AQ120" s="685"/>
      <c r="AR120" s="685"/>
      <c r="AS120" s="685"/>
      <c r="AT120" s="685"/>
      <c r="AU120" s="685"/>
      <c r="AV120" s="685"/>
      <c r="AW120" s="685"/>
      <c r="AX120" s="685"/>
      <c r="AY120" s="685"/>
      <c r="AZ120" s="685"/>
      <c r="BA120" s="685"/>
      <c r="BB120" s="685"/>
      <c r="BC120" s="685"/>
      <c r="BD120" s="685"/>
      <c r="BE120" s="685"/>
      <c r="BF120" s="685"/>
      <c r="BG120" s="685"/>
      <c r="BH120" s="685"/>
      <c r="BI120" s="685"/>
      <c r="BJ120" s="685"/>
      <c r="BK120" s="685"/>
    </row>
    <row r="121">
      <c r="A121" s="507" t="s">
        <v>3401</v>
      </c>
      <c r="B121" s="260" t="s">
        <v>166</v>
      </c>
      <c r="C121" s="260" t="s">
        <v>4817</v>
      </c>
      <c r="D121" s="663" t="s">
        <v>4854</v>
      </c>
      <c r="E121" s="693">
        <v>44287.0</v>
      </c>
      <c r="F121" s="663" t="s">
        <v>4855</v>
      </c>
      <c r="G121" s="260" t="s">
        <v>4827</v>
      </c>
      <c r="H121" s="260" t="s">
        <v>4828</v>
      </c>
      <c r="I121" s="260" t="s">
        <v>3308</v>
      </c>
      <c r="J121" s="260">
        <v>17.4</v>
      </c>
      <c r="K121" s="260">
        <v>392.5</v>
      </c>
      <c r="L121" s="260">
        <v>6144.0</v>
      </c>
      <c r="M121" s="260">
        <v>192.0</v>
      </c>
      <c r="N121" s="260">
        <v>96.0</v>
      </c>
      <c r="O121" s="260">
        <v>192.0</v>
      </c>
      <c r="P121" s="260">
        <v>48.0</v>
      </c>
      <c r="Q121" s="260">
        <v>1455.0</v>
      </c>
      <c r="R121" s="260">
        <v>1860.0</v>
      </c>
      <c r="S121" s="260">
        <v>16.0</v>
      </c>
      <c r="T121" s="260">
        <v>16.0</v>
      </c>
      <c r="U121" s="260">
        <v>256.0</v>
      </c>
      <c r="V121" s="260">
        <f t="shared" si="1"/>
        <v>512</v>
      </c>
      <c r="W121" s="260" t="s">
        <v>4665</v>
      </c>
      <c r="X121" s="262">
        <f t="shared" si="2"/>
        <v>178.56</v>
      </c>
      <c r="Y121" s="262">
        <f t="shared" si="3"/>
        <v>357.12</v>
      </c>
      <c r="Z121" s="262">
        <v>22.86</v>
      </c>
      <c r="AA121" s="262">
        <v>0.7142</v>
      </c>
      <c r="AB121" s="262">
        <v>22.86</v>
      </c>
      <c r="AC121" s="260">
        <v>140.0</v>
      </c>
      <c r="AD121" s="260" t="s">
        <v>4628</v>
      </c>
      <c r="AE121" s="684">
        <v>999.0</v>
      </c>
      <c r="AF121" s="685"/>
      <c r="AG121" s="685"/>
      <c r="AH121" s="685"/>
      <c r="AI121" s="685"/>
      <c r="AJ121" s="685"/>
      <c r="AK121" s="685"/>
      <c r="AL121" s="685"/>
      <c r="AM121" s="685"/>
      <c r="AN121" s="685"/>
      <c r="AO121" s="685"/>
      <c r="AP121" s="685"/>
      <c r="AQ121" s="685"/>
      <c r="AR121" s="685"/>
      <c r="AS121" s="685"/>
      <c r="AT121" s="685"/>
      <c r="AU121" s="685"/>
      <c r="AV121" s="685"/>
      <c r="AW121" s="685"/>
      <c r="AX121" s="685"/>
      <c r="AY121" s="685"/>
      <c r="AZ121" s="685"/>
      <c r="BA121" s="685"/>
      <c r="BB121" s="685"/>
      <c r="BC121" s="685"/>
      <c r="BD121" s="685"/>
      <c r="BE121" s="685"/>
      <c r="BF121" s="685"/>
      <c r="BG121" s="685"/>
      <c r="BH121" s="685"/>
      <c r="BI121" s="685"/>
      <c r="BJ121" s="685"/>
      <c r="BK121" s="685"/>
    </row>
    <row r="122">
      <c r="A122" s="507" t="s">
        <v>3401</v>
      </c>
      <c r="B122" s="260" t="s">
        <v>166</v>
      </c>
      <c r="C122" s="260" t="s">
        <v>4817</v>
      </c>
      <c r="D122" s="663" t="s">
        <v>4856</v>
      </c>
      <c r="E122" s="693">
        <v>44501.0</v>
      </c>
      <c r="F122" s="663" t="s">
        <v>4857</v>
      </c>
      <c r="G122" s="260" t="s">
        <v>4827</v>
      </c>
      <c r="H122" s="260" t="s">
        <v>4828</v>
      </c>
      <c r="I122" s="260" t="s">
        <v>3308</v>
      </c>
      <c r="J122" s="260">
        <v>28.0</v>
      </c>
      <c r="K122" s="260">
        <v>628.4</v>
      </c>
      <c r="L122" s="260">
        <v>7168.0</v>
      </c>
      <c r="M122" s="260">
        <v>224.0</v>
      </c>
      <c r="N122" s="260">
        <v>96.0</v>
      </c>
      <c r="O122" s="260">
        <v>224.0</v>
      </c>
      <c r="P122" s="260">
        <v>56.0</v>
      </c>
      <c r="Q122" s="260">
        <v>1050.0</v>
      </c>
      <c r="R122" s="260">
        <v>1653.0</v>
      </c>
      <c r="S122" s="260">
        <v>20.0</v>
      </c>
      <c r="T122" s="260">
        <v>16.0</v>
      </c>
      <c r="U122" s="260">
        <v>320.0</v>
      </c>
      <c r="V122" s="260">
        <f t="shared" si="1"/>
        <v>640</v>
      </c>
      <c r="W122" s="260" t="s">
        <v>4665</v>
      </c>
      <c r="X122" s="262">
        <f t="shared" si="2"/>
        <v>158.688</v>
      </c>
      <c r="Y122" s="262">
        <f t="shared" si="3"/>
        <v>370.272</v>
      </c>
      <c r="Z122" s="262">
        <v>23.65</v>
      </c>
      <c r="AA122" s="262">
        <v>0.7392</v>
      </c>
      <c r="AB122" s="262">
        <v>23.65</v>
      </c>
      <c r="AC122" s="260">
        <v>200.0</v>
      </c>
      <c r="AD122" s="260" t="s">
        <v>174</v>
      </c>
      <c r="AE122" s="684" t="s">
        <v>170</v>
      </c>
      <c r="AF122" s="685"/>
      <c r="AG122" s="685"/>
      <c r="AH122" s="685"/>
      <c r="AI122" s="685"/>
      <c r="AJ122" s="685"/>
      <c r="AK122" s="685"/>
      <c r="AL122" s="685"/>
      <c r="AM122" s="685"/>
      <c r="AN122" s="685"/>
      <c r="AO122" s="685"/>
      <c r="AP122" s="685"/>
      <c r="AQ122" s="685"/>
      <c r="AR122" s="685"/>
      <c r="AS122" s="685"/>
      <c r="AT122" s="685"/>
      <c r="AU122" s="685"/>
      <c r="AV122" s="685"/>
      <c r="AW122" s="685"/>
      <c r="AX122" s="685"/>
      <c r="AY122" s="685"/>
      <c r="AZ122" s="685"/>
      <c r="BA122" s="685"/>
      <c r="BB122" s="685"/>
      <c r="BC122" s="685"/>
      <c r="BD122" s="685"/>
      <c r="BE122" s="685"/>
      <c r="BF122" s="685"/>
      <c r="BG122" s="685"/>
      <c r="BH122" s="685"/>
      <c r="BI122" s="685"/>
      <c r="BJ122" s="685"/>
      <c r="BK122" s="685"/>
    </row>
    <row r="123">
      <c r="A123" s="507" t="s">
        <v>3401</v>
      </c>
      <c r="B123" s="260" t="s">
        <v>166</v>
      </c>
      <c r="C123" s="260" t="s">
        <v>4817</v>
      </c>
      <c r="D123" s="663" t="s">
        <v>4858</v>
      </c>
      <c r="E123" s="693">
        <v>44287.0</v>
      </c>
      <c r="F123" s="663" t="s">
        <v>4859</v>
      </c>
      <c r="G123" s="260" t="s">
        <v>4827</v>
      </c>
      <c r="H123" s="260" t="s">
        <v>4828</v>
      </c>
      <c r="I123" s="260" t="s">
        <v>3308</v>
      </c>
      <c r="J123" s="260">
        <v>28.0</v>
      </c>
      <c r="K123" s="260">
        <v>628.4</v>
      </c>
      <c r="L123" s="260">
        <v>8192.0</v>
      </c>
      <c r="M123" s="260">
        <v>256.0</v>
      </c>
      <c r="N123" s="260">
        <v>96.0</v>
      </c>
      <c r="O123" s="260">
        <v>256.0</v>
      </c>
      <c r="P123" s="260">
        <v>64.0</v>
      </c>
      <c r="Q123" s="260">
        <v>1455.0</v>
      </c>
      <c r="R123" s="260">
        <v>1695.0</v>
      </c>
      <c r="S123" s="260">
        <v>24.0</v>
      </c>
      <c r="T123" s="260">
        <v>16.0</v>
      </c>
      <c r="U123" s="260">
        <v>384.0</v>
      </c>
      <c r="V123" s="260">
        <f t="shared" si="1"/>
        <v>768</v>
      </c>
      <c r="W123" s="260" t="s">
        <v>4665</v>
      </c>
      <c r="X123" s="262">
        <f t="shared" si="2"/>
        <v>162.72</v>
      </c>
      <c r="Y123" s="262">
        <f t="shared" si="3"/>
        <v>433.92</v>
      </c>
      <c r="Z123" s="262">
        <v>27.77</v>
      </c>
      <c r="AA123" s="262">
        <v>0.8678</v>
      </c>
      <c r="AB123" s="262">
        <v>27.77</v>
      </c>
      <c r="AC123" s="260">
        <v>230.0</v>
      </c>
      <c r="AD123" s="260" t="s">
        <v>174</v>
      </c>
      <c r="AE123" s="684">
        <v>2249.0</v>
      </c>
      <c r="AF123" s="685"/>
      <c r="AG123" s="685"/>
      <c r="AH123" s="685"/>
      <c r="AI123" s="685"/>
      <c r="AJ123" s="685"/>
      <c r="AK123" s="685"/>
      <c r="AL123" s="685"/>
      <c r="AM123" s="685"/>
      <c r="AN123" s="685"/>
      <c r="AO123" s="685"/>
      <c r="AP123" s="685"/>
      <c r="AQ123" s="685"/>
      <c r="AR123" s="685"/>
      <c r="AS123" s="685"/>
      <c r="AT123" s="685"/>
      <c r="AU123" s="685"/>
      <c r="AV123" s="685"/>
      <c r="AW123" s="685"/>
      <c r="AX123" s="685"/>
      <c r="AY123" s="685"/>
      <c r="AZ123" s="685"/>
      <c r="BA123" s="685"/>
      <c r="BB123" s="685"/>
      <c r="BC123" s="685"/>
      <c r="BD123" s="685"/>
      <c r="BE123" s="685"/>
      <c r="BF123" s="685"/>
      <c r="BG123" s="685"/>
      <c r="BH123" s="685"/>
      <c r="BI123" s="685"/>
      <c r="BJ123" s="685"/>
      <c r="BK123" s="685"/>
    </row>
    <row r="124">
      <c r="A124" s="507" t="s">
        <v>3401</v>
      </c>
      <c r="B124" s="260" t="s">
        <v>166</v>
      </c>
      <c r="C124" s="260" t="s">
        <v>4817</v>
      </c>
      <c r="D124" s="663" t="s">
        <v>4860</v>
      </c>
      <c r="E124" s="693">
        <v>44621.0</v>
      </c>
      <c r="F124" s="663" t="s">
        <v>4857</v>
      </c>
      <c r="G124" s="260" t="s">
        <v>4827</v>
      </c>
      <c r="H124" s="260" t="s">
        <v>4828</v>
      </c>
      <c r="I124" s="260" t="s">
        <v>3308</v>
      </c>
      <c r="J124" s="260">
        <v>28.0</v>
      </c>
      <c r="K124" s="260">
        <v>628.4</v>
      </c>
      <c r="L124" s="260">
        <v>10240.0</v>
      </c>
      <c r="M124" s="260">
        <v>320.0</v>
      </c>
      <c r="N124" s="260">
        <v>96.0</v>
      </c>
      <c r="O124" s="260">
        <v>320.0</v>
      </c>
      <c r="P124" s="260">
        <v>80.0</v>
      </c>
      <c r="Q124" s="260">
        <v>1170.0</v>
      </c>
      <c r="R124" s="260">
        <v>1695.0</v>
      </c>
      <c r="S124" s="260">
        <v>24.0</v>
      </c>
      <c r="T124" s="260">
        <v>16.0</v>
      </c>
      <c r="U124" s="260">
        <v>384.0</v>
      </c>
      <c r="V124" s="260">
        <f t="shared" si="1"/>
        <v>768</v>
      </c>
      <c r="W124" s="260" t="s">
        <v>4665</v>
      </c>
      <c r="X124" s="262">
        <f t="shared" si="2"/>
        <v>162.72</v>
      </c>
      <c r="Y124" s="262">
        <f t="shared" si="3"/>
        <v>542.4</v>
      </c>
      <c r="Z124" s="262">
        <v>34.71</v>
      </c>
      <c r="AA124" s="262">
        <f>Z124/32</f>
        <v>1.0846875</v>
      </c>
      <c r="AB124" s="262">
        <v>34.71</v>
      </c>
      <c r="AC124" s="260">
        <v>230.0</v>
      </c>
      <c r="AD124" s="260" t="s">
        <v>174</v>
      </c>
      <c r="AE124" s="684" t="s">
        <v>170</v>
      </c>
      <c r="AF124" s="685"/>
      <c r="AG124" s="685"/>
      <c r="AH124" s="685"/>
      <c r="AI124" s="685"/>
      <c r="AJ124" s="685"/>
      <c r="AK124" s="685"/>
      <c r="AL124" s="685"/>
      <c r="AM124" s="685"/>
      <c r="AN124" s="685"/>
      <c r="AO124" s="685"/>
      <c r="AP124" s="685"/>
      <c r="AQ124" s="685"/>
      <c r="AR124" s="685"/>
      <c r="AS124" s="685"/>
      <c r="AT124" s="685"/>
      <c r="AU124" s="685"/>
      <c r="AV124" s="685"/>
      <c r="AW124" s="685"/>
      <c r="AX124" s="685"/>
      <c r="AY124" s="685"/>
      <c r="AZ124" s="685"/>
      <c r="BA124" s="685"/>
      <c r="BB124" s="685"/>
      <c r="BC124" s="685"/>
      <c r="BD124" s="685"/>
      <c r="BE124" s="685"/>
      <c r="BF124" s="685"/>
      <c r="BG124" s="685"/>
      <c r="BH124" s="685"/>
      <c r="BI124" s="685"/>
      <c r="BJ124" s="685"/>
      <c r="BK124" s="685"/>
    </row>
    <row r="125">
      <c r="A125" s="519" t="s">
        <v>3401</v>
      </c>
      <c r="B125" s="393" t="s">
        <v>166</v>
      </c>
      <c r="C125" s="393" t="s">
        <v>4817</v>
      </c>
      <c r="D125" s="669" t="s">
        <v>4861</v>
      </c>
      <c r="E125" s="695">
        <v>44166.0</v>
      </c>
      <c r="F125" s="669" t="s">
        <v>4862</v>
      </c>
      <c r="G125" s="393" t="s">
        <v>4827</v>
      </c>
      <c r="H125" s="393" t="s">
        <v>4828</v>
      </c>
      <c r="I125" s="393" t="s">
        <v>3308</v>
      </c>
      <c r="J125" s="393">
        <v>28.0</v>
      </c>
      <c r="K125" s="393">
        <v>628.4</v>
      </c>
      <c r="L125" s="393">
        <v>10752.0</v>
      </c>
      <c r="M125" s="393">
        <v>336.0</v>
      </c>
      <c r="N125" s="393">
        <v>112.0</v>
      </c>
      <c r="O125" s="393">
        <v>336.0</v>
      </c>
      <c r="P125" s="393">
        <v>84.0</v>
      </c>
      <c r="Q125" s="393">
        <v>1455.0</v>
      </c>
      <c r="R125" s="393">
        <v>1860.0</v>
      </c>
      <c r="S125" s="393">
        <v>48.0</v>
      </c>
      <c r="T125" s="393">
        <v>16.0</v>
      </c>
      <c r="U125" s="393">
        <v>384.0</v>
      </c>
      <c r="V125" s="393">
        <f t="shared" si="1"/>
        <v>768</v>
      </c>
      <c r="W125" s="393" t="s">
        <v>4665</v>
      </c>
      <c r="X125" s="672">
        <f t="shared" si="2"/>
        <v>208.32</v>
      </c>
      <c r="Y125" s="672">
        <f t="shared" si="3"/>
        <v>624.96</v>
      </c>
      <c r="Z125" s="672">
        <v>40.0</v>
      </c>
      <c r="AA125" s="672">
        <v>1.25</v>
      </c>
      <c r="AB125" s="672">
        <v>40.0</v>
      </c>
      <c r="AC125" s="393">
        <v>300.0</v>
      </c>
      <c r="AD125" s="393" t="s">
        <v>174</v>
      </c>
      <c r="AE125" s="688">
        <v>4649.0</v>
      </c>
      <c r="AF125" s="685"/>
      <c r="AG125" s="685"/>
      <c r="AH125" s="685"/>
      <c r="AI125" s="685"/>
      <c r="AJ125" s="685"/>
      <c r="AK125" s="685"/>
      <c r="AL125" s="685"/>
      <c r="AM125" s="685"/>
      <c r="AN125" s="685"/>
      <c r="AO125" s="685"/>
      <c r="AP125" s="685"/>
      <c r="AQ125" s="685"/>
      <c r="AR125" s="685"/>
      <c r="AS125" s="685"/>
      <c r="AT125" s="685"/>
      <c r="AU125" s="685"/>
      <c r="AV125" s="685"/>
      <c r="AW125" s="685"/>
      <c r="AX125" s="685"/>
      <c r="AY125" s="685"/>
      <c r="AZ125" s="685"/>
      <c r="BA125" s="685"/>
      <c r="BB125" s="685"/>
      <c r="BC125" s="685"/>
      <c r="BD125" s="685"/>
      <c r="BE125" s="685"/>
      <c r="BF125" s="685"/>
      <c r="BG125" s="685"/>
      <c r="BH125" s="685"/>
      <c r="BI125" s="685"/>
      <c r="BJ125" s="685"/>
      <c r="BK125" s="685"/>
    </row>
    <row r="126">
      <c r="A126" s="507" t="s">
        <v>3401</v>
      </c>
      <c r="B126" s="260" t="s">
        <v>4732</v>
      </c>
      <c r="C126" s="260">
        <v>40.0</v>
      </c>
      <c r="D126" s="663" t="s">
        <v>4863</v>
      </c>
      <c r="E126" s="689">
        <v>45106.0</v>
      </c>
      <c r="F126" s="663" t="s">
        <v>4864</v>
      </c>
      <c r="G126" s="260" t="s">
        <v>4865</v>
      </c>
      <c r="H126" s="260" t="s">
        <v>4866</v>
      </c>
      <c r="I126" s="260" t="s">
        <v>4664</v>
      </c>
      <c r="J126" s="260">
        <v>18.9</v>
      </c>
      <c r="K126" s="260">
        <v>159.0</v>
      </c>
      <c r="L126" s="260">
        <v>3072.0</v>
      </c>
      <c r="M126" s="260">
        <v>96.0</v>
      </c>
      <c r="N126" s="260">
        <v>48.0</v>
      </c>
      <c r="O126" s="260">
        <v>96.0</v>
      </c>
      <c r="P126" s="260">
        <v>24.0</v>
      </c>
      <c r="Q126" s="260">
        <v>1830.0</v>
      </c>
      <c r="R126" s="260">
        <v>2460.0</v>
      </c>
      <c r="S126" s="260">
        <v>8.0</v>
      </c>
      <c r="T126" s="260">
        <v>17.0</v>
      </c>
      <c r="U126" s="260">
        <v>128.0</v>
      </c>
      <c r="V126" s="260">
        <f t="shared" si="1"/>
        <v>272</v>
      </c>
      <c r="W126" s="260" t="s">
        <v>4665</v>
      </c>
      <c r="X126" s="262">
        <f t="shared" si="2"/>
        <v>118.08</v>
      </c>
      <c r="Y126" s="262">
        <f t="shared" si="3"/>
        <v>236.16</v>
      </c>
      <c r="Z126" s="262">
        <v>15.11</v>
      </c>
      <c r="AA126" s="262">
        <f t="shared" ref="AA126:AA142" si="9">Z126/64</f>
        <v>0.23609375</v>
      </c>
      <c r="AB126" s="262">
        <f t="shared" ref="AB126:AB142" si="10">Z126</f>
        <v>15.11</v>
      </c>
      <c r="AC126" s="260">
        <v>115.0</v>
      </c>
      <c r="AD126" s="260" t="s">
        <v>4628</v>
      </c>
      <c r="AE126" s="684">
        <v>299.0</v>
      </c>
      <c r="AF126" s="685"/>
      <c r="AG126" s="685"/>
      <c r="AH126" s="685"/>
      <c r="AI126" s="685"/>
      <c r="AJ126" s="685"/>
      <c r="AK126" s="685"/>
      <c r="AL126" s="685"/>
      <c r="AM126" s="685"/>
      <c r="AN126" s="685"/>
      <c r="AO126" s="685"/>
      <c r="AP126" s="685"/>
      <c r="AQ126" s="685"/>
      <c r="AR126" s="685"/>
      <c r="AS126" s="685"/>
      <c r="AT126" s="685"/>
      <c r="AU126" s="685"/>
      <c r="AV126" s="685"/>
      <c r="AW126" s="685"/>
      <c r="AX126" s="685"/>
      <c r="AY126" s="685"/>
      <c r="AZ126" s="685"/>
      <c r="BA126" s="685"/>
      <c r="BB126" s="685"/>
      <c r="BC126" s="685"/>
      <c r="BD126" s="685"/>
      <c r="BE126" s="685"/>
      <c r="BF126" s="685"/>
      <c r="BG126" s="685"/>
      <c r="BH126" s="685"/>
      <c r="BI126" s="685"/>
      <c r="BJ126" s="685"/>
      <c r="BK126" s="685"/>
    </row>
    <row r="127">
      <c r="A127" s="507" t="s">
        <v>3401</v>
      </c>
      <c r="B127" s="260" t="s">
        <v>4732</v>
      </c>
      <c r="C127" s="260">
        <v>40.0</v>
      </c>
      <c r="D127" s="663" t="s">
        <v>4867</v>
      </c>
      <c r="E127" s="689">
        <v>45070.0</v>
      </c>
      <c r="F127" s="663" t="s">
        <v>4868</v>
      </c>
      <c r="G127" s="260" t="s">
        <v>4865</v>
      </c>
      <c r="H127" s="260" t="s">
        <v>4866</v>
      </c>
      <c r="I127" s="260" t="s">
        <v>4664</v>
      </c>
      <c r="J127" s="260">
        <v>22.9</v>
      </c>
      <c r="K127" s="260">
        <v>188.0</v>
      </c>
      <c r="L127" s="260">
        <v>4352.0</v>
      </c>
      <c r="M127" s="260">
        <v>136.0</v>
      </c>
      <c r="N127" s="260">
        <v>48.0</v>
      </c>
      <c r="O127" s="260">
        <v>136.0</v>
      </c>
      <c r="P127" s="260">
        <v>34.0</v>
      </c>
      <c r="Q127" s="260">
        <v>2310.0</v>
      </c>
      <c r="R127" s="260">
        <v>2535.0</v>
      </c>
      <c r="S127" s="260">
        <v>8.0</v>
      </c>
      <c r="T127" s="260">
        <v>18.0</v>
      </c>
      <c r="U127" s="260">
        <v>128.0</v>
      </c>
      <c r="V127" s="260">
        <f t="shared" si="1"/>
        <v>288</v>
      </c>
      <c r="W127" s="260" t="s">
        <v>4665</v>
      </c>
      <c r="X127" s="262">
        <f t="shared" si="2"/>
        <v>121.68</v>
      </c>
      <c r="Y127" s="262">
        <f t="shared" si="3"/>
        <v>344.76</v>
      </c>
      <c r="Z127" s="262">
        <v>22.06</v>
      </c>
      <c r="AA127" s="262">
        <f t="shared" si="9"/>
        <v>0.3446875</v>
      </c>
      <c r="AB127" s="262">
        <f t="shared" si="10"/>
        <v>22.06</v>
      </c>
      <c r="AC127" s="260">
        <v>160.0</v>
      </c>
      <c r="AD127" s="260" t="s">
        <v>4628</v>
      </c>
      <c r="AE127" s="684">
        <v>399.0</v>
      </c>
      <c r="AF127" s="685"/>
      <c r="AG127" s="685"/>
      <c r="AH127" s="685"/>
      <c r="AI127" s="685"/>
      <c r="AJ127" s="685"/>
      <c r="AK127" s="685"/>
      <c r="AL127" s="685"/>
      <c r="AM127" s="685"/>
      <c r="AN127" s="685"/>
      <c r="AO127" s="685"/>
      <c r="AP127" s="685"/>
      <c r="AQ127" s="685"/>
      <c r="AR127" s="685"/>
      <c r="AS127" s="685"/>
      <c r="AT127" s="685"/>
      <c r="AU127" s="685"/>
      <c r="AV127" s="685"/>
      <c r="AW127" s="685"/>
      <c r="AX127" s="685"/>
      <c r="AY127" s="685"/>
      <c r="AZ127" s="685"/>
      <c r="BA127" s="685"/>
      <c r="BB127" s="685"/>
      <c r="BC127" s="685"/>
      <c r="BD127" s="685"/>
      <c r="BE127" s="685"/>
      <c r="BF127" s="685"/>
      <c r="BG127" s="685"/>
      <c r="BH127" s="685"/>
      <c r="BI127" s="685"/>
      <c r="BJ127" s="685"/>
      <c r="BK127" s="685"/>
    </row>
    <row r="128">
      <c r="A128" s="507" t="s">
        <v>3401</v>
      </c>
      <c r="B128" s="260" t="s">
        <v>4732</v>
      </c>
      <c r="C128" s="260">
        <v>40.0</v>
      </c>
      <c r="D128" s="663" t="s">
        <v>4869</v>
      </c>
      <c r="E128" s="689">
        <v>45125.0</v>
      </c>
      <c r="F128" s="663" t="s">
        <v>4870</v>
      </c>
      <c r="G128" s="260" t="s">
        <v>4865</v>
      </c>
      <c r="H128" s="260" t="s">
        <v>4866</v>
      </c>
      <c r="I128" s="260" t="s">
        <v>4664</v>
      </c>
      <c r="J128" s="260">
        <v>22.9</v>
      </c>
      <c r="K128" s="260">
        <v>188.0</v>
      </c>
      <c r="L128" s="260">
        <v>4352.0</v>
      </c>
      <c r="M128" s="260">
        <v>136.0</v>
      </c>
      <c r="N128" s="260">
        <v>48.0</v>
      </c>
      <c r="O128" s="260">
        <v>136.0</v>
      </c>
      <c r="P128" s="260">
        <v>34.0</v>
      </c>
      <c r="Q128" s="260">
        <v>2310.0</v>
      </c>
      <c r="R128" s="260">
        <v>2535.0</v>
      </c>
      <c r="S128" s="260">
        <v>16.0</v>
      </c>
      <c r="T128" s="260">
        <v>18.0</v>
      </c>
      <c r="U128" s="260">
        <v>128.0</v>
      </c>
      <c r="V128" s="260">
        <f t="shared" si="1"/>
        <v>288</v>
      </c>
      <c r="W128" s="260" t="s">
        <v>4665</v>
      </c>
      <c r="X128" s="262">
        <f t="shared" si="2"/>
        <v>121.68</v>
      </c>
      <c r="Y128" s="262">
        <f t="shared" si="3"/>
        <v>344.76</v>
      </c>
      <c r="Z128" s="262">
        <v>22.06</v>
      </c>
      <c r="AA128" s="262">
        <f t="shared" si="9"/>
        <v>0.3446875</v>
      </c>
      <c r="AB128" s="262">
        <f t="shared" si="10"/>
        <v>22.06</v>
      </c>
      <c r="AC128" s="260">
        <v>165.0</v>
      </c>
      <c r="AD128" s="260" t="s">
        <v>4628</v>
      </c>
      <c r="AE128" s="684">
        <v>499.0</v>
      </c>
      <c r="AF128" s="685"/>
      <c r="AG128" s="685"/>
      <c r="AH128" s="685"/>
      <c r="AI128" s="685"/>
      <c r="AJ128" s="685"/>
      <c r="AK128" s="685"/>
      <c r="AL128" s="685"/>
      <c r="AM128" s="685"/>
      <c r="AN128" s="685"/>
      <c r="AO128" s="685"/>
      <c r="AP128" s="685"/>
      <c r="AQ128" s="685"/>
      <c r="AR128" s="685"/>
      <c r="AS128" s="685"/>
      <c r="AT128" s="685"/>
      <c r="AU128" s="685"/>
      <c r="AV128" s="685"/>
      <c r="AW128" s="685"/>
      <c r="AX128" s="685"/>
      <c r="AY128" s="685"/>
      <c r="AZ128" s="685"/>
      <c r="BA128" s="685"/>
      <c r="BB128" s="685"/>
      <c r="BC128" s="685"/>
      <c r="BD128" s="685"/>
      <c r="BE128" s="685"/>
      <c r="BF128" s="685"/>
      <c r="BG128" s="685"/>
      <c r="BH128" s="685"/>
      <c r="BI128" s="685"/>
      <c r="BJ128" s="685"/>
      <c r="BK128" s="685"/>
    </row>
    <row r="129">
      <c r="A129" s="507" t="s">
        <v>3401</v>
      </c>
      <c r="B129" s="260" t="s">
        <v>4732</v>
      </c>
      <c r="C129" s="260">
        <v>40.0</v>
      </c>
      <c r="D129" s="663" t="s">
        <v>4871</v>
      </c>
      <c r="E129" s="689">
        <v>45029.0</v>
      </c>
      <c r="F129" s="663" t="s">
        <v>4872</v>
      </c>
      <c r="G129" s="260" t="s">
        <v>4865</v>
      </c>
      <c r="H129" s="260" t="s">
        <v>4866</v>
      </c>
      <c r="I129" s="260" t="s">
        <v>3308</v>
      </c>
      <c r="J129" s="260">
        <v>35.8</v>
      </c>
      <c r="K129" s="260">
        <v>294.0</v>
      </c>
      <c r="L129" s="260">
        <v>5888.0</v>
      </c>
      <c r="M129" s="260">
        <v>184.0</v>
      </c>
      <c r="N129" s="260">
        <v>64.0</v>
      </c>
      <c r="O129" s="260">
        <v>184.0</v>
      </c>
      <c r="P129" s="260">
        <v>46.0</v>
      </c>
      <c r="Q129" s="260">
        <v>1920.0</v>
      </c>
      <c r="R129" s="260">
        <v>2475.0</v>
      </c>
      <c r="S129" s="260">
        <v>12.0</v>
      </c>
      <c r="T129" s="260">
        <v>21.0</v>
      </c>
      <c r="U129" s="260">
        <v>192.0</v>
      </c>
      <c r="V129" s="260">
        <f t="shared" si="1"/>
        <v>504</v>
      </c>
      <c r="W129" s="260" t="s">
        <v>4836</v>
      </c>
      <c r="X129" s="262">
        <f t="shared" si="2"/>
        <v>158.4</v>
      </c>
      <c r="Y129" s="262">
        <f t="shared" si="3"/>
        <v>455.4</v>
      </c>
      <c r="Z129" s="262">
        <v>29.15</v>
      </c>
      <c r="AA129" s="262">
        <f t="shared" si="9"/>
        <v>0.45546875</v>
      </c>
      <c r="AB129" s="262">
        <f t="shared" si="10"/>
        <v>29.15</v>
      </c>
      <c r="AC129" s="260">
        <v>200.0</v>
      </c>
      <c r="AD129" s="260" t="s">
        <v>4628</v>
      </c>
      <c r="AE129" s="684">
        <v>549.0</v>
      </c>
      <c r="AF129" s="685"/>
      <c r="AG129" s="685"/>
      <c r="AH129" s="685"/>
      <c r="AI129" s="685"/>
      <c r="AJ129" s="685"/>
      <c r="AK129" s="685"/>
      <c r="AL129" s="685"/>
      <c r="AM129" s="685"/>
      <c r="AN129" s="685"/>
      <c r="AO129" s="685"/>
      <c r="AP129" s="685"/>
      <c r="AQ129" s="685"/>
      <c r="AR129" s="685"/>
      <c r="AS129" s="685"/>
      <c r="AT129" s="685"/>
      <c r="AU129" s="685"/>
      <c r="AV129" s="685"/>
      <c r="AW129" s="685"/>
      <c r="AX129" s="685"/>
      <c r="AY129" s="685"/>
      <c r="AZ129" s="685"/>
      <c r="BA129" s="685"/>
      <c r="BB129" s="685"/>
      <c r="BC129" s="685"/>
      <c r="BD129" s="685"/>
      <c r="BE129" s="685"/>
      <c r="BF129" s="685"/>
      <c r="BG129" s="685"/>
      <c r="BH129" s="685"/>
      <c r="BI129" s="685"/>
      <c r="BJ129" s="685"/>
      <c r="BK129" s="685"/>
    </row>
    <row r="130">
      <c r="A130" s="507" t="s">
        <v>3401</v>
      </c>
      <c r="B130" s="260" t="s">
        <v>4732</v>
      </c>
      <c r="C130" s="260">
        <v>40.0</v>
      </c>
      <c r="D130" s="663" t="s">
        <v>4873</v>
      </c>
      <c r="E130" s="689">
        <v>45308.0</v>
      </c>
      <c r="F130" s="663" t="s">
        <v>4874</v>
      </c>
      <c r="G130" s="260" t="s">
        <v>4865</v>
      </c>
      <c r="H130" s="260" t="s">
        <v>4866</v>
      </c>
      <c r="I130" s="260" t="s">
        <v>3308</v>
      </c>
      <c r="J130" s="260">
        <v>35.8</v>
      </c>
      <c r="K130" s="260">
        <v>294.0</v>
      </c>
      <c r="L130" s="260">
        <v>7168.0</v>
      </c>
      <c r="M130" s="260">
        <v>224.0</v>
      </c>
      <c r="N130" s="260">
        <v>80.0</v>
      </c>
      <c r="O130" s="260">
        <v>224.0</v>
      </c>
      <c r="P130" s="260">
        <v>56.0</v>
      </c>
      <c r="Q130" s="260">
        <v>1980.0</v>
      </c>
      <c r="R130" s="260">
        <v>2475.0</v>
      </c>
      <c r="S130" s="260">
        <v>12.0</v>
      </c>
      <c r="T130" s="260">
        <v>21.0</v>
      </c>
      <c r="U130" s="260">
        <v>192.0</v>
      </c>
      <c r="V130" s="260">
        <f t="shared" si="1"/>
        <v>504</v>
      </c>
      <c r="W130" s="260" t="s">
        <v>4836</v>
      </c>
      <c r="X130" s="262">
        <f t="shared" si="2"/>
        <v>198</v>
      </c>
      <c r="Y130" s="262">
        <f t="shared" si="3"/>
        <v>554.4</v>
      </c>
      <c r="Z130" s="262">
        <v>35.48</v>
      </c>
      <c r="AA130" s="262">
        <f t="shared" si="9"/>
        <v>0.554375</v>
      </c>
      <c r="AB130" s="262">
        <f t="shared" si="10"/>
        <v>35.48</v>
      </c>
      <c r="AC130" s="260">
        <v>220.0</v>
      </c>
      <c r="AD130" s="260" t="s">
        <v>4628</v>
      </c>
      <c r="AE130" s="684">
        <v>599.0</v>
      </c>
      <c r="AF130" s="685"/>
      <c r="AG130" s="685"/>
      <c r="AH130" s="685"/>
      <c r="AI130" s="685"/>
      <c r="AJ130" s="685"/>
      <c r="AK130" s="685"/>
      <c r="AL130" s="685"/>
      <c r="AM130" s="685"/>
      <c r="AN130" s="685"/>
      <c r="AO130" s="685"/>
      <c r="AP130" s="685"/>
      <c r="AQ130" s="685"/>
      <c r="AR130" s="685"/>
      <c r="AS130" s="685"/>
      <c r="AT130" s="685"/>
      <c r="AU130" s="685"/>
      <c r="AV130" s="685"/>
      <c r="AW130" s="685"/>
      <c r="AX130" s="685"/>
      <c r="AY130" s="685"/>
      <c r="AZ130" s="685"/>
      <c r="BA130" s="685"/>
      <c r="BB130" s="685"/>
      <c r="BC130" s="685"/>
      <c r="BD130" s="685"/>
      <c r="BE130" s="685"/>
      <c r="BF130" s="685"/>
      <c r="BG130" s="685"/>
      <c r="BH130" s="685"/>
      <c r="BI130" s="685"/>
      <c r="BJ130" s="685"/>
      <c r="BK130" s="685"/>
    </row>
    <row r="131">
      <c r="A131" s="507" t="s">
        <v>3401</v>
      </c>
      <c r="B131" s="260" t="s">
        <v>4732</v>
      </c>
      <c r="C131" s="260">
        <v>40.0</v>
      </c>
      <c r="D131" s="663" t="s">
        <v>4875</v>
      </c>
      <c r="E131" s="689">
        <v>44931.0</v>
      </c>
      <c r="F131" s="663" t="s">
        <v>4876</v>
      </c>
      <c r="G131" s="260" t="s">
        <v>4865</v>
      </c>
      <c r="H131" s="260" t="s">
        <v>4866</v>
      </c>
      <c r="I131" s="260" t="s">
        <v>3308</v>
      </c>
      <c r="J131" s="260">
        <v>35.8</v>
      </c>
      <c r="K131" s="260">
        <v>294.0</v>
      </c>
      <c r="L131" s="260">
        <v>7680.0</v>
      </c>
      <c r="M131" s="260">
        <v>240.0</v>
      </c>
      <c r="N131" s="260">
        <v>80.0</v>
      </c>
      <c r="O131" s="260">
        <v>240.0</v>
      </c>
      <c r="P131" s="260">
        <v>60.0</v>
      </c>
      <c r="Q131" s="260">
        <v>2310.0</v>
      </c>
      <c r="R131" s="260">
        <v>2610.0</v>
      </c>
      <c r="S131" s="260">
        <v>12.0</v>
      </c>
      <c r="T131" s="260">
        <v>21.0</v>
      </c>
      <c r="U131" s="260">
        <v>192.0</v>
      </c>
      <c r="V131" s="260">
        <f t="shared" si="1"/>
        <v>504</v>
      </c>
      <c r="W131" s="260" t="s">
        <v>4836</v>
      </c>
      <c r="X131" s="262">
        <f t="shared" si="2"/>
        <v>208.8</v>
      </c>
      <c r="Y131" s="262">
        <f t="shared" si="3"/>
        <v>626.4</v>
      </c>
      <c r="Z131" s="262">
        <v>40.09</v>
      </c>
      <c r="AA131" s="262">
        <f t="shared" si="9"/>
        <v>0.62640625</v>
      </c>
      <c r="AB131" s="262">
        <f t="shared" si="10"/>
        <v>40.09</v>
      </c>
      <c r="AC131" s="260">
        <v>285.0</v>
      </c>
      <c r="AD131" s="260" t="s">
        <v>4628</v>
      </c>
      <c r="AE131" s="684">
        <v>799.0</v>
      </c>
      <c r="AF131" s="685"/>
      <c r="AG131" s="685"/>
      <c r="AH131" s="685"/>
      <c r="AI131" s="685"/>
      <c r="AJ131" s="685"/>
      <c r="AK131" s="685"/>
      <c r="AL131" s="685"/>
      <c r="AM131" s="685"/>
      <c r="AN131" s="685"/>
      <c r="AO131" s="685"/>
      <c r="AP131" s="685"/>
      <c r="AQ131" s="685"/>
      <c r="AR131" s="685"/>
      <c r="AS131" s="685"/>
      <c r="AT131" s="685"/>
      <c r="AU131" s="685"/>
      <c r="AV131" s="685"/>
      <c r="AW131" s="685"/>
      <c r="AX131" s="685"/>
      <c r="AY131" s="685"/>
      <c r="AZ131" s="685"/>
      <c r="BA131" s="685"/>
      <c r="BB131" s="685"/>
      <c r="BC131" s="685"/>
      <c r="BD131" s="685"/>
      <c r="BE131" s="685"/>
      <c r="BF131" s="685"/>
      <c r="BG131" s="685"/>
      <c r="BH131" s="685"/>
      <c r="BI131" s="685"/>
      <c r="BJ131" s="685"/>
      <c r="BK131" s="685"/>
    </row>
    <row r="132">
      <c r="A132" s="507" t="s">
        <v>3401</v>
      </c>
      <c r="B132" s="260" t="s">
        <v>4732</v>
      </c>
      <c r="C132" s="260">
        <v>40.0</v>
      </c>
      <c r="D132" s="663" t="s">
        <v>4877</v>
      </c>
      <c r="E132" s="689">
        <v>45315.0</v>
      </c>
      <c r="F132" s="663" t="s">
        <v>4878</v>
      </c>
      <c r="G132" s="260" t="s">
        <v>4865</v>
      </c>
      <c r="H132" s="260" t="s">
        <v>4866</v>
      </c>
      <c r="I132" s="260" t="s">
        <v>3308</v>
      </c>
      <c r="J132" s="260">
        <v>45.9</v>
      </c>
      <c r="K132" s="260">
        <v>379.0</v>
      </c>
      <c r="L132" s="260">
        <v>8448.0</v>
      </c>
      <c r="M132" s="260">
        <v>264.0</v>
      </c>
      <c r="N132" s="260">
        <v>112.0</v>
      </c>
      <c r="O132" s="260">
        <v>264.0</v>
      </c>
      <c r="P132" s="260">
        <v>66.0</v>
      </c>
      <c r="Q132" s="260">
        <v>2340.0</v>
      </c>
      <c r="R132" s="260">
        <v>2610.0</v>
      </c>
      <c r="S132" s="260">
        <v>16.0</v>
      </c>
      <c r="T132" s="260">
        <v>21.0</v>
      </c>
      <c r="U132" s="260">
        <v>256.0</v>
      </c>
      <c r="V132" s="260">
        <f t="shared" si="1"/>
        <v>672</v>
      </c>
      <c r="W132" s="260" t="s">
        <v>4836</v>
      </c>
      <c r="X132" s="262">
        <f t="shared" si="2"/>
        <v>292.32</v>
      </c>
      <c r="Y132" s="262">
        <f t="shared" si="3"/>
        <v>689.04</v>
      </c>
      <c r="Z132" s="262">
        <v>44.1</v>
      </c>
      <c r="AA132" s="262">
        <f t="shared" si="9"/>
        <v>0.6890625</v>
      </c>
      <c r="AB132" s="262">
        <f t="shared" si="10"/>
        <v>44.1</v>
      </c>
      <c r="AC132" s="260">
        <v>285.0</v>
      </c>
      <c r="AD132" s="260" t="s">
        <v>4628</v>
      </c>
      <c r="AE132" s="684">
        <v>799.0</v>
      </c>
      <c r="AF132" s="685"/>
      <c r="AG132" s="685"/>
      <c r="AH132" s="685"/>
      <c r="AI132" s="685"/>
      <c r="AJ132" s="685"/>
      <c r="AK132" s="685"/>
      <c r="AL132" s="685"/>
      <c r="AM132" s="685"/>
      <c r="AN132" s="685"/>
      <c r="AO132" s="685"/>
      <c r="AP132" s="685"/>
      <c r="AQ132" s="685"/>
      <c r="AR132" s="685"/>
      <c r="AS132" s="685"/>
      <c r="AT132" s="685"/>
      <c r="AU132" s="685"/>
      <c r="AV132" s="685"/>
      <c r="AW132" s="685"/>
      <c r="AX132" s="685"/>
      <c r="AY132" s="685"/>
      <c r="AZ132" s="685"/>
      <c r="BA132" s="685"/>
      <c r="BB132" s="685"/>
      <c r="BC132" s="685"/>
      <c r="BD132" s="685"/>
      <c r="BE132" s="685"/>
      <c r="BF132" s="685"/>
      <c r="BG132" s="685"/>
      <c r="BH132" s="685"/>
      <c r="BI132" s="685"/>
      <c r="BJ132" s="685"/>
      <c r="BK132" s="685"/>
    </row>
    <row r="133">
      <c r="A133" s="507" t="s">
        <v>3401</v>
      </c>
      <c r="B133" s="260" t="s">
        <v>4732</v>
      </c>
      <c r="C133" s="260">
        <v>40.0</v>
      </c>
      <c r="D133" s="663" t="s">
        <v>4879</v>
      </c>
      <c r="E133" s="689">
        <v>44881.0</v>
      </c>
      <c r="F133" s="663" t="s">
        <v>4880</v>
      </c>
      <c r="G133" s="260" t="s">
        <v>4865</v>
      </c>
      <c r="H133" s="260" t="s">
        <v>4866</v>
      </c>
      <c r="I133" s="260" t="s">
        <v>3308</v>
      </c>
      <c r="J133" s="260">
        <v>45.9</v>
      </c>
      <c r="K133" s="260">
        <v>379.0</v>
      </c>
      <c r="L133" s="260">
        <v>9728.0</v>
      </c>
      <c r="M133" s="260">
        <v>304.0</v>
      </c>
      <c r="N133" s="260">
        <v>112.0</v>
      </c>
      <c r="O133" s="260">
        <v>304.0</v>
      </c>
      <c r="P133" s="260">
        <v>76.0</v>
      </c>
      <c r="Q133" s="260">
        <v>2205.0</v>
      </c>
      <c r="R133" s="260">
        <v>2505.0</v>
      </c>
      <c r="S133" s="260">
        <v>16.0</v>
      </c>
      <c r="T133" s="260">
        <v>22.4</v>
      </c>
      <c r="U133" s="260">
        <v>256.0</v>
      </c>
      <c r="V133" s="260">
        <f t="shared" si="1"/>
        <v>716.8</v>
      </c>
      <c r="W133" s="260" t="s">
        <v>4836</v>
      </c>
      <c r="X133" s="262">
        <f t="shared" si="2"/>
        <v>280.56</v>
      </c>
      <c r="Y133" s="262">
        <f t="shared" si="3"/>
        <v>761.52</v>
      </c>
      <c r="Z133" s="262">
        <v>48.74</v>
      </c>
      <c r="AA133" s="262">
        <f t="shared" si="9"/>
        <v>0.7615625</v>
      </c>
      <c r="AB133" s="262">
        <f t="shared" si="10"/>
        <v>48.74</v>
      </c>
      <c r="AC133" s="260">
        <v>320.0</v>
      </c>
      <c r="AD133" s="260" t="s">
        <v>4628</v>
      </c>
      <c r="AE133" s="684">
        <v>1199.0</v>
      </c>
      <c r="AF133" s="685"/>
      <c r="AG133" s="685"/>
      <c r="AH133" s="685"/>
      <c r="AI133" s="685"/>
      <c r="AJ133" s="685"/>
      <c r="AK133" s="685"/>
      <c r="AL133" s="685"/>
      <c r="AM133" s="685"/>
      <c r="AN133" s="685"/>
      <c r="AO133" s="685"/>
      <c r="AP133" s="685"/>
      <c r="AQ133" s="685"/>
      <c r="AR133" s="685"/>
      <c r="AS133" s="685"/>
      <c r="AT133" s="685"/>
      <c r="AU133" s="685"/>
      <c r="AV133" s="685"/>
      <c r="AW133" s="685"/>
      <c r="AX133" s="685"/>
      <c r="AY133" s="685"/>
      <c r="AZ133" s="685"/>
      <c r="BA133" s="685"/>
      <c r="BB133" s="685"/>
      <c r="BC133" s="685"/>
      <c r="BD133" s="685"/>
      <c r="BE133" s="685"/>
      <c r="BF133" s="685"/>
      <c r="BG133" s="685"/>
      <c r="BH133" s="685"/>
      <c r="BI133" s="685"/>
      <c r="BJ133" s="685"/>
      <c r="BK133" s="685"/>
    </row>
    <row r="134">
      <c r="A134" s="507" t="s">
        <v>3401</v>
      </c>
      <c r="B134" s="260" t="s">
        <v>4732</v>
      </c>
      <c r="C134" s="260">
        <v>40.0</v>
      </c>
      <c r="D134" s="663" t="s">
        <v>4881</v>
      </c>
      <c r="E134" s="689">
        <v>45322.0</v>
      </c>
      <c r="F134" s="663" t="s">
        <v>4882</v>
      </c>
      <c r="G134" s="260" t="s">
        <v>4865</v>
      </c>
      <c r="H134" s="260" t="s">
        <v>4866</v>
      </c>
      <c r="I134" s="260" t="s">
        <v>3308</v>
      </c>
      <c r="J134" s="260">
        <v>45.9</v>
      </c>
      <c r="K134" s="260">
        <v>379.0</v>
      </c>
      <c r="L134" s="260">
        <v>10240.0</v>
      </c>
      <c r="M134" s="260">
        <v>320.0</v>
      </c>
      <c r="N134" s="260">
        <v>112.0</v>
      </c>
      <c r="O134" s="260">
        <v>320.0</v>
      </c>
      <c r="P134" s="260">
        <v>80.0</v>
      </c>
      <c r="Q134" s="260">
        <v>2295.0</v>
      </c>
      <c r="R134" s="260">
        <v>2550.0</v>
      </c>
      <c r="S134" s="260">
        <v>16.0</v>
      </c>
      <c r="T134" s="260">
        <v>23.0</v>
      </c>
      <c r="U134" s="260">
        <v>256.0</v>
      </c>
      <c r="V134" s="260">
        <f t="shared" si="1"/>
        <v>736</v>
      </c>
      <c r="W134" s="260" t="s">
        <v>4836</v>
      </c>
      <c r="X134" s="262">
        <f t="shared" si="2"/>
        <v>285.6</v>
      </c>
      <c r="Y134" s="262">
        <f t="shared" si="3"/>
        <v>816</v>
      </c>
      <c r="Z134" s="262">
        <v>52.22</v>
      </c>
      <c r="AA134" s="262">
        <f t="shared" si="9"/>
        <v>0.8159375</v>
      </c>
      <c r="AB134" s="262">
        <f t="shared" si="10"/>
        <v>52.22</v>
      </c>
      <c r="AC134" s="260">
        <v>320.0</v>
      </c>
      <c r="AD134" s="260" t="s">
        <v>4628</v>
      </c>
      <c r="AE134" s="684">
        <v>999.0</v>
      </c>
      <c r="AF134" s="685"/>
      <c r="AG134" s="685"/>
      <c r="AH134" s="685"/>
      <c r="AI134" s="685"/>
      <c r="AJ134" s="685"/>
      <c r="AK134" s="685"/>
      <c r="AL134" s="685"/>
      <c r="AM134" s="685"/>
      <c r="AN134" s="685"/>
      <c r="AO134" s="685"/>
      <c r="AP134" s="685"/>
      <c r="AQ134" s="685"/>
      <c r="AR134" s="685"/>
      <c r="AS134" s="685"/>
      <c r="AT134" s="685"/>
      <c r="AU134" s="685"/>
      <c r="AV134" s="685"/>
      <c r="AW134" s="685"/>
      <c r="AX134" s="685"/>
      <c r="AY134" s="685"/>
      <c r="AZ134" s="685"/>
      <c r="BA134" s="685"/>
      <c r="BB134" s="685"/>
      <c r="BC134" s="685"/>
      <c r="BD134" s="685"/>
      <c r="BE134" s="685"/>
      <c r="BF134" s="685"/>
      <c r="BG134" s="685"/>
      <c r="BH134" s="685"/>
      <c r="BI134" s="685"/>
      <c r="BJ134" s="685"/>
      <c r="BK134" s="685"/>
    </row>
    <row r="135">
      <c r="A135" s="507" t="s">
        <v>3401</v>
      </c>
      <c r="B135" s="260" t="s">
        <v>4732</v>
      </c>
      <c r="C135" s="260">
        <v>40.0</v>
      </c>
      <c r="D135" s="663" t="s">
        <v>4883</v>
      </c>
      <c r="E135" s="689">
        <v>45288.0</v>
      </c>
      <c r="F135" s="663" t="s">
        <v>4884</v>
      </c>
      <c r="G135" s="260" t="s">
        <v>4865</v>
      </c>
      <c r="H135" s="260" t="s">
        <v>4866</v>
      </c>
      <c r="I135" s="260" t="s">
        <v>3308</v>
      </c>
      <c r="J135" s="260">
        <v>76.3</v>
      </c>
      <c r="K135" s="260">
        <v>608.0</v>
      </c>
      <c r="L135" s="260">
        <v>14592.0</v>
      </c>
      <c r="M135" s="260">
        <v>456.0</v>
      </c>
      <c r="N135" s="260">
        <v>176.0</v>
      </c>
      <c r="O135" s="260">
        <v>456.0</v>
      </c>
      <c r="P135" s="260">
        <v>114.0</v>
      </c>
      <c r="Q135" s="260">
        <v>2280.0</v>
      </c>
      <c r="R135" s="260">
        <v>2520.0</v>
      </c>
      <c r="S135" s="260">
        <v>24.0</v>
      </c>
      <c r="T135" s="260">
        <v>21.0</v>
      </c>
      <c r="U135" s="260">
        <v>384.0</v>
      </c>
      <c r="V135" s="260">
        <f t="shared" si="1"/>
        <v>1008</v>
      </c>
      <c r="W135" s="260" t="s">
        <v>4836</v>
      </c>
      <c r="X135" s="262">
        <f t="shared" si="2"/>
        <v>443.52</v>
      </c>
      <c r="Y135" s="262">
        <f t="shared" si="3"/>
        <v>1149.12</v>
      </c>
      <c r="Z135" s="262">
        <v>73.54</v>
      </c>
      <c r="AA135" s="262">
        <f t="shared" si="9"/>
        <v>1.1490625</v>
      </c>
      <c r="AB135" s="262">
        <f t="shared" si="10"/>
        <v>73.54</v>
      </c>
      <c r="AC135" s="260">
        <v>425.0</v>
      </c>
      <c r="AD135" s="260" t="s">
        <v>4628</v>
      </c>
      <c r="AE135" s="684">
        <v>1599.0</v>
      </c>
      <c r="AF135" s="685"/>
      <c r="AG135" s="685"/>
      <c r="AH135" s="685"/>
      <c r="AI135" s="685"/>
      <c r="AJ135" s="685"/>
      <c r="AK135" s="685"/>
      <c r="AL135" s="685"/>
      <c r="AM135" s="685"/>
      <c r="AN135" s="685"/>
      <c r="AO135" s="685"/>
      <c r="AP135" s="685"/>
      <c r="AQ135" s="685"/>
      <c r="AR135" s="685"/>
      <c r="AS135" s="685"/>
      <c r="AT135" s="685"/>
      <c r="AU135" s="685"/>
      <c r="AV135" s="685"/>
      <c r="AW135" s="685"/>
      <c r="AX135" s="685"/>
      <c r="AY135" s="685"/>
      <c r="AZ135" s="685"/>
      <c r="BA135" s="685"/>
      <c r="BB135" s="685"/>
      <c r="BC135" s="685"/>
      <c r="BD135" s="685"/>
      <c r="BE135" s="685"/>
      <c r="BF135" s="685"/>
      <c r="BG135" s="685"/>
      <c r="BH135" s="685"/>
      <c r="BI135" s="685"/>
      <c r="BJ135" s="685"/>
      <c r="BK135" s="685"/>
    </row>
    <row r="136">
      <c r="A136" s="519" t="s">
        <v>3401</v>
      </c>
      <c r="B136" s="393" t="s">
        <v>4732</v>
      </c>
      <c r="C136" s="393">
        <v>40.0</v>
      </c>
      <c r="D136" s="669" t="s">
        <v>4885</v>
      </c>
      <c r="E136" s="687">
        <v>44846.0</v>
      </c>
      <c r="F136" s="669" t="s">
        <v>4886</v>
      </c>
      <c r="G136" s="393" t="s">
        <v>4865</v>
      </c>
      <c r="H136" s="393" t="s">
        <v>4866</v>
      </c>
      <c r="I136" s="393" t="s">
        <v>3308</v>
      </c>
      <c r="J136" s="393">
        <v>76.3</v>
      </c>
      <c r="K136" s="393">
        <v>608.0</v>
      </c>
      <c r="L136" s="393">
        <v>16384.0</v>
      </c>
      <c r="M136" s="393">
        <v>512.0</v>
      </c>
      <c r="N136" s="393">
        <v>192.0</v>
      </c>
      <c r="O136" s="393">
        <v>512.0</v>
      </c>
      <c r="P136" s="393">
        <v>128.0</v>
      </c>
      <c r="Q136" s="393">
        <v>2235.0</v>
      </c>
      <c r="R136" s="393">
        <v>2520.0</v>
      </c>
      <c r="S136" s="393">
        <v>24.0</v>
      </c>
      <c r="T136" s="393">
        <v>21.0</v>
      </c>
      <c r="U136" s="393">
        <v>384.0</v>
      </c>
      <c r="V136" s="393">
        <f t="shared" si="1"/>
        <v>1008</v>
      </c>
      <c r="W136" s="393" t="s">
        <v>4836</v>
      </c>
      <c r="X136" s="672">
        <f t="shared" si="2"/>
        <v>483.84</v>
      </c>
      <c r="Y136" s="672">
        <f t="shared" si="3"/>
        <v>1290.24</v>
      </c>
      <c r="Z136" s="672">
        <v>82.58</v>
      </c>
      <c r="AA136" s="672">
        <f t="shared" si="9"/>
        <v>1.2903125</v>
      </c>
      <c r="AB136" s="672">
        <f t="shared" si="10"/>
        <v>82.58</v>
      </c>
      <c r="AC136" s="393">
        <v>450.0</v>
      </c>
      <c r="AD136" s="393" t="s">
        <v>4628</v>
      </c>
      <c r="AE136" s="688">
        <v>1599.0</v>
      </c>
      <c r="AF136" s="685"/>
      <c r="AG136" s="685"/>
      <c r="AH136" s="685"/>
      <c r="AI136" s="685"/>
      <c r="AJ136" s="685"/>
      <c r="AK136" s="685"/>
      <c r="AL136" s="685"/>
      <c r="AM136" s="685"/>
      <c r="AN136" s="685"/>
      <c r="AO136" s="685"/>
      <c r="AP136" s="685"/>
      <c r="AQ136" s="685"/>
      <c r="AR136" s="685"/>
      <c r="AS136" s="685"/>
      <c r="AT136" s="685"/>
      <c r="AU136" s="685"/>
      <c r="AV136" s="685"/>
      <c r="AW136" s="685"/>
      <c r="AX136" s="685"/>
      <c r="AY136" s="685"/>
      <c r="AZ136" s="685"/>
      <c r="BA136" s="685"/>
      <c r="BB136" s="685"/>
      <c r="BC136" s="685"/>
      <c r="BD136" s="685"/>
      <c r="BE136" s="685"/>
      <c r="BF136" s="685"/>
      <c r="BG136" s="685"/>
      <c r="BH136" s="685"/>
      <c r="BI136" s="685"/>
      <c r="BJ136" s="685"/>
      <c r="BK136" s="685"/>
    </row>
    <row r="137">
      <c r="A137" s="507" t="s">
        <v>3401</v>
      </c>
      <c r="B137" s="260" t="s">
        <v>166</v>
      </c>
      <c r="C137" s="260" t="s">
        <v>4817</v>
      </c>
      <c r="D137" s="663" t="s">
        <v>4887</v>
      </c>
      <c r="E137" s="693">
        <v>45323.0</v>
      </c>
      <c r="F137" s="663" t="s">
        <v>4888</v>
      </c>
      <c r="G137" s="260" t="s">
        <v>4865</v>
      </c>
      <c r="H137" s="260" t="s">
        <v>4866</v>
      </c>
      <c r="I137" s="260" t="s">
        <v>4664</v>
      </c>
      <c r="J137" s="260">
        <v>18.9</v>
      </c>
      <c r="K137" s="260">
        <v>159.0</v>
      </c>
      <c r="L137" s="260">
        <v>2816.0</v>
      </c>
      <c r="M137" s="260">
        <v>88.0</v>
      </c>
      <c r="N137" s="260">
        <v>48.0</v>
      </c>
      <c r="O137" s="260">
        <v>88.0</v>
      </c>
      <c r="P137" s="260">
        <v>22.0</v>
      </c>
      <c r="Q137" s="260">
        <v>1635.0</v>
      </c>
      <c r="R137" s="260">
        <v>2115.0</v>
      </c>
      <c r="S137" s="260">
        <v>16.0</v>
      </c>
      <c r="T137" s="260">
        <v>14.0</v>
      </c>
      <c r="U137" s="260">
        <v>128.0</v>
      </c>
      <c r="V137" s="260">
        <f t="shared" si="1"/>
        <v>224</v>
      </c>
      <c r="W137" s="260" t="s">
        <v>4665</v>
      </c>
      <c r="X137" s="262">
        <f t="shared" si="2"/>
        <v>101.52</v>
      </c>
      <c r="Y137" s="262">
        <f t="shared" si="3"/>
        <v>186.12</v>
      </c>
      <c r="Z137" s="262">
        <v>12.0</v>
      </c>
      <c r="AA137" s="262">
        <f t="shared" si="9"/>
        <v>0.1875</v>
      </c>
      <c r="AB137" s="262">
        <f t="shared" si="10"/>
        <v>12</v>
      </c>
      <c r="AC137" s="260">
        <v>70.0</v>
      </c>
      <c r="AD137" s="260" t="s">
        <v>4628</v>
      </c>
      <c r="AE137" s="684">
        <v>625.0</v>
      </c>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row>
    <row r="138">
      <c r="A138" s="507" t="s">
        <v>3401</v>
      </c>
      <c r="B138" s="260" t="s">
        <v>166</v>
      </c>
      <c r="C138" s="260" t="s">
        <v>4817</v>
      </c>
      <c r="D138" s="663" t="s">
        <v>4889</v>
      </c>
      <c r="E138" s="693">
        <v>44986.0</v>
      </c>
      <c r="F138" s="663" t="s">
        <v>4890</v>
      </c>
      <c r="G138" s="260" t="s">
        <v>4865</v>
      </c>
      <c r="H138" s="260" t="s">
        <v>4866</v>
      </c>
      <c r="I138" s="260" t="s">
        <v>3308</v>
      </c>
      <c r="J138" s="260">
        <v>35.8</v>
      </c>
      <c r="K138" s="260">
        <v>294.0</v>
      </c>
      <c r="L138" s="260">
        <v>6144.0</v>
      </c>
      <c r="M138" s="260">
        <v>192.0</v>
      </c>
      <c r="N138" s="260">
        <v>80.0</v>
      </c>
      <c r="O138" s="260">
        <v>192.0</v>
      </c>
      <c r="P138" s="260">
        <v>48.0</v>
      </c>
      <c r="Q138" s="260">
        <v>720.0</v>
      </c>
      <c r="R138" s="260">
        <v>1560.0</v>
      </c>
      <c r="S138" s="260">
        <v>20.0</v>
      </c>
      <c r="T138" s="260">
        <v>14.0</v>
      </c>
      <c r="U138" s="260">
        <v>160.0</v>
      </c>
      <c r="V138" s="260">
        <f t="shared" si="1"/>
        <v>280</v>
      </c>
      <c r="W138" s="260" t="s">
        <v>4665</v>
      </c>
      <c r="X138" s="262">
        <f t="shared" si="2"/>
        <v>124.8</v>
      </c>
      <c r="Y138" s="262">
        <f t="shared" si="3"/>
        <v>299.52</v>
      </c>
      <c r="Z138" s="262">
        <v>19.17</v>
      </c>
      <c r="AA138" s="262">
        <f t="shared" si="9"/>
        <v>0.29953125</v>
      </c>
      <c r="AB138" s="262">
        <f t="shared" si="10"/>
        <v>19.17</v>
      </c>
      <c r="AC138" s="260">
        <v>70.0</v>
      </c>
      <c r="AD138" s="260" t="s">
        <v>4628</v>
      </c>
      <c r="AE138" s="684">
        <v>1250.0</v>
      </c>
      <c r="AF138" s="685"/>
      <c r="AG138" s="685"/>
      <c r="AH138" s="685"/>
      <c r="AI138" s="685"/>
      <c r="AJ138" s="685"/>
      <c r="AK138" s="685"/>
      <c r="AL138" s="685"/>
      <c r="AM138" s="685"/>
      <c r="AN138" s="685"/>
      <c r="AO138" s="685"/>
      <c r="AP138" s="685"/>
      <c r="AQ138" s="685"/>
      <c r="AR138" s="685"/>
      <c r="AS138" s="685"/>
      <c r="AT138" s="685"/>
      <c r="AU138" s="685"/>
      <c r="AV138" s="685"/>
      <c r="AW138" s="685"/>
      <c r="AX138" s="685"/>
      <c r="AY138" s="685"/>
      <c r="AZ138" s="685"/>
      <c r="BA138" s="685"/>
      <c r="BB138" s="685"/>
      <c r="BC138" s="685"/>
      <c r="BD138" s="685"/>
      <c r="BE138" s="685"/>
      <c r="BF138" s="685"/>
      <c r="BG138" s="685"/>
      <c r="BH138" s="685"/>
      <c r="BI138" s="685"/>
      <c r="BJ138" s="685"/>
      <c r="BK138" s="685"/>
    </row>
    <row r="139">
      <c r="A139" s="507" t="s">
        <v>3401</v>
      </c>
      <c r="B139" s="260" t="s">
        <v>166</v>
      </c>
      <c r="C139" s="260" t="s">
        <v>4817</v>
      </c>
      <c r="D139" s="663" t="s">
        <v>4891</v>
      </c>
      <c r="E139" s="693">
        <v>45170.0</v>
      </c>
      <c r="F139" s="663" t="s">
        <v>4890</v>
      </c>
      <c r="G139" s="260" t="s">
        <v>4865</v>
      </c>
      <c r="H139" s="260" t="s">
        <v>4866</v>
      </c>
      <c r="I139" s="260" t="s">
        <v>3308</v>
      </c>
      <c r="J139" s="260">
        <v>35.8</v>
      </c>
      <c r="K139" s="260">
        <v>294.0</v>
      </c>
      <c r="L139" s="260">
        <v>6144.0</v>
      </c>
      <c r="M139" s="260">
        <v>192.0</v>
      </c>
      <c r="N139" s="260">
        <v>80.0</v>
      </c>
      <c r="O139" s="260">
        <v>192.0</v>
      </c>
      <c r="P139" s="260">
        <v>48.0</v>
      </c>
      <c r="Q139" s="260">
        <v>1500.0</v>
      </c>
      <c r="R139" s="260">
        <v>2175.0</v>
      </c>
      <c r="S139" s="260">
        <v>20.0</v>
      </c>
      <c r="T139" s="260">
        <v>14.0</v>
      </c>
      <c r="U139" s="260">
        <v>160.0</v>
      </c>
      <c r="V139" s="260">
        <f t="shared" si="1"/>
        <v>280</v>
      </c>
      <c r="W139" s="260" t="s">
        <v>4665</v>
      </c>
      <c r="X139" s="262">
        <f t="shared" si="2"/>
        <v>174</v>
      </c>
      <c r="Y139" s="262">
        <f t="shared" si="3"/>
        <v>417.6</v>
      </c>
      <c r="Z139" s="262">
        <v>26.73</v>
      </c>
      <c r="AA139" s="262">
        <f t="shared" si="9"/>
        <v>0.41765625</v>
      </c>
      <c r="AB139" s="262">
        <f t="shared" si="10"/>
        <v>26.73</v>
      </c>
      <c r="AC139" s="260">
        <v>130.0</v>
      </c>
      <c r="AD139" s="260" t="s">
        <v>4628</v>
      </c>
      <c r="AE139" s="684">
        <v>1250.0</v>
      </c>
      <c r="AF139" s="685"/>
      <c r="AG139" s="685"/>
      <c r="AH139" s="685"/>
      <c r="AI139" s="685"/>
      <c r="AJ139" s="685"/>
      <c r="AK139" s="685"/>
      <c r="AL139" s="685"/>
      <c r="AM139" s="685"/>
      <c r="AN139" s="685"/>
      <c r="AO139" s="685"/>
      <c r="AP139" s="685"/>
      <c r="AQ139" s="685"/>
      <c r="AR139" s="685"/>
      <c r="AS139" s="685"/>
      <c r="AT139" s="685"/>
      <c r="AU139" s="685"/>
      <c r="AV139" s="685"/>
      <c r="AW139" s="685"/>
      <c r="AX139" s="685"/>
      <c r="AY139" s="685"/>
      <c r="AZ139" s="685"/>
      <c r="BA139" s="685"/>
      <c r="BB139" s="685"/>
      <c r="BC139" s="685"/>
      <c r="BD139" s="685"/>
      <c r="BE139" s="685"/>
      <c r="BF139" s="685"/>
      <c r="BG139" s="685"/>
      <c r="BH139" s="685"/>
      <c r="BI139" s="685"/>
      <c r="BJ139" s="685"/>
      <c r="BK139" s="685"/>
    </row>
    <row r="140">
      <c r="A140" s="507" t="s">
        <v>3401</v>
      </c>
      <c r="B140" s="260" t="s">
        <v>166</v>
      </c>
      <c r="C140" s="260" t="s">
        <v>4817</v>
      </c>
      <c r="D140" s="663" t="s">
        <v>4892</v>
      </c>
      <c r="E140" s="693">
        <v>45170.0</v>
      </c>
      <c r="F140" s="663" t="s">
        <v>4890</v>
      </c>
      <c r="G140" s="260" t="s">
        <v>4865</v>
      </c>
      <c r="H140" s="260" t="s">
        <v>4866</v>
      </c>
      <c r="I140" s="260" t="s">
        <v>3308</v>
      </c>
      <c r="J140" s="260">
        <v>35.8</v>
      </c>
      <c r="K140" s="260">
        <v>294.0</v>
      </c>
      <c r="L140" s="260">
        <v>7680.0</v>
      </c>
      <c r="M140" s="260">
        <v>240.0</v>
      </c>
      <c r="N140" s="260">
        <v>80.0</v>
      </c>
      <c r="O140" s="260">
        <v>240.0</v>
      </c>
      <c r="P140" s="260">
        <v>60.0</v>
      </c>
      <c r="Q140" s="260">
        <v>2070.0</v>
      </c>
      <c r="R140" s="260">
        <v>2580.0</v>
      </c>
      <c r="S140" s="260">
        <v>24.0</v>
      </c>
      <c r="T140" s="260">
        <v>18.0</v>
      </c>
      <c r="U140" s="260">
        <v>192.0</v>
      </c>
      <c r="V140" s="260">
        <f t="shared" si="1"/>
        <v>432</v>
      </c>
      <c r="W140" s="260" t="s">
        <v>4665</v>
      </c>
      <c r="X140" s="262">
        <f t="shared" si="2"/>
        <v>206.4</v>
      </c>
      <c r="Y140" s="262">
        <f t="shared" si="3"/>
        <v>619.2</v>
      </c>
      <c r="Z140" s="262">
        <v>39.63</v>
      </c>
      <c r="AA140" s="262">
        <f t="shared" si="9"/>
        <v>0.61921875</v>
      </c>
      <c r="AB140" s="262">
        <f t="shared" si="10"/>
        <v>39.63</v>
      </c>
      <c r="AC140" s="260">
        <v>130.0</v>
      </c>
      <c r="AD140" s="260" t="s">
        <v>4628</v>
      </c>
      <c r="AE140" s="684">
        <v>2250.0</v>
      </c>
      <c r="AF140" s="685"/>
      <c r="AG140" s="685"/>
      <c r="AH140" s="685"/>
      <c r="AI140" s="685"/>
      <c r="AJ140" s="685"/>
      <c r="AK140" s="685"/>
      <c r="AL140" s="685"/>
      <c r="AM140" s="685"/>
      <c r="AN140" s="685"/>
      <c r="AO140" s="685"/>
      <c r="AP140" s="685"/>
      <c r="AQ140" s="685"/>
      <c r="AR140" s="685"/>
      <c r="AS140" s="685"/>
      <c r="AT140" s="685"/>
      <c r="AU140" s="685"/>
      <c r="AV140" s="685"/>
      <c r="AW140" s="685"/>
      <c r="AX140" s="685"/>
      <c r="AY140" s="685"/>
      <c r="AZ140" s="685"/>
      <c r="BA140" s="685"/>
      <c r="BB140" s="685"/>
      <c r="BC140" s="685"/>
      <c r="BD140" s="685"/>
      <c r="BE140" s="685"/>
      <c r="BF140" s="685"/>
      <c r="BG140" s="685"/>
      <c r="BH140" s="685"/>
      <c r="BI140" s="685"/>
      <c r="BJ140" s="685"/>
      <c r="BK140" s="685"/>
    </row>
    <row r="141">
      <c r="A141" s="507" t="s">
        <v>3401</v>
      </c>
      <c r="B141" s="260" t="s">
        <v>166</v>
      </c>
      <c r="C141" s="260" t="s">
        <v>4817</v>
      </c>
      <c r="D141" s="663" t="s">
        <v>4893</v>
      </c>
      <c r="E141" s="689">
        <v>45198.0</v>
      </c>
      <c r="F141" s="663" t="s">
        <v>4894</v>
      </c>
      <c r="G141" s="260" t="s">
        <v>4865</v>
      </c>
      <c r="H141" s="260" t="s">
        <v>4866</v>
      </c>
      <c r="I141" s="260" t="s">
        <v>3308</v>
      </c>
      <c r="J141" s="260">
        <v>76.3</v>
      </c>
      <c r="K141" s="260">
        <v>608.0</v>
      </c>
      <c r="L141" s="260">
        <v>12800.0</v>
      </c>
      <c r="M141" s="260">
        <v>400.0</v>
      </c>
      <c r="N141" s="260">
        <v>176.0</v>
      </c>
      <c r="O141" s="260">
        <v>400.0</v>
      </c>
      <c r="P141" s="260">
        <v>100.0</v>
      </c>
      <c r="Q141" s="260">
        <v>1155.0</v>
      </c>
      <c r="R141" s="260">
        <v>2550.0</v>
      </c>
      <c r="S141" s="260">
        <v>32.0</v>
      </c>
      <c r="T141" s="260">
        <v>18.0</v>
      </c>
      <c r="U141" s="260">
        <v>256.0</v>
      </c>
      <c r="V141" s="260">
        <f t="shared" si="1"/>
        <v>576</v>
      </c>
      <c r="W141" s="260" t="s">
        <v>4665</v>
      </c>
      <c r="X141" s="262">
        <f t="shared" si="2"/>
        <v>448.8</v>
      </c>
      <c r="Y141" s="262">
        <f t="shared" si="3"/>
        <v>1020</v>
      </c>
      <c r="Z141" s="262">
        <v>65.28</v>
      </c>
      <c r="AA141" s="262">
        <f t="shared" si="9"/>
        <v>1.02</v>
      </c>
      <c r="AB141" s="262">
        <f t="shared" si="10"/>
        <v>65.28</v>
      </c>
      <c r="AC141" s="260">
        <v>250.0</v>
      </c>
      <c r="AD141" s="260" t="s">
        <v>4628</v>
      </c>
      <c r="AE141" s="684">
        <v>4000.0</v>
      </c>
      <c r="AF141" s="685"/>
      <c r="AG141" s="685"/>
      <c r="AH141" s="685"/>
      <c r="AI141" s="685"/>
      <c r="AJ141" s="685"/>
      <c r="AK141" s="685"/>
      <c r="AL141" s="685"/>
      <c r="AM141" s="685"/>
      <c r="AN141" s="685"/>
      <c r="AO141" s="685"/>
      <c r="AP141" s="685"/>
      <c r="AQ141" s="685"/>
      <c r="AR141" s="685"/>
      <c r="AS141" s="685"/>
      <c r="AT141" s="685"/>
      <c r="AU141" s="685"/>
      <c r="AV141" s="685"/>
      <c r="AW141" s="685"/>
      <c r="AX141" s="685"/>
      <c r="AY141" s="685"/>
      <c r="AZ141" s="685"/>
      <c r="BA141" s="685"/>
      <c r="BB141" s="685"/>
      <c r="BC141" s="685"/>
      <c r="BD141" s="685"/>
      <c r="BE141" s="685"/>
      <c r="BF141" s="685"/>
      <c r="BG141" s="685"/>
      <c r="BH141" s="685"/>
      <c r="BI141" s="685"/>
      <c r="BJ141" s="685"/>
      <c r="BK141" s="685"/>
    </row>
    <row r="142">
      <c r="A142" s="507" t="s">
        <v>3401</v>
      </c>
      <c r="B142" s="260" t="s">
        <v>166</v>
      </c>
      <c r="C142" s="260" t="s">
        <v>4817</v>
      </c>
      <c r="D142" s="663" t="s">
        <v>4895</v>
      </c>
      <c r="E142" s="693">
        <v>44896.0</v>
      </c>
      <c r="F142" s="663" t="s">
        <v>4894</v>
      </c>
      <c r="G142" s="260" t="s">
        <v>4865</v>
      </c>
      <c r="H142" s="260" t="s">
        <v>4866</v>
      </c>
      <c r="I142" s="260" t="s">
        <v>3308</v>
      </c>
      <c r="J142" s="260">
        <v>76.3</v>
      </c>
      <c r="K142" s="260">
        <v>608.0</v>
      </c>
      <c r="L142" s="260">
        <v>18176.0</v>
      </c>
      <c r="M142" s="260">
        <v>568.0</v>
      </c>
      <c r="N142" s="260">
        <v>192.0</v>
      </c>
      <c r="O142" s="260">
        <v>568.0</v>
      </c>
      <c r="P142" s="260">
        <v>142.0</v>
      </c>
      <c r="Q142" s="260">
        <v>915.0</v>
      </c>
      <c r="R142" s="260">
        <v>2505.0</v>
      </c>
      <c r="S142" s="260">
        <v>48.0</v>
      </c>
      <c r="T142" s="260">
        <v>20.0</v>
      </c>
      <c r="U142" s="260">
        <v>384.0</v>
      </c>
      <c r="V142" s="260">
        <f t="shared" si="1"/>
        <v>960</v>
      </c>
      <c r="W142" s="260" t="s">
        <v>4665</v>
      </c>
      <c r="X142" s="262">
        <f t="shared" si="2"/>
        <v>480.96</v>
      </c>
      <c r="Y142" s="262">
        <f t="shared" si="3"/>
        <v>1422.84</v>
      </c>
      <c r="Z142" s="262">
        <v>91.06</v>
      </c>
      <c r="AA142" s="262">
        <f t="shared" si="9"/>
        <v>1.4228125</v>
      </c>
      <c r="AB142" s="262">
        <f t="shared" si="10"/>
        <v>91.06</v>
      </c>
      <c r="AC142" s="260">
        <v>300.0</v>
      </c>
      <c r="AD142" s="260" t="s">
        <v>4628</v>
      </c>
      <c r="AE142" s="684">
        <v>6800.0</v>
      </c>
      <c r="AF142" s="685"/>
      <c r="AG142" s="685"/>
      <c r="AH142" s="685"/>
      <c r="AI142" s="685"/>
      <c r="AJ142" s="685"/>
      <c r="AK142" s="685"/>
      <c r="AL142" s="685"/>
      <c r="AM142" s="685"/>
      <c r="AN142" s="685"/>
      <c r="AO142" s="685"/>
      <c r="AP142" s="685"/>
      <c r="AQ142" s="685"/>
      <c r="AR142" s="685"/>
      <c r="AS142" s="685"/>
      <c r="AT142" s="685"/>
      <c r="AU142" s="685"/>
      <c r="AV142" s="685"/>
      <c r="AW142" s="685"/>
      <c r="AX142" s="685"/>
      <c r="AY142" s="685"/>
      <c r="AZ142" s="685"/>
      <c r="BA142" s="685"/>
      <c r="BB142" s="685"/>
      <c r="BC142" s="685"/>
      <c r="BD142" s="685"/>
      <c r="BE142" s="685"/>
      <c r="BF142" s="685"/>
      <c r="BG142" s="685"/>
      <c r="BH142" s="685"/>
      <c r="BI142" s="685"/>
      <c r="BJ142" s="685"/>
      <c r="BK142" s="685"/>
    </row>
  </sheetData>
  <autoFilter ref="$A$1:$AE$142"/>
  <customSheetViews>
    <customSheetView guid="{23F8A8D4-BF6F-443E-A7CB-443445CFA23F}" filter="1" showAutoFilter="1">
      <autoFilter ref="$A$1:$AE$142">
        <filterColumn colId="0">
          <filters>
            <filter val="AMD"/>
          </filters>
        </filterColumn>
      </autoFilter>
    </customSheetView>
    <customSheetView guid="{B8EED002-5DBD-4D9A-8090-3E4DFBD387F6}" filter="1" showAutoFilter="1">
      <autoFilter ref="$A$1:$AE$142">
        <filterColumn colId="0">
          <filters>
            <filter val="Nvidia"/>
          </filters>
        </filterColumn>
      </autoFilter>
    </customSheetView>
    <customSheetView guid="{ED4BB880-FC57-4587-A42E-3A21D3864B4F}" filter="1" showAutoFilter="1">
      <autoFilter ref="$A$1:$AE$142">
        <filterColumn colId="0">
          <filters>
            <filter val="Intel"/>
          </filters>
        </filterColumn>
      </autoFilter>
    </customSheetView>
  </customSheetViews>
  <conditionalFormatting sqref="AE2:BK142">
    <cfRule type="colorScale" priority="1">
      <colorScale>
        <cfvo type="min"/>
        <cfvo type="percentile" val="50"/>
        <cfvo type="max"/>
        <color rgb="FF57BB8A"/>
        <color rgb="FFFFD666"/>
        <color rgb="FFE67C73"/>
      </colorScale>
    </cfRule>
  </conditionalFormatting>
  <conditionalFormatting sqref="AD2:AD142">
    <cfRule type="cellIs" dxfId="4" priority="2" operator="equal">
      <formula>"N"</formula>
    </cfRule>
  </conditionalFormatting>
  <conditionalFormatting sqref="AD2:AD142">
    <cfRule type="cellIs" dxfId="3" priority="3" operator="equal">
      <formula>"Y"</formula>
    </cfRule>
  </conditionalFormatting>
  <conditionalFormatting sqref="AC2:AC142">
    <cfRule type="colorScale" priority="4">
      <colorScale>
        <cfvo type="min"/>
        <cfvo type="percentile" val="50"/>
        <cfvo type="max"/>
        <color rgb="FF57BB8A"/>
        <color rgb="FFFFD666"/>
        <color rgb="FFE67C73"/>
      </colorScale>
    </cfRule>
  </conditionalFormatting>
  <conditionalFormatting sqref="X2:X142">
    <cfRule type="colorScale" priority="5">
      <colorScale>
        <cfvo type="min"/>
        <cfvo type="percentile" val="50"/>
        <cfvo type="max"/>
        <color rgb="FFE67C73"/>
        <color rgb="FFFFD666"/>
        <color rgb="FF57BB8A"/>
      </colorScale>
    </cfRule>
  </conditionalFormatting>
  <conditionalFormatting sqref="Y2:Y142">
    <cfRule type="colorScale" priority="6">
      <colorScale>
        <cfvo type="min"/>
        <cfvo type="percentile" val="50"/>
        <cfvo type="max"/>
        <color rgb="FFE67C73"/>
        <color rgb="FFFFD666"/>
        <color rgb="FF57BB8A"/>
      </colorScale>
    </cfRule>
  </conditionalFormatting>
  <conditionalFormatting sqref="Z2:Z142 AB126:AB135">
    <cfRule type="colorScale" priority="7">
      <colorScale>
        <cfvo type="min"/>
        <cfvo type="percentile" val="50"/>
        <cfvo type="max"/>
        <color rgb="FFE67C73"/>
        <color rgb="FFFFD666"/>
        <color rgb="FF57BB8A"/>
      </colorScale>
    </cfRule>
  </conditionalFormatting>
  <conditionalFormatting sqref="AA2:AA142">
    <cfRule type="colorScale" priority="8">
      <colorScale>
        <cfvo type="min"/>
        <cfvo type="percentile" val="50"/>
        <cfvo type="max"/>
        <color rgb="FFE67C73"/>
        <color rgb="FFFFD666"/>
        <color rgb="FF57BB8A"/>
      </colorScale>
    </cfRule>
  </conditionalFormatting>
  <conditionalFormatting sqref="AB2:AB142 Z111:Z142">
    <cfRule type="colorScale" priority="9">
      <colorScale>
        <cfvo type="min"/>
        <cfvo type="percentile" val="50"/>
        <cfvo type="max"/>
        <color rgb="FFE67C73"/>
        <color rgb="FFFFD666"/>
        <color rgb="FF57BB8A"/>
      </colorScale>
    </cfRule>
  </conditionalFormatting>
  <conditionalFormatting sqref="T2:T142">
    <cfRule type="colorScale" priority="10">
      <colorScale>
        <cfvo type="min"/>
        <cfvo type="percentile" val="50"/>
        <cfvo type="max"/>
        <color rgb="FFE67C73"/>
        <color rgb="FFFFD666"/>
        <color rgb="FF57BB8A"/>
      </colorScale>
    </cfRule>
  </conditionalFormatting>
  <conditionalFormatting sqref="Q2:Q142">
    <cfRule type="colorScale" priority="11">
      <colorScale>
        <cfvo type="min"/>
        <cfvo type="percentile" val="50"/>
        <cfvo type="max"/>
        <color rgb="FFE67C73"/>
        <color rgb="FFFFD666"/>
        <color rgb="FF57BB8A"/>
      </colorScale>
    </cfRule>
  </conditionalFormatting>
  <conditionalFormatting sqref="R2:R142">
    <cfRule type="colorScale" priority="12">
      <colorScale>
        <cfvo type="min"/>
        <cfvo type="percentile" val="50"/>
        <cfvo type="max"/>
        <color rgb="FFE67C73"/>
        <color rgb="FFFFD666"/>
        <color rgb="FF57BB8A"/>
      </colorScale>
    </cfRule>
  </conditionalFormatting>
  <conditionalFormatting sqref="S2:S142">
    <cfRule type="colorScale" priority="13">
      <colorScale>
        <cfvo type="min"/>
        <cfvo type="percentile" val="50"/>
        <cfvo type="max"/>
        <color rgb="FFE67C73"/>
        <color rgb="FFFFD666"/>
        <color rgb="FF57BB8A"/>
      </colorScale>
    </cfRule>
  </conditionalFormatting>
  <conditionalFormatting sqref="J2:J142">
    <cfRule type="colorScale" priority="14">
      <colorScale>
        <cfvo type="min"/>
        <cfvo type="percentile" val="50"/>
        <cfvo type="max"/>
        <color rgb="FFE67C73"/>
        <color rgb="FFFFD666"/>
        <color rgb="FF57BB8A"/>
      </colorScale>
    </cfRule>
  </conditionalFormatting>
  <conditionalFormatting sqref="K2:K142">
    <cfRule type="colorScale" priority="15">
      <colorScale>
        <cfvo type="min"/>
        <cfvo type="percentile" val="50"/>
        <cfvo type="max"/>
        <color rgb="FF57BB8A"/>
        <color rgb="FFFFD666"/>
        <color rgb="FFE67C73"/>
      </colorScale>
    </cfRule>
  </conditionalFormatting>
  <conditionalFormatting sqref="L2:L142">
    <cfRule type="colorScale" priority="16">
      <colorScale>
        <cfvo type="min"/>
        <cfvo type="percentile" val="50"/>
        <cfvo type="max"/>
        <color rgb="FFE67C73"/>
        <color rgb="FFFFD666"/>
        <color rgb="FF57BB8A"/>
      </colorScale>
    </cfRule>
  </conditionalFormatting>
  <conditionalFormatting sqref="M2:M142">
    <cfRule type="colorScale" priority="17">
      <colorScale>
        <cfvo type="min"/>
        <cfvo type="percentile" val="50"/>
        <cfvo type="max"/>
        <color rgb="FFE67C73"/>
        <color rgb="FFFFD666"/>
        <color rgb="FF57BB8A"/>
      </colorScale>
    </cfRule>
  </conditionalFormatting>
  <conditionalFormatting sqref="N2:N142">
    <cfRule type="colorScale" priority="18">
      <colorScale>
        <cfvo type="min"/>
        <cfvo type="percentile" val="50"/>
        <cfvo type="max"/>
        <color rgb="FFE67C73"/>
        <color rgb="FFFFD666"/>
        <color rgb="FF57BB8A"/>
      </colorScale>
    </cfRule>
  </conditionalFormatting>
  <conditionalFormatting sqref="O2:O142">
    <cfRule type="colorScale" priority="19">
      <colorScale>
        <cfvo type="min"/>
        <cfvo type="percentile" val="50"/>
        <cfvo type="max"/>
        <color rgb="FFE67C73"/>
        <color rgb="FFFFD666"/>
        <color rgb="FF57BB8A"/>
      </colorScale>
    </cfRule>
  </conditionalFormatting>
  <conditionalFormatting sqref="P2:P142">
    <cfRule type="colorScale" priority="20">
      <colorScale>
        <cfvo type="min"/>
        <cfvo type="percentile" val="50"/>
        <cfvo type="max"/>
        <color rgb="FFE67C73"/>
        <color rgb="FFFFD666"/>
        <color rgb="FF57BB8A"/>
      </colorScale>
    </cfRule>
  </conditionalFormatting>
  <conditionalFormatting sqref="V2:V142">
    <cfRule type="colorScale" priority="21">
      <colorScale>
        <cfvo type="min"/>
        <cfvo type="percentile" val="50"/>
        <cfvo type="max"/>
        <color rgb="FFE67C73"/>
        <color rgb="FFFFD666"/>
        <color rgb="FF57BB8A"/>
      </colorScale>
    </cfRule>
  </conditionalFormatting>
  <conditionalFormatting sqref="U2:U142">
    <cfRule type="colorScale" priority="22">
      <colorScale>
        <cfvo type="min"/>
        <cfvo type="percentile" val="50"/>
        <cfvo type="max"/>
        <color rgb="FFE67C73"/>
        <color rgb="FFFFD666"/>
        <color rgb="FF57BB8A"/>
      </colorScale>
    </cfRule>
  </conditionalFormatting>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5.63"/>
    <col customWidth="1" min="2" max="2" width="6.88"/>
    <col customWidth="1" min="3" max="3" width="5.63"/>
    <col customWidth="1" min="4" max="4" width="10.38"/>
    <col customWidth="1" min="5" max="5" width="24.88"/>
    <col customWidth="1" min="6" max="6" width="5.88"/>
    <col customWidth="1" min="7" max="14" width="5.63"/>
    <col customWidth="1" min="15" max="15" width="8.13"/>
    <col customWidth="1" min="16" max="16" width="5.63"/>
    <col customWidth="1" min="17" max="17" width="13.38"/>
    <col customWidth="1" min="18" max="30" width="5.63"/>
    <col customWidth="1" min="31" max="31" width="9.38"/>
    <col customWidth="1" min="32" max="32" width="5.63"/>
    <col customWidth="1" min="33" max="33" width="15.88"/>
    <col customWidth="1" min="34" max="34" width="5.88"/>
    <col customWidth="1" min="35" max="35" width="5.63"/>
    <col customWidth="1" min="36" max="36" width="8.0"/>
    <col customWidth="1" min="37" max="37" width="18.63"/>
    <col customWidth="1" min="38" max="39" width="5.63"/>
    <col customWidth="1" min="40" max="40" width="17.75"/>
    <col customWidth="1" min="41" max="52" width="5.63"/>
    <col customWidth="1" min="53" max="53" width="11.13"/>
    <col customWidth="1" min="54" max="54" width="5.63"/>
    <col customWidth="1" min="55" max="55" width="8.38"/>
    <col customWidth="1" min="56" max="56" width="5.63"/>
    <col customWidth="1" min="57" max="57" width="16.13"/>
    <col customWidth="1" min="58" max="58" width="25.38"/>
  </cols>
  <sheetData>
    <row r="1" ht="90.75" customHeight="1">
      <c r="A1" s="399" t="s">
        <v>44</v>
      </c>
      <c r="B1" s="399" t="s">
        <v>4896</v>
      </c>
      <c r="C1" s="399" t="s">
        <v>46</v>
      </c>
      <c r="D1" s="398" t="s">
        <v>1579</v>
      </c>
      <c r="E1" s="398" t="s">
        <v>3346</v>
      </c>
      <c r="F1" s="399" t="s">
        <v>4897</v>
      </c>
      <c r="G1" s="399" t="s">
        <v>4898</v>
      </c>
      <c r="H1" s="399" t="s">
        <v>4899</v>
      </c>
      <c r="I1" s="399" t="s">
        <v>4900</v>
      </c>
      <c r="J1" s="399" t="s">
        <v>4901</v>
      </c>
      <c r="K1" s="399" t="s">
        <v>4902</v>
      </c>
      <c r="L1" s="399" t="s">
        <v>4903</v>
      </c>
      <c r="M1" s="399" t="s">
        <v>4904</v>
      </c>
      <c r="N1" s="399" t="s">
        <v>4905</v>
      </c>
      <c r="O1" s="399" t="s">
        <v>4906</v>
      </c>
      <c r="P1" s="399" t="s">
        <v>4907</v>
      </c>
      <c r="Q1" s="398" t="s">
        <v>4908</v>
      </c>
      <c r="R1" s="399" t="s">
        <v>4909</v>
      </c>
      <c r="S1" s="399" t="s">
        <v>4910</v>
      </c>
      <c r="T1" s="399" t="s">
        <v>4911</v>
      </c>
      <c r="U1" s="399" t="s">
        <v>4912</v>
      </c>
      <c r="V1" s="399" t="s">
        <v>4913</v>
      </c>
      <c r="W1" s="399" t="s">
        <v>4914</v>
      </c>
      <c r="X1" s="399" t="s">
        <v>4915</v>
      </c>
      <c r="Y1" s="399" t="s">
        <v>4916</v>
      </c>
      <c r="Z1" s="399" t="s">
        <v>4917</v>
      </c>
      <c r="AA1" s="399" t="s">
        <v>4918</v>
      </c>
      <c r="AB1" s="399" t="s">
        <v>4919</v>
      </c>
      <c r="AC1" s="399" t="s">
        <v>1996</v>
      </c>
      <c r="AD1" s="399" t="s">
        <v>4920</v>
      </c>
      <c r="AE1" s="318" t="s">
        <v>4921</v>
      </c>
      <c r="AF1" s="399" t="s">
        <v>4922</v>
      </c>
      <c r="AG1" s="398" t="s">
        <v>4923</v>
      </c>
      <c r="AH1" s="399" t="s">
        <v>4924</v>
      </c>
      <c r="AI1" s="399" t="s">
        <v>4925</v>
      </c>
      <c r="AJ1" s="398" t="s">
        <v>4926</v>
      </c>
      <c r="AK1" s="398" t="s">
        <v>4927</v>
      </c>
      <c r="AL1" s="399" t="s">
        <v>4928</v>
      </c>
      <c r="AM1" s="399" t="s">
        <v>4929</v>
      </c>
      <c r="AN1" s="398" t="s">
        <v>4930</v>
      </c>
      <c r="AO1" s="399" t="s">
        <v>4931</v>
      </c>
      <c r="AP1" s="399" t="s">
        <v>4932</v>
      </c>
      <c r="AQ1" s="399" t="s">
        <v>4933</v>
      </c>
      <c r="AR1" s="399" t="s">
        <v>3351</v>
      </c>
      <c r="AS1" s="399" t="s">
        <v>3352</v>
      </c>
      <c r="AT1" s="399" t="s">
        <v>4934</v>
      </c>
      <c r="AU1" s="399" t="s">
        <v>4935</v>
      </c>
      <c r="AV1" s="399" t="s">
        <v>4936</v>
      </c>
      <c r="AW1" s="399" t="s">
        <v>4937</v>
      </c>
      <c r="AX1" s="399" t="s">
        <v>4938</v>
      </c>
      <c r="AY1" s="399" t="s">
        <v>4939</v>
      </c>
      <c r="AZ1" s="399" t="s">
        <v>4940</v>
      </c>
      <c r="BA1" s="398" t="s">
        <v>4941</v>
      </c>
      <c r="BB1" s="399" t="s">
        <v>4942</v>
      </c>
      <c r="BC1" s="399" t="s">
        <v>4943</v>
      </c>
      <c r="BD1" s="399" t="s">
        <v>4944</v>
      </c>
      <c r="BE1" s="398" t="s">
        <v>4945</v>
      </c>
      <c r="BF1" s="398" t="s">
        <v>1602</v>
      </c>
      <c r="BG1" s="173"/>
      <c r="BH1" s="173"/>
      <c r="BI1" s="173"/>
      <c r="BJ1" s="173"/>
      <c r="BK1" s="173"/>
      <c r="BL1" s="173"/>
      <c r="BM1" s="173"/>
      <c r="BN1" s="173"/>
      <c r="BO1" s="173"/>
      <c r="BP1" s="173"/>
      <c r="BQ1" s="173"/>
      <c r="BR1" s="173"/>
      <c r="BS1" s="173"/>
    </row>
    <row r="2">
      <c r="A2" s="48" t="s">
        <v>1664</v>
      </c>
      <c r="B2" s="48" t="s">
        <v>4946</v>
      </c>
      <c r="C2" s="48" t="s">
        <v>4947</v>
      </c>
      <c r="D2" s="174" t="s">
        <v>169</v>
      </c>
      <c r="E2" s="174" t="str">
        <f>HYPERLINK("https://www.asrock.com/mb/AMD/A320M-ITX/","A320M-ITX")</f>
        <v>A320M-ITX</v>
      </c>
      <c r="F2" s="48" t="s">
        <v>4948</v>
      </c>
      <c r="G2" s="48" t="s">
        <v>166</v>
      </c>
      <c r="H2" s="48" t="s">
        <v>166</v>
      </c>
      <c r="I2" s="48" t="s">
        <v>174</v>
      </c>
      <c r="J2" s="48" t="s">
        <v>166</v>
      </c>
      <c r="K2" s="48" t="s">
        <v>166</v>
      </c>
      <c r="L2" s="48">
        <v>2.0</v>
      </c>
      <c r="M2" s="48" t="s">
        <v>3149</v>
      </c>
      <c r="N2" s="48">
        <v>32.0</v>
      </c>
      <c r="O2" s="48" t="s">
        <v>4949</v>
      </c>
      <c r="P2" s="48">
        <v>4.0</v>
      </c>
      <c r="Q2" s="696" t="s">
        <v>4950</v>
      </c>
      <c r="R2" s="697">
        <v>2.0</v>
      </c>
      <c r="S2" s="697" t="s">
        <v>166</v>
      </c>
      <c r="T2" s="697">
        <v>3.0</v>
      </c>
      <c r="U2" s="48">
        <v>1.0</v>
      </c>
      <c r="V2" s="48" t="s">
        <v>166</v>
      </c>
      <c r="W2" s="48" t="s">
        <v>166</v>
      </c>
      <c r="X2" s="48" t="s">
        <v>166</v>
      </c>
      <c r="Y2" s="48" t="s">
        <v>166</v>
      </c>
      <c r="Z2" s="48" t="s">
        <v>166</v>
      </c>
      <c r="AA2" s="48" t="s">
        <v>166</v>
      </c>
      <c r="AB2" s="48">
        <f t="shared" ref="AB2:AB193" si="1">sum(R2:AA2)</f>
        <v>6</v>
      </c>
      <c r="AC2" s="48">
        <v>1.0</v>
      </c>
      <c r="AD2" s="48">
        <v>1.0</v>
      </c>
      <c r="AE2" s="48" t="s">
        <v>166</v>
      </c>
      <c r="AF2" s="697">
        <v>1.0</v>
      </c>
      <c r="AG2" s="48" t="s">
        <v>4951</v>
      </c>
      <c r="AH2" s="48">
        <v>1.0</v>
      </c>
      <c r="AI2" s="48" t="s">
        <v>166</v>
      </c>
      <c r="AJ2" s="48" t="s">
        <v>166</v>
      </c>
      <c r="AK2" s="48" t="s">
        <v>166</v>
      </c>
      <c r="AL2" s="48" t="s">
        <v>166</v>
      </c>
      <c r="AM2" s="48" t="s">
        <v>166</v>
      </c>
      <c r="AN2" s="48" t="s">
        <v>4952</v>
      </c>
      <c r="AO2" s="48" t="s">
        <v>174</v>
      </c>
      <c r="AP2" s="48">
        <v>5.0</v>
      </c>
      <c r="AQ2" s="48">
        <v>1.0</v>
      </c>
      <c r="AR2" s="48" t="s">
        <v>166</v>
      </c>
      <c r="AS2" s="48">
        <v>2.0</v>
      </c>
      <c r="AT2" s="48" t="s">
        <v>166</v>
      </c>
      <c r="AU2" s="48" t="s">
        <v>166</v>
      </c>
      <c r="AV2" s="48">
        <v>3.0</v>
      </c>
      <c r="AW2" s="48">
        <v>1.0</v>
      </c>
      <c r="AX2" s="48" t="s">
        <v>166</v>
      </c>
      <c r="AY2" s="48" t="s">
        <v>166</v>
      </c>
      <c r="AZ2" s="48" t="s">
        <v>166</v>
      </c>
      <c r="BA2" s="48" t="s">
        <v>4953</v>
      </c>
      <c r="BB2" s="48" t="s">
        <v>4954</v>
      </c>
      <c r="BC2" s="48" t="s">
        <v>4955</v>
      </c>
      <c r="BD2" s="48">
        <v>6.0</v>
      </c>
      <c r="BE2" s="698" t="s">
        <v>4956</v>
      </c>
      <c r="BF2" s="699"/>
      <c r="BG2" s="66"/>
      <c r="BH2" s="66"/>
      <c r="BI2" s="66"/>
      <c r="BJ2" s="66"/>
      <c r="BK2" s="66"/>
      <c r="BL2" s="66"/>
      <c r="BM2" s="66"/>
      <c r="BN2" s="66"/>
      <c r="BO2" s="66"/>
      <c r="BP2" s="66"/>
      <c r="BQ2" s="66"/>
      <c r="BR2" s="66"/>
      <c r="BS2" s="66"/>
    </row>
    <row r="3">
      <c r="A3" s="700" t="s">
        <v>1664</v>
      </c>
      <c r="B3" s="700" t="s">
        <v>4946</v>
      </c>
      <c r="C3" s="700" t="s">
        <v>4947</v>
      </c>
      <c r="D3" s="291" t="str">
        <f>HYPERLINK("https://www.asus.com/","Asus")</f>
        <v>Asus</v>
      </c>
      <c r="E3" s="291" t="s">
        <v>4957</v>
      </c>
      <c r="F3" s="700" t="s">
        <v>4948</v>
      </c>
      <c r="G3" s="700" t="s">
        <v>166</v>
      </c>
      <c r="H3" s="700" t="s">
        <v>166</v>
      </c>
      <c r="I3" s="700" t="s">
        <v>174</v>
      </c>
      <c r="J3" s="700" t="s">
        <v>166</v>
      </c>
      <c r="K3" s="700" t="s">
        <v>166</v>
      </c>
      <c r="L3" s="700">
        <v>2.0</v>
      </c>
      <c r="M3" s="700" t="s">
        <v>3149</v>
      </c>
      <c r="N3" s="700">
        <v>64.0</v>
      </c>
      <c r="O3" s="700" t="s">
        <v>4958</v>
      </c>
      <c r="P3" s="700">
        <v>4.0</v>
      </c>
      <c r="Q3" s="701" t="s">
        <v>4950</v>
      </c>
      <c r="R3" s="702">
        <v>2.0</v>
      </c>
      <c r="S3" s="702" t="s">
        <v>166</v>
      </c>
      <c r="T3" s="702">
        <v>4.0</v>
      </c>
      <c r="U3" s="700" t="s">
        <v>166</v>
      </c>
      <c r="V3" s="700" t="s">
        <v>166</v>
      </c>
      <c r="W3" s="700" t="s">
        <v>166</v>
      </c>
      <c r="X3" s="700" t="s">
        <v>166</v>
      </c>
      <c r="Y3" s="700" t="s">
        <v>166</v>
      </c>
      <c r="Z3" s="700" t="s">
        <v>166</v>
      </c>
      <c r="AA3" s="700" t="s">
        <v>166</v>
      </c>
      <c r="AB3" s="700">
        <f t="shared" si="1"/>
        <v>6</v>
      </c>
      <c r="AC3" s="700">
        <v>1.0</v>
      </c>
      <c r="AD3" s="700">
        <v>1.0</v>
      </c>
      <c r="AE3" s="700" t="s">
        <v>166</v>
      </c>
      <c r="AF3" s="702">
        <v>1.0</v>
      </c>
      <c r="AG3" s="700" t="s">
        <v>4959</v>
      </c>
      <c r="AH3" s="700">
        <v>1.0</v>
      </c>
      <c r="AI3" s="700" t="s">
        <v>166</v>
      </c>
      <c r="AJ3" s="700" t="s">
        <v>166</v>
      </c>
      <c r="AK3" s="700" t="s">
        <v>166</v>
      </c>
      <c r="AL3" s="700" t="s">
        <v>166</v>
      </c>
      <c r="AM3" s="700" t="s">
        <v>166</v>
      </c>
      <c r="AN3" s="700" t="s">
        <v>4960</v>
      </c>
      <c r="AO3" s="700" t="s">
        <v>166</v>
      </c>
      <c r="AP3" s="700">
        <v>3.0</v>
      </c>
      <c r="AQ3" s="700">
        <v>1.0</v>
      </c>
      <c r="AR3" s="700">
        <v>1.0</v>
      </c>
      <c r="AS3" s="700">
        <v>1.0</v>
      </c>
      <c r="AT3" s="700" t="s">
        <v>166</v>
      </c>
      <c r="AU3" s="700" t="s">
        <v>166</v>
      </c>
      <c r="AV3" s="700">
        <v>4.0</v>
      </c>
      <c r="AW3" s="700">
        <v>2.0</v>
      </c>
      <c r="AX3" s="700" t="s">
        <v>166</v>
      </c>
      <c r="AY3" s="700" t="s">
        <v>174</v>
      </c>
      <c r="AZ3" s="700" t="s">
        <v>166</v>
      </c>
      <c r="BA3" s="700" t="s">
        <v>4961</v>
      </c>
      <c r="BB3" s="700" t="s">
        <v>4962</v>
      </c>
      <c r="BC3" s="700" t="s">
        <v>4963</v>
      </c>
      <c r="BD3" s="700">
        <v>4.0</v>
      </c>
      <c r="BE3" s="703" t="s">
        <v>4964</v>
      </c>
      <c r="BF3" s="704"/>
      <c r="BG3" s="66"/>
      <c r="BH3" s="66"/>
      <c r="BI3" s="66"/>
      <c r="BJ3" s="66"/>
      <c r="BK3" s="66"/>
      <c r="BL3" s="66"/>
      <c r="BM3" s="66"/>
      <c r="BN3" s="66"/>
      <c r="BO3" s="66"/>
      <c r="BP3" s="66"/>
      <c r="BQ3" s="66"/>
      <c r="BR3" s="66"/>
      <c r="BS3" s="66"/>
    </row>
    <row r="4">
      <c r="A4" s="705" t="s">
        <v>1664</v>
      </c>
      <c r="B4" s="705" t="s">
        <v>4946</v>
      </c>
      <c r="C4" s="705" t="s">
        <v>4965</v>
      </c>
      <c r="D4" s="282" t="s">
        <v>169</v>
      </c>
      <c r="E4" s="282" t="str">
        <f>HYPERLINK("https://www.asrock.com/mb/AMD/Fatal1ty%20AB350%20Gaming-ITXac/index.asp","Fatal1ty AB350 Gaming-ITX/ac")</f>
        <v>Fatal1ty AB350 Gaming-ITX/ac</v>
      </c>
      <c r="F4" s="705" t="s">
        <v>4948</v>
      </c>
      <c r="G4" s="705" t="s">
        <v>174</v>
      </c>
      <c r="H4" s="705" t="s">
        <v>174</v>
      </c>
      <c r="I4" s="705" t="s">
        <v>174</v>
      </c>
      <c r="J4" s="705" t="s">
        <v>166</v>
      </c>
      <c r="K4" s="705" t="s">
        <v>166</v>
      </c>
      <c r="L4" s="705">
        <v>2.0</v>
      </c>
      <c r="M4" s="705" t="s">
        <v>3149</v>
      </c>
      <c r="N4" s="705">
        <v>32.0</v>
      </c>
      <c r="O4" s="705" t="s">
        <v>4949</v>
      </c>
      <c r="P4" s="705">
        <v>4.0</v>
      </c>
      <c r="Q4" s="706" t="s">
        <v>4950</v>
      </c>
      <c r="R4" s="707">
        <v>2.0</v>
      </c>
      <c r="S4" s="707" t="s">
        <v>166</v>
      </c>
      <c r="T4" s="707">
        <v>3.0</v>
      </c>
      <c r="U4" s="705">
        <v>1.0</v>
      </c>
      <c r="V4" s="705" t="s">
        <v>166</v>
      </c>
      <c r="W4" s="705" t="s">
        <v>166</v>
      </c>
      <c r="X4" s="705" t="s">
        <v>166</v>
      </c>
      <c r="Y4" s="705" t="s">
        <v>166</v>
      </c>
      <c r="Z4" s="705" t="s">
        <v>166</v>
      </c>
      <c r="AA4" s="705" t="s">
        <v>166</v>
      </c>
      <c r="AB4" s="705">
        <f t="shared" si="1"/>
        <v>6</v>
      </c>
      <c r="AC4" s="705">
        <v>1.0</v>
      </c>
      <c r="AD4" s="705">
        <v>1.0</v>
      </c>
      <c r="AE4" s="705" t="s">
        <v>166</v>
      </c>
      <c r="AF4" s="707">
        <v>1.0</v>
      </c>
      <c r="AG4" s="705" t="s">
        <v>4951</v>
      </c>
      <c r="AH4" s="705">
        <v>1.0</v>
      </c>
      <c r="AI4" s="705">
        <v>1.0</v>
      </c>
      <c r="AJ4" s="705" t="s">
        <v>4966</v>
      </c>
      <c r="AK4" s="705" t="s">
        <v>4967</v>
      </c>
      <c r="AL4" s="705">
        <v>433.0</v>
      </c>
      <c r="AM4" s="705">
        <v>4.2</v>
      </c>
      <c r="AN4" s="705" t="s">
        <v>4952</v>
      </c>
      <c r="AO4" s="705" t="s">
        <v>174</v>
      </c>
      <c r="AP4" s="705">
        <v>5.0</v>
      </c>
      <c r="AQ4" s="705">
        <v>1.0</v>
      </c>
      <c r="AR4" s="705" t="s">
        <v>166</v>
      </c>
      <c r="AS4" s="705">
        <v>2.0</v>
      </c>
      <c r="AT4" s="705" t="s">
        <v>166</v>
      </c>
      <c r="AU4" s="705" t="s">
        <v>166</v>
      </c>
      <c r="AV4" s="705">
        <v>3.0</v>
      </c>
      <c r="AW4" s="705">
        <v>1.0</v>
      </c>
      <c r="AX4" s="705" t="s">
        <v>166</v>
      </c>
      <c r="AY4" s="705" t="s">
        <v>166</v>
      </c>
      <c r="AZ4" s="705" t="s">
        <v>166</v>
      </c>
      <c r="BA4" s="705" t="s">
        <v>4953</v>
      </c>
      <c r="BB4" s="705" t="s">
        <v>4954</v>
      </c>
      <c r="BC4" s="705" t="s">
        <v>4955</v>
      </c>
      <c r="BD4" s="705">
        <v>6.0</v>
      </c>
      <c r="BE4" s="708" t="s">
        <v>4956</v>
      </c>
      <c r="BF4" s="708"/>
      <c r="BG4" s="66"/>
      <c r="BH4" s="66"/>
      <c r="BI4" s="66"/>
      <c r="BJ4" s="66"/>
      <c r="BK4" s="66"/>
      <c r="BL4" s="66"/>
      <c r="BM4" s="66"/>
      <c r="BN4" s="66"/>
      <c r="BO4" s="66"/>
      <c r="BP4" s="66"/>
      <c r="BQ4" s="66"/>
      <c r="BR4" s="66"/>
      <c r="BS4" s="66"/>
    </row>
    <row r="5">
      <c r="A5" s="48" t="s">
        <v>1664</v>
      </c>
      <c r="B5" s="48" t="s">
        <v>4946</v>
      </c>
      <c r="C5" s="48" t="s">
        <v>4965</v>
      </c>
      <c r="D5" s="174" t="str">
        <f>HYPERLINK("https://www.asus.com/","Asus")</f>
        <v>Asus</v>
      </c>
      <c r="E5" s="174" t="s">
        <v>4968</v>
      </c>
      <c r="F5" s="48" t="s">
        <v>4948</v>
      </c>
      <c r="G5" s="48" t="s">
        <v>166</v>
      </c>
      <c r="H5" s="48" t="s">
        <v>174</v>
      </c>
      <c r="I5" s="48" t="s">
        <v>174</v>
      </c>
      <c r="J5" s="48" t="s">
        <v>166</v>
      </c>
      <c r="K5" s="48" t="s">
        <v>166</v>
      </c>
      <c r="L5" s="48">
        <v>2.0</v>
      </c>
      <c r="M5" s="48" t="s">
        <v>3149</v>
      </c>
      <c r="N5" s="48">
        <v>32.0</v>
      </c>
      <c r="O5" s="48" t="s">
        <v>4958</v>
      </c>
      <c r="P5" s="48">
        <v>4.0</v>
      </c>
      <c r="Q5" s="698" t="s">
        <v>4969</v>
      </c>
      <c r="R5" s="697" t="s">
        <v>166</v>
      </c>
      <c r="S5" s="697" t="s">
        <v>166</v>
      </c>
      <c r="T5" s="697">
        <v>4.0</v>
      </c>
      <c r="U5" s="48" t="s">
        <v>166</v>
      </c>
      <c r="V5" s="48">
        <v>2.0</v>
      </c>
      <c r="W5" s="48" t="s">
        <v>166</v>
      </c>
      <c r="X5" s="48" t="s">
        <v>166</v>
      </c>
      <c r="Y5" s="48" t="s">
        <v>166</v>
      </c>
      <c r="Z5" s="48" t="s">
        <v>166</v>
      </c>
      <c r="AA5" s="48" t="s">
        <v>166</v>
      </c>
      <c r="AB5" s="48">
        <f t="shared" si="1"/>
        <v>6</v>
      </c>
      <c r="AC5" s="48">
        <v>1.0</v>
      </c>
      <c r="AD5" s="48">
        <v>1.0</v>
      </c>
      <c r="AE5" s="48" t="s">
        <v>166</v>
      </c>
      <c r="AF5" s="697">
        <v>1.0</v>
      </c>
      <c r="AG5" s="48" t="s">
        <v>4951</v>
      </c>
      <c r="AH5" s="48">
        <v>1.0</v>
      </c>
      <c r="AI5" s="48">
        <v>1.0</v>
      </c>
      <c r="AJ5" s="705" t="s">
        <v>4966</v>
      </c>
      <c r="AK5" s="48" t="s">
        <v>4970</v>
      </c>
      <c r="AL5" s="48">
        <v>867.0</v>
      </c>
      <c r="AM5" s="48">
        <v>4.2</v>
      </c>
      <c r="AN5" s="48" t="s">
        <v>4971</v>
      </c>
      <c r="AO5" s="48" t="s">
        <v>166</v>
      </c>
      <c r="AP5" s="48">
        <v>3.0</v>
      </c>
      <c r="AQ5" s="48" t="s">
        <v>166</v>
      </c>
      <c r="AR5" s="48" t="s">
        <v>166</v>
      </c>
      <c r="AS5" s="48" t="s">
        <v>166</v>
      </c>
      <c r="AT5" s="48" t="s">
        <v>166</v>
      </c>
      <c r="AU5" s="48" t="s">
        <v>166</v>
      </c>
      <c r="AV5" s="48">
        <v>3.0</v>
      </c>
      <c r="AW5" s="48">
        <v>1.0</v>
      </c>
      <c r="AX5" s="48">
        <v>1.0</v>
      </c>
      <c r="AY5" s="48" t="s">
        <v>174</v>
      </c>
      <c r="AZ5" s="48" t="s">
        <v>166</v>
      </c>
      <c r="BA5" s="48" t="s">
        <v>4972</v>
      </c>
      <c r="BB5" s="48" t="s">
        <v>4973</v>
      </c>
      <c r="BC5" s="48" t="s">
        <v>4963</v>
      </c>
      <c r="BD5" s="48">
        <v>6.0</v>
      </c>
      <c r="BE5" s="698" t="s">
        <v>4974</v>
      </c>
      <c r="BF5" s="699"/>
      <c r="BG5" s="66"/>
      <c r="BH5" s="66"/>
      <c r="BI5" s="66"/>
      <c r="BJ5" s="66"/>
      <c r="BK5" s="66"/>
      <c r="BL5" s="66"/>
      <c r="BM5" s="66"/>
      <c r="BN5" s="66"/>
      <c r="BO5" s="66"/>
      <c r="BP5" s="66"/>
      <c r="BQ5" s="66"/>
      <c r="BR5" s="66"/>
      <c r="BS5" s="66"/>
    </row>
    <row r="6">
      <c r="A6" s="48" t="s">
        <v>1664</v>
      </c>
      <c r="B6" s="48" t="s">
        <v>4946</v>
      </c>
      <c r="C6" s="48" t="s">
        <v>4965</v>
      </c>
      <c r="D6" s="174" t="str">
        <f>HYPERLINK("https://www.biostar.com.tw/","Biostar")</f>
        <v>Biostar</v>
      </c>
      <c r="E6" s="174" t="str">
        <f>HYPERLINK("https://www.biostar.com.tw/app/en/mb/introduction.php?S_ID=878","B350GTN")</f>
        <v>B350GTN</v>
      </c>
      <c r="F6" s="48" t="s">
        <v>4948</v>
      </c>
      <c r="G6" s="48" t="s">
        <v>166</v>
      </c>
      <c r="H6" s="48" t="s">
        <v>174</v>
      </c>
      <c r="I6" s="48" t="s">
        <v>174</v>
      </c>
      <c r="J6" s="48" t="s">
        <v>166</v>
      </c>
      <c r="K6" s="48" t="s">
        <v>166</v>
      </c>
      <c r="L6" s="48">
        <v>2.0</v>
      </c>
      <c r="M6" s="48" t="s">
        <v>3149</v>
      </c>
      <c r="N6" s="48">
        <v>32.0</v>
      </c>
      <c r="O6" s="48" t="s">
        <v>4975</v>
      </c>
      <c r="P6" s="48">
        <v>4.0</v>
      </c>
      <c r="Q6" s="696" t="s">
        <v>4950</v>
      </c>
      <c r="R6" s="697" t="s">
        <v>166</v>
      </c>
      <c r="S6" s="697" t="s">
        <v>166</v>
      </c>
      <c r="T6" s="697">
        <v>4.0</v>
      </c>
      <c r="U6" s="48" t="s">
        <v>166</v>
      </c>
      <c r="V6" s="48">
        <v>1.0</v>
      </c>
      <c r="W6" s="48">
        <v>1.0</v>
      </c>
      <c r="X6" s="48" t="s">
        <v>166</v>
      </c>
      <c r="Y6" s="48" t="s">
        <v>166</v>
      </c>
      <c r="Z6" s="48" t="s">
        <v>166</v>
      </c>
      <c r="AA6" s="48" t="s">
        <v>166</v>
      </c>
      <c r="AB6" s="48">
        <f t="shared" si="1"/>
        <v>6</v>
      </c>
      <c r="AC6" s="48">
        <v>1.0</v>
      </c>
      <c r="AD6" s="48">
        <v>1.0</v>
      </c>
      <c r="AE6" s="48" t="s">
        <v>166</v>
      </c>
      <c r="AF6" s="697">
        <v>1.0</v>
      </c>
      <c r="AG6" s="48" t="s">
        <v>4976</v>
      </c>
      <c r="AH6" s="48">
        <v>1.0</v>
      </c>
      <c r="AI6" s="48" t="s">
        <v>166</v>
      </c>
      <c r="AJ6" s="48" t="s">
        <v>166</v>
      </c>
      <c r="AK6" s="48" t="s">
        <v>166</v>
      </c>
      <c r="AL6" s="48" t="s">
        <v>166</v>
      </c>
      <c r="AM6" s="48" t="s">
        <v>166</v>
      </c>
      <c r="AN6" s="48" t="s">
        <v>4977</v>
      </c>
      <c r="AO6" s="48" t="s">
        <v>174</v>
      </c>
      <c r="AP6" s="48">
        <v>5.0</v>
      </c>
      <c r="AQ6" s="48">
        <v>1.0</v>
      </c>
      <c r="AR6" s="48" t="s">
        <v>166</v>
      </c>
      <c r="AS6" s="48">
        <v>1.0</v>
      </c>
      <c r="AT6" s="48">
        <v>1.0</v>
      </c>
      <c r="AU6" s="48" t="s">
        <v>166</v>
      </c>
      <c r="AV6" s="48">
        <v>2.0</v>
      </c>
      <c r="AW6" s="48">
        <v>2.0</v>
      </c>
      <c r="AX6" s="48" t="s">
        <v>166</v>
      </c>
      <c r="AY6" s="48" t="s">
        <v>166</v>
      </c>
      <c r="AZ6" s="48" t="s">
        <v>166</v>
      </c>
      <c r="BA6" s="48" t="s">
        <v>4953</v>
      </c>
      <c r="BB6" s="48" t="s">
        <v>4978</v>
      </c>
      <c r="BC6" s="48" t="s">
        <v>4963</v>
      </c>
      <c r="BD6" s="48">
        <v>4.0</v>
      </c>
      <c r="BE6" s="698" t="s">
        <v>4979</v>
      </c>
      <c r="BF6" s="699"/>
      <c r="BG6" s="66"/>
      <c r="BH6" s="66"/>
      <c r="BI6" s="66"/>
      <c r="BJ6" s="66"/>
      <c r="BK6" s="66"/>
      <c r="BL6" s="66"/>
      <c r="BM6" s="66"/>
      <c r="BN6" s="66"/>
      <c r="BO6" s="66"/>
      <c r="BP6" s="66"/>
      <c r="BQ6" s="66"/>
      <c r="BR6" s="66"/>
      <c r="BS6" s="66"/>
    </row>
    <row r="7">
      <c r="A7" s="48" t="s">
        <v>1664</v>
      </c>
      <c r="B7" s="48" t="s">
        <v>4946</v>
      </c>
      <c r="C7" s="48" t="s">
        <v>4965</v>
      </c>
      <c r="D7" s="174" t="str">
        <f>HYPERLINK("https://www.gigabyte.com/","Gigabyte")</f>
        <v>Gigabyte</v>
      </c>
      <c r="E7" s="174" t="str">
        <f>HYPERLINK("https://www.gigabyte.com/Motherboard/GA-AB350N-Gaming-WIFI-rev-10#kf","GA-AB350N-Gaming WIFI")</f>
        <v>GA-AB350N-Gaming WIFI</v>
      </c>
      <c r="F7" s="48" t="s">
        <v>4948</v>
      </c>
      <c r="G7" s="48" t="s">
        <v>166</v>
      </c>
      <c r="H7" s="48" t="s">
        <v>174</v>
      </c>
      <c r="I7" s="48" t="s">
        <v>174</v>
      </c>
      <c r="J7" s="48" t="s">
        <v>166</v>
      </c>
      <c r="K7" s="48" t="s">
        <v>166</v>
      </c>
      <c r="L7" s="48">
        <v>2.0</v>
      </c>
      <c r="M7" s="48" t="s">
        <v>3149</v>
      </c>
      <c r="N7" s="48">
        <v>32.0</v>
      </c>
      <c r="O7" s="48" t="s">
        <v>4975</v>
      </c>
      <c r="P7" s="48">
        <v>4.0</v>
      </c>
      <c r="Q7" s="696" t="s">
        <v>4950</v>
      </c>
      <c r="R7" s="697">
        <v>2.0</v>
      </c>
      <c r="S7" s="697" t="s">
        <v>166</v>
      </c>
      <c r="T7" s="697">
        <v>4.0</v>
      </c>
      <c r="U7" s="48" t="s">
        <v>166</v>
      </c>
      <c r="V7" s="48">
        <v>2.0</v>
      </c>
      <c r="W7" s="48" t="s">
        <v>166</v>
      </c>
      <c r="X7" s="48" t="s">
        <v>166</v>
      </c>
      <c r="Y7" s="48" t="s">
        <v>166</v>
      </c>
      <c r="Z7" s="48" t="s">
        <v>166</v>
      </c>
      <c r="AA7" s="48" t="s">
        <v>166</v>
      </c>
      <c r="AB7" s="48">
        <f t="shared" si="1"/>
        <v>8</v>
      </c>
      <c r="AC7" s="48">
        <v>1.0</v>
      </c>
      <c r="AD7" s="48">
        <v>1.0</v>
      </c>
      <c r="AE7" s="48" t="s">
        <v>166</v>
      </c>
      <c r="AF7" s="697">
        <v>1.0</v>
      </c>
      <c r="AG7" s="48" t="s">
        <v>4980</v>
      </c>
      <c r="AH7" s="48">
        <v>1.0</v>
      </c>
      <c r="AI7" s="48">
        <v>1.0</v>
      </c>
      <c r="AJ7" s="705" t="s">
        <v>4966</v>
      </c>
      <c r="AK7" s="48" t="s">
        <v>4981</v>
      </c>
      <c r="AL7" s="48">
        <v>433.0</v>
      </c>
      <c r="AM7" s="48">
        <v>4.2</v>
      </c>
      <c r="AN7" s="48" t="s">
        <v>4952</v>
      </c>
      <c r="AO7" s="48" t="s">
        <v>166</v>
      </c>
      <c r="AP7" s="48">
        <v>6.0</v>
      </c>
      <c r="AQ7" s="48">
        <v>1.0</v>
      </c>
      <c r="AR7" s="48">
        <v>1.0</v>
      </c>
      <c r="AS7" s="48">
        <v>1.0</v>
      </c>
      <c r="AT7" s="48" t="s">
        <v>166</v>
      </c>
      <c r="AU7" s="48" t="s">
        <v>166</v>
      </c>
      <c r="AV7" s="48">
        <v>2.0</v>
      </c>
      <c r="AW7" s="48">
        <v>2.0</v>
      </c>
      <c r="AX7" s="48" t="s">
        <v>166</v>
      </c>
      <c r="AY7" s="48" t="s">
        <v>166</v>
      </c>
      <c r="AZ7" s="48" t="s">
        <v>166</v>
      </c>
      <c r="BA7" s="48" t="s">
        <v>4982</v>
      </c>
      <c r="BB7" s="48" t="s">
        <v>4962</v>
      </c>
      <c r="BC7" s="48" t="s">
        <v>4963</v>
      </c>
      <c r="BD7" s="48">
        <v>4.0</v>
      </c>
      <c r="BE7" s="698" t="s">
        <v>4983</v>
      </c>
      <c r="BF7" s="699"/>
      <c r="BG7" s="66"/>
      <c r="BH7" s="66"/>
      <c r="BI7" s="66"/>
      <c r="BJ7" s="66"/>
      <c r="BK7" s="66"/>
      <c r="BL7" s="66"/>
      <c r="BM7" s="66"/>
      <c r="BN7" s="66"/>
      <c r="BO7" s="66"/>
      <c r="BP7" s="66"/>
      <c r="BQ7" s="66"/>
      <c r="BR7" s="66"/>
      <c r="BS7" s="66"/>
    </row>
    <row r="8">
      <c r="A8" s="700" t="s">
        <v>1664</v>
      </c>
      <c r="B8" s="700" t="s">
        <v>4946</v>
      </c>
      <c r="C8" s="700" t="s">
        <v>4965</v>
      </c>
      <c r="D8" s="291" t="str">
        <f>HYPERLINK("https://www.msi.com/index.php","MSI")</f>
        <v>MSI</v>
      </c>
      <c r="E8" s="291" t="str">
        <f>HYPERLINK("https://www.msi.com/Motherboard/B350I-PRO-AC","B350I PRO AC")</f>
        <v>B350I PRO AC</v>
      </c>
      <c r="F8" s="700" t="s">
        <v>4948</v>
      </c>
      <c r="G8" s="700" t="s">
        <v>166</v>
      </c>
      <c r="H8" s="700" t="s">
        <v>174</v>
      </c>
      <c r="I8" s="700" t="s">
        <v>174</v>
      </c>
      <c r="J8" s="700" t="s">
        <v>166</v>
      </c>
      <c r="K8" s="700" t="s">
        <v>166</v>
      </c>
      <c r="L8" s="700">
        <v>2.0</v>
      </c>
      <c r="M8" s="700" t="s">
        <v>3149</v>
      </c>
      <c r="N8" s="700">
        <v>64.0</v>
      </c>
      <c r="O8" s="700" t="s">
        <v>4975</v>
      </c>
      <c r="P8" s="700">
        <v>4.0</v>
      </c>
      <c r="Q8" s="709" t="s">
        <v>4950</v>
      </c>
      <c r="R8" s="702">
        <v>2.0</v>
      </c>
      <c r="S8" s="702" t="s">
        <v>166</v>
      </c>
      <c r="T8" s="702">
        <v>2.0</v>
      </c>
      <c r="U8" s="700" t="s">
        <v>166</v>
      </c>
      <c r="V8" s="700">
        <v>2.0</v>
      </c>
      <c r="W8" s="700" t="s">
        <v>166</v>
      </c>
      <c r="X8" s="700" t="s">
        <v>166</v>
      </c>
      <c r="Y8" s="700" t="s">
        <v>166</v>
      </c>
      <c r="Z8" s="700" t="s">
        <v>166</v>
      </c>
      <c r="AA8" s="700" t="s">
        <v>166</v>
      </c>
      <c r="AB8" s="700">
        <f t="shared" si="1"/>
        <v>6</v>
      </c>
      <c r="AC8" s="700">
        <v>1.0</v>
      </c>
      <c r="AD8" s="700">
        <v>1.0</v>
      </c>
      <c r="AE8" s="700" t="s">
        <v>166</v>
      </c>
      <c r="AF8" s="702">
        <v>1.0</v>
      </c>
      <c r="AG8" s="700" t="s">
        <v>4959</v>
      </c>
      <c r="AH8" s="700">
        <v>1.0</v>
      </c>
      <c r="AI8" s="700">
        <v>1.0</v>
      </c>
      <c r="AJ8" s="700" t="s">
        <v>4966</v>
      </c>
      <c r="AK8" s="700" t="s">
        <v>4967</v>
      </c>
      <c r="AL8" s="700">
        <v>433.0</v>
      </c>
      <c r="AM8" s="700">
        <v>4.2</v>
      </c>
      <c r="AN8" s="700" t="s">
        <v>4960</v>
      </c>
      <c r="AO8" s="700" t="s">
        <v>166</v>
      </c>
      <c r="AP8" s="700">
        <v>3.0</v>
      </c>
      <c r="AQ8" s="700">
        <v>1.0</v>
      </c>
      <c r="AR8" s="700">
        <v>1.0</v>
      </c>
      <c r="AS8" s="700">
        <v>1.0</v>
      </c>
      <c r="AT8" s="700" t="s">
        <v>166</v>
      </c>
      <c r="AU8" s="700" t="s">
        <v>166</v>
      </c>
      <c r="AV8" s="700">
        <v>2.0</v>
      </c>
      <c r="AW8" s="700">
        <v>2.0</v>
      </c>
      <c r="AX8" s="700" t="s">
        <v>166</v>
      </c>
      <c r="AY8" s="700" t="s">
        <v>174</v>
      </c>
      <c r="AZ8" s="700" t="s">
        <v>166</v>
      </c>
      <c r="BA8" s="700" t="s">
        <v>4982</v>
      </c>
      <c r="BB8" s="700" t="s">
        <v>4954</v>
      </c>
      <c r="BC8" s="700" t="s">
        <v>4963</v>
      </c>
      <c r="BD8" s="700">
        <v>6.0</v>
      </c>
      <c r="BE8" s="703" t="s">
        <v>4984</v>
      </c>
      <c r="BF8" s="704"/>
      <c r="BG8" s="66"/>
      <c r="BH8" s="66"/>
      <c r="BI8" s="66"/>
      <c r="BJ8" s="66"/>
      <c r="BK8" s="66"/>
      <c r="BL8" s="66"/>
      <c r="BM8" s="66"/>
      <c r="BN8" s="66"/>
      <c r="BO8" s="66"/>
      <c r="BP8" s="66"/>
      <c r="BQ8" s="66"/>
      <c r="BR8" s="66"/>
      <c r="BS8" s="66"/>
    </row>
    <row r="9">
      <c r="A9" s="705" t="s">
        <v>1664</v>
      </c>
      <c r="B9" s="705" t="s">
        <v>4946</v>
      </c>
      <c r="C9" s="705" t="s">
        <v>4985</v>
      </c>
      <c r="D9" s="282" t="s">
        <v>169</v>
      </c>
      <c r="E9" s="282" t="str">
        <f>HYPERLINK("http://www.asrock.com/mb/amd/fatal1ty%20x370%20gaming-itxac/","Fatal1ty X370 Gaming-ITX/ac")</f>
        <v>Fatal1ty X370 Gaming-ITX/ac</v>
      </c>
      <c r="F9" s="705" t="s">
        <v>4948</v>
      </c>
      <c r="G9" s="705" t="s">
        <v>174</v>
      </c>
      <c r="H9" s="705" t="s">
        <v>174</v>
      </c>
      <c r="I9" s="705" t="s">
        <v>174</v>
      </c>
      <c r="J9" s="705" t="s">
        <v>166</v>
      </c>
      <c r="K9" s="705" t="s">
        <v>166</v>
      </c>
      <c r="L9" s="705">
        <v>2.0</v>
      </c>
      <c r="M9" s="705" t="s">
        <v>3149</v>
      </c>
      <c r="N9" s="705">
        <v>32.0</v>
      </c>
      <c r="O9" s="705" t="s">
        <v>4949</v>
      </c>
      <c r="P9" s="705">
        <v>4.0</v>
      </c>
      <c r="Q9" s="706" t="s">
        <v>4950</v>
      </c>
      <c r="R9" s="707">
        <v>2.0</v>
      </c>
      <c r="S9" s="707" t="s">
        <v>166</v>
      </c>
      <c r="T9" s="707">
        <v>3.0</v>
      </c>
      <c r="U9" s="705">
        <v>1.0</v>
      </c>
      <c r="V9" s="705" t="s">
        <v>166</v>
      </c>
      <c r="W9" s="705" t="s">
        <v>166</v>
      </c>
      <c r="X9" s="705" t="s">
        <v>166</v>
      </c>
      <c r="Y9" s="705" t="s">
        <v>166</v>
      </c>
      <c r="Z9" s="705" t="s">
        <v>166</v>
      </c>
      <c r="AA9" s="705" t="s">
        <v>166</v>
      </c>
      <c r="AB9" s="705">
        <f t="shared" si="1"/>
        <v>6</v>
      </c>
      <c r="AC9" s="705">
        <v>1.0</v>
      </c>
      <c r="AD9" s="705">
        <v>1.0</v>
      </c>
      <c r="AE9" s="705" t="s">
        <v>166</v>
      </c>
      <c r="AF9" s="707">
        <v>1.0</v>
      </c>
      <c r="AG9" s="705" t="s">
        <v>4951</v>
      </c>
      <c r="AH9" s="705">
        <v>1.0</v>
      </c>
      <c r="AI9" s="705">
        <v>1.0</v>
      </c>
      <c r="AJ9" s="705" t="s">
        <v>4966</v>
      </c>
      <c r="AK9" s="705" t="s">
        <v>4986</v>
      </c>
      <c r="AL9" s="705">
        <v>867.0</v>
      </c>
      <c r="AM9" s="705">
        <v>4.2</v>
      </c>
      <c r="AN9" s="705" t="s">
        <v>4952</v>
      </c>
      <c r="AO9" s="705" t="s">
        <v>174</v>
      </c>
      <c r="AP9" s="705">
        <v>5.0</v>
      </c>
      <c r="AQ9" s="705">
        <v>1.0</v>
      </c>
      <c r="AR9" s="705" t="s">
        <v>166</v>
      </c>
      <c r="AS9" s="705">
        <v>2.0</v>
      </c>
      <c r="AT9" s="705" t="s">
        <v>166</v>
      </c>
      <c r="AU9" s="705" t="s">
        <v>166</v>
      </c>
      <c r="AV9" s="705">
        <v>3.0</v>
      </c>
      <c r="AW9" s="705">
        <v>1.0</v>
      </c>
      <c r="AX9" s="705" t="s">
        <v>166</v>
      </c>
      <c r="AY9" s="705" t="s">
        <v>166</v>
      </c>
      <c r="AZ9" s="705" t="s">
        <v>166</v>
      </c>
      <c r="BA9" s="705" t="s">
        <v>4953</v>
      </c>
      <c r="BB9" s="705" t="s">
        <v>4954</v>
      </c>
      <c r="BC9" s="705" t="s">
        <v>4955</v>
      </c>
      <c r="BD9" s="705">
        <v>6.0</v>
      </c>
      <c r="BE9" s="708" t="s">
        <v>4987</v>
      </c>
      <c r="BF9" s="708"/>
      <c r="BG9" s="66"/>
      <c r="BH9" s="66"/>
      <c r="BI9" s="66"/>
      <c r="BJ9" s="66"/>
      <c r="BK9" s="66"/>
      <c r="BL9" s="66"/>
      <c r="BM9" s="66"/>
      <c r="BN9" s="66"/>
      <c r="BO9" s="66"/>
      <c r="BP9" s="66"/>
      <c r="BQ9" s="66"/>
      <c r="BR9" s="66"/>
      <c r="BS9" s="66"/>
    </row>
    <row r="10">
      <c r="A10" s="48" t="s">
        <v>1664</v>
      </c>
      <c r="B10" s="48" t="s">
        <v>4946</v>
      </c>
      <c r="C10" s="48" t="s">
        <v>4985</v>
      </c>
      <c r="D10" s="174" t="str">
        <f>HYPERLINK("https://www.asus.com/","Asus")</f>
        <v>Asus</v>
      </c>
      <c r="E10" s="174" t="s">
        <v>4988</v>
      </c>
      <c r="F10" s="48" t="s">
        <v>4948</v>
      </c>
      <c r="G10" s="48" t="s">
        <v>166</v>
      </c>
      <c r="H10" s="48" t="s">
        <v>174</v>
      </c>
      <c r="I10" s="48" t="s">
        <v>174</v>
      </c>
      <c r="J10" s="48" t="s">
        <v>166</v>
      </c>
      <c r="K10" s="48" t="s">
        <v>166</v>
      </c>
      <c r="L10" s="48">
        <v>2.0</v>
      </c>
      <c r="M10" s="48" t="s">
        <v>3149</v>
      </c>
      <c r="N10" s="48">
        <v>32.0</v>
      </c>
      <c r="O10" s="48" t="s">
        <v>4958</v>
      </c>
      <c r="P10" s="48">
        <v>4.0</v>
      </c>
      <c r="Q10" s="698" t="s">
        <v>4989</v>
      </c>
      <c r="R10" s="697" t="s">
        <v>166</v>
      </c>
      <c r="S10" s="697" t="s">
        <v>166</v>
      </c>
      <c r="T10" s="697">
        <v>4.0</v>
      </c>
      <c r="U10" s="48" t="s">
        <v>166</v>
      </c>
      <c r="V10" s="48">
        <v>2.0</v>
      </c>
      <c r="W10" s="48" t="s">
        <v>166</v>
      </c>
      <c r="X10" s="48" t="s">
        <v>166</v>
      </c>
      <c r="Y10" s="48" t="s">
        <v>166</v>
      </c>
      <c r="Z10" s="48" t="s">
        <v>166</v>
      </c>
      <c r="AA10" s="48" t="s">
        <v>166</v>
      </c>
      <c r="AB10" s="48">
        <f t="shared" si="1"/>
        <v>6</v>
      </c>
      <c r="AC10" s="48">
        <v>1.0</v>
      </c>
      <c r="AD10" s="48">
        <v>1.0</v>
      </c>
      <c r="AE10" s="48" t="s">
        <v>166</v>
      </c>
      <c r="AF10" s="697">
        <v>1.0</v>
      </c>
      <c r="AG10" s="48" t="s">
        <v>4951</v>
      </c>
      <c r="AH10" s="48">
        <v>1.0</v>
      </c>
      <c r="AI10" s="48">
        <v>1.0</v>
      </c>
      <c r="AJ10" s="705" t="s">
        <v>4966</v>
      </c>
      <c r="AK10" s="48" t="s">
        <v>4970</v>
      </c>
      <c r="AL10" s="48">
        <v>867.0</v>
      </c>
      <c r="AM10" s="48">
        <v>4.2</v>
      </c>
      <c r="AN10" s="48" t="s">
        <v>4971</v>
      </c>
      <c r="AO10" s="48" t="s">
        <v>166</v>
      </c>
      <c r="AP10" s="48">
        <v>3.0</v>
      </c>
      <c r="AQ10" s="48" t="s">
        <v>166</v>
      </c>
      <c r="AR10" s="48" t="s">
        <v>166</v>
      </c>
      <c r="AS10" s="48" t="s">
        <v>166</v>
      </c>
      <c r="AT10" s="48" t="s">
        <v>166</v>
      </c>
      <c r="AU10" s="48" t="s">
        <v>166</v>
      </c>
      <c r="AV10" s="48">
        <v>3.0</v>
      </c>
      <c r="AW10" s="48">
        <v>1.0</v>
      </c>
      <c r="AX10" s="48">
        <v>1.0</v>
      </c>
      <c r="AY10" s="48" t="s">
        <v>174</v>
      </c>
      <c r="AZ10" s="48" t="s">
        <v>166</v>
      </c>
      <c r="BA10" s="48" t="s">
        <v>4972</v>
      </c>
      <c r="BB10" s="48" t="s">
        <v>4973</v>
      </c>
      <c r="BC10" s="48" t="s">
        <v>4963</v>
      </c>
      <c r="BD10" s="48">
        <v>6.0</v>
      </c>
      <c r="BE10" s="698" t="s">
        <v>4990</v>
      </c>
      <c r="BF10" s="699"/>
      <c r="BG10" s="66"/>
      <c r="BH10" s="66"/>
      <c r="BI10" s="66"/>
      <c r="BJ10" s="66"/>
      <c r="BK10" s="66"/>
      <c r="BL10" s="66"/>
      <c r="BM10" s="66"/>
      <c r="BN10" s="66"/>
      <c r="BO10" s="66"/>
      <c r="BP10" s="66"/>
      <c r="BQ10" s="66"/>
      <c r="BR10" s="66"/>
      <c r="BS10" s="66"/>
    </row>
    <row r="11">
      <c r="A11" s="700" t="s">
        <v>1664</v>
      </c>
      <c r="B11" s="700" t="s">
        <v>4946</v>
      </c>
      <c r="C11" s="700" t="s">
        <v>4985</v>
      </c>
      <c r="D11" s="291" t="str">
        <f>HYPERLINK("https://www.biostar.com.tw/","Biostar")</f>
        <v>Biostar</v>
      </c>
      <c r="E11" s="291" t="str">
        <f>HYPERLINK("https://www.biostar.com.tw/app/en/mb/introduction.php?S_ID=879","X370GTN")</f>
        <v>X370GTN</v>
      </c>
      <c r="F11" s="700" t="s">
        <v>4948</v>
      </c>
      <c r="G11" s="700" t="s">
        <v>166</v>
      </c>
      <c r="H11" s="700" t="s">
        <v>174</v>
      </c>
      <c r="I11" s="700" t="s">
        <v>174</v>
      </c>
      <c r="J11" s="700" t="s">
        <v>166</v>
      </c>
      <c r="K11" s="700" t="s">
        <v>166</v>
      </c>
      <c r="L11" s="700">
        <v>2.0</v>
      </c>
      <c r="M11" s="700" t="s">
        <v>3149</v>
      </c>
      <c r="N11" s="700">
        <v>32.0</v>
      </c>
      <c r="O11" s="700" t="s">
        <v>4975</v>
      </c>
      <c r="P11" s="700">
        <v>4.0</v>
      </c>
      <c r="Q11" s="709" t="s">
        <v>4950</v>
      </c>
      <c r="R11" s="702" t="s">
        <v>166</v>
      </c>
      <c r="S11" s="702" t="s">
        <v>166</v>
      </c>
      <c r="T11" s="702">
        <v>4.0</v>
      </c>
      <c r="U11" s="700" t="s">
        <v>166</v>
      </c>
      <c r="V11" s="700">
        <v>1.0</v>
      </c>
      <c r="W11" s="700">
        <v>1.0</v>
      </c>
      <c r="X11" s="700" t="s">
        <v>166</v>
      </c>
      <c r="Y11" s="700" t="s">
        <v>166</v>
      </c>
      <c r="Z11" s="700" t="s">
        <v>166</v>
      </c>
      <c r="AA11" s="700" t="s">
        <v>166</v>
      </c>
      <c r="AB11" s="700">
        <f t="shared" si="1"/>
        <v>6</v>
      </c>
      <c r="AC11" s="700">
        <v>1.0</v>
      </c>
      <c r="AD11" s="700">
        <v>1.0</v>
      </c>
      <c r="AE11" s="700" t="s">
        <v>166</v>
      </c>
      <c r="AF11" s="702">
        <v>1.0</v>
      </c>
      <c r="AG11" s="700" t="s">
        <v>4976</v>
      </c>
      <c r="AH11" s="700">
        <v>1.0</v>
      </c>
      <c r="AI11" s="700" t="s">
        <v>166</v>
      </c>
      <c r="AJ11" s="700" t="s">
        <v>166</v>
      </c>
      <c r="AK11" s="700" t="s">
        <v>166</v>
      </c>
      <c r="AL11" s="700" t="s">
        <v>166</v>
      </c>
      <c r="AM11" s="700" t="s">
        <v>166</v>
      </c>
      <c r="AN11" s="700" t="s">
        <v>4977</v>
      </c>
      <c r="AO11" s="700" t="s">
        <v>174</v>
      </c>
      <c r="AP11" s="700">
        <v>5.0</v>
      </c>
      <c r="AQ11" s="700">
        <v>1.0</v>
      </c>
      <c r="AR11" s="700" t="s">
        <v>166</v>
      </c>
      <c r="AS11" s="700">
        <v>1.0</v>
      </c>
      <c r="AT11" s="700">
        <v>1.0</v>
      </c>
      <c r="AU11" s="700" t="s">
        <v>166</v>
      </c>
      <c r="AV11" s="700">
        <v>2.0</v>
      </c>
      <c r="AW11" s="700">
        <v>2.0</v>
      </c>
      <c r="AX11" s="700" t="s">
        <v>166</v>
      </c>
      <c r="AY11" s="700" t="s">
        <v>166</v>
      </c>
      <c r="AZ11" s="700" t="s">
        <v>166</v>
      </c>
      <c r="BA11" s="700" t="s">
        <v>4953</v>
      </c>
      <c r="BB11" s="700" t="s">
        <v>4978</v>
      </c>
      <c r="BC11" s="700" t="s">
        <v>4963</v>
      </c>
      <c r="BD11" s="700">
        <v>4.0</v>
      </c>
      <c r="BE11" s="703" t="s">
        <v>4979</v>
      </c>
      <c r="BF11" s="704"/>
      <c r="BG11" s="66"/>
      <c r="BH11" s="66"/>
      <c r="BI11" s="66"/>
      <c r="BJ11" s="66"/>
      <c r="BK11" s="66"/>
      <c r="BL11" s="66"/>
      <c r="BM11" s="66"/>
      <c r="BN11" s="66"/>
      <c r="BO11" s="66"/>
      <c r="BP11" s="66"/>
      <c r="BQ11" s="66"/>
      <c r="BR11" s="66"/>
      <c r="BS11" s="66"/>
    </row>
    <row r="12">
      <c r="A12" s="705" t="s">
        <v>1664</v>
      </c>
      <c r="B12" s="705" t="s">
        <v>4946</v>
      </c>
      <c r="C12" s="705" t="s">
        <v>4991</v>
      </c>
      <c r="D12" s="282" t="s">
        <v>169</v>
      </c>
      <c r="E12" s="282" t="str">
        <f>HYPERLINK("https://www.asrock.com/MB/AMD/Fatal1ty%20B450%20Gaming-ITXac/index.asp","Fatal1ty B450 Gaming-ITX/ac")</f>
        <v>Fatal1ty B450 Gaming-ITX/ac</v>
      </c>
      <c r="F12" s="705" t="s">
        <v>4948</v>
      </c>
      <c r="G12" s="705" t="s">
        <v>174</v>
      </c>
      <c r="H12" s="705" t="s">
        <v>174</v>
      </c>
      <c r="I12" s="705" t="s">
        <v>174</v>
      </c>
      <c r="J12" s="705" t="s">
        <v>166</v>
      </c>
      <c r="K12" s="705" t="s">
        <v>166</v>
      </c>
      <c r="L12" s="705">
        <v>2.0</v>
      </c>
      <c r="M12" s="705" t="s">
        <v>3149</v>
      </c>
      <c r="N12" s="705">
        <v>64.0</v>
      </c>
      <c r="O12" s="705" t="s">
        <v>4949</v>
      </c>
      <c r="P12" s="705">
        <v>4.0</v>
      </c>
      <c r="Q12" s="706" t="s">
        <v>4950</v>
      </c>
      <c r="R12" s="707">
        <v>2.0</v>
      </c>
      <c r="S12" s="707" t="s">
        <v>166</v>
      </c>
      <c r="T12" s="707">
        <v>2.0</v>
      </c>
      <c r="U12" s="705" t="s">
        <v>166</v>
      </c>
      <c r="V12" s="705">
        <v>1.0</v>
      </c>
      <c r="W12" s="705">
        <v>1.0</v>
      </c>
      <c r="X12" s="705" t="s">
        <v>166</v>
      </c>
      <c r="Y12" s="705" t="s">
        <v>166</v>
      </c>
      <c r="Z12" s="705" t="s">
        <v>166</v>
      </c>
      <c r="AA12" s="705" t="s">
        <v>166</v>
      </c>
      <c r="AB12" s="705">
        <f t="shared" si="1"/>
        <v>6</v>
      </c>
      <c r="AC12" s="705">
        <v>1.0</v>
      </c>
      <c r="AD12" s="705">
        <v>1.0</v>
      </c>
      <c r="AE12" s="705" t="s">
        <v>166</v>
      </c>
      <c r="AF12" s="707">
        <v>1.0</v>
      </c>
      <c r="AG12" s="705" t="s">
        <v>4951</v>
      </c>
      <c r="AH12" s="705">
        <v>1.0</v>
      </c>
      <c r="AI12" s="705">
        <v>1.0</v>
      </c>
      <c r="AJ12" s="705" t="s">
        <v>4966</v>
      </c>
      <c r="AK12" s="705" t="s">
        <v>4967</v>
      </c>
      <c r="AL12" s="705">
        <v>433.0</v>
      </c>
      <c r="AM12" s="705">
        <v>4.2</v>
      </c>
      <c r="AN12" s="705" t="s">
        <v>4952</v>
      </c>
      <c r="AO12" s="705" t="s">
        <v>174</v>
      </c>
      <c r="AP12" s="705">
        <v>5.0</v>
      </c>
      <c r="AQ12" s="705">
        <v>1.0</v>
      </c>
      <c r="AR12" s="705">
        <v>1.0</v>
      </c>
      <c r="AS12" s="705">
        <v>1.0</v>
      </c>
      <c r="AT12" s="705" t="s">
        <v>166</v>
      </c>
      <c r="AU12" s="705" t="s">
        <v>166</v>
      </c>
      <c r="AV12" s="705">
        <v>3.0</v>
      </c>
      <c r="AW12" s="705">
        <v>1.0</v>
      </c>
      <c r="AX12" s="705">
        <v>1.0</v>
      </c>
      <c r="AY12" s="705" t="s">
        <v>166</v>
      </c>
      <c r="AZ12" s="705" t="s">
        <v>166</v>
      </c>
      <c r="BA12" s="705" t="s">
        <v>4953</v>
      </c>
      <c r="BB12" s="705" t="s">
        <v>4954</v>
      </c>
      <c r="BC12" s="705" t="s">
        <v>4955</v>
      </c>
      <c r="BD12" s="705">
        <v>6.0</v>
      </c>
      <c r="BE12" s="708" t="s">
        <v>4987</v>
      </c>
      <c r="BF12" s="708"/>
      <c r="BG12" s="66"/>
      <c r="BH12" s="66"/>
      <c r="BI12" s="66"/>
      <c r="BJ12" s="66"/>
      <c r="BK12" s="66"/>
      <c r="BL12" s="66"/>
      <c r="BM12" s="66"/>
      <c r="BN12" s="66"/>
      <c r="BO12" s="66"/>
      <c r="BP12" s="66"/>
      <c r="BQ12" s="66"/>
      <c r="BR12" s="66"/>
      <c r="BS12" s="66"/>
    </row>
    <row r="13">
      <c r="A13" s="48" t="s">
        <v>1664</v>
      </c>
      <c r="B13" s="48" t="s">
        <v>4946</v>
      </c>
      <c r="C13" s="48" t="s">
        <v>4991</v>
      </c>
      <c r="D13" s="174" t="s">
        <v>1554</v>
      </c>
      <c r="E13" s="174" t="s">
        <v>4992</v>
      </c>
      <c r="F13" s="48" t="s">
        <v>4948</v>
      </c>
      <c r="G13" s="48" t="s">
        <v>166</v>
      </c>
      <c r="H13" s="48" t="s">
        <v>174</v>
      </c>
      <c r="I13" s="48" t="s">
        <v>174</v>
      </c>
      <c r="J13" s="48" t="s">
        <v>166</v>
      </c>
      <c r="K13" s="48" t="s">
        <v>166</v>
      </c>
      <c r="L13" s="48">
        <v>2.0</v>
      </c>
      <c r="M13" s="48" t="s">
        <v>3149</v>
      </c>
      <c r="N13" s="48">
        <v>64.0</v>
      </c>
      <c r="O13" s="48" t="s">
        <v>4958</v>
      </c>
      <c r="P13" s="48">
        <v>4.0</v>
      </c>
      <c r="Q13" s="698" t="s">
        <v>4993</v>
      </c>
      <c r="R13" s="697" t="s">
        <v>166</v>
      </c>
      <c r="S13" s="697" t="s">
        <v>166</v>
      </c>
      <c r="T13" s="697">
        <v>4.0</v>
      </c>
      <c r="U13" s="48" t="s">
        <v>166</v>
      </c>
      <c r="V13" s="48">
        <v>2.0</v>
      </c>
      <c r="W13" s="48" t="s">
        <v>166</v>
      </c>
      <c r="X13" s="48" t="s">
        <v>166</v>
      </c>
      <c r="Y13" s="48" t="s">
        <v>166</v>
      </c>
      <c r="Z13" s="48" t="s">
        <v>166</v>
      </c>
      <c r="AA13" s="48" t="s">
        <v>166</v>
      </c>
      <c r="AB13" s="48">
        <f t="shared" si="1"/>
        <v>6</v>
      </c>
      <c r="AC13" s="48">
        <v>1.0</v>
      </c>
      <c r="AD13" s="48">
        <v>1.0</v>
      </c>
      <c r="AE13" s="48" t="s">
        <v>166</v>
      </c>
      <c r="AF13" s="697">
        <v>1.0</v>
      </c>
      <c r="AG13" s="48" t="s">
        <v>4951</v>
      </c>
      <c r="AH13" s="48">
        <v>1.0</v>
      </c>
      <c r="AI13" s="48">
        <v>1.0</v>
      </c>
      <c r="AJ13" s="705" t="s">
        <v>4966</v>
      </c>
      <c r="AK13" s="48" t="s">
        <v>4970</v>
      </c>
      <c r="AL13" s="48">
        <v>867.0</v>
      </c>
      <c r="AM13" s="48">
        <v>4.2</v>
      </c>
      <c r="AN13" s="48" t="s">
        <v>4971</v>
      </c>
      <c r="AO13" s="48" t="s">
        <v>166</v>
      </c>
      <c r="AP13" s="48">
        <v>3.0</v>
      </c>
      <c r="AQ13" s="48" t="s">
        <v>166</v>
      </c>
      <c r="AR13" s="48" t="s">
        <v>166</v>
      </c>
      <c r="AS13" s="48">
        <v>1.0</v>
      </c>
      <c r="AT13" s="48" t="s">
        <v>166</v>
      </c>
      <c r="AU13" s="48" t="s">
        <v>166</v>
      </c>
      <c r="AV13" s="48">
        <v>3.0</v>
      </c>
      <c r="AW13" s="48">
        <v>1.0</v>
      </c>
      <c r="AX13" s="48">
        <v>1.0</v>
      </c>
      <c r="AY13" s="48" t="s">
        <v>174</v>
      </c>
      <c r="AZ13" s="48" t="s">
        <v>166</v>
      </c>
      <c r="BA13" s="48" t="s">
        <v>4972</v>
      </c>
      <c r="BB13" s="48" t="s">
        <v>4973</v>
      </c>
      <c r="BC13" s="48" t="s">
        <v>4963</v>
      </c>
      <c r="BD13" s="48">
        <v>6.0</v>
      </c>
      <c r="BE13" s="698" t="s">
        <v>4994</v>
      </c>
      <c r="BF13" s="699"/>
      <c r="BG13" s="66"/>
      <c r="BH13" s="66"/>
      <c r="BI13" s="66"/>
      <c r="BJ13" s="66"/>
      <c r="BK13" s="66"/>
      <c r="BL13" s="66"/>
      <c r="BM13" s="66"/>
      <c r="BN13" s="66"/>
      <c r="BO13" s="66"/>
      <c r="BP13" s="66"/>
      <c r="BQ13" s="66"/>
      <c r="BR13" s="66"/>
      <c r="BS13" s="66"/>
    </row>
    <row r="14">
      <c r="A14" s="48" t="s">
        <v>1664</v>
      </c>
      <c r="B14" s="48" t="s">
        <v>4946</v>
      </c>
      <c r="C14" s="48" t="s">
        <v>4991</v>
      </c>
      <c r="D14" s="174" t="str">
        <f>HYPERLINK("https://www.biostar.com.tw/","Biostar")</f>
        <v>Biostar</v>
      </c>
      <c r="E14" s="174" t="s">
        <v>4995</v>
      </c>
      <c r="F14" s="48" t="s">
        <v>4948</v>
      </c>
      <c r="G14" s="48" t="s">
        <v>166</v>
      </c>
      <c r="H14" s="48" t="s">
        <v>174</v>
      </c>
      <c r="I14" s="48" t="s">
        <v>174</v>
      </c>
      <c r="J14" s="48" t="s">
        <v>166</v>
      </c>
      <c r="K14" s="48" t="s">
        <v>166</v>
      </c>
      <c r="L14" s="48">
        <v>2.0</v>
      </c>
      <c r="M14" s="48" t="s">
        <v>3149</v>
      </c>
      <c r="N14" s="48">
        <v>64.0</v>
      </c>
      <c r="O14" s="48" t="s">
        <v>4996</v>
      </c>
      <c r="P14" s="48">
        <v>4.0</v>
      </c>
      <c r="Q14" s="696" t="s">
        <v>4950</v>
      </c>
      <c r="R14" s="697">
        <v>2.0</v>
      </c>
      <c r="S14" s="697" t="s">
        <v>166</v>
      </c>
      <c r="T14" s="697">
        <v>4.0</v>
      </c>
      <c r="U14" s="48" t="s">
        <v>166</v>
      </c>
      <c r="V14" s="48" t="s">
        <v>166</v>
      </c>
      <c r="W14" s="48" t="s">
        <v>166</v>
      </c>
      <c r="X14" s="48" t="s">
        <v>166</v>
      </c>
      <c r="Y14" s="48" t="s">
        <v>166</v>
      </c>
      <c r="Z14" s="48" t="s">
        <v>166</v>
      </c>
      <c r="AA14" s="48" t="s">
        <v>166</v>
      </c>
      <c r="AB14" s="48">
        <f t="shared" si="1"/>
        <v>6</v>
      </c>
      <c r="AC14" s="48">
        <v>1.0</v>
      </c>
      <c r="AD14" s="48">
        <v>1.0</v>
      </c>
      <c r="AE14" s="48" t="s">
        <v>166</v>
      </c>
      <c r="AF14" s="697">
        <v>1.0</v>
      </c>
      <c r="AG14" s="48" t="s">
        <v>4959</v>
      </c>
      <c r="AH14" s="48">
        <v>1.0</v>
      </c>
      <c r="AI14" s="48" t="s">
        <v>166</v>
      </c>
      <c r="AJ14" s="48" t="s">
        <v>166</v>
      </c>
      <c r="AK14" s="48" t="s">
        <v>166</v>
      </c>
      <c r="AL14" s="48" t="s">
        <v>166</v>
      </c>
      <c r="AM14" s="48" t="s">
        <v>166</v>
      </c>
      <c r="AN14" s="48" t="s">
        <v>4960</v>
      </c>
      <c r="AO14" s="48" t="s">
        <v>166</v>
      </c>
      <c r="AP14" s="48">
        <v>3.0</v>
      </c>
      <c r="AQ14" s="48">
        <v>1.0</v>
      </c>
      <c r="AR14" s="48" t="s">
        <v>166</v>
      </c>
      <c r="AS14" s="48">
        <v>1.0</v>
      </c>
      <c r="AT14" s="48" t="s">
        <v>166</v>
      </c>
      <c r="AU14" s="48">
        <v>1.0</v>
      </c>
      <c r="AV14" s="48">
        <v>2.0</v>
      </c>
      <c r="AW14" s="48" t="s">
        <v>166</v>
      </c>
      <c r="AX14" s="48" t="s">
        <v>166</v>
      </c>
      <c r="AY14" s="48" t="s">
        <v>166</v>
      </c>
      <c r="AZ14" s="48" t="s">
        <v>166</v>
      </c>
      <c r="BA14" s="48" t="s">
        <v>170</v>
      </c>
      <c r="BB14" s="48" t="s">
        <v>170</v>
      </c>
      <c r="BC14" s="48" t="s">
        <v>170</v>
      </c>
      <c r="BD14" s="48" t="s">
        <v>170</v>
      </c>
      <c r="BE14" s="698" t="s">
        <v>170</v>
      </c>
      <c r="BF14" s="699"/>
      <c r="BG14" s="66"/>
      <c r="BH14" s="66"/>
      <c r="BI14" s="66"/>
      <c r="BJ14" s="66"/>
      <c r="BK14" s="66"/>
      <c r="BL14" s="66"/>
      <c r="BM14" s="66"/>
      <c r="BN14" s="66"/>
      <c r="BO14" s="66"/>
      <c r="BP14" s="66"/>
      <c r="BQ14" s="66"/>
      <c r="BR14" s="66"/>
      <c r="BS14" s="66"/>
    </row>
    <row r="15">
      <c r="A15" s="48" t="s">
        <v>1664</v>
      </c>
      <c r="B15" s="48" t="s">
        <v>4946</v>
      </c>
      <c r="C15" s="48" t="s">
        <v>4991</v>
      </c>
      <c r="D15" s="174" t="str">
        <f>HYPERLINK("https://www.gigabyte.com/","Gigabyte")</f>
        <v>Gigabyte</v>
      </c>
      <c r="E15" s="174" t="str">
        <f>HYPERLINK("https://www.gigabyte.com/Motherboard/B450-I-AORUS-PRO-WIFI-rev-10#kf","B450 I AORUS PRO WIFI")</f>
        <v>B450 I AORUS PRO WIFI</v>
      </c>
      <c r="F15" s="48" t="s">
        <v>4948</v>
      </c>
      <c r="G15" s="48" t="s">
        <v>166</v>
      </c>
      <c r="H15" s="48" t="s">
        <v>174</v>
      </c>
      <c r="I15" s="48" t="s">
        <v>174</v>
      </c>
      <c r="J15" s="48" t="s">
        <v>166</v>
      </c>
      <c r="K15" s="48" t="s">
        <v>166</v>
      </c>
      <c r="L15" s="48">
        <v>2.0</v>
      </c>
      <c r="M15" s="48" t="s">
        <v>3149</v>
      </c>
      <c r="N15" s="48">
        <v>64.0</v>
      </c>
      <c r="O15" s="48" t="s">
        <v>4958</v>
      </c>
      <c r="P15" s="48">
        <v>4.0</v>
      </c>
      <c r="Q15" s="710" t="s">
        <v>4950</v>
      </c>
      <c r="R15" s="697" t="s">
        <v>166</v>
      </c>
      <c r="S15" s="697" t="s">
        <v>166</v>
      </c>
      <c r="T15" s="697">
        <v>4.0</v>
      </c>
      <c r="U15" s="48" t="s">
        <v>166</v>
      </c>
      <c r="V15" s="48">
        <v>2.0</v>
      </c>
      <c r="W15" s="48" t="s">
        <v>166</v>
      </c>
      <c r="X15" s="48" t="s">
        <v>166</v>
      </c>
      <c r="Y15" s="48" t="s">
        <v>166</v>
      </c>
      <c r="Z15" s="48" t="s">
        <v>166</v>
      </c>
      <c r="AA15" s="48" t="s">
        <v>166</v>
      </c>
      <c r="AB15" s="48">
        <f t="shared" si="1"/>
        <v>6</v>
      </c>
      <c r="AC15" s="48">
        <v>1.0</v>
      </c>
      <c r="AD15" s="48">
        <v>1.0</v>
      </c>
      <c r="AE15" s="48" t="s">
        <v>166</v>
      </c>
      <c r="AF15" s="697">
        <v>1.0</v>
      </c>
      <c r="AG15" s="48" t="s">
        <v>4951</v>
      </c>
      <c r="AH15" s="48">
        <v>1.0</v>
      </c>
      <c r="AI15" s="48">
        <v>1.0</v>
      </c>
      <c r="AJ15" s="705" t="s">
        <v>4966</v>
      </c>
      <c r="AK15" s="48" t="s">
        <v>4997</v>
      </c>
      <c r="AL15" s="48">
        <v>1733.0</v>
      </c>
      <c r="AM15" s="48">
        <v>5.0</v>
      </c>
      <c r="AN15" s="48" t="s">
        <v>4998</v>
      </c>
      <c r="AO15" s="48" t="s">
        <v>166</v>
      </c>
      <c r="AP15" s="48">
        <v>3.0</v>
      </c>
      <c r="AQ15" s="48" t="s">
        <v>166</v>
      </c>
      <c r="AR15" s="48">
        <v>1.0</v>
      </c>
      <c r="AS15" s="48">
        <v>2.0</v>
      </c>
      <c r="AT15" s="48" t="s">
        <v>166</v>
      </c>
      <c r="AU15" s="48" t="s">
        <v>166</v>
      </c>
      <c r="AV15" s="48">
        <v>2.0</v>
      </c>
      <c r="AW15" s="48">
        <v>1.0</v>
      </c>
      <c r="AX15" s="48">
        <v>1.0</v>
      </c>
      <c r="AY15" s="48" t="s">
        <v>166</v>
      </c>
      <c r="AZ15" s="48" t="s">
        <v>166</v>
      </c>
      <c r="BA15" s="705" t="s">
        <v>4982</v>
      </c>
      <c r="BB15" s="705" t="s">
        <v>4962</v>
      </c>
      <c r="BC15" s="48" t="s">
        <v>4963</v>
      </c>
      <c r="BD15" s="48">
        <v>4.0</v>
      </c>
      <c r="BE15" s="698" t="s">
        <v>4983</v>
      </c>
      <c r="BF15" s="699"/>
      <c r="BG15" s="66"/>
      <c r="BH15" s="66"/>
      <c r="BI15" s="66"/>
      <c r="BJ15" s="66"/>
      <c r="BK15" s="66"/>
      <c r="BL15" s="66"/>
      <c r="BM15" s="66"/>
      <c r="BN15" s="66"/>
      <c r="BO15" s="66"/>
      <c r="BP15" s="66"/>
      <c r="BQ15" s="66"/>
      <c r="BR15" s="66"/>
      <c r="BS15" s="66"/>
    </row>
    <row r="16">
      <c r="A16" s="48" t="s">
        <v>1664</v>
      </c>
      <c r="B16" s="48" t="s">
        <v>4946</v>
      </c>
      <c r="C16" s="48" t="s">
        <v>4991</v>
      </c>
      <c r="D16" s="174" t="str">
        <f t="shared" ref="D16:D17" si="2">HYPERLINK("https://www.msi.com/index.php","MSI")</f>
        <v>MSI</v>
      </c>
      <c r="E16" s="174" t="str">
        <f>HYPERLINK("https://www.msi.com/Motherboard/B450I-GAMING-PLUS-AC","B450I GAMING PLUS AC")</f>
        <v>B450I GAMING PLUS AC</v>
      </c>
      <c r="F16" s="48" t="s">
        <v>4948</v>
      </c>
      <c r="G16" s="48" t="s">
        <v>166</v>
      </c>
      <c r="H16" s="48" t="s">
        <v>174</v>
      </c>
      <c r="I16" s="48" t="s">
        <v>174</v>
      </c>
      <c r="J16" s="48" t="s">
        <v>166</v>
      </c>
      <c r="K16" s="48" t="s">
        <v>166</v>
      </c>
      <c r="L16" s="48">
        <v>2.0</v>
      </c>
      <c r="M16" s="48" t="s">
        <v>3149</v>
      </c>
      <c r="N16" s="48">
        <v>64.0</v>
      </c>
      <c r="O16" s="48" t="s">
        <v>4949</v>
      </c>
      <c r="P16" s="48">
        <v>4.0</v>
      </c>
      <c r="Q16" s="696" t="s">
        <v>4950</v>
      </c>
      <c r="R16" s="697">
        <v>2.0</v>
      </c>
      <c r="S16" s="697" t="s">
        <v>166</v>
      </c>
      <c r="T16" s="697">
        <v>4.0</v>
      </c>
      <c r="U16" s="48" t="s">
        <v>166</v>
      </c>
      <c r="V16" s="48" t="s">
        <v>166</v>
      </c>
      <c r="W16" s="48" t="s">
        <v>166</v>
      </c>
      <c r="X16" s="48" t="s">
        <v>166</v>
      </c>
      <c r="Y16" s="48" t="s">
        <v>166</v>
      </c>
      <c r="Z16" s="48" t="s">
        <v>166</v>
      </c>
      <c r="AA16" s="48" t="s">
        <v>166</v>
      </c>
      <c r="AB16" s="48">
        <f t="shared" si="1"/>
        <v>6</v>
      </c>
      <c r="AC16" s="48">
        <v>1.0</v>
      </c>
      <c r="AD16" s="48">
        <v>1.0</v>
      </c>
      <c r="AE16" s="48" t="s">
        <v>166</v>
      </c>
      <c r="AF16" s="697">
        <v>1.0</v>
      </c>
      <c r="AG16" s="48" t="s">
        <v>4959</v>
      </c>
      <c r="AH16" s="48">
        <v>1.0</v>
      </c>
      <c r="AI16" s="48">
        <v>1.0</v>
      </c>
      <c r="AJ16" s="705" t="s">
        <v>4966</v>
      </c>
      <c r="AK16" s="48" t="s">
        <v>4967</v>
      </c>
      <c r="AL16" s="48">
        <v>433.0</v>
      </c>
      <c r="AM16" s="48">
        <v>4.2</v>
      </c>
      <c r="AN16" s="48" t="s">
        <v>4960</v>
      </c>
      <c r="AO16" s="48" t="s">
        <v>166</v>
      </c>
      <c r="AP16" s="48">
        <v>3.0</v>
      </c>
      <c r="AQ16" s="48">
        <v>1.0</v>
      </c>
      <c r="AR16" s="48">
        <v>1.0</v>
      </c>
      <c r="AS16" s="48">
        <v>1.0</v>
      </c>
      <c r="AT16" s="48" t="s">
        <v>166</v>
      </c>
      <c r="AU16" s="48" t="s">
        <v>166</v>
      </c>
      <c r="AV16" s="48">
        <v>2.0</v>
      </c>
      <c r="AW16" s="48">
        <v>2.0</v>
      </c>
      <c r="AX16" s="48" t="s">
        <v>166</v>
      </c>
      <c r="AY16" s="48" t="s">
        <v>174</v>
      </c>
      <c r="AZ16" s="48" t="s">
        <v>166</v>
      </c>
      <c r="BA16" s="48" t="s">
        <v>4982</v>
      </c>
      <c r="BB16" s="48" t="s">
        <v>4962</v>
      </c>
      <c r="BC16" s="48" t="s">
        <v>4963</v>
      </c>
      <c r="BD16" s="48">
        <v>6.0</v>
      </c>
      <c r="BE16" s="698" t="s">
        <v>4984</v>
      </c>
      <c r="BF16" s="699"/>
      <c r="BG16" s="66"/>
      <c r="BH16" s="66"/>
      <c r="BI16" s="66"/>
      <c r="BJ16" s="66"/>
      <c r="BK16" s="66"/>
      <c r="BL16" s="66"/>
      <c r="BM16" s="66"/>
      <c r="BN16" s="66"/>
      <c r="BO16" s="66"/>
      <c r="BP16" s="66"/>
      <c r="BQ16" s="66"/>
      <c r="BR16" s="66"/>
      <c r="BS16" s="66"/>
    </row>
    <row r="17">
      <c r="A17" s="700" t="s">
        <v>1664</v>
      </c>
      <c r="B17" s="700" t="s">
        <v>4946</v>
      </c>
      <c r="C17" s="700" t="s">
        <v>4991</v>
      </c>
      <c r="D17" s="291" t="str">
        <f t="shared" si="2"/>
        <v>MSI</v>
      </c>
      <c r="E17" s="291" t="s">
        <v>4999</v>
      </c>
      <c r="F17" s="700" t="s">
        <v>4948</v>
      </c>
      <c r="G17" s="700" t="s">
        <v>166</v>
      </c>
      <c r="H17" s="700" t="s">
        <v>174</v>
      </c>
      <c r="I17" s="700" t="s">
        <v>174</v>
      </c>
      <c r="J17" s="700" t="s">
        <v>166</v>
      </c>
      <c r="K17" s="700" t="s">
        <v>166</v>
      </c>
      <c r="L17" s="700">
        <v>2.0</v>
      </c>
      <c r="M17" s="700" t="s">
        <v>3149</v>
      </c>
      <c r="N17" s="700">
        <v>64.0</v>
      </c>
      <c r="O17" s="700" t="s">
        <v>4949</v>
      </c>
      <c r="P17" s="700">
        <v>4.0</v>
      </c>
      <c r="Q17" s="709" t="s">
        <v>4950</v>
      </c>
      <c r="R17" s="702">
        <v>2.0</v>
      </c>
      <c r="S17" s="702" t="s">
        <v>166</v>
      </c>
      <c r="T17" s="702">
        <v>4.0</v>
      </c>
      <c r="U17" s="700" t="s">
        <v>166</v>
      </c>
      <c r="V17" s="700" t="s">
        <v>166</v>
      </c>
      <c r="W17" s="700" t="s">
        <v>166</v>
      </c>
      <c r="X17" s="700" t="s">
        <v>166</v>
      </c>
      <c r="Y17" s="700" t="s">
        <v>166</v>
      </c>
      <c r="Z17" s="700" t="s">
        <v>166</v>
      </c>
      <c r="AA17" s="700" t="s">
        <v>166</v>
      </c>
      <c r="AB17" s="700">
        <f t="shared" si="1"/>
        <v>6</v>
      </c>
      <c r="AC17" s="700">
        <v>1.0</v>
      </c>
      <c r="AD17" s="700">
        <v>1.0</v>
      </c>
      <c r="AE17" s="700" t="s">
        <v>166</v>
      </c>
      <c r="AF17" s="702">
        <v>1.0</v>
      </c>
      <c r="AG17" s="700" t="s">
        <v>4959</v>
      </c>
      <c r="AH17" s="700">
        <v>1.0</v>
      </c>
      <c r="AI17" s="700">
        <v>1.0</v>
      </c>
      <c r="AJ17" s="700" t="s">
        <v>4966</v>
      </c>
      <c r="AK17" s="700" t="s">
        <v>4967</v>
      </c>
      <c r="AL17" s="700">
        <v>433.0</v>
      </c>
      <c r="AM17" s="700">
        <v>4.2</v>
      </c>
      <c r="AN17" s="700" t="s">
        <v>4960</v>
      </c>
      <c r="AO17" s="700" t="s">
        <v>166</v>
      </c>
      <c r="AP17" s="700">
        <v>3.0</v>
      </c>
      <c r="AQ17" s="700">
        <v>1.0</v>
      </c>
      <c r="AR17" s="700">
        <v>1.0</v>
      </c>
      <c r="AS17" s="700">
        <v>1.0</v>
      </c>
      <c r="AT17" s="700" t="s">
        <v>166</v>
      </c>
      <c r="AU17" s="700" t="s">
        <v>166</v>
      </c>
      <c r="AV17" s="700">
        <v>2.0</v>
      </c>
      <c r="AW17" s="700">
        <v>2.0</v>
      </c>
      <c r="AX17" s="700" t="s">
        <v>166</v>
      </c>
      <c r="AY17" s="700" t="s">
        <v>174</v>
      </c>
      <c r="AZ17" s="700" t="s">
        <v>166</v>
      </c>
      <c r="BA17" s="700" t="s">
        <v>4982</v>
      </c>
      <c r="BB17" s="700" t="s">
        <v>4962</v>
      </c>
      <c r="BC17" s="700" t="s">
        <v>4963</v>
      </c>
      <c r="BD17" s="700">
        <v>6.0</v>
      </c>
      <c r="BE17" s="703" t="s">
        <v>4984</v>
      </c>
      <c r="BF17" s="703"/>
      <c r="BG17" s="66"/>
      <c r="BH17" s="66"/>
      <c r="BI17" s="66"/>
      <c r="BJ17" s="66"/>
      <c r="BK17" s="66"/>
      <c r="BL17" s="66"/>
      <c r="BM17" s="66"/>
      <c r="BN17" s="66"/>
      <c r="BO17" s="66"/>
      <c r="BP17" s="66"/>
      <c r="BQ17" s="66"/>
      <c r="BR17" s="66"/>
      <c r="BS17" s="66"/>
    </row>
    <row r="18">
      <c r="A18" s="705" t="s">
        <v>1664</v>
      </c>
      <c r="B18" s="705" t="s">
        <v>4946</v>
      </c>
      <c r="C18" s="705" t="s">
        <v>5000</v>
      </c>
      <c r="D18" s="282" t="s">
        <v>169</v>
      </c>
      <c r="E18" s="282" t="str">
        <f>HYPERLINK("https://www.asrock.com/mb/AMD/Fatal1ty%20x470%20Gaming-ITXac/index.asp","Fatal1ty X470 Gaming-ITX/ac")</f>
        <v>Fatal1ty X470 Gaming-ITX/ac</v>
      </c>
      <c r="F18" s="705" t="s">
        <v>4948</v>
      </c>
      <c r="G18" s="705" t="s">
        <v>174</v>
      </c>
      <c r="H18" s="705" t="s">
        <v>174</v>
      </c>
      <c r="I18" s="705" t="s">
        <v>174</v>
      </c>
      <c r="J18" s="705" t="s">
        <v>166</v>
      </c>
      <c r="K18" s="705" t="s">
        <v>166</v>
      </c>
      <c r="L18" s="705">
        <v>2.0</v>
      </c>
      <c r="M18" s="705" t="s">
        <v>3149</v>
      </c>
      <c r="N18" s="705">
        <v>32.0</v>
      </c>
      <c r="O18" s="705" t="s">
        <v>4949</v>
      </c>
      <c r="P18" s="705">
        <v>4.0</v>
      </c>
      <c r="Q18" s="706" t="s">
        <v>4950</v>
      </c>
      <c r="R18" s="707">
        <v>2.0</v>
      </c>
      <c r="S18" s="707" t="s">
        <v>166</v>
      </c>
      <c r="T18" s="707">
        <v>2.0</v>
      </c>
      <c r="U18" s="705" t="s">
        <v>166</v>
      </c>
      <c r="V18" s="705">
        <v>1.0</v>
      </c>
      <c r="W18" s="705">
        <v>1.0</v>
      </c>
      <c r="X18" s="705" t="s">
        <v>166</v>
      </c>
      <c r="Y18" s="705" t="s">
        <v>166</v>
      </c>
      <c r="Z18" s="705" t="s">
        <v>166</v>
      </c>
      <c r="AA18" s="705" t="s">
        <v>166</v>
      </c>
      <c r="AB18" s="705">
        <f t="shared" si="1"/>
        <v>6</v>
      </c>
      <c r="AC18" s="705">
        <v>1.0</v>
      </c>
      <c r="AD18" s="705">
        <v>1.0</v>
      </c>
      <c r="AE18" s="705" t="s">
        <v>166</v>
      </c>
      <c r="AF18" s="707">
        <v>1.0</v>
      </c>
      <c r="AG18" s="705" t="s">
        <v>4951</v>
      </c>
      <c r="AH18" s="705">
        <v>1.0</v>
      </c>
      <c r="AI18" s="705">
        <v>1.0</v>
      </c>
      <c r="AJ18" s="705" t="s">
        <v>4966</v>
      </c>
      <c r="AK18" s="705" t="s">
        <v>4997</v>
      </c>
      <c r="AL18" s="705">
        <v>1733.0</v>
      </c>
      <c r="AM18" s="705">
        <v>5.0</v>
      </c>
      <c r="AN18" s="705" t="s">
        <v>4952</v>
      </c>
      <c r="AO18" s="705" t="s">
        <v>174</v>
      </c>
      <c r="AP18" s="705">
        <v>5.0</v>
      </c>
      <c r="AQ18" s="705">
        <v>1.0</v>
      </c>
      <c r="AR18" s="705">
        <v>1.0</v>
      </c>
      <c r="AS18" s="705">
        <v>1.0</v>
      </c>
      <c r="AT18" s="705" t="s">
        <v>166</v>
      </c>
      <c r="AU18" s="705" t="s">
        <v>166</v>
      </c>
      <c r="AV18" s="705">
        <v>3.0</v>
      </c>
      <c r="AW18" s="705">
        <v>1.0</v>
      </c>
      <c r="AX18" s="705">
        <v>1.0</v>
      </c>
      <c r="AY18" s="705" t="s">
        <v>166</v>
      </c>
      <c r="AZ18" s="705" t="s">
        <v>166</v>
      </c>
      <c r="BA18" s="705" t="s">
        <v>4953</v>
      </c>
      <c r="BB18" s="705" t="s">
        <v>4954</v>
      </c>
      <c r="BC18" s="705" t="s">
        <v>4955</v>
      </c>
      <c r="BD18" s="705">
        <v>6.0</v>
      </c>
      <c r="BE18" s="708" t="s">
        <v>4956</v>
      </c>
      <c r="BF18" s="708"/>
      <c r="BG18" s="66"/>
      <c r="BH18" s="66"/>
      <c r="BI18" s="66"/>
      <c r="BJ18" s="66"/>
      <c r="BK18" s="66"/>
      <c r="BL18" s="66"/>
      <c r="BM18" s="66"/>
      <c r="BN18" s="66"/>
      <c r="BO18" s="66"/>
      <c r="BP18" s="66"/>
      <c r="BQ18" s="66"/>
      <c r="BR18" s="66"/>
      <c r="BS18" s="66"/>
    </row>
    <row r="19">
      <c r="A19" s="48" t="s">
        <v>1664</v>
      </c>
      <c r="B19" s="48" t="s">
        <v>4946</v>
      </c>
      <c r="C19" s="48" t="s">
        <v>5000</v>
      </c>
      <c r="D19" s="174" t="str">
        <f>HYPERLINK("https://www.asus.com/","Asus")</f>
        <v>Asus</v>
      </c>
      <c r="E19" s="174" t="s">
        <v>5001</v>
      </c>
      <c r="F19" s="48" t="s">
        <v>4948</v>
      </c>
      <c r="G19" s="48" t="s">
        <v>166</v>
      </c>
      <c r="H19" s="48" t="s">
        <v>174</v>
      </c>
      <c r="I19" s="48" t="s">
        <v>174</v>
      </c>
      <c r="J19" s="48" t="s">
        <v>166</v>
      </c>
      <c r="K19" s="48" t="s">
        <v>166</v>
      </c>
      <c r="L19" s="48">
        <v>2.0</v>
      </c>
      <c r="M19" s="48" t="s">
        <v>3149</v>
      </c>
      <c r="N19" s="48">
        <v>32.0</v>
      </c>
      <c r="O19" s="48" t="s">
        <v>4958</v>
      </c>
      <c r="P19" s="48">
        <v>4.0</v>
      </c>
      <c r="Q19" s="698" t="s">
        <v>5002</v>
      </c>
      <c r="R19" s="697" t="s">
        <v>166</v>
      </c>
      <c r="S19" s="697" t="s">
        <v>166</v>
      </c>
      <c r="T19" s="697">
        <v>4.0</v>
      </c>
      <c r="U19" s="48" t="s">
        <v>166</v>
      </c>
      <c r="V19" s="48">
        <v>2.0</v>
      </c>
      <c r="W19" s="48" t="s">
        <v>166</v>
      </c>
      <c r="X19" s="48" t="s">
        <v>166</v>
      </c>
      <c r="Y19" s="48" t="s">
        <v>166</v>
      </c>
      <c r="Z19" s="48" t="s">
        <v>166</v>
      </c>
      <c r="AA19" s="48" t="s">
        <v>166</v>
      </c>
      <c r="AB19" s="48">
        <f t="shared" si="1"/>
        <v>6</v>
      </c>
      <c r="AC19" s="48">
        <v>1.0</v>
      </c>
      <c r="AD19" s="48">
        <v>1.0</v>
      </c>
      <c r="AE19" s="48" t="s">
        <v>166</v>
      </c>
      <c r="AF19" s="697">
        <v>1.0</v>
      </c>
      <c r="AG19" s="48" t="s">
        <v>4951</v>
      </c>
      <c r="AH19" s="48">
        <v>1.0</v>
      </c>
      <c r="AI19" s="48">
        <v>1.0</v>
      </c>
      <c r="AJ19" s="705" t="s">
        <v>4966</v>
      </c>
      <c r="AK19" s="48" t="s">
        <v>4970</v>
      </c>
      <c r="AL19" s="48">
        <v>867.0</v>
      </c>
      <c r="AM19" s="48">
        <v>4.2</v>
      </c>
      <c r="AN19" s="48" t="s">
        <v>4971</v>
      </c>
      <c r="AO19" s="48" t="s">
        <v>166</v>
      </c>
      <c r="AP19" s="48">
        <v>3.0</v>
      </c>
      <c r="AQ19" s="48" t="s">
        <v>166</v>
      </c>
      <c r="AR19" s="48" t="s">
        <v>166</v>
      </c>
      <c r="AS19" s="48">
        <v>1.0</v>
      </c>
      <c r="AT19" s="48" t="s">
        <v>166</v>
      </c>
      <c r="AU19" s="48" t="s">
        <v>166</v>
      </c>
      <c r="AV19" s="48">
        <v>3.0</v>
      </c>
      <c r="AW19" s="48">
        <v>1.0</v>
      </c>
      <c r="AX19" s="48">
        <v>1.0</v>
      </c>
      <c r="AY19" s="48" t="s">
        <v>174</v>
      </c>
      <c r="AZ19" s="48" t="s">
        <v>166</v>
      </c>
      <c r="BA19" s="48" t="s">
        <v>4972</v>
      </c>
      <c r="BB19" s="48" t="s">
        <v>4973</v>
      </c>
      <c r="BC19" s="48" t="s">
        <v>4963</v>
      </c>
      <c r="BD19" s="48">
        <v>6.0</v>
      </c>
      <c r="BE19" s="698" t="s">
        <v>4994</v>
      </c>
      <c r="BF19" s="699"/>
      <c r="BG19" s="66"/>
      <c r="BH19" s="66"/>
      <c r="BI19" s="66"/>
      <c r="BJ19" s="66"/>
      <c r="BK19" s="66"/>
      <c r="BL19" s="66"/>
      <c r="BM19" s="66"/>
      <c r="BN19" s="66"/>
      <c r="BO19" s="66"/>
      <c r="BP19" s="66"/>
      <c r="BQ19" s="66"/>
      <c r="BR19" s="66"/>
      <c r="BS19" s="66"/>
    </row>
    <row r="20">
      <c r="A20" s="48" t="s">
        <v>1664</v>
      </c>
      <c r="B20" s="48" t="s">
        <v>4946</v>
      </c>
      <c r="C20" s="48" t="s">
        <v>5000</v>
      </c>
      <c r="D20" s="174" t="str">
        <f t="shared" ref="D20:D21" si="3">HYPERLINK("https://www.biostar.com.tw/","Biostar")</f>
        <v>Biostar</v>
      </c>
      <c r="E20" s="174" t="str">
        <f>HYPERLINK("https://www.biostar.com.tw/app/en/mb/introduction.php?S_ID=910","X470GTN")</f>
        <v>X470GTN</v>
      </c>
      <c r="F20" s="48" t="s">
        <v>4948</v>
      </c>
      <c r="G20" s="48" t="s">
        <v>166</v>
      </c>
      <c r="H20" s="48" t="s">
        <v>174</v>
      </c>
      <c r="I20" s="48" t="s">
        <v>174</v>
      </c>
      <c r="J20" s="48" t="s">
        <v>166</v>
      </c>
      <c r="K20" s="48" t="s">
        <v>166</v>
      </c>
      <c r="L20" s="48">
        <v>2.0</v>
      </c>
      <c r="M20" s="48" t="s">
        <v>3149</v>
      </c>
      <c r="N20" s="48">
        <v>32.0</v>
      </c>
      <c r="O20" s="48" t="s">
        <v>4975</v>
      </c>
      <c r="P20" s="48">
        <v>4.0</v>
      </c>
      <c r="Q20" s="696" t="s">
        <v>4950</v>
      </c>
      <c r="R20" s="697" t="s">
        <v>166</v>
      </c>
      <c r="S20" s="697" t="s">
        <v>166</v>
      </c>
      <c r="T20" s="697">
        <v>4.0</v>
      </c>
      <c r="U20" s="48" t="s">
        <v>166</v>
      </c>
      <c r="V20" s="48">
        <v>1.0</v>
      </c>
      <c r="W20" s="48">
        <v>1.0</v>
      </c>
      <c r="X20" s="48" t="s">
        <v>166</v>
      </c>
      <c r="Y20" s="48" t="s">
        <v>166</v>
      </c>
      <c r="Z20" s="48" t="s">
        <v>166</v>
      </c>
      <c r="AA20" s="48" t="s">
        <v>166</v>
      </c>
      <c r="AB20" s="48">
        <f t="shared" si="1"/>
        <v>6</v>
      </c>
      <c r="AC20" s="48">
        <v>1.0</v>
      </c>
      <c r="AD20" s="48">
        <v>1.0</v>
      </c>
      <c r="AE20" s="48" t="s">
        <v>166</v>
      </c>
      <c r="AF20" s="697">
        <v>1.0</v>
      </c>
      <c r="AG20" s="48" t="s">
        <v>4976</v>
      </c>
      <c r="AH20" s="48">
        <v>1.0</v>
      </c>
      <c r="AI20" s="48" t="s">
        <v>166</v>
      </c>
      <c r="AJ20" s="48" t="s">
        <v>166</v>
      </c>
      <c r="AK20" s="48" t="s">
        <v>166</v>
      </c>
      <c r="AL20" s="48" t="s">
        <v>166</v>
      </c>
      <c r="AM20" s="48" t="s">
        <v>166</v>
      </c>
      <c r="AN20" s="48" t="s">
        <v>4977</v>
      </c>
      <c r="AO20" s="48" t="s">
        <v>174</v>
      </c>
      <c r="AP20" s="48">
        <v>5.0</v>
      </c>
      <c r="AQ20" s="48">
        <v>1.0</v>
      </c>
      <c r="AR20" s="48" t="s">
        <v>166</v>
      </c>
      <c r="AS20" s="48">
        <v>1.0</v>
      </c>
      <c r="AT20" s="48">
        <v>1.0</v>
      </c>
      <c r="AU20" s="48" t="s">
        <v>166</v>
      </c>
      <c r="AV20" s="48">
        <v>2.0</v>
      </c>
      <c r="AW20" s="48">
        <v>2.0</v>
      </c>
      <c r="AX20" s="48" t="s">
        <v>166</v>
      </c>
      <c r="AY20" s="48" t="s">
        <v>166</v>
      </c>
      <c r="AZ20" s="48" t="s">
        <v>166</v>
      </c>
      <c r="BA20" s="48" t="s">
        <v>4953</v>
      </c>
      <c r="BB20" s="48" t="s">
        <v>4978</v>
      </c>
      <c r="BC20" s="48" t="s">
        <v>4963</v>
      </c>
      <c r="BD20" s="48">
        <v>4.0</v>
      </c>
      <c r="BE20" s="698" t="s">
        <v>4979</v>
      </c>
      <c r="BF20" s="699"/>
      <c r="BG20" s="66"/>
      <c r="BH20" s="66"/>
      <c r="BI20" s="66"/>
      <c r="BJ20" s="66"/>
      <c r="BK20" s="66"/>
      <c r="BL20" s="66"/>
      <c r="BM20" s="66"/>
      <c r="BN20" s="66"/>
      <c r="BO20" s="66"/>
      <c r="BP20" s="66"/>
      <c r="BQ20" s="66"/>
      <c r="BR20" s="66"/>
      <c r="BS20" s="66"/>
    </row>
    <row r="21">
      <c r="A21" s="700" t="s">
        <v>1664</v>
      </c>
      <c r="B21" s="700" t="s">
        <v>4946</v>
      </c>
      <c r="C21" s="700" t="s">
        <v>5000</v>
      </c>
      <c r="D21" s="291" t="str">
        <f t="shared" si="3"/>
        <v>Biostar</v>
      </c>
      <c r="E21" s="291" t="s">
        <v>5003</v>
      </c>
      <c r="F21" s="700" t="s">
        <v>4948</v>
      </c>
      <c r="G21" s="700" t="s">
        <v>166</v>
      </c>
      <c r="H21" s="700" t="s">
        <v>174</v>
      </c>
      <c r="I21" s="700" t="s">
        <v>174</v>
      </c>
      <c r="J21" s="700" t="s">
        <v>166</v>
      </c>
      <c r="K21" s="700" t="s">
        <v>166</v>
      </c>
      <c r="L21" s="700">
        <v>2.0</v>
      </c>
      <c r="M21" s="700" t="s">
        <v>3149</v>
      </c>
      <c r="N21" s="700">
        <v>32.0</v>
      </c>
      <c r="O21" s="700" t="s">
        <v>4996</v>
      </c>
      <c r="P21" s="700">
        <v>4.0</v>
      </c>
      <c r="Q21" s="709" t="s">
        <v>4950</v>
      </c>
      <c r="R21" s="702">
        <v>2.0</v>
      </c>
      <c r="S21" s="702" t="s">
        <v>166</v>
      </c>
      <c r="T21" s="702">
        <v>4.0</v>
      </c>
      <c r="U21" s="700" t="s">
        <v>166</v>
      </c>
      <c r="V21" s="700" t="s">
        <v>166</v>
      </c>
      <c r="W21" s="700" t="s">
        <v>166</v>
      </c>
      <c r="X21" s="700" t="s">
        <v>166</v>
      </c>
      <c r="Y21" s="700" t="s">
        <v>166</v>
      </c>
      <c r="Z21" s="700" t="s">
        <v>166</v>
      </c>
      <c r="AA21" s="700" t="s">
        <v>166</v>
      </c>
      <c r="AB21" s="700">
        <f t="shared" si="1"/>
        <v>6</v>
      </c>
      <c r="AC21" s="700">
        <v>1.0</v>
      </c>
      <c r="AD21" s="700">
        <v>1.0</v>
      </c>
      <c r="AE21" s="700" t="s">
        <v>166</v>
      </c>
      <c r="AF21" s="702">
        <v>1.0</v>
      </c>
      <c r="AG21" s="700" t="s">
        <v>4959</v>
      </c>
      <c r="AH21" s="700">
        <v>1.0</v>
      </c>
      <c r="AI21" s="700" t="s">
        <v>166</v>
      </c>
      <c r="AJ21" s="700" t="s">
        <v>166</v>
      </c>
      <c r="AK21" s="700" t="s">
        <v>166</v>
      </c>
      <c r="AL21" s="700" t="s">
        <v>166</v>
      </c>
      <c r="AM21" s="700" t="s">
        <v>166</v>
      </c>
      <c r="AN21" s="700" t="s">
        <v>4960</v>
      </c>
      <c r="AO21" s="700" t="s">
        <v>166</v>
      </c>
      <c r="AP21" s="700">
        <v>3.0</v>
      </c>
      <c r="AQ21" s="700">
        <v>1.0</v>
      </c>
      <c r="AR21" s="700" t="s">
        <v>166</v>
      </c>
      <c r="AS21" s="700">
        <v>1.0</v>
      </c>
      <c r="AT21" s="700" t="s">
        <v>166</v>
      </c>
      <c r="AU21" s="700">
        <v>1.0</v>
      </c>
      <c r="AV21" s="700">
        <v>2.0</v>
      </c>
      <c r="AW21" s="700" t="s">
        <v>166</v>
      </c>
      <c r="AX21" s="700" t="s">
        <v>166</v>
      </c>
      <c r="AY21" s="700" t="s">
        <v>166</v>
      </c>
      <c r="AZ21" s="700" t="s">
        <v>166</v>
      </c>
      <c r="BA21" s="700" t="s">
        <v>170</v>
      </c>
      <c r="BB21" s="700" t="s">
        <v>170</v>
      </c>
      <c r="BC21" s="700" t="s">
        <v>170</v>
      </c>
      <c r="BD21" s="700" t="s">
        <v>170</v>
      </c>
      <c r="BE21" s="703" t="s">
        <v>170</v>
      </c>
      <c r="BF21" s="703"/>
      <c r="BG21" s="66"/>
      <c r="BH21" s="66"/>
      <c r="BI21" s="66"/>
      <c r="BJ21" s="66"/>
      <c r="BK21" s="66"/>
      <c r="BL21" s="66"/>
      <c r="BM21" s="66"/>
      <c r="BN21" s="66"/>
      <c r="BO21" s="66"/>
      <c r="BP21" s="66"/>
      <c r="BQ21" s="66"/>
      <c r="BR21" s="66"/>
      <c r="BS21" s="66"/>
    </row>
    <row r="22">
      <c r="A22" s="705" t="s">
        <v>1664</v>
      </c>
      <c r="B22" s="705" t="s">
        <v>4946</v>
      </c>
      <c r="C22" s="705" t="s">
        <v>5004</v>
      </c>
      <c r="D22" s="282" t="s">
        <v>169</v>
      </c>
      <c r="E22" s="282" t="s">
        <v>5005</v>
      </c>
      <c r="F22" s="705" t="s">
        <v>4948</v>
      </c>
      <c r="G22" s="705" t="s">
        <v>174</v>
      </c>
      <c r="H22" s="705" t="s">
        <v>166</v>
      </c>
      <c r="I22" s="705" t="s">
        <v>174</v>
      </c>
      <c r="J22" s="705" t="s">
        <v>166</v>
      </c>
      <c r="K22" s="705" t="s">
        <v>166</v>
      </c>
      <c r="L22" s="705">
        <v>2.0</v>
      </c>
      <c r="M22" s="705" t="s">
        <v>3149</v>
      </c>
      <c r="N22" s="705">
        <v>64.0</v>
      </c>
      <c r="O22" s="705" t="s">
        <v>5006</v>
      </c>
      <c r="P22" s="705">
        <v>4.0</v>
      </c>
      <c r="Q22" s="711" t="s">
        <v>4950</v>
      </c>
      <c r="R22" s="707">
        <v>2.0</v>
      </c>
      <c r="S22" s="707" t="s">
        <v>166</v>
      </c>
      <c r="T22" s="707">
        <v>3.0</v>
      </c>
      <c r="U22" s="705">
        <v>1.0</v>
      </c>
      <c r="V22" s="705" t="s">
        <v>166</v>
      </c>
      <c r="W22" s="705" t="s">
        <v>166</v>
      </c>
      <c r="X22" s="705" t="s">
        <v>166</v>
      </c>
      <c r="Y22" s="705" t="s">
        <v>166</v>
      </c>
      <c r="Z22" s="705" t="s">
        <v>166</v>
      </c>
      <c r="AA22" s="705" t="s">
        <v>166</v>
      </c>
      <c r="AB22" s="705">
        <f t="shared" si="1"/>
        <v>6</v>
      </c>
      <c r="AC22" s="705">
        <v>1.0</v>
      </c>
      <c r="AD22" s="705">
        <v>1.0</v>
      </c>
      <c r="AE22" s="705" t="s">
        <v>166</v>
      </c>
      <c r="AF22" s="707">
        <v>1.0</v>
      </c>
      <c r="AG22" s="705" t="s">
        <v>4959</v>
      </c>
      <c r="AH22" s="705">
        <v>1.0</v>
      </c>
      <c r="AI22" s="705">
        <v>1.0</v>
      </c>
      <c r="AJ22" s="705" t="s">
        <v>4966</v>
      </c>
      <c r="AK22" s="705" t="s">
        <v>4967</v>
      </c>
      <c r="AL22" s="705">
        <v>433.0</v>
      </c>
      <c r="AM22" s="705">
        <v>4.2</v>
      </c>
      <c r="AN22" s="705" t="s">
        <v>4960</v>
      </c>
      <c r="AO22" s="705" t="s">
        <v>166</v>
      </c>
      <c r="AP22" s="705">
        <v>3.0</v>
      </c>
      <c r="AQ22" s="705">
        <v>1.0</v>
      </c>
      <c r="AR22" s="705">
        <v>1.0</v>
      </c>
      <c r="AS22" s="705">
        <v>1.0</v>
      </c>
      <c r="AT22" s="705" t="s">
        <v>166</v>
      </c>
      <c r="AU22" s="705" t="s">
        <v>166</v>
      </c>
      <c r="AV22" s="705">
        <v>3.0</v>
      </c>
      <c r="AW22" s="705">
        <v>1.0</v>
      </c>
      <c r="AX22" s="705">
        <v>1.0</v>
      </c>
      <c r="AY22" s="705" t="s">
        <v>166</v>
      </c>
      <c r="AZ22" s="705" t="s">
        <v>166</v>
      </c>
      <c r="BA22" s="705" t="s">
        <v>5007</v>
      </c>
      <c r="BB22" s="705" t="s">
        <v>4954</v>
      </c>
      <c r="BC22" s="705" t="s">
        <v>5008</v>
      </c>
      <c r="BD22" s="705">
        <v>6.0</v>
      </c>
      <c r="BE22" s="708" t="s">
        <v>5009</v>
      </c>
      <c r="BF22" s="708"/>
      <c r="BG22" s="66"/>
      <c r="BH22" s="66"/>
      <c r="BI22" s="66"/>
      <c r="BJ22" s="66"/>
      <c r="BK22" s="66"/>
      <c r="BL22" s="66"/>
      <c r="BM22" s="66"/>
      <c r="BN22" s="66"/>
      <c r="BO22" s="66"/>
      <c r="BP22" s="66"/>
      <c r="BQ22" s="66"/>
      <c r="BR22" s="66"/>
      <c r="BS22" s="66"/>
    </row>
    <row r="23">
      <c r="A23" s="48" t="s">
        <v>1664</v>
      </c>
      <c r="B23" s="48" t="s">
        <v>4946</v>
      </c>
      <c r="C23" s="48" t="s">
        <v>5004</v>
      </c>
      <c r="D23" s="174" t="str">
        <f t="shared" ref="D23:D24" si="4">HYPERLINK("https://www.gigabyte.com/","Gigabyte")</f>
        <v>Gigabyte</v>
      </c>
      <c r="E23" s="174" t="s">
        <v>5010</v>
      </c>
      <c r="F23" s="48" t="s">
        <v>4948</v>
      </c>
      <c r="G23" s="48" t="s">
        <v>174</v>
      </c>
      <c r="H23" s="48" t="s">
        <v>166</v>
      </c>
      <c r="I23" s="48" t="s">
        <v>174</v>
      </c>
      <c r="J23" s="48" t="s">
        <v>174</v>
      </c>
      <c r="K23" s="48" t="s">
        <v>166</v>
      </c>
      <c r="L23" s="48">
        <v>2.0</v>
      </c>
      <c r="M23" s="48" t="s">
        <v>3149</v>
      </c>
      <c r="N23" s="48">
        <v>64.0</v>
      </c>
      <c r="O23" s="48" t="s">
        <v>5011</v>
      </c>
      <c r="P23" s="48">
        <v>4.0</v>
      </c>
      <c r="Q23" s="710" t="s">
        <v>4950</v>
      </c>
      <c r="R23" s="697">
        <v>2.0</v>
      </c>
      <c r="S23" s="697" t="s">
        <v>166</v>
      </c>
      <c r="T23" s="697">
        <v>4.0</v>
      </c>
      <c r="U23" s="48" t="s">
        <v>166</v>
      </c>
      <c r="V23" s="48" t="s">
        <v>166</v>
      </c>
      <c r="W23" s="48" t="s">
        <v>166</v>
      </c>
      <c r="X23" s="48" t="s">
        <v>166</v>
      </c>
      <c r="Y23" s="48" t="s">
        <v>166</v>
      </c>
      <c r="Z23" s="48" t="s">
        <v>166</v>
      </c>
      <c r="AA23" s="48" t="s">
        <v>166</v>
      </c>
      <c r="AB23" s="48">
        <f t="shared" si="1"/>
        <v>6</v>
      </c>
      <c r="AC23" s="48">
        <v>1.0</v>
      </c>
      <c r="AD23" s="48">
        <v>1.0</v>
      </c>
      <c r="AE23" s="48" t="s">
        <v>166</v>
      </c>
      <c r="AF23" s="697">
        <v>1.0</v>
      </c>
      <c r="AG23" s="48" t="s">
        <v>4976</v>
      </c>
      <c r="AH23" s="48">
        <v>1.0</v>
      </c>
      <c r="AI23" s="48">
        <v>1.0</v>
      </c>
      <c r="AJ23" s="48" t="s">
        <v>4966</v>
      </c>
      <c r="AK23" s="48" t="s">
        <v>4967</v>
      </c>
      <c r="AL23" s="48">
        <v>433.0</v>
      </c>
      <c r="AM23" s="48">
        <v>4.2</v>
      </c>
      <c r="AN23" s="48" t="s">
        <v>4960</v>
      </c>
      <c r="AO23" s="48" t="s">
        <v>166</v>
      </c>
      <c r="AP23" s="48">
        <v>3.0</v>
      </c>
      <c r="AQ23" s="48" t="s">
        <v>166</v>
      </c>
      <c r="AR23" s="48">
        <v>1.0</v>
      </c>
      <c r="AS23" s="48">
        <v>2.0</v>
      </c>
      <c r="AT23" s="48" t="s">
        <v>166</v>
      </c>
      <c r="AU23" s="48" t="s">
        <v>166</v>
      </c>
      <c r="AV23" s="48">
        <v>3.0</v>
      </c>
      <c r="AW23" s="48">
        <v>1.0</v>
      </c>
      <c r="AX23" s="48">
        <v>1.0</v>
      </c>
      <c r="AY23" s="48" t="s">
        <v>166</v>
      </c>
      <c r="AZ23" s="48" t="s">
        <v>166</v>
      </c>
      <c r="BA23" s="48" t="s">
        <v>5012</v>
      </c>
      <c r="BB23" s="48" t="s">
        <v>4962</v>
      </c>
      <c r="BC23" s="48" t="s">
        <v>4963</v>
      </c>
      <c r="BD23" s="48">
        <v>4.0</v>
      </c>
      <c r="BE23" s="698" t="s">
        <v>5013</v>
      </c>
      <c r="BF23" s="698" t="s">
        <v>5014</v>
      </c>
      <c r="BG23" s="66"/>
      <c r="BH23" s="66"/>
      <c r="BI23" s="66"/>
      <c r="BJ23" s="66"/>
      <c r="BK23" s="66"/>
      <c r="BL23" s="66"/>
      <c r="BM23" s="66"/>
      <c r="BN23" s="66"/>
      <c r="BO23" s="66"/>
      <c r="BP23" s="66"/>
      <c r="BQ23" s="66"/>
      <c r="BR23" s="66"/>
      <c r="BS23" s="66"/>
    </row>
    <row r="24">
      <c r="A24" s="700" t="s">
        <v>1664</v>
      </c>
      <c r="B24" s="700" t="s">
        <v>4946</v>
      </c>
      <c r="C24" s="700" t="s">
        <v>5004</v>
      </c>
      <c r="D24" s="291" t="str">
        <f t="shared" si="4"/>
        <v>Gigabyte</v>
      </c>
      <c r="E24" s="291" t="s">
        <v>5015</v>
      </c>
      <c r="F24" s="700" t="s">
        <v>4948</v>
      </c>
      <c r="G24" s="700" t="s">
        <v>174</v>
      </c>
      <c r="H24" s="700" t="s">
        <v>166</v>
      </c>
      <c r="I24" s="700" t="s">
        <v>174</v>
      </c>
      <c r="J24" s="700" t="s">
        <v>166</v>
      </c>
      <c r="K24" s="700" t="s">
        <v>166</v>
      </c>
      <c r="L24" s="700">
        <v>2.0</v>
      </c>
      <c r="M24" s="700" t="s">
        <v>3149</v>
      </c>
      <c r="N24" s="700">
        <v>64.0</v>
      </c>
      <c r="O24" s="700" t="s">
        <v>4975</v>
      </c>
      <c r="P24" s="700">
        <v>2.0</v>
      </c>
      <c r="Q24" s="701" t="s">
        <v>4950</v>
      </c>
      <c r="R24" s="702" t="s">
        <v>166</v>
      </c>
      <c r="S24" s="702" t="s">
        <v>166</v>
      </c>
      <c r="T24" s="702">
        <v>2.0</v>
      </c>
      <c r="U24" s="700" t="s">
        <v>166</v>
      </c>
      <c r="V24" s="700" t="s">
        <v>166</v>
      </c>
      <c r="W24" s="700" t="s">
        <v>166</v>
      </c>
      <c r="X24" s="700" t="s">
        <v>166</v>
      </c>
      <c r="Y24" s="700" t="s">
        <v>166</v>
      </c>
      <c r="Z24" s="700" t="s">
        <v>166</v>
      </c>
      <c r="AA24" s="700" t="s">
        <v>166</v>
      </c>
      <c r="AB24" s="700">
        <f t="shared" si="1"/>
        <v>2</v>
      </c>
      <c r="AC24" s="700">
        <v>2.0</v>
      </c>
      <c r="AD24" s="700">
        <v>1.0</v>
      </c>
      <c r="AE24" s="700" t="s">
        <v>166</v>
      </c>
      <c r="AF24" s="702">
        <v>2.0</v>
      </c>
      <c r="AG24" s="700" t="s">
        <v>5016</v>
      </c>
      <c r="AH24" s="700">
        <v>1.0</v>
      </c>
      <c r="AI24" s="700" t="s">
        <v>166</v>
      </c>
      <c r="AJ24" s="700" t="s">
        <v>166</v>
      </c>
      <c r="AK24" s="700" t="s">
        <v>166</v>
      </c>
      <c r="AL24" s="700" t="s">
        <v>166</v>
      </c>
      <c r="AM24" s="700" t="s">
        <v>166</v>
      </c>
      <c r="AN24" s="700" t="s">
        <v>4960</v>
      </c>
      <c r="AO24" s="700" t="s">
        <v>166</v>
      </c>
      <c r="AP24" s="700">
        <v>2.0</v>
      </c>
      <c r="AQ24" s="700" t="s">
        <v>166</v>
      </c>
      <c r="AR24" s="712">
        <v>2.0</v>
      </c>
      <c r="AS24" s="712">
        <v>1.0</v>
      </c>
      <c r="AT24" s="700" t="s">
        <v>166</v>
      </c>
      <c r="AU24" s="700" t="s">
        <v>166</v>
      </c>
      <c r="AV24" s="700">
        <v>2.0</v>
      </c>
      <c r="AW24" s="700" t="s">
        <v>166</v>
      </c>
      <c r="AX24" s="700" t="s">
        <v>166</v>
      </c>
      <c r="AY24" s="700" t="s">
        <v>166</v>
      </c>
      <c r="AZ24" s="700" t="s">
        <v>166</v>
      </c>
      <c r="BA24" s="700" t="s">
        <v>170</v>
      </c>
      <c r="BB24" s="700" t="s">
        <v>5017</v>
      </c>
      <c r="BC24" s="700" t="s">
        <v>4963</v>
      </c>
      <c r="BD24" s="700">
        <v>4.0</v>
      </c>
      <c r="BE24" s="703" t="s">
        <v>5018</v>
      </c>
      <c r="BF24" s="703"/>
      <c r="BG24" s="66"/>
      <c r="BH24" s="66"/>
      <c r="BI24" s="66"/>
      <c r="BJ24" s="66"/>
      <c r="BK24" s="66"/>
      <c r="BL24" s="66"/>
      <c r="BM24" s="66"/>
      <c r="BN24" s="66"/>
      <c r="BO24" s="66"/>
      <c r="BP24" s="66"/>
      <c r="BQ24" s="66"/>
      <c r="BR24" s="66"/>
      <c r="BS24" s="66"/>
    </row>
    <row r="25">
      <c r="A25" s="705" t="s">
        <v>1664</v>
      </c>
      <c r="B25" s="705" t="s">
        <v>4946</v>
      </c>
      <c r="C25" s="705" t="s">
        <v>5019</v>
      </c>
      <c r="D25" s="282" t="s">
        <v>169</v>
      </c>
      <c r="E25" s="282" t="s">
        <v>5020</v>
      </c>
      <c r="F25" s="705" t="s">
        <v>5021</v>
      </c>
      <c r="G25" s="705" t="s">
        <v>174</v>
      </c>
      <c r="H25" s="705" t="s">
        <v>174</v>
      </c>
      <c r="I25" s="705" t="s">
        <v>174</v>
      </c>
      <c r="J25" s="705" t="s">
        <v>166</v>
      </c>
      <c r="K25" s="705" t="s">
        <v>166</v>
      </c>
      <c r="L25" s="705">
        <v>2.0</v>
      </c>
      <c r="M25" s="705" t="s">
        <v>3149</v>
      </c>
      <c r="N25" s="705">
        <v>64.0</v>
      </c>
      <c r="O25" s="705" t="s">
        <v>5006</v>
      </c>
      <c r="P25" s="705">
        <v>4.0</v>
      </c>
      <c r="Q25" s="711" t="s">
        <v>4950</v>
      </c>
      <c r="R25" s="707">
        <v>2.0</v>
      </c>
      <c r="S25" s="707" t="s">
        <v>166</v>
      </c>
      <c r="T25" s="707">
        <v>3.0</v>
      </c>
      <c r="U25" s="705">
        <v>1.0</v>
      </c>
      <c r="V25" s="705" t="s">
        <v>166</v>
      </c>
      <c r="W25" s="705" t="s">
        <v>166</v>
      </c>
      <c r="X25" s="705" t="s">
        <v>166</v>
      </c>
      <c r="Y25" s="705" t="s">
        <v>166</v>
      </c>
      <c r="Z25" s="705" t="s">
        <v>166</v>
      </c>
      <c r="AA25" s="705" t="s">
        <v>166</v>
      </c>
      <c r="AB25" s="705">
        <f t="shared" si="1"/>
        <v>6</v>
      </c>
      <c r="AC25" s="705">
        <v>1.0</v>
      </c>
      <c r="AD25" s="705">
        <v>1.0</v>
      </c>
      <c r="AE25" s="705" t="s">
        <v>166</v>
      </c>
      <c r="AF25" s="707">
        <v>1.0</v>
      </c>
      <c r="AG25" s="705" t="s">
        <v>4959</v>
      </c>
      <c r="AH25" s="705">
        <v>1.0</v>
      </c>
      <c r="AI25" s="705">
        <v>1.0</v>
      </c>
      <c r="AJ25" s="705" t="s">
        <v>4966</v>
      </c>
      <c r="AK25" s="705" t="s">
        <v>4967</v>
      </c>
      <c r="AL25" s="705">
        <v>433.0</v>
      </c>
      <c r="AM25" s="705">
        <v>4.2</v>
      </c>
      <c r="AN25" s="705" t="s">
        <v>4960</v>
      </c>
      <c r="AO25" s="705" t="s">
        <v>166</v>
      </c>
      <c r="AP25" s="705">
        <v>3.0</v>
      </c>
      <c r="AQ25" s="705">
        <v>1.0</v>
      </c>
      <c r="AR25" s="705">
        <v>1.0</v>
      </c>
      <c r="AS25" s="705">
        <v>1.0</v>
      </c>
      <c r="AT25" s="705" t="s">
        <v>166</v>
      </c>
      <c r="AU25" s="705" t="s">
        <v>166</v>
      </c>
      <c r="AV25" s="705">
        <v>3.0</v>
      </c>
      <c r="AW25" s="705">
        <v>1.0</v>
      </c>
      <c r="AX25" s="705">
        <v>1.0</v>
      </c>
      <c r="AY25" s="705" t="s">
        <v>166</v>
      </c>
      <c r="AZ25" s="705" t="s">
        <v>166</v>
      </c>
      <c r="BA25" s="705" t="s">
        <v>5007</v>
      </c>
      <c r="BB25" s="705" t="s">
        <v>4954</v>
      </c>
      <c r="BC25" s="705" t="s">
        <v>5008</v>
      </c>
      <c r="BD25" s="705">
        <v>6.0</v>
      </c>
      <c r="BE25" s="708" t="s">
        <v>5009</v>
      </c>
      <c r="BF25" s="708"/>
      <c r="BG25" s="66"/>
      <c r="BH25" s="66"/>
      <c r="BI25" s="66"/>
      <c r="BJ25" s="66"/>
      <c r="BK25" s="66"/>
      <c r="BL25" s="66"/>
      <c r="BM25" s="66"/>
      <c r="BN25" s="66"/>
      <c r="BO25" s="66"/>
      <c r="BP25" s="66"/>
      <c r="BQ25" s="66"/>
      <c r="BR25" s="66"/>
      <c r="BS25" s="66"/>
    </row>
    <row r="26">
      <c r="A26" s="48" t="s">
        <v>1664</v>
      </c>
      <c r="B26" s="48" t="s">
        <v>4946</v>
      </c>
      <c r="C26" s="48" t="s">
        <v>5019</v>
      </c>
      <c r="D26" s="174" t="s">
        <v>169</v>
      </c>
      <c r="E26" s="174" t="s">
        <v>5022</v>
      </c>
      <c r="F26" s="48" t="s">
        <v>5021</v>
      </c>
      <c r="G26" s="48" t="s">
        <v>174</v>
      </c>
      <c r="H26" s="48" t="s">
        <v>174</v>
      </c>
      <c r="I26" s="48" t="s">
        <v>174</v>
      </c>
      <c r="J26" s="48" t="s">
        <v>166</v>
      </c>
      <c r="K26" s="48" t="s">
        <v>166</v>
      </c>
      <c r="L26" s="48">
        <v>2.0</v>
      </c>
      <c r="M26" s="48" t="s">
        <v>3149</v>
      </c>
      <c r="N26" s="48">
        <v>64.0</v>
      </c>
      <c r="O26" s="48" t="s">
        <v>5023</v>
      </c>
      <c r="P26" s="48">
        <v>4.0</v>
      </c>
      <c r="Q26" s="698" t="s">
        <v>5024</v>
      </c>
      <c r="R26" s="697" t="s">
        <v>166</v>
      </c>
      <c r="S26" s="697" t="s">
        <v>166</v>
      </c>
      <c r="T26" s="697">
        <v>4.0</v>
      </c>
      <c r="U26" s="48" t="s">
        <v>166</v>
      </c>
      <c r="V26" s="48">
        <v>1.0</v>
      </c>
      <c r="W26" s="48">
        <v>1.0</v>
      </c>
      <c r="X26" s="48" t="s">
        <v>166</v>
      </c>
      <c r="Y26" s="48" t="s">
        <v>166</v>
      </c>
      <c r="Z26" s="48" t="s">
        <v>166</v>
      </c>
      <c r="AA26" s="48" t="s">
        <v>166</v>
      </c>
      <c r="AB26" s="48">
        <f t="shared" si="1"/>
        <v>6</v>
      </c>
      <c r="AC26" s="48">
        <v>1.0</v>
      </c>
      <c r="AD26" s="48">
        <v>1.0</v>
      </c>
      <c r="AE26" s="48" t="s">
        <v>5025</v>
      </c>
      <c r="AF26" s="697">
        <v>1.0</v>
      </c>
      <c r="AG26" s="48" t="s">
        <v>5026</v>
      </c>
      <c r="AH26" s="48">
        <v>2.5</v>
      </c>
      <c r="AI26" s="48">
        <v>1.0</v>
      </c>
      <c r="AJ26" s="48" t="s">
        <v>5027</v>
      </c>
      <c r="AK26" s="48" t="s">
        <v>5028</v>
      </c>
      <c r="AL26" s="48">
        <v>2400.0</v>
      </c>
      <c r="AM26" s="48">
        <v>5.1</v>
      </c>
      <c r="AN26" s="48" t="s">
        <v>4952</v>
      </c>
      <c r="AO26" s="48" t="s">
        <v>166</v>
      </c>
      <c r="AP26" s="48">
        <v>3.0</v>
      </c>
      <c r="AQ26" s="48" t="s">
        <v>166</v>
      </c>
      <c r="AR26" s="48">
        <v>1.0</v>
      </c>
      <c r="AS26" s="48">
        <v>1.0</v>
      </c>
      <c r="AT26" s="48" t="s">
        <v>166</v>
      </c>
      <c r="AU26" s="48" t="s">
        <v>166</v>
      </c>
      <c r="AV26" s="48">
        <v>3.0</v>
      </c>
      <c r="AW26" s="48">
        <v>1.0</v>
      </c>
      <c r="AX26" s="48">
        <v>1.0</v>
      </c>
      <c r="AY26" s="48" t="s">
        <v>166</v>
      </c>
      <c r="AZ26" s="48" t="s">
        <v>174</v>
      </c>
      <c r="BA26" s="48" t="s">
        <v>5012</v>
      </c>
      <c r="BB26" s="48" t="s">
        <v>4954</v>
      </c>
      <c r="BC26" s="48" t="s">
        <v>4963</v>
      </c>
      <c r="BD26" s="48">
        <v>6.0</v>
      </c>
      <c r="BE26" s="698" t="s">
        <v>5029</v>
      </c>
      <c r="BF26" s="698" t="s">
        <v>5030</v>
      </c>
      <c r="BG26" s="66"/>
      <c r="BH26" s="66"/>
      <c r="BI26" s="66"/>
      <c r="BJ26" s="66"/>
      <c r="BK26" s="66"/>
      <c r="BL26" s="66"/>
      <c r="BM26" s="66"/>
      <c r="BN26" s="66"/>
      <c r="BO26" s="66"/>
      <c r="BP26" s="66"/>
      <c r="BQ26" s="66"/>
      <c r="BR26" s="66"/>
      <c r="BS26" s="66"/>
    </row>
    <row r="27">
      <c r="A27" s="48" t="s">
        <v>1664</v>
      </c>
      <c r="B27" s="48" t="s">
        <v>4946</v>
      </c>
      <c r="C27" s="48" t="s">
        <v>5019</v>
      </c>
      <c r="D27" s="174" t="str">
        <f>HYPERLINK("https://www.asus.com/","Asus")</f>
        <v>Asus</v>
      </c>
      <c r="E27" s="174" t="s">
        <v>5031</v>
      </c>
      <c r="F27" s="48" t="s">
        <v>5021</v>
      </c>
      <c r="G27" s="48" t="s">
        <v>174</v>
      </c>
      <c r="H27" s="48" t="s">
        <v>174</v>
      </c>
      <c r="I27" s="48" t="s">
        <v>174</v>
      </c>
      <c r="J27" s="48" t="s">
        <v>174</v>
      </c>
      <c r="K27" s="48" t="s">
        <v>166</v>
      </c>
      <c r="L27" s="48">
        <v>2.0</v>
      </c>
      <c r="M27" s="48" t="s">
        <v>3149</v>
      </c>
      <c r="N27" s="48">
        <v>64.0</v>
      </c>
      <c r="O27" s="48" t="s">
        <v>5032</v>
      </c>
      <c r="P27" s="48">
        <v>4.0</v>
      </c>
      <c r="Q27" s="698" t="s">
        <v>5033</v>
      </c>
      <c r="R27" s="697">
        <v>1.0</v>
      </c>
      <c r="S27" s="697">
        <v>1.0</v>
      </c>
      <c r="T27" s="697" t="s">
        <v>166</v>
      </c>
      <c r="U27" s="48" t="s">
        <v>166</v>
      </c>
      <c r="V27" s="48">
        <v>3.0</v>
      </c>
      <c r="W27" s="48">
        <v>1.0</v>
      </c>
      <c r="X27" s="48" t="s">
        <v>166</v>
      </c>
      <c r="Y27" s="48" t="s">
        <v>166</v>
      </c>
      <c r="Z27" s="48" t="s">
        <v>166</v>
      </c>
      <c r="AA27" s="48" t="s">
        <v>166</v>
      </c>
      <c r="AB27" s="48">
        <f t="shared" si="1"/>
        <v>6</v>
      </c>
      <c r="AC27" s="48">
        <v>1.0</v>
      </c>
      <c r="AD27" s="48">
        <v>1.0</v>
      </c>
      <c r="AE27" s="48" t="s">
        <v>5025</v>
      </c>
      <c r="AF27" s="697">
        <v>1.0</v>
      </c>
      <c r="AG27" s="48" t="s">
        <v>5026</v>
      </c>
      <c r="AH27" s="48">
        <v>2.5</v>
      </c>
      <c r="AI27" s="48">
        <v>1.0</v>
      </c>
      <c r="AJ27" s="48" t="s">
        <v>5027</v>
      </c>
      <c r="AK27" s="48" t="s">
        <v>5028</v>
      </c>
      <c r="AL27" s="48">
        <v>2400.0</v>
      </c>
      <c r="AM27" s="48">
        <v>5.1</v>
      </c>
      <c r="AN27" s="48" t="s">
        <v>4971</v>
      </c>
      <c r="AO27" s="48" t="s">
        <v>166</v>
      </c>
      <c r="AP27" s="48">
        <v>3.0</v>
      </c>
      <c r="AQ27" s="48" t="s">
        <v>166</v>
      </c>
      <c r="AR27" s="48">
        <v>1.0</v>
      </c>
      <c r="AS27" s="48">
        <v>1.0</v>
      </c>
      <c r="AT27" s="48" t="s">
        <v>166</v>
      </c>
      <c r="AU27" s="48" t="s">
        <v>166</v>
      </c>
      <c r="AV27" s="48">
        <v>3.0</v>
      </c>
      <c r="AW27" s="48">
        <v>1.0</v>
      </c>
      <c r="AX27" s="48">
        <v>1.0</v>
      </c>
      <c r="AY27" s="48" t="s">
        <v>174</v>
      </c>
      <c r="AZ27" s="48" t="s">
        <v>166</v>
      </c>
      <c r="BA27" s="48" t="s">
        <v>4961</v>
      </c>
      <c r="BB27" s="48" t="s">
        <v>5034</v>
      </c>
      <c r="BC27" s="48" t="s">
        <v>4955</v>
      </c>
      <c r="BD27" s="48">
        <v>8.0</v>
      </c>
      <c r="BE27" s="698" t="s">
        <v>4964</v>
      </c>
      <c r="BF27" s="698" t="s">
        <v>5035</v>
      </c>
      <c r="BG27" s="66"/>
      <c r="BH27" s="66"/>
      <c r="BI27" s="66"/>
      <c r="BJ27" s="66"/>
      <c r="BK27" s="66"/>
      <c r="BL27" s="66"/>
      <c r="BM27" s="66"/>
      <c r="BN27" s="66"/>
      <c r="BO27" s="66"/>
      <c r="BP27" s="66"/>
      <c r="BQ27" s="66"/>
      <c r="BR27" s="66"/>
      <c r="BS27" s="66"/>
    </row>
    <row r="28">
      <c r="A28" s="48" t="s">
        <v>1664</v>
      </c>
      <c r="B28" s="48" t="s">
        <v>4946</v>
      </c>
      <c r="C28" s="48" t="s">
        <v>5019</v>
      </c>
      <c r="D28" s="174" t="str">
        <f>HYPERLINK("https://www.biostar.com.tw/","Biostar")</f>
        <v>Biostar</v>
      </c>
      <c r="E28" s="174" t="s">
        <v>5036</v>
      </c>
      <c r="F28" s="48" t="s">
        <v>5021</v>
      </c>
      <c r="G28" s="48" t="s">
        <v>166</v>
      </c>
      <c r="H28" s="48" t="s">
        <v>174</v>
      </c>
      <c r="I28" s="48" t="s">
        <v>174</v>
      </c>
      <c r="J28" s="48" t="s">
        <v>166</v>
      </c>
      <c r="K28" s="48" t="s">
        <v>166</v>
      </c>
      <c r="L28" s="48">
        <v>2.0</v>
      </c>
      <c r="M28" s="48" t="s">
        <v>3149</v>
      </c>
      <c r="N28" s="48">
        <v>64.0</v>
      </c>
      <c r="O28" s="48" t="s">
        <v>5037</v>
      </c>
      <c r="P28" s="48">
        <v>4.0</v>
      </c>
      <c r="Q28" s="711" t="s">
        <v>4950</v>
      </c>
      <c r="R28" s="697" t="s">
        <v>166</v>
      </c>
      <c r="S28" s="697" t="s">
        <v>166</v>
      </c>
      <c r="T28" s="697">
        <v>4.0</v>
      </c>
      <c r="U28" s="48" t="s">
        <v>166</v>
      </c>
      <c r="V28" s="48">
        <v>1.0</v>
      </c>
      <c r="W28" s="48">
        <v>1.0</v>
      </c>
      <c r="X28" s="48" t="s">
        <v>166</v>
      </c>
      <c r="Y28" s="48" t="s">
        <v>166</v>
      </c>
      <c r="Z28" s="48" t="s">
        <v>166</v>
      </c>
      <c r="AA28" s="48" t="s">
        <v>166</v>
      </c>
      <c r="AB28" s="48">
        <f t="shared" si="1"/>
        <v>6</v>
      </c>
      <c r="AC28" s="48">
        <v>1.0</v>
      </c>
      <c r="AD28" s="48">
        <v>1.0</v>
      </c>
      <c r="AE28" s="48" t="s">
        <v>166</v>
      </c>
      <c r="AF28" s="697">
        <v>1.0</v>
      </c>
      <c r="AG28" s="48" t="s">
        <v>5038</v>
      </c>
      <c r="AH28" s="48">
        <v>2.5</v>
      </c>
      <c r="AI28" s="48">
        <v>1.0</v>
      </c>
      <c r="AJ28" s="48" t="s">
        <v>166</v>
      </c>
      <c r="AK28" s="48" t="s">
        <v>232</v>
      </c>
      <c r="AL28" s="48" t="s">
        <v>166</v>
      </c>
      <c r="AM28" s="48" t="s">
        <v>166</v>
      </c>
      <c r="AN28" s="705" t="s">
        <v>5039</v>
      </c>
      <c r="AO28" s="48" t="s">
        <v>166</v>
      </c>
      <c r="AP28" s="48">
        <v>3.0</v>
      </c>
      <c r="AQ28" s="48">
        <v>1.0</v>
      </c>
      <c r="AR28" s="48">
        <v>1.0</v>
      </c>
      <c r="AS28" s="48">
        <v>1.0</v>
      </c>
      <c r="AT28" s="48" t="s">
        <v>166</v>
      </c>
      <c r="AU28" s="48" t="s">
        <v>166</v>
      </c>
      <c r="AV28" s="48">
        <v>3.0</v>
      </c>
      <c r="AW28" s="48">
        <v>1.0</v>
      </c>
      <c r="AX28" s="48">
        <v>1.0</v>
      </c>
      <c r="AY28" s="48" t="s">
        <v>174</v>
      </c>
      <c r="AZ28" s="48" t="s">
        <v>166</v>
      </c>
      <c r="BA28" s="48" t="s">
        <v>5012</v>
      </c>
      <c r="BB28" s="48" t="s">
        <v>4954</v>
      </c>
      <c r="BC28" s="48" t="s">
        <v>4963</v>
      </c>
      <c r="BD28" s="48">
        <v>6.0</v>
      </c>
      <c r="BE28" s="698" t="s">
        <v>5040</v>
      </c>
      <c r="BF28" s="698"/>
      <c r="BG28" s="66"/>
      <c r="BH28" s="66"/>
      <c r="BI28" s="66"/>
      <c r="BJ28" s="66"/>
      <c r="BK28" s="66"/>
      <c r="BL28" s="66"/>
      <c r="BM28" s="66"/>
      <c r="BN28" s="66"/>
      <c r="BO28" s="66"/>
      <c r="BP28" s="66"/>
      <c r="BQ28" s="66"/>
      <c r="BR28" s="66"/>
      <c r="BS28" s="66"/>
    </row>
    <row r="29">
      <c r="A29" s="48" t="s">
        <v>1664</v>
      </c>
      <c r="B29" s="48" t="s">
        <v>4946</v>
      </c>
      <c r="C29" s="48" t="s">
        <v>5019</v>
      </c>
      <c r="D29" s="174" t="str">
        <f>HYPERLINK("https://www.gigabyte.com/","Gigabyte")</f>
        <v>Gigabyte</v>
      </c>
      <c r="E29" s="174" t="s">
        <v>5041</v>
      </c>
      <c r="F29" s="48" t="s">
        <v>5021</v>
      </c>
      <c r="G29" s="48" t="s">
        <v>174</v>
      </c>
      <c r="H29" s="48" t="s">
        <v>174</v>
      </c>
      <c r="I29" s="48" t="s">
        <v>174</v>
      </c>
      <c r="J29" s="48" t="s">
        <v>174</v>
      </c>
      <c r="K29" s="48" t="s">
        <v>166</v>
      </c>
      <c r="L29" s="48">
        <v>2.0</v>
      </c>
      <c r="M29" s="48" t="s">
        <v>3149</v>
      </c>
      <c r="N29" s="48">
        <v>64.0</v>
      </c>
      <c r="O29" s="48" t="s">
        <v>5011</v>
      </c>
      <c r="P29" s="48">
        <v>4.0</v>
      </c>
      <c r="Q29" s="698" t="s">
        <v>5042</v>
      </c>
      <c r="R29" s="697" t="s">
        <v>166</v>
      </c>
      <c r="S29" s="697" t="s">
        <v>166</v>
      </c>
      <c r="T29" s="697">
        <v>4.0</v>
      </c>
      <c r="U29" s="48" t="s">
        <v>166</v>
      </c>
      <c r="V29" s="48">
        <v>1.0</v>
      </c>
      <c r="W29" s="48">
        <v>1.0</v>
      </c>
      <c r="X29" s="48" t="s">
        <v>166</v>
      </c>
      <c r="Y29" s="48" t="s">
        <v>166</v>
      </c>
      <c r="Z29" s="48" t="s">
        <v>166</v>
      </c>
      <c r="AA29" s="48" t="s">
        <v>166</v>
      </c>
      <c r="AB29" s="48">
        <f t="shared" si="1"/>
        <v>6</v>
      </c>
      <c r="AC29" s="48">
        <v>1.0</v>
      </c>
      <c r="AD29" s="48">
        <v>1.0</v>
      </c>
      <c r="AE29" s="48" t="s">
        <v>166</v>
      </c>
      <c r="AF29" s="697">
        <v>1.0</v>
      </c>
      <c r="AG29" s="48" t="s">
        <v>5043</v>
      </c>
      <c r="AH29" s="48">
        <v>2.5</v>
      </c>
      <c r="AI29" s="48">
        <v>1.0</v>
      </c>
      <c r="AJ29" s="48" t="s">
        <v>5044</v>
      </c>
      <c r="AK29" s="48" t="s">
        <v>5045</v>
      </c>
      <c r="AL29" s="48">
        <v>1200.0</v>
      </c>
      <c r="AM29" s="48">
        <v>5.2</v>
      </c>
      <c r="AN29" s="48" t="s">
        <v>4998</v>
      </c>
      <c r="AO29" s="48" t="s">
        <v>166</v>
      </c>
      <c r="AP29" s="48">
        <v>3.0</v>
      </c>
      <c r="AQ29" s="48" t="s">
        <v>166</v>
      </c>
      <c r="AR29" s="48">
        <v>1.0</v>
      </c>
      <c r="AS29" s="48">
        <v>2.0</v>
      </c>
      <c r="AT29" s="48" t="s">
        <v>166</v>
      </c>
      <c r="AU29" s="48" t="s">
        <v>166</v>
      </c>
      <c r="AV29" s="48">
        <v>3.0</v>
      </c>
      <c r="AW29" s="48">
        <v>1.0</v>
      </c>
      <c r="AX29" s="48">
        <v>1.0</v>
      </c>
      <c r="AY29" s="48" t="s">
        <v>166</v>
      </c>
      <c r="AZ29" s="48" t="s">
        <v>174</v>
      </c>
      <c r="BA29" s="48" t="s">
        <v>5012</v>
      </c>
      <c r="BB29" s="48" t="s">
        <v>4954</v>
      </c>
      <c r="BC29" s="48" t="s">
        <v>4963</v>
      </c>
      <c r="BD29" s="48">
        <v>6.0</v>
      </c>
      <c r="BE29" s="698" t="s">
        <v>5029</v>
      </c>
      <c r="BF29" s="698" t="s">
        <v>5014</v>
      </c>
      <c r="BG29" s="66"/>
      <c r="BH29" s="66"/>
      <c r="BI29" s="66"/>
      <c r="BJ29" s="66"/>
      <c r="BK29" s="66"/>
      <c r="BL29" s="66"/>
      <c r="BM29" s="66"/>
      <c r="BN29" s="66"/>
      <c r="BO29" s="66"/>
      <c r="BP29" s="66"/>
      <c r="BQ29" s="66"/>
      <c r="BR29" s="66"/>
      <c r="BS29" s="66"/>
    </row>
    <row r="30">
      <c r="A30" s="48" t="s">
        <v>1664</v>
      </c>
      <c r="B30" s="48" t="s">
        <v>4946</v>
      </c>
      <c r="C30" s="48" t="s">
        <v>5019</v>
      </c>
      <c r="D30" s="174" t="str">
        <f t="shared" ref="D30:D31" si="5">HYPERLINK("https://www.msi.com/index.php","MSI")</f>
        <v>MSI</v>
      </c>
      <c r="E30" s="174" t="s">
        <v>5046</v>
      </c>
      <c r="F30" s="48" t="s">
        <v>5021</v>
      </c>
      <c r="G30" s="48" t="s">
        <v>174</v>
      </c>
      <c r="H30" s="48" t="s">
        <v>174</v>
      </c>
      <c r="I30" s="48" t="s">
        <v>174</v>
      </c>
      <c r="J30" s="48" t="s">
        <v>174</v>
      </c>
      <c r="K30" s="48" t="s">
        <v>166</v>
      </c>
      <c r="L30" s="48">
        <v>2.0</v>
      </c>
      <c r="M30" s="48" t="s">
        <v>3149</v>
      </c>
      <c r="N30" s="48">
        <v>64.0</v>
      </c>
      <c r="O30" s="48" t="s">
        <v>5047</v>
      </c>
      <c r="P30" s="48">
        <v>4.0</v>
      </c>
      <c r="Q30" s="698" t="s">
        <v>5048</v>
      </c>
      <c r="R30" s="697">
        <v>2.0</v>
      </c>
      <c r="S30" s="697" t="s">
        <v>166</v>
      </c>
      <c r="T30" s="697">
        <v>2.0</v>
      </c>
      <c r="U30" s="697" t="s">
        <v>166</v>
      </c>
      <c r="V30" s="697">
        <v>1.0</v>
      </c>
      <c r="W30" s="697">
        <v>1.0</v>
      </c>
      <c r="X30" s="697" t="s">
        <v>166</v>
      </c>
      <c r="Y30" s="697" t="s">
        <v>166</v>
      </c>
      <c r="Z30" s="697" t="s">
        <v>166</v>
      </c>
      <c r="AA30" s="697" t="s">
        <v>166</v>
      </c>
      <c r="AB30" s="48">
        <f t="shared" si="1"/>
        <v>6</v>
      </c>
      <c r="AC30" s="48">
        <v>1.0</v>
      </c>
      <c r="AD30" s="48">
        <v>1.0</v>
      </c>
      <c r="AE30" s="48" t="s">
        <v>5049</v>
      </c>
      <c r="AF30" s="697">
        <v>1.0</v>
      </c>
      <c r="AG30" s="48" t="s">
        <v>5043</v>
      </c>
      <c r="AH30" s="48">
        <v>2.5</v>
      </c>
      <c r="AI30" s="48">
        <v>1.0</v>
      </c>
      <c r="AJ30" s="48" t="s">
        <v>5027</v>
      </c>
      <c r="AK30" s="48" t="s">
        <v>5028</v>
      </c>
      <c r="AL30" s="48">
        <v>2400.0</v>
      </c>
      <c r="AM30" s="48">
        <v>5.1</v>
      </c>
      <c r="AN30" s="48" t="s">
        <v>5050</v>
      </c>
      <c r="AO30" s="48" t="s">
        <v>174</v>
      </c>
      <c r="AP30" s="48">
        <v>5.0</v>
      </c>
      <c r="AQ30" s="48">
        <v>1.0</v>
      </c>
      <c r="AR30" s="48" t="s">
        <v>166</v>
      </c>
      <c r="AS30" s="48">
        <v>1.0</v>
      </c>
      <c r="AT30" s="48" t="s">
        <v>166</v>
      </c>
      <c r="AU30" s="48" t="s">
        <v>166</v>
      </c>
      <c r="AV30" s="48">
        <v>3.0</v>
      </c>
      <c r="AW30" s="48" t="s">
        <v>166</v>
      </c>
      <c r="AX30" s="48">
        <v>1.0</v>
      </c>
      <c r="AY30" s="48" t="s">
        <v>174</v>
      </c>
      <c r="AZ30" s="48" t="s">
        <v>174</v>
      </c>
      <c r="BA30" s="48" t="s">
        <v>5051</v>
      </c>
      <c r="BB30" s="48" t="s">
        <v>5034</v>
      </c>
      <c r="BC30" s="48" t="s">
        <v>4963</v>
      </c>
      <c r="BD30" s="48">
        <v>8.0</v>
      </c>
      <c r="BE30" s="698" t="s">
        <v>5052</v>
      </c>
      <c r="BF30" s="698" t="s">
        <v>5053</v>
      </c>
      <c r="BG30" s="66"/>
      <c r="BH30" s="66"/>
      <c r="BI30" s="66"/>
      <c r="BJ30" s="66"/>
      <c r="BK30" s="66"/>
      <c r="BL30" s="66"/>
      <c r="BM30" s="66"/>
      <c r="BN30" s="66"/>
      <c r="BO30" s="66"/>
      <c r="BP30" s="66"/>
      <c r="BQ30" s="66"/>
      <c r="BR30" s="66"/>
      <c r="BS30" s="66"/>
    </row>
    <row r="31">
      <c r="A31" s="48" t="s">
        <v>1664</v>
      </c>
      <c r="B31" s="48" t="s">
        <v>4946</v>
      </c>
      <c r="C31" s="48" t="s">
        <v>5019</v>
      </c>
      <c r="D31" s="174" t="str">
        <f t="shared" si="5"/>
        <v>MSI</v>
      </c>
      <c r="E31" s="174" t="s">
        <v>5054</v>
      </c>
      <c r="F31" s="48" t="s">
        <v>5021</v>
      </c>
      <c r="G31" s="48" t="s">
        <v>174</v>
      </c>
      <c r="H31" s="48" t="s">
        <v>174</v>
      </c>
      <c r="I31" s="48" t="s">
        <v>174</v>
      </c>
      <c r="J31" s="48" t="s">
        <v>174</v>
      </c>
      <c r="K31" s="48" t="s">
        <v>174</v>
      </c>
      <c r="L31" s="48">
        <v>2.0</v>
      </c>
      <c r="M31" s="48" t="s">
        <v>3149</v>
      </c>
      <c r="N31" s="48">
        <v>64.0</v>
      </c>
      <c r="O31" s="48" t="s">
        <v>5047</v>
      </c>
      <c r="P31" s="48">
        <v>4.0</v>
      </c>
      <c r="Q31" s="698" t="s">
        <v>5055</v>
      </c>
      <c r="R31" s="697">
        <v>2.0</v>
      </c>
      <c r="S31" s="697" t="s">
        <v>166</v>
      </c>
      <c r="T31" s="697">
        <v>2.0</v>
      </c>
      <c r="U31" s="697" t="s">
        <v>166</v>
      </c>
      <c r="V31" s="697">
        <v>1.0</v>
      </c>
      <c r="W31" s="697">
        <v>1.0</v>
      </c>
      <c r="X31" s="697" t="s">
        <v>166</v>
      </c>
      <c r="Y31" s="697" t="s">
        <v>166</v>
      </c>
      <c r="Z31" s="697" t="s">
        <v>166</v>
      </c>
      <c r="AA31" s="697" t="s">
        <v>166</v>
      </c>
      <c r="AB31" s="48">
        <f t="shared" si="1"/>
        <v>6</v>
      </c>
      <c r="AC31" s="48">
        <v>1.0</v>
      </c>
      <c r="AD31" s="48">
        <v>1.0</v>
      </c>
      <c r="AE31" s="48" t="s">
        <v>5049</v>
      </c>
      <c r="AF31" s="697">
        <v>1.0</v>
      </c>
      <c r="AG31" s="48" t="s">
        <v>5043</v>
      </c>
      <c r="AH31" s="48">
        <v>2.5</v>
      </c>
      <c r="AI31" s="48">
        <v>1.0</v>
      </c>
      <c r="AJ31" s="48" t="s">
        <v>5027</v>
      </c>
      <c r="AK31" s="48" t="s">
        <v>5028</v>
      </c>
      <c r="AL31" s="48">
        <v>2400.0</v>
      </c>
      <c r="AM31" s="48">
        <v>5.1</v>
      </c>
      <c r="AN31" s="48" t="s">
        <v>5050</v>
      </c>
      <c r="AO31" s="48" t="s">
        <v>174</v>
      </c>
      <c r="AP31" s="48">
        <v>5.0</v>
      </c>
      <c r="AQ31" s="48">
        <v>1.0</v>
      </c>
      <c r="AR31" s="48" t="s">
        <v>166</v>
      </c>
      <c r="AS31" s="48">
        <v>1.0</v>
      </c>
      <c r="AT31" s="48" t="s">
        <v>166</v>
      </c>
      <c r="AU31" s="48" t="s">
        <v>166</v>
      </c>
      <c r="AV31" s="48">
        <v>3.0</v>
      </c>
      <c r="AW31" s="48" t="s">
        <v>166</v>
      </c>
      <c r="AX31" s="48">
        <v>1.0</v>
      </c>
      <c r="AY31" s="48" t="s">
        <v>174</v>
      </c>
      <c r="AZ31" s="48" t="s">
        <v>174</v>
      </c>
      <c r="BA31" s="48" t="s">
        <v>5051</v>
      </c>
      <c r="BB31" s="48" t="s">
        <v>5034</v>
      </c>
      <c r="BC31" s="48" t="s">
        <v>4963</v>
      </c>
      <c r="BD31" s="48">
        <v>8.0</v>
      </c>
      <c r="BE31" s="698" t="s">
        <v>5052</v>
      </c>
      <c r="BF31" s="698" t="s">
        <v>5053</v>
      </c>
      <c r="BG31" s="66"/>
      <c r="BH31" s="66"/>
      <c r="BI31" s="66"/>
      <c r="BJ31" s="66"/>
      <c r="BK31" s="66"/>
      <c r="BL31" s="66"/>
      <c r="BM31" s="66"/>
      <c r="BN31" s="66"/>
      <c r="BO31" s="66"/>
      <c r="BP31" s="66"/>
      <c r="BQ31" s="66"/>
      <c r="BR31" s="66"/>
      <c r="BS31" s="66"/>
    </row>
    <row r="32">
      <c r="A32" s="700" t="s">
        <v>1664</v>
      </c>
      <c r="B32" s="700" t="s">
        <v>4946</v>
      </c>
      <c r="C32" s="700" t="s">
        <v>5019</v>
      </c>
      <c r="D32" s="291" t="s">
        <v>1432</v>
      </c>
      <c r="E32" s="291" t="s">
        <v>5056</v>
      </c>
      <c r="F32" s="700" t="s">
        <v>5021</v>
      </c>
      <c r="G32" s="700" t="s">
        <v>166</v>
      </c>
      <c r="H32" s="700" t="s">
        <v>174</v>
      </c>
      <c r="I32" s="700" t="s">
        <v>174</v>
      </c>
      <c r="J32" s="700" t="s">
        <v>166</v>
      </c>
      <c r="K32" s="700" t="s">
        <v>174</v>
      </c>
      <c r="L32" s="700">
        <v>2.0</v>
      </c>
      <c r="M32" s="700" t="s">
        <v>3149</v>
      </c>
      <c r="N32" s="700">
        <v>64.0</v>
      </c>
      <c r="O32" s="700" t="s">
        <v>5047</v>
      </c>
      <c r="P32" s="700">
        <v>4.0</v>
      </c>
      <c r="Q32" s="703" t="s">
        <v>5057</v>
      </c>
      <c r="R32" s="702" t="s">
        <v>166</v>
      </c>
      <c r="S32" s="702" t="s">
        <v>166</v>
      </c>
      <c r="T32" s="702">
        <v>3.0</v>
      </c>
      <c r="U32" s="702" t="s">
        <v>166</v>
      </c>
      <c r="V32" s="702">
        <v>2.0</v>
      </c>
      <c r="W32" s="702">
        <v>1.0</v>
      </c>
      <c r="X32" s="702" t="s">
        <v>166</v>
      </c>
      <c r="Y32" s="702" t="s">
        <v>166</v>
      </c>
      <c r="Z32" s="702" t="s">
        <v>166</v>
      </c>
      <c r="AA32" s="702" t="s">
        <v>166</v>
      </c>
      <c r="AB32" s="700">
        <f t="shared" si="1"/>
        <v>6</v>
      </c>
      <c r="AC32" s="700" t="s">
        <v>166</v>
      </c>
      <c r="AD32" s="700">
        <v>1.0</v>
      </c>
      <c r="AE32" s="700" t="s">
        <v>166</v>
      </c>
      <c r="AF32" s="713">
        <v>1.0</v>
      </c>
      <c r="AG32" s="712" t="s">
        <v>4959</v>
      </c>
      <c r="AH32" s="712">
        <v>1.0</v>
      </c>
      <c r="AI32" s="700">
        <v>1.0</v>
      </c>
      <c r="AJ32" s="700" t="s">
        <v>166</v>
      </c>
      <c r="AK32" s="700" t="s">
        <v>232</v>
      </c>
      <c r="AL32" s="700" t="s">
        <v>166</v>
      </c>
      <c r="AM32" s="700" t="s">
        <v>166</v>
      </c>
      <c r="AN32" s="712" t="s">
        <v>4952</v>
      </c>
      <c r="AO32" s="700" t="s">
        <v>166</v>
      </c>
      <c r="AP32" s="700">
        <v>3.0</v>
      </c>
      <c r="AQ32" s="700" t="s">
        <v>166</v>
      </c>
      <c r="AR32" s="700">
        <v>1.0</v>
      </c>
      <c r="AS32" s="700">
        <v>1.0</v>
      </c>
      <c r="AT32" s="700" t="s">
        <v>166</v>
      </c>
      <c r="AU32" s="700" t="s">
        <v>166</v>
      </c>
      <c r="AV32" s="700">
        <v>2.0</v>
      </c>
      <c r="AW32" s="700" t="s">
        <v>166</v>
      </c>
      <c r="AX32" s="700">
        <v>1.0</v>
      </c>
      <c r="AY32" s="700" t="s">
        <v>174</v>
      </c>
      <c r="AZ32" s="700" t="s">
        <v>174</v>
      </c>
      <c r="BA32" s="700" t="s">
        <v>170</v>
      </c>
      <c r="BB32" s="700" t="s">
        <v>5058</v>
      </c>
      <c r="BC32" s="700" t="s">
        <v>4963</v>
      </c>
      <c r="BD32" s="700" t="s">
        <v>5058</v>
      </c>
      <c r="BE32" s="703" t="s">
        <v>5059</v>
      </c>
      <c r="BF32" s="703"/>
      <c r="BG32" s="66"/>
      <c r="BH32" s="66"/>
      <c r="BI32" s="66"/>
      <c r="BJ32" s="66"/>
      <c r="BK32" s="66"/>
      <c r="BL32" s="66"/>
      <c r="BM32" s="66"/>
      <c r="BN32" s="66"/>
      <c r="BO32" s="66"/>
      <c r="BP32" s="66"/>
      <c r="BQ32" s="66"/>
      <c r="BR32" s="66"/>
      <c r="BS32" s="66"/>
    </row>
    <row r="33">
      <c r="A33" s="705" t="s">
        <v>1664</v>
      </c>
      <c r="B33" s="705" t="s">
        <v>4946</v>
      </c>
      <c r="C33" s="705" t="s">
        <v>5060</v>
      </c>
      <c r="D33" s="282" t="s">
        <v>169</v>
      </c>
      <c r="E33" s="282" t="str">
        <f>HYPERLINK("https://www.asrock.com/mb/AMD/X570%20Phantom%20Gaming-ITXTB3/index.asp","X570 Phantom Gaming-ITX/TB3")</f>
        <v>X570 Phantom Gaming-ITX/TB3</v>
      </c>
      <c r="F33" s="705" t="s">
        <v>5021</v>
      </c>
      <c r="G33" s="705" t="s">
        <v>174</v>
      </c>
      <c r="H33" s="705" t="s">
        <v>174</v>
      </c>
      <c r="I33" s="705" t="s">
        <v>174</v>
      </c>
      <c r="J33" s="705" t="s">
        <v>166</v>
      </c>
      <c r="K33" s="705" t="s">
        <v>174</v>
      </c>
      <c r="L33" s="705">
        <v>2.0</v>
      </c>
      <c r="M33" s="705" t="s">
        <v>3149</v>
      </c>
      <c r="N33" s="705">
        <v>64.0</v>
      </c>
      <c r="O33" s="705" t="s">
        <v>5061</v>
      </c>
      <c r="P33" s="705">
        <v>4.0</v>
      </c>
      <c r="Q33" s="706" t="s">
        <v>5062</v>
      </c>
      <c r="R33" s="707" t="s">
        <v>166</v>
      </c>
      <c r="S33" s="707" t="s">
        <v>166</v>
      </c>
      <c r="T33" s="707">
        <v>2.0</v>
      </c>
      <c r="U33" s="705" t="s">
        <v>166</v>
      </c>
      <c r="V33" s="705">
        <v>2.0</v>
      </c>
      <c r="W33" s="705" t="s">
        <v>166</v>
      </c>
      <c r="X33" s="705" t="s">
        <v>166</v>
      </c>
      <c r="Y33" s="705" t="s">
        <v>166</v>
      </c>
      <c r="Z33" s="705">
        <v>1.0</v>
      </c>
      <c r="AA33" s="705" t="s">
        <v>166</v>
      </c>
      <c r="AB33" s="705">
        <f t="shared" si="1"/>
        <v>5</v>
      </c>
      <c r="AC33" s="705">
        <v>1.0</v>
      </c>
      <c r="AD33" s="705">
        <v>1.0</v>
      </c>
      <c r="AE33" s="705" t="s">
        <v>166</v>
      </c>
      <c r="AF33" s="707">
        <v>1.0</v>
      </c>
      <c r="AG33" s="705" t="s">
        <v>4951</v>
      </c>
      <c r="AH33" s="705">
        <v>1.0</v>
      </c>
      <c r="AI33" s="705">
        <v>1.0</v>
      </c>
      <c r="AJ33" s="705" t="s">
        <v>5027</v>
      </c>
      <c r="AK33" s="705" t="s">
        <v>5028</v>
      </c>
      <c r="AL33" s="705">
        <v>2400.0</v>
      </c>
      <c r="AM33" s="705">
        <v>5.1</v>
      </c>
      <c r="AN33" s="705" t="s">
        <v>4952</v>
      </c>
      <c r="AO33" s="705" t="s">
        <v>174</v>
      </c>
      <c r="AP33" s="705">
        <v>5.0</v>
      </c>
      <c r="AQ33" s="705">
        <v>1.0</v>
      </c>
      <c r="AR33" s="705">
        <v>1.0</v>
      </c>
      <c r="AS33" s="705">
        <v>1.0</v>
      </c>
      <c r="AT33" s="705" t="s">
        <v>166</v>
      </c>
      <c r="AU33" s="705" t="s">
        <v>166</v>
      </c>
      <c r="AV33" s="705">
        <v>3.0</v>
      </c>
      <c r="AW33" s="705">
        <v>1.0</v>
      </c>
      <c r="AX33" s="705">
        <v>1.0</v>
      </c>
      <c r="AY33" s="705" t="s">
        <v>166</v>
      </c>
      <c r="AZ33" s="705" t="s">
        <v>174</v>
      </c>
      <c r="BA33" s="705" t="s">
        <v>5063</v>
      </c>
      <c r="BB33" s="705" t="s">
        <v>5034</v>
      </c>
      <c r="BC33" s="705" t="s">
        <v>5064</v>
      </c>
      <c r="BD33" s="705">
        <v>8.0</v>
      </c>
      <c r="BE33" s="708" t="s">
        <v>5065</v>
      </c>
      <c r="BF33" s="708" t="s">
        <v>5066</v>
      </c>
      <c r="BG33" s="66"/>
      <c r="BH33" s="66"/>
      <c r="BI33" s="66"/>
      <c r="BJ33" s="66"/>
      <c r="BK33" s="66"/>
      <c r="BL33" s="66"/>
      <c r="BM33" s="66"/>
      <c r="BN33" s="66"/>
      <c r="BO33" s="66"/>
      <c r="BP33" s="66"/>
      <c r="BQ33" s="66"/>
      <c r="BR33" s="66"/>
      <c r="BS33" s="66"/>
    </row>
    <row r="34">
      <c r="A34" s="48" t="s">
        <v>1664</v>
      </c>
      <c r="B34" s="48" t="s">
        <v>4946</v>
      </c>
      <c r="C34" s="48" t="s">
        <v>5060</v>
      </c>
      <c r="D34" s="174" t="s">
        <v>5067</v>
      </c>
      <c r="E34" s="174" t="s">
        <v>5068</v>
      </c>
      <c r="F34" s="48" t="s">
        <v>5021</v>
      </c>
      <c r="G34" s="48" t="s">
        <v>174</v>
      </c>
      <c r="H34" s="48" t="s">
        <v>174</v>
      </c>
      <c r="I34" s="48" t="s">
        <v>174</v>
      </c>
      <c r="J34" s="48" t="s">
        <v>174</v>
      </c>
      <c r="K34" s="48" t="s">
        <v>166</v>
      </c>
      <c r="L34" s="48">
        <v>4.0</v>
      </c>
      <c r="M34" s="48" t="s">
        <v>3149</v>
      </c>
      <c r="N34" s="48">
        <v>128.0</v>
      </c>
      <c r="O34" s="48">
        <v>2933.0</v>
      </c>
      <c r="P34" s="48">
        <v>8.0</v>
      </c>
      <c r="Q34" s="710" t="s">
        <v>4950</v>
      </c>
      <c r="R34" s="697" t="s">
        <v>166</v>
      </c>
      <c r="S34" s="697" t="s">
        <v>166</v>
      </c>
      <c r="T34" s="697">
        <v>2.0</v>
      </c>
      <c r="U34" s="48" t="s">
        <v>166</v>
      </c>
      <c r="V34" s="48" t="s">
        <v>166</v>
      </c>
      <c r="W34" s="48" t="s">
        <v>166</v>
      </c>
      <c r="X34" s="48" t="s">
        <v>166</v>
      </c>
      <c r="Y34" s="48" t="s">
        <v>166</v>
      </c>
      <c r="Z34" s="48" t="s">
        <v>166</v>
      </c>
      <c r="AA34" s="48" t="s">
        <v>166</v>
      </c>
      <c r="AB34" s="48">
        <f t="shared" si="1"/>
        <v>2</v>
      </c>
      <c r="AC34" s="48" t="s">
        <v>166</v>
      </c>
      <c r="AD34" s="48">
        <v>1.0</v>
      </c>
      <c r="AE34" s="48" t="s">
        <v>166</v>
      </c>
      <c r="AF34" s="697">
        <v>2.0</v>
      </c>
      <c r="AG34" s="48" t="s">
        <v>5069</v>
      </c>
      <c r="AH34" s="48">
        <v>10.0</v>
      </c>
      <c r="AI34" s="48" t="s">
        <v>166</v>
      </c>
      <c r="AJ34" s="48" t="s">
        <v>166</v>
      </c>
      <c r="AK34" s="48" t="s">
        <v>166</v>
      </c>
      <c r="AL34" s="48" t="s">
        <v>166</v>
      </c>
      <c r="AM34" s="48" t="s">
        <v>166</v>
      </c>
      <c r="AN34" s="48" t="s">
        <v>166</v>
      </c>
      <c r="AO34" s="48" t="s">
        <v>166</v>
      </c>
      <c r="AP34" s="48" t="s">
        <v>166</v>
      </c>
      <c r="AQ34" s="48" t="s">
        <v>166</v>
      </c>
      <c r="AR34" s="48" t="s">
        <v>166</v>
      </c>
      <c r="AS34" s="48" t="s">
        <v>166</v>
      </c>
      <c r="AT34" s="48" t="s">
        <v>166</v>
      </c>
      <c r="AU34" s="48">
        <v>1.0</v>
      </c>
      <c r="AV34" s="48">
        <v>3.0</v>
      </c>
      <c r="AW34" s="48" t="s">
        <v>166</v>
      </c>
      <c r="AX34" s="48" t="s">
        <v>166</v>
      </c>
      <c r="AY34" s="48" t="s">
        <v>166</v>
      </c>
      <c r="AZ34" s="48" t="s">
        <v>166</v>
      </c>
      <c r="BA34" s="48" t="s">
        <v>170</v>
      </c>
      <c r="BB34" s="48" t="s">
        <v>170</v>
      </c>
      <c r="BC34" s="48" t="s">
        <v>170</v>
      </c>
      <c r="BD34" s="48" t="s">
        <v>170</v>
      </c>
      <c r="BE34" s="698" t="s">
        <v>170</v>
      </c>
      <c r="BF34" s="698" t="s">
        <v>5070</v>
      </c>
      <c r="BG34" s="66"/>
      <c r="BH34" s="66"/>
      <c r="BI34" s="66"/>
      <c r="BJ34" s="66"/>
      <c r="BK34" s="66"/>
      <c r="BL34" s="66"/>
      <c r="BM34" s="66"/>
      <c r="BN34" s="66"/>
      <c r="BO34" s="66"/>
      <c r="BP34" s="66"/>
      <c r="BQ34" s="66"/>
      <c r="BR34" s="66"/>
      <c r="BS34" s="66"/>
    </row>
    <row r="35">
      <c r="A35" s="48" t="s">
        <v>1664</v>
      </c>
      <c r="B35" s="48" t="s">
        <v>4946</v>
      </c>
      <c r="C35" s="48" t="s">
        <v>5060</v>
      </c>
      <c r="D35" s="174" t="s">
        <v>5067</v>
      </c>
      <c r="E35" s="174" t="s">
        <v>5071</v>
      </c>
      <c r="F35" s="48" t="s">
        <v>5021</v>
      </c>
      <c r="G35" s="48" t="s">
        <v>174</v>
      </c>
      <c r="H35" s="48" t="s">
        <v>174</v>
      </c>
      <c r="I35" s="48" t="s">
        <v>174</v>
      </c>
      <c r="J35" s="48" t="s">
        <v>174</v>
      </c>
      <c r="K35" s="48" t="s">
        <v>166</v>
      </c>
      <c r="L35" s="48">
        <v>4.0</v>
      </c>
      <c r="M35" s="48" t="s">
        <v>3149</v>
      </c>
      <c r="N35" s="48">
        <v>128.0</v>
      </c>
      <c r="O35" s="48">
        <v>2933.0</v>
      </c>
      <c r="P35" s="48">
        <v>8.0</v>
      </c>
      <c r="Q35" s="710" t="s">
        <v>4950</v>
      </c>
      <c r="R35" s="697" t="s">
        <v>166</v>
      </c>
      <c r="S35" s="697" t="s">
        <v>166</v>
      </c>
      <c r="T35" s="697" t="s">
        <v>166</v>
      </c>
      <c r="U35" s="48" t="s">
        <v>166</v>
      </c>
      <c r="V35" s="48">
        <v>2.0</v>
      </c>
      <c r="W35" s="48" t="s">
        <v>166</v>
      </c>
      <c r="X35" s="48" t="s">
        <v>166</v>
      </c>
      <c r="Y35" s="48" t="s">
        <v>166</v>
      </c>
      <c r="Z35" s="48" t="s">
        <v>166</v>
      </c>
      <c r="AA35" s="48" t="s">
        <v>166</v>
      </c>
      <c r="AB35" s="48">
        <f t="shared" si="1"/>
        <v>2</v>
      </c>
      <c r="AC35" s="48" t="s">
        <v>166</v>
      </c>
      <c r="AD35" s="48">
        <v>1.0</v>
      </c>
      <c r="AE35" s="48" t="s">
        <v>166</v>
      </c>
      <c r="AF35" s="697">
        <v>1.0</v>
      </c>
      <c r="AG35" s="48" t="s">
        <v>5072</v>
      </c>
      <c r="AH35" s="48">
        <v>1.0</v>
      </c>
      <c r="AI35" s="48" t="s">
        <v>166</v>
      </c>
      <c r="AJ35" s="48" t="s">
        <v>166</v>
      </c>
      <c r="AK35" s="48" t="s">
        <v>166</v>
      </c>
      <c r="AL35" s="48" t="s">
        <v>166</v>
      </c>
      <c r="AM35" s="48" t="s">
        <v>166</v>
      </c>
      <c r="AN35" s="48" t="s">
        <v>166</v>
      </c>
      <c r="AO35" s="48" t="s">
        <v>166</v>
      </c>
      <c r="AP35" s="48" t="s">
        <v>166</v>
      </c>
      <c r="AQ35" s="48" t="s">
        <v>166</v>
      </c>
      <c r="AR35" s="48" t="s">
        <v>166</v>
      </c>
      <c r="AS35" s="48" t="s">
        <v>166</v>
      </c>
      <c r="AT35" s="48" t="s">
        <v>166</v>
      </c>
      <c r="AU35" s="48">
        <v>1.0</v>
      </c>
      <c r="AV35" s="48">
        <v>3.0</v>
      </c>
      <c r="AW35" s="48" t="s">
        <v>166</v>
      </c>
      <c r="AX35" s="48" t="s">
        <v>166</v>
      </c>
      <c r="AY35" s="48" t="s">
        <v>166</v>
      </c>
      <c r="AZ35" s="48" t="s">
        <v>166</v>
      </c>
      <c r="BA35" s="48" t="s">
        <v>170</v>
      </c>
      <c r="BB35" s="48" t="s">
        <v>170</v>
      </c>
      <c r="BC35" s="48" t="s">
        <v>170</v>
      </c>
      <c r="BD35" s="48" t="s">
        <v>170</v>
      </c>
      <c r="BE35" s="698" t="s">
        <v>170</v>
      </c>
      <c r="BF35" s="698" t="s">
        <v>5070</v>
      </c>
      <c r="BG35" s="66"/>
      <c r="BH35" s="66"/>
      <c r="BI35" s="66"/>
      <c r="BJ35" s="66"/>
      <c r="BK35" s="66"/>
      <c r="BL35" s="66"/>
      <c r="BM35" s="66"/>
      <c r="BN35" s="66"/>
      <c r="BO35" s="66"/>
      <c r="BP35" s="66"/>
      <c r="BQ35" s="66"/>
      <c r="BR35" s="66"/>
      <c r="BS35" s="66"/>
    </row>
    <row r="36">
      <c r="A36" s="48" t="s">
        <v>1664</v>
      </c>
      <c r="B36" s="48" t="s">
        <v>4946</v>
      </c>
      <c r="C36" s="48" t="s">
        <v>5060</v>
      </c>
      <c r="D36" s="174" t="str">
        <f>HYPERLINK("https://www.asus.com/","Asus")</f>
        <v>Asus</v>
      </c>
      <c r="E36" s="174" t="s">
        <v>5073</v>
      </c>
      <c r="F36" s="48" t="s">
        <v>5021</v>
      </c>
      <c r="G36" s="48" t="s">
        <v>166</v>
      </c>
      <c r="H36" s="48" t="s">
        <v>174</v>
      </c>
      <c r="I36" s="48" t="s">
        <v>174</v>
      </c>
      <c r="J36" s="48" t="s">
        <v>166</v>
      </c>
      <c r="K36" s="48" t="s">
        <v>166</v>
      </c>
      <c r="L36" s="48">
        <v>2.0</v>
      </c>
      <c r="M36" s="48" t="s">
        <v>3149</v>
      </c>
      <c r="N36" s="48">
        <v>64.0</v>
      </c>
      <c r="O36" s="48" t="s">
        <v>5032</v>
      </c>
      <c r="P36" s="48">
        <v>4.0</v>
      </c>
      <c r="Q36" s="698" t="s">
        <v>5074</v>
      </c>
      <c r="R36" s="697" t="s">
        <v>166</v>
      </c>
      <c r="S36" s="697" t="s">
        <v>166</v>
      </c>
      <c r="T36" s="697">
        <v>4.0</v>
      </c>
      <c r="U36" s="48" t="s">
        <v>166</v>
      </c>
      <c r="V36" s="48">
        <v>3.0</v>
      </c>
      <c r="W36" s="48">
        <v>1.0</v>
      </c>
      <c r="X36" s="48" t="s">
        <v>166</v>
      </c>
      <c r="Y36" s="48" t="s">
        <v>166</v>
      </c>
      <c r="Z36" s="48" t="s">
        <v>166</v>
      </c>
      <c r="AA36" s="48" t="s">
        <v>166</v>
      </c>
      <c r="AB36" s="48">
        <f t="shared" si="1"/>
        <v>8</v>
      </c>
      <c r="AC36" s="48">
        <v>1.0</v>
      </c>
      <c r="AD36" s="48">
        <v>1.0</v>
      </c>
      <c r="AE36" s="48" t="s">
        <v>166</v>
      </c>
      <c r="AF36" s="697">
        <v>1.0</v>
      </c>
      <c r="AG36" s="48" t="s">
        <v>4951</v>
      </c>
      <c r="AH36" s="48">
        <v>1.0</v>
      </c>
      <c r="AI36" s="48">
        <v>1.0</v>
      </c>
      <c r="AJ36" s="48" t="s">
        <v>5027</v>
      </c>
      <c r="AK36" s="48" t="s">
        <v>5028</v>
      </c>
      <c r="AL36" s="48">
        <v>2400.0</v>
      </c>
      <c r="AM36" s="48">
        <v>5.1</v>
      </c>
      <c r="AN36" s="48" t="s">
        <v>4971</v>
      </c>
      <c r="AO36" s="48" t="s">
        <v>166</v>
      </c>
      <c r="AP36" s="48">
        <v>3.0</v>
      </c>
      <c r="AQ36" s="48" t="s">
        <v>166</v>
      </c>
      <c r="AR36" s="48">
        <v>1.0</v>
      </c>
      <c r="AS36" s="48">
        <v>1.0</v>
      </c>
      <c r="AT36" s="48" t="s">
        <v>166</v>
      </c>
      <c r="AU36" s="48" t="s">
        <v>166</v>
      </c>
      <c r="AV36" s="48">
        <v>3.0</v>
      </c>
      <c r="AW36" s="48">
        <v>1.0</v>
      </c>
      <c r="AX36" s="48">
        <v>1.0</v>
      </c>
      <c r="AY36" s="48" t="s">
        <v>174</v>
      </c>
      <c r="AZ36" s="48" t="s">
        <v>166</v>
      </c>
      <c r="BA36" s="48" t="s">
        <v>4972</v>
      </c>
      <c r="BB36" s="48" t="s">
        <v>5034</v>
      </c>
      <c r="BC36" s="48" t="s">
        <v>4955</v>
      </c>
      <c r="BD36" s="48">
        <v>8.0</v>
      </c>
      <c r="BE36" s="698" t="s">
        <v>5075</v>
      </c>
      <c r="BF36" s="698" t="s">
        <v>5076</v>
      </c>
      <c r="BG36" s="66"/>
      <c r="BH36" s="66"/>
      <c r="BI36" s="66"/>
      <c r="BJ36" s="66"/>
      <c r="BK36" s="66"/>
      <c r="BL36" s="66"/>
      <c r="BM36" s="66"/>
      <c r="BN36" s="66"/>
      <c r="BO36" s="66"/>
      <c r="BP36" s="66"/>
      <c r="BQ36" s="66"/>
      <c r="BR36" s="66"/>
      <c r="BS36" s="66"/>
    </row>
    <row r="37">
      <c r="A37" s="48" t="s">
        <v>1664</v>
      </c>
      <c r="B37" s="48" t="s">
        <v>4946</v>
      </c>
      <c r="C37" s="48" t="s">
        <v>5060</v>
      </c>
      <c r="D37" s="174" t="str">
        <f t="shared" ref="D37:D38" si="6">HYPERLINK("https://www.gigabyte.com/","Gigabyte")</f>
        <v>Gigabyte</v>
      </c>
      <c r="E37" s="174" t="str">
        <f>HYPERLINK("https://www.gigabyte.com/Motherboard/X570-I-AORUS-PRO-WIFI-rev-10#kf","X570 I AORUS PRO WIFI")</f>
        <v>X570 I AORUS PRO WIFI</v>
      </c>
      <c r="F37" s="48" t="s">
        <v>5021</v>
      </c>
      <c r="G37" s="48" t="s">
        <v>174</v>
      </c>
      <c r="H37" s="48" t="s">
        <v>174</v>
      </c>
      <c r="I37" s="48" t="s">
        <v>174</v>
      </c>
      <c r="J37" s="48" t="s">
        <v>174</v>
      </c>
      <c r="K37" s="48" t="s">
        <v>166</v>
      </c>
      <c r="L37" s="48">
        <v>2.0</v>
      </c>
      <c r="M37" s="48" t="s">
        <v>3149</v>
      </c>
      <c r="N37" s="48">
        <v>64.0</v>
      </c>
      <c r="O37" s="48" t="s">
        <v>5011</v>
      </c>
      <c r="P37" s="48">
        <v>4.0</v>
      </c>
      <c r="Q37" s="698" t="s">
        <v>5077</v>
      </c>
      <c r="R37" s="697" t="s">
        <v>166</v>
      </c>
      <c r="S37" s="697" t="s">
        <v>166</v>
      </c>
      <c r="T37" s="697">
        <v>4.0</v>
      </c>
      <c r="U37" s="48" t="s">
        <v>166</v>
      </c>
      <c r="V37" s="48">
        <v>1.0</v>
      </c>
      <c r="W37" s="48">
        <v>1.0</v>
      </c>
      <c r="X37" s="48" t="s">
        <v>166</v>
      </c>
      <c r="Y37" s="48" t="s">
        <v>166</v>
      </c>
      <c r="Z37" s="48" t="s">
        <v>166</v>
      </c>
      <c r="AA37" s="48" t="s">
        <v>166</v>
      </c>
      <c r="AB37" s="48">
        <f t="shared" si="1"/>
        <v>6</v>
      </c>
      <c r="AC37" s="48">
        <v>1.0</v>
      </c>
      <c r="AD37" s="48">
        <v>1.0</v>
      </c>
      <c r="AE37" s="48" t="s">
        <v>166</v>
      </c>
      <c r="AF37" s="697">
        <v>1.0</v>
      </c>
      <c r="AG37" s="48" t="s">
        <v>4951</v>
      </c>
      <c r="AH37" s="48">
        <v>1.0</v>
      </c>
      <c r="AI37" s="48">
        <v>1.0</v>
      </c>
      <c r="AJ37" s="48" t="s">
        <v>5027</v>
      </c>
      <c r="AK37" s="48" t="s">
        <v>5028</v>
      </c>
      <c r="AL37" s="48">
        <v>2400.0</v>
      </c>
      <c r="AM37" s="48">
        <v>5.1</v>
      </c>
      <c r="AN37" s="48" t="s">
        <v>4998</v>
      </c>
      <c r="AO37" s="48" t="s">
        <v>166</v>
      </c>
      <c r="AP37" s="48">
        <v>3.0</v>
      </c>
      <c r="AQ37" s="48" t="s">
        <v>166</v>
      </c>
      <c r="AR37" s="48">
        <v>1.0</v>
      </c>
      <c r="AS37" s="48">
        <v>2.0</v>
      </c>
      <c r="AT37" s="48" t="s">
        <v>166</v>
      </c>
      <c r="AU37" s="48" t="s">
        <v>166</v>
      </c>
      <c r="AV37" s="48">
        <v>2.0</v>
      </c>
      <c r="AW37" s="48">
        <v>1.0</v>
      </c>
      <c r="AX37" s="48">
        <v>1.0</v>
      </c>
      <c r="AY37" s="48" t="s">
        <v>166</v>
      </c>
      <c r="AZ37" s="48" t="s">
        <v>174</v>
      </c>
      <c r="BA37" s="48" t="s">
        <v>4982</v>
      </c>
      <c r="BB37" s="48" t="s">
        <v>4954</v>
      </c>
      <c r="BC37" s="48" t="s">
        <v>4963</v>
      </c>
      <c r="BD37" s="48">
        <v>6.0</v>
      </c>
      <c r="BE37" s="698" t="s">
        <v>5075</v>
      </c>
      <c r="BF37" s="698" t="s">
        <v>5078</v>
      </c>
      <c r="BG37" s="66"/>
      <c r="BH37" s="66"/>
      <c r="BI37" s="66"/>
      <c r="BJ37" s="66"/>
      <c r="BK37" s="66"/>
      <c r="BL37" s="66"/>
      <c r="BM37" s="66"/>
      <c r="BN37" s="66"/>
      <c r="BO37" s="66"/>
      <c r="BP37" s="66"/>
      <c r="BQ37" s="66"/>
      <c r="BR37" s="66"/>
      <c r="BS37" s="66"/>
    </row>
    <row r="38">
      <c r="A38" s="700" t="s">
        <v>1664</v>
      </c>
      <c r="B38" s="700" t="s">
        <v>4946</v>
      </c>
      <c r="C38" s="700" t="s">
        <v>5060</v>
      </c>
      <c r="D38" s="291" t="str">
        <f t="shared" si="6"/>
        <v>Gigabyte</v>
      </c>
      <c r="E38" s="291" t="s">
        <v>5079</v>
      </c>
      <c r="F38" s="700" t="s">
        <v>5021</v>
      </c>
      <c r="G38" s="700" t="s">
        <v>174</v>
      </c>
      <c r="H38" s="700" t="s">
        <v>174</v>
      </c>
      <c r="I38" s="700" t="s">
        <v>174</v>
      </c>
      <c r="J38" s="700" t="s">
        <v>174</v>
      </c>
      <c r="K38" s="700" t="s">
        <v>166</v>
      </c>
      <c r="L38" s="700">
        <v>2.0</v>
      </c>
      <c r="M38" s="700" t="s">
        <v>3149</v>
      </c>
      <c r="N38" s="700">
        <v>64.0</v>
      </c>
      <c r="O38" s="700" t="s">
        <v>5011</v>
      </c>
      <c r="P38" s="700">
        <v>4.0</v>
      </c>
      <c r="Q38" s="703" t="s">
        <v>5080</v>
      </c>
      <c r="R38" s="702" t="s">
        <v>166</v>
      </c>
      <c r="S38" s="702" t="s">
        <v>166</v>
      </c>
      <c r="T38" s="702">
        <v>4.0</v>
      </c>
      <c r="U38" s="700" t="s">
        <v>166</v>
      </c>
      <c r="V38" s="700">
        <v>1.0</v>
      </c>
      <c r="W38" s="700">
        <v>1.0</v>
      </c>
      <c r="X38" s="700" t="s">
        <v>166</v>
      </c>
      <c r="Y38" s="700" t="s">
        <v>166</v>
      </c>
      <c r="Z38" s="700" t="s">
        <v>166</v>
      </c>
      <c r="AA38" s="700" t="s">
        <v>166</v>
      </c>
      <c r="AB38" s="700">
        <f t="shared" si="1"/>
        <v>6</v>
      </c>
      <c r="AC38" s="700">
        <v>1.0</v>
      </c>
      <c r="AD38" s="700">
        <v>1.0</v>
      </c>
      <c r="AE38" s="700" t="s">
        <v>5049</v>
      </c>
      <c r="AF38" s="702">
        <v>1.0</v>
      </c>
      <c r="AG38" s="700" t="s">
        <v>5026</v>
      </c>
      <c r="AH38" s="700">
        <v>2.5</v>
      </c>
      <c r="AI38" s="700">
        <v>1.0</v>
      </c>
      <c r="AJ38" s="700" t="s">
        <v>5044</v>
      </c>
      <c r="AK38" s="700" t="s">
        <v>5045</v>
      </c>
      <c r="AL38" s="700">
        <v>1200.0</v>
      </c>
      <c r="AM38" s="700">
        <v>5.2</v>
      </c>
      <c r="AN38" s="700" t="s">
        <v>4998</v>
      </c>
      <c r="AO38" s="700" t="s">
        <v>166</v>
      </c>
      <c r="AP38" s="700">
        <v>3.0</v>
      </c>
      <c r="AQ38" s="700" t="s">
        <v>166</v>
      </c>
      <c r="AR38" s="700">
        <v>1.0</v>
      </c>
      <c r="AS38" s="700">
        <v>2.0</v>
      </c>
      <c r="AT38" s="700" t="s">
        <v>166</v>
      </c>
      <c r="AU38" s="700" t="s">
        <v>166</v>
      </c>
      <c r="AV38" s="700">
        <v>3.0</v>
      </c>
      <c r="AW38" s="700">
        <v>1.0</v>
      </c>
      <c r="AX38" s="700">
        <v>1.0</v>
      </c>
      <c r="AY38" s="700" t="s">
        <v>166</v>
      </c>
      <c r="AZ38" s="700" t="s">
        <v>174</v>
      </c>
      <c r="BA38" s="700" t="s">
        <v>5012</v>
      </c>
      <c r="BB38" s="700" t="s">
        <v>5034</v>
      </c>
      <c r="BC38" s="700" t="s">
        <v>4963</v>
      </c>
      <c r="BD38" s="700">
        <v>8.0</v>
      </c>
      <c r="BE38" s="703" t="s">
        <v>5029</v>
      </c>
      <c r="BF38" s="703" t="s">
        <v>5014</v>
      </c>
      <c r="BG38" s="66"/>
      <c r="BH38" s="66"/>
      <c r="BI38" s="66"/>
      <c r="BJ38" s="66"/>
      <c r="BK38" s="66"/>
      <c r="BL38" s="66"/>
      <c r="BM38" s="66"/>
      <c r="BN38" s="66"/>
      <c r="BO38" s="66"/>
      <c r="BP38" s="66"/>
      <c r="BQ38" s="66"/>
      <c r="BR38" s="66"/>
      <c r="BS38" s="66"/>
    </row>
    <row r="39">
      <c r="A39" s="705" t="s">
        <v>1664</v>
      </c>
      <c r="B39" s="705" t="s">
        <v>5081</v>
      </c>
      <c r="C39" s="705" t="s">
        <v>5082</v>
      </c>
      <c r="D39" s="282" t="s">
        <v>169</v>
      </c>
      <c r="E39" s="282" t="s">
        <v>5083</v>
      </c>
      <c r="F39" s="705" t="s">
        <v>5021</v>
      </c>
      <c r="G39" s="705" t="s">
        <v>166</v>
      </c>
      <c r="H39" s="705" t="s">
        <v>166</v>
      </c>
      <c r="I39" s="705" t="s">
        <v>174</v>
      </c>
      <c r="J39" s="705" t="s">
        <v>174</v>
      </c>
      <c r="K39" s="705" t="s">
        <v>166</v>
      </c>
      <c r="L39" s="705">
        <v>2.0</v>
      </c>
      <c r="M39" s="705" t="s">
        <v>3151</v>
      </c>
      <c r="N39" s="705">
        <v>96.0</v>
      </c>
      <c r="O39" s="705" t="s">
        <v>5084</v>
      </c>
      <c r="P39" s="705">
        <v>2.0</v>
      </c>
      <c r="Q39" s="698" t="s">
        <v>5085</v>
      </c>
      <c r="R39" s="707">
        <v>2.0</v>
      </c>
      <c r="S39" s="707" t="s">
        <v>166</v>
      </c>
      <c r="T39" s="707">
        <v>1.0</v>
      </c>
      <c r="U39" s="705" t="s">
        <v>166</v>
      </c>
      <c r="V39" s="705">
        <v>2.0</v>
      </c>
      <c r="W39" s="705">
        <v>1.0</v>
      </c>
      <c r="X39" s="705" t="s">
        <v>166</v>
      </c>
      <c r="Y39" s="705" t="s">
        <v>166</v>
      </c>
      <c r="Z39" s="705" t="s">
        <v>166</v>
      </c>
      <c r="AA39" s="705" t="s">
        <v>166</v>
      </c>
      <c r="AB39" s="48">
        <f t="shared" si="1"/>
        <v>6</v>
      </c>
      <c r="AC39" s="705">
        <v>1.0</v>
      </c>
      <c r="AD39" s="705">
        <v>1.0</v>
      </c>
      <c r="AE39" s="705" t="s">
        <v>5049</v>
      </c>
      <c r="AF39" s="707">
        <v>1.0</v>
      </c>
      <c r="AG39" s="705" t="s">
        <v>5043</v>
      </c>
      <c r="AH39" s="705">
        <v>2.5</v>
      </c>
      <c r="AI39" s="705">
        <v>1.0</v>
      </c>
      <c r="AJ39" s="705" t="s">
        <v>5044</v>
      </c>
      <c r="AK39" s="705" t="s">
        <v>5086</v>
      </c>
      <c r="AL39" s="705">
        <v>2400.0</v>
      </c>
      <c r="AM39" s="705">
        <v>5.2</v>
      </c>
      <c r="AN39" s="705" t="s">
        <v>5039</v>
      </c>
      <c r="AO39" s="705" t="s">
        <v>166</v>
      </c>
      <c r="AP39" s="705">
        <v>3.0</v>
      </c>
      <c r="AQ39" s="705" t="s">
        <v>166</v>
      </c>
      <c r="AR39" s="705" t="s">
        <v>166</v>
      </c>
      <c r="AS39" s="705">
        <v>1.0</v>
      </c>
      <c r="AT39" s="705" t="s">
        <v>166</v>
      </c>
      <c r="AU39" s="705" t="s">
        <v>166</v>
      </c>
      <c r="AV39" s="705">
        <v>3.0</v>
      </c>
      <c r="AW39" s="705" t="s">
        <v>166</v>
      </c>
      <c r="AX39" s="705">
        <v>2.0</v>
      </c>
      <c r="AY39" s="705" t="s">
        <v>166</v>
      </c>
      <c r="AZ39" s="705" t="s">
        <v>174</v>
      </c>
      <c r="BA39" s="705" t="s">
        <v>170</v>
      </c>
      <c r="BB39" s="705" t="s">
        <v>5034</v>
      </c>
      <c r="BC39" s="48" t="s">
        <v>4963</v>
      </c>
      <c r="BD39" s="705">
        <v>8.0</v>
      </c>
      <c r="BE39" s="708" t="s">
        <v>5087</v>
      </c>
      <c r="BF39" s="708"/>
      <c r="BG39" s="66"/>
      <c r="BH39" s="66"/>
      <c r="BI39" s="66"/>
      <c r="BJ39" s="66"/>
      <c r="BK39" s="66"/>
      <c r="BL39" s="66"/>
      <c r="BM39" s="66"/>
      <c r="BN39" s="66"/>
      <c r="BO39" s="66"/>
      <c r="BP39" s="66"/>
      <c r="BQ39" s="66"/>
      <c r="BR39" s="66"/>
      <c r="BS39" s="66"/>
    </row>
    <row r="40">
      <c r="A40" s="700" t="s">
        <v>1664</v>
      </c>
      <c r="B40" s="700" t="s">
        <v>5081</v>
      </c>
      <c r="C40" s="700" t="s">
        <v>5082</v>
      </c>
      <c r="D40" s="291" t="str">
        <f>HYPERLINK("https://www.gigabyte.com/","Gigabyte")</f>
        <v>Gigabyte</v>
      </c>
      <c r="E40" s="714" t="s">
        <v>5088</v>
      </c>
      <c r="F40" s="700" t="s">
        <v>5021</v>
      </c>
      <c r="G40" s="700" t="s">
        <v>166</v>
      </c>
      <c r="H40" s="700" t="s">
        <v>166</v>
      </c>
      <c r="I40" s="700" t="s">
        <v>174</v>
      </c>
      <c r="J40" s="700" t="s">
        <v>174</v>
      </c>
      <c r="K40" s="700" t="s">
        <v>166</v>
      </c>
      <c r="L40" s="700">
        <v>2.0</v>
      </c>
      <c r="M40" s="700" t="s">
        <v>3151</v>
      </c>
      <c r="N40" s="700">
        <v>96.0</v>
      </c>
      <c r="O40" s="700" t="s">
        <v>5089</v>
      </c>
      <c r="P40" s="700">
        <v>2.0</v>
      </c>
      <c r="Q40" s="701" t="s">
        <v>5062</v>
      </c>
      <c r="R40" s="702">
        <v>3.0</v>
      </c>
      <c r="S40" s="702" t="s">
        <v>166</v>
      </c>
      <c r="T40" s="702">
        <v>1.0</v>
      </c>
      <c r="U40" s="700">
        <v>1.0</v>
      </c>
      <c r="V40" s="700">
        <v>1.0</v>
      </c>
      <c r="W40" s="700" t="s">
        <v>166</v>
      </c>
      <c r="X40" s="700" t="s">
        <v>166</v>
      </c>
      <c r="Y40" s="700" t="s">
        <v>166</v>
      </c>
      <c r="Z40" s="700" t="s">
        <v>166</v>
      </c>
      <c r="AA40" s="700" t="s">
        <v>166</v>
      </c>
      <c r="AB40" s="700">
        <f t="shared" si="1"/>
        <v>6</v>
      </c>
      <c r="AC40" s="700">
        <v>1.0</v>
      </c>
      <c r="AD40" s="700">
        <v>1.0</v>
      </c>
      <c r="AE40" s="700" t="s">
        <v>5049</v>
      </c>
      <c r="AF40" s="702">
        <v>1.0</v>
      </c>
      <c r="AG40" s="700" t="s">
        <v>5038</v>
      </c>
      <c r="AH40" s="700">
        <v>2.5</v>
      </c>
      <c r="AI40" s="700">
        <v>1.0</v>
      </c>
      <c r="AJ40" s="700" t="s">
        <v>5044</v>
      </c>
      <c r="AK40" s="700" t="s">
        <v>5090</v>
      </c>
      <c r="AL40" s="700">
        <v>2400.0</v>
      </c>
      <c r="AM40" s="700">
        <v>5.3</v>
      </c>
      <c r="AN40" s="712" t="s">
        <v>5039</v>
      </c>
      <c r="AO40" s="700" t="s">
        <v>166</v>
      </c>
      <c r="AP40" s="700">
        <v>3.0</v>
      </c>
      <c r="AQ40" s="700" t="s">
        <v>166</v>
      </c>
      <c r="AR40" s="700">
        <v>1.0</v>
      </c>
      <c r="AS40" s="700">
        <v>1.0</v>
      </c>
      <c r="AT40" s="700" t="s">
        <v>166</v>
      </c>
      <c r="AU40" s="700" t="s">
        <v>166</v>
      </c>
      <c r="AV40" s="700">
        <v>3.0</v>
      </c>
      <c r="AW40" s="700">
        <v>1.0</v>
      </c>
      <c r="AX40" s="700">
        <v>1.0</v>
      </c>
      <c r="AY40" s="700" t="s">
        <v>166</v>
      </c>
      <c r="AZ40" s="700" t="s">
        <v>166</v>
      </c>
      <c r="BA40" s="700" t="s">
        <v>170</v>
      </c>
      <c r="BB40" s="700" t="s">
        <v>5091</v>
      </c>
      <c r="BC40" s="700" t="s">
        <v>4955</v>
      </c>
      <c r="BD40" s="700">
        <v>5.0</v>
      </c>
      <c r="BE40" s="703" t="s">
        <v>170</v>
      </c>
      <c r="BF40" s="703"/>
      <c r="BG40" s="66"/>
      <c r="BH40" s="66"/>
      <c r="BI40" s="66"/>
      <c r="BJ40" s="66"/>
      <c r="BK40" s="66"/>
      <c r="BL40" s="66"/>
      <c r="BM40" s="66"/>
      <c r="BN40" s="66"/>
      <c r="BO40" s="66"/>
      <c r="BP40" s="66"/>
      <c r="BQ40" s="66"/>
      <c r="BR40" s="66"/>
      <c r="BS40" s="66"/>
    </row>
    <row r="41">
      <c r="A41" s="705" t="s">
        <v>1664</v>
      </c>
      <c r="B41" s="705" t="s">
        <v>5081</v>
      </c>
      <c r="C41" s="705" t="s">
        <v>5092</v>
      </c>
      <c r="D41" s="282" t="s">
        <v>169</v>
      </c>
      <c r="E41" s="282" t="s">
        <v>5093</v>
      </c>
      <c r="F41" s="705" t="s">
        <v>5021</v>
      </c>
      <c r="G41" s="705" t="s">
        <v>170</v>
      </c>
      <c r="H41" s="705" t="s">
        <v>174</v>
      </c>
      <c r="I41" s="705" t="s">
        <v>174</v>
      </c>
      <c r="J41" s="705" t="s">
        <v>174</v>
      </c>
      <c r="K41" s="705" t="s">
        <v>166</v>
      </c>
      <c r="L41" s="705">
        <v>2.0</v>
      </c>
      <c r="M41" s="705" t="s">
        <v>3151</v>
      </c>
      <c r="N41" s="705">
        <v>96.0</v>
      </c>
      <c r="O41" s="705" t="s">
        <v>5084</v>
      </c>
      <c r="P41" s="705">
        <v>2.0</v>
      </c>
      <c r="Q41" s="698" t="s">
        <v>5094</v>
      </c>
      <c r="R41" s="707">
        <v>4.0</v>
      </c>
      <c r="S41" s="707" t="s">
        <v>166</v>
      </c>
      <c r="T41" s="707" t="s">
        <v>166</v>
      </c>
      <c r="U41" s="705" t="s">
        <v>166</v>
      </c>
      <c r="V41" s="705">
        <v>3.0</v>
      </c>
      <c r="W41" s="705">
        <v>1.0</v>
      </c>
      <c r="X41" s="705" t="s">
        <v>166</v>
      </c>
      <c r="Y41" s="705" t="s">
        <v>166</v>
      </c>
      <c r="Z41" s="705" t="s">
        <v>166</v>
      </c>
      <c r="AA41" s="705" t="s">
        <v>166</v>
      </c>
      <c r="AB41" s="705">
        <f t="shared" si="1"/>
        <v>8</v>
      </c>
      <c r="AC41" s="705">
        <v>1.0</v>
      </c>
      <c r="AD41" s="705">
        <v>1.0</v>
      </c>
      <c r="AE41" s="705" t="s">
        <v>5049</v>
      </c>
      <c r="AF41" s="707">
        <v>1.0</v>
      </c>
      <c r="AG41" s="705" t="s">
        <v>5043</v>
      </c>
      <c r="AH41" s="705">
        <v>2.5</v>
      </c>
      <c r="AI41" s="705">
        <v>1.0</v>
      </c>
      <c r="AJ41" s="705" t="s">
        <v>5044</v>
      </c>
      <c r="AK41" s="705" t="s">
        <v>5086</v>
      </c>
      <c r="AL41" s="705">
        <v>2400.0</v>
      </c>
      <c r="AM41" s="705">
        <v>5.2</v>
      </c>
      <c r="AN41" s="705" t="s">
        <v>5039</v>
      </c>
      <c r="AO41" s="705" t="s">
        <v>166</v>
      </c>
      <c r="AP41" s="705">
        <v>3.0</v>
      </c>
      <c r="AQ41" s="705" t="s">
        <v>166</v>
      </c>
      <c r="AR41" s="705" t="s">
        <v>166</v>
      </c>
      <c r="AS41" s="705">
        <v>1.0</v>
      </c>
      <c r="AT41" s="705" t="s">
        <v>166</v>
      </c>
      <c r="AU41" s="705" t="s">
        <v>166</v>
      </c>
      <c r="AV41" s="705">
        <v>3.0</v>
      </c>
      <c r="AW41" s="705" t="s">
        <v>166</v>
      </c>
      <c r="AX41" s="705">
        <v>2.0</v>
      </c>
      <c r="AY41" s="705" t="s">
        <v>166</v>
      </c>
      <c r="AZ41" s="705" t="s">
        <v>174</v>
      </c>
      <c r="BA41" s="705" t="s">
        <v>170</v>
      </c>
      <c r="BB41" s="705" t="s">
        <v>5034</v>
      </c>
      <c r="BC41" s="48" t="s">
        <v>4963</v>
      </c>
      <c r="BD41" s="705">
        <v>8.0</v>
      </c>
      <c r="BE41" s="708" t="s">
        <v>5087</v>
      </c>
      <c r="BF41" s="708"/>
      <c r="BG41" s="66"/>
      <c r="BH41" s="66"/>
      <c r="BI41" s="66"/>
      <c r="BJ41" s="66"/>
      <c r="BK41" s="66"/>
      <c r="BL41" s="66"/>
      <c r="BM41" s="66"/>
      <c r="BN41" s="66"/>
      <c r="BO41" s="66"/>
      <c r="BP41" s="66"/>
      <c r="BQ41" s="66"/>
      <c r="BR41" s="66"/>
      <c r="BS41" s="66"/>
    </row>
    <row r="42">
      <c r="A42" s="705" t="s">
        <v>1664</v>
      </c>
      <c r="B42" s="705" t="s">
        <v>5081</v>
      </c>
      <c r="C42" s="705" t="s">
        <v>5092</v>
      </c>
      <c r="D42" s="282" t="str">
        <f t="shared" ref="D42:D43" si="7">HYPERLINK("https://www.gigabyte.com/","Gigabyte")</f>
        <v>Gigabyte</v>
      </c>
      <c r="E42" s="715" t="s">
        <v>5095</v>
      </c>
      <c r="F42" s="705" t="s">
        <v>5021</v>
      </c>
      <c r="G42" s="705" t="s">
        <v>170</v>
      </c>
      <c r="H42" s="705" t="s">
        <v>174</v>
      </c>
      <c r="I42" s="705" t="s">
        <v>174</v>
      </c>
      <c r="J42" s="705" t="s">
        <v>174</v>
      </c>
      <c r="K42" s="705" t="s">
        <v>166</v>
      </c>
      <c r="L42" s="705">
        <v>2.0</v>
      </c>
      <c r="M42" s="705" t="s">
        <v>3151</v>
      </c>
      <c r="N42" s="705">
        <v>96.0</v>
      </c>
      <c r="O42" s="705" t="s">
        <v>5089</v>
      </c>
      <c r="P42" s="705">
        <v>4.0</v>
      </c>
      <c r="Q42" s="708" t="s">
        <v>5096</v>
      </c>
      <c r="R42" s="707">
        <v>2.0</v>
      </c>
      <c r="S42" s="707" t="s">
        <v>166</v>
      </c>
      <c r="T42" s="707">
        <v>2.0</v>
      </c>
      <c r="U42" s="705" t="s">
        <v>166</v>
      </c>
      <c r="V42" s="705">
        <v>2.0</v>
      </c>
      <c r="W42" s="705">
        <v>1.0</v>
      </c>
      <c r="X42" s="705" t="s">
        <v>166</v>
      </c>
      <c r="Y42" s="705" t="s">
        <v>166</v>
      </c>
      <c r="Z42" s="705" t="s">
        <v>166</v>
      </c>
      <c r="AA42" s="705" t="s">
        <v>166</v>
      </c>
      <c r="AB42" s="705">
        <f t="shared" si="1"/>
        <v>7</v>
      </c>
      <c r="AC42" s="705">
        <v>1.0</v>
      </c>
      <c r="AD42" s="705">
        <v>1.0</v>
      </c>
      <c r="AE42" s="705" t="s">
        <v>5097</v>
      </c>
      <c r="AF42" s="707">
        <v>1.0</v>
      </c>
      <c r="AG42" s="705" t="s">
        <v>5026</v>
      </c>
      <c r="AH42" s="705">
        <v>2.5</v>
      </c>
      <c r="AI42" s="705">
        <v>1.0</v>
      </c>
      <c r="AJ42" s="705" t="s">
        <v>5044</v>
      </c>
      <c r="AK42" s="705" t="s">
        <v>5098</v>
      </c>
      <c r="AL42" s="705">
        <v>2400.0</v>
      </c>
      <c r="AM42" s="705">
        <v>5.2</v>
      </c>
      <c r="AN42" s="705" t="s">
        <v>5099</v>
      </c>
      <c r="AO42" s="705" t="s">
        <v>166</v>
      </c>
      <c r="AP42" s="705">
        <v>2.0</v>
      </c>
      <c r="AQ42" s="705" t="s">
        <v>166</v>
      </c>
      <c r="AR42" s="705">
        <v>2.0</v>
      </c>
      <c r="AS42" s="705">
        <v>1.0</v>
      </c>
      <c r="AT42" s="705" t="s">
        <v>166</v>
      </c>
      <c r="AU42" s="705" t="s">
        <v>166</v>
      </c>
      <c r="AV42" s="705">
        <v>3.0</v>
      </c>
      <c r="AW42" s="705">
        <v>1.0</v>
      </c>
      <c r="AX42" s="705">
        <v>1.0</v>
      </c>
      <c r="AY42" s="705" t="s">
        <v>166</v>
      </c>
      <c r="AZ42" s="705" t="s">
        <v>174</v>
      </c>
      <c r="BA42" s="705" t="s">
        <v>5100</v>
      </c>
      <c r="BB42" s="705" t="s">
        <v>5034</v>
      </c>
      <c r="BC42" s="705" t="s">
        <v>4963</v>
      </c>
      <c r="BD42" s="705">
        <v>8.0</v>
      </c>
      <c r="BE42" s="708" t="s">
        <v>5101</v>
      </c>
      <c r="BF42" s="708" t="s">
        <v>5102</v>
      </c>
      <c r="BG42" s="66"/>
      <c r="BH42" s="66"/>
      <c r="BI42" s="66"/>
      <c r="BJ42" s="66"/>
      <c r="BK42" s="66"/>
      <c r="BL42" s="66"/>
      <c r="BM42" s="66"/>
      <c r="BN42" s="66"/>
      <c r="BO42" s="66"/>
      <c r="BP42" s="66"/>
      <c r="BQ42" s="66"/>
      <c r="BR42" s="66"/>
      <c r="BS42" s="66"/>
    </row>
    <row r="43">
      <c r="A43" s="705" t="s">
        <v>1664</v>
      </c>
      <c r="B43" s="705" t="s">
        <v>5081</v>
      </c>
      <c r="C43" s="705" t="s">
        <v>5092</v>
      </c>
      <c r="D43" s="282" t="str">
        <f t="shared" si="7"/>
        <v>Gigabyte</v>
      </c>
      <c r="E43" s="715" t="s">
        <v>5103</v>
      </c>
      <c r="F43" s="705" t="s">
        <v>5021</v>
      </c>
      <c r="G43" s="705" t="s">
        <v>170</v>
      </c>
      <c r="H43" s="705" t="s">
        <v>174</v>
      </c>
      <c r="I43" s="705" t="s">
        <v>174</v>
      </c>
      <c r="J43" s="705" t="s">
        <v>174</v>
      </c>
      <c r="K43" s="705" t="s">
        <v>166</v>
      </c>
      <c r="L43" s="705">
        <v>2.0</v>
      </c>
      <c r="M43" s="705" t="s">
        <v>3151</v>
      </c>
      <c r="N43" s="705">
        <v>96.0</v>
      </c>
      <c r="O43" s="705" t="s">
        <v>5089</v>
      </c>
      <c r="P43" s="705">
        <v>2.0</v>
      </c>
      <c r="Q43" s="711" t="s">
        <v>5062</v>
      </c>
      <c r="R43" s="707">
        <v>3.0</v>
      </c>
      <c r="S43" s="707" t="s">
        <v>166</v>
      </c>
      <c r="T43" s="707">
        <v>1.0</v>
      </c>
      <c r="U43" s="705">
        <v>1.0</v>
      </c>
      <c r="V43" s="705">
        <v>1.0</v>
      </c>
      <c r="W43" s="705" t="s">
        <v>166</v>
      </c>
      <c r="X43" s="705" t="s">
        <v>166</v>
      </c>
      <c r="Y43" s="705" t="s">
        <v>166</v>
      </c>
      <c r="Z43" s="705" t="s">
        <v>166</v>
      </c>
      <c r="AA43" s="705" t="s">
        <v>166</v>
      </c>
      <c r="AB43" s="705">
        <f t="shared" si="1"/>
        <v>6</v>
      </c>
      <c r="AC43" s="705">
        <v>1.0</v>
      </c>
      <c r="AD43" s="705">
        <v>1.0</v>
      </c>
      <c r="AE43" s="705" t="s">
        <v>5049</v>
      </c>
      <c r="AF43" s="707">
        <v>1.0</v>
      </c>
      <c r="AG43" s="705" t="s">
        <v>5038</v>
      </c>
      <c r="AH43" s="705">
        <v>2.5</v>
      </c>
      <c r="AI43" s="705">
        <v>1.0</v>
      </c>
      <c r="AJ43" s="705" t="s">
        <v>5044</v>
      </c>
      <c r="AK43" s="705" t="s">
        <v>5090</v>
      </c>
      <c r="AL43" s="705">
        <v>2400.0</v>
      </c>
      <c r="AM43" s="705">
        <v>5.3</v>
      </c>
      <c r="AN43" s="705" t="s">
        <v>5039</v>
      </c>
      <c r="AO43" s="705" t="s">
        <v>166</v>
      </c>
      <c r="AP43" s="705">
        <v>3.0</v>
      </c>
      <c r="AQ43" s="705" t="s">
        <v>166</v>
      </c>
      <c r="AR43" s="705">
        <v>1.0</v>
      </c>
      <c r="AS43" s="705">
        <v>1.0</v>
      </c>
      <c r="AT43" s="705" t="s">
        <v>166</v>
      </c>
      <c r="AU43" s="705" t="s">
        <v>166</v>
      </c>
      <c r="AV43" s="705">
        <v>3.0</v>
      </c>
      <c r="AW43" s="705">
        <v>1.0</v>
      </c>
      <c r="AX43" s="705">
        <v>1.0</v>
      </c>
      <c r="AY43" s="705" t="s">
        <v>166</v>
      </c>
      <c r="AZ43" s="705" t="s">
        <v>166</v>
      </c>
      <c r="BA43" s="705" t="s">
        <v>170</v>
      </c>
      <c r="BB43" s="705" t="s">
        <v>5091</v>
      </c>
      <c r="BC43" s="705" t="s">
        <v>4955</v>
      </c>
      <c r="BD43" s="705">
        <v>5.0</v>
      </c>
      <c r="BE43" s="708" t="s">
        <v>170</v>
      </c>
      <c r="BF43" s="708"/>
      <c r="BG43" s="66"/>
      <c r="BH43" s="66"/>
      <c r="BI43" s="66"/>
      <c r="BJ43" s="66"/>
      <c r="BK43" s="66"/>
      <c r="BL43" s="66"/>
      <c r="BM43" s="66"/>
      <c r="BN43" s="66"/>
      <c r="BO43" s="66"/>
      <c r="BP43" s="66"/>
      <c r="BQ43" s="66"/>
      <c r="BR43" s="66"/>
      <c r="BS43" s="66"/>
    </row>
    <row r="44">
      <c r="A44" s="712" t="s">
        <v>1664</v>
      </c>
      <c r="B44" s="712" t="s">
        <v>5081</v>
      </c>
      <c r="C44" s="712" t="s">
        <v>5092</v>
      </c>
      <c r="D44" s="291" t="str">
        <f>HYPERLINK("https://www.msi.com/index.php","MSI")</f>
        <v>MSI</v>
      </c>
      <c r="E44" s="716" t="s">
        <v>5104</v>
      </c>
      <c r="F44" s="712" t="s">
        <v>5021</v>
      </c>
      <c r="G44" s="712" t="s">
        <v>174</v>
      </c>
      <c r="H44" s="712" t="s">
        <v>174</v>
      </c>
      <c r="I44" s="712" t="s">
        <v>174</v>
      </c>
      <c r="J44" s="712" t="s">
        <v>174</v>
      </c>
      <c r="K44" s="712" t="s">
        <v>174</v>
      </c>
      <c r="L44" s="712">
        <v>2.0</v>
      </c>
      <c r="M44" s="712" t="s">
        <v>3151</v>
      </c>
      <c r="N44" s="712">
        <v>96.0</v>
      </c>
      <c r="O44" s="712" t="s">
        <v>5084</v>
      </c>
      <c r="P44" s="712">
        <v>4.0</v>
      </c>
      <c r="Q44" s="717" t="s">
        <v>5105</v>
      </c>
      <c r="R44" s="713" t="s">
        <v>166</v>
      </c>
      <c r="S44" s="713" t="s">
        <v>166</v>
      </c>
      <c r="T44" s="713">
        <v>2.0</v>
      </c>
      <c r="U44" s="712" t="s">
        <v>166</v>
      </c>
      <c r="V44" s="712">
        <v>3.0</v>
      </c>
      <c r="W44" s="712" t="s">
        <v>166</v>
      </c>
      <c r="X44" s="712">
        <v>1.0</v>
      </c>
      <c r="Y44" s="712" t="s">
        <v>166</v>
      </c>
      <c r="Z44" s="712" t="s">
        <v>166</v>
      </c>
      <c r="AA44" s="712" t="s">
        <v>166</v>
      </c>
      <c r="AB44" s="712">
        <f t="shared" si="1"/>
        <v>6</v>
      </c>
      <c r="AC44" s="712">
        <v>1.0</v>
      </c>
      <c r="AD44" s="712">
        <v>1.0</v>
      </c>
      <c r="AE44" s="712" t="s">
        <v>5025</v>
      </c>
      <c r="AF44" s="713">
        <v>1.0</v>
      </c>
      <c r="AG44" s="700" t="s">
        <v>5038</v>
      </c>
      <c r="AH44" s="712">
        <v>2.5</v>
      </c>
      <c r="AI44" s="712">
        <v>1.0</v>
      </c>
      <c r="AJ44" s="712" t="s">
        <v>5044</v>
      </c>
      <c r="AK44" s="712" t="s">
        <v>5098</v>
      </c>
      <c r="AL44" s="712">
        <v>2400.0</v>
      </c>
      <c r="AM44" s="712">
        <v>5.2</v>
      </c>
      <c r="AN44" s="712" t="s">
        <v>5099</v>
      </c>
      <c r="AO44" s="712" t="s">
        <v>166</v>
      </c>
      <c r="AP44" s="712">
        <v>3.0</v>
      </c>
      <c r="AQ44" s="712" t="s">
        <v>166</v>
      </c>
      <c r="AR44" s="712" t="s">
        <v>166</v>
      </c>
      <c r="AS44" s="712">
        <v>1.0</v>
      </c>
      <c r="AT44" s="712" t="s">
        <v>166</v>
      </c>
      <c r="AU44" s="712" t="s">
        <v>166</v>
      </c>
      <c r="AV44" s="712">
        <v>3.0</v>
      </c>
      <c r="AW44" s="712" t="s">
        <v>166</v>
      </c>
      <c r="AX44" s="712">
        <v>1.0</v>
      </c>
      <c r="AY44" s="712" t="s">
        <v>174</v>
      </c>
      <c r="AZ44" s="712" t="s">
        <v>174</v>
      </c>
      <c r="BA44" s="712" t="s">
        <v>5106</v>
      </c>
      <c r="BB44" s="712" t="s">
        <v>5034</v>
      </c>
      <c r="BC44" s="712" t="s">
        <v>4963</v>
      </c>
      <c r="BD44" s="712">
        <v>8.0</v>
      </c>
      <c r="BE44" s="717" t="s">
        <v>5107</v>
      </c>
      <c r="BF44" s="717" t="s">
        <v>5108</v>
      </c>
      <c r="BG44" s="66"/>
      <c r="BH44" s="66"/>
      <c r="BI44" s="66"/>
      <c r="BJ44" s="66"/>
      <c r="BK44" s="66"/>
      <c r="BL44" s="66"/>
      <c r="BM44" s="66"/>
      <c r="BN44" s="66"/>
      <c r="BO44" s="66"/>
      <c r="BP44" s="66"/>
      <c r="BQ44" s="66"/>
      <c r="BR44" s="66"/>
      <c r="BS44" s="66"/>
    </row>
    <row r="45">
      <c r="A45" s="48" t="s">
        <v>1664</v>
      </c>
      <c r="B45" s="48" t="s">
        <v>5081</v>
      </c>
      <c r="C45" s="48" t="s">
        <v>5109</v>
      </c>
      <c r="D45" s="174" t="s">
        <v>169</v>
      </c>
      <c r="E45" s="718" t="s">
        <v>5110</v>
      </c>
      <c r="F45" s="48" t="s">
        <v>5111</v>
      </c>
      <c r="G45" s="48" t="s">
        <v>174</v>
      </c>
      <c r="H45" s="48" t="s">
        <v>174</v>
      </c>
      <c r="I45" s="48" t="s">
        <v>174</v>
      </c>
      <c r="J45" s="48" t="s">
        <v>166</v>
      </c>
      <c r="K45" s="48" t="s">
        <v>166</v>
      </c>
      <c r="L45" s="48">
        <v>2.0</v>
      </c>
      <c r="M45" s="48" t="s">
        <v>3151</v>
      </c>
      <c r="N45" s="48">
        <v>96.0</v>
      </c>
      <c r="O45" s="48" t="s">
        <v>5112</v>
      </c>
      <c r="P45" s="48">
        <v>2.0</v>
      </c>
      <c r="Q45" s="698" t="s">
        <v>5113</v>
      </c>
      <c r="R45" s="697">
        <v>4.0</v>
      </c>
      <c r="S45" s="697" t="s">
        <v>166</v>
      </c>
      <c r="T45" s="697" t="s">
        <v>166</v>
      </c>
      <c r="U45" s="48" t="s">
        <v>166</v>
      </c>
      <c r="V45" s="48">
        <v>3.0</v>
      </c>
      <c r="W45" s="48">
        <v>1.0</v>
      </c>
      <c r="X45" s="48" t="s">
        <v>166</v>
      </c>
      <c r="Y45" s="48" t="s">
        <v>166</v>
      </c>
      <c r="Z45" s="48" t="s">
        <v>166</v>
      </c>
      <c r="AA45" s="48" t="s">
        <v>166</v>
      </c>
      <c r="AB45" s="48">
        <f t="shared" si="1"/>
        <v>8</v>
      </c>
      <c r="AC45" s="48">
        <v>1.0</v>
      </c>
      <c r="AD45" s="48">
        <v>1.0</v>
      </c>
      <c r="AE45" s="48" t="s">
        <v>5097</v>
      </c>
      <c r="AF45" s="697">
        <v>1.0</v>
      </c>
      <c r="AG45" s="48" t="s">
        <v>5114</v>
      </c>
      <c r="AH45" s="48">
        <v>2.5</v>
      </c>
      <c r="AI45" s="48">
        <v>1.0</v>
      </c>
      <c r="AJ45" s="48" t="s">
        <v>5044</v>
      </c>
      <c r="AK45" s="48" t="s">
        <v>5115</v>
      </c>
      <c r="AL45" s="48">
        <v>2400.0</v>
      </c>
      <c r="AM45" s="48">
        <v>5.2</v>
      </c>
      <c r="AN45" s="48" t="s">
        <v>4952</v>
      </c>
      <c r="AO45" s="48" t="s">
        <v>174</v>
      </c>
      <c r="AP45" s="48">
        <v>2.0</v>
      </c>
      <c r="AQ45" s="48" t="s">
        <v>166</v>
      </c>
      <c r="AR45" s="48" t="s">
        <v>166</v>
      </c>
      <c r="AS45" s="48">
        <v>1.0</v>
      </c>
      <c r="AT45" s="48" t="s">
        <v>166</v>
      </c>
      <c r="AU45" s="48" t="s">
        <v>166</v>
      </c>
      <c r="AV45" s="48">
        <v>3.0</v>
      </c>
      <c r="AW45" s="48" t="s">
        <v>166</v>
      </c>
      <c r="AX45" s="48">
        <v>2.0</v>
      </c>
      <c r="AY45" s="48" t="s">
        <v>166</v>
      </c>
      <c r="AZ45" s="48" t="s">
        <v>174</v>
      </c>
      <c r="BA45" s="48" t="s">
        <v>5116</v>
      </c>
      <c r="BB45" s="48" t="s">
        <v>5117</v>
      </c>
      <c r="BC45" s="48" t="s">
        <v>4963</v>
      </c>
      <c r="BD45" s="48">
        <v>10.0</v>
      </c>
      <c r="BE45" s="698" t="s">
        <v>5101</v>
      </c>
      <c r="BF45" s="698" t="s">
        <v>5108</v>
      </c>
      <c r="BG45" s="66"/>
      <c r="BH45" s="66"/>
      <c r="BI45" s="66"/>
      <c r="BJ45" s="66"/>
      <c r="BK45" s="66"/>
      <c r="BL45" s="66"/>
      <c r="BM45" s="66"/>
      <c r="BN45" s="66"/>
      <c r="BO45" s="66"/>
      <c r="BP45" s="66"/>
      <c r="BQ45" s="66"/>
      <c r="BR45" s="66"/>
      <c r="BS45" s="66"/>
    </row>
    <row r="46">
      <c r="A46" s="712" t="s">
        <v>1664</v>
      </c>
      <c r="B46" s="712" t="s">
        <v>5081</v>
      </c>
      <c r="C46" s="712" t="s">
        <v>5109</v>
      </c>
      <c r="D46" s="290" t="str">
        <f t="shared" ref="D46:D47" si="8">HYPERLINK("https://www.asus.com/","Asus")</f>
        <v>Asus</v>
      </c>
      <c r="E46" s="716" t="s">
        <v>5118</v>
      </c>
      <c r="F46" s="712" t="s">
        <v>5111</v>
      </c>
      <c r="G46" s="712" t="s">
        <v>174</v>
      </c>
      <c r="H46" s="712" t="s">
        <v>174</v>
      </c>
      <c r="I46" s="712" t="s">
        <v>174</v>
      </c>
      <c r="J46" s="712" t="s">
        <v>174</v>
      </c>
      <c r="K46" s="712" t="s">
        <v>166</v>
      </c>
      <c r="L46" s="712">
        <v>2.0</v>
      </c>
      <c r="M46" s="712" t="s">
        <v>3151</v>
      </c>
      <c r="N46" s="712">
        <v>96.0</v>
      </c>
      <c r="O46" s="712" t="s">
        <v>5119</v>
      </c>
      <c r="P46" s="712">
        <v>2.0</v>
      </c>
      <c r="Q46" s="717" t="s">
        <v>5120</v>
      </c>
      <c r="R46" s="713">
        <v>2.0</v>
      </c>
      <c r="S46" s="713" t="s">
        <v>166</v>
      </c>
      <c r="T46" s="713" t="s">
        <v>166</v>
      </c>
      <c r="U46" s="712" t="s">
        <v>166</v>
      </c>
      <c r="V46" s="712">
        <v>4.0</v>
      </c>
      <c r="W46" s="712">
        <v>1.0</v>
      </c>
      <c r="X46" s="712">
        <v>1.0</v>
      </c>
      <c r="Y46" s="712" t="s">
        <v>166</v>
      </c>
      <c r="Z46" s="712" t="s">
        <v>166</v>
      </c>
      <c r="AA46" s="712" t="s">
        <v>166</v>
      </c>
      <c r="AB46" s="712">
        <f t="shared" si="1"/>
        <v>8</v>
      </c>
      <c r="AC46" s="712">
        <v>1.0</v>
      </c>
      <c r="AD46" s="712">
        <v>1.0</v>
      </c>
      <c r="AE46" s="712" t="s">
        <v>5025</v>
      </c>
      <c r="AF46" s="713">
        <v>1.0</v>
      </c>
      <c r="AG46" s="712" t="s">
        <v>5026</v>
      </c>
      <c r="AH46" s="712">
        <v>2.5</v>
      </c>
      <c r="AI46" s="712">
        <v>1.0</v>
      </c>
      <c r="AJ46" s="712" t="s">
        <v>5044</v>
      </c>
      <c r="AK46" s="712" t="s">
        <v>5098</v>
      </c>
      <c r="AL46" s="712">
        <v>2400.0</v>
      </c>
      <c r="AM46" s="712">
        <v>5.2</v>
      </c>
      <c r="AN46" s="712" t="s">
        <v>5121</v>
      </c>
      <c r="AO46" s="712" t="s">
        <v>174</v>
      </c>
      <c r="AP46" s="712">
        <v>3.0</v>
      </c>
      <c r="AQ46" s="712" t="s">
        <v>166</v>
      </c>
      <c r="AR46" s="712">
        <v>1.0</v>
      </c>
      <c r="AS46" s="712">
        <v>1.0</v>
      </c>
      <c r="AT46" s="712" t="s">
        <v>166</v>
      </c>
      <c r="AU46" s="712" t="s">
        <v>166</v>
      </c>
      <c r="AV46" s="712">
        <v>3.0</v>
      </c>
      <c r="AW46" s="712">
        <v>1.0</v>
      </c>
      <c r="AX46" s="712">
        <v>1.0</v>
      </c>
      <c r="AY46" s="712" t="s">
        <v>174</v>
      </c>
      <c r="AZ46" s="712" t="s">
        <v>174</v>
      </c>
      <c r="BA46" s="712" t="s">
        <v>5122</v>
      </c>
      <c r="BB46" s="712" t="s">
        <v>5117</v>
      </c>
      <c r="BC46" s="712" t="s">
        <v>4963</v>
      </c>
      <c r="BD46" s="712">
        <v>10.0</v>
      </c>
      <c r="BE46" s="717" t="s">
        <v>5123</v>
      </c>
      <c r="BF46" s="717" t="s">
        <v>5035</v>
      </c>
      <c r="BG46" s="66"/>
      <c r="BH46" s="66"/>
      <c r="BI46" s="66"/>
      <c r="BJ46" s="66"/>
      <c r="BK46" s="66"/>
      <c r="BL46" s="66"/>
      <c r="BM46" s="66"/>
      <c r="BN46" s="66"/>
      <c r="BO46" s="66"/>
      <c r="BP46" s="66"/>
      <c r="BQ46" s="66"/>
      <c r="BR46" s="66"/>
      <c r="BS46" s="66"/>
    </row>
    <row r="47">
      <c r="A47" s="712" t="s">
        <v>1664</v>
      </c>
      <c r="B47" s="712" t="s">
        <v>5081</v>
      </c>
      <c r="C47" s="712" t="s">
        <v>5124</v>
      </c>
      <c r="D47" s="290" t="str">
        <f t="shared" si="8"/>
        <v>Asus</v>
      </c>
      <c r="E47" s="716" t="s">
        <v>5125</v>
      </c>
      <c r="F47" s="712" t="s">
        <v>5111</v>
      </c>
      <c r="G47" s="712" t="s">
        <v>174</v>
      </c>
      <c r="H47" s="712" t="s">
        <v>174</v>
      </c>
      <c r="I47" s="712" t="s">
        <v>174</v>
      </c>
      <c r="J47" s="712" t="s">
        <v>174</v>
      </c>
      <c r="K47" s="712" t="s">
        <v>174</v>
      </c>
      <c r="L47" s="712">
        <v>2.0</v>
      </c>
      <c r="M47" s="712" t="s">
        <v>3151</v>
      </c>
      <c r="N47" s="712">
        <v>96.0</v>
      </c>
      <c r="O47" s="712" t="s">
        <v>5119</v>
      </c>
      <c r="P47" s="712">
        <v>2.0</v>
      </c>
      <c r="Q47" s="719" t="s">
        <v>5126</v>
      </c>
      <c r="R47" s="713">
        <v>4.0</v>
      </c>
      <c r="S47" s="713" t="s">
        <v>166</v>
      </c>
      <c r="T47" s="713" t="s">
        <v>166</v>
      </c>
      <c r="U47" s="712" t="s">
        <v>166</v>
      </c>
      <c r="V47" s="712">
        <v>5.0</v>
      </c>
      <c r="W47" s="712">
        <v>1.0</v>
      </c>
      <c r="X47" s="712" t="s">
        <v>166</v>
      </c>
      <c r="Y47" s="712">
        <v>2.0</v>
      </c>
      <c r="Z47" s="712" t="s">
        <v>166</v>
      </c>
      <c r="AA47" s="712" t="s">
        <v>166</v>
      </c>
      <c r="AB47" s="712">
        <f t="shared" si="1"/>
        <v>12</v>
      </c>
      <c r="AC47" s="712">
        <v>2.0</v>
      </c>
      <c r="AD47" s="712">
        <v>1.0</v>
      </c>
      <c r="AE47" s="712" t="s">
        <v>5025</v>
      </c>
      <c r="AF47" s="713">
        <v>1.0</v>
      </c>
      <c r="AG47" s="712" t="s">
        <v>5026</v>
      </c>
      <c r="AH47" s="712">
        <v>2.5</v>
      </c>
      <c r="AI47" s="712">
        <v>1.0</v>
      </c>
      <c r="AJ47" s="712" t="s">
        <v>5044</v>
      </c>
      <c r="AK47" s="712" t="s">
        <v>5098</v>
      </c>
      <c r="AL47" s="712">
        <v>2400.0</v>
      </c>
      <c r="AM47" s="712">
        <v>5.2</v>
      </c>
      <c r="AN47" s="712" t="s">
        <v>5127</v>
      </c>
      <c r="AO47" s="712" t="s">
        <v>174</v>
      </c>
      <c r="AP47" s="712">
        <v>2.0</v>
      </c>
      <c r="AQ47" s="712" t="s">
        <v>166</v>
      </c>
      <c r="AR47" s="712">
        <v>2.0</v>
      </c>
      <c r="AS47" s="712">
        <v>1.0</v>
      </c>
      <c r="AT47" s="712" t="s">
        <v>166</v>
      </c>
      <c r="AU47" s="712" t="s">
        <v>166</v>
      </c>
      <c r="AV47" s="712">
        <v>3.0</v>
      </c>
      <c r="AW47" s="712">
        <v>1.0</v>
      </c>
      <c r="AX47" s="712">
        <v>1.0</v>
      </c>
      <c r="AY47" s="712" t="s">
        <v>174</v>
      </c>
      <c r="AZ47" s="712" t="s">
        <v>174</v>
      </c>
      <c r="BA47" s="712" t="s">
        <v>5128</v>
      </c>
      <c r="BB47" s="712" t="s">
        <v>5117</v>
      </c>
      <c r="BC47" s="712" t="s">
        <v>4955</v>
      </c>
      <c r="BD47" s="712">
        <v>10.0</v>
      </c>
      <c r="BE47" s="717" t="s">
        <v>5129</v>
      </c>
      <c r="BF47" s="717" t="s">
        <v>5130</v>
      </c>
      <c r="BG47" s="66"/>
      <c r="BH47" s="66"/>
      <c r="BI47" s="66"/>
      <c r="BJ47" s="66"/>
      <c r="BK47" s="66"/>
      <c r="BL47" s="66"/>
      <c r="BM47" s="66"/>
      <c r="BN47" s="66"/>
      <c r="BO47" s="66"/>
      <c r="BP47" s="66"/>
      <c r="BQ47" s="66"/>
      <c r="BR47" s="66"/>
      <c r="BS47" s="66"/>
    </row>
    <row r="48">
      <c r="A48" s="705" t="s">
        <v>1688</v>
      </c>
      <c r="B48" s="705" t="s">
        <v>5131</v>
      </c>
      <c r="C48" s="705" t="s">
        <v>5132</v>
      </c>
      <c r="D48" s="282" t="s">
        <v>169</v>
      </c>
      <c r="E48" s="282" t="str">
        <f>HYPERLINK("https://www.asrock.com/mb/Intel/H110M-ITX/","H110M-ITX")</f>
        <v>H110M-ITX</v>
      </c>
      <c r="F48" s="705" t="s">
        <v>4948</v>
      </c>
      <c r="G48" s="705" t="s">
        <v>166</v>
      </c>
      <c r="H48" s="705" t="s">
        <v>166</v>
      </c>
      <c r="I48" s="705" t="s">
        <v>166</v>
      </c>
      <c r="J48" s="705" t="s">
        <v>166</v>
      </c>
      <c r="K48" s="705" t="s">
        <v>166</v>
      </c>
      <c r="L48" s="705">
        <v>2.0</v>
      </c>
      <c r="M48" s="705" t="s">
        <v>3149</v>
      </c>
      <c r="N48" s="705">
        <v>32.0</v>
      </c>
      <c r="O48" s="705">
        <v>2400.0</v>
      </c>
      <c r="P48" s="705">
        <v>4.0</v>
      </c>
      <c r="Q48" s="708" t="s">
        <v>166</v>
      </c>
      <c r="R48" s="707">
        <v>4.0</v>
      </c>
      <c r="S48" s="707" t="s">
        <v>166</v>
      </c>
      <c r="T48" s="707">
        <v>2.0</v>
      </c>
      <c r="U48" s="705" t="s">
        <v>166</v>
      </c>
      <c r="V48" s="705" t="s">
        <v>166</v>
      </c>
      <c r="W48" s="705" t="s">
        <v>166</v>
      </c>
      <c r="X48" s="705" t="s">
        <v>166</v>
      </c>
      <c r="Y48" s="705" t="s">
        <v>166</v>
      </c>
      <c r="Z48" s="705" t="s">
        <v>166</v>
      </c>
      <c r="AA48" s="705" t="s">
        <v>166</v>
      </c>
      <c r="AB48" s="705">
        <f t="shared" si="1"/>
        <v>6</v>
      </c>
      <c r="AC48" s="705">
        <v>2.0</v>
      </c>
      <c r="AD48" s="705">
        <v>1.0</v>
      </c>
      <c r="AE48" s="705" t="s">
        <v>166</v>
      </c>
      <c r="AF48" s="707">
        <v>1.0</v>
      </c>
      <c r="AG48" s="705" t="s">
        <v>5133</v>
      </c>
      <c r="AH48" s="705">
        <v>1.0</v>
      </c>
      <c r="AI48" s="705" t="s">
        <v>166</v>
      </c>
      <c r="AJ48" s="705" t="s">
        <v>166</v>
      </c>
      <c r="AK48" s="705" t="s">
        <v>166</v>
      </c>
      <c r="AL48" s="705" t="s">
        <v>166</v>
      </c>
      <c r="AM48" s="705" t="s">
        <v>166</v>
      </c>
      <c r="AN48" s="705" t="s">
        <v>4977</v>
      </c>
      <c r="AO48" s="705" t="s">
        <v>166</v>
      </c>
      <c r="AP48" s="705">
        <v>3.0</v>
      </c>
      <c r="AQ48" s="705">
        <v>1.0</v>
      </c>
      <c r="AR48" s="705" t="s">
        <v>166</v>
      </c>
      <c r="AS48" s="705">
        <v>1.0</v>
      </c>
      <c r="AT48" s="705">
        <v>1.0</v>
      </c>
      <c r="AU48" s="705" t="s">
        <v>166</v>
      </c>
      <c r="AV48" s="705">
        <v>2.0</v>
      </c>
      <c r="AW48" s="705" t="s">
        <v>166</v>
      </c>
      <c r="AX48" s="705" t="s">
        <v>166</v>
      </c>
      <c r="AY48" s="705" t="s">
        <v>166</v>
      </c>
      <c r="AZ48" s="705" t="s">
        <v>166</v>
      </c>
      <c r="BA48" s="705" t="s">
        <v>170</v>
      </c>
      <c r="BB48" s="705" t="s">
        <v>5017</v>
      </c>
      <c r="BC48" s="705" t="s">
        <v>4963</v>
      </c>
      <c r="BD48" s="705">
        <v>4.0</v>
      </c>
      <c r="BE48" s="708" t="s">
        <v>170</v>
      </c>
      <c r="BF48" s="708"/>
      <c r="BG48" s="66"/>
      <c r="BH48" s="66"/>
      <c r="BI48" s="66"/>
      <c r="BJ48" s="66"/>
      <c r="BK48" s="66"/>
      <c r="BL48" s="66"/>
      <c r="BM48" s="66"/>
      <c r="BN48" s="66"/>
      <c r="BO48" s="66"/>
      <c r="BP48" s="66"/>
      <c r="BQ48" s="66"/>
      <c r="BR48" s="66"/>
      <c r="BS48" s="66"/>
    </row>
    <row r="49">
      <c r="A49" s="48" t="s">
        <v>1688</v>
      </c>
      <c r="B49" s="48" t="s">
        <v>5131</v>
      </c>
      <c r="C49" s="48" t="s">
        <v>5132</v>
      </c>
      <c r="D49" s="174" t="s">
        <v>169</v>
      </c>
      <c r="E49" s="174" t="str">
        <f>HYPERLINK("https://www.asrock.com/mb/Intel/H110M-ITXac/","H110M-ITX/ac")</f>
        <v>H110M-ITX/ac</v>
      </c>
      <c r="F49" s="48" t="s">
        <v>4948</v>
      </c>
      <c r="G49" s="48" t="s">
        <v>166</v>
      </c>
      <c r="H49" s="48" t="s">
        <v>166</v>
      </c>
      <c r="I49" s="48" t="s">
        <v>166</v>
      </c>
      <c r="J49" s="48" t="s">
        <v>166</v>
      </c>
      <c r="K49" s="48" t="s">
        <v>166</v>
      </c>
      <c r="L49" s="48">
        <v>2.0</v>
      </c>
      <c r="M49" s="48" t="s">
        <v>3149</v>
      </c>
      <c r="N49" s="48">
        <v>32.0</v>
      </c>
      <c r="O49" s="48">
        <v>2400.0</v>
      </c>
      <c r="P49" s="48">
        <v>4.0</v>
      </c>
      <c r="Q49" s="698" t="s">
        <v>166</v>
      </c>
      <c r="R49" s="697">
        <v>4.0</v>
      </c>
      <c r="S49" s="697" t="s">
        <v>166</v>
      </c>
      <c r="T49" s="697">
        <v>2.0</v>
      </c>
      <c r="U49" s="48" t="s">
        <v>166</v>
      </c>
      <c r="V49" s="48" t="s">
        <v>166</v>
      </c>
      <c r="W49" s="48" t="s">
        <v>166</v>
      </c>
      <c r="X49" s="48" t="s">
        <v>166</v>
      </c>
      <c r="Y49" s="48" t="s">
        <v>166</v>
      </c>
      <c r="Z49" s="48" t="s">
        <v>166</v>
      </c>
      <c r="AA49" s="48" t="s">
        <v>166</v>
      </c>
      <c r="AB49" s="48">
        <f t="shared" si="1"/>
        <v>6</v>
      </c>
      <c r="AC49" s="48">
        <v>2.0</v>
      </c>
      <c r="AD49" s="48">
        <v>1.0</v>
      </c>
      <c r="AE49" s="48" t="s">
        <v>166</v>
      </c>
      <c r="AF49" s="697">
        <v>1.0</v>
      </c>
      <c r="AG49" s="48" t="s">
        <v>5133</v>
      </c>
      <c r="AH49" s="48">
        <v>1.0</v>
      </c>
      <c r="AI49" s="48">
        <v>1.0</v>
      </c>
      <c r="AJ49" s="705" t="s">
        <v>4966</v>
      </c>
      <c r="AK49" s="48" t="s">
        <v>170</v>
      </c>
      <c r="AL49" s="48">
        <v>433.0</v>
      </c>
      <c r="AM49" s="48">
        <v>4.0</v>
      </c>
      <c r="AN49" s="48" t="s">
        <v>4977</v>
      </c>
      <c r="AO49" s="48" t="s">
        <v>166</v>
      </c>
      <c r="AP49" s="48">
        <v>3.0</v>
      </c>
      <c r="AQ49" s="48">
        <v>1.0</v>
      </c>
      <c r="AR49" s="48" t="s">
        <v>166</v>
      </c>
      <c r="AS49" s="48">
        <v>1.0</v>
      </c>
      <c r="AT49" s="48">
        <v>1.0</v>
      </c>
      <c r="AU49" s="48" t="s">
        <v>166</v>
      </c>
      <c r="AV49" s="48">
        <v>2.0</v>
      </c>
      <c r="AW49" s="48" t="s">
        <v>166</v>
      </c>
      <c r="AX49" s="48" t="s">
        <v>166</v>
      </c>
      <c r="AY49" s="48" t="s">
        <v>166</v>
      </c>
      <c r="AZ49" s="48" t="s">
        <v>166</v>
      </c>
      <c r="BA49" s="48" t="s">
        <v>170</v>
      </c>
      <c r="BB49" s="48" t="s">
        <v>5017</v>
      </c>
      <c r="BC49" s="48" t="s">
        <v>4963</v>
      </c>
      <c r="BD49" s="48">
        <v>4.0</v>
      </c>
      <c r="BE49" s="698" t="s">
        <v>170</v>
      </c>
      <c r="BF49" s="698"/>
      <c r="BG49" s="66"/>
      <c r="BH49" s="66"/>
      <c r="BI49" s="66"/>
      <c r="BJ49" s="66"/>
      <c r="BK49" s="66"/>
      <c r="BL49" s="66"/>
      <c r="BM49" s="66"/>
      <c r="BN49" s="66"/>
      <c r="BO49" s="66"/>
      <c r="BP49" s="66"/>
      <c r="BQ49" s="66"/>
      <c r="BR49" s="66"/>
      <c r="BS49" s="66"/>
    </row>
    <row r="50">
      <c r="A50" s="48" t="s">
        <v>1688</v>
      </c>
      <c r="B50" s="48" t="s">
        <v>5131</v>
      </c>
      <c r="C50" s="48" t="s">
        <v>5132</v>
      </c>
      <c r="D50" s="174" t="str">
        <f t="shared" ref="D50:D51" si="9">HYPERLINK("https://www.asus.com/","Asus")</f>
        <v>Asus</v>
      </c>
      <c r="E50" s="174" t="s">
        <v>5134</v>
      </c>
      <c r="F50" s="48" t="s">
        <v>4948</v>
      </c>
      <c r="G50" s="48" t="s">
        <v>166</v>
      </c>
      <c r="H50" s="48" t="s">
        <v>166</v>
      </c>
      <c r="I50" s="48" t="s">
        <v>166</v>
      </c>
      <c r="J50" s="48" t="s">
        <v>166</v>
      </c>
      <c r="K50" s="48" t="s">
        <v>166</v>
      </c>
      <c r="L50" s="48">
        <v>2.0</v>
      </c>
      <c r="M50" s="48" t="s">
        <v>3149</v>
      </c>
      <c r="N50" s="48">
        <v>32.0</v>
      </c>
      <c r="O50" s="48">
        <v>2400.0</v>
      </c>
      <c r="P50" s="48">
        <v>4.0</v>
      </c>
      <c r="Q50" s="698" t="s">
        <v>166</v>
      </c>
      <c r="R50" s="697">
        <v>4.0</v>
      </c>
      <c r="S50" s="697" t="s">
        <v>166</v>
      </c>
      <c r="T50" s="697">
        <v>2.0</v>
      </c>
      <c r="U50" s="48" t="s">
        <v>166</v>
      </c>
      <c r="V50" s="48" t="s">
        <v>166</v>
      </c>
      <c r="W50" s="48" t="s">
        <v>166</v>
      </c>
      <c r="X50" s="48" t="s">
        <v>166</v>
      </c>
      <c r="Y50" s="48" t="s">
        <v>166</v>
      </c>
      <c r="Z50" s="48" t="s">
        <v>166</v>
      </c>
      <c r="AA50" s="48" t="s">
        <v>166</v>
      </c>
      <c r="AB50" s="48">
        <f t="shared" si="1"/>
        <v>6</v>
      </c>
      <c r="AC50" s="48">
        <v>1.0</v>
      </c>
      <c r="AD50" s="48">
        <v>1.0</v>
      </c>
      <c r="AE50" s="48" t="s">
        <v>166</v>
      </c>
      <c r="AF50" s="697">
        <v>1.0</v>
      </c>
      <c r="AG50" s="48" t="s">
        <v>4959</v>
      </c>
      <c r="AH50" s="48">
        <v>1.0</v>
      </c>
      <c r="AI50" s="48" t="s">
        <v>166</v>
      </c>
      <c r="AJ50" s="48" t="s">
        <v>166</v>
      </c>
      <c r="AK50" s="48" t="s">
        <v>166</v>
      </c>
      <c r="AL50" s="48" t="s">
        <v>166</v>
      </c>
      <c r="AM50" s="48" t="s">
        <v>166</v>
      </c>
      <c r="AN50" s="48" t="s">
        <v>4960</v>
      </c>
      <c r="AO50" s="48" t="s">
        <v>166</v>
      </c>
      <c r="AP50" s="48">
        <v>3.0</v>
      </c>
      <c r="AQ50" s="48">
        <v>1.0</v>
      </c>
      <c r="AR50" s="48" t="s">
        <v>166</v>
      </c>
      <c r="AS50" s="48">
        <v>1.0</v>
      </c>
      <c r="AT50" s="48">
        <v>1.0</v>
      </c>
      <c r="AU50" s="48">
        <v>1.0</v>
      </c>
      <c r="AV50" s="48">
        <v>2.0</v>
      </c>
      <c r="AW50" s="48" t="s">
        <v>166</v>
      </c>
      <c r="AX50" s="48" t="s">
        <v>166</v>
      </c>
      <c r="AY50" s="48" t="s">
        <v>166</v>
      </c>
      <c r="AZ50" s="48" t="s">
        <v>166</v>
      </c>
      <c r="BA50" s="48" t="s">
        <v>170</v>
      </c>
      <c r="BB50" s="48" t="s">
        <v>170</v>
      </c>
      <c r="BC50" s="48" t="s">
        <v>170</v>
      </c>
      <c r="BD50" s="48" t="s">
        <v>170</v>
      </c>
      <c r="BE50" s="698" t="s">
        <v>170</v>
      </c>
      <c r="BF50" s="698"/>
      <c r="BG50" s="66"/>
      <c r="BH50" s="66"/>
      <c r="BI50" s="66"/>
      <c r="BJ50" s="66"/>
      <c r="BK50" s="66"/>
      <c r="BL50" s="66"/>
      <c r="BM50" s="66"/>
      <c r="BN50" s="66"/>
      <c r="BO50" s="66"/>
      <c r="BP50" s="66"/>
      <c r="BQ50" s="66"/>
      <c r="BR50" s="66"/>
      <c r="BS50" s="66"/>
    </row>
    <row r="51">
      <c r="A51" s="48" t="s">
        <v>1688</v>
      </c>
      <c r="B51" s="48" t="s">
        <v>5131</v>
      </c>
      <c r="C51" s="48" t="s">
        <v>5132</v>
      </c>
      <c r="D51" s="174" t="str">
        <f t="shared" si="9"/>
        <v>Asus</v>
      </c>
      <c r="E51" s="174" t="str">
        <f>HYPERLINK("https://www.asus.com/us/Motherboards/H110I-PLUS-D3-CSM/","H110I-PLUS D3/CSM")</f>
        <v>H110I-PLUS D3/CSM</v>
      </c>
      <c r="F51" s="48" t="s">
        <v>4948</v>
      </c>
      <c r="G51" s="48" t="s">
        <v>166</v>
      </c>
      <c r="H51" s="48" t="s">
        <v>166</v>
      </c>
      <c r="I51" s="48" t="s">
        <v>166</v>
      </c>
      <c r="J51" s="48" t="s">
        <v>166</v>
      </c>
      <c r="K51" s="48" t="s">
        <v>166</v>
      </c>
      <c r="L51" s="48">
        <v>2.0</v>
      </c>
      <c r="M51" s="48" t="s">
        <v>3149</v>
      </c>
      <c r="N51" s="48">
        <v>32.0</v>
      </c>
      <c r="O51" s="48">
        <v>2400.0</v>
      </c>
      <c r="P51" s="48">
        <v>4.0</v>
      </c>
      <c r="Q51" s="698" t="s">
        <v>166</v>
      </c>
      <c r="R51" s="697">
        <v>4.0</v>
      </c>
      <c r="S51" s="697" t="s">
        <v>166</v>
      </c>
      <c r="T51" s="697">
        <v>2.0</v>
      </c>
      <c r="U51" s="48" t="s">
        <v>166</v>
      </c>
      <c r="V51" s="48" t="s">
        <v>166</v>
      </c>
      <c r="W51" s="48" t="s">
        <v>166</v>
      </c>
      <c r="X51" s="48" t="s">
        <v>166</v>
      </c>
      <c r="Y51" s="48" t="s">
        <v>166</v>
      </c>
      <c r="Z51" s="48" t="s">
        <v>166</v>
      </c>
      <c r="AA51" s="48" t="s">
        <v>166</v>
      </c>
      <c r="AB51" s="48">
        <f t="shared" si="1"/>
        <v>6</v>
      </c>
      <c r="AC51" s="48">
        <v>1.0</v>
      </c>
      <c r="AD51" s="48">
        <v>1.0</v>
      </c>
      <c r="AE51" s="48" t="s">
        <v>166</v>
      </c>
      <c r="AF51" s="697">
        <v>1.0</v>
      </c>
      <c r="AG51" s="48" t="s">
        <v>4959</v>
      </c>
      <c r="AH51" s="48">
        <v>1.0</v>
      </c>
      <c r="AI51" s="48" t="s">
        <v>166</v>
      </c>
      <c r="AJ51" s="48" t="s">
        <v>166</v>
      </c>
      <c r="AK51" s="48" t="s">
        <v>166</v>
      </c>
      <c r="AL51" s="48" t="s">
        <v>166</v>
      </c>
      <c r="AM51" s="48" t="s">
        <v>166</v>
      </c>
      <c r="AN51" s="48" t="s">
        <v>4960</v>
      </c>
      <c r="AO51" s="48" t="s">
        <v>166</v>
      </c>
      <c r="AP51" s="48">
        <v>3.0</v>
      </c>
      <c r="AQ51" s="48">
        <v>1.0</v>
      </c>
      <c r="AR51" s="48" t="s">
        <v>166</v>
      </c>
      <c r="AS51" s="48">
        <v>1.0</v>
      </c>
      <c r="AT51" s="48">
        <v>1.0</v>
      </c>
      <c r="AU51" s="48">
        <v>1.0</v>
      </c>
      <c r="AV51" s="48">
        <v>2.0</v>
      </c>
      <c r="AW51" s="48" t="s">
        <v>166</v>
      </c>
      <c r="AX51" s="48" t="s">
        <v>166</v>
      </c>
      <c r="AY51" s="48" t="s">
        <v>166</v>
      </c>
      <c r="AZ51" s="48" t="s">
        <v>166</v>
      </c>
      <c r="BA51" s="48" t="s">
        <v>170</v>
      </c>
      <c r="BB51" s="48" t="s">
        <v>170</v>
      </c>
      <c r="BC51" s="48" t="s">
        <v>170</v>
      </c>
      <c r="BD51" s="48" t="s">
        <v>170</v>
      </c>
      <c r="BE51" s="698" t="s">
        <v>170</v>
      </c>
      <c r="BF51" s="698"/>
      <c r="BG51" s="66"/>
      <c r="BH51" s="66"/>
      <c r="BI51" s="66"/>
      <c r="BJ51" s="66"/>
      <c r="BK51" s="66"/>
      <c r="BL51" s="66"/>
      <c r="BM51" s="66"/>
      <c r="BN51" s="66"/>
      <c r="BO51" s="66"/>
      <c r="BP51" s="66"/>
      <c r="BQ51" s="66"/>
      <c r="BR51" s="66"/>
      <c r="BS51" s="66"/>
    </row>
    <row r="52">
      <c r="A52" s="48" t="s">
        <v>1688</v>
      </c>
      <c r="B52" s="48" t="s">
        <v>5131</v>
      </c>
      <c r="C52" s="48" t="s">
        <v>5132</v>
      </c>
      <c r="D52" s="174" t="str">
        <f>HYPERLINK("https://www.gigabyte.com/","Gigabyte")</f>
        <v>Gigabyte</v>
      </c>
      <c r="E52" s="174" t="str">
        <f>HYPERLINK("https://www.gigabyte.com/Motherboard/GA-H110N-rev-10#ov","GA-H110N")</f>
        <v>GA-H110N</v>
      </c>
      <c r="F52" s="48" t="s">
        <v>4948</v>
      </c>
      <c r="G52" s="48" t="s">
        <v>166</v>
      </c>
      <c r="H52" s="48" t="s">
        <v>166</v>
      </c>
      <c r="I52" s="48" t="s">
        <v>166</v>
      </c>
      <c r="J52" s="48" t="s">
        <v>166</v>
      </c>
      <c r="K52" s="48" t="s">
        <v>166</v>
      </c>
      <c r="L52" s="48">
        <v>2.0</v>
      </c>
      <c r="M52" s="48" t="s">
        <v>3149</v>
      </c>
      <c r="N52" s="48">
        <v>32.0</v>
      </c>
      <c r="O52" s="48">
        <v>2400.0</v>
      </c>
      <c r="P52" s="48">
        <v>3.0</v>
      </c>
      <c r="Q52" s="696" t="s">
        <v>4950</v>
      </c>
      <c r="R52" s="697">
        <v>4.0</v>
      </c>
      <c r="S52" s="697" t="s">
        <v>166</v>
      </c>
      <c r="T52" s="697">
        <v>2.0</v>
      </c>
      <c r="U52" s="48" t="s">
        <v>166</v>
      </c>
      <c r="V52" s="48" t="s">
        <v>166</v>
      </c>
      <c r="W52" s="48" t="s">
        <v>166</v>
      </c>
      <c r="X52" s="48" t="s">
        <v>166</v>
      </c>
      <c r="Y52" s="48" t="s">
        <v>166</v>
      </c>
      <c r="Z52" s="48" t="s">
        <v>166</v>
      </c>
      <c r="AA52" s="48" t="s">
        <v>166</v>
      </c>
      <c r="AB52" s="48">
        <f t="shared" si="1"/>
        <v>6</v>
      </c>
      <c r="AC52" s="48">
        <v>1.0</v>
      </c>
      <c r="AD52" s="48">
        <v>1.0</v>
      </c>
      <c r="AE52" s="48" t="s">
        <v>166</v>
      </c>
      <c r="AF52" s="697">
        <v>1.0</v>
      </c>
      <c r="AG52" s="48" t="s">
        <v>4959</v>
      </c>
      <c r="AH52" s="48">
        <v>1.0</v>
      </c>
      <c r="AI52" s="48" t="s">
        <v>166</v>
      </c>
      <c r="AJ52" s="48" t="s">
        <v>166</v>
      </c>
      <c r="AK52" s="48" t="s">
        <v>166</v>
      </c>
      <c r="AL52" s="48" t="s">
        <v>166</v>
      </c>
      <c r="AM52" s="48" t="s">
        <v>166</v>
      </c>
      <c r="AN52" s="48" t="s">
        <v>4960</v>
      </c>
      <c r="AO52" s="48" t="s">
        <v>166</v>
      </c>
      <c r="AP52" s="48">
        <v>3.0</v>
      </c>
      <c r="AQ52" s="48">
        <v>1.0</v>
      </c>
      <c r="AR52" s="48" t="s">
        <v>166</v>
      </c>
      <c r="AS52" s="48">
        <v>1.0</v>
      </c>
      <c r="AT52" s="48">
        <v>1.0</v>
      </c>
      <c r="AU52" s="48">
        <v>1.0</v>
      </c>
      <c r="AV52" s="48">
        <v>2.0</v>
      </c>
      <c r="AW52" s="48" t="s">
        <v>166</v>
      </c>
      <c r="AX52" s="48" t="s">
        <v>166</v>
      </c>
      <c r="AY52" s="48" t="s">
        <v>166</v>
      </c>
      <c r="AZ52" s="48" t="s">
        <v>166</v>
      </c>
      <c r="BA52" s="48" t="s">
        <v>170</v>
      </c>
      <c r="BB52" s="48" t="s">
        <v>5135</v>
      </c>
      <c r="BC52" s="48" t="s">
        <v>4963</v>
      </c>
      <c r="BD52" s="48">
        <v>3.0</v>
      </c>
      <c r="BE52" s="698" t="s">
        <v>170</v>
      </c>
      <c r="BF52" s="698"/>
      <c r="BG52" s="66"/>
      <c r="BH52" s="66"/>
      <c r="BI52" s="66"/>
      <c r="BJ52" s="66"/>
      <c r="BK52" s="66"/>
      <c r="BL52" s="66"/>
      <c r="BM52" s="66"/>
      <c r="BN52" s="66"/>
      <c r="BO52" s="66"/>
      <c r="BP52" s="66"/>
      <c r="BQ52" s="66"/>
      <c r="BR52" s="66"/>
      <c r="BS52" s="66"/>
    </row>
    <row r="53">
      <c r="A53" s="48" t="s">
        <v>1688</v>
      </c>
      <c r="B53" s="48" t="s">
        <v>5131</v>
      </c>
      <c r="C53" s="48" t="s">
        <v>5132</v>
      </c>
      <c r="D53" s="174" t="str">
        <f t="shared" ref="D53:D54" si="10">HYPERLINK("https://www.msi.com/index.php","MSI")</f>
        <v>MSI</v>
      </c>
      <c r="E53" s="174" t="str">
        <f>HYPERLINK("https://www.msi.com/Motherboard/H110I-PRO.html","H110I PRO")</f>
        <v>H110I PRO</v>
      </c>
      <c r="F53" s="48" t="s">
        <v>4948</v>
      </c>
      <c r="G53" s="48" t="s">
        <v>166</v>
      </c>
      <c r="H53" s="48" t="s">
        <v>166</v>
      </c>
      <c r="I53" s="48" t="s">
        <v>166</v>
      </c>
      <c r="J53" s="48" t="s">
        <v>166</v>
      </c>
      <c r="K53" s="48" t="s">
        <v>166</v>
      </c>
      <c r="L53" s="48">
        <v>2.0</v>
      </c>
      <c r="M53" s="48" t="s">
        <v>3149</v>
      </c>
      <c r="N53" s="48">
        <v>32.0</v>
      </c>
      <c r="O53" s="48">
        <v>2400.0</v>
      </c>
      <c r="P53" s="48">
        <v>4.0</v>
      </c>
      <c r="Q53" s="696" t="s">
        <v>5062</v>
      </c>
      <c r="R53" s="697">
        <v>4.0</v>
      </c>
      <c r="S53" s="697" t="s">
        <v>166</v>
      </c>
      <c r="T53" s="697">
        <v>2.0</v>
      </c>
      <c r="U53" s="48" t="s">
        <v>166</v>
      </c>
      <c r="V53" s="48" t="s">
        <v>166</v>
      </c>
      <c r="W53" s="48" t="s">
        <v>166</v>
      </c>
      <c r="X53" s="48" t="s">
        <v>166</v>
      </c>
      <c r="Y53" s="48" t="s">
        <v>166</v>
      </c>
      <c r="Z53" s="48" t="s">
        <v>166</v>
      </c>
      <c r="AA53" s="48" t="s">
        <v>166</v>
      </c>
      <c r="AB53" s="48">
        <f t="shared" si="1"/>
        <v>6</v>
      </c>
      <c r="AC53" s="48">
        <v>1.0</v>
      </c>
      <c r="AD53" s="48">
        <v>1.0</v>
      </c>
      <c r="AE53" s="48" t="s">
        <v>166</v>
      </c>
      <c r="AF53" s="697">
        <v>1.0</v>
      </c>
      <c r="AG53" s="48" t="s">
        <v>4959</v>
      </c>
      <c r="AH53" s="48">
        <v>1.0</v>
      </c>
      <c r="AI53" s="48" t="s">
        <v>166</v>
      </c>
      <c r="AJ53" s="48" t="s">
        <v>166</v>
      </c>
      <c r="AK53" s="48" t="s">
        <v>166</v>
      </c>
      <c r="AL53" s="48" t="s">
        <v>166</v>
      </c>
      <c r="AM53" s="48" t="s">
        <v>166</v>
      </c>
      <c r="AN53" s="48" t="s">
        <v>4960</v>
      </c>
      <c r="AO53" s="48" t="s">
        <v>166</v>
      </c>
      <c r="AP53" s="48">
        <v>3.0</v>
      </c>
      <c r="AQ53" s="48">
        <v>1.0</v>
      </c>
      <c r="AR53" s="48" t="s">
        <v>166</v>
      </c>
      <c r="AS53" s="48">
        <v>1.0</v>
      </c>
      <c r="AT53" s="48">
        <v>1.0</v>
      </c>
      <c r="AU53" s="48" t="s">
        <v>166</v>
      </c>
      <c r="AV53" s="48">
        <v>2.0</v>
      </c>
      <c r="AW53" s="48" t="s">
        <v>166</v>
      </c>
      <c r="AX53" s="48" t="s">
        <v>166</v>
      </c>
      <c r="AY53" s="48" t="s">
        <v>166</v>
      </c>
      <c r="AZ53" s="48" t="s">
        <v>166</v>
      </c>
      <c r="BA53" s="48" t="s">
        <v>170</v>
      </c>
      <c r="BB53" s="48" t="s">
        <v>5017</v>
      </c>
      <c r="BC53" s="48" t="s">
        <v>4963</v>
      </c>
      <c r="BD53" s="48">
        <v>4.0</v>
      </c>
      <c r="BE53" s="698" t="s">
        <v>170</v>
      </c>
      <c r="BF53" s="698"/>
      <c r="BG53" s="66"/>
      <c r="BH53" s="66"/>
      <c r="BI53" s="66"/>
      <c r="BJ53" s="66"/>
      <c r="BK53" s="66"/>
      <c r="BL53" s="66"/>
      <c r="BM53" s="66"/>
      <c r="BN53" s="66"/>
      <c r="BO53" s="66"/>
      <c r="BP53" s="66"/>
      <c r="BQ53" s="66"/>
      <c r="BR53" s="66"/>
      <c r="BS53" s="66"/>
    </row>
    <row r="54">
      <c r="A54" s="700" t="s">
        <v>1688</v>
      </c>
      <c r="B54" s="700" t="s">
        <v>5131</v>
      </c>
      <c r="C54" s="700" t="s">
        <v>5132</v>
      </c>
      <c r="D54" s="291" t="str">
        <f t="shared" si="10"/>
        <v>MSI</v>
      </c>
      <c r="E54" s="291" t="str">
        <f>HYPERLINK("https://www.msi.com/Motherboard/H110I-PRO-AC.html","H110I PRO AC")</f>
        <v>H110I PRO AC</v>
      </c>
      <c r="F54" s="700" t="s">
        <v>4948</v>
      </c>
      <c r="G54" s="700" t="s">
        <v>166</v>
      </c>
      <c r="H54" s="700" t="s">
        <v>166</v>
      </c>
      <c r="I54" s="700" t="s">
        <v>166</v>
      </c>
      <c r="J54" s="700" t="s">
        <v>166</v>
      </c>
      <c r="K54" s="700" t="s">
        <v>166</v>
      </c>
      <c r="L54" s="700">
        <v>2.0</v>
      </c>
      <c r="M54" s="700" t="s">
        <v>3149</v>
      </c>
      <c r="N54" s="700">
        <v>32.0</v>
      </c>
      <c r="O54" s="700">
        <v>2400.0</v>
      </c>
      <c r="P54" s="700">
        <v>4.0</v>
      </c>
      <c r="Q54" s="709" t="s">
        <v>5062</v>
      </c>
      <c r="R54" s="702">
        <v>4.0</v>
      </c>
      <c r="S54" s="702" t="s">
        <v>166</v>
      </c>
      <c r="T54" s="702">
        <v>2.0</v>
      </c>
      <c r="U54" s="700" t="s">
        <v>166</v>
      </c>
      <c r="V54" s="700" t="s">
        <v>166</v>
      </c>
      <c r="W54" s="700" t="s">
        <v>166</v>
      </c>
      <c r="X54" s="700" t="s">
        <v>166</v>
      </c>
      <c r="Y54" s="700" t="s">
        <v>166</v>
      </c>
      <c r="Z54" s="700" t="s">
        <v>166</v>
      </c>
      <c r="AA54" s="700" t="s">
        <v>166</v>
      </c>
      <c r="AB54" s="700">
        <f t="shared" si="1"/>
        <v>6</v>
      </c>
      <c r="AC54" s="700">
        <v>1.0</v>
      </c>
      <c r="AD54" s="700">
        <v>1.0</v>
      </c>
      <c r="AE54" s="700" t="s">
        <v>166</v>
      </c>
      <c r="AF54" s="702">
        <v>1.0</v>
      </c>
      <c r="AG54" s="700" t="s">
        <v>4959</v>
      </c>
      <c r="AH54" s="700">
        <v>1.0</v>
      </c>
      <c r="AI54" s="700">
        <v>1.0</v>
      </c>
      <c r="AJ54" s="700" t="s">
        <v>4966</v>
      </c>
      <c r="AK54" s="700" t="s">
        <v>5136</v>
      </c>
      <c r="AL54" s="700">
        <v>867.0</v>
      </c>
      <c r="AM54" s="700" t="s">
        <v>166</v>
      </c>
      <c r="AN54" s="700" t="s">
        <v>4960</v>
      </c>
      <c r="AO54" s="700" t="s">
        <v>166</v>
      </c>
      <c r="AP54" s="700">
        <v>3.0</v>
      </c>
      <c r="AQ54" s="700">
        <v>1.0</v>
      </c>
      <c r="AR54" s="700" t="s">
        <v>166</v>
      </c>
      <c r="AS54" s="700">
        <v>1.0</v>
      </c>
      <c r="AT54" s="700">
        <v>1.0</v>
      </c>
      <c r="AU54" s="700" t="s">
        <v>166</v>
      </c>
      <c r="AV54" s="700">
        <v>2.0</v>
      </c>
      <c r="AW54" s="700" t="s">
        <v>166</v>
      </c>
      <c r="AX54" s="700" t="s">
        <v>166</v>
      </c>
      <c r="AY54" s="700" t="s">
        <v>166</v>
      </c>
      <c r="AZ54" s="700" t="s">
        <v>166</v>
      </c>
      <c r="BA54" s="700" t="s">
        <v>170</v>
      </c>
      <c r="BB54" s="700" t="s">
        <v>5017</v>
      </c>
      <c r="BC54" s="700" t="s">
        <v>4963</v>
      </c>
      <c r="BD54" s="700">
        <v>4.0</v>
      </c>
      <c r="BE54" s="703" t="s">
        <v>170</v>
      </c>
      <c r="BF54" s="703"/>
      <c r="BG54" s="66"/>
      <c r="BH54" s="66"/>
      <c r="BI54" s="66"/>
      <c r="BJ54" s="66"/>
      <c r="BK54" s="66"/>
      <c r="BL54" s="66"/>
      <c r="BM54" s="66"/>
      <c r="BN54" s="66"/>
      <c r="BO54" s="66"/>
      <c r="BP54" s="66"/>
      <c r="BQ54" s="66"/>
      <c r="BR54" s="66"/>
      <c r="BS54" s="66"/>
    </row>
    <row r="55">
      <c r="A55" s="705" t="s">
        <v>1688</v>
      </c>
      <c r="B55" s="705" t="s">
        <v>5131</v>
      </c>
      <c r="C55" s="705" t="s">
        <v>5137</v>
      </c>
      <c r="D55" s="282" t="s">
        <v>169</v>
      </c>
      <c r="E55" s="282" t="str">
        <f>HYPERLINK("https://www.asrock.com/mb/Intel/B150M-ITX/","B150M-ITX")</f>
        <v>B150M-ITX</v>
      </c>
      <c r="F55" s="705" t="s">
        <v>4948</v>
      </c>
      <c r="G55" s="705" t="s">
        <v>166</v>
      </c>
      <c r="H55" s="705" t="s">
        <v>166</v>
      </c>
      <c r="I55" s="705" t="s">
        <v>166</v>
      </c>
      <c r="J55" s="705" t="s">
        <v>166</v>
      </c>
      <c r="K55" s="705" t="s">
        <v>166</v>
      </c>
      <c r="L55" s="705">
        <v>2.0</v>
      </c>
      <c r="M55" s="705" t="s">
        <v>3149</v>
      </c>
      <c r="N55" s="705">
        <v>32.0</v>
      </c>
      <c r="O55" s="705">
        <v>2400.0</v>
      </c>
      <c r="P55" s="705">
        <v>4.0</v>
      </c>
      <c r="Q55" s="708" t="s">
        <v>166</v>
      </c>
      <c r="R55" s="707">
        <v>2.0</v>
      </c>
      <c r="S55" s="707" t="s">
        <v>166</v>
      </c>
      <c r="T55" s="707">
        <v>4.0</v>
      </c>
      <c r="U55" s="705" t="s">
        <v>166</v>
      </c>
      <c r="V55" s="705" t="s">
        <v>166</v>
      </c>
      <c r="W55" s="705" t="s">
        <v>166</v>
      </c>
      <c r="X55" s="705" t="s">
        <v>166</v>
      </c>
      <c r="Y55" s="705" t="s">
        <v>166</v>
      </c>
      <c r="Z55" s="705" t="s">
        <v>166</v>
      </c>
      <c r="AA55" s="705" t="s">
        <v>166</v>
      </c>
      <c r="AB55" s="705">
        <f t="shared" si="1"/>
        <v>6</v>
      </c>
      <c r="AC55" s="705">
        <v>2.0</v>
      </c>
      <c r="AD55" s="705">
        <v>1.0</v>
      </c>
      <c r="AE55" s="705" t="s">
        <v>166</v>
      </c>
      <c r="AF55" s="707">
        <v>1.0</v>
      </c>
      <c r="AG55" s="705" t="s">
        <v>5133</v>
      </c>
      <c r="AH55" s="705">
        <v>1.0</v>
      </c>
      <c r="AI55" s="705" t="s">
        <v>166</v>
      </c>
      <c r="AJ55" s="705" t="s">
        <v>166</v>
      </c>
      <c r="AK55" s="705" t="s">
        <v>166</v>
      </c>
      <c r="AL55" s="705" t="s">
        <v>166</v>
      </c>
      <c r="AM55" s="705" t="s">
        <v>166</v>
      </c>
      <c r="AN55" s="705" t="s">
        <v>4977</v>
      </c>
      <c r="AO55" s="705" t="s">
        <v>166</v>
      </c>
      <c r="AP55" s="705">
        <v>3.0</v>
      </c>
      <c r="AQ55" s="705">
        <v>1.0</v>
      </c>
      <c r="AR55" s="705" t="s">
        <v>166</v>
      </c>
      <c r="AS55" s="705">
        <v>1.0</v>
      </c>
      <c r="AT55" s="705">
        <v>1.0</v>
      </c>
      <c r="AU55" s="705" t="s">
        <v>166</v>
      </c>
      <c r="AV55" s="705">
        <v>2.0</v>
      </c>
      <c r="AW55" s="705" t="s">
        <v>166</v>
      </c>
      <c r="AX55" s="705" t="s">
        <v>166</v>
      </c>
      <c r="AY55" s="705" t="s">
        <v>166</v>
      </c>
      <c r="AZ55" s="705" t="s">
        <v>166</v>
      </c>
      <c r="BA55" s="705" t="s">
        <v>170</v>
      </c>
      <c r="BB55" s="705" t="s">
        <v>5017</v>
      </c>
      <c r="BC55" s="705" t="s">
        <v>4963</v>
      </c>
      <c r="BD55" s="705">
        <v>4.0</v>
      </c>
      <c r="BE55" s="708" t="s">
        <v>170</v>
      </c>
      <c r="BF55" s="708"/>
      <c r="BG55" s="66"/>
      <c r="BH55" s="66"/>
      <c r="BI55" s="66"/>
      <c r="BJ55" s="66"/>
      <c r="BK55" s="66"/>
      <c r="BL55" s="66"/>
      <c r="BM55" s="66"/>
      <c r="BN55" s="66"/>
      <c r="BO55" s="66"/>
      <c r="BP55" s="66"/>
      <c r="BQ55" s="66"/>
      <c r="BR55" s="66"/>
      <c r="BS55" s="66"/>
    </row>
    <row r="56">
      <c r="A56" s="48" t="s">
        <v>1688</v>
      </c>
      <c r="B56" s="48" t="s">
        <v>5131</v>
      </c>
      <c r="C56" s="48" t="s">
        <v>5137</v>
      </c>
      <c r="D56" s="174" t="str">
        <f>HYPERLINK("https://www.asus.com/","Asus")</f>
        <v>Asus</v>
      </c>
      <c r="E56" s="174" t="s">
        <v>5138</v>
      </c>
      <c r="F56" s="48" t="s">
        <v>4948</v>
      </c>
      <c r="G56" s="48" t="s">
        <v>166</v>
      </c>
      <c r="H56" s="48" t="s">
        <v>166</v>
      </c>
      <c r="I56" s="48" t="s">
        <v>166</v>
      </c>
      <c r="J56" s="48" t="s">
        <v>166</v>
      </c>
      <c r="K56" s="48" t="s">
        <v>166</v>
      </c>
      <c r="L56" s="48">
        <v>2.0</v>
      </c>
      <c r="M56" s="48" t="s">
        <v>3149</v>
      </c>
      <c r="N56" s="48">
        <v>32.0</v>
      </c>
      <c r="O56" s="48">
        <v>2400.0</v>
      </c>
      <c r="P56" s="48">
        <v>4.0</v>
      </c>
      <c r="Q56" s="696" t="s">
        <v>4950</v>
      </c>
      <c r="R56" s="697">
        <v>2.0</v>
      </c>
      <c r="S56" s="697" t="s">
        <v>166</v>
      </c>
      <c r="T56" s="697">
        <v>2.0</v>
      </c>
      <c r="U56" s="48">
        <v>1.0</v>
      </c>
      <c r="V56" s="48" t="s">
        <v>166</v>
      </c>
      <c r="W56" s="48" t="s">
        <v>166</v>
      </c>
      <c r="X56" s="48" t="s">
        <v>166</v>
      </c>
      <c r="Y56" s="48" t="s">
        <v>166</v>
      </c>
      <c r="Z56" s="48" t="s">
        <v>166</v>
      </c>
      <c r="AA56" s="48" t="s">
        <v>166</v>
      </c>
      <c r="AB56" s="48">
        <f t="shared" si="1"/>
        <v>5</v>
      </c>
      <c r="AC56" s="48">
        <v>1.0</v>
      </c>
      <c r="AD56" s="48">
        <v>1.0</v>
      </c>
      <c r="AE56" s="48" t="s">
        <v>166</v>
      </c>
      <c r="AF56" s="697">
        <v>1.0</v>
      </c>
      <c r="AG56" s="48" t="s">
        <v>5133</v>
      </c>
      <c r="AH56" s="48">
        <v>1.0</v>
      </c>
      <c r="AI56" s="48">
        <v>1.0</v>
      </c>
      <c r="AJ56" s="705" t="s">
        <v>4966</v>
      </c>
      <c r="AK56" s="48" t="s">
        <v>170</v>
      </c>
      <c r="AL56" s="48">
        <v>867.0</v>
      </c>
      <c r="AM56" s="48">
        <v>4.1</v>
      </c>
      <c r="AN56" s="48" t="s">
        <v>5139</v>
      </c>
      <c r="AO56" s="48" t="s">
        <v>166</v>
      </c>
      <c r="AP56" s="48">
        <v>6.0</v>
      </c>
      <c r="AQ56" s="48">
        <v>1.0</v>
      </c>
      <c r="AR56" s="48" t="s">
        <v>166</v>
      </c>
      <c r="AS56" s="48">
        <v>1.0</v>
      </c>
      <c r="AT56" s="48">
        <v>1.0</v>
      </c>
      <c r="AU56" s="48" t="s">
        <v>166</v>
      </c>
      <c r="AV56" s="48">
        <v>2.0</v>
      </c>
      <c r="AW56" s="48" t="s">
        <v>166</v>
      </c>
      <c r="AX56" s="48" t="s">
        <v>166</v>
      </c>
      <c r="AY56" s="48" t="s">
        <v>174</v>
      </c>
      <c r="AZ56" s="48" t="s">
        <v>166</v>
      </c>
      <c r="BA56" s="48" t="s">
        <v>170</v>
      </c>
      <c r="BB56" s="48" t="s">
        <v>170</v>
      </c>
      <c r="BC56" s="48" t="s">
        <v>170</v>
      </c>
      <c r="BD56" s="48" t="s">
        <v>170</v>
      </c>
      <c r="BE56" s="698" t="s">
        <v>170</v>
      </c>
      <c r="BF56" s="698"/>
      <c r="BG56" s="66"/>
      <c r="BH56" s="66"/>
      <c r="BI56" s="66"/>
      <c r="BJ56" s="66"/>
      <c r="BK56" s="66"/>
      <c r="BL56" s="66"/>
      <c r="BM56" s="66"/>
      <c r="BN56" s="66"/>
      <c r="BO56" s="66"/>
      <c r="BP56" s="66"/>
      <c r="BQ56" s="66"/>
      <c r="BR56" s="66"/>
      <c r="BS56" s="66"/>
    </row>
    <row r="57">
      <c r="A57" s="48" t="s">
        <v>1688</v>
      </c>
      <c r="B57" s="48" t="s">
        <v>5131</v>
      </c>
      <c r="C57" s="48" t="s">
        <v>5137</v>
      </c>
      <c r="D57" s="174" t="str">
        <f t="shared" ref="D57:D58" si="11">HYPERLINK("https://www.gigabyte.com/","Gigabyte")</f>
        <v>Gigabyte</v>
      </c>
      <c r="E57" s="174" t="str">
        <f>HYPERLINK("https://www.gigabyte.com/us/Motherboard/GA-B150N-GSM-rev-10#ov","GA-B150N-GSM")</f>
        <v>GA-B150N-GSM</v>
      </c>
      <c r="F57" s="48" t="s">
        <v>4948</v>
      </c>
      <c r="G57" s="48" t="s">
        <v>166</v>
      </c>
      <c r="H57" s="48" t="s">
        <v>166</v>
      </c>
      <c r="I57" s="48" t="s">
        <v>166</v>
      </c>
      <c r="J57" s="48" t="s">
        <v>166</v>
      </c>
      <c r="K57" s="48" t="s">
        <v>166</v>
      </c>
      <c r="L57" s="48">
        <v>2.0</v>
      </c>
      <c r="M57" s="48" t="s">
        <v>3149</v>
      </c>
      <c r="N57" s="48">
        <v>32.0</v>
      </c>
      <c r="O57" s="48">
        <v>2400.0</v>
      </c>
      <c r="P57" s="48">
        <v>6.0</v>
      </c>
      <c r="Q57" s="696" t="s">
        <v>4950</v>
      </c>
      <c r="R57" s="697">
        <v>2.0</v>
      </c>
      <c r="S57" s="697" t="s">
        <v>166</v>
      </c>
      <c r="T57" s="697">
        <v>4.0</v>
      </c>
      <c r="U57" s="48" t="s">
        <v>166</v>
      </c>
      <c r="V57" s="48" t="s">
        <v>166</v>
      </c>
      <c r="W57" s="48" t="s">
        <v>166</v>
      </c>
      <c r="X57" s="48" t="s">
        <v>166</v>
      </c>
      <c r="Y57" s="48" t="s">
        <v>166</v>
      </c>
      <c r="Z57" s="48" t="s">
        <v>166</v>
      </c>
      <c r="AA57" s="48" t="s">
        <v>166</v>
      </c>
      <c r="AB57" s="48">
        <f t="shared" si="1"/>
        <v>6</v>
      </c>
      <c r="AC57" s="48">
        <v>1.0</v>
      </c>
      <c r="AD57" s="48">
        <v>1.0</v>
      </c>
      <c r="AE57" s="48" t="s">
        <v>166</v>
      </c>
      <c r="AF57" s="697">
        <v>2.0</v>
      </c>
      <c r="AG57" s="48" t="s">
        <v>5140</v>
      </c>
      <c r="AH57" s="48">
        <v>1.0</v>
      </c>
      <c r="AI57" s="48" t="s">
        <v>166</v>
      </c>
      <c r="AJ57" s="48" t="s">
        <v>166</v>
      </c>
      <c r="AK57" s="48" t="s">
        <v>166</v>
      </c>
      <c r="AL57" s="48" t="s">
        <v>166</v>
      </c>
      <c r="AM57" s="48" t="s">
        <v>166</v>
      </c>
      <c r="AN57" s="48" t="s">
        <v>4960</v>
      </c>
      <c r="AO57" s="48" t="s">
        <v>166</v>
      </c>
      <c r="AP57" s="48">
        <v>6.0</v>
      </c>
      <c r="AQ57" s="48">
        <v>1.0</v>
      </c>
      <c r="AR57" s="48" t="s">
        <v>166</v>
      </c>
      <c r="AS57" s="48">
        <v>2.0</v>
      </c>
      <c r="AT57" s="48" t="s">
        <v>166</v>
      </c>
      <c r="AU57" s="48" t="s">
        <v>166</v>
      </c>
      <c r="AV57" s="48">
        <v>3.0</v>
      </c>
      <c r="AW57" s="48" t="s">
        <v>166</v>
      </c>
      <c r="AX57" s="48" t="s">
        <v>166</v>
      </c>
      <c r="AY57" s="48" t="s">
        <v>166</v>
      </c>
      <c r="AZ57" s="48" t="s">
        <v>166</v>
      </c>
      <c r="BA57" s="48" t="s">
        <v>170</v>
      </c>
      <c r="BB57" s="48" t="s">
        <v>5017</v>
      </c>
      <c r="BC57" s="48" t="s">
        <v>4963</v>
      </c>
      <c r="BD57" s="48">
        <v>4.0</v>
      </c>
      <c r="BE57" s="698" t="s">
        <v>170</v>
      </c>
      <c r="BF57" s="698"/>
      <c r="BG57" s="66"/>
      <c r="BH57" s="66"/>
      <c r="BI57" s="66"/>
      <c r="BJ57" s="66"/>
      <c r="BK57" s="66"/>
      <c r="BL57" s="66"/>
      <c r="BM57" s="66"/>
      <c r="BN57" s="66"/>
      <c r="BO57" s="66"/>
      <c r="BP57" s="66"/>
      <c r="BQ57" s="66"/>
      <c r="BR57" s="66"/>
      <c r="BS57" s="66"/>
    </row>
    <row r="58">
      <c r="A58" s="48" t="s">
        <v>1688</v>
      </c>
      <c r="B58" s="48" t="s">
        <v>5131</v>
      </c>
      <c r="C58" s="48" t="s">
        <v>5137</v>
      </c>
      <c r="D58" s="174" t="str">
        <f t="shared" si="11"/>
        <v>Gigabyte</v>
      </c>
      <c r="E58" s="174" t="str">
        <f>HYPERLINK("https://www.gigabyte.com/Motherboard/GA-B150N-Phoenix-WIFI-rev-10#ov","GA-B150N Phoenix-WIFI")</f>
        <v>GA-B150N Phoenix-WIFI</v>
      </c>
      <c r="F58" s="48" t="s">
        <v>4948</v>
      </c>
      <c r="G58" s="48" t="s">
        <v>166</v>
      </c>
      <c r="H58" s="48" t="s">
        <v>166</v>
      </c>
      <c r="I58" s="48" t="s">
        <v>166</v>
      </c>
      <c r="J58" s="48" t="s">
        <v>166</v>
      </c>
      <c r="K58" s="48" t="s">
        <v>166</v>
      </c>
      <c r="L58" s="48">
        <v>2.0</v>
      </c>
      <c r="M58" s="48" t="s">
        <v>3149</v>
      </c>
      <c r="N58" s="48">
        <v>32.0</v>
      </c>
      <c r="O58" s="48">
        <v>2400.0</v>
      </c>
      <c r="P58" s="48">
        <v>4.0</v>
      </c>
      <c r="Q58" s="696" t="s">
        <v>4950</v>
      </c>
      <c r="R58" s="697" t="s">
        <v>166</v>
      </c>
      <c r="S58" s="697" t="s">
        <v>166</v>
      </c>
      <c r="T58" s="697">
        <v>4.0</v>
      </c>
      <c r="U58" s="48" t="s">
        <v>166</v>
      </c>
      <c r="V58" s="48">
        <v>1.0</v>
      </c>
      <c r="W58" s="48">
        <v>1.0</v>
      </c>
      <c r="X58" s="48" t="s">
        <v>166</v>
      </c>
      <c r="Y58" s="48" t="s">
        <v>166</v>
      </c>
      <c r="Z58" s="48" t="s">
        <v>166</v>
      </c>
      <c r="AA58" s="48" t="s">
        <v>166</v>
      </c>
      <c r="AB58" s="48">
        <f t="shared" si="1"/>
        <v>6</v>
      </c>
      <c r="AC58" s="48">
        <v>1.0</v>
      </c>
      <c r="AD58" s="48">
        <v>1.0</v>
      </c>
      <c r="AE58" s="48" t="s">
        <v>166</v>
      </c>
      <c r="AF58" s="697">
        <v>1.0</v>
      </c>
      <c r="AG58" s="48" t="s">
        <v>5133</v>
      </c>
      <c r="AH58" s="48">
        <v>1.0</v>
      </c>
      <c r="AI58" s="48">
        <v>1.0</v>
      </c>
      <c r="AJ58" s="705" t="s">
        <v>4966</v>
      </c>
      <c r="AK58" s="48" t="s">
        <v>170</v>
      </c>
      <c r="AL58" s="48">
        <v>867.0</v>
      </c>
      <c r="AM58" s="48">
        <v>4.2</v>
      </c>
      <c r="AN58" s="48" t="s">
        <v>4977</v>
      </c>
      <c r="AO58" s="48" t="s">
        <v>174</v>
      </c>
      <c r="AP58" s="48">
        <v>5.0</v>
      </c>
      <c r="AQ58" s="48">
        <v>1.0</v>
      </c>
      <c r="AR58" s="48" t="s">
        <v>166</v>
      </c>
      <c r="AS58" s="48">
        <v>1.0</v>
      </c>
      <c r="AT58" s="48">
        <v>1.0</v>
      </c>
      <c r="AU58" s="48" t="s">
        <v>166</v>
      </c>
      <c r="AV58" s="48">
        <v>3.0</v>
      </c>
      <c r="AW58" s="48" t="s">
        <v>166</v>
      </c>
      <c r="AX58" s="48" t="s">
        <v>166</v>
      </c>
      <c r="AY58" s="48" t="s">
        <v>166</v>
      </c>
      <c r="AZ58" s="48" t="s">
        <v>166</v>
      </c>
      <c r="BA58" s="48" t="s">
        <v>170</v>
      </c>
      <c r="BB58" s="48" t="s">
        <v>5017</v>
      </c>
      <c r="BC58" s="48" t="s">
        <v>4963</v>
      </c>
      <c r="BD58" s="48">
        <v>4.0</v>
      </c>
      <c r="BE58" s="698" t="s">
        <v>170</v>
      </c>
      <c r="BF58" s="698"/>
      <c r="BG58" s="66"/>
      <c r="BH58" s="66"/>
      <c r="BI58" s="66"/>
      <c r="BJ58" s="66"/>
      <c r="BK58" s="66"/>
      <c r="BL58" s="66"/>
      <c r="BM58" s="66"/>
      <c r="BN58" s="66"/>
      <c r="BO58" s="66"/>
      <c r="BP58" s="66"/>
      <c r="BQ58" s="66"/>
      <c r="BR58" s="66"/>
      <c r="BS58" s="66"/>
    </row>
    <row r="59">
      <c r="A59" s="48" t="s">
        <v>1688</v>
      </c>
      <c r="B59" s="48" t="s">
        <v>5131</v>
      </c>
      <c r="C59" s="48" t="s">
        <v>5137</v>
      </c>
      <c r="D59" s="174" t="str">
        <f t="shared" ref="D59:D60" si="12">HYPERLINK("https://www.msi.com/index.php","MSI")</f>
        <v>MSI</v>
      </c>
      <c r="E59" s="174" t="str">
        <f>HYPERLINK("https://www.msi.com/Motherboard/B150I-GAMING-PRO.html","B150I GAMING PRO")</f>
        <v>B150I GAMING PRO</v>
      </c>
      <c r="F59" s="48" t="s">
        <v>4948</v>
      </c>
      <c r="G59" s="48" t="s">
        <v>166</v>
      </c>
      <c r="H59" s="48" t="s">
        <v>166</v>
      </c>
      <c r="I59" s="48" t="s">
        <v>166</v>
      </c>
      <c r="J59" s="48" t="s">
        <v>166</v>
      </c>
      <c r="K59" s="48" t="s">
        <v>166</v>
      </c>
      <c r="L59" s="48">
        <v>2.0</v>
      </c>
      <c r="M59" s="48" t="s">
        <v>3149</v>
      </c>
      <c r="N59" s="48">
        <v>32.0</v>
      </c>
      <c r="O59" s="48">
        <v>2400.0</v>
      </c>
      <c r="P59" s="48">
        <v>4.0</v>
      </c>
      <c r="Q59" s="696" t="s">
        <v>5062</v>
      </c>
      <c r="R59" s="697">
        <v>4.0</v>
      </c>
      <c r="S59" s="697" t="s">
        <v>166</v>
      </c>
      <c r="T59" s="697">
        <v>2.0</v>
      </c>
      <c r="U59" s="48" t="s">
        <v>166</v>
      </c>
      <c r="V59" s="48" t="s">
        <v>166</v>
      </c>
      <c r="W59" s="48" t="s">
        <v>166</v>
      </c>
      <c r="X59" s="48" t="s">
        <v>166</v>
      </c>
      <c r="Y59" s="48" t="s">
        <v>166</v>
      </c>
      <c r="Z59" s="48" t="s">
        <v>166</v>
      </c>
      <c r="AA59" s="48" t="s">
        <v>166</v>
      </c>
      <c r="AB59" s="48">
        <f t="shared" si="1"/>
        <v>6</v>
      </c>
      <c r="AC59" s="48">
        <v>1.0</v>
      </c>
      <c r="AD59" s="48">
        <v>1.0</v>
      </c>
      <c r="AE59" s="48" t="s">
        <v>166</v>
      </c>
      <c r="AF59" s="697">
        <v>1.0</v>
      </c>
      <c r="AG59" s="48" t="s">
        <v>4959</v>
      </c>
      <c r="AH59" s="48">
        <v>1.0</v>
      </c>
      <c r="AI59" s="48">
        <v>1.0</v>
      </c>
      <c r="AJ59" s="48" t="s">
        <v>166</v>
      </c>
      <c r="AK59" s="48" t="s">
        <v>232</v>
      </c>
      <c r="AL59" s="48" t="s">
        <v>166</v>
      </c>
      <c r="AM59" s="48" t="s">
        <v>166</v>
      </c>
      <c r="AN59" s="48" t="s">
        <v>4960</v>
      </c>
      <c r="AO59" s="48" t="s">
        <v>166</v>
      </c>
      <c r="AP59" s="48">
        <v>3.0</v>
      </c>
      <c r="AQ59" s="48">
        <v>1.0</v>
      </c>
      <c r="AR59" s="48" t="s">
        <v>166</v>
      </c>
      <c r="AS59" s="48">
        <v>1.0</v>
      </c>
      <c r="AT59" s="48">
        <v>1.0</v>
      </c>
      <c r="AU59" s="48" t="s">
        <v>166</v>
      </c>
      <c r="AV59" s="48">
        <v>2.0</v>
      </c>
      <c r="AW59" s="48" t="s">
        <v>166</v>
      </c>
      <c r="AX59" s="48" t="s">
        <v>166</v>
      </c>
      <c r="AY59" s="48" t="s">
        <v>166</v>
      </c>
      <c r="AZ59" s="48" t="s">
        <v>166</v>
      </c>
      <c r="BA59" s="48" t="s">
        <v>170</v>
      </c>
      <c r="BB59" s="48" t="s">
        <v>5017</v>
      </c>
      <c r="BC59" s="48" t="s">
        <v>4963</v>
      </c>
      <c r="BD59" s="48">
        <v>4.0</v>
      </c>
      <c r="BE59" s="698" t="s">
        <v>170</v>
      </c>
      <c r="BF59" s="698"/>
      <c r="BG59" s="66"/>
      <c r="BH59" s="66"/>
      <c r="BI59" s="66"/>
      <c r="BJ59" s="66"/>
      <c r="BK59" s="66"/>
      <c r="BL59" s="66"/>
      <c r="BM59" s="66"/>
      <c r="BN59" s="66"/>
      <c r="BO59" s="66"/>
      <c r="BP59" s="66"/>
      <c r="BQ59" s="66"/>
      <c r="BR59" s="66"/>
      <c r="BS59" s="66"/>
    </row>
    <row r="60">
      <c r="A60" s="700" t="s">
        <v>1688</v>
      </c>
      <c r="B60" s="700" t="s">
        <v>5131</v>
      </c>
      <c r="C60" s="700" t="s">
        <v>5137</v>
      </c>
      <c r="D60" s="291" t="str">
        <f t="shared" si="12"/>
        <v>MSI</v>
      </c>
      <c r="E60" s="291" t="str">
        <f>HYPERLINK("https://www.msi.com/Motherboard/B150I-GAMING-PRO-AC.html","B150I GAMING PRO AC")</f>
        <v>B150I GAMING PRO AC</v>
      </c>
      <c r="F60" s="700" t="s">
        <v>4948</v>
      </c>
      <c r="G60" s="700" t="s">
        <v>166</v>
      </c>
      <c r="H60" s="700" t="s">
        <v>166</v>
      </c>
      <c r="I60" s="700" t="s">
        <v>166</v>
      </c>
      <c r="J60" s="700" t="s">
        <v>166</v>
      </c>
      <c r="K60" s="700" t="s">
        <v>166</v>
      </c>
      <c r="L60" s="700">
        <v>2.0</v>
      </c>
      <c r="M60" s="700" t="s">
        <v>3149</v>
      </c>
      <c r="N60" s="700">
        <v>32.0</v>
      </c>
      <c r="O60" s="700">
        <v>2400.0</v>
      </c>
      <c r="P60" s="700">
        <v>4.0</v>
      </c>
      <c r="Q60" s="709" t="s">
        <v>5062</v>
      </c>
      <c r="R60" s="702">
        <v>4.0</v>
      </c>
      <c r="S60" s="702" t="s">
        <v>166</v>
      </c>
      <c r="T60" s="702">
        <v>2.0</v>
      </c>
      <c r="U60" s="700" t="s">
        <v>166</v>
      </c>
      <c r="V60" s="700" t="s">
        <v>166</v>
      </c>
      <c r="W60" s="700" t="s">
        <v>166</v>
      </c>
      <c r="X60" s="700" t="s">
        <v>166</v>
      </c>
      <c r="Y60" s="700" t="s">
        <v>166</v>
      </c>
      <c r="Z60" s="700" t="s">
        <v>166</v>
      </c>
      <c r="AA60" s="700" t="s">
        <v>166</v>
      </c>
      <c r="AB60" s="700">
        <f t="shared" si="1"/>
        <v>6</v>
      </c>
      <c r="AC60" s="700">
        <v>1.0</v>
      </c>
      <c r="AD60" s="700">
        <v>1.0</v>
      </c>
      <c r="AE60" s="700" t="s">
        <v>166</v>
      </c>
      <c r="AF60" s="702">
        <v>1.0</v>
      </c>
      <c r="AG60" s="700" t="s">
        <v>4959</v>
      </c>
      <c r="AH60" s="700">
        <v>1.0</v>
      </c>
      <c r="AI60" s="700">
        <v>1.0</v>
      </c>
      <c r="AJ60" s="700" t="s">
        <v>4966</v>
      </c>
      <c r="AK60" s="700" t="s">
        <v>5136</v>
      </c>
      <c r="AL60" s="700">
        <v>867.0</v>
      </c>
      <c r="AM60" s="700">
        <v>4.2</v>
      </c>
      <c r="AN60" s="700" t="s">
        <v>4960</v>
      </c>
      <c r="AO60" s="700" t="s">
        <v>166</v>
      </c>
      <c r="AP60" s="700">
        <v>3.0</v>
      </c>
      <c r="AQ60" s="700">
        <v>1.0</v>
      </c>
      <c r="AR60" s="700" t="s">
        <v>166</v>
      </c>
      <c r="AS60" s="700">
        <v>1.0</v>
      </c>
      <c r="AT60" s="700">
        <v>1.0</v>
      </c>
      <c r="AU60" s="700" t="s">
        <v>166</v>
      </c>
      <c r="AV60" s="700">
        <v>2.0</v>
      </c>
      <c r="AW60" s="700" t="s">
        <v>166</v>
      </c>
      <c r="AX60" s="700" t="s">
        <v>166</v>
      </c>
      <c r="AY60" s="700" t="s">
        <v>166</v>
      </c>
      <c r="AZ60" s="700" t="s">
        <v>166</v>
      </c>
      <c r="BA60" s="700" t="s">
        <v>170</v>
      </c>
      <c r="BB60" s="700" t="s">
        <v>5017</v>
      </c>
      <c r="BC60" s="700" t="s">
        <v>4963</v>
      </c>
      <c r="BD60" s="700">
        <v>4.0</v>
      </c>
      <c r="BE60" s="703" t="s">
        <v>170</v>
      </c>
      <c r="BF60" s="703"/>
      <c r="BG60" s="66"/>
      <c r="BH60" s="66"/>
      <c r="BI60" s="66"/>
      <c r="BJ60" s="66"/>
      <c r="BK60" s="66"/>
      <c r="BL60" s="66"/>
      <c r="BM60" s="66"/>
      <c r="BN60" s="66"/>
      <c r="BO60" s="66"/>
      <c r="BP60" s="66"/>
      <c r="BQ60" s="66"/>
      <c r="BR60" s="66"/>
      <c r="BS60" s="66"/>
    </row>
    <row r="61">
      <c r="A61" s="705" t="s">
        <v>1688</v>
      </c>
      <c r="B61" s="705" t="s">
        <v>5131</v>
      </c>
      <c r="C61" s="705" t="s">
        <v>5141</v>
      </c>
      <c r="D61" s="282" t="s">
        <v>169</v>
      </c>
      <c r="E61" s="282" t="str">
        <f>HYPERLINK("https://www.asrock.com/mb/Intel/H170M-ITXac/","H170M-ITX/ac")</f>
        <v>H170M-ITX/ac</v>
      </c>
      <c r="F61" s="705" t="s">
        <v>4948</v>
      </c>
      <c r="G61" s="705" t="s">
        <v>166</v>
      </c>
      <c r="H61" s="705" t="s">
        <v>166</v>
      </c>
      <c r="I61" s="705" t="s">
        <v>166</v>
      </c>
      <c r="J61" s="705" t="s">
        <v>166</v>
      </c>
      <c r="K61" s="705" t="s">
        <v>166</v>
      </c>
      <c r="L61" s="705">
        <v>2.0</v>
      </c>
      <c r="M61" s="705" t="s">
        <v>3149</v>
      </c>
      <c r="N61" s="705">
        <v>32.0</v>
      </c>
      <c r="O61" s="705">
        <v>2400.0</v>
      </c>
      <c r="P61" s="705">
        <v>4.0</v>
      </c>
      <c r="Q61" s="708" t="s">
        <v>166</v>
      </c>
      <c r="R61" s="707">
        <v>2.0</v>
      </c>
      <c r="S61" s="707" t="s">
        <v>166</v>
      </c>
      <c r="T61" s="707">
        <v>6.0</v>
      </c>
      <c r="U61" s="705" t="s">
        <v>166</v>
      </c>
      <c r="V61" s="705" t="s">
        <v>166</v>
      </c>
      <c r="W61" s="705" t="s">
        <v>166</v>
      </c>
      <c r="X61" s="705" t="s">
        <v>166</v>
      </c>
      <c r="Y61" s="705" t="s">
        <v>166</v>
      </c>
      <c r="Z61" s="705" t="s">
        <v>166</v>
      </c>
      <c r="AA61" s="705" t="s">
        <v>166</v>
      </c>
      <c r="AB61" s="705">
        <f t="shared" si="1"/>
        <v>8</v>
      </c>
      <c r="AC61" s="705">
        <v>1.0</v>
      </c>
      <c r="AD61" s="705">
        <v>1.0</v>
      </c>
      <c r="AE61" s="705" t="s">
        <v>166</v>
      </c>
      <c r="AF61" s="707">
        <v>2.0</v>
      </c>
      <c r="AG61" s="705" t="s">
        <v>5142</v>
      </c>
      <c r="AH61" s="705">
        <v>1.0</v>
      </c>
      <c r="AI61" s="705">
        <v>1.0</v>
      </c>
      <c r="AJ61" s="705" t="s">
        <v>4966</v>
      </c>
      <c r="AK61" s="705" t="s">
        <v>170</v>
      </c>
      <c r="AL61" s="705">
        <v>433.0</v>
      </c>
      <c r="AM61" s="705">
        <v>4.0</v>
      </c>
      <c r="AN61" s="705" t="s">
        <v>4977</v>
      </c>
      <c r="AO61" s="705" t="s">
        <v>166</v>
      </c>
      <c r="AP61" s="705">
        <v>3.0</v>
      </c>
      <c r="AQ61" s="705">
        <v>1.0</v>
      </c>
      <c r="AR61" s="705" t="s">
        <v>166</v>
      </c>
      <c r="AS61" s="705">
        <v>1.0</v>
      </c>
      <c r="AT61" s="705">
        <v>1.0</v>
      </c>
      <c r="AU61" s="705" t="s">
        <v>166</v>
      </c>
      <c r="AV61" s="705">
        <v>2.0</v>
      </c>
      <c r="AW61" s="705" t="s">
        <v>166</v>
      </c>
      <c r="AX61" s="705" t="s">
        <v>166</v>
      </c>
      <c r="AY61" s="705" t="s">
        <v>166</v>
      </c>
      <c r="AZ61" s="705" t="s">
        <v>166</v>
      </c>
      <c r="BA61" s="705" t="s">
        <v>170</v>
      </c>
      <c r="BB61" s="705" t="s">
        <v>5143</v>
      </c>
      <c r="BC61" s="705" t="s">
        <v>4963</v>
      </c>
      <c r="BD61" s="705">
        <v>5.0</v>
      </c>
      <c r="BE61" s="708" t="s">
        <v>170</v>
      </c>
      <c r="BF61" s="708"/>
      <c r="BG61" s="66"/>
      <c r="BH61" s="66"/>
      <c r="BI61" s="66"/>
      <c r="BJ61" s="66"/>
      <c r="BK61" s="66"/>
      <c r="BL61" s="66"/>
      <c r="BM61" s="66"/>
      <c r="BN61" s="66"/>
      <c r="BO61" s="66"/>
      <c r="BP61" s="66"/>
      <c r="BQ61" s="66"/>
      <c r="BR61" s="66"/>
      <c r="BS61" s="66"/>
    </row>
    <row r="62">
      <c r="A62" s="48" t="s">
        <v>1688</v>
      </c>
      <c r="B62" s="48" t="s">
        <v>5131</v>
      </c>
      <c r="C62" s="48" t="s">
        <v>5141</v>
      </c>
      <c r="D62" s="174" t="s">
        <v>169</v>
      </c>
      <c r="E62" s="174" t="str">
        <f>HYPERLINK("https://www.asrock.com/mb/Intel/H170M-ITXdl/","H170M-ITX/DL")</f>
        <v>H170M-ITX/DL</v>
      </c>
      <c r="F62" s="48" t="s">
        <v>4948</v>
      </c>
      <c r="G62" s="48" t="s">
        <v>166</v>
      </c>
      <c r="H62" s="48" t="s">
        <v>166</v>
      </c>
      <c r="I62" s="48" t="s">
        <v>166</v>
      </c>
      <c r="J62" s="48" t="s">
        <v>166</v>
      </c>
      <c r="K62" s="48" t="s">
        <v>166</v>
      </c>
      <c r="L62" s="48">
        <v>2.0</v>
      </c>
      <c r="M62" s="48" t="s">
        <v>3149</v>
      </c>
      <c r="N62" s="48">
        <v>32.0</v>
      </c>
      <c r="O62" s="48">
        <v>2400.0</v>
      </c>
      <c r="P62" s="48">
        <v>4.0</v>
      </c>
      <c r="Q62" s="698" t="s">
        <v>166</v>
      </c>
      <c r="R62" s="697">
        <v>2.0</v>
      </c>
      <c r="S62" s="697" t="s">
        <v>166</v>
      </c>
      <c r="T62" s="697">
        <v>6.0</v>
      </c>
      <c r="U62" s="48" t="s">
        <v>166</v>
      </c>
      <c r="V62" s="48" t="s">
        <v>166</v>
      </c>
      <c r="W62" s="48" t="s">
        <v>166</v>
      </c>
      <c r="X62" s="48" t="s">
        <v>166</v>
      </c>
      <c r="Y62" s="48" t="s">
        <v>166</v>
      </c>
      <c r="Z62" s="48" t="s">
        <v>166</v>
      </c>
      <c r="AA62" s="48" t="s">
        <v>166</v>
      </c>
      <c r="AB62" s="48">
        <f t="shared" si="1"/>
        <v>8</v>
      </c>
      <c r="AC62" s="48">
        <v>1.0</v>
      </c>
      <c r="AD62" s="48">
        <v>1.0</v>
      </c>
      <c r="AE62" s="48" t="s">
        <v>166</v>
      </c>
      <c r="AF62" s="697">
        <v>2.0</v>
      </c>
      <c r="AG62" s="48" t="s">
        <v>5142</v>
      </c>
      <c r="AH62" s="48">
        <v>1.0</v>
      </c>
      <c r="AI62" s="48" t="s">
        <v>166</v>
      </c>
      <c r="AJ62" s="48" t="s">
        <v>166</v>
      </c>
      <c r="AK62" s="48" t="s">
        <v>166</v>
      </c>
      <c r="AL62" s="48" t="s">
        <v>166</v>
      </c>
      <c r="AM62" s="48" t="s">
        <v>166</v>
      </c>
      <c r="AN62" s="48" t="s">
        <v>4977</v>
      </c>
      <c r="AO62" s="48" t="s">
        <v>166</v>
      </c>
      <c r="AP62" s="48">
        <v>3.0</v>
      </c>
      <c r="AQ62" s="48">
        <v>1.0</v>
      </c>
      <c r="AR62" s="48" t="s">
        <v>166</v>
      </c>
      <c r="AS62" s="48">
        <v>1.0</v>
      </c>
      <c r="AT62" s="48">
        <v>1.0</v>
      </c>
      <c r="AU62" s="48" t="s">
        <v>166</v>
      </c>
      <c r="AV62" s="48">
        <v>2.0</v>
      </c>
      <c r="AW62" s="48" t="s">
        <v>166</v>
      </c>
      <c r="AX62" s="48" t="s">
        <v>166</v>
      </c>
      <c r="AY62" s="48" t="s">
        <v>166</v>
      </c>
      <c r="AZ62" s="48" t="s">
        <v>166</v>
      </c>
      <c r="BA62" s="48" t="s">
        <v>170</v>
      </c>
      <c r="BB62" s="48" t="s">
        <v>5143</v>
      </c>
      <c r="BC62" s="48" t="s">
        <v>4963</v>
      </c>
      <c r="BD62" s="48">
        <v>5.0</v>
      </c>
      <c r="BE62" s="698" t="s">
        <v>170</v>
      </c>
      <c r="BF62" s="698"/>
      <c r="BG62" s="66"/>
      <c r="BH62" s="66"/>
      <c r="BI62" s="66"/>
      <c r="BJ62" s="66"/>
      <c r="BK62" s="66"/>
      <c r="BL62" s="66"/>
      <c r="BM62" s="66"/>
      <c r="BN62" s="66"/>
      <c r="BO62" s="66"/>
      <c r="BP62" s="66"/>
      <c r="BQ62" s="66"/>
      <c r="BR62" s="66"/>
      <c r="BS62" s="66"/>
    </row>
    <row r="63">
      <c r="A63" s="48" t="s">
        <v>1688</v>
      </c>
      <c r="B63" s="48" t="s">
        <v>5131</v>
      </c>
      <c r="C63" s="48" t="s">
        <v>5141</v>
      </c>
      <c r="D63" s="174" t="str">
        <f t="shared" ref="D63:D64" si="13">HYPERLINK("https://www.asus.com/","Asus")</f>
        <v>Asus</v>
      </c>
      <c r="E63" s="174" t="s">
        <v>5144</v>
      </c>
      <c r="F63" s="48" t="s">
        <v>4948</v>
      </c>
      <c r="G63" s="48" t="s">
        <v>166</v>
      </c>
      <c r="H63" s="48" t="s">
        <v>166</v>
      </c>
      <c r="I63" s="48" t="s">
        <v>166</v>
      </c>
      <c r="J63" s="48" t="s">
        <v>166</v>
      </c>
      <c r="K63" s="48" t="s">
        <v>166</v>
      </c>
      <c r="L63" s="48">
        <v>2.0</v>
      </c>
      <c r="M63" s="48" t="s">
        <v>3149</v>
      </c>
      <c r="N63" s="48">
        <v>32.0</v>
      </c>
      <c r="O63" s="48">
        <v>2400.0</v>
      </c>
      <c r="P63" s="48">
        <v>4.0</v>
      </c>
      <c r="Q63" s="696" t="s">
        <v>4950</v>
      </c>
      <c r="R63" s="697" t="s">
        <v>166</v>
      </c>
      <c r="S63" s="697" t="s">
        <v>166</v>
      </c>
      <c r="T63" s="697">
        <v>6.0</v>
      </c>
      <c r="U63" s="48" t="s">
        <v>166</v>
      </c>
      <c r="V63" s="48" t="s">
        <v>166</v>
      </c>
      <c r="W63" s="48" t="s">
        <v>166</v>
      </c>
      <c r="X63" s="48" t="s">
        <v>166</v>
      </c>
      <c r="Y63" s="48" t="s">
        <v>166</v>
      </c>
      <c r="Z63" s="48" t="s">
        <v>166</v>
      </c>
      <c r="AA63" s="48" t="s">
        <v>166</v>
      </c>
      <c r="AB63" s="48">
        <f t="shared" si="1"/>
        <v>6</v>
      </c>
      <c r="AC63" s="48">
        <v>2.0</v>
      </c>
      <c r="AD63" s="48">
        <v>1.0</v>
      </c>
      <c r="AE63" s="48" t="s">
        <v>166</v>
      </c>
      <c r="AF63" s="697">
        <v>1.0</v>
      </c>
      <c r="AG63" s="48" t="s">
        <v>5133</v>
      </c>
      <c r="AH63" s="48">
        <v>1.0</v>
      </c>
      <c r="AI63" s="48">
        <v>1.0</v>
      </c>
      <c r="AJ63" s="705" t="s">
        <v>4966</v>
      </c>
      <c r="AK63" s="48" t="s">
        <v>170</v>
      </c>
      <c r="AL63" s="48" t="s">
        <v>170</v>
      </c>
      <c r="AM63" s="48">
        <v>4.0</v>
      </c>
      <c r="AN63" s="48" t="s">
        <v>4960</v>
      </c>
      <c r="AO63" s="48" t="s">
        <v>166</v>
      </c>
      <c r="AP63" s="48">
        <v>3.0</v>
      </c>
      <c r="AQ63" s="48">
        <v>1.0</v>
      </c>
      <c r="AR63" s="48">
        <v>1.0</v>
      </c>
      <c r="AS63" s="48">
        <v>1.0</v>
      </c>
      <c r="AT63" s="48">
        <v>1.0</v>
      </c>
      <c r="AU63" s="48">
        <v>1.0</v>
      </c>
      <c r="AV63" s="48">
        <v>3.0</v>
      </c>
      <c r="AW63" s="48" t="s">
        <v>166</v>
      </c>
      <c r="AX63" s="48" t="s">
        <v>166</v>
      </c>
      <c r="AY63" s="48" t="s">
        <v>166</v>
      </c>
      <c r="AZ63" s="48" t="s">
        <v>166</v>
      </c>
      <c r="BA63" s="48" t="s">
        <v>170</v>
      </c>
      <c r="BB63" s="48" t="s">
        <v>170</v>
      </c>
      <c r="BC63" s="48" t="s">
        <v>170</v>
      </c>
      <c r="BD63" s="48" t="s">
        <v>170</v>
      </c>
      <c r="BE63" s="698" t="s">
        <v>170</v>
      </c>
      <c r="BF63" s="698"/>
      <c r="BG63" s="66"/>
      <c r="BH63" s="66"/>
      <c r="BI63" s="66"/>
      <c r="BJ63" s="66"/>
      <c r="BK63" s="66"/>
      <c r="BL63" s="66"/>
      <c r="BM63" s="66"/>
      <c r="BN63" s="66"/>
      <c r="BO63" s="66"/>
      <c r="BP63" s="66"/>
      <c r="BQ63" s="66"/>
      <c r="BR63" s="66"/>
      <c r="BS63" s="66"/>
    </row>
    <row r="64">
      <c r="A64" s="48" t="s">
        <v>1688</v>
      </c>
      <c r="B64" s="48" t="s">
        <v>5131</v>
      </c>
      <c r="C64" s="48" t="s">
        <v>5141</v>
      </c>
      <c r="D64" s="174" t="str">
        <f t="shared" si="13"/>
        <v>Asus</v>
      </c>
      <c r="E64" s="174" t="s">
        <v>5145</v>
      </c>
      <c r="F64" s="48" t="s">
        <v>4948</v>
      </c>
      <c r="G64" s="48" t="s">
        <v>166</v>
      </c>
      <c r="H64" s="48" t="s">
        <v>166</v>
      </c>
      <c r="I64" s="48" t="s">
        <v>166</v>
      </c>
      <c r="J64" s="48" t="s">
        <v>166</v>
      </c>
      <c r="K64" s="48" t="s">
        <v>166</v>
      </c>
      <c r="L64" s="48">
        <v>2.0</v>
      </c>
      <c r="M64" s="48" t="s">
        <v>3149</v>
      </c>
      <c r="N64" s="48">
        <v>32.0</v>
      </c>
      <c r="O64" s="48">
        <v>2400.0</v>
      </c>
      <c r="P64" s="48">
        <v>4.0</v>
      </c>
      <c r="Q64" s="696" t="s">
        <v>4950</v>
      </c>
      <c r="R64" s="697" t="s">
        <v>166</v>
      </c>
      <c r="S64" s="697" t="s">
        <v>166</v>
      </c>
      <c r="T64" s="697">
        <v>6.0</v>
      </c>
      <c r="U64" s="48" t="s">
        <v>166</v>
      </c>
      <c r="V64" s="48" t="s">
        <v>166</v>
      </c>
      <c r="W64" s="48" t="s">
        <v>166</v>
      </c>
      <c r="X64" s="48" t="s">
        <v>166</v>
      </c>
      <c r="Y64" s="48" t="s">
        <v>166</v>
      </c>
      <c r="Z64" s="48" t="s">
        <v>166</v>
      </c>
      <c r="AA64" s="48" t="s">
        <v>166</v>
      </c>
      <c r="AB64" s="48">
        <f t="shared" si="1"/>
        <v>6</v>
      </c>
      <c r="AC64" s="48">
        <v>2.0</v>
      </c>
      <c r="AD64" s="48">
        <v>1.0</v>
      </c>
      <c r="AE64" s="48" t="s">
        <v>166</v>
      </c>
      <c r="AF64" s="697">
        <v>2.0</v>
      </c>
      <c r="AG64" s="48" t="s">
        <v>5142</v>
      </c>
      <c r="AH64" s="48">
        <v>1.0</v>
      </c>
      <c r="AI64" s="48">
        <v>1.0</v>
      </c>
      <c r="AJ64" s="705" t="s">
        <v>4966</v>
      </c>
      <c r="AK64" s="48" t="s">
        <v>170</v>
      </c>
      <c r="AL64" s="48" t="s">
        <v>170</v>
      </c>
      <c r="AM64" s="48">
        <v>4.0</v>
      </c>
      <c r="AN64" s="48" t="s">
        <v>4960</v>
      </c>
      <c r="AO64" s="48" t="s">
        <v>166</v>
      </c>
      <c r="AP64" s="48">
        <v>3.0</v>
      </c>
      <c r="AQ64" s="48">
        <v>1.0</v>
      </c>
      <c r="AR64" s="48">
        <v>1.0</v>
      </c>
      <c r="AS64" s="48">
        <v>1.0</v>
      </c>
      <c r="AT64" s="48">
        <v>1.0</v>
      </c>
      <c r="AU64" s="48">
        <v>1.0</v>
      </c>
      <c r="AV64" s="48">
        <v>3.0</v>
      </c>
      <c r="AW64" s="48" t="s">
        <v>166</v>
      </c>
      <c r="AX64" s="48" t="s">
        <v>166</v>
      </c>
      <c r="AY64" s="48" t="s">
        <v>166</v>
      </c>
      <c r="AZ64" s="48" t="s">
        <v>166</v>
      </c>
      <c r="BA64" s="48" t="s">
        <v>170</v>
      </c>
      <c r="BB64" s="48" t="s">
        <v>170</v>
      </c>
      <c r="BC64" s="48" t="s">
        <v>170</v>
      </c>
      <c r="BD64" s="48" t="s">
        <v>170</v>
      </c>
      <c r="BE64" s="698" t="s">
        <v>170</v>
      </c>
      <c r="BF64" s="698"/>
      <c r="BG64" s="66"/>
      <c r="BH64" s="66"/>
      <c r="BI64" s="66"/>
      <c r="BJ64" s="66"/>
      <c r="BK64" s="66"/>
      <c r="BL64" s="66"/>
      <c r="BM64" s="66"/>
      <c r="BN64" s="66"/>
      <c r="BO64" s="66"/>
      <c r="BP64" s="66"/>
      <c r="BQ64" s="66"/>
      <c r="BR64" s="66"/>
      <c r="BS64" s="66"/>
    </row>
    <row r="65">
      <c r="A65" s="48" t="s">
        <v>1688</v>
      </c>
      <c r="B65" s="48" t="s">
        <v>5131</v>
      </c>
      <c r="C65" s="48" t="s">
        <v>5141</v>
      </c>
      <c r="D65" s="174" t="str">
        <f>HYPERLINK("https://www.gigabyte.com/","Gigabyte")</f>
        <v>Gigabyte</v>
      </c>
      <c r="E65" s="174" t="str">
        <f>HYPERLINK("https://www.gigabyte.com/Motherboard/GA-H170N-WIFI-rev-10#ov","GA-H170N-WIFI")</f>
        <v>GA-H170N-WIFI</v>
      </c>
      <c r="F65" s="48" t="s">
        <v>4948</v>
      </c>
      <c r="G65" s="48" t="s">
        <v>166</v>
      </c>
      <c r="H65" s="48" t="s">
        <v>166</v>
      </c>
      <c r="I65" s="48" t="s">
        <v>166</v>
      </c>
      <c r="J65" s="48" t="s">
        <v>166</v>
      </c>
      <c r="K65" s="48" t="s">
        <v>166</v>
      </c>
      <c r="L65" s="48">
        <v>2.0</v>
      </c>
      <c r="M65" s="48" t="s">
        <v>3149</v>
      </c>
      <c r="N65" s="48">
        <v>32.0</v>
      </c>
      <c r="O65" s="48">
        <v>2400.0</v>
      </c>
      <c r="P65" s="48">
        <v>4.0</v>
      </c>
      <c r="Q65" s="696" t="s">
        <v>4950</v>
      </c>
      <c r="R65" s="697" t="s">
        <v>166</v>
      </c>
      <c r="S65" s="697" t="s">
        <v>166</v>
      </c>
      <c r="T65" s="697">
        <v>4.0</v>
      </c>
      <c r="U65" s="48">
        <v>1.0</v>
      </c>
      <c r="V65" s="48" t="s">
        <v>166</v>
      </c>
      <c r="W65" s="48" t="s">
        <v>166</v>
      </c>
      <c r="X65" s="48" t="s">
        <v>166</v>
      </c>
      <c r="Y65" s="48" t="s">
        <v>166</v>
      </c>
      <c r="Z65" s="48" t="s">
        <v>166</v>
      </c>
      <c r="AA65" s="48" t="s">
        <v>166</v>
      </c>
      <c r="AB65" s="48">
        <f t="shared" si="1"/>
        <v>5</v>
      </c>
      <c r="AC65" s="48">
        <v>1.0</v>
      </c>
      <c r="AD65" s="48">
        <v>1.0</v>
      </c>
      <c r="AE65" s="48" t="s">
        <v>166</v>
      </c>
      <c r="AF65" s="697">
        <v>2.0</v>
      </c>
      <c r="AG65" s="48" t="s">
        <v>5140</v>
      </c>
      <c r="AH65" s="48">
        <v>1.0</v>
      </c>
      <c r="AI65" s="48">
        <v>1.0</v>
      </c>
      <c r="AJ65" s="705" t="s">
        <v>4966</v>
      </c>
      <c r="AK65" s="48" t="s">
        <v>170</v>
      </c>
      <c r="AL65" s="48">
        <v>867.0</v>
      </c>
      <c r="AM65" s="48">
        <v>4.2</v>
      </c>
      <c r="AN65" s="48" t="s">
        <v>5139</v>
      </c>
      <c r="AO65" s="48" t="s">
        <v>174</v>
      </c>
      <c r="AP65" s="48">
        <v>5.0</v>
      </c>
      <c r="AQ65" s="48">
        <v>1.0</v>
      </c>
      <c r="AR65" s="48" t="s">
        <v>166</v>
      </c>
      <c r="AS65" s="48">
        <v>2.0</v>
      </c>
      <c r="AT65" s="48">
        <v>1.0</v>
      </c>
      <c r="AU65" s="48" t="s">
        <v>166</v>
      </c>
      <c r="AV65" s="48">
        <v>2.0</v>
      </c>
      <c r="AW65" s="48" t="s">
        <v>166</v>
      </c>
      <c r="AX65" s="48" t="s">
        <v>166</v>
      </c>
      <c r="AY65" s="48" t="s">
        <v>166</v>
      </c>
      <c r="AZ65" s="48" t="s">
        <v>166</v>
      </c>
      <c r="BA65" s="48" t="s">
        <v>170</v>
      </c>
      <c r="BB65" s="48" t="s">
        <v>5017</v>
      </c>
      <c r="BC65" s="48" t="s">
        <v>4963</v>
      </c>
      <c r="BD65" s="48">
        <v>4.0</v>
      </c>
      <c r="BE65" s="698" t="s">
        <v>5146</v>
      </c>
      <c r="BF65" s="698"/>
      <c r="BG65" s="66"/>
      <c r="BH65" s="66"/>
      <c r="BI65" s="66"/>
      <c r="BJ65" s="66"/>
      <c r="BK65" s="66"/>
      <c r="BL65" s="66"/>
      <c r="BM65" s="66"/>
      <c r="BN65" s="66"/>
      <c r="BO65" s="66"/>
      <c r="BP65" s="66"/>
      <c r="BQ65" s="66"/>
      <c r="BR65" s="66"/>
      <c r="BS65" s="66"/>
    </row>
    <row r="66">
      <c r="A66" s="700" t="s">
        <v>1688</v>
      </c>
      <c r="B66" s="700" t="s">
        <v>5131</v>
      </c>
      <c r="C66" s="700" t="s">
        <v>5141</v>
      </c>
      <c r="D66" s="291" t="str">
        <f>HYPERLINK("https://www.msi.com/index.php","MSI")</f>
        <v>MSI</v>
      </c>
      <c r="E66" s="291" t="s">
        <v>5147</v>
      </c>
      <c r="F66" s="700" t="s">
        <v>4948</v>
      </c>
      <c r="G66" s="700" t="s">
        <v>166</v>
      </c>
      <c r="H66" s="700" t="s">
        <v>166</v>
      </c>
      <c r="I66" s="700" t="s">
        <v>166</v>
      </c>
      <c r="J66" s="700" t="s">
        <v>166</v>
      </c>
      <c r="K66" s="700" t="s">
        <v>166</v>
      </c>
      <c r="L66" s="700">
        <v>2.0</v>
      </c>
      <c r="M66" s="700" t="s">
        <v>3149</v>
      </c>
      <c r="N66" s="700">
        <v>32.0</v>
      </c>
      <c r="O66" s="700">
        <v>2400.0</v>
      </c>
      <c r="P66" s="700">
        <v>4.0</v>
      </c>
      <c r="Q66" s="709" t="s">
        <v>5062</v>
      </c>
      <c r="R66" s="702">
        <v>4.0</v>
      </c>
      <c r="S66" s="702" t="s">
        <v>166</v>
      </c>
      <c r="T66" s="702">
        <v>2.0</v>
      </c>
      <c r="U66" s="700" t="s">
        <v>166</v>
      </c>
      <c r="V66" s="700" t="s">
        <v>166</v>
      </c>
      <c r="W66" s="700" t="s">
        <v>166</v>
      </c>
      <c r="X66" s="700" t="s">
        <v>166</v>
      </c>
      <c r="Y66" s="700" t="s">
        <v>166</v>
      </c>
      <c r="Z66" s="700" t="s">
        <v>166</v>
      </c>
      <c r="AA66" s="700" t="s">
        <v>166</v>
      </c>
      <c r="AB66" s="700">
        <f t="shared" si="1"/>
        <v>6</v>
      </c>
      <c r="AC66" s="700">
        <v>1.0</v>
      </c>
      <c r="AD66" s="700">
        <v>1.0</v>
      </c>
      <c r="AE66" s="700" t="s">
        <v>166</v>
      </c>
      <c r="AF66" s="702">
        <v>1.0</v>
      </c>
      <c r="AG66" s="700" t="s">
        <v>4959</v>
      </c>
      <c r="AH66" s="700">
        <v>1.0</v>
      </c>
      <c r="AI66" s="700">
        <v>1.0</v>
      </c>
      <c r="AJ66" s="700" t="s">
        <v>4966</v>
      </c>
      <c r="AK66" s="700" t="s">
        <v>5136</v>
      </c>
      <c r="AL66" s="700">
        <v>867.0</v>
      </c>
      <c r="AM66" s="700">
        <v>4.2</v>
      </c>
      <c r="AN66" s="700" t="s">
        <v>4960</v>
      </c>
      <c r="AO66" s="700" t="s">
        <v>166</v>
      </c>
      <c r="AP66" s="700">
        <v>3.0</v>
      </c>
      <c r="AQ66" s="700">
        <v>1.0</v>
      </c>
      <c r="AR66" s="700" t="s">
        <v>166</v>
      </c>
      <c r="AS66" s="700">
        <v>1.0</v>
      </c>
      <c r="AT66" s="700">
        <v>1.0</v>
      </c>
      <c r="AU66" s="700" t="s">
        <v>166</v>
      </c>
      <c r="AV66" s="700">
        <v>2.0</v>
      </c>
      <c r="AW66" s="700" t="s">
        <v>166</v>
      </c>
      <c r="AX66" s="700" t="s">
        <v>166</v>
      </c>
      <c r="AY66" s="700" t="s">
        <v>166</v>
      </c>
      <c r="AZ66" s="700" t="s">
        <v>166</v>
      </c>
      <c r="BA66" s="700" t="s">
        <v>170</v>
      </c>
      <c r="BB66" s="700" t="s">
        <v>5017</v>
      </c>
      <c r="BC66" s="700" t="s">
        <v>4963</v>
      </c>
      <c r="BD66" s="700">
        <v>4.0</v>
      </c>
      <c r="BE66" s="703" t="s">
        <v>170</v>
      </c>
      <c r="BF66" s="703"/>
      <c r="BG66" s="66"/>
      <c r="BH66" s="66"/>
      <c r="BI66" s="66"/>
      <c r="BJ66" s="66"/>
      <c r="BK66" s="66"/>
      <c r="BL66" s="66"/>
      <c r="BM66" s="66"/>
      <c r="BN66" s="66"/>
      <c r="BO66" s="66"/>
      <c r="BP66" s="66"/>
      <c r="BQ66" s="66"/>
      <c r="BR66" s="66"/>
      <c r="BS66" s="66"/>
    </row>
    <row r="67">
      <c r="A67" s="705" t="s">
        <v>1688</v>
      </c>
      <c r="B67" s="705" t="s">
        <v>5131</v>
      </c>
      <c r="C67" s="705" t="s">
        <v>5148</v>
      </c>
      <c r="D67" s="282" t="s">
        <v>169</v>
      </c>
      <c r="E67" s="282" t="str">
        <f>HYPERLINK("https://www.asrock.com/mb/Intel/Fatal1ty%20Z170%20Gaming-ITXac/","Fatal1ty Z170 Gaming-ITX/ac")</f>
        <v>Fatal1ty Z170 Gaming-ITX/ac</v>
      </c>
      <c r="F67" s="705" t="s">
        <v>4948</v>
      </c>
      <c r="G67" s="705" t="s">
        <v>166</v>
      </c>
      <c r="H67" s="705" t="s">
        <v>174</v>
      </c>
      <c r="I67" s="705" t="s">
        <v>174</v>
      </c>
      <c r="J67" s="705" t="s">
        <v>166</v>
      </c>
      <c r="K67" s="705" t="s">
        <v>174</v>
      </c>
      <c r="L67" s="705">
        <v>2.0</v>
      </c>
      <c r="M67" s="705" t="s">
        <v>3149</v>
      </c>
      <c r="N67" s="705">
        <v>32.0</v>
      </c>
      <c r="O67" s="705" t="s">
        <v>4996</v>
      </c>
      <c r="P67" s="705">
        <v>6.0</v>
      </c>
      <c r="Q67" s="706" t="s">
        <v>4950</v>
      </c>
      <c r="R67" s="707" t="s">
        <v>166</v>
      </c>
      <c r="S67" s="707" t="s">
        <v>166</v>
      </c>
      <c r="T67" s="707">
        <v>6.0</v>
      </c>
      <c r="U67" s="705" t="s">
        <v>166</v>
      </c>
      <c r="V67" s="705">
        <v>1.0</v>
      </c>
      <c r="W67" s="705">
        <v>1.0</v>
      </c>
      <c r="X67" s="705" t="s">
        <v>166</v>
      </c>
      <c r="Y67" s="705" t="s">
        <v>166</v>
      </c>
      <c r="Z67" s="705" t="s">
        <v>166</v>
      </c>
      <c r="AA67" s="705" t="s">
        <v>166</v>
      </c>
      <c r="AB67" s="705">
        <f t="shared" si="1"/>
        <v>8</v>
      </c>
      <c r="AC67" s="705">
        <v>1.0</v>
      </c>
      <c r="AD67" s="705">
        <v>1.0</v>
      </c>
      <c r="AE67" s="705" t="s">
        <v>166</v>
      </c>
      <c r="AF67" s="707">
        <v>1.0</v>
      </c>
      <c r="AG67" s="705" t="s">
        <v>5133</v>
      </c>
      <c r="AH67" s="705">
        <v>1.0</v>
      </c>
      <c r="AI67" s="705">
        <v>1.0</v>
      </c>
      <c r="AJ67" s="705" t="s">
        <v>4966</v>
      </c>
      <c r="AK67" s="705" t="s">
        <v>5149</v>
      </c>
      <c r="AL67" s="705">
        <v>867.0</v>
      </c>
      <c r="AM67" s="705">
        <v>4.0</v>
      </c>
      <c r="AN67" s="705" t="s">
        <v>5139</v>
      </c>
      <c r="AO67" s="705" t="s">
        <v>166</v>
      </c>
      <c r="AP67" s="705">
        <v>3.0</v>
      </c>
      <c r="AQ67" s="705">
        <v>1.0</v>
      </c>
      <c r="AR67" s="705">
        <v>1.0</v>
      </c>
      <c r="AS67" s="705">
        <v>2.0</v>
      </c>
      <c r="AT67" s="705" t="s">
        <v>166</v>
      </c>
      <c r="AU67" s="705" t="s">
        <v>166</v>
      </c>
      <c r="AV67" s="705">
        <v>3.0</v>
      </c>
      <c r="AW67" s="705" t="s">
        <v>166</v>
      </c>
      <c r="AX67" s="705" t="s">
        <v>166</v>
      </c>
      <c r="AY67" s="705" t="s">
        <v>166</v>
      </c>
      <c r="AZ67" s="705" t="s">
        <v>166</v>
      </c>
      <c r="BA67" s="705" t="s">
        <v>4982</v>
      </c>
      <c r="BB67" s="705" t="s">
        <v>4954</v>
      </c>
      <c r="BC67" s="705" t="s">
        <v>4963</v>
      </c>
      <c r="BD67" s="705">
        <v>6.0</v>
      </c>
      <c r="BE67" s="708" t="s">
        <v>5150</v>
      </c>
      <c r="BF67" s="708"/>
      <c r="BG67" s="66"/>
      <c r="BH67" s="66"/>
      <c r="BI67" s="66"/>
      <c r="BJ67" s="66"/>
      <c r="BK67" s="66"/>
      <c r="BL67" s="66"/>
      <c r="BM67" s="66"/>
      <c r="BN67" s="66"/>
      <c r="BO67" s="66"/>
      <c r="BP67" s="66"/>
      <c r="BQ67" s="66"/>
      <c r="BR67" s="66"/>
      <c r="BS67" s="66"/>
    </row>
    <row r="68">
      <c r="A68" s="48" t="s">
        <v>1688</v>
      </c>
      <c r="B68" s="48" t="s">
        <v>5131</v>
      </c>
      <c r="C68" s="48" t="s">
        <v>5148</v>
      </c>
      <c r="D68" s="174" t="s">
        <v>169</v>
      </c>
      <c r="E68" s="174" t="str">
        <f>HYPERLINK("https://www.asrock.com/mb/Intel/Z170M-ITXac/","Z170M-ITX/ac")</f>
        <v>Z170M-ITX/ac</v>
      </c>
      <c r="F68" s="48" t="s">
        <v>4948</v>
      </c>
      <c r="G68" s="48" t="s">
        <v>166</v>
      </c>
      <c r="H68" s="48" t="s">
        <v>174</v>
      </c>
      <c r="I68" s="48" t="s">
        <v>174</v>
      </c>
      <c r="J68" s="48" t="s">
        <v>166</v>
      </c>
      <c r="K68" s="48" t="s">
        <v>166</v>
      </c>
      <c r="L68" s="48">
        <v>2.0</v>
      </c>
      <c r="M68" s="48" t="s">
        <v>3149</v>
      </c>
      <c r="N68" s="48">
        <v>32.0</v>
      </c>
      <c r="O68" s="48" t="s">
        <v>4975</v>
      </c>
      <c r="P68" s="48">
        <v>4.0</v>
      </c>
      <c r="Q68" s="698" t="s">
        <v>166</v>
      </c>
      <c r="R68" s="697">
        <v>2.0</v>
      </c>
      <c r="S68" s="697" t="s">
        <v>166</v>
      </c>
      <c r="T68" s="697">
        <v>6.0</v>
      </c>
      <c r="U68" s="48" t="s">
        <v>166</v>
      </c>
      <c r="V68" s="48" t="s">
        <v>166</v>
      </c>
      <c r="W68" s="48" t="s">
        <v>166</v>
      </c>
      <c r="X68" s="48" t="s">
        <v>166</v>
      </c>
      <c r="Y68" s="48" t="s">
        <v>166</v>
      </c>
      <c r="Z68" s="48" t="s">
        <v>166</v>
      </c>
      <c r="AA68" s="48" t="s">
        <v>166</v>
      </c>
      <c r="AB68" s="48">
        <f t="shared" si="1"/>
        <v>8</v>
      </c>
      <c r="AC68" s="48">
        <v>1.0</v>
      </c>
      <c r="AD68" s="48">
        <v>1.0</v>
      </c>
      <c r="AE68" s="48" t="s">
        <v>166</v>
      </c>
      <c r="AF68" s="697">
        <v>2.0</v>
      </c>
      <c r="AG68" s="48" t="s">
        <v>5142</v>
      </c>
      <c r="AH68" s="48">
        <v>1.0</v>
      </c>
      <c r="AI68" s="48">
        <v>1.0</v>
      </c>
      <c r="AJ68" s="705" t="s">
        <v>4966</v>
      </c>
      <c r="AK68" s="48" t="s">
        <v>170</v>
      </c>
      <c r="AL68" s="48">
        <v>433.0</v>
      </c>
      <c r="AM68" s="48">
        <v>4.0</v>
      </c>
      <c r="AN68" s="48" t="s">
        <v>4977</v>
      </c>
      <c r="AO68" s="48" t="s">
        <v>166</v>
      </c>
      <c r="AP68" s="48">
        <v>3.0</v>
      </c>
      <c r="AQ68" s="48">
        <v>1.0</v>
      </c>
      <c r="AR68" s="48">
        <v>1.0</v>
      </c>
      <c r="AS68" s="48">
        <v>1.0</v>
      </c>
      <c r="AT68" s="48">
        <v>1.0</v>
      </c>
      <c r="AU68" s="48" t="s">
        <v>166</v>
      </c>
      <c r="AV68" s="48">
        <v>2.0</v>
      </c>
      <c r="AW68" s="48" t="s">
        <v>166</v>
      </c>
      <c r="AX68" s="48" t="s">
        <v>166</v>
      </c>
      <c r="AY68" s="48" t="s">
        <v>166</v>
      </c>
      <c r="AZ68" s="48" t="s">
        <v>166</v>
      </c>
      <c r="BA68" s="48" t="s">
        <v>170</v>
      </c>
      <c r="BB68" s="48" t="s">
        <v>5143</v>
      </c>
      <c r="BC68" s="48" t="s">
        <v>4963</v>
      </c>
      <c r="BD68" s="48">
        <v>5.0</v>
      </c>
      <c r="BE68" s="698" t="s">
        <v>170</v>
      </c>
      <c r="BF68" s="698"/>
      <c r="BG68" s="66"/>
      <c r="BH68" s="66"/>
      <c r="BI68" s="66"/>
      <c r="BJ68" s="66"/>
      <c r="BK68" s="66"/>
      <c r="BL68" s="66"/>
      <c r="BM68" s="66"/>
      <c r="BN68" s="66"/>
      <c r="BO68" s="66"/>
      <c r="BP68" s="66"/>
      <c r="BQ68" s="66"/>
      <c r="BR68" s="66"/>
      <c r="BS68" s="66"/>
    </row>
    <row r="69">
      <c r="A69" s="48" t="s">
        <v>1688</v>
      </c>
      <c r="B69" s="48" t="s">
        <v>5131</v>
      </c>
      <c r="C69" s="48" t="s">
        <v>5148</v>
      </c>
      <c r="D69" s="174" t="str">
        <f t="shared" ref="D69:D70" si="14">HYPERLINK("https://www.asus.com/","Asus")</f>
        <v>Asus</v>
      </c>
      <c r="E69" s="174" t="s">
        <v>5151</v>
      </c>
      <c r="F69" s="48" t="s">
        <v>4948</v>
      </c>
      <c r="G69" s="48" t="s">
        <v>166</v>
      </c>
      <c r="H69" s="48" t="s">
        <v>174</v>
      </c>
      <c r="I69" s="48" t="s">
        <v>174</v>
      </c>
      <c r="J69" s="48" t="s">
        <v>174</v>
      </c>
      <c r="K69" s="48" t="s">
        <v>174</v>
      </c>
      <c r="L69" s="48">
        <v>2.0</v>
      </c>
      <c r="M69" s="48" t="s">
        <v>3149</v>
      </c>
      <c r="N69" s="48">
        <v>32.0</v>
      </c>
      <c r="O69" s="48" t="s">
        <v>5152</v>
      </c>
      <c r="P69" s="48">
        <v>4.0</v>
      </c>
      <c r="Q69" s="698" t="s">
        <v>166</v>
      </c>
      <c r="R69" s="697" t="s">
        <v>166</v>
      </c>
      <c r="S69" s="697" t="s">
        <v>166</v>
      </c>
      <c r="T69" s="697">
        <v>4.0</v>
      </c>
      <c r="U69" s="48" t="s">
        <v>166</v>
      </c>
      <c r="V69" s="48">
        <v>1.0</v>
      </c>
      <c r="W69" s="48">
        <v>1.0</v>
      </c>
      <c r="X69" s="48" t="s">
        <v>166</v>
      </c>
      <c r="Y69" s="48" t="s">
        <v>166</v>
      </c>
      <c r="Z69" s="48" t="s">
        <v>166</v>
      </c>
      <c r="AA69" s="48" t="s">
        <v>166</v>
      </c>
      <c r="AB69" s="48">
        <f t="shared" si="1"/>
        <v>6</v>
      </c>
      <c r="AC69" s="48" t="s">
        <v>166</v>
      </c>
      <c r="AD69" s="48">
        <v>1.0</v>
      </c>
      <c r="AE69" s="48" t="s">
        <v>166</v>
      </c>
      <c r="AF69" s="697">
        <v>1.0</v>
      </c>
      <c r="AG69" s="48" t="s">
        <v>5133</v>
      </c>
      <c r="AH69" s="48">
        <v>1.0</v>
      </c>
      <c r="AI69" s="48">
        <v>1.0</v>
      </c>
      <c r="AJ69" s="705" t="s">
        <v>4966</v>
      </c>
      <c r="AK69" s="48" t="s">
        <v>5153</v>
      </c>
      <c r="AL69" s="48">
        <v>867.0</v>
      </c>
      <c r="AM69" s="48">
        <v>4.1</v>
      </c>
      <c r="AN69" s="48" t="s">
        <v>5139</v>
      </c>
      <c r="AO69" s="48" t="s">
        <v>174</v>
      </c>
      <c r="AP69" s="48">
        <v>3.0</v>
      </c>
      <c r="AQ69" s="48" t="s">
        <v>166</v>
      </c>
      <c r="AR69" s="48" t="s">
        <v>166</v>
      </c>
      <c r="AS69" s="48">
        <v>1.0</v>
      </c>
      <c r="AT69" s="48" t="s">
        <v>166</v>
      </c>
      <c r="AU69" s="48" t="s">
        <v>166</v>
      </c>
      <c r="AV69" s="48">
        <v>2.0</v>
      </c>
      <c r="AW69" s="48" t="s">
        <v>166</v>
      </c>
      <c r="AX69" s="48" t="s">
        <v>166</v>
      </c>
      <c r="AY69" s="48" t="s">
        <v>174</v>
      </c>
      <c r="AZ69" s="48" t="s">
        <v>166</v>
      </c>
      <c r="BA69" s="48" t="s">
        <v>4972</v>
      </c>
      <c r="BB69" s="48" t="s">
        <v>5034</v>
      </c>
      <c r="BC69" s="48" t="s">
        <v>4963</v>
      </c>
      <c r="BD69" s="48">
        <v>8.0</v>
      </c>
      <c r="BE69" s="698" t="s">
        <v>4994</v>
      </c>
      <c r="BF69" s="698"/>
      <c r="BG69" s="66"/>
      <c r="BH69" s="66"/>
      <c r="BI69" s="66"/>
      <c r="BJ69" s="66"/>
      <c r="BK69" s="66"/>
      <c r="BL69" s="66"/>
      <c r="BM69" s="66"/>
      <c r="BN69" s="66"/>
      <c r="BO69" s="66"/>
      <c r="BP69" s="66"/>
      <c r="BQ69" s="66"/>
      <c r="BR69" s="66"/>
      <c r="BS69" s="66"/>
    </row>
    <row r="70">
      <c r="A70" s="48" t="s">
        <v>1688</v>
      </c>
      <c r="B70" s="48" t="s">
        <v>5131</v>
      </c>
      <c r="C70" s="48" t="s">
        <v>5148</v>
      </c>
      <c r="D70" s="174" t="str">
        <f t="shared" si="14"/>
        <v>Asus</v>
      </c>
      <c r="E70" s="174" t="s">
        <v>5154</v>
      </c>
      <c r="F70" s="48" t="s">
        <v>4948</v>
      </c>
      <c r="G70" s="48" t="s">
        <v>166</v>
      </c>
      <c r="H70" s="48" t="s">
        <v>174</v>
      </c>
      <c r="I70" s="48" t="s">
        <v>174</v>
      </c>
      <c r="J70" s="48" t="s">
        <v>166</v>
      </c>
      <c r="K70" s="48" t="s">
        <v>166</v>
      </c>
      <c r="L70" s="48">
        <v>2.0</v>
      </c>
      <c r="M70" s="48" t="s">
        <v>3149</v>
      </c>
      <c r="N70" s="48">
        <v>32.0</v>
      </c>
      <c r="O70" s="48" t="s">
        <v>5155</v>
      </c>
      <c r="P70" s="48">
        <v>4.0</v>
      </c>
      <c r="Q70" s="696" t="s">
        <v>4950</v>
      </c>
      <c r="R70" s="697">
        <v>2.0</v>
      </c>
      <c r="S70" s="697" t="s">
        <v>166</v>
      </c>
      <c r="T70" s="697">
        <v>4.0</v>
      </c>
      <c r="U70" s="48" t="s">
        <v>166</v>
      </c>
      <c r="V70" s="48">
        <v>2.0</v>
      </c>
      <c r="W70" s="48" t="s">
        <v>166</v>
      </c>
      <c r="X70" s="48" t="s">
        <v>166</v>
      </c>
      <c r="Y70" s="48" t="s">
        <v>166</v>
      </c>
      <c r="Z70" s="48" t="s">
        <v>166</v>
      </c>
      <c r="AA70" s="48" t="s">
        <v>166</v>
      </c>
      <c r="AB70" s="48">
        <f t="shared" si="1"/>
        <v>8</v>
      </c>
      <c r="AC70" s="48">
        <v>1.0</v>
      </c>
      <c r="AD70" s="48">
        <v>1.0</v>
      </c>
      <c r="AE70" s="48" t="s">
        <v>166</v>
      </c>
      <c r="AF70" s="697">
        <v>1.0</v>
      </c>
      <c r="AG70" s="48" t="s">
        <v>5133</v>
      </c>
      <c r="AH70" s="48">
        <v>1.0</v>
      </c>
      <c r="AI70" s="48">
        <v>1.0</v>
      </c>
      <c r="AJ70" s="705" t="s">
        <v>4966</v>
      </c>
      <c r="AK70" s="48" t="s">
        <v>5156</v>
      </c>
      <c r="AL70" s="48">
        <v>867.0</v>
      </c>
      <c r="AM70" s="48">
        <v>4.1</v>
      </c>
      <c r="AN70" s="48" t="s">
        <v>5139</v>
      </c>
      <c r="AO70" s="48" t="s">
        <v>174</v>
      </c>
      <c r="AP70" s="48">
        <v>5.0</v>
      </c>
      <c r="AQ70" s="48">
        <v>1.0</v>
      </c>
      <c r="AR70" s="48">
        <v>1.0</v>
      </c>
      <c r="AS70" s="48">
        <v>1.0</v>
      </c>
      <c r="AT70" s="48" t="s">
        <v>166</v>
      </c>
      <c r="AU70" s="48" t="s">
        <v>166</v>
      </c>
      <c r="AV70" s="48">
        <v>3.0</v>
      </c>
      <c r="AW70" s="48" t="s">
        <v>166</v>
      </c>
      <c r="AX70" s="48" t="s">
        <v>166</v>
      </c>
      <c r="AY70" s="48" t="s">
        <v>174</v>
      </c>
      <c r="AZ70" s="48" t="s">
        <v>166</v>
      </c>
      <c r="BA70" s="48" t="s">
        <v>170</v>
      </c>
      <c r="BB70" s="48" t="s">
        <v>170</v>
      </c>
      <c r="BC70" s="48" t="s">
        <v>170</v>
      </c>
      <c r="BD70" s="48" t="s">
        <v>170</v>
      </c>
      <c r="BE70" s="698" t="s">
        <v>170</v>
      </c>
      <c r="BF70" s="698"/>
      <c r="BG70" s="66"/>
      <c r="BH70" s="66"/>
      <c r="BI70" s="66"/>
      <c r="BJ70" s="66"/>
      <c r="BK70" s="66"/>
      <c r="BL70" s="66"/>
      <c r="BM70" s="66"/>
      <c r="BN70" s="66"/>
      <c r="BO70" s="66"/>
      <c r="BP70" s="66"/>
      <c r="BQ70" s="66"/>
      <c r="BR70" s="66"/>
      <c r="BS70" s="66"/>
    </row>
    <row r="71">
      <c r="A71" s="48" t="s">
        <v>1688</v>
      </c>
      <c r="B71" s="48" t="s">
        <v>5131</v>
      </c>
      <c r="C71" s="48" t="s">
        <v>5148</v>
      </c>
      <c r="D71" s="174" t="str">
        <f>HYPERLINK("https://www.biostar.com.tw/","Biostar")</f>
        <v>Biostar</v>
      </c>
      <c r="E71" s="174" t="str">
        <f>HYPERLINK("https://www.biostar.com.tw/app/en/mb/introduction.php?S_ID=850","Z170GTN")</f>
        <v>Z170GTN</v>
      </c>
      <c r="F71" s="48" t="s">
        <v>4948</v>
      </c>
      <c r="G71" s="48" t="s">
        <v>166</v>
      </c>
      <c r="H71" s="48" t="s">
        <v>174</v>
      </c>
      <c r="I71" s="48" t="s">
        <v>174</v>
      </c>
      <c r="J71" s="48" t="s">
        <v>166</v>
      </c>
      <c r="K71" s="48" t="s">
        <v>166</v>
      </c>
      <c r="L71" s="48">
        <v>2.0</v>
      </c>
      <c r="M71" s="48" t="s">
        <v>3149</v>
      </c>
      <c r="N71" s="48">
        <v>32.0</v>
      </c>
      <c r="O71" s="48" t="s">
        <v>4975</v>
      </c>
      <c r="P71" s="48">
        <v>4.0</v>
      </c>
      <c r="Q71" s="696" t="s">
        <v>4950</v>
      </c>
      <c r="R71" s="697">
        <v>2.0</v>
      </c>
      <c r="S71" s="697" t="s">
        <v>166</v>
      </c>
      <c r="T71" s="697">
        <v>4.0</v>
      </c>
      <c r="U71" s="48" t="s">
        <v>166</v>
      </c>
      <c r="V71" s="48" t="s">
        <v>166</v>
      </c>
      <c r="W71" s="48" t="s">
        <v>166</v>
      </c>
      <c r="X71" s="48" t="s">
        <v>166</v>
      </c>
      <c r="Y71" s="48" t="s">
        <v>166</v>
      </c>
      <c r="Z71" s="48" t="s">
        <v>166</v>
      </c>
      <c r="AA71" s="48" t="s">
        <v>166</v>
      </c>
      <c r="AB71" s="48">
        <f t="shared" si="1"/>
        <v>6</v>
      </c>
      <c r="AC71" s="48">
        <v>1.0</v>
      </c>
      <c r="AD71" s="48">
        <v>1.0</v>
      </c>
      <c r="AE71" s="48" t="s">
        <v>166</v>
      </c>
      <c r="AF71" s="697">
        <v>1.0</v>
      </c>
      <c r="AG71" s="48" t="s">
        <v>5133</v>
      </c>
      <c r="AH71" s="48">
        <v>1.0</v>
      </c>
      <c r="AI71" s="48">
        <v>1.0</v>
      </c>
      <c r="AJ71" s="48" t="s">
        <v>166</v>
      </c>
      <c r="AK71" s="48" t="s">
        <v>232</v>
      </c>
      <c r="AL71" s="48" t="s">
        <v>166</v>
      </c>
      <c r="AM71" s="48" t="s">
        <v>166</v>
      </c>
      <c r="AN71" s="48" t="s">
        <v>4977</v>
      </c>
      <c r="AO71" s="48" t="s">
        <v>174</v>
      </c>
      <c r="AP71" s="48">
        <v>5.0</v>
      </c>
      <c r="AQ71" s="48">
        <v>1.0</v>
      </c>
      <c r="AR71" s="48" t="s">
        <v>166</v>
      </c>
      <c r="AS71" s="48">
        <v>1.0</v>
      </c>
      <c r="AT71" s="48">
        <v>1.0</v>
      </c>
      <c r="AU71" s="48" t="s">
        <v>166</v>
      </c>
      <c r="AV71" s="48">
        <v>2.0</v>
      </c>
      <c r="AW71" s="48">
        <v>1.0</v>
      </c>
      <c r="AX71" s="48" t="s">
        <v>166</v>
      </c>
      <c r="AY71" s="48" t="s">
        <v>166</v>
      </c>
      <c r="AZ71" s="48" t="s">
        <v>166</v>
      </c>
      <c r="BA71" s="48" t="s">
        <v>5157</v>
      </c>
      <c r="BB71" s="48" t="s">
        <v>4962</v>
      </c>
      <c r="BC71" s="48" t="s">
        <v>4963</v>
      </c>
      <c r="BD71" s="48">
        <v>4.0</v>
      </c>
      <c r="BE71" s="698" t="s">
        <v>5158</v>
      </c>
      <c r="BF71" s="698"/>
      <c r="BG71" s="66"/>
      <c r="BH71" s="66"/>
      <c r="BI71" s="66"/>
      <c r="BJ71" s="66"/>
      <c r="BK71" s="66"/>
      <c r="BL71" s="66"/>
      <c r="BM71" s="66"/>
      <c r="BN71" s="66"/>
      <c r="BO71" s="66"/>
      <c r="BP71" s="66"/>
      <c r="BQ71" s="66"/>
      <c r="BR71" s="66"/>
      <c r="BS71" s="66"/>
    </row>
    <row r="72">
      <c r="A72" s="48" t="s">
        <v>1688</v>
      </c>
      <c r="B72" s="48" t="s">
        <v>5131</v>
      </c>
      <c r="C72" s="48" t="s">
        <v>5148</v>
      </c>
      <c r="D72" s="174" t="str">
        <f>HYPERLINK("https://www.evga.com/","EVGA")</f>
        <v>EVGA</v>
      </c>
      <c r="E72" s="174" t="str">
        <f>HYPERLINK("https://asia.evga.com/products/product.aspx?pn=111-SS-E172-KR","Z170 Stinger")</f>
        <v>Z170 Stinger</v>
      </c>
      <c r="F72" s="48" t="s">
        <v>4948</v>
      </c>
      <c r="G72" s="48" t="s">
        <v>166</v>
      </c>
      <c r="H72" s="48" t="s">
        <v>174</v>
      </c>
      <c r="I72" s="48" t="s">
        <v>174</v>
      </c>
      <c r="J72" s="48" t="s">
        <v>166</v>
      </c>
      <c r="K72" s="48" t="s">
        <v>174</v>
      </c>
      <c r="L72" s="48">
        <v>2.0</v>
      </c>
      <c r="M72" s="48" t="s">
        <v>3149</v>
      </c>
      <c r="N72" s="48">
        <v>32.0</v>
      </c>
      <c r="O72" s="48" t="s">
        <v>4975</v>
      </c>
      <c r="P72" s="48">
        <v>4.0</v>
      </c>
      <c r="Q72" s="698" t="s">
        <v>166</v>
      </c>
      <c r="R72" s="697">
        <v>2.0</v>
      </c>
      <c r="S72" s="697" t="s">
        <v>166</v>
      </c>
      <c r="T72" s="697">
        <v>6.0</v>
      </c>
      <c r="U72" s="48" t="s">
        <v>166</v>
      </c>
      <c r="V72" s="48" t="s">
        <v>166</v>
      </c>
      <c r="W72" s="48" t="s">
        <v>166</v>
      </c>
      <c r="X72" s="48" t="s">
        <v>166</v>
      </c>
      <c r="Y72" s="48" t="s">
        <v>166</v>
      </c>
      <c r="Z72" s="48" t="s">
        <v>166</v>
      </c>
      <c r="AA72" s="48" t="s">
        <v>166</v>
      </c>
      <c r="AB72" s="48">
        <f t="shared" si="1"/>
        <v>8</v>
      </c>
      <c r="AC72" s="48" t="s">
        <v>166</v>
      </c>
      <c r="AD72" s="48">
        <v>1.0</v>
      </c>
      <c r="AE72" s="48" t="s">
        <v>166</v>
      </c>
      <c r="AF72" s="697">
        <v>1.0</v>
      </c>
      <c r="AG72" s="48" t="s">
        <v>5133</v>
      </c>
      <c r="AH72" s="48">
        <v>1.0</v>
      </c>
      <c r="AI72" s="48">
        <v>1.0</v>
      </c>
      <c r="AJ72" s="48" t="s">
        <v>166</v>
      </c>
      <c r="AK72" s="48" t="s">
        <v>232</v>
      </c>
      <c r="AL72" s="48" t="s">
        <v>166</v>
      </c>
      <c r="AM72" s="48" t="s">
        <v>166</v>
      </c>
      <c r="AN72" s="48" t="s">
        <v>5139</v>
      </c>
      <c r="AO72" s="48" t="s">
        <v>174</v>
      </c>
      <c r="AP72" s="48">
        <v>5.0</v>
      </c>
      <c r="AQ72" s="48" t="s">
        <v>166</v>
      </c>
      <c r="AR72" s="48">
        <v>1.0</v>
      </c>
      <c r="AS72" s="48">
        <v>1.0</v>
      </c>
      <c r="AT72" s="48" t="s">
        <v>166</v>
      </c>
      <c r="AU72" s="48" t="s">
        <v>166</v>
      </c>
      <c r="AV72" s="48">
        <v>3.0</v>
      </c>
      <c r="AW72" s="48" t="s">
        <v>166</v>
      </c>
      <c r="AX72" s="48" t="s">
        <v>166</v>
      </c>
      <c r="AY72" s="48" t="s">
        <v>174</v>
      </c>
      <c r="AZ72" s="48" t="s">
        <v>166</v>
      </c>
      <c r="BA72" s="48" t="s">
        <v>4982</v>
      </c>
      <c r="BB72" s="48" t="s">
        <v>4962</v>
      </c>
      <c r="BC72" s="48" t="s">
        <v>4963</v>
      </c>
      <c r="BD72" s="48">
        <v>4.0</v>
      </c>
      <c r="BE72" s="698" t="s">
        <v>170</v>
      </c>
      <c r="BF72" s="698"/>
      <c r="BG72" s="66"/>
      <c r="BH72" s="66"/>
      <c r="BI72" s="66"/>
      <c r="BJ72" s="66"/>
      <c r="BK72" s="66"/>
      <c r="BL72" s="66"/>
      <c r="BM72" s="66"/>
      <c r="BN72" s="66"/>
      <c r="BO72" s="66"/>
      <c r="BP72" s="66"/>
      <c r="BQ72" s="66"/>
      <c r="BR72" s="66"/>
      <c r="BS72" s="66"/>
    </row>
    <row r="73">
      <c r="A73" s="48" t="s">
        <v>1688</v>
      </c>
      <c r="B73" s="48" t="s">
        <v>5131</v>
      </c>
      <c r="C73" s="48" t="s">
        <v>5148</v>
      </c>
      <c r="D73" s="174" t="str">
        <f t="shared" ref="D73:D74" si="15">HYPERLINK("https://www.gigabyte.com/","Gigabyte")</f>
        <v>Gigabyte</v>
      </c>
      <c r="E73" s="174" t="str">
        <f>HYPERLINK("https://www.gigabyte.com/Motherboard/GA-Z170N-Gaming-5-rev-10#ov","GA-Z170N-Gaming 5")</f>
        <v>GA-Z170N-Gaming 5</v>
      </c>
      <c r="F73" s="48" t="s">
        <v>4948</v>
      </c>
      <c r="G73" s="48" t="s">
        <v>166</v>
      </c>
      <c r="H73" s="48" t="s">
        <v>174</v>
      </c>
      <c r="I73" s="48" t="s">
        <v>174</v>
      </c>
      <c r="J73" s="48" t="s">
        <v>166</v>
      </c>
      <c r="K73" s="48" t="s">
        <v>166</v>
      </c>
      <c r="L73" s="48">
        <v>2.0</v>
      </c>
      <c r="M73" s="48" t="s">
        <v>3149</v>
      </c>
      <c r="N73" s="48">
        <v>32.0</v>
      </c>
      <c r="O73" s="48" t="s">
        <v>5159</v>
      </c>
      <c r="P73" s="48">
        <v>6.0</v>
      </c>
      <c r="Q73" s="696" t="s">
        <v>4950</v>
      </c>
      <c r="R73" s="697" t="s">
        <v>166</v>
      </c>
      <c r="S73" s="697" t="s">
        <v>166</v>
      </c>
      <c r="T73" s="697">
        <v>3.0</v>
      </c>
      <c r="U73" s="48" t="s">
        <v>166</v>
      </c>
      <c r="V73" s="48">
        <v>1.0</v>
      </c>
      <c r="W73" s="48">
        <v>1.0</v>
      </c>
      <c r="X73" s="48" t="s">
        <v>166</v>
      </c>
      <c r="Y73" s="48" t="s">
        <v>166</v>
      </c>
      <c r="Z73" s="48" t="s">
        <v>166</v>
      </c>
      <c r="AA73" s="48" t="s">
        <v>166</v>
      </c>
      <c r="AB73" s="48">
        <f t="shared" si="1"/>
        <v>5</v>
      </c>
      <c r="AC73" s="48">
        <v>1.0</v>
      </c>
      <c r="AD73" s="48">
        <v>1.0</v>
      </c>
      <c r="AE73" s="48" t="s">
        <v>166</v>
      </c>
      <c r="AF73" s="697">
        <v>1.0</v>
      </c>
      <c r="AG73" s="48" t="s">
        <v>5160</v>
      </c>
      <c r="AH73" s="48">
        <v>1.0</v>
      </c>
      <c r="AI73" s="48">
        <v>1.0</v>
      </c>
      <c r="AJ73" s="705" t="s">
        <v>4966</v>
      </c>
      <c r="AK73" s="48" t="s">
        <v>5136</v>
      </c>
      <c r="AL73" s="48">
        <v>867.0</v>
      </c>
      <c r="AM73" s="48">
        <v>4.2</v>
      </c>
      <c r="AN73" s="48" t="s">
        <v>5139</v>
      </c>
      <c r="AO73" s="48" t="s">
        <v>174</v>
      </c>
      <c r="AP73" s="48">
        <v>5.0</v>
      </c>
      <c r="AQ73" s="48">
        <v>1.0</v>
      </c>
      <c r="AR73" s="48" t="s">
        <v>166</v>
      </c>
      <c r="AS73" s="48">
        <v>1.0</v>
      </c>
      <c r="AT73" s="48">
        <v>1.0</v>
      </c>
      <c r="AU73" s="48" t="s">
        <v>166</v>
      </c>
      <c r="AV73" s="48">
        <v>2.0</v>
      </c>
      <c r="AW73" s="48" t="s">
        <v>166</v>
      </c>
      <c r="AX73" s="48" t="s">
        <v>166</v>
      </c>
      <c r="AY73" s="48" t="s">
        <v>166</v>
      </c>
      <c r="AZ73" s="48" t="s">
        <v>166</v>
      </c>
      <c r="BA73" s="48" t="s">
        <v>170</v>
      </c>
      <c r="BB73" s="48" t="s">
        <v>170</v>
      </c>
      <c r="BC73" s="48" t="s">
        <v>170</v>
      </c>
      <c r="BD73" s="48" t="s">
        <v>170</v>
      </c>
      <c r="BE73" s="698" t="s">
        <v>170</v>
      </c>
      <c r="BF73" s="698"/>
      <c r="BG73" s="66"/>
      <c r="BH73" s="66"/>
      <c r="BI73" s="66"/>
      <c r="BJ73" s="66"/>
      <c r="BK73" s="66"/>
      <c r="BL73" s="66"/>
      <c r="BM73" s="66"/>
      <c r="BN73" s="66"/>
      <c r="BO73" s="66"/>
      <c r="BP73" s="66"/>
      <c r="BQ73" s="66"/>
      <c r="BR73" s="66"/>
      <c r="BS73" s="66"/>
    </row>
    <row r="74">
      <c r="A74" s="48" t="s">
        <v>1688</v>
      </c>
      <c r="B74" s="48" t="s">
        <v>5131</v>
      </c>
      <c r="C74" s="48" t="s">
        <v>5148</v>
      </c>
      <c r="D74" s="174" t="str">
        <f t="shared" si="15"/>
        <v>Gigabyte</v>
      </c>
      <c r="E74" s="174" t="str">
        <f>HYPERLINK("https://www.gigabyte.com/Motherboard/GA-Z170N-WIFI-rev-10#ov","GA-Z170N-WIFI")</f>
        <v>GA-Z170N-WIFI</v>
      </c>
      <c r="F74" s="48" t="s">
        <v>4948</v>
      </c>
      <c r="G74" s="48" t="s">
        <v>166</v>
      </c>
      <c r="H74" s="48" t="s">
        <v>174</v>
      </c>
      <c r="I74" s="48" t="s">
        <v>174</v>
      </c>
      <c r="J74" s="48" t="s">
        <v>166</v>
      </c>
      <c r="K74" s="48" t="s">
        <v>166</v>
      </c>
      <c r="L74" s="48">
        <v>2.0</v>
      </c>
      <c r="M74" s="48" t="s">
        <v>3149</v>
      </c>
      <c r="N74" s="48">
        <v>32.0</v>
      </c>
      <c r="O74" s="48" t="s">
        <v>4975</v>
      </c>
      <c r="P74" s="48">
        <v>6.0</v>
      </c>
      <c r="Q74" s="696" t="s">
        <v>4950</v>
      </c>
      <c r="R74" s="697" t="s">
        <v>166</v>
      </c>
      <c r="S74" s="697" t="s">
        <v>166</v>
      </c>
      <c r="T74" s="697">
        <v>4.0</v>
      </c>
      <c r="U74" s="48">
        <v>1.0</v>
      </c>
      <c r="V74" s="48" t="s">
        <v>166</v>
      </c>
      <c r="W74" s="48" t="s">
        <v>166</v>
      </c>
      <c r="X74" s="48" t="s">
        <v>166</v>
      </c>
      <c r="Y74" s="48" t="s">
        <v>166</v>
      </c>
      <c r="Z74" s="48" t="s">
        <v>166</v>
      </c>
      <c r="AA74" s="48" t="s">
        <v>166</v>
      </c>
      <c r="AB74" s="48">
        <f t="shared" si="1"/>
        <v>5</v>
      </c>
      <c r="AC74" s="48">
        <v>1.0</v>
      </c>
      <c r="AD74" s="48">
        <v>1.0</v>
      </c>
      <c r="AE74" s="48" t="s">
        <v>166</v>
      </c>
      <c r="AF74" s="697">
        <v>2.0</v>
      </c>
      <c r="AG74" s="48" t="s">
        <v>5140</v>
      </c>
      <c r="AH74" s="48">
        <v>1.0</v>
      </c>
      <c r="AI74" s="48">
        <v>1.0</v>
      </c>
      <c r="AJ74" s="705" t="s">
        <v>4966</v>
      </c>
      <c r="AK74" s="48" t="s">
        <v>5136</v>
      </c>
      <c r="AL74" s="48">
        <v>867.0</v>
      </c>
      <c r="AM74" s="48">
        <v>4.2</v>
      </c>
      <c r="AN74" s="48" t="s">
        <v>5139</v>
      </c>
      <c r="AO74" s="48" t="s">
        <v>174</v>
      </c>
      <c r="AP74" s="48">
        <v>5.0</v>
      </c>
      <c r="AQ74" s="48">
        <v>1.0</v>
      </c>
      <c r="AR74" s="48" t="s">
        <v>166</v>
      </c>
      <c r="AS74" s="48">
        <v>2.0</v>
      </c>
      <c r="AT74" s="48">
        <v>1.0</v>
      </c>
      <c r="AU74" s="48" t="s">
        <v>166</v>
      </c>
      <c r="AV74" s="48">
        <v>2.0</v>
      </c>
      <c r="AW74" s="48" t="s">
        <v>166</v>
      </c>
      <c r="AX74" s="48" t="s">
        <v>166</v>
      </c>
      <c r="AY74" s="48" t="s">
        <v>166</v>
      </c>
      <c r="AZ74" s="48" t="s">
        <v>166</v>
      </c>
      <c r="BA74" s="48" t="s">
        <v>170</v>
      </c>
      <c r="BB74" s="48" t="s">
        <v>5143</v>
      </c>
      <c r="BC74" s="48" t="s">
        <v>4963</v>
      </c>
      <c r="BD74" s="48">
        <v>5.0</v>
      </c>
      <c r="BE74" s="698" t="s">
        <v>5146</v>
      </c>
      <c r="BF74" s="698"/>
      <c r="BG74" s="66"/>
      <c r="BH74" s="66"/>
      <c r="BI74" s="66"/>
      <c r="BJ74" s="66"/>
      <c r="BK74" s="66"/>
      <c r="BL74" s="66"/>
      <c r="BM74" s="66"/>
      <c r="BN74" s="66"/>
      <c r="BO74" s="66"/>
      <c r="BP74" s="66"/>
      <c r="BQ74" s="66"/>
      <c r="BR74" s="66"/>
      <c r="BS74" s="66"/>
    </row>
    <row r="75">
      <c r="A75" s="700" t="s">
        <v>1688</v>
      </c>
      <c r="B75" s="700" t="s">
        <v>5131</v>
      </c>
      <c r="C75" s="700" t="s">
        <v>5148</v>
      </c>
      <c r="D75" s="291" t="str">
        <f>HYPERLINK("https://www.msi.com/index.php","MSI")</f>
        <v>MSI</v>
      </c>
      <c r="E75" s="291" t="str">
        <f>HYPERLINK("https://www.msi.com/Motherboard/Z170I-GAMING-PRO-AC.html","Z170I GAMING PRO AC")</f>
        <v>Z170I GAMING PRO AC</v>
      </c>
      <c r="F75" s="700" t="s">
        <v>4948</v>
      </c>
      <c r="G75" s="700" t="s">
        <v>166</v>
      </c>
      <c r="H75" s="700" t="s">
        <v>174</v>
      </c>
      <c r="I75" s="700" t="s">
        <v>174</v>
      </c>
      <c r="J75" s="700" t="s">
        <v>166</v>
      </c>
      <c r="K75" s="700" t="s">
        <v>174</v>
      </c>
      <c r="L75" s="700">
        <v>2.0</v>
      </c>
      <c r="M75" s="700" t="s">
        <v>3149</v>
      </c>
      <c r="N75" s="700">
        <v>32.0</v>
      </c>
      <c r="O75" s="700" t="s">
        <v>5161</v>
      </c>
      <c r="P75" s="700">
        <v>4.0</v>
      </c>
      <c r="Q75" s="709" t="s">
        <v>4950</v>
      </c>
      <c r="R75" s="702">
        <v>3.0</v>
      </c>
      <c r="S75" s="702" t="s">
        <v>166</v>
      </c>
      <c r="T75" s="702">
        <v>4.0</v>
      </c>
      <c r="U75" s="700" t="s">
        <v>166</v>
      </c>
      <c r="V75" s="700" t="s">
        <v>166</v>
      </c>
      <c r="W75" s="700" t="s">
        <v>166</v>
      </c>
      <c r="X75" s="700" t="s">
        <v>166</v>
      </c>
      <c r="Y75" s="700" t="s">
        <v>166</v>
      </c>
      <c r="Z75" s="700" t="s">
        <v>166</v>
      </c>
      <c r="AA75" s="700" t="s">
        <v>166</v>
      </c>
      <c r="AB75" s="700">
        <f t="shared" si="1"/>
        <v>7</v>
      </c>
      <c r="AC75" s="700">
        <v>1.0</v>
      </c>
      <c r="AD75" s="700">
        <v>1.0</v>
      </c>
      <c r="AE75" s="700" t="s">
        <v>166</v>
      </c>
      <c r="AF75" s="702">
        <v>1.0</v>
      </c>
      <c r="AG75" s="700" t="s">
        <v>5133</v>
      </c>
      <c r="AH75" s="700">
        <v>1.0</v>
      </c>
      <c r="AI75" s="700">
        <v>1.0</v>
      </c>
      <c r="AJ75" s="700" t="s">
        <v>4966</v>
      </c>
      <c r="AK75" s="700" t="s">
        <v>5136</v>
      </c>
      <c r="AL75" s="700">
        <v>867.0</v>
      </c>
      <c r="AM75" s="700">
        <v>4.2</v>
      </c>
      <c r="AN75" s="700" t="s">
        <v>5139</v>
      </c>
      <c r="AO75" s="700" t="s">
        <v>174</v>
      </c>
      <c r="AP75" s="700">
        <v>5.0</v>
      </c>
      <c r="AQ75" s="700">
        <v>1.0</v>
      </c>
      <c r="AR75" s="700">
        <v>1.0</v>
      </c>
      <c r="AS75" s="700">
        <v>1.0</v>
      </c>
      <c r="AT75" s="700" t="s">
        <v>166</v>
      </c>
      <c r="AU75" s="700" t="s">
        <v>166</v>
      </c>
      <c r="AV75" s="700">
        <v>2.0</v>
      </c>
      <c r="AW75" s="700" t="s">
        <v>166</v>
      </c>
      <c r="AX75" s="700" t="s">
        <v>166</v>
      </c>
      <c r="AY75" s="700" t="s">
        <v>174</v>
      </c>
      <c r="AZ75" s="700" t="s">
        <v>166</v>
      </c>
      <c r="BA75" s="700" t="s">
        <v>170</v>
      </c>
      <c r="BB75" s="700" t="s">
        <v>170</v>
      </c>
      <c r="BC75" s="700" t="s">
        <v>170</v>
      </c>
      <c r="BD75" s="700" t="s">
        <v>170</v>
      </c>
      <c r="BE75" s="703" t="s">
        <v>170</v>
      </c>
      <c r="BF75" s="703"/>
      <c r="BG75" s="66"/>
      <c r="BH75" s="66"/>
      <c r="BI75" s="66"/>
      <c r="BJ75" s="66"/>
      <c r="BK75" s="66"/>
      <c r="BL75" s="66"/>
      <c r="BM75" s="66"/>
      <c r="BN75" s="66"/>
      <c r="BO75" s="66"/>
      <c r="BP75" s="66"/>
      <c r="BQ75" s="66"/>
      <c r="BR75" s="66"/>
      <c r="BS75" s="66"/>
    </row>
    <row r="76">
      <c r="A76" s="705" t="s">
        <v>1688</v>
      </c>
      <c r="B76" s="705" t="s">
        <v>5131</v>
      </c>
      <c r="C76" s="705" t="s">
        <v>5162</v>
      </c>
      <c r="D76" s="282" t="str">
        <f>HYPERLINK("https://www.asus.com/","Asus")</f>
        <v>Asus</v>
      </c>
      <c r="E76" s="282" t="s">
        <v>5163</v>
      </c>
      <c r="F76" s="705" t="s">
        <v>4948</v>
      </c>
      <c r="G76" s="705" t="s">
        <v>166</v>
      </c>
      <c r="H76" s="705" t="s">
        <v>166</v>
      </c>
      <c r="I76" s="705" t="s">
        <v>166</v>
      </c>
      <c r="J76" s="705" t="s">
        <v>166</v>
      </c>
      <c r="K76" s="705" t="s">
        <v>166</v>
      </c>
      <c r="L76" s="705">
        <v>2.0</v>
      </c>
      <c r="M76" s="705" t="s">
        <v>3149</v>
      </c>
      <c r="N76" s="705">
        <v>32.0</v>
      </c>
      <c r="O76" s="705">
        <v>2400.0</v>
      </c>
      <c r="P76" s="705">
        <v>4.0</v>
      </c>
      <c r="Q76" s="708" t="s">
        <v>5164</v>
      </c>
      <c r="R76" s="707">
        <v>2.0</v>
      </c>
      <c r="S76" s="707" t="s">
        <v>166</v>
      </c>
      <c r="T76" s="707">
        <v>4.0</v>
      </c>
      <c r="U76" s="705" t="s">
        <v>166</v>
      </c>
      <c r="V76" s="705" t="s">
        <v>166</v>
      </c>
      <c r="W76" s="705" t="s">
        <v>166</v>
      </c>
      <c r="X76" s="705" t="s">
        <v>166</v>
      </c>
      <c r="Y76" s="705" t="s">
        <v>166</v>
      </c>
      <c r="Z76" s="705" t="s">
        <v>166</v>
      </c>
      <c r="AA76" s="705" t="s">
        <v>166</v>
      </c>
      <c r="AB76" s="705">
        <f t="shared" si="1"/>
        <v>6</v>
      </c>
      <c r="AC76" s="705" t="s">
        <v>166</v>
      </c>
      <c r="AD76" s="705">
        <v>1.0</v>
      </c>
      <c r="AE76" s="705" t="s">
        <v>166</v>
      </c>
      <c r="AF76" s="707">
        <v>1.0</v>
      </c>
      <c r="AG76" s="705" t="s">
        <v>5133</v>
      </c>
      <c r="AH76" s="705">
        <v>1.0</v>
      </c>
      <c r="AI76" s="705">
        <v>1.0</v>
      </c>
      <c r="AJ76" s="705" t="s">
        <v>4966</v>
      </c>
      <c r="AK76" s="705" t="s">
        <v>170</v>
      </c>
      <c r="AL76" s="705">
        <v>867.0</v>
      </c>
      <c r="AM76" s="705">
        <v>4.1</v>
      </c>
      <c r="AN76" s="705" t="s">
        <v>4971</v>
      </c>
      <c r="AO76" s="705" t="s">
        <v>174</v>
      </c>
      <c r="AP76" s="705">
        <v>5.0</v>
      </c>
      <c r="AQ76" s="705" t="s">
        <v>166</v>
      </c>
      <c r="AR76" s="705">
        <v>1.0</v>
      </c>
      <c r="AS76" s="705">
        <v>1.0</v>
      </c>
      <c r="AT76" s="705" t="s">
        <v>166</v>
      </c>
      <c r="AU76" s="705" t="s">
        <v>166</v>
      </c>
      <c r="AV76" s="705">
        <v>3.0</v>
      </c>
      <c r="AW76" s="705">
        <v>1.0</v>
      </c>
      <c r="AX76" s="705" t="s">
        <v>166</v>
      </c>
      <c r="AY76" s="705" t="s">
        <v>174</v>
      </c>
      <c r="AZ76" s="705" t="s">
        <v>166</v>
      </c>
      <c r="BA76" s="705" t="s">
        <v>170</v>
      </c>
      <c r="BB76" s="705" t="s">
        <v>170</v>
      </c>
      <c r="BC76" s="705" t="s">
        <v>170</v>
      </c>
      <c r="BD76" s="705" t="s">
        <v>170</v>
      </c>
      <c r="BE76" s="708" t="s">
        <v>170</v>
      </c>
      <c r="BF76" s="708"/>
      <c r="BG76" s="66"/>
      <c r="BH76" s="66"/>
      <c r="BI76" s="66"/>
      <c r="BJ76" s="66"/>
      <c r="BK76" s="66"/>
      <c r="BL76" s="66"/>
      <c r="BM76" s="66"/>
      <c r="BN76" s="66"/>
      <c r="BO76" s="66"/>
      <c r="BP76" s="66"/>
      <c r="BQ76" s="66"/>
      <c r="BR76" s="66"/>
      <c r="BS76" s="66"/>
    </row>
    <row r="77">
      <c r="A77" s="48" t="s">
        <v>1688</v>
      </c>
      <c r="B77" s="48" t="s">
        <v>5131</v>
      </c>
      <c r="C77" s="48" t="s">
        <v>5162</v>
      </c>
      <c r="D77" s="174" t="str">
        <f>HYPERLINK("https://www.gigabyte.com/","Gigabyte")</f>
        <v>Gigabyte</v>
      </c>
      <c r="E77" s="174" t="str">
        <f>HYPERLINK("https://www.gigabyte.com/Motherboard/GA-B250N-Phoenix-WIFI-rev-10#kf","GA-B250N-Phoenix WIFI")</f>
        <v>GA-B250N-Phoenix WIFI</v>
      </c>
      <c r="F77" s="48" t="s">
        <v>4948</v>
      </c>
      <c r="G77" s="48" t="s">
        <v>166</v>
      </c>
      <c r="H77" s="48" t="s">
        <v>166</v>
      </c>
      <c r="I77" s="48" t="s">
        <v>166</v>
      </c>
      <c r="J77" s="48" t="s">
        <v>166</v>
      </c>
      <c r="K77" s="48" t="s">
        <v>166</v>
      </c>
      <c r="L77" s="48">
        <v>2.0</v>
      </c>
      <c r="M77" s="48" t="s">
        <v>3149</v>
      </c>
      <c r="N77" s="48">
        <v>32.0</v>
      </c>
      <c r="O77" s="48">
        <v>2400.0</v>
      </c>
      <c r="P77" s="48">
        <v>4.0</v>
      </c>
      <c r="Q77" s="696" t="s">
        <v>4950</v>
      </c>
      <c r="R77" s="697">
        <v>2.0</v>
      </c>
      <c r="S77" s="697" t="s">
        <v>166</v>
      </c>
      <c r="T77" s="697">
        <v>4.0</v>
      </c>
      <c r="U77" s="48" t="s">
        <v>166</v>
      </c>
      <c r="V77" s="48">
        <v>1.0</v>
      </c>
      <c r="W77" s="48">
        <v>1.0</v>
      </c>
      <c r="X77" s="48" t="s">
        <v>166</v>
      </c>
      <c r="Y77" s="48" t="s">
        <v>166</v>
      </c>
      <c r="Z77" s="48" t="s">
        <v>166</v>
      </c>
      <c r="AA77" s="48" t="s">
        <v>166</v>
      </c>
      <c r="AB77" s="48">
        <f t="shared" si="1"/>
        <v>8</v>
      </c>
      <c r="AC77" s="48">
        <v>1.0</v>
      </c>
      <c r="AD77" s="48">
        <v>1.0</v>
      </c>
      <c r="AE77" s="48" t="s">
        <v>166</v>
      </c>
      <c r="AF77" s="697">
        <v>1.0</v>
      </c>
      <c r="AG77" s="48" t="s">
        <v>5133</v>
      </c>
      <c r="AH77" s="48">
        <v>1.0</v>
      </c>
      <c r="AI77" s="48">
        <v>1.0</v>
      </c>
      <c r="AJ77" s="705" t="s">
        <v>4966</v>
      </c>
      <c r="AK77" s="48" t="s">
        <v>170</v>
      </c>
      <c r="AL77" s="48">
        <v>867.0</v>
      </c>
      <c r="AM77" s="48">
        <v>4.2</v>
      </c>
      <c r="AN77" s="48" t="s">
        <v>4977</v>
      </c>
      <c r="AO77" s="48" t="s">
        <v>174</v>
      </c>
      <c r="AP77" s="48">
        <v>5.0</v>
      </c>
      <c r="AQ77" s="48">
        <v>1.0</v>
      </c>
      <c r="AR77" s="48">
        <v>1.0</v>
      </c>
      <c r="AS77" s="48">
        <v>1.0</v>
      </c>
      <c r="AT77" s="48" t="s">
        <v>166</v>
      </c>
      <c r="AU77" s="48" t="s">
        <v>166</v>
      </c>
      <c r="AV77" s="48">
        <v>3.0</v>
      </c>
      <c r="AW77" s="48">
        <v>1.0</v>
      </c>
      <c r="AX77" s="48" t="s">
        <v>166</v>
      </c>
      <c r="AY77" s="48" t="s">
        <v>166</v>
      </c>
      <c r="AZ77" s="48" t="s">
        <v>166</v>
      </c>
      <c r="BA77" s="48" t="s">
        <v>170</v>
      </c>
      <c r="BB77" s="48" t="s">
        <v>5017</v>
      </c>
      <c r="BC77" s="48" t="s">
        <v>4963</v>
      </c>
      <c r="BD77" s="48">
        <v>4.0</v>
      </c>
      <c r="BE77" s="698" t="s">
        <v>170</v>
      </c>
      <c r="BF77" s="698"/>
      <c r="BG77" s="66"/>
      <c r="BH77" s="66"/>
      <c r="BI77" s="66"/>
      <c r="BJ77" s="66"/>
      <c r="BK77" s="66"/>
      <c r="BL77" s="66"/>
      <c r="BM77" s="66"/>
      <c r="BN77" s="66"/>
      <c r="BO77" s="66"/>
      <c r="BP77" s="66"/>
      <c r="BQ77" s="66"/>
      <c r="BR77" s="66"/>
      <c r="BS77" s="66"/>
    </row>
    <row r="78">
      <c r="A78" s="48" t="s">
        <v>1688</v>
      </c>
      <c r="B78" s="48" t="s">
        <v>5131</v>
      </c>
      <c r="C78" s="48" t="s">
        <v>5162</v>
      </c>
      <c r="D78" s="174" t="str">
        <f t="shared" ref="D78:D79" si="16">HYPERLINK("https://www.msi.com/index.php","MSI")</f>
        <v>MSI</v>
      </c>
      <c r="E78" s="174" t="str">
        <f>HYPERLINK("https://www.msi.com/Motherboard/B250I-GAMING-PRO-AC.html","B250I GAMING PRO AC")</f>
        <v>B250I GAMING PRO AC</v>
      </c>
      <c r="F78" s="48" t="s">
        <v>4948</v>
      </c>
      <c r="G78" s="48" t="s">
        <v>166</v>
      </c>
      <c r="H78" s="48" t="s">
        <v>166</v>
      </c>
      <c r="I78" s="48" t="s">
        <v>166</v>
      </c>
      <c r="J78" s="48" t="s">
        <v>166</v>
      </c>
      <c r="K78" s="48" t="s">
        <v>166</v>
      </c>
      <c r="L78" s="48">
        <v>2.0</v>
      </c>
      <c r="M78" s="48" t="s">
        <v>3149</v>
      </c>
      <c r="N78" s="48">
        <v>32.0</v>
      </c>
      <c r="O78" s="48">
        <v>2400.0</v>
      </c>
      <c r="P78" s="48">
        <v>4.0</v>
      </c>
      <c r="Q78" s="696" t="s">
        <v>4950</v>
      </c>
      <c r="R78" s="697">
        <v>2.0</v>
      </c>
      <c r="S78" s="697" t="s">
        <v>166</v>
      </c>
      <c r="T78" s="697">
        <v>4.0</v>
      </c>
      <c r="U78" s="48" t="s">
        <v>166</v>
      </c>
      <c r="V78" s="48" t="s">
        <v>166</v>
      </c>
      <c r="W78" s="48" t="s">
        <v>166</v>
      </c>
      <c r="X78" s="48" t="s">
        <v>166</v>
      </c>
      <c r="Y78" s="48" t="s">
        <v>166</v>
      </c>
      <c r="Z78" s="48" t="s">
        <v>166</v>
      </c>
      <c r="AA78" s="48" t="s">
        <v>166</v>
      </c>
      <c r="AB78" s="48">
        <f t="shared" si="1"/>
        <v>6</v>
      </c>
      <c r="AC78" s="48">
        <v>1.0</v>
      </c>
      <c r="AD78" s="48">
        <v>1.0</v>
      </c>
      <c r="AE78" s="48" t="s">
        <v>166</v>
      </c>
      <c r="AF78" s="697">
        <v>1.0</v>
      </c>
      <c r="AG78" s="48" t="s">
        <v>4959</v>
      </c>
      <c r="AH78" s="48">
        <v>1.0</v>
      </c>
      <c r="AI78" s="48">
        <v>1.0</v>
      </c>
      <c r="AJ78" s="705" t="s">
        <v>4966</v>
      </c>
      <c r="AK78" s="48" t="s">
        <v>5165</v>
      </c>
      <c r="AL78" s="48">
        <v>867.0</v>
      </c>
      <c r="AM78" s="48">
        <v>4.2</v>
      </c>
      <c r="AN78" s="48" t="s">
        <v>4960</v>
      </c>
      <c r="AO78" s="48" t="s">
        <v>166</v>
      </c>
      <c r="AP78" s="48">
        <v>3.0</v>
      </c>
      <c r="AQ78" s="48">
        <v>1.0</v>
      </c>
      <c r="AR78" s="48" t="s">
        <v>166</v>
      </c>
      <c r="AS78" s="48">
        <v>1.0</v>
      </c>
      <c r="AT78" s="48">
        <v>1.0</v>
      </c>
      <c r="AU78" s="48" t="s">
        <v>166</v>
      </c>
      <c r="AV78" s="48">
        <v>2.0</v>
      </c>
      <c r="AW78" s="48">
        <v>1.0</v>
      </c>
      <c r="AX78" s="48" t="s">
        <v>166</v>
      </c>
      <c r="AY78" s="48" t="s">
        <v>174</v>
      </c>
      <c r="AZ78" s="48" t="s">
        <v>166</v>
      </c>
      <c r="BA78" s="48" t="s">
        <v>170</v>
      </c>
      <c r="BB78" s="48" t="s">
        <v>5017</v>
      </c>
      <c r="BC78" s="48" t="s">
        <v>4963</v>
      </c>
      <c r="BD78" s="48">
        <v>4.0</v>
      </c>
      <c r="BE78" s="698" t="s">
        <v>170</v>
      </c>
      <c r="BF78" s="698"/>
      <c r="BG78" s="66"/>
      <c r="BH78" s="66"/>
      <c r="BI78" s="66"/>
      <c r="BJ78" s="66"/>
      <c r="BK78" s="66"/>
      <c r="BL78" s="66"/>
      <c r="BM78" s="66"/>
      <c r="BN78" s="66"/>
      <c r="BO78" s="66"/>
      <c r="BP78" s="66"/>
      <c r="BQ78" s="66"/>
      <c r="BR78" s="66"/>
      <c r="BS78" s="66"/>
    </row>
    <row r="79">
      <c r="A79" s="700" t="s">
        <v>1688</v>
      </c>
      <c r="B79" s="700" t="s">
        <v>5131</v>
      </c>
      <c r="C79" s="700" t="s">
        <v>5162</v>
      </c>
      <c r="D79" s="291" t="str">
        <f t="shared" si="16"/>
        <v>MSI</v>
      </c>
      <c r="E79" s="291" t="str">
        <f>HYPERLINK("https://www.msi.com/Motherboard/B250I-PRO.html","B250I PRO")</f>
        <v>B250I PRO</v>
      </c>
      <c r="F79" s="700" t="s">
        <v>4948</v>
      </c>
      <c r="G79" s="700" t="s">
        <v>166</v>
      </c>
      <c r="H79" s="700" t="s">
        <v>166</v>
      </c>
      <c r="I79" s="700" t="s">
        <v>166</v>
      </c>
      <c r="J79" s="700" t="s">
        <v>166</v>
      </c>
      <c r="K79" s="700" t="s">
        <v>166</v>
      </c>
      <c r="L79" s="700">
        <v>2.0</v>
      </c>
      <c r="M79" s="700" t="s">
        <v>3149</v>
      </c>
      <c r="N79" s="700">
        <v>32.0</v>
      </c>
      <c r="O79" s="700">
        <v>2400.0</v>
      </c>
      <c r="P79" s="700">
        <v>4.0</v>
      </c>
      <c r="Q79" s="709" t="s">
        <v>4950</v>
      </c>
      <c r="R79" s="702">
        <v>2.0</v>
      </c>
      <c r="S79" s="702" t="s">
        <v>166</v>
      </c>
      <c r="T79" s="702">
        <v>4.0</v>
      </c>
      <c r="U79" s="700" t="s">
        <v>166</v>
      </c>
      <c r="V79" s="700" t="s">
        <v>166</v>
      </c>
      <c r="W79" s="700" t="s">
        <v>166</v>
      </c>
      <c r="X79" s="700" t="s">
        <v>166</v>
      </c>
      <c r="Y79" s="700" t="s">
        <v>166</v>
      </c>
      <c r="Z79" s="700" t="s">
        <v>166</v>
      </c>
      <c r="AA79" s="700" t="s">
        <v>166</v>
      </c>
      <c r="AB79" s="700">
        <f t="shared" si="1"/>
        <v>6</v>
      </c>
      <c r="AC79" s="700">
        <v>1.0</v>
      </c>
      <c r="AD79" s="700">
        <v>1.0</v>
      </c>
      <c r="AE79" s="700" t="s">
        <v>166</v>
      </c>
      <c r="AF79" s="702">
        <v>1.0</v>
      </c>
      <c r="AG79" s="700" t="s">
        <v>4959</v>
      </c>
      <c r="AH79" s="700">
        <v>1.0</v>
      </c>
      <c r="AI79" s="700">
        <v>1.0</v>
      </c>
      <c r="AJ79" s="700" t="s">
        <v>166</v>
      </c>
      <c r="AK79" s="700" t="s">
        <v>232</v>
      </c>
      <c r="AL79" s="700" t="s">
        <v>166</v>
      </c>
      <c r="AM79" s="700" t="s">
        <v>166</v>
      </c>
      <c r="AN79" s="700" t="s">
        <v>4960</v>
      </c>
      <c r="AO79" s="700" t="s">
        <v>166</v>
      </c>
      <c r="AP79" s="700">
        <v>3.0</v>
      </c>
      <c r="AQ79" s="700">
        <v>1.0</v>
      </c>
      <c r="AR79" s="700" t="s">
        <v>166</v>
      </c>
      <c r="AS79" s="700">
        <v>1.0</v>
      </c>
      <c r="AT79" s="700">
        <v>1.0</v>
      </c>
      <c r="AU79" s="700" t="s">
        <v>166</v>
      </c>
      <c r="AV79" s="700">
        <v>2.0</v>
      </c>
      <c r="AW79" s="700" t="s">
        <v>166</v>
      </c>
      <c r="AX79" s="700" t="s">
        <v>166</v>
      </c>
      <c r="AY79" s="700" t="s">
        <v>174</v>
      </c>
      <c r="AZ79" s="700" t="s">
        <v>166</v>
      </c>
      <c r="BA79" s="700" t="s">
        <v>170</v>
      </c>
      <c r="BB79" s="700" t="s">
        <v>5017</v>
      </c>
      <c r="BC79" s="700" t="s">
        <v>4963</v>
      </c>
      <c r="BD79" s="700">
        <v>4.0</v>
      </c>
      <c r="BE79" s="703" t="s">
        <v>170</v>
      </c>
      <c r="BF79" s="703"/>
      <c r="BG79" s="66"/>
      <c r="BH79" s="66"/>
      <c r="BI79" s="66"/>
      <c r="BJ79" s="66"/>
      <c r="BK79" s="66"/>
      <c r="BL79" s="66"/>
      <c r="BM79" s="66"/>
      <c r="BN79" s="66"/>
      <c r="BO79" s="66"/>
      <c r="BP79" s="66"/>
      <c r="BQ79" s="66"/>
      <c r="BR79" s="66"/>
      <c r="BS79" s="66"/>
    </row>
    <row r="80">
      <c r="A80" s="705" t="s">
        <v>1688</v>
      </c>
      <c r="B80" s="705" t="s">
        <v>5131</v>
      </c>
      <c r="C80" s="705" t="s">
        <v>5166</v>
      </c>
      <c r="D80" s="282" t="s">
        <v>169</v>
      </c>
      <c r="E80" s="282" t="str">
        <f>HYPERLINK("https://www.asrock.com/mb/Intel/H270M-ITXac/index.asp","H270M-ITX/ac")</f>
        <v>H270M-ITX/ac</v>
      </c>
      <c r="F80" s="705" t="s">
        <v>4948</v>
      </c>
      <c r="G80" s="705" t="s">
        <v>166</v>
      </c>
      <c r="H80" s="705" t="s">
        <v>166</v>
      </c>
      <c r="I80" s="705" t="s">
        <v>166</v>
      </c>
      <c r="J80" s="705" t="s">
        <v>166</v>
      </c>
      <c r="K80" s="705" t="s">
        <v>166</v>
      </c>
      <c r="L80" s="705">
        <v>2.0</v>
      </c>
      <c r="M80" s="705" t="s">
        <v>3149</v>
      </c>
      <c r="N80" s="705">
        <v>32.0</v>
      </c>
      <c r="O80" s="705">
        <v>2400.0</v>
      </c>
      <c r="P80" s="705">
        <v>6.0</v>
      </c>
      <c r="Q80" s="711" t="s">
        <v>4950</v>
      </c>
      <c r="R80" s="707">
        <v>2.0</v>
      </c>
      <c r="S80" s="707" t="s">
        <v>166</v>
      </c>
      <c r="T80" s="707">
        <v>6.0</v>
      </c>
      <c r="U80" s="705" t="s">
        <v>166</v>
      </c>
      <c r="V80" s="705" t="s">
        <v>166</v>
      </c>
      <c r="W80" s="705" t="s">
        <v>166</v>
      </c>
      <c r="X80" s="705" t="s">
        <v>166</v>
      </c>
      <c r="Y80" s="705" t="s">
        <v>166</v>
      </c>
      <c r="Z80" s="705" t="s">
        <v>166</v>
      </c>
      <c r="AA80" s="705" t="s">
        <v>166</v>
      </c>
      <c r="AB80" s="705">
        <f t="shared" si="1"/>
        <v>8</v>
      </c>
      <c r="AC80" s="705">
        <v>1.0</v>
      </c>
      <c r="AD80" s="705">
        <v>1.0</v>
      </c>
      <c r="AE80" s="705" t="s">
        <v>166</v>
      </c>
      <c r="AF80" s="707">
        <v>2.0</v>
      </c>
      <c r="AG80" s="705" t="s">
        <v>5140</v>
      </c>
      <c r="AH80" s="705">
        <v>1.0</v>
      </c>
      <c r="AI80" s="705">
        <v>1.0</v>
      </c>
      <c r="AJ80" s="705" t="s">
        <v>4966</v>
      </c>
      <c r="AK80" s="705" t="s">
        <v>5167</v>
      </c>
      <c r="AL80" s="705">
        <v>433.0</v>
      </c>
      <c r="AM80" s="705">
        <v>4.0</v>
      </c>
      <c r="AN80" s="705" t="s">
        <v>4977</v>
      </c>
      <c r="AO80" s="705" t="s">
        <v>166</v>
      </c>
      <c r="AP80" s="705">
        <v>3.0</v>
      </c>
      <c r="AQ80" s="705">
        <v>1.0</v>
      </c>
      <c r="AR80" s="705" t="s">
        <v>166</v>
      </c>
      <c r="AS80" s="705">
        <v>2.0</v>
      </c>
      <c r="AT80" s="705">
        <v>1.0</v>
      </c>
      <c r="AU80" s="705" t="s">
        <v>166</v>
      </c>
      <c r="AV80" s="705">
        <v>2.0</v>
      </c>
      <c r="AW80" s="705" t="s">
        <v>166</v>
      </c>
      <c r="AX80" s="705" t="s">
        <v>166</v>
      </c>
      <c r="AY80" s="705" t="s">
        <v>166</v>
      </c>
      <c r="AZ80" s="705" t="s">
        <v>166</v>
      </c>
      <c r="BA80" s="705" t="s">
        <v>170</v>
      </c>
      <c r="BB80" s="705" t="s">
        <v>5143</v>
      </c>
      <c r="BC80" s="705" t="s">
        <v>4963</v>
      </c>
      <c r="BD80" s="705">
        <v>5.0</v>
      </c>
      <c r="BE80" s="708" t="s">
        <v>170</v>
      </c>
      <c r="BF80" s="708"/>
      <c r="BG80" s="66"/>
      <c r="BH80" s="66"/>
      <c r="BI80" s="66"/>
      <c r="BJ80" s="66"/>
      <c r="BK80" s="66"/>
      <c r="BL80" s="66"/>
      <c r="BM80" s="66"/>
      <c r="BN80" s="66"/>
      <c r="BO80" s="66"/>
      <c r="BP80" s="66"/>
      <c r="BQ80" s="66"/>
      <c r="BR80" s="66"/>
      <c r="BS80" s="66"/>
    </row>
    <row r="81">
      <c r="A81" s="48" t="s">
        <v>1688</v>
      </c>
      <c r="B81" s="48" t="s">
        <v>5131</v>
      </c>
      <c r="C81" s="48" t="s">
        <v>5166</v>
      </c>
      <c r="D81" s="174" t="str">
        <f>HYPERLINK("https://www.asus.com/","Asus")</f>
        <v>Asus</v>
      </c>
      <c r="E81" s="174" t="s">
        <v>5168</v>
      </c>
      <c r="F81" s="48" t="s">
        <v>4948</v>
      </c>
      <c r="G81" s="48" t="s">
        <v>166</v>
      </c>
      <c r="H81" s="48" t="s">
        <v>166</v>
      </c>
      <c r="I81" s="48" t="s">
        <v>166</v>
      </c>
      <c r="J81" s="48" t="s">
        <v>166</v>
      </c>
      <c r="K81" s="48" t="s">
        <v>166</v>
      </c>
      <c r="L81" s="48">
        <v>2.0</v>
      </c>
      <c r="M81" s="48" t="s">
        <v>3149</v>
      </c>
      <c r="N81" s="48">
        <v>32.0</v>
      </c>
      <c r="O81" s="48">
        <v>2400.0</v>
      </c>
      <c r="P81" s="48">
        <v>4.0</v>
      </c>
      <c r="Q81" s="698" t="s">
        <v>5169</v>
      </c>
      <c r="R81" s="697" t="s">
        <v>166</v>
      </c>
      <c r="S81" s="697" t="s">
        <v>166</v>
      </c>
      <c r="T81" s="697">
        <v>6.0</v>
      </c>
      <c r="U81" s="48" t="s">
        <v>166</v>
      </c>
      <c r="V81" s="48" t="s">
        <v>166</v>
      </c>
      <c r="W81" s="48" t="s">
        <v>166</v>
      </c>
      <c r="X81" s="48" t="s">
        <v>166</v>
      </c>
      <c r="Y81" s="48" t="s">
        <v>166</v>
      </c>
      <c r="Z81" s="48" t="s">
        <v>166</v>
      </c>
      <c r="AA81" s="48" t="s">
        <v>166</v>
      </c>
      <c r="AB81" s="48">
        <f t="shared" si="1"/>
        <v>6</v>
      </c>
      <c r="AC81" s="48" t="s">
        <v>166</v>
      </c>
      <c r="AD81" s="48">
        <v>1.0</v>
      </c>
      <c r="AE81" s="48" t="s">
        <v>166</v>
      </c>
      <c r="AF81" s="697">
        <v>2.0</v>
      </c>
      <c r="AG81" s="48" t="s">
        <v>5170</v>
      </c>
      <c r="AH81" s="48">
        <v>1.0</v>
      </c>
      <c r="AI81" s="48">
        <v>1.0</v>
      </c>
      <c r="AJ81" s="705" t="s">
        <v>4966</v>
      </c>
      <c r="AK81" s="48" t="s">
        <v>170</v>
      </c>
      <c r="AL81" s="48">
        <v>867.0</v>
      </c>
      <c r="AM81" s="48">
        <v>4.1</v>
      </c>
      <c r="AN81" s="48" t="s">
        <v>4971</v>
      </c>
      <c r="AO81" s="48" t="s">
        <v>174</v>
      </c>
      <c r="AP81" s="48">
        <v>5.0</v>
      </c>
      <c r="AQ81" s="48" t="s">
        <v>166</v>
      </c>
      <c r="AR81" s="48">
        <v>1.0</v>
      </c>
      <c r="AS81" s="48">
        <v>1.0</v>
      </c>
      <c r="AT81" s="48" t="s">
        <v>166</v>
      </c>
      <c r="AU81" s="48" t="s">
        <v>166</v>
      </c>
      <c r="AV81" s="48">
        <v>3.0</v>
      </c>
      <c r="AW81" s="48">
        <v>1.0</v>
      </c>
      <c r="AX81" s="48" t="s">
        <v>166</v>
      </c>
      <c r="AY81" s="48" t="s">
        <v>174</v>
      </c>
      <c r="AZ81" s="48" t="s">
        <v>166</v>
      </c>
      <c r="BA81" s="48" t="s">
        <v>170</v>
      </c>
      <c r="BB81" s="48" t="s">
        <v>170</v>
      </c>
      <c r="BC81" s="48" t="s">
        <v>170</v>
      </c>
      <c r="BD81" s="48" t="s">
        <v>170</v>
      </c>
      <c r="BE81" s="698" t="s">
        <v>170</v>
      </c>
      <c r="BF81" s="698"/>
      <c r="BG81" s="66"/>
      <c r="BH81" s="66"/>
      <c r="BI81" s="66"/>
      <c r="BJ81" s="66"/>
      <c r="BK81" s="66"/>
      <c r="BL81" s="66"/>
      <c r="BM81" s="66"/>
      <c r="BN81" s="66"/>
      <c r="BO81" s="66"/>
      <c r="BP81" s="66"/>
      <c r="BQ81" s="66"/>
      <c r="BR81" s="66"/>
      <c r="BS81" s="66"/>
    </row>
    <row r="82">
      <c r="A82" s="48" t="s">
        <v>1688</v>
      </c>
      <c r="B82" s="48" t="s">
        <v>5131</v>
      </c>
      <c r="C82" s="48" t="s">
        <v>5166</v>
      </c>
      <c r="D82" s="174" t="str">
        <f>HYPERLINK("https://www.gigabyte.com/","Gigabyte")</f>
        <v>Gigabyte</v>
      </c>
      <c r="E82" s="174" t="str">
        <f>HYPERLINK("https://www.gigabyte.com/Motherboard/GA-H270N-WIFI-rev-10#kf","GA-H270N-WIFI")</f>
        <v>GA-H270N-WIFI</v>
      </c>
      <c r="F82" s="48" t="s">
        <v>4948</v>
      </c>
      <c r="G82" s="48" t="s">
        <v>166</v>
      </c>
      <c r="H82" s="48" t="s">
        <v>166</v>
      </c>
      <c r="I82" s="48" t="s">
        <v>166</v>
      </c>
      <c r="J82" s="48" t="s">
        <v>166</v>
      </c>
      <c r="K82" s="48" t="s">
        <v>166</v>
      </c>
      <c r="L82" s="48">
        <v>2.0</v>
      </c>
      <c r="M82" s="48" t="s">
        <v>3149</v>
      </c>
      <c r="N82" s="48">
        <v>32.0</v>
      </c>
      <c r="O82" s="48">
        <v>2400.0</v>
      </c>
      <c r="P82" s="48">
        <v>6.0</v>
      </c>
      <c r="Q82" s="696" t="s">
        <v>4950</v>
      </c>
      <c r="R82" s="697" t="s">
        <v>166</v>
      </c>
      <c r="S82" s="697" t="s">
        <v>166</v>
      </c>
      <c r="T82" s="697">
        <v>4.0</v>
      </c>
      <c r="U82" s="48">
        <v>1.0</v>
      </c>
      <c r="V82" s="48" t="s">
        <v>166</v>
      </c>
      <c r="W82" s="48" t="s">
        <v>166</v>
      </c>
      <c r="X82" s="48" t="s">
        <v>166</v>
      </c>
      <c r="Y82" s="48" t="s">
        <v>166</v>
      </c>
      <c r="Z82" s="48" t="s">
        <v>166</v>
      </c>
      <c r="AA82" s="48" t="s">
        <v>166</v>
      </c>
      <c r="AB82" s="48">
        <f t="shared" si="1"/>
        <v>5</v>
      </c>
      <c r="AC82" s="48">
        <v>1.0</v>
      </c>
      <c r="AD82" s="48">
        <v>1.0</v>
      </c>
      <c r="AE82" s="48" t="s">
        <v>166</v>
      </c>
      <c r="AF82" s="697">
        <v>2.0</v>
      </c>
      <c r="AG82" s="48" t="s">
        <v>5140</v>
      </c>
      <c r="AH82" s="48">
        <v>1.0</v>
      </c>
      <c r="AI82" s="48">
        <v>1.0</v>
      </c>
      <c r="AJ82" s="705" t="s">
        <v>4966</v>
      </c>
      <c r="AK82" s="48" t="s">
        <v>170</v>
      </c>
      <c r="AL82" s="48">
        <v>867.0</v>
      </c>
      <c r="AM82" s="48">
        <v>4.2</v>
      </c>
      <c r="AN82" s="48" t="s">
        <v>4952</v>
      </c>
      <c r="AO82" s="48" t="s">
        <v>174</v>
      </c>
      <c r="AP82" s="48">
        <v>5.0</v>
      </c>
      <c r="AQ82" s="48">
        <v>1.0</v>
      </c>
      <c r="AR82" s="48" t="s">
        <v>166</v>
      </c>
      <c r="AS82" s="48">
        <v>2.0</v>
      </c>
      <c r="AT82" s="48">
        <v>1.0</v>
      </c>
      <c r="AU82" s="48" t="s">
        <v>166</v>
      </c>
      <c r="AV82" s="48">
        <v>2.0</v>
      </c>
      <c r="AW82" s="48" t="s">
        <v>166</v>
      </c>
      <c r="AX82" s="48" t="s">
        <v>166</v>
      </c>
      <c r="AY82" s="48" t="s">
        <v>166</v>
      </c>
      <c r="AZ82" s="48" t="s">
        <v>166</v>
      </c>
      <c r="BA82" s="48" t="s">
        <v>170</v>
      </c>
      <c r="BB82" s="48" t="s">
        <v>5017</v>
      </c>
      <c r="BC82" s="48" t="s">
        <v>4963</v>
      </c>
      <c r="BD82" s="48">
        <v>4.0</v>
      </c>
      <c r="BE82" s="698" t="s">
        <v>170</v>
      </c>
      <c r="BF82" s="698"/>
      <c r="BG82" s="66"/>
      <c r="BH82" s="66"/>
      <c r="BI82" s="66"/>
      <c r="BJ82" s="66"/>
      <c r="BK82" s="66"/>
      <c r="BL82" s="66"/>
      <c r="BM82" s="66"/>
      <c r="BN82" s="66"/>
      <c r="BO82" s="66"/>
      <c r="BP82" s="66"/>
      <c r="BQ82" s="66"/>
      <c r="BR82" s="66"/>
      <c r="BS82" s="66"/>
    </row>
    <row r="83">
      <c r="A83" s="700" t="s">
        <v>1688</v>
      </c>
      <c r="B83" s="700" t="s">
        <v>5131</v>
      </c>
      <c r="C83" s="700" t="s">
        <v>5166</v>
      </c>
      <c r="D83" s="291" t="str">
        <f>HYPERLINK("https://www.msi.com/index.php","MSI")</f>
        <v>MSI</v>
      </c>
      <c r="E83" s="291" t="str">
        <f>HYPERLINK("https://www.msi.com/Motherboard/H270I-GAMING-PRO-AC.html","H270I GAMING PRO AC")</f>
        <v>H270I GAMING PRO AC</v>
      </c>
      <c r="F83" s="700" t="s">
        <v>4948</v>
      </c>
      <c r="G83" s="700" t="s">
        <v>166</v>
      </c>
      <c r="H83" s="700" t="s">
        <v>166</v>
      </c>
      <c r="I83" s="700" t="s">
        <v>166</v>
      </c>
      <c r="J83" s="700" t="s">
        <v>166</v>
      </c>
      <c r="K83" s="700" t="s">
        <v>166</v>
      </c>
      <c r="L83" s="700">
        <v>2.0</v>
      </c>
      <c r="M83" s="700" t="s">
        <v>3149</v>
      </c>
      <c r="N83" s="700">
        <v>32.0</v>
      </c>
      <c r="O83" s="700">
        <v>2400.0</v>
      </c>
      <c r="P83" s="700">
        <v>4.0</v>
      </c>
      <c r="Q83" s="709" t="s">
        <v>4950</v>
      </c>
      <c r="R83" s="702">
        <v>2.0</v>
      </c>
      <c r="S83" s="702" t="s">
        <v>166</v>
      </c>
      <c r="T83" s="702">
        <v>4.0</v>
      </c>
      <c r="U83" s="700" t="s">
        <v>166</v>
      </c>
      <c r="V83" s="700" t="s">
        <v>166</v>
      </c>
      <c r="W83" s="700" t="s">
        <v>166</v>
      </c>
      <c r="X83" s="700" t="s">
        <v>166</v>
      </c>
      <c r="Y83" s="700" t="s">
        <v>166</v>
      </c>
      <c r="Z83" s="700" t="s">
        <v>166</v>
      </c>
      <c r="AA83" s="700" t="s">
        <v>166</v>
      </c>
      <c r="AB83" s="700">
        <f t="shared" si="1"/>
        <v>6</v>
      </c>
      <c r="AC83" s="700">
        <v>1.0</v>
      </c>
      <c r="AD83" s="700">
        <v>1.0</v>
      </c>
      <c r="AE83" s="700" t="s">
        <v>166</v>
      </c>
      <c r="AF83" s="702">
        <v>1.0</v>
      </c>
      <c r="AG83" s="700" t="s">
        <v>4959</v>
      </c>
      <c r="AH83" s="700">
        <v>1.0</v>
      </c>
      <c r="AI83" s="700">
        <v>1.0</v>
      </c>
      <c r="AJ83" s="700" t="s">
        <v>4966</v>
      </c>
      <c r="AK83" s="700" t="s">
        <v>5165</v>
      </c>
      <c r="AL83" s="700">
        <v>867.0</v>
      </c>
      <c r="AM83" s="700">
        <v>4.2</v>
      </c>
      <c r="AN83" s="700" t="s">
        <v>4960</v>
      </c>
      <c r="AO83" s="700" t="s">
        <v>166</v>
      </c>
      <c r="AP83" s="700">
        <v>3.0</v>
      </c>
      <c r="AQ83" s="700">
        <v>1.0</v>
      </c>
      <c r="AR83" s="700" t="s">
        <v>166</v>
      </c>
      <c r="AS83" s="700">
        <v>1.0</v>
      </c>
      <c r="AT83" s="700">
        <v>1.0</v>
      </c>
      <c r="AU83" s="700" t="s">
        <v>166</v>
      </c>
      <c r="AV83" s="700">
        <v>2.0</v>
      </c>
      <c r="AW83" s="700">
        <v>1.0</v>
      </c>
      <c r="AX83" s="700" t="s">
        <v>166</v>
      </c>
      <c r="AY83" s="700" t="s">
        <v>174</v>
      </c>
      <c r="AZ83" s="700" t="s">
        <v>166</v>
      </c>
      <c r="BA83" s="700" t="s">
        <v>170</v>
      </c>
      <c r="BB83" s="700" t="s">
        <v>5017</v>
      </c>
      <c r="BC83" s="700" t="s">
        <v>4963</v>
      </c>
      <c r="BD83" s="700">
        <v>4.0</v>
      </c>
      <c r="BE83" s="703" t="s">
        <v>170</v>
      </c>
      <c r="BF83" s="703"/>
      <c r="BG83" s="66"/>
      <c r="BH83" s="66"/>
      <c r="BI83" s="66"/>
      <c r="BJ83" s="66"/>
      <c r="BK83" s="66"/>
      <c r="BL83" s="66"/>
      <c r="BM83" s="66"/>
      <c r="BN83" s="66"/>
      <c r="BO83" s="66"/>
      <c r="BP83" s="66"/>
      <c r="BQ83" s="66"/>
      <c r="BR83" s="66"/>
      <c r="BS83" s="66"/>
    </row>
    <row r="84">
      <c r="A84" s="705" t="s">
        <v>1688</v>
      </c>
      <c r="B84" s="705" t="s">
        <v>5131</v>
      </c>
      <c r="C84" s="705" t="s">
        <v>5171</v>
      </c>
      <c r="D84" s="282" t="s">
        <v>169</v>
      </c>
      <c r="E84" s="282" t="str">
        <f>HYPERLINK("https://www.asrock.com/MB/Intel/Fatal1ty%20Z270%20Gaming-ITXac/index.asp","Fatal1ty Z270 Gaming-ITX/ac")</f>
        <v>Fatal1ty Z270 Gaming-ITX/ac</v>
      </c>
      <c r="F84" s="705" t="s">
        <v>4948</v>
      </c>
      <c r="G84" s="705" t="s">
        <v>166</v>
      </c>
      <c r="H84" s="705" t="s">
        <v>174</v>
      </c>
      <c r="I84" s="705" t="s">
        <v>174</v>
      </c>
      <c r="J84" s="705" t="s">
        <v>166</v>
      </c>
      <c r="K84" s="705" t="s">
        <v>174</v>
      </c>
      <c r="L84" s="705">
        <v>2.0</v>
      </c>
      <c r="M84" s="705" t="s">
        <v>3149</v>
      </c>
      <c r="N84" s="705">
        <v>32.0</v>
      </c>
      <c r="O84" s="705" t="s">
        <v>4996</v>
      </c>
      <c r="P84" s="705">
        <v>6.0</v>
      </c>
      <c r="Q84" s="706" t="s">
        <v>4950</v>
      </c>
      <c r="R84" s="707" t="s">
        <v>166</v>
      </c>
      <c r="S84" s="707" t="s">
        <v>166</v>
      </c>
      <c r="T84" s="707">
        <v>6.0</v>
      </c>
      <c r="U84" s="705" t="s">
        <v>166</v>
      </c>
      <c r="V84" s="705" t="s">
        <v>166</v>
      </c>
      <c r="W84" s="705" t="s">
        <v>166</v>
      </c>
      <c r="X84" s="705" t="s">
        <v>166</v>
      </c>
      <c r="Y84" s="705" t="s">
        <v>166</v>
      </c>
      <c r="Z84" s="705">
        <v>1.0</v>
      </c>
      <c r="AA84" s="705" t="s">
        <v>166</v>
      </c>
      <c r="AB84" s="705">
        <f t="shared" si="1"/>
        <v>7</v>
      </c>
      <c r="AC84" s="705">
        <v>1.0</v>
      </c>
      <c r="AD84" s="705">
        <v>1.0</v>
      </c>
      <c r="AE84" s="705" t="s">
        <v>166</v>
      </c>
      <c r="AF84" s="707">
        <v>1.0</v>
      </c>
      <c r="AG84" s="705" t="s">
        <v>5133</v>
      </c>
      <c r="AH84" s="705">
        <v>1.0</v>
      </c>
      <c r="AI84" s="705">
        <v>1.0</v>
      </c>
      <c r="AJ84" s="705" t="s">
        <v>4966</v>
      </c>
      <c r="AK84" s="705" t="s">
        <v>4986</v>
      </c>
      <c r="AL84" s="705">
        <v>867.0</v>
      </c>
      <c r="AM84" s="705">
        <v>4.0</v>
      </c>
      <c r="AN84" s="705" t="s">
        <v>4952</v>
      </c>
      <c r="AO84" s="705" t="s">
        <v>174</v>
      </c>
      <c r="AP84" s="705">
        <v>6.0</v>
      </c>
      <c r="AQ84" s="705">
        <v>1.0</v>
      </c>
      <c r="AR84" s="705">
        <v>1.0</v>
      </c>
      <c r="AS84" s="705">
        <v>1.0</v>
      </c>
      <c r="AT84" s="705" t="s">
        <v>166</v>
      </c>
      <c r="AU84" s="705" t="s">
        <v>166</v>
      </c>
      <c r="AV84" s="705">
        <v>3.0</v>
      </c>
      <c r="AW84" s="705" t="s">
        <v>166</v>
      </c>
      <c r="AX84" s="705" t="s">
        <v>166</v>
      </c>
      <c r="AY84" s="705" t="s">
        <v>166</v>
      </c>
      <c r="AZ84" s="705" t="s">
        <v>166</v>
      </c>
      <c r="BA84" s="705" t="s">
        <v>4982</v>
      </c>
      <c r="BB84" s="705" t="s">
        <v>4954</v>
      </c>
      <c r="BC84" s="705" t="s">
        <v>4963</v>
      </c>
      <c r="BD84" s="705">
        <v>6.0</v>
      </c>
      <c r="BE84" s="708" t="s">
        <v>5150</v>
      </c>
      <c r="BF84" s="708"/>
      <c r="BG84" s="66"/>
      <c r="BH84" s="66"/>
      <c r="BI84" s="66"/>
      <c r="BJ84" s="66"/>
      <c r="BK84" s="66"/>
      <c r="BL84" s="66"/>
      <c r="BM84" s="66"/>
      <c r="BN84" s="66"/>
      <c r="BO84" s="66"/>
      <c r="BP84" s="66"/>
      <c r="BQ84" s="66"/>
      <c r="BR84" s="66"/>
      <c r="BS84" s="66"/>
    </row>
    <row r="85">
      <c r="A85" s="48" t="s">
        <v>1688</v>
      </c>
      <c r="B85" s="48" t="s">
        <v>5131</v>
      </c>
      <c r="C85" s="48" t="s">
        <v>5171</v>
      </c>
      <c r="D85" s="174" t="s">
        <v>169</v>
      </c>
      <c r="E85" s="174" t="s">
        <v>5172</v>
      </c>
      <c r="F85" s="48" t="s">
        <v>4948</v>
      </c>
      <c r="G85" s="48" t="s">
        <v>166</v>
      </c>
      <c r="H85" s="48" t="s">
        <v>174</v>
      </c>
      <c r="I85" s="48" t="s">
        <v>174</v>
      </c>
      <c r="J85" s="48" t="s">
        <v>166</v>
      </c>
      <c r="K85" s="48" t="s">
        <v>166</v>
      </c>
      <c r="L85" s="48">
        <v>2.0</v>
      </c>
      <c r="M85" s="48" t="s">
        <v>3149</v>
      </c>
      <c r="N85" s="48">
        <v>32.0</v>
      </c>
      <c r="O85" s="48" t="s">
        <v>5173</v>
      </c>
      <c r="P85" s="48">
        <v>6.0</v>
      </c>
      <c r="Q85" s="710" t="s">
        <v>4950</v>
      </c>
      <c r="R85" s="697">
        <v>2.0</v>
      </c>
      <c r="S85" s="697" t="s">
        <v>166</v>
      </c>
      <c r="T85" s="697">
        <v>6.0</v>
      </c>
      <c r="U85" s="48" t="s">
        <v>166</v>
      </c>
      <c r="V85" s="48" t="s">
        <v>166</v>
      </c>
      <c r="W85" s="48" t="s">
        <v>166</v>
      </c>
      <c r="X85" s="48" t="s">
        <v>166</v>
      </c>
      <c r="Y85" s="48" t="s">
        <v>166</v>
      </c>
      <c r="Z85" s="48" t="s">
        <v>166</v>
      </c>
      <c r="AA85" s="48" t="s">
        <v>166</v>
      </c>
      <c r="AB85" s="48">
        <f t="shared" si="1"/>
        <v>8</v>
      </c>
      <c r="AC85" s="48">
        <v>1.0</v>
      </c>
      <c r="AD85" s="48">
        <v>1.0</v>
      </c>
      <c r="AE85" s="48" t="s">
        <v>166</v>
      </c>
      <c r="AF85" s="697">
        <v>2.0</v>
      </c>
      <c r="AG85" s="48" t="s">
        <v>5140</v>
      </c>
      <c r="AH85" s="48">
        <v>1.0</v>
      </c>
      <c r="AI85" s="48">
        <v>1.0</v>
      </c>
      <c r="AJ85" s="705" t="s">
        <v>4966</v>
      </c>
      <c r="AK85" s="48" t="s">
        <v>5167</v>
      </c>
      <c r="AL85" s="48">
        <v>433.0</v>
      </c>
      <c r="AM85" s="48">
        <v>4.0</v>
      </c>
      <c r="AN85" s="48" t="s">
        <v>4977</v>
      </c>
      <c r="AO85" s="48" t="s">
        <v>166</v>
      </c>
      <c r="AP85" s="48">
        <v>3.0</v>
      </c>
      <c r="AQ85" s="48">
        <v>1.0</v>
      </c>
      <c r="AR85" s="48" t="s">
        <v>166</v>
      </c>
      <c r="AS85" s="48">
        <v>2.0</v>
      </c>
      <c r="AT85" s="48">
        <v>1.0</v>
      </c>
      <c r="AU85" s="48" t="s">
        <v>166</v>
      </c>
      <c r="AV85" s="48">
        <v>2.0</v>
      </c>
      <c r="AW85" s="48" t="s">
        <v>166</v>
      </c>
      <c r="AX85" s="48" t="s">
        <v>166</v>
      </c>
      <c r="AY85" s="48" t="s">
        <v>166</v>
      </c>
      <c r="AZ85" s="48" t="s">
        <v>166</v>
      </c>
      <c r="BA85" s="48" t="s">
        <v>170</v>
      </c>
      <c r="BB85" s="48" t="s">
        <v>5143</v>
      </c>
      <c r="BC85" s="48" t="s">
        <v>4963</v>
      </c>
      <c r="BD85" s="48">
        <v>5.0</v>
      </c>
      <c r="BE85" s="698" t="s">
        <v>170</v>
      </c>
      <c r="BF85" s="698"/>
      <c r="BG85" s="66"/>
      <c r="BH85" s="66"/>
      <c r="BI85" s="66"/>
      <c r="BJ85" s="66"/>
      <c r="BK85" s="66"/>
      <c r="BL85" s="66"/>
      <c r="BM85" s="66"/>
      <c r="BN85" s="66"/>
      <c r="BO85" s="66"/>
      <c r="BP85" s="66"/>
      <c r="BQ85" s="66"/>
      <c r="BR85" s="66"/>
      <c r="BS85" s="66"/>
    </row>
    <row r="86">
      <c r="A86" s="48" t="s">
        <v>1688</v>
      </c>
      <c r="B86" s="48" t="s">
        <v>5131</v>
      </c>
      <c r="C86" s="48" t="s">
        <v>5171</v>
      </c>
      <c r="D86" s="174" t="str">
        <f>HYPERLINK("https://www.asus.com/","Asus")</f>
        <v>Asus</v>
      </c>
      <c r="E86" s="174" t="s">
        <v>5174</v>
      </c>
      <c r="F86" s="48" t="s">
        <v>4948</v>
      </c>
      <c r="G86" s="48" t="s">
        <v>166</v>
      </c>
      <c r="H86" s="48" t="s">
        <v>174</v>
      </c>
      <c r="I86" s="48" t="s">
        <v>174</v>
      </c>
      <c r="J86" s="48" t="s">
        <v>166</v>
      </c>
      <c r="K86" s="48" t="s">
        <v>166</v>
      </c>
      <c r="L86" s="48">
        <v>2.0</v>
      </c>
      <c r="M86" s="48" t="s">
        <v>3149</v>
      </c>
      <c r="N86" s="48">
        <v>32.0</v>
      </c>
      <c r="O86" s="48" t="s">
        <v>5175</v>
      </c>
      <c r="P86" s="48">
        <v>4.0</v>
      </c>
      <c r="Q86" s="698" t="s">
        <v>5176</v>
      </c>
      <c r="R86" s="697">
        <v>4.0</v>
      </c>
      <c r="S86" s="697" t="s">
        <v>166</v>
      </c>
      <c r="T86" s="697">
        <v>3.0</v>
      </c>
      <c r="U86" s="48">
        <v>1.0</v>
      </c>
      <c r="V86" s="48" t="s">
        <v>166</v>
      </c>
      <c r="W86" s="48" t="s">
        <v>166</v>
      </c>
      <c r="X86" s="48" t="s">
        <v>166</v>
      </c>
      <c r="Y86" s="48" t="s">
        <v>166</v>
      </c>
      <c r="Z86" s="48" t="s">
        <v>166</v>
      </c>
      <c r="AA86" s="48" t="s">
        <v>166</v>
      </c>
      <c r="AB86" s="48">
        <f t="shared" si="1"/>
        <v>8</v>
      </c>
      <c r="AC86" s="48" t="s">
        <v>166</v>
      </c>
      <c r="AD86" s="48">
        <v>1.0</v>
      </c>
      <c r="AE86" s="48" t="s">
        <v>5025</v>
      </c>
      <c r="AF86" s="697">
        <v>1.0</v>
      </c>
      <c r="AG86" s="48" t="s">
        <v>5133</v>
      </c>
      <c r="AH86" s="48">
        <v>1.0</v>
      </c>
      <c r="AI86" s="48">
        <v>1.0</v>
      </c>
      <c r="AJ86" s="705" t="s">
        <v>4966</v>
      </c>
      <c r="AK86" s="48" t="s">
        <v>5156</v>
      </c>
      <c r="AL86" s="48">
        <v>867.0</v>
      </c>
      <c r="AM86" s="48">
        <v>4.1</v>
      </c>
      <c r="AN86" s="48" t="s">
        <v>4971</v>
      </c>
      <c r="AO86" s="48" t="s">
        <v>174</v>
      </c>
      <c r="AP86" s="48">
        <v>5.0</v>
      </c>
      <c r="AQ86" s="48" t="s">
        <v>166</v>
      </c>
      <c r="AR86" s="48">
        <v>1.0</v>
      </c>
      <c r="AS86" s="48">
        <v>1.0</v>
      </c>
      <c r="AT86" s="48" t="s">
        <v>166</v>
      </c>
      <c r="AU86" s="48" t="s">
        <v>166</v>
      </c>
      <c r="AV86" s="48">
        <v>3.0</v>
      </c>
      <c r="AW86" s="48">
        <v>1.0</v>
      </c>
      <c r="AX86" s="48" t="s">
        <v>166</v>
      </c>
      <c r="AY86" s="48" t="s">
        <v>174</v>
      </c>
      <c r="AZ86" s="48" t="s">
        <v>166</v>
      </c>
      <c r="BA86" s="48" t="s">
        <v>5177</v>
      </c>
      <c r="BB86" s="48" t="s">
        <v>4954</v>
      </c>
      <c r="BC86" s="48" t="s">
        <v>4963</v>
      </c>
      <c r="BD86" s="48">
        <v>6.0</v>
      </c>
      <c r="BE86" s="698" t="s">
        <v>5178</v>
      </c>
      <c r="BF86" s="698"/>
      <c r="BG86" s="66"/>
      <c r="BH86" s="66"/>
      <c r="BI86" s="66"/>
      <c r="BJ86" s="66"/>
      <c r="BK86" s="66"/>
      <c r="BL86" s="66"/>
      <c r="BM86" s="66"/>
      <c r="BN86" s="66"/>
      <c r="BO86" s="66"/>
      <c r="BP86" s="66"/>
      <c r="BQ86" s="66"/>
      <c r="BR86" s="66"/>
      <c r="BS86" s="66"/>
    </row>
    <row r="87">
      <c r="A87" s="48" t="s">
        <v>1688</v>
      </c>
      <c r="B87" s="48" t="s">
        <v>5131</v>
      </c>
      <c r="C87" s="48" t="s">
        <v>5171</v>
      </c>
      <c r="D87" s="174" t="str">
        <f>HYPERLINK("https://www.evga.com/","EVGA")</f>
        <v>EVGA</v>
      </c>
      <c r="E87" s="174" t="str">
        <f>HYPERLINK("https://asia.evga.com/products/product.aspx?pn=111-KS-E272-KR","Z270 Stinger")</f>
        <v>Z270 Stinger</v>
      </c>
      <c r="F87" s="48" t="s">
        <v>4948</v>
      </c>
      <c r="G87" s="48" t="s">
        <v>166</v>
      </c>
      <c r="H87" s="48" t="s">
        <v>174</v>
      </c>
      <c r="I87" s="48" t="s">
        <v>174</v>
      </c>
      <c r="J87" s="48" t="s">
        <v>166</v>
      </c>
      <c r="K87" s="48" t="s">
        <v>174</v>
      </c>
      <c r="L87" s="48">
        <v>2.0</v>
      </c>
      <c r="M87" s="48" t="s">
        <v>3149</v>
      </c>
      <c r="N87" s="48">
        <v>32.0</v>
      </c>
      <c r="O87" s="48" t="s">
        <v>4958</v>
      </c>
      <c r="P87" s="48">
        <v>4.0</v>
      </c>
      <c r="Q87" s="696" t="s">
        <v>5062</v>
      </c>
      <c r="R87" s="697" t="s">
        <v>166</v>
      </c>
      <c r="S87" s="697" t="s">
        <v>166</v>
      </c>
      <c r="T87" s="697">
        <v>6.0</v>
      </c>
      <c r="U87" s="48" t="s">
        <v>166</v>
      </c>
      <c r="V87" s="48">
        <v>1.0</v>
      </c>
      <c r="W87" s="48">
        <v>1.0</v>
      </c>
      <c r="X87" s="48" t="s">
        <v>166</v>
      </c>
      <c r="Y87" s="48" t="s">
        <v>166</v>
      </c>
      <c r="Z87" s="48" t="s">
        <v>166</v>
      </c>
      <c r="AA87" s="48" t="s">
        <v>166</v>
      </c>
      <c r="AB87" s="48">
        <f t="shared" si="1"/>
        <v>8</v>
      </c>
      <c r="AC87" s="48">
        <v>1.0</v>
      </c>
      <c r="AD87" s="48">
        <v>1.0</v>
      </c>
      <c r="AE87" s="48" t="s">
        <v>166</v>
      </c>
      <c r="AF87" s="697">
        <v>1.0</v>
      </c>
      <c r="AG87" s="48" t="s">
        <v>5133</v>
      </c>
      <c r="AH87" s="48">
        <v>1.0</v>
      </c>
      <c r="AI87" s="48">
        <v>1.0</v>
      </c>
      <c r="AJ87" s="705" t="s">
        <v>4966</v>
      </c>
      <c r="AK87" s="48" t="s">
        <v>5179</v>
      </c>
      <c r="AL87" s="48">
        <v>867.0</v>
      </c>
      <c r="AM87" s="48">
        <v>4.1</v>
      </c>
      <c r="AN87" s="48" t="s">
        <v>5139</v>
      </c>
      <c r="AO87" s="48" t="s">
        <v>174</v>
      </c>
      <c r="AP87" s="48">
        <v>5.0</v>
      </c>
      <c r="AQ87" s="48" t="s">
        <v>166</v>
      </c>
      <c r="AR87" s="48">
        <v>1.0</v>
      </c>
      <c r="AS87" s="48">
        <v>1.0</v>
      </c>
      <c r="AT87" s="48" t="s">
        <v>166</v>
      </c>
      <c r="AU87" s="48" t="s">
        <v>166</v>
      </c>
      <c r="AV87" s="48">
        <v>3.0</v>
      </c>
      <c r="AW87" s="48" t="s">
        <v>166</v>
      </c>
      <c r="AX87" s="48" t="s">
        <v>166</v>
      </c>
      <c r="AY87" s="48" t="s">
        <v>166</v>
      </c>
      <c r="AZ87" s="48" t="s">
        <v>166</v>
      </c>
      <c r="BA87" s="48" t="s">
        <v>170</v>
      </c>
      <c r="BB87" s="48" t="s">
        <v>5143</v>
      </c>
      <c r="BC87" s="48" t="s">
        <v>4963</v>
      </c>
      <c r="BD87" s="48">
        <v>5.0</v>
      </c>
      <c r="BE87" s="698" t="s">
        <v>170</v>
      </c>
      <c r="BF87" s="698"/>
      <c r="BG87" s="66"/>
      <c r="BH87" s="66"/>
      <c r="BI87" s="66"/>
      <c r="BJ87" s="66"/>
      <c r="BK87" s="66"/>
      <c r="BL87" s="66"/>
      <c r="BM87" s="66"/>
      <c r="BN87" s="66"/>
      <c r="BO87" s="66"/>
      <c r="BP87" s="66"/>
      <c r="BQ87" s="66"/>
      <c r="BR87" s="66"/>
      <c r="BS87" s="66"/>
    </row>
    <row r="88">
      <c r="A88" s="48" t="s">
        <v>1688</v>
      </c>
      <c r="B88" s="48" t="s">
        <v>5131</v>
      </c>
      <c r="C88" s="48" t="s">
        <v>5171</v>
      </c>
      <c r="D88" s="174" t="str">
        <f t="shared" ref="D88:D89" si="17">HYPERLINK("https://www.gigabyte.com/","Gigabyte")</f>
        <v>Gigabyte</v>
      </c>
      <c r="E88" s="174" t="str">
        <f>HYPERLINK("https://www.gigabyte.com/Motherboard/GA-Z270N-Gaming-5-rev-10#kf","GA-Z270N-Gaming 5")</f>
        <v>GA-Z270N-Gaming 5</v>
      </c>
      <c r="F88" s="48" t="s">
        <v>4948</v>
      </c>
      <c r="G88" s="48" t="s">
        <v>166</v>
      </c>
      <c r="H88" s="48" t="s">
        <v>174</v>
      </c>
      <c r="I88" s="48" t="s">
        <v>174</v>
      </c>
      <c r="J88" s="48" t="s">
        <v>166</v>
      </c>
      <c r="K88" s="48" t="s">
        <v>166</v>
      </c>
      <c r="L88" s="48">
        <v>2.0</v>
      </c>
      <c r="M88" s="48" t="s">
        <v>3149</v>
      </c>
      <c r="N88" s="48">
        <v>32.0</v>
      </c>
      <c r="O88" s="48" t="s">
        <v>5175</v>
      </c>
      <c r="P88" s="48">
        <v>4.0</v>
      </c>
      <c r="Q88" s="696" t="s">
        <v>4950</v>
      </c>
      <c r="R88" s="697" t="s">
        <v>166</v>
      </c>
      <c r="S88" s="697" t="s">
        <v>166</v>
      </c>
      <c r="T88" s="697">
        <v>4.0</v>
      </c>
      <c r="U88" s="48" t="s">
        <v>166</v>
      </c>
      <c r="V88" s="48">
        <v>1.0</v>
      </c>
      <c r="W88" s="48">
        <v>1.0</v>
      </c>
      <c r="X88" s="48" t="s">
        <v>166</v>
      </c>
      <c r="Y88" s="48" t="s">
        <v>166</v>
      </c>
      <c r="Z88" s="48" t="s">
        <v>166</v>
      </c>
      <c r="AA88" s="48" t="s">
        <v>166</v>
      </c>
      <c r="AB88" s="48">
        <f t="shared" si="1"/>
        <v>6</v>
      </c>
      <c r="AC88" s="48">
        <v>1.0</v>
      </c>
      <c r="AD88" s="48">
        <v>1.0</v>
      </c>
      <c r="AE88" s="48" t="s">
        <v>166</v>
      </c>
      <c r="AF88" s="697">
        <v>1.0</v>
      </c>
      <c r="AG88" s="48" t="s">
        <v>5133</v>
      </c>
      <c r="AH88" s="48">
        <v>1.0</v>
      </c>
      <c r="AI88" s="48">
        <v>1.0</v>
      </c>
      <c r="AJ88" s="705" t="s">
        <v>4966</v>
      </c>
      <c r="AK88" s="48" t="s">
        <v>5165</v>
      </c>
      <c r="AL88" s="48">
        <v>867.0</v>
      </c>
      <c r="AM88" s="48">
        <v>4.2</v>
      </c>
      <c r="AN88" s="48" t="s">
        <v>4952</v>
      </c>
      <c r="AO88" s="48" t="s">
        <v>166</v>
      </c>
      <c r="AP88" s="48">
        <v>3.0</v>
      </c>
      <c r="AQ88" s="48">
        <v>1.0</v>
      </c>
      <c r="AR88" s="48">
        <v>1.0</v>
      </c>
      <c r="AS88" s="48">
        <v>1.0</v>
      </c>
      <c r="AT88" s="48" t="s">
        <v>166</v>
      </c>
      <c r="AU88" s="48" t="s">
        <v>166</v>
      </c>
      <c r="AV88" s="48">
        <v>3.0</v>
      </c>
      <c r="AW88" s="48">
        <v>1.0</v>
      </c>
      <c r="AX88" s="48" t="s">
        <v>166</v>
      </c>
      <c r="AY88" s="48" t="s">
        <v>166</v>
      </c>
      <c r="AZ88" s="48" t="s">
        <v>166</v>
      </c>
      <c r="BA88" s="48" t="s">
        <v>4982</v>
      </c>
      <c r="BB88" s="48" t="s">
        <v>4954</v>
      </c>
      <c r="BC88" s="48" t="s">
        <v>4963</v>
      </c>
      <c r="BD88" s="48">
        <v>6.0</v>
      </c>
      <c r="BE88" s="698" t="s">
        <v>4994</v>
      </c>
      <c r="BF88" s="698"/>
      <c r="BG88" s="66"/>
      <c r="BH88" s="66"/>
      <c r="BI88" s="66"/>
      <c r="BJ88" s="66"/>
      <c r="BK88" s="66"/>
      <c r="BL88" s="66"/>
      <c r="BM88" s="66"/>
      <c r="BN88" s="66"/>
      <c r="BO88" s="66"/>
      <c r="BP88" s="66"/>
      <c r="BQ88" s="66"/>
      <c r="BR88" s="66"/>
      <c r="BS88" s="66"/>
    </row>
    <row r="89">
      <c r="A89" s="48" t="s">
        <v>1688</v>
      </c>
      <c r="B89" s="48" t="s">
        <v>5131</v>
      </c>
      <c r="C89" s="48" t="s">
        <v>5171</v>
      </c>
      <c r="D89" s="174" t="str">
        <f t="shared" si="17"/>
        <v>Gigabyte</v>
      </c>
      <c r="E89" s="174" t="str">
        <f>HYPERLINK("https://www.gigabyte.com/Motherboard/GA-Z270N-WIFI-rev-10#kf","GA-Z270N-WIFI")</f>
        <v>GA-Z270N-WIFI</v>
      </c>
      <c r="F89" s="48" t="s">
        <v>4948</v>
      </c>
      <c r="G89" s="48" t="s">
        <v>174</v>
      </c>
      <c r="H89" s="48" t="s">
        <v>174</v>
      </c>
      <c r="I89" s="48" t="s">
        <v>174</v>
      </c>
      <c r="J89" s="48" t="s">
        <v>166</v>
      </c>
      <c r="K89" s="48" t="s">
        <v>166</v>
      </c>
      <c r="L89" s="48">
        <v>2.0</v>
      </c>
      <c r="M89" s="48" t="s">
        <v>3149</v>
      </c>
      <c r="N89" s="48">
        <v>32.0</v>
      </c>
      <c r="O89" s="48" t="s">
        <v>4996</v>
      </c>
      <c r="P89" s="48">
        <v>6.0</v>
      </c>
      <c r="Q89" s="696" t="s">
        <v>4950</v>
      </c>
      <c r="R89" s="697" t="s">
        <v>166</v>
      </c>
      <c r="S89" s="697" t="s">
        <v>166</v>
      </c>
      <c r="T89" s="697">
        <v>4.0</v>
      </c>
      <c r="U89" s="48">
        <v>1.0</v>
      </c>
      <c r="V89" s="48" t="s">
        <v>166</v>
      </c>
      <c r="W89" s="48" t="s">
        <v>166</v>
      </c>
      <c r="X89" s="48" t="s">
        <v>166</v>
      </c>
      <c r="Y89" s="48" t="s">
        <v>166</v>
      </c>
      <c r="Z89" s="48" t="s">
        <v>166</v>
      </c>
      <c r="AA89" s="48" t="s">
        <v>166</v>
      </c>
      <c r="AB89" s="48">
        <f t="shared" si="1"/>
        <v>5</v>
      </c>
      <c r="AC89" s="48">
        <v>1.0</v>
      </c>
      <c r="AD89" s="48">
        <v>1.0</v>
      </c>
      <c r="AE89" s="48" t="s">
        <v>166</v>
      </c>
      <c r="AF89" s="697">
        <v>2.0</v>
      </c>
      <c r="AG89" s="48" t="s">
        <v>5140</v>
      </c>
      <c r="AH89" s="48">
        <v>1.0</v>
      </c>
      <c r="AI89" s="48">
        <v>1.0</v>
      </c>
      <c r="AJ89" s="705" t="s">
        <v>4966</v>
      </c>
      <c r="AK89" s="48" t="s">
        <v>5165</v>
      </c>
      <c r="AL89" s="48">
        <v>867.0</v>
      </c>
      <c r="AM89" s="48">
        <v>4.2</v>
      </c>
      <c r="AN89" s="48" t="s">
        <v>4952</v>
      </c>
      <c r="AO89" s="48" t="s">
        <v>174</v>
      </c>
      <c r="AP89" s="48">
        <v>5.0</v>
      </c>
      <c r="AQ89" s="48">
        <v>1.0</v>
      </c>
      <c r="AR89" s="48" t="s">
        <v>166</v>
      </c>
      <c r="AS89" s="48">
        <v>2.0</v>
      </c>
      <c r="AT89" s="48">
        <v>1.0</v>
      </c>
      <c r="AU89" s="48" t="s">
        <v>166</v>
      </c>
      <c r="AV89" s="48">
        <v>2.0</v>
      </c>
      <c r="AW89" s="48" t="s">
        <v>166</v>
      </c>
      <c r="AX89" s="48" t="s">
        <v>166</v>
      </c>
      <c r="AY89" s="48" t="s">
        <v>166</v>
      </c>
      <c r="AZ89" s="48" t="s">
        <v>166</v>
      </c>
      <c r="BA89" s="48" t="s">
        <v>170</v>
      </c>
      <c r="BB89" s="48" t="s">
        <v>5017</v>
      </c>
      <c r="BC89" s="48" t="s">
        <v>4963</v>
      </c>
      <c r="BD89" s="48">
        <v>4.0</v>
      </c>
      <c r="BE89" s="698" t="s">
        <v>170</v>
      </c>
      <c r="BF89" s="698"/>
      <c r="BG89" s="66"/>
      <c r="BH89" s="66"/>
      <c r="BI89" s="66"/>
      <c r="BJ89" s="66"/>
      <c r="BK89" s="66"/>
      <c r="BL89" s="66"/>
      <c r="BM89" s="66"/>
      <c r="BN89" s="66"/>
      <c r="BO89" s="66"/>
      <c r="BP89" s="66"/>
      <c r="BQ89" s="66"/>
      <c r="BR89" s="66"/>
      <c r="BS89" s="66"/>
    </row>
    <row r="90">
      <c r="A90" s="700" t="s">
        <v>1688</v>
      </c>
      <c r="B90" s="700" t="s">
        <v>5131</v>
      </c>
      <c r="C90" s="700" t="s">
        <v>5171</v>
      </c>
      <c r="D90" s="291" t="str">
        <f>HYPERLINK("https://www.msi.com/index.php","MSI")</f>
        <v>MSI</v>
      </c>
      <c r="E90" s="291" t="str">
        <f>HYPERLINK("https://www.msi.com/Motherboard/Z270I-GAMING-PRO-CARBON-AC.html","Z270I GAMING PRO CARBON AC")</f>
        <v>Z270I GAMING PRO CARBON AC</v>
      </c>
      <c r="F90" s="700" t="s">
        <v>4948</v>
      </c>
      <c r="G90" s="700" t="s">
        <v>166</v>
      </c>
      <c r="H90" s="700" t="s">
        <v>174</v>
      </c>
      <c r="I90" s="700" t="s">
        <v>174</v>
      </c>
      <c r="J90" s="700" t="s">
        <v>166</v>
      </c>
      <c r="K90" s="700" t="s">
        <v>174</v>
      </c>
      <c r="L90" s="700">
        <v>2.0</v>
      </c>
      <c r="M90" s="700" t="s">
        <v>3149</v>
      </c>
      <c r="N90" s="700">
        <v>32.0</v>
      </c>
      <c r="O90" s="700" t="s">
        <v>5180</v>
      </c>
      <c r="P90" s="700">
        <v>4.0</v>
      </c>
      <c r="Q90" s="709" t="s">
        <v>4950</v>
      </c>
      <c r="R90" s="702">
        <v>2.0</v>
      </c>
      <c r="S90" s="702" t="s">
        <v>166</v>
      </c>
      <c r="T90" s="702">
        <v>2.0</v>
      </c>
      <c r="U90" s="700" t="s">
        <v>166</v>
      </c>
      <c r="V90" s="700">
        <v>1.0</v>
      </c>
      <c r="W90" s="700">
        <v>1.0</v>
      </c>
      <c r="X90" s="700" t="s">
        <v>166</v>
      </c>
      <c r="Y90" s="700" t="s">
        <v>166</v>
      </c>
      <c r="Z90" s="700" t="s">
        <v>166</v>
      </c>
      <c r="AA90" s="700" t="s">
        <v>166</v>
      </c>
      <c r="AB90" s="700">
        <f t="shared" si="1"/>
        <v>6</v>
      </c>
      <c r="AC90" s="700">
        <v>1.0</v>
      </c>
      <c r="AD90" s="700">
        <v>1.0</v>
      </c>
      <c r="AE90" s="700" t="s">
        <v>166</v>
      </c>
      <c r="AF90" s="702">
        <v>1.0</v>
      </c>
      <c r="AG90" s="700" t="s">
        <v>5133</v>
      </c>
      <c r="AH90" s="700">
        <v>1.0</v>
      </c>
      <c r="AI90" s="700">
        <v>1.0</v>
      </c>
      <c r="AJ90" s="700" t="s">
        <v>4966</v>
      </c>
      <c r="AK90" s="700" t="s">
        <v>5165</v>
      </c>
      <c r="AL90" s="700">
        <v>867.0</v>
      </c>
      <c r="AM90" s="700">
        <v>4.2</v>
      </c>
      <c r="AN90" s="700" t="s">
        <v>4952</v>
      </c>
      <c r="AO90" s="700" t="s">
        <v>174</v>
      </c>
      <c r="AP90" s="700">
        <v>5.0</v>
      </c>
      <c r="AQ90" s="700">
        <v>1.0</v>
      </c>
      <c r="AR90" s="700">
        <v>1.0</v>
      </c>
      <c r="AS90" s="700">
        <v>1.0</v>
      </c>
      <c r="AT90" s="700" t="s">
        <v>166</v>
      </c>
      <c r="AU90" s="700" t="s">
        <v>166</v>
      </c>
      <c r="AV90" s="700">
        <v>3.0</v>
      </c>
      <c r="AW90" s="700">
        <v>1.0</v>
      </c>
      <c r="AX90" s="700" t="s">
        <v>166</v>
      </c>
      <c r="AY90" s="700" t="s">
        <v>174</v>
      </c>
      <c r="AZ90" s="700" t="s">
        <v>166</v>
      </c>
      <c r="BA90" s="700" t="s">
        <v>5181</v>
      </c>
      <c r="BB90" s="700" t="s">
        <v>5182</v>
      </c>
      <c r="BC90" s="700" t="s">
        <v>4963</v>
      </c>
      <c r="BD90" s="700">
        <v>5.0</v>
      </c>
      <c r="BE90" s="703" t="s">
        <v>5183</v>
      </c>
      <c r="BF90" s="703"/>
      <c r="BG90" s="66"/>
      <c r="BH90" s="66"/>
      <c r="BI90" s="66"/>
      <c r="BJ90" s="66"/>
      <c r="BK90" s="66"/>
      <c r="BL90" s="66"/>
      <c r="BM90" s="66"/>
      <c r="BN90" s="66"/>
      <c r="BO90" s="66"/>
      <c r="BP90" s="66"/>
      <c r="BQ90" s="66"/>
      <c r="BR90" s="66"/>
      <c r="BS90" s="66"/>
    </row>
    <row r="91">
      <c r="A91" s="705" t="s">
        <v>1688</v>
      </c>
      <c r="B91" s="705" t="s">
        <v>5184</v>
      </c>
      <c r="C91" s="705" t="s">
        <v>5185</v>
      </c>
      <c r="D91" s="282" t="s">
        <v>169</v>
      </c>
      <c r="E91" s="282" t="s">
        <v>5186</v>
      </c>
      <c r="F91" s="705" t="s">
        <v>4948</v>
      </c>
      <c r="G91" s="705" t="s">
        <v>166</v>
      </c>
      <c r="H91" s="705" t="s">
        <v>166</v>
      </c>
      <c r="I91" s="705" t="s">
        <v>166</v>
      </c>
      <c r="J91" s="705" t="s">
        <v>166</v>
      </c>
      <c r="K91" s="705" t="s">
        <v>166</v>
      </c>
      <c r="L91" s="705">
        <v>2.0</v>
      </c>
      <c r="M91" s="705" t="s">
        <v>3149</v>
      </c>
      <c r="N91" s="705">
        <v>64.0</v>
      </c>
      <c r="O91" s="705">
        <v>2666.0</v>
      </c>
      <c r="P91" s="705">
        <v>4.0</v>
      </c>
      <c r="Q91" s="711" t="s">
        <v>4950</v>
      </c>
      <c r="R91" s="707">
        <v>2.0</v>
      </c>
      <c r="S91" s="707" t="s">
        <v>166</v>
      </c>
      <c r="T91" s="707">
        <v>2.0</v>
      </c>
      <c r="U91" s="705" t="s">
        <v>166</v>
      </c>
      <c r="V91" s="705" t="s">
        <v>166</v>
      </c>
      <c r="W91" s="705" t="s">
        <v>166</v>
      </c>
      <c r="X91" s="705" t="s">
        <v>166</v>
      </c>
      <c r="Y91" s="705" t="s">
        <v>166</v>
      </c>
      <c r="Z91" s="705" t="s">
        <v>166</v>
      </c>
      <c r="AA91" s="705" t="s">
        <v>166</v>
      </c>
      <c r="AB91" s="705">
        <f t="shared" si="1"/>
        <v>4</v>
      </c>
      <c r="AC91" s="705">
        <v>1.0</v>
      </c>
      <c r="AD91" s="705">
        <v>1.0</v>
      </c>
      <c r="AE91" s="705" t="s">
        <v>166</v>
      </c>
      <c r="AF91" s="707">
        <v>1.0</v>
      </c>
      <c r="AG91" s="705" t="s">
        <v>5133</v>
      </c>
      <c r="AH91" s="705">
        <v>1.0</v>
      </c>
      <c r="AI91" s="705">
        <v>1.0</v>
      </c>
      <c r="AJ91" s="705" t="s">
        <v>4966</v>
      </c>
      <c r="AK91" s="705" t="s">
        <v>4967</v>
      </c>
      <c r="AL91" s="705">
        <v>433.0</v>
      </c>
      <c r="AM91" s="705">
        <v>4.2</v>
      </c>
      <c r="AN91" s="705" t="s">
        <v>4960</v>
      </c>
      <c r="AO91" s="705" t="s">
        <v>166</v>
      </c>
      <c r="AP91" s="705">
        <v>3.0</v>
      </c>
      <c r="AQ91" s="705">
        <v>1.0</v>
      </c>
      <c r="AR91" s="705">
        <v>1.0</v>
      </c>
      <c r="AS91" s="705">
        <v>1.0</v>
      </c>
      <c r="AT91" s="705">
        <v>1.0</v>
      </c>
      <c r="AU91" s="705" t="s">
        <v>166</v>
      </c>
      <c r="AV91" s="705">
        <v>2.0</v>
      </c>
      <c r="AW91" s="705" t="s">
        <v>166</v>
      </c>
      <c r="AX91" s="705" t="s">
        <v>166</v>
      </c>
      <c r="AY91" s="705" t="s">
        <v>166</v>
      </c>
      <c r="AZ91" s="705" t="s">
        <v>166</v>
      </c>
      <c r="BA91" s="705" t="s">
        <v>170</v>
      </c>
      <c r="BB91" s="705" t="s">
        <v>5017</v>
      </c>
      <c r="BC91" s="705" t="s">
        <v>4963</v>
      </c>
      <c r="BD91" s="705">
        <v>4.0</v>
      </c>
      <c r="BE91" s="708" t="s">
        <v>170</v>
      </c>
      <c r="BF91" s="720"/>
      <c r="BG91" s="66"/>
      <c r="BH91" s="66"/>
      <c r="BI91" s="66"/>
      <c r="BJ91" s="66"/>
      <c r="BK91" s="66"/>
      <c r="BL91" s="66"/>
      <c r="BM91" s="66"/>
      <c r="BN91" s="66"/>
      <c r="BO91" s="66"/>
      <c r="BP91" s="66"/>
      <c r="BQ91" s="66"/>
      <c r="BR91" s="66"/>
      <c r="BS91" s="66"/>
    </row>
    <row r="92">
      <c r="A92" s="48" t="s">
        <v>1688</v>
      </c>
      <c r="B92" s="48" t="s">
        <v>5184</v>
      </c>
      <c r="C92" s="48" t="s">
        <v>5185</v>
      </c>
      <c r="D92" s="174" t="str">
        <f t="shared" ref="D92:D93" si="18">HYPERLINK("https://www.asus.com/","Asus")</f>
        <v>Asus</v>
      </c>
      <c r="E92" s="174" t="s">
        <v>5187</v>
      </c>
      <c r="F92" s="48" t="s">
        <v>4948</v>
      </c>
      <c r="G92" s="48" t="s">
        <v>166</v>
      </c>
      <c r="H92" s="48" t="s">
        <v>166</v>
      </c>
      <c r="I92" s="48" t="s">
        <v>166</v>
      </c>
      <c r="J92" s="48" t="s">
        <v>166</v>
      </c>
      <c r="K92" s="48" t="s">
        <v>166</v>
      </c>
      <c r="L92" s="48">
        <v>2.0</v>
      </c>
      <c r="M92" s="48" t="s">
        <v>3149</v>
      </c>
      <c r="N92" s="48">
        <v>32.0</v>
      </c>
      <c r="O92" s="48">
        <v>2666.0</v>
      </c>
      <c r="P92" s="48">
        <v>4.0</v>
      </c>
      <c r="Q92" s="696" t="s">
        <v>4950</v>
      </c>
      <c r="R92" s="697">
        <v>2.0</v>
      </c>
      <c r="S92" s="697" t="s">
        <v>166</v>
      </c>
      <c r="T92" s="697">
        <v>2.0</v>
      </c>
      <c r="U92" s="48" t="s">
        <v>166</v>
      </c>
      <c r="V92" s="48" t="s">
        <v>166</v>
      </c>
      <c r="W92" s="48" t="s">
        <v>166</v>
      </c>
      <c r="X92" s="48" t="s">
        <v>166</v>
      </c>
      <c r="Y92" s="48" t="s">
        <v>166</v>
      </c>
      <c r="Z92" s="48" t="s">
        <v>166</v>
      </c>
      <c r="AA92" s="48" t="s">
        <v>166</v>
      </c>
      <c r="AB92" s="48">
        <f t="shared" si="1"/>
        <v>4</v>
      </c>
      <c r="AC92" s="48">
        <v>1.0</v>
      </c>
      <c r="AD92" s="48">
        <v>1.0</v>
      </c>
      <c r="AE92" s="48" t="s">
        <v>166</v>
      </c>
      <c r="AF92" s="697">
        <v>1.0</v>
      </c>
      <c r="AG92" s="48" t="s">
        <v>4959</v>
      </c>
      <c r="AH92" s="48">
        <v>1.0</v>
      </c>
      <c r="AI92" s="48">
        <v>1.0</v>
      </c>
      <c r="AJ92" s="48" t="s">
        <v>166</v>
      </c>
      <c r="AK92" s="48" t="s">
        <v>232</v>
      </c>
      <c r="AL92" s="48" t="s">
        <v>166</v>
      </c>
      <c r="AM92" s="48" t="s">
        <v>166</v>
      </c>
      <c r="AN92" s="48" t="s">
        <v>4960</v>
      </c>
      <c r="AO92" s="48" t="s">
        <v>166</v>
      </c>
      <c r="AP92" s="48">
        <v>3.0</v>
      </c>
      <c r="AQ92" s="48">
        <v>1.0</v>
      </c>
      <c r="AR92" s="48" t="s">
        <v>166</v>
      </c>
      <c r="AS92" s="48">
        <v>1.0</v>
      </c>
      <c r="AT92" s="48">
        <v>1.0</v>
      </c>
      <c r="AU92" s="48">
        <v>1.0</v>
      </c>
      <c r="AV92" s="48">
        <v>3.0</v>
      </c>
      <c r="AW92" s="48" t="s">
        <v>166</v>
      </c>
      <c r="AX92" s="48" t="s">
        <v>166</v>
      </c>
      <c r="AY92" s="48" t="s">
        <v>166</v>
      </c>
      <c r="AZ92" s="48" t="s">
        <v>166</v>
      </c>
      <c r="BA92" s="48" t="s">
        <v>170</v>
      </c>
      <c r="BB92" s="48" t="s">
        <v>5017</v>
      </c>
      <c r="BC92" s="48" t="s">
        <v>4963</v>
      </c>
      <c r="BD92" s="48">
        <v>4.0</v>
      </c>
      <c r="BE92" s="698" t="s">
        <v>170</v>
      </c>
      <c r="BF92" s="699"/>
      <c r="BG92" s="66"/>
      <c r="BH92" s="66"/>
      <c r="BI92" s="66"/>
      <c r="BJ92" s="66"/>
      <c r="BK92" s="66"/>
      <c r="BL92" s="66"/>
      <c r="BM92" s="66"/>
      <c r="BN92" s="66"/>
      <c r="BO92" s="66"/>
      <c r="BP92" s="66"/>
      <c r="BQ92" s="66"/>
      <c r="BR92" s="66"/>
      <c r="BS92" s="66"/>
    </row>
    <row r="93">
      <c r="A93" s="48" t="s">
        <v>1688</v>
      </c>
      <c r="B93" s="48" t="s">
        <v>5184</v>
      </c>
      <c r="C93" s="48" t="s">
        <v>5185</v>
      </c>
      <c r="D93" s="174" t="str">
        <f t="shared" si="18"/>
        <v>Asus</v>
      </c>
      <c r="E93" s="174" t="s">
        <v>5188</v>
      </c>
      <c r="F93" s="48" t="s">
        <v>4948</v>
      </c>
      <c r="G93" s="48" t="s">
        <v>166</v>
      </c>
      <c r="H93" s="48" t="s">
        <v>166</v>
      </c>
      <c r="I93" s="48" t="s">
        <v>166</v>
      </c>
      <c r="J93" s="48" t="s">
        <v>166</v>
      </c>
      <c r="K93" s="48" t="s">
        <v>166</v>
      </c>
      <c r="L93" s="48">
        <v>2.0</v>
      </c>
      <c r="M93" s="48" t="s">
        <v>3149</v>
      </c>
      <c r="N93" s="48">
        <v>32.0</v>
      </c>
      <c r="O93" s="48">
        <v>2666.0</v>
      </c>
      <c r="P93" s="48">
        <v>4.0</v>
      </c>
      <c r="Q93" s="696" t="s">
        <v>4950</v>
      </c>
      <c r="R93" s="697">
        <v>2.0</v>
      </c>
      <c r="S93" s="697" t="s">
        <v>166</v>
      </c>
      <c r="T93" s="697">
        <v>2.0</v>
      </c>
      <c r="U93" s="48" t="s">
        <v>166</v>
      </c>
      <c r="V93" s="48" t="s">
        <v>166</v>
      </c>
      <c r="W93" s="48" t="s">
        <v>166</v>
      </c>
      <c r="X93" s="48" t="s">
        <v>166</v>
      </c>
      <c r="Y93" s="48" t="s">
        <v>166</v>
      </c>
      <c r="Z93" s="48" t="s">
        <v>166</v>
      </c>
      <c r="AA93" s="48" t="s">
        <v>166</v>
      </c>
      <c r="AB93" s="48">
        <f t="shared" si="1"/>
        <v>4</v>
      </c>
      <c r="AC93" s="48">
        <v>1.0</v>
      </c>
      <c r="AD93" s="48">
        <v>1.0</v>
      </c>
      <c r="AE93" s="48" t="s">
        <v>166</v>
      </c>
      <c r="AF93" s="697">
        <v>1.0</v>
      </c>
      <c r="AG93" s="48" t="s">
        <v>4959</v>
      </c>
      <c r="AH93" s="48">
        <v>1.0</v>
      </c>
      <c r="AI93" s="48">
        <v>1.0</v>
      </c>
      <c r="AJ93" s="48" t="s">
        <v>166</v>
      </c>
      <c r="AK93" s="48" t="s">
        <v>232</v>
      </c>
      <c r="AL93" s="48" t="s">
        <v>166</v>
      </c>
      <c r="AM93" s="48" t="s">
        <v>166</v>
      </c>
      <c r="AN93" s="48" t="s">
        <v>4960</v>
      </c>
      <c r="AO93" s="48" t="s">
        <v>166</v>
      </c>
      <c r="AP93" s="48">
        <v>3.0</v>
      </c>
      <c r="AQ93" s="48">
        <v>1.0</v>
      </c>
      <c r="AR93" s="48" t="s">
        <v>166</v>
      </c>
      <c r="AS93" s="48">
        <v>1.0</v>
      </c>
      <c r="AT93" s="48">
        <v>1.0</v>
      </c>
      <c r="AU93" s="48">
        <v>1.0</v>
      </c>
      <c r="AV93" s="48">
        <v>3.0</v>
      </c>
      <c r="AW93" s="48" t="s">
        <v>166</v>
      </c>
      <c r="AX93" s="48" t="s">
        <v>166</v>
      </c>
      <c r="AY93" s="48" t="s">
        <v>166</v>
      </c>
      <c r="AZ93" s="48" t="s">
        <v>166</v>
      </c>
      <c r="BA93" s="48" t="s">
        <v>170</v>
      </c>
      <c r="BB93" s="48" t="s">
        <v>5017</v>
      </c>
      <c r="BC93" s="48" t="s">
        <v>4963</v>
      </c>
      <c r="BD93" s="48">
        <v>4.0</v>
      </c>
      <c r="BE93" s="698" t="s">
        <v>170</v>
      </c>
      <c r="BF93" s="699"/>
      <c r="BG93" s="66"/>
      <c r="BH93" s="66"/>
      <c r="BI93" s="66"/>
      <c r="BJ93" s="66"/>
      <c r="BK93" s="66"/>
      <c r="BL93" s="66"/>
      <c r="BM93" s="66"/>
      <c r="BN93" s="66"/>
      <c r="BO93" s="66"/>
      <c r="BP93" s="66"/>
      <c r="BQ93" s="66"/>
      <c r="BR93" s="66"/>
      <c r="BS93" s="66"/>
    </row>
    <row r="94">
      <c r="A94" s="48" t="s">
        <v>1688</v>
      </c>
      <c r="B94" s="48" t="s">
        <v>5184</v>
      </c>
      <c r="C94" s="48" t="s">
        <v>5185</v>
      </c>
      <c r="D94" s="174" t="str">
        <f>HYPERLINK("https://www.gigabyte.com/","Gigabyte")</f>
        <v>Gigabyte</v>
      </c>
      <c r="E94" s="174" t="str">
        <f>HYPERLINK("https://www.gigabyte.com/Motherboard/H310N-rev-10#kf","H310N")</f>
        <v>H310N</v>
      </c>
      <c r="F94" s="48" t="s">
        <v>4948</v>
      </c>
      <c r="G94" s="48" t="s">
        <v>166</v>
      </c>
      <c r="H94" s="48" t="s">
        <v>166</v>
      </c>
      <c r="I94" s="48" t="s">
        <v>166</v>
      </c>
      <c r="J94" s="48" t="s">
        <v>166</v>
      </c>
      <c r="K94" s="48" t="s">
        <v>166</v>
      </c>
      <c r="L94" s="48">
        <v>2.0</v>
      </c>
      <c r="M94" s="48" t="s">
        <v>3149</v>
      </c>
      <c r="N94" s="48">
        <v>32.0</v>
      </c>
      <c r="O94" s="48">
        <v>2666.0</v>
      </c>
      <c r="P94" s="48">
        <v>4.0</v>
      </c>
      <c r="Q94" s="696" t="s">
        <v>4950</v>
      </c>
      <c r="R94" s="697">
        <v>2.0</v>
      </c>
      <c r="S94" s="697" t="s">
        <v>166</v>
      </c>
      <c r="T94" s="697">
        <v>2.0</v>
      </c>
      <c r="U94" s="48" t="s">
        <v>166</v>
      </c>
      <c r="V94" s="48" t="s">
        <v>166</v>
      </c>
      <c r="W94" s="48" t="s">
        <v>166</v>
      </c>
      <c r="X94" s="48" t="s">
        <v>166</v>
      </c>
      <c r="Y94" s="48" t="s">
        <v>166</v>
      </c>
      <c r="Z94" s="48" t="s">
        <v>166</v>
      </c>
      <c r="AA94" s="48" t="s">
        <v>166</v>
      </c>
      <c r="AB94" s="48">
        <f t="shared" si="1"/>
        <v>4</v>
      </c>
      <c r="AC94" s="48">
        <v>1.0</v>
      </c>
      <c r="AD94" s="48">
        <v>1.0</v>
      </c>
      <c r="AE94" s="48" t="s">
        <v>166</v>
      </c>
      <c r="AF94" s="697">
        <v>1.0</v>
      </c>
      <c r="AG94" s="48" t="s">
        <v>4959</v>
      </c>
      <c r="AH94" s="48">
        <v>1.0</v>
      </c>
      <c r="AI94" s="48">
        <v>1.0</v>
      </c>
      <c r="AJ94" s="48" t="s">
        <v>166</v>
      </c>
      <c r="AK94" s="48" t="s">
        <v>232</v>
      </c>
      <c r="AL94" s="48" t="s">
        <v>166</v>
      </c>
      <c r="AM94" s="48" t="s">
        <v>166</v>
      </c>
      <c r="AN94" s="48" t="s">
        <v>4960</v>
      </c>
      <c r="AO94" s="48" t="s">
        <v>166</v>
      </c>
      <c r="AP94" s="48">
        <v>3.0</v>
      </c>
      <c r="AQ94" s="48">
        <v>2.0</v>
      </c>
      <c r="AR94" s="48" t="s">
        <v>166</v>
      </c>
      <c r="AS94" s="48">
        <v>1.0</v>
      </c>
      <c r="AT94" s="48">
        <v>1.0</v>
      </c>
      <c r="AU94" s="48">
        <v>1.0</v>
      </c>
      <c r="AV94" s="48">
        <v>2.0</v>
      </c>
      <c r="AW94" s="48" t="s">
        <v>166</v>
      </c>
      <c r="AX94" s="48" t="s">
        <v>166</v>
      </c>
      <c r="AY94" s="48" t="s">
        <v>166</v>
      </c>
      <c r="AZ94" s="48" t="s">
        <v>166</v>
      </c>
      <c r="BA94" s="48" t="s">
        <v>170</v>
      </c>
      <c r="BB94" s="48" t="s">
        <v>4962</v>
      </c>
      <c r="BC94" s="48" t="s">
        <v>4963</v>
      </c>
      <c r="BD94" s="48">
        <v>4.0</v>
      </c>
      <c r="BE94" s="698" t="s">
        <v>170</v>
      </c>
      <c r="BF94" s="699"/>
      <c r="BG94" s="66"/>
      <c r="BH94" s="66"/>
      <c r="BI94" s="66"/>
      <c r="BJ94" s="66"/>
      <c r="BK94" s="66"/>
      <c r="BL94" s="66"/>
      <c r="BM94" s="66"/>
      <c r="BN94" s="66"/>
      <c r="BO94" s="66"/>
      <c r="BP94" s="66"/>
      <c r="BQ94" s="66"/>
      <c r="BR94" s="66"/>
      <c r="BS94" s="66"/>
    </row>
    <row r="95">
      <c r="A95" s="700" t="s">
        <v>1688</v>
      </c>
      <c r="B95" s="700" t="s">
        <v>5184</v>
      </c>
      <c r="C95" s="700" t="s">
        <v>5185</v>
      </c>
      <c r="D95" s="291" t="str">
        <f>HYPERLINK("https://www.msi.com/index.php","MSI")</f>
        <v>MSI</v>
      </c>
      <c r="E95" s="291" t="str">
        <f>HYPERLINK("https://www.msi.com/Motherboard/H310I-PRO.html","H310I PRO")</f>
        <v>H310I PRO</v>
      </c>
      <c r="F95" s="700" t="s">
        <v>4948</v>
      </c>
      <c r="G95" s="700" t="s">
        <v>166</v>
      </c>
      <c r="H95" s="700" t="s">
        <v>166</v>
      </c>
      <c r="I95" s="700" t="s">
        <v>166</v>
      </c>
      <c r="J95" s="700" t="s">
        <v>166</v>
      </c>
      <c r="K95" s="700" t="s">
        <v>166</v>
      </c>
      <c r="L95" s="700">
        <v>2.0</v>
      </c>
      <c r="M95" s="700" t="s">
        <v>3149</v>
      </c>
      <c r="N95" s="700">
        <v>32.0</v>
      </c>
      <c r="O95" s="700">
        <v>2666.0</v>
      </c>
      <c r="P95" s="700">
        <v>4.0</v>
      </c>
      <c r="Q95" s="701" t="s">
        <v>4950</v>
      </c>
      <c r="R95" s="702">
        <v>3.0</v>
      </c>
      <c r="S95" s="702" t="s">
        <v>166</v>
      </c>
      <c r="T95" s="702">
        <v>2.0</v>
      </c>
      <c r="U95" s="700" t="s">
        <v>166</v>
      </c>
      <c r="V95" s="700" t="s">
        <v>166</v>
      </c>
      <c r="W95" s="700" t="s">
        <v>166</v>
      </c>
      <c r="X95" s="700" t="s">
        <v>166</v>
      </c>
      <c r="Y95" s="700" t="s">
        <v>166</v>
      </c>
      <c r="Z95" s="700" t="s">
        <v>166</v>
      </c>
      <c r="AA95" s="700" t="s">
        <v>166</v>
      </c>
      <c r="AB95" s="700">
        <f t="shared" si="1"/>
        <v>5</v>
      </c>
      <c r="AC95" s="700">
        <v>1.0</v>
      </c>
      <c r="AD95" s="700">
        <v>1.0</v>
      </c>
      <c r="AE95" s="700" t="s">
        <v>166</v>
      </c>
      <c r="AF95" s="702">
        <v>1.0</v>
      </c>
      <c r="AG95" s="700" t="s">
        <v>4959</v>
      </c>
      <c r="AH95" s="700">
        <v>1.0</v>
      </c>
      <c r="AI95" s="700">
        <v>1.0</v>
      </c>
      <c r="AJ95" s="700" t="s">
        <v>166</v>
      </c>
      <c r="AK95" s="700" t="s">
        <v>232</v>
      </c>
      <c r="AL95" s="700" t="s">
        <v>166</v>
      </c>
      <c r="AM95" s="700" t="s">
        <v>166</v>
      </c>
      <c r="AN95" s="700" t="s">
        <v>4960</v>
      </c>
      <c r="AO95" s="700" t="s">
        <v>166</v>
      </c>
      <c r="AP95" s="700">
        <v>3.0</v>
      </c>
      <c r="AQ95" s="700">
        <v>1.0</v>
      </c>
      <c r="AR95" s="700">
        <v>1.0</v>
      </c>
      <c r="AS95" s="700" t="s">
        <v>166</v>
      </c>
      <c r="AT95" s="700">
        <v>1.0</v>
      </c>
      <c r="AU95" s="700" t="s">
        <v>166</v>
      </c>
      <c r="AV95" s="700">
        <v>2.0</v>
      </c>
      <c r="AW95" s="700" t="s">
        <v>166</v>
      </c>
      <c r="AX95" s="700" t="s">
        <v>166</v>
      </c>
      <c r="AY95" s="700" t="s">
        <v>174</v>
      </c>
      <c r="AZ95" s="700" t="s">
        <v>166</v>
      </c>
      <c r="BA95" s="700" t="s">
        <v>170</v>
      </c>
      <c r="BB95" s="700" t="s">
        <v>170</v>
      </c>
      <c r="BC95" s="700" t="s">
        <v>170</v>
      </c>
      <c r="BD95" s="700" t="s">
        <v>170</v>
      </c>
      <c r="BE95" s="703" t="s">
        <v>170</v>
      </c>
      <c r="BF95" s="704"/>
      <c r="BG95" s="66"/>
      <c r="BH95" s="66"/>
      <c r="BI95" s="66"/>
      <c r="BJ95" s="66"/>
      <c r="BK95" s="66"/>
      <c r="BL95" s="66"/>
      <c r="BM95" s="66"/>
      <c r="BN95" s="66"/>
      <c r="BO95" s="66"/>
      <c r="BP95" s="66"/>
      <c r="BQ95" s="66"/>
      <c r="BR95" s="66"/>
      <c r="BS95" s="66"/>
    </row>
    <row r="96">
      <c r="A96" s="705" t="s">
        <v>1688</v>
      </c>
      <c r="B96" s="705" t="s">
        <v>5184</v>
      </c>
      <c r="C96" s="705" t="s">
        <v>5189</v>
      </c>
      <c r="D96" s="282" t="s">
        <v>169</v>
      </c>
      <c r="E96" s="282" t="str">
        <f>HYPERLINK("https://www.asrock.com/mb/Intel/B360M-ITXac/","B360M-ITX/ac")</f>
        <v>B360M-ITX/ac</v>
      </c>
      <c r="F96" s="705" t="s">
        <v>4948</v>
      </c>
      <c r="G96" s="705" t="s">
        <v>166</v>
      </c>
      <c r="H96" s="705" t="s">
        <v>166</v>
      </c>
      <c r="I96" s="705" t="s">
        <v>166</v>
      </c>
      <c r="J96" s="705" t="s">
        <v>166</v>
      </c>
      <c r="K96" s="705" t="s">
        <v>166</v>
      </c>
      <c r="L96" s="705">
        <v>2.0</v>
      </c>
      <c r="M96" s="705" t="s">
        <v>3149</v>
      </c>
      <c r="N96" s="705">
        <v>32.0</v>
      </c>
      <c r="O96" s="705">
        <v>2666.0</v>
      </c>
      <c r="P96" s="705">
        <v>4.0</v>
      </c>
      <c r="Q96" s="711" t="s">
        <v>4950</v>
      </c>
      <c r="R96" s="707" t="s">
        <v>166</v>
      </c>
      <c r="S96" s="707" t="s">
        <v>166</v>
      </c>
      <c r="T96" s="707">
        <v>2.0</v>
      </c>
      <c r="U96" s="705" t="s">
        <v>166</v>
      </c>
      <c r="V96" s="705">
        <v>2.0</v>
      </c>
      <c r="W96" s="705" t="s">
        <v>166</v>
      </c>
      <c r="X96" s="705" t="s">
        <v>166</v>
      </c>
      <c r="Y96" s="705" t="s">
        <v>166</v>
      </c>
      <c r="Z96" s="705" t="s">
        <v>166</v>
      </c>
      <c r="AA96" s="705" t="s">
        <v>166</v>
      </c>
      <c r="AB96" s="705">
        <f t="shared" si="1"/>
        <v>4</v>
      </c>
      <c r="AC96" s="705">
        <v>1.0</v>
      </c>
      <c r="AD96" s="705">
        <v>1.0</v>
      </c>
      <c r="AE96" s="705" t="s">
        <v>166</v>
      </c>
      <c r="AF96" s="707">
        <v>1.0</v>
      </c>
      <c r="AG96" s="705" t="s">
        <v>5133</v>
      </c>
      <c r="AH96" s="705">
        <v>1.0</v>
      </c>
      <c r="AI96" s="705">
        <v>1.0</v>
      </c>
      <c r="AJ96" s="705" t="s">
        <v>4966</v>
      </c>
      <c r="AK96" s="705" t="s">
        <v>4967</v>
      </c>
      <c r="AL96" s="705">
        <v>433.0</v>
      </c>
      <c r="AM96" s="705">
        <v>4.2</v>
      </c>
      <c r="AN96" s="705" t="s">
        <v>4960</v>
      </c>
      <c r="AO96" s="705" t="s">
        <v>166</v>
      </c>
      <c r="AP96" s="705">
        <v>3.0</v>
      </c>
      <c r="AQ96" s="705">
        <v>1.0</v>
      </c>
      <c r="AR96" s="705">
        <v>1.0</v>
      </c>
      <c r="AS96" s="705">
        <v>1.0</v>
      </c>
      <c r="AT96" s="705">
        <v>1.0</v>
      </c>
      <c r="AU96" s="705" t="s">
        <v>166</v>
      </c>
      <c r="AV96" s="705">
        <v>3.0</v>
      </c>
      <c r="AW96" s="705" t="s">
        <v>166</v>
      </c>
      <c r="AX96" s="705" t="s">
        <v>166</v>
      </c>
      <c r="AY96" s="705" t="s">
        <v>166</v>
      </c>
      <c r="AZ96" s="705" t="s">
        <v>166</v>
      </c>
      <c r="BA96" s="705" t="s">
        <v>170</v>
      </c>
      <c r="BB96" s="705" t="s">
        <v>5017</v>
      </c>
      <c r="BC96" s="705" t="s">
        <v>4963</v>
      </c>
      <c r="BD96" s="705">
        <v>4.0</v>
      </c>
      <c r="BE96" s="708" t="s">
        <v>170</v>
      </c>
      <c r="BF96" s="720"/>
      <c r="BG96" s="66"/>
      <c r="BH96" s="66"/>
      <c r="BI96" s="66"/>
      <c r="BJ96" s="66"/>
      <c r="BK96" s="66"/>
      <c r="BL96" s="66"/>
      <c r="BM96" s="66"/>
      <c r="BN96" s="66"/>
      <c r="BO96" s="66"/>
      <c r="BP96" s="66"/>
      <c r="BQ96" s="66"/>
      <c r="BR96" s="66"/>
      <c r="BS96" s="66"/>
    </row>
    <row r="97">
      <c r="A97" s="48" t="s">
        <v>1688</v>
      </c>
      <c r="B97" s="48" t="s">
        <v>5184</v>
      </c>
      <c r="C97" s="48" t="s">
        <v>5189</v>
      </c>
      <c r="D97" s="174" t="str">
        <f>HYPERLINK("https://www.asus.com/","Asus")</f>
        <v>Asus</v>
      </c>
      <c r="E97" s="174" t="s">
        <v>5190</v>
      </c>
      <c r="F97" s="48" t="s">
        <v>4948</v>
      </c>
      <c r="G97" s="48" t="s">
        <v>166</v>
      </c>
      <c r="H97" s="48" t="s">
        <v>166</v>
      </c>
      <c r="I97" s="48" t="s">
        <v>166</v>
      </c>
      <c r="J97" s="48" t="s">
        <v>166</v>
      </c>
      <c r="K97" s="48" t="s">
        <v>166</v>
      </c>
      <c r="L97" s="48">
        <v>2.0</v>
      </c>
      <c r="M97" s="48" t="s">
        <v>3149</v>
      </c>
      <c r="N97" s="48">
        <v>32.0</v>
      </c>
      <c r="O97" s="48">
        <v>2666.0</v>
      </c>
      <c r="P97" s="48">
        <v>4.0</v>
      </c>
      <c r="Q97" s="698" t="s">
        <v>5191</v>
      </c>
      <c r="R97" s="697">
        <v>2.0</v>
      </c>
      <c r="S97" s="697" t="s">
        <v>166</v>
      </c>
      <c r="T97" s="697">
        <v>1.0</v>
      </c>
      <c r="U97" s="48">
        <v>1.0</v>
      </c>
      <c r="V97" s="48">
        <v>2.0</v>
      </c>
      <c r="W97" s="48" t="s">
        <v>166</v>
      </c>
      <c r="X97" s="48" t="s">
        <v>166</v>
      </c>
      <c r="Y97" s="48" t="s">
        <v>166</v>
      </c>
      <c r="Z97" s="48" t="s">
        <v>166</v>
      </c>
      <c r="AA97" s="48" t="s">
        <v>166</v>
      </c>
      <c r="AB97" s="48">
        <f t="shared" si="1"/>
        <v>6</v>
      </c>
      <c r="AC97" s="48">
        <v>1.0</v>
      </c>
      <c r="AD97" s="48">
        <v>1.0</v>
      </c>
      <c r="AE97" s="48" t="s">
        <v>166</v>
      </c>
      <c r="AF97" s="697">
        <v>1.0</v>
      </c>
      <c r="AG97" s="48" t="s">
        <v>5133</v>
      </c>
      <c r="AH97" s="48">
        <v>1.0</v>
      </c>
      <c r="AI97" s="48">
        <v>1.0</v>
      </c>
      <c r="AJ97" s="705" t="s">
        <v>4966</v>
      </c>
      <c r="AK97" s="48" t="s">
        <v>5192</v>
      </c>
      <c r="AL97" s="48">
        <v>1733.0</v>
      </c>
      <c r="AM97" s="48">
        <v>5.0</v>
      </c>
      <c r="AN97" s="48" t="s">
        <v>4971</v>
      </c>
      <c r="AO97" s="48" t="s">
        <v>174</v>
      </c>
      <c r="AP97" s="48">
        <v>5.0</v>
      </c>
      <c r="AQ97" s="48" t="s">
        <v>166</v>
      </c>
      <c r="AR97" s="48">
        <v>1.0</v>
      </c>
      <c r="AS97" s="48">
        <v>1.0</v>
      </c>
      <c r="AT97" s="48" t="s">
        <v>166</v>
      </c>
      <c r="AU97" s="48" t="s">
        <v>166</v>
      </c>
      <c r="AV97" s="48">
        <v>3.0</v>
      </c>
      <c r="AW97" s="48" t="s">
        <v>166</v>
      </c>
      <c r="AX97" s="48">
        <v>1.0</v>
      </c>
      <c r="AY97" s="48" t="s">
        <v>174</v>
      </c>
      <c r="AZ97" s="48" t="s">
        <v>166</v>
      </c>
      <c r="BA97" s="48" t="s">
        <v>5177</v>
      </c>
      <c r="BB97" s="48" t="s">
        <v>4962</v>
      </c>
      <c r="BC97" s="48" t="s">
        <v>4963</v>
      </c>
      <c r="BD97" s="48">
        <v>4.0</v>
      </c>
      <c r="BE97" s="698" t="s">
        <v>170</v>
      </c>
      <c r="BF97" s="699"/>
      <c r="BG97" s="66"/>
      <c r="BH97" s="66"/>
      <c r="BI97" s="66"/>
      <c r="BJ97" s="66"/>
      <c r="BK97" s="66"/>
      <c r="BL97" s="66"/>
      <c r="BM97" s="66"/>
      <c r="BN97" s="66"/>
      <c r="BO97" s="66"/>
      <c r="BP97" s="66"/>
      <c r="BQ97" s="66"/>
      <c r="BR97" s="66"/>
      <c r="BS97" s="66"/>
    </row>
    <row r="98">
      <c r="A98" s="48" t="s">
        <v>1688</v>
      </c>
      <c r="B98" s="48" t="s">
        <v>5184</v>
      </c>
      <c r="C98" s="48" t="s">
        <v>5189</v>
      </c>
      <c r="D98" s="174" t="str">
        <f t="shared" ref="D98:D100" si="19">HYPERLINK("https://www.gigabyte.com/","Gigabyte")</f>
        <v>Gigabyte</v>
      </c>
      <c r="E98" s="174" t="str">
        <f>HYPERLINK("https://www.gigabyte.com/Motherboard/B360N-AORUS-GAMING-WIFI-rev-10#kf","B360N AORUS GAMING WIFI")</f>
        <v>B360N AORUS GAMING WIFI</v>
      </c>
      <c r="F98" s="48" t="s">
        <v>4948</v>
      </c>
      <c r="G98" s="48" t="s">
        <v>166</v>
      </c>
      <c r="H98" s="48" t="s">
        <v>166</v>
      </c>
      <c r="I98" s="48" t="s">
        <v>166</v>
      </c>
      <c r="J98" s="48" t="s">
        <v>166</v>
      </c>
      <c r="K98" s="48" t="s">
        <v>166</v>
      </c>
      <c r="L98" s="48">
        <v>2.0</v>
      </c>
      <c r="M98" s="48" t="s">
        <v>3149</v>
      </c>
      <c r="N98" s="48">
        <v>32.0</v>
      </c>
      <c r="O98" s="48">
        <v>2666.0</v>
      </c>
      <c r="P98" s="48">
        <v>4.0</v>
      </c>
      <c r="Q98" s="696" t="s">
        <v>4950</v>
      </c>
      <c r="R98" s="697">
        <v>2.0</v>
      </c>
      <c r="S98" s="697" t="s">
        <v>166</v>
      </c>
      <c r="T98" s="697">
        <v>2.0</v>
      </c>
      <c r="U98" s="48">
        <v>1.0</v>
      </c>
      <c r="V98" s="48">
        <v>1.0</v>
      </c>
      <c r="W98" s="48" t="s">
        <v>166</v>
      </c>
      <c r="X98" s="48" t="s">
        <v>166</v>
      </c>
      <c r="Y98" s="48" t="s">
        <v>166</v>
      </c>
      <c r="Z98" s="48" t="s">
        <v>166</v>
      </c>
      <c r="AA98" s="48" t="s">
        <v>166</v>
      </c>
      <c r="AB98" s="48">
        <f t="shared" si="1"/>
        <v>6</v>
      </c>
      <c r="AC98" s="48">
        <v>1.0</v>
      </c>
      <c r="AD98" s="48">
        <v>1.0</v>
      </c>
      <c r="AE98" s="48" t="s">
        <v>166</v>
      </c>
      <c r="AF98" s="697">
        <v>1.0</v>
      </c>
      <c r="AG98" s="48" t="s">
        <v>5133</v>
      </c>
      <c r="AH98" s="48">
        <v>1.0</v>
      </c>
      <c r="AI98" s="48">
        <v>1.0</v>
      </c>
      <c r="AJ98" s="705" t="s">
        <v>4966</v>
      </c>
      <c r="AK98" s="48" t="s">
        <v>170</v>
      </c>
      <c r="AL98" s="48">
        <v>433.0</v>
      </c>
      <c r="AM98" s="48">
        <v>5.0</v>
      </c>
      <c r="AN98" s="48" t="s">
        <v>4977</v>
      </c>
      <c r="AO98" s="48" t="s">
        <v>166</v>
      </c>
      <c r="AP98" s="48">
        <v>6.0</v>
      </c>
      <c r="AQ98" s="48">
        <v>1.0</v>
      </c>
      <c r="AR98" s="48">
        <v>1.0</v>
      </c>
      <c r="AS98" s="48">
        <v>1.0</v>
      </c>
      <c r="AT98" s="48" t="s">
        <v>166</v>
      </c>
      <c r="AU98" s="48" t="s">
        <v>166</v>
      </c>
      <c r="AV98" s="48">
        <v>3.0</v>
      </c>
      <c r="AW98" s="48">
        <v>1.0</v>
      </c>
      <c r="AX98" s="48">
        <v>1.0</v>
      </c>
      <c r="AY98" s="48" t="s">
        <v>166</v>
      </c>
      <c r="AZ98" s="48" t="s">
        <v>166</v>
      </c>
      <c r="BA98" s="48" t="s">
        <v>170</v>
      </c>
      <c r="BB98" s="48" t="s">
        <v>170</v>
      </c>
      <c r="BC98" s="48" t="s">
        <v>170</v>
      </c>
      <c r="BD98" s="48" t="s">
        <v>170</v>
      </c>
      <c r="BE98" s="698" t="s">
        <v>170</v>
      </c>
      <c r="BF98" s="699"/>
      <c r="BG98" s="66"/>
      <c r="BH98" s="66"/>
      <c r="BI98" s="66"/>
      <c r="BJ98" s="66"/>
      <c r="BK98" s="66"/>
      <c r="BL98" s="66"/>
      <c r="BM98" s="66"/>
      <c r="BN98" s="66"/>
      <c r="BO98" s="66"/>
      <c r="BP98" s="66"/>
      <c r="BQ98" s="66"/>
      <c r="BR98" s="66"/>
      <c r="BS98" s="66"/>
    </row>
    <row r="99">
      <c r="A99" s="48" t="s">
        <v>1688</v>
      </c>
      <c r="B99" s="48" t="s">
        <v>5184</v>
      </c>
      <c r="C99" s="48" t="s">
        <v>5189</v>
      </c>
      <c r="D99" s="174" t="str">
        <f t="shared" si="19"/>
        <v>Gigabyte</v>
      </c>
      <c r="E99" s="174" t="str">
        <f>HYPERLINK("https://www.gigabyte.com/us/Motherboard/B360N-GSM-rev-10#kf","B360N GSM")</f>
        <v>B360N GSM</v>
      </c>
      <c r="F99" s="48" t="s">
        <v>4948</v>
      </c>
      <c r="G99" s="48" t="s">
        <v>166</v>
      </c>
      <c r="H99" s="48" t="s">
        <v>166</v>
      </c>
      <c r="I99" s="48" t="s">
        <v>166</v>
      </c>
      <c r="J99" s="48" t="s">
        <v>166</v>
      </c>
      <c r="K99" s="48" t="s">
        <v>166</v>
      </c>
      <c r="L99" s="48">
        <v>2.0</v>
      </c>
      <c r="M99" s="48" t="s">
        <v>3149</v>
      </c>
      <c r="N99" s="48">
        <v>32.0</v>
      </c>
      <c r="O99" s="48">
        <v>2666.0</v>
      </c>
      <c r="P99" s="48">
        <v>4.0</v>
      </c>
      <c r="Q99" s="696" t="s">
        <v>4950</v>
      </c>
      <c r="R99" s="697">
        <v>2.0</v>
      </c>
      <c r="S99" s="697" t="s">
        <v>166</v>
      </c>
      <c r="T99" s="697">
        <v>4.0</v>
      </c>
      <c r="U99" s="48" t="s">
        <v>166</v>
      </c>
      <c r="V99" s="48" t="s">
        <v>166</v>
      </c>
      <c r="W99" s="48" t="s">
        <v>166</v>
      </c>
      <c r="X99" s="48" t="s">
        <v>166</v>
      </c>
      <c r="Y99" s="48" t="s">
        <v>166</v>
      </c>
      <c r="Z99" s="48" t="s">
        <v>166</v>
      </c>
      <c r="AA99" s="48" t="s">
        <v>166</v>
      </c>
      <c r="AB99" s="48">
        <f t="shared" si="1"/>
        <v>6</v>
      </c>
      <c r="AC99" s="48">
        <v>1.0</v>
      </c>
      <c r="AD99" s="48">
        <v>1.0</v>
      </c>
      <c r="AE99" s="48" t="s">
        <v>166</v>
      </c>
      <c r="AF99" s="697">
        <v>2.0</v>
      </c>
      <c r="AG99" s="48" t="s">
        <v>5140</v>
      </c>
      <c r="AH99" s="48">
        <v>1.0</v>
      </c>
      <c r="AI99" s="48">
        <v>1.0</v>
      </c>
      <c r="AJ99" s="48" t="s">
        <v>166</v>
      </c>
      <c r="AK99" s="48" t="s">
        <v>232</v>
      </c>
      <c r="AL99" s="48" t="s">
        <v>166</v>
      </c>
      <c r="AM99" s="48" t="s">
        <v>166</v>
      </c>
      <c r="AN99" s="48" t="s">
        <v>4960</v>
      </c>
      <c r="AO99" s="48" t="s">
        <v>166</v>
      </c>
      <c r="AP99" s="48">
        <v>6.0</v>
      </c>
      <c r="AQ99" s="48">
        <v>1.0</v>
      </c>
      <c r="AR99" s="48" t="s">
        <v>166</v>
      </c>
      <c r="AS99" s="48">
        <v>2.0</v>
      </c>
      <c r="AT99" s="48" t="s">
        <v>166</v>
      </c>
      <c r="AU99" s="48" t="s">
        <v>166</v>
      </c>
      <c r="AV99" s="48">
        <v>3.0</v>
      </c>
      <c r="AW99" s="48">
        <v>1.0</v>
      </c>
      <c r="AX99" s="48" t="s">
        <v>166</v>
      </c>
      <c r="AY99" s="48" t="s">
        <v>166</v>
      </c>
      <c r="AZ99" s="48" t="s">
        <v>166</v>
      </c>
      <c r="BA99" s="48" t="s">
        <v>170</v>
      </c>
      <c r="BB99" s="48" t="s">
        <v>4962</v>
      </c>
      <c r="BC99" s="48" t="s">
        <v>4963</v>
      </c>
      <c r="BD99" s="48">
        <v>4.0</v>
      </c>
      <c r="BE99" s="698" t="s">
        <v>170</v>
      </c>
      <c r="BF99" s="699"/>
      <c r="BG99" s="66"/>
      <c r="BH99" s="66"/>
      <c r="BI99" s="66"/>
      <c r="BJ99" s="66"/>
      <c r="BK99" s="66"/>
      <c r="BL99" s="66"/>
      <c r="BM99" s="66"/>
      <c r="BN99" s="66"/>
      <c r="BO99" s="66"/>
      <c r="BP99" s="66"/>
      <c r="BQ99" s="66"/>
      <c r="BR99" s="66"/>
      <c r="BS99" s="66"/>
    </row>
    <row r="100">
      <c r="A100" s="48" t="s">
        <v>1688</v>
      </c>
      <c r="B100" s="48" t="s">
        <v>5184</v>
      </c>
      <c r="C100" s="48" t="s">
        <v>5189</v>
      </c>
      <c r="D100" s="174" t="str">
        <f t="shared" si="19"/>
        <v>Gigabyte</v>
      </c>
      <c r="E100" s="174" t="str">
        <f>HYPERLINK("https://www.gigabyte.com/Motherboard/B360N-WIFI-rev-10#kf","B360N WIFI")</f>
        <v>B360N WIFI</v>
      </c>
      <c r="F100" s="48" t="s">
        <v>4948</v>
      </c>
      <c r="G100" s="48" t="s">
        <v>166</v>
      </c>
      <c r="H100" s="48" t="s">
        <v>166</v>
      </c>
      <c r="I100" s="48" t="s">
        <v>166</v>
      </c>
      <c r="J100" s="48" t="s">
        <v>166</v>
      </c>
      <c r="K100" s="48" t="s">
        <v>166</v>
      </c>
      <c r="L100" s="48">
        <v>2.0</v>
      </c>
      <c r="M100" s="48" t="s">
        <v>3149</v>
      </c>
      <c r="N100" s="48">
        <v>32.0</v>
      </c>
      <c r="O100" s="48">
        <v>2666.0</v>
      </c>
      <c r="P100" s="48">
        <v>4.0</v>
      </c>
      <c r="Q100" s="696" t="s">
        <v>4950</v>
      </c>
      <c r="R100" s="697">
        <v>2.0</v>
      </c>
      <c r="S100" s="697" t="s">
        <v>166</v>
      </c>
      <c r="T100" s="697">
        <v>4.0</v>
      </c>
      <c r="U100" s="48" t="s">
        <v>166</v>
      </c>
      <c r="V100" s="48" t="s">
        <v>166</v>
      </c>
      <c r="W100" s="48" t="s">
        <v>166</v>
      </c>
      <c r="X100" s="48" t="s">
        <v>166</v>
      </c>
      <c r="Y100" s="48" t="s">
        <v>166</v>
      </c>
      <c r="Z100" s="48" t="s">
        <v>166</v>
      </c>
      <c r="AA100" s="48" t="s">
        <v>166</v>
      </c>
      <c r="AB100" s="48">
        <f t="shared" si="1"/>
        <v>6</v>
      </c>
      <c r="AC100" s="48">
        <v>1.0</v>
      </c>
      <c r="AD100" s="48">
        <v>1.0</v>
      </c>
      <c r="AE100" s="48" t="s">
        <v>166</v>
      </c>
      <c r="AF100" s="697">
        <v>2.0</v>
      </c>
      <c r="AG100" s="48" t="s">
        <v>5140</v>
      </c>
      <c r="AH100" s="48">
        <v>1.0</v>
      </c>
      <c r="AI100" s="48">
        <v>1.0</v>
      </c>
      <c r="AJ100" s="705" t="s">
        <v>4966</v>
      </c>
      <c r="AK100" s="48" t="s">
        <v>170</v>
      </c>
      <c r="AL100" s="48">
        <v>1733.0</v>
      </c>
      <c r="AM100" s="48">
        <v>5.0</v>
      </c>
      <c r="AN100" s="48" t="s">
        <v>4960</v>
      </c>
      <c r="AO100" s="48" t="s">
        <v>166</v>
      </c>
      <c r="AP100" s="48">
        <v>6.0</v>
      </c>
      <c r="AQ100" s="48">
        <v>1.0</v>
      </c>
      <c r="AR100" s="48" t="s">
        <v>166</v>
      </c>
      <c r="AS100" s="48">
        <v>2.0</v>
      </c>
      <c r="AT100" s="48" t="s">
        <v>166</v>
      </c>
      <c r="AU100" s="48" t="s">
        <v>166</v>
      </c>
      <c r="AV100" s="48">
        <v>3.0</v>
      </c>
      <c r="AW100" s="48">
        <v>1.0</v>
      </c>
      <c r="AX100" s="48" t="s">
        <v>166</v>
      </c>
      <c r="AY100" s="48" t="s">
        <v>166</v>
      </c>
      <c r="AZ100" s="48" t="s">
        <v>166</v>
      </c>
      <c r="BA100" s="48" t="s">
        <v>170</v>
      </c>
      <c r="BB100" s="48" t="s">
        <v>4962</v>
      </c>
      <c r="BC100" s="48" t="s">
        <v>4963</v>
      </c>
      <c r="BD100" s="48">
        <v>4.0</v>
      </c>
      <c r="BE100" s="698" t="s">
        <v>170</v>
      </c>
      <c r="BF100" s="698"/>
      <c r="BG100" s="66"/>
      <c r="BH100" s="66"/>
      <c r="BI100" s="66"/>
      <c r="BJ100" s="66"/>
      <c r="BK100" s="66"/>
      <c r="BL100" s="66"/>
      <c r="BM100" s="66"/>
      <c r="BN100" s="66"/>
      <c r="BO100" s="66"/>
      <c r="BP100" s="66"/>
      <c r="BQ100" s="66"/>
      <c r="BR100" s="66"/>
      <c r="BS100" s="66"/>
    </row>
    <row r="101">
      <c r="A101" s="700" t="s">
        <v>1688</v>
      </c>
      <c r="B101" s="700" t="s">
        <v>5184</v>
      </c>
      <c r="C101" s="700" t="s">
        <v>5189</v>
      </c>
      <c r="D101" s="291" t="str">
        <f>HYPERLINK("https://www.msi.com/index.php","MSI")</f>
        <v>MSI</v>
      </c>
      <c r="E101" s="291" t="str">
        <f>HYPERLINK("https://www.msi.com/Motherboard/B360I-GAMING-PRO-AC","B360I GAMING PRO AC")</f>
        <v>B360I GAMING PRO AC</v>
      </c>
      <c r="F101" s="700" t="s">
        <v>4948</v>
      </c>
      <c r="G101" s="700" t="s">
        <v>166</v>
      </c>
      <c r="H101" s="700" t="s">
        <v>166</v>
      </c>
      <c r="I101" s="700" t="s">
        <v>166</v>
      </c>
      <c r="J101" s="700" t="s">
        <v>166</v>
      </c>
      <c r="K101" s="700" t="s">
        <v>166</v>
      </c>
      <c r="L101" s="700">
        <v>2.0</v>
      </c>
      <c r="M101" s="700" t="s">
        <v>3149</v>
      </c>
      <c r="N101" s="700">
        <v>32.0</v>
      </c>
      <c r="O101" s="700">
        <v>2666.0</v>
      </c>
      <c r="P101" s="700">
        <v>4.0</v>
      </c>
      <c r="Q101" s="703" t="s">
        <v>5193</v>
      </c>
      <c r="R101" s="702">
        <v>2.0</v>
      </c>
      <c r="S101" s="702" t="s">
        <v>166</v>
      </c>
      <c r="T101" s="702">
        <v>2.0</v>
      </c>
      <c r="U101" s="700" t="s">
        <v>166</v>
      </c>
      <c r="V101" s="700">
        <v>2.0</v>
      </c>
      <c r="W101" s="700" t="s">
        <v>166</v>
      </c>
      <c r="X101" s="700" t="s">
        <v>166</v>
      </c>
      <c r="Y101" s="700" t="s">
        <v>166</v>
      </c>
      <c r="Z101" s="700" t="s">
        <v>166</v>
      </c>
      <c r="AA101" s="700" t="s">
        <v>166</v>
      </c>
      <c r="AB101" s="700">
        <f t="shared" si="1"/>
        <v>6</v>
      </c>
      <c r="AC101" s="700">
        <v>1.0</v>
      </c>
      <c r="AD101" s="700">
        <v>1.0</v>
      </c>
      <c r="AE101" s="700" t="s">
        <v>166</v>
      </c>
      <c r="AF101" s="702">
        <v>1.0</v>
      </c>
      <c r="AG101" s="700" t="s">
        <v>5194</v>
      </c>
      <c r="AH101" s="700">
        <v>1.0</v>
      </c>
      <c r="AI101" s="700">
        <v>1.0</v>
      </c>
      <c r="AJ101" s="700" t="s">
        <v>4966</v>
      </c>
      <c r="AK101" s="700" t="s">
        <v>5195</v>
      </c>
      <c r="AL101" s="700">
        <v>433.0</v>
      </c>
      <c r="AM101" s="700">
        <v>5.0</v>
      </c>
      <c r="AN101" s="700" t="s">
        <v>4977</v>
      </c>
      <c r="AO101" s="700" t="s">
        <v>166</v>
      </c>
      <c r="AP101" s="700">
        <v>6.0</v>
      </c>
      <c r="AQ101" s="700">
        <v>1.0</v>
      </c>
      <c r="AR101" s="700">
        <v>1.0</v>
      </c>
      <c r="AS101" s="700" t="s">
        <v>166</v>
      </c>
      <c r="AT101" s="700">
        <v>1.0</v>
      </c>
      <c r="AU101" s="700" t="s">
        <v>166</v>
      </c>
      <c r="AV101" s="700">
        <v>3.0</v>
      </c>
      <c r="AW101" s="700">
        <v>1.0</v>
      </c>
      <c r="AX101" s="700" t="s">
        <v>166</v>
      </c>
      <c r="AY101" s="700" t="s">
        <v>174</v>
      </c>
      <c r="AZ101" s="700" t="s">
        <v>166</v>
      </c>
      <c r="BA101" s="700" t="s">
        <v>170</v>
      </c>
      <c r="BB101" s="700" t="s">
        <v>170</v>
      </c>
      <c r="BC101" s="700" t="s">
        <v>170</v>
      </c>
      <c r="BD101" s="700" t="s">
        <v>170</v>
      </c>
      <c r="BE101" s="703" t="s">
        <v>170</v>
      </c>
      <c r="BF101" s="704"/>
      <c r="BG101" s="66"/>
      <c r="BH101" s="66"/>
      <c r="BI101" s="66"/>
      <c r="BJ101" s="66"/>
      <c r="BK101" s="66"/>
      <c r="BL101" s="66"/>
      <c r="BM101" s="66"/>
      <c r="BN101" s="66"/>
      <c r="BO101" s="66"/>
      <c r="BP101" s="66"/>
      <c r="BQ101" s="66"/>
      <c r="BR101" s="66"/>
      <c r="BS101" s="66"/>
    </row>
    <row r="102">
      <c r="A102" s="712" t="s">
        <v>1688</v>
      </c>
      <c r="B102" s="712" t="s">
        <v>5184</v>
      </c>
      <c r="C102" s="712" t="s">
        <v>5196</v>
      </c>
      <c r="D102" s="290" t="s">
        <v>169</v>
      </c>
      <c r="E102" s="290" t="str">
        <f>HYPERLINK("https://www.asrock.com/mb/Intel/B365M-ITXac/index.asp","B365M-ITX/ac")</f>
        <v>B365M-ITX/ac</v>
      </c>
      <c r="F102" s="712" t="s">
        <v>4948</v>
      </c>
      <c r="G102" s="712" t="s">
        <v>166</v>
      </c>
      <c r="H102" s="712" t="s">
        <v>166</v>
      </c>
      <c r="I102" s="712" t="s">
        <v>166</v>
      </c>
      <c r="J102" s="712" t="s">
        <v>166</v>
      </c>
      <c r="K102" s="712" t="s">
        <v>166</v>
      </c>
      <c r="L102" s="712">
        <v>2.0</v>
      </c>
      <c r="M102" s="712" t="s">
        <v>3149</v>
      </c>
      <c r="N102" s="712">
        <v>32.0</v>
      </c>
      <c r="O102" s="712">
        <v>2666.0</v>
      </c>
      <c r="P102" s="712">
        <v>4.0</v>
      </c>
      <c r="Q102" s="719" t="s">
        <v>4950</v>
      </c>
      <c r="R102" s="713" t="s">
        <v>166</v>
      </c>
      <c r="S102" s="713" t="s">
        <v>166</v>
      </c>
      <c r="T102" s="713">
        <v>4.0</v>
      </c>
      <c r="U102" s="712" t="s">
        <v>166</v>
      </c>
      <c r="V102" s="712" t="s">
        <v>166</v>
      </c>
      <c r="W102" s="712" t="s">
        <v>166</v>
      </c>
      <c r="X102" s="712" t="s">
        <v>166</v>
      </c>
      <c r="Y102" s="712" t="s">
        <v>166</v>
      </c>
      <c r="Z102" s="712" t="s">
        <v>166</v>
      </c>
      <c r="AA102" s="712" t="s">
        <v>166</v>
      </c>
      <c r="AB102" s="712">
        <f t="shared" si="1"/>
        <v>4</v>
      </c>
      <c r="AC102" s="712">
        <v>1.0</v>
      </c>
      <c r="AD102" s="712">
        <v>1.0</v>
      </c>
      <c r="AE102" s="712" t="s">
        <v>166</v>
      </c>
      <c r="AF102" s="713">
        <v>1.0</v>
      </c>
      <c r="AG102" s="712" t="s">
        <v>5133</v>
      </c>
      <c r="AH102" s="712">
        <v>1.0</v>
      </c>
      <c r="AI102" s="712">
        <v>1.0</v>
      </c>
      <c r="AJ102" s="712" t="s">
        <v>4966</v>
      </c>
      <c r="AK102" s="712" t="s">
        <v>4967</v>
      </c>
      <c r="AL102" s="712">
        <v>433.0</v>
      </c>
      <c r="AM102" s="712">
        <v>4.2</v>
      </c>
      <c r="AN102" s="712" t="s">
        <v>4960</v>
      </c>
      <c r="AO102" s="712" t="s">
        <v>166</v>
      </c>
      <c r="AP102" s="712">
        <v>3.0</v>
      </c>
      <c r="AQ102" s="712">
        <v>1.0</v>
      </c>
      <c r="AR102" s="712">
        <v>1.0</v>
      </c>
      <c r="AS102" s="712">
        <v>1.0</v>
      </c>
      <c r="AT102" s="712">
        <v>1.0</v>
      </c>
      <c r="AU102" s="712" t="s">
        <v>166</v>
      </c>
      <c r="AV102" s="712">
        <v>3.0</v>
      </c>
      <c r="AW102" s="712" t="s">
        <v>166</v>
      </c>
      <c r="AX102" s="712" t="s">
        <v>166</v>
      </c>
      <c r="AY102" s="712" t="s">
        <v>166</v>
      </c>
      <c r="AZ102" s="712" t="s">
        <v>166</v>
      </c>
      <c r="BA102" s="712" t="s">
        <v>170</v>
      </c>
      <c r="BB102" s="712" t="s">
        <v>5017</v>
      </c>
      <c r="BC102" s="712" t="s">
        <v>4963</v>
      </c>
      <c r="BD102" s="712">
        <v>4.0</v>
      </c>
      <c r="BE102" s="717" t="s">
        <v>170</v>
      </c>
      <c r="BF102" s="721"/>
      <c r="BG102" s="66"/>
      <c r="BH102" s="66"/>
      <c r="BI102" s="66"/>
      <c r="BJ102" s="66"/>
      <c r="BK102" s="66"/>
      <c r="BL102" s="66"/>
      <c r="BM102" s="66"/>
      <c r="BN102" s="66"/>
      <c r="BO102" s="66"/>
      <c r="BP102" s="66"/>
      <c r="BQ102" s="66"/>
      <c r="BR102" s="66"/>
      <c r="BS102" s="66"/>
    </row>
    <row r="103">
      <c r="A103" s="705" t="s">
        <v>1688</v>
      </c>
      <c r="B103" s="705" t="s">
        <v>5184</v>
      </c>
      <c r="C103" s="705" t="s">
        <v>5197</v>
      </c>
      <c r="D103" s="282" t="s">
        <v>169</v>
      </c>
      <c r="E103" s="282" t="str">
        <f>HYPERLINK("https://www.asrock.com/mb/Intel/H370M-ITXac/","H370M-ITX/ac")</f>
        <v>H370M-ITX/ac</v>
      </c>
      <c r="F103" s="705" t="s">
        <v>4948</v>
      </c>
      <c r="G103" s="705" t="s">
        <v>166</v>
      </c>
      <c r="H103" s="705" t="s">
        <v>166</v>
      </c>
      <c r="I103" s="705" t="s">
        <v>166</v>
      </c>
      <c r="J103" s="705" t="s">
        <v>166</v>
      </c>
      <c r="K103" s="705" t="s">
        <v>166</v>
      </c>
      <c r="L103" s="705">
        <v>2.0</v>
      </c>
      <c r="M103" s="705" t="s">
        <v>3149</v>
      </c>
      <c r="N103" s="705">
        <v>32.0</v>
      </c>
      <c r="O103" s="705">
        <v>2666.0</v>
      </c>
      <c r="P103" s="705">
        <v>6.0</v>
      </c>
      <c r="Q103" s="711" t="s">
        <v>4950</v>
      </c>
      <c r="R103" s="707">
        <v>2.0</v>
      </c>
      <c r="S103" s="707" t="s">
        <v>166</v>
      </c>
      <c r="T103" s="707">
        <v>2.0</v>
      </c>
      <c r="U103" s="705" t="s">
        <v>166</v>
      </c>
      <c r="V103" s="705">
        <v>4.0</v>
      </c>
      <c r="W103" s="705" t="s">
        <v>166</v>
      </c>
      <c r="X103" s="705" t="s">
        <v>166</v>
      </c>
      <c r="Y103" s="705" t="s">
        <v>166</v>
      </c>
      <c r="Z103" s="705" t="s">
        <v>166</v>
      </c>
      <c r="AA103" s="705" t="s">
        <v>166</v>
      </c>
      <c r="AB103" s="705">
        <f t="shared" si="1"/>
        <v>8</v>
      </c>
      <c r="AC103" s="705">
        <v>1.0</v>
      </c>
      <c r="AD103" s="705">
        <v>1.0</v>
      </c>
      <c r="AE103" s="705" t="s">
        <v>166</v>
      </c>
      <c r="AF103" s="707">
        <v>2.0</v>
      </c>
      <c r="AG103" s="705" t="s">
        <v>5140</v>
      </c>
      <c r="AH103" s="705">
        <v>1.0</v>
      </c>
      <c r="AI103" s="705">
        <v>1.0</v>
      </c>
      <c r="AJ103" s="705" t="s">
        <v>4966</v>
      </c>
      <c r="AK103" s="705" t="s">
        <v>4967</v>
      </c>
      <c r="AL103" s="705">
        <v>433.0</v>
      </c>
      <c r="AM103" s="705">
        <v>4.2</v>
      </c>
      <c r="AN103" s="705" t="s">
        <v>4977</v>
      </c>
      <c r="AO103" s="705" t="s">
        <v>166</v>
      </c>
      <c r="AP103" s="705">
        <v>3.0</v>
      </c>
      <c r="AQ103" s="705">
        <v>1.0</v>
      </c>
      <c r="AR103" s="705">
        <v>1.0</v>
      </c>
      <c r="AS103" s="705">
        <v>2.0</v>
      </c>
      <c r="AT103" s="705" t="s">
        <v>166</v>
      </c>
      <c r="AU103" s="705" t="s">
        <v>166</v>
      </c>
      <c r="AV103" s="705">
        <v>3.0</v>
      </c>
      <c r="AW103" s="705" t="s">
        <v>166</v>
      </c>
      <c r="AX103" s="705" t="s">
        <v>166</v>
      </c>
      <c r="AY103" s="705" t="s">
        <v>166</v>
      </c>
      <c r="AZ103" s="705" t="s">
        <v>166</v>
      </c>
      <c r="BA103" s="705" t="s">
        <v>5198</v>
      </c>
      <c r="BB103" s="705" t="s">
        <v>4962</v>
      </c>
      <c r="BC103" s="705" t="s">
        <v>4963</v>
      </c>
      <c r="BD103" s="705">
        <v>4.0</v>
      </c>
      <c r="BE103" s="708" t="s">
        <v>4987</v>
      </c>
      <c r="BF103" s="720"/>
      <c r="BG103" s="66"/>
      <c r="BH103" s="66"/>
      <c r="BI103" s="66"/>
      <c r="BJ103" s="66"/>
      <c r="BK103" s="66"/>
      <c r="BL103" s="66"/>
      <c r="BM103" s="66"/>
      <c r="BN103" s="66"/>
      <c r="BO103" s="66"/>
      <c r="BP103" s="66"/>
      <c r="BQ103" s="66"/>
      <c r="BR103" s="66"/>
      <c r="BS103" s="66"/>
    </row>
    <row r="104">
      <c r="A104" s="48" t="s">
        <v>1688</v>
      </c>
      <c r="B104" s="48" t="s">
        <v>5184</v>
      </c>
      <c r="C104" s="48" t="s">
        <v>5197</v>
      </c>
      <c r="D104" s="174" t="str">
        <f>HYPERLINK("https://www.asus.com/","Asus")</f>
        <v>Asus</v>
      </c>
      <c r="E104" s="174" t="s">
        <v>5199</v>
      </c>
      <c r="F104" s="48" t="s">
        <v>4948</v>
      </c>
      <c r="G104" s="48" t="s">
        <v>166</v>
      </c>
      <c r="H104" s="48" t="s">
        <v>166</v>
      </c>
      <c r="I104" s="48" t="s">
        <v>166</v>
      </c>
      <c r="J104" s="48" t="s">
        <v>166</v>
      </c>
      <c r="K104" s="48" t="s">
        <v>166</v>
      </c>
      <c r="L104" s="48">
        <v>2.0</v>
      </c>
      <c r="M104" s="48" t="s">
        <v>3149</v>
      </c>
      <c r="N104" s="48">
        <v>32.0</v>
      </c>
      <c r="O104" s="48">
        <v>2666.0</v>
      </c>
      <c r="P104" s="48">
        <v>4.0</v>
      </c>
      <c r="Q104" s="698" t="s">
        <v>5200</v>
      </c>
      <c r="R104" s="697" t="s">
        <v>166</v>
      </c>
      <c r="S104" s="697" t="s">
        <v>166</v>
      </c>
      <c r="T104" s="697">
        <v>3.0</v>
      </c>
      <c r="U104" s="48">
        <v>1.0</v>
      </c>
      <c r="V104" s="48">
        <v>2.0</v>
      </c>
      <c r="W104" s="48" t="s">
        <v>166</v>
      </c>
      <c r="X104" s="48" t="s">
        <v>166</v>
      </c>
      <c r="Y104" s="48" t="s">
        <v>166</v>
      </c>
      <c r="Z104" s="48" t="s">
        <v>166</v>
      </c>
      <c r="AA104" s="48" t="s">
        <v>166</v>
      </c>
      <c r="AB104" s="48">
        <f t="shared" si="1"/>
        <v>6</v>
      </c>
      <c r="AC104" s="48">
        <v>1.0</v>
      </c>
      <c r="AD104" s="48">
        <v>1.0</v>
      </c>
      <c r="AE104" s="48" t="s">
        <v>166</v>
      </c>
      <c r="AF104" s="697">
        <v>2.0</v>
      </c>
      <c r="AG104" s="48" t="s">
        <v>5142</v>
      </c>
      <c r="AH104" s="48">
        <v>1.0</v>
      </c>
      <c r="AI104" s="48">
        <v>1.0</v>
      </c>
      <c r="AJ104" s="705" t="s">
        <v>4966</v>
      </c>
      <c r="AK104" s="48" t="s">
        <v>5192</v>
      </c>
      <c r="AL104" s="48">
        <v>1733.0</v>
      </c>
      <c r="AM104" s="48">
        <v>5.0</v>
      </c>
      <c r="AN104" s="48" t="s">
        <v>4971</v>
      </c>
      <c r="AO104" s="48" t="s">
        <v>174</v>
      </c>
      <c r="AP104" s="48">
        <v>5.0</v>
      </c>
      <c r="AQ104" s="48" t="s">
        <v>166</v>
      </c>
      <c r="AR104" s="48">
        <v>1.0</v>
      </c>
      <c r="AS104" s="48">
        <v>1.0</v>
      </c>
      <c r="AT104" s="48" t="s">
        <v>166</v>
      </c>
      <c r="AU104" s="48" t="s">
        <v>166</v>
      </c>
      <c r="AV104" s="48">
        <v>3.0</v>
      </c>
      <c r="AW104" s="48" t="s">
        <v>166</v>
      </c>
      <c r="AX104" s="48">
        <v>1.0</v>
      </c>
      <c r="AY104" s="48" t="s">
        <v>174</v>
      </c>
      <c r="AZ104" s="48" t="s">
        <v>166</v>
      </c>
      <c r="BA104" s="48" t="s">
        <v>5201</v>
      </c>
      <c r="BB104" s="48" t="s">
        <v>4962</v>
      </c>
      <c r="BC104" s="48" t="s">
        <v>4963</v>
      </c>
      <c r="BD104" s="48">
        <v>4.0</v>
      </c>
      <c r="BE104" s="698" t="s">
        <v>5202</v>
      </c>
      <c r="BF104" s="699"/>
      <c r="BG104" s="66"/>
      <c r="BH104" s="66"/>
      <c r="BI104" s="66"/>
      <c r="BJ104" s="66"/>
      <c r="BK104" s="66"/>
      <c r="BL104" s="66"/>
      <c r="BM104" s="66"/>
      <c r="BN104" s="66"/>
      <c r="BO104" s="66"/>
      <c r="BP104" s="66"/>
      <c r="BQ104" s="66"/>
      <c r="BR104" s="66"/>
      <c r="BS104" s="66"/>
    </row>
    <row r="105" ht="40.5" customHeight="1">
      <c r="A105" s="48" t="s">
        <v>1688</v>
      </c>
      <c r="B105" s="48" t="s">
        <v>5184</v>
      </c>
      <c r="C105" s="48" t="s">
        <v>5197</v>
      </c>
      <c r="D105" s="174" t="str">
        <f>HYPERLINK("https://www.evga.com/","EVGA")</f>
        <v>EVGA</v>
      </c>
      <c r="E105" s="174" t="str">
        <f>HYPERLINK("https://asia.evga.com/products/product.aspx?pn=111-CS-E371-KR","H370 Stinger")</f>
        <v>H370 Stinger</v>
      </c>
      <c r="F105" s="48" t="s">
        <v>4948</v>
      </c>
      <c r="G105" s="48" t="s">
        <v>166</v>
      </c>
      <c r="H105" s="48" t="s">
        <v>166</v>
      </c>
      <c r="I105" s="48" t="s">
        <v>166</v>
      </c>
      <c r="J105" s="48" t="s">
        <v>166</v>
      </c>
      <c r="K105" s="48" t="s">
        <v>166</v>
      </c>
      <c r="L105" s="48">
        <v>2.0</v>
      </c>
      <c r="M105" s="48" t="s">
        <v>3149</v>
      </c>
      <c r="N105" s="48">
        <v>32.0</v>
      </c>
      <c r="O105" s="48">
        <v>2666.0</v>
      </c>
      <c r="P105" s="48">
        <v>4.0</v>
      </c>
      <c r="Q105" s="696" t="s">
        <v>4950</v>
      </c>
      <c r="R105" s="697">
        <v>2.0</v>
      </c>
      <c r="S105" s="697" t="s">
        <v>166</v>
      </c>
      <c r="T105" s="697">
        <v>2.0</v>
      </c>
      <c r="U105" s="48" t="s">
        <v>166</v>
      </c>
      <c r="V105" s="48">
        <v>2.0</v>
      </c>
      <c r="W105" s="48" t="s">
        <v>166</v>
      </c>
      <c r="X105" s="48" t="s">
        <v>166</v>
      </c>
      <c r="Y105" s="48" t="s">
        <v>166</v>
      </c>
      <c r="Z105" s="48" t="s">
        <v>166</v>
      </c>
      <c r="AA105" s="48" t="s">
        <v>166</v>
      </c>
      <c r="AB105" s="48">
        <f t="shared" si="1"/>
        <v>6</v>
      </c>
      <c r="AC105" s="48">
        <v>1.0</v>
      </c>
      <c r="AD105" s="48">
        <v>1.0</v>
      </c>
      <c r="AE105" s="48" t="s">
        <v>5025</v>
      </c>
      <c r="AF105" s="697">
        <v>1.0</v>
      </c>
      <c r="AG105" s="48" t="s">
        <v>5133</v>
      </c>
      <c r="AH105" s="48">
        <v>1.0</v>
      </c>
      <c r="AI105" s="48">
        <v>1.0</v>
      </c>
      <c r="AJ105" s="705" t="s">
        <v>4966</v>
      </c>
      <c r="AK105" s="48" t="s">
        <v>5192</v>
      </c>
      <c r="AL105" s="48">
        <v>1733.0</v>
      </c>
      <c r="AM105" s="48">
        <v>5.0</v>
      </c>
      <c r="AN105" s="48" t="s">
        <v>4952</v>
      </c>
      <c r="AO105" s="48" t="s">
        <v>174</v>
      </c>
      <c r="AP105" s="48">
        <v>5.0</v>
      </c>
      <c r="AQ105" s="48" t="s">
        <v>166</v>
      </c>
      <c r="AR105" s="48">
        <v>1.0</v>
      </c>
      <c r="AS105" s="48">
        <v>1.0</v>
      </c>
      <c r="AT105" s="48" t="s">
        <v>166</v>
      </c>
      <c r="AU105" s="48" t="s">
        <v>166</v>
      </c>
      <c r="AV105" s="48">
        <v>3.0</v>
      </c>
      <c r="AW105" s="48" t="s">
        <v>166</v>
      </c>
      <c r="AX105" s="48" t="s">
        <v>166</v>
      </c>
      <c r="AY105" s="48" t="s">
        <v>166</v>
      </c>
      <c r="AZ105" s="48" t="s">
        <v>166</v>
      </c>
      <c r="BA105" s="48" t="s">
        <v>170</v>
      </c>
      <c r="BB105" s="48" t="s">
        <v>170</v>
      </c>
      <c r="BC105" s="48" t="s">
        <v>170</v>
      </c>
      <c r="BD105" s="48" t="s">
        <v>170</v>
      </c>
      <c r="BE105" s="698" t="s">
        <v>170</v>
      </c>
      <c r="BF105" s="699"/>
      <c r="BG105" s="66"/>
      <c r="BH105" s="66"/>
      <c r="BI105" s="66"/>
      <c r="BJ105" s="66"/>
      <c r="BK105" s="66"/>
      <c r="BL105" s="66"/>
      <c r="BM105" s="66"/>
      <c r="BN105" s="66"/>
      <c r="BO105" s="66"/>
      <c r="BP105" s="66"/>
      <c r="BQ105" s="66"/>
      <c r="BR105" s="66"/>
      <c r="BS105" s="66"/>
    </row>
    <row r="106">
      <c r="A106" s="700" t="s">
        <v>1688</v>
      </c>
      <c r="B106" s="700" t="s">
        <v>5184</v>
      </c>
      <c r="C106" s="700" t="s">
        <v>5197</v>
      </c>
      <c r="D106" s="291" t="str">
        <f>HYPERLINK("https://www.gigabyte.com/","Gigabyte")</f>
        <v>Gigabyte</v>
      </c>
      <c r="E106" s="291" t="str">
        <f>HYPERLINK("https://www.gigabyte.com/Motherboard/H370N-WIFI-rev-10#kf","H370N WIFI")</f>
        <v>H370N WIFI</v>
      </c>
      <c r="F106" s="700" t="s">
        <v>4948</v>
      </c>
      <c r="G106" s="700" t="s">
        <v>166</v>
      </c>
      <c r="H106" s="700" t="s">
        <v>166</v>
      </c>
      <c r="I106" s="700" t="s">
        <v>166</v>
      </c>
      <c r="J106" s="700" t="s">
        <v>166</v>
      </c>
      <c r="K106" s="700" t="s">
        <v>166</v>
      </c>
      <c r="L106" s="700">
        <v>2.0</v>
      </c>
      <c r="M106" s="700" t="s">
        <v>3149</v>
      </c>
      <c r="N106" s="700">
        <v>32.0</v>
      </c>
      <c r="O106" s="700">
        <v>2666.0</v>
      </c>
      <c r="P106" s="700">
        <v>4.0</v>
      </c>
      <c r="Q106" s="703" t="s">
        <v>5203</v>
      </c>
      <c r="R106" s="702" t="s">
        <v>166</v>
      </c>
      <c r="S106" s="702" t="s">
        <v>166</v>
      </c>
      <c r="T106" s="702">
        <v>4.0</v>
      </c>
      <c r="U106" s="700">
        <v>1.0</v>
      </c>
      <c r="V106" s="700" t="s">
        <v>166</v>
      </c>
      <c r="W106" s="700" t="s">
        <v>166</v>
      </c>
      <c r="X106" s="700" t="s">
        <v>166</v>
      </c>
      <c r="Y106" s="700" t="s">
        <v>166</v>
      </c>
      <c r="Z106" s="700" t="s">
        <v>166</v>
      </c>
      <c r="AA106" s="700" t="s">
        <v>166</v>
      </c>
      <c r="AB106" s="700">
        <f t="shared" si="1"/>
        <v>5</v>
      </c>
      <c r="AC106" s="700">
        <v>1.0</v>
      </c>
      <c r="AD106" s="700">
        <v>1.0</v>
      </c>
      <c r="AE106" s="700" t="s">
        <v>166</v>
      </c>
      <c r="AF106" s="702">
        <v>2.0</v>
      </c>
      <c r="AG106" s="700" t="s">
        <v>5140</v>
      </c>
      <c r="AH106" s="700">
        <v>1.0</v>
      </c>
      <c r="AI106" s="700">
        <v>1.0</v>
      </c>
      <c r="AJ106" s="700" t="s">
        <v>4966</v>
      </c>
      <c r="AK106" s="700" t="s">
        <v>5192</v>
      </c>
      <c r="AL106" s="700">
        <v>1733.0</v>
      </c>
      <c r="AM106" s="700">
        <v>5.0</v>
      </c>
      <c r="AN106" s="700" t="s">
        <v>4998</v>
      </c>
      <c r="AO106" s="700" t="s">
        <v>166</v>
      </c>
      <c r="AP106" s="700">
        <v>3.0</v>
      </c>
      <c r="AQ106" s="700" t="s">
        <v>166</v>
      </c>
      <c r="AR106" s="700">
        <v>1.0</v>
      </c>
      <c r="AS106" s="700">
        <v>2.0</v>
      </c>
      <c r="AT106" s="700" t="s">
        <v>166</v>
      </c>
      <c r="AU106" s="700" t="s">
        <v>166</v>
      </c>
      <c r="AV106" s="700">
        <v>3.0</v>
      </c>
      <c r="AW106" s="700">
        <v>1.0</v>
      </c>
      <c r="AX106" s="700">
        <v>1.0</v>
      </c>
      <c r="AY106" s="700" t="s">
        <v>166</v>
      </c>
      <c r="AZ106" s="700" t="s">
        <v>166</v>
      </c>
      <c r="BA106" s="700" t="s">
        <v>5204</v>
      </c>
      <c r="BB106" s="700" t="s">
        <v>4962</v>
      </c>
      <c r="BC106" s="700" t="s">
        <v>4963</v>
      </c>
      <c r="BD106" s="700">
        <v>4.0</v>
      </c>
      <c r="BE106" s="703" t="s">
        <v>5205</v>
      </c>
      <c r="BF106" s="704"/>
      <c r="BG106" s="66"/>
      <c r="BH106" s="66"/>
      <c r="BI106" s="66"/>
      <c r="BJ106" s="66"/>
      <c r="BK106" s="66"/>
      <c r="BL106" s="66"/>
      <c r="BM106" s="66"/>
      <c r="BN106" s="66"/>
      <c r="BO106" s="66"/>
      <c r="BP106" s="66"/>
      <c r="BQ106" s="66"/>
      <c r="BR106" s="66"/>
      <c r="BS106" s="66"/>
    </row>
    <row r="107">
      <c r="A107" s="705" t="s">
        <v>1688</v>
      </c>
      <c r="B107" s="705" t="s">
        <v>5184</v>
      </c>
      <c r="C107" s="705" t="s">
        <v>5206</v>
      </c>
      <c r="D107" s="282" t="s">
        <v>169</v>
      </c>
      <c r="E107" s="282" t="str">
        <f>HYPERLINK("https://www.asrock.com/mb/Intel/Fatal1ty%20Z370%20Gaming-ITXac/index.asp","Fatal1ty Z370 Gaming-ITX/ac")</f>
        <v>Fatal1ty Z370 Gaming-ITX/ac</v>
      </c>
      <c r="F107" s="705" t="s">
        <v>4948</v>
      </c>
      <c r="G107" s="705" t="s">
        <v>174</v>
      </c>
      <c r="H107" s="705" t="s">
        <v>174</v>
      </c>
      <c r="I107" s="705" t="s">
        <v>174</v>
      </c>
      <c r="J107" s="705" t="s">
        <v>166</v>
      </c>
      <c r="K107" s="705" t="s">
        <v>174</v>
      </c>
      <c r="L107" s="705">
        <v>2.0</v>
      </c>
      <c r="M107" s="705" t="s">
        <v>3149</v>
      </c>
      <c r="N107" s="705">
        <v>32.0</v>
      </c>
      <c r="O107" s="705" t="s">
        <v>5207</v>
      </c>
      <c r="P107" s="705">
        <v>6.0</v>
      </c>
      <c r="Q107" s="706" t="s">
        <v>4950</v>
      </c>
      <c r="R107" s="707" t="s">
        <v>166</v>
      </c>
      <c r="S107" s="707" t="s">
        <v>166</v>
      </c>
      <c r="T107" s="707">
        <v>6.0</v>
      </c>
      <c r="U107" s="705" t="s">
        <v>166</v>
      </c>
      <c r="V107" s="705" t="s">
        <v>166</v>
      </c>
      <c r="W107" s="705" t="s">
        <v>166</v>
      </c>
      <c r="X107" s="705" t="s">
        <v>166</v>
      </c>
      <c r="Y107" s="705" t="s">
        <v>166</v>
      </c>
      <c r="Z107" s="705">
        <v>1.0</v>
      </c>
      <c r="AA107" s="705" t="s">
        <v>166</v>
      </c>
      <c r="AB107" s="705">
        <f t="shared" si="1"/>
        <v>7</v>
      </c>
      <c r="AC107" s="705">
        <v>1.0</v>
      </c>
      <c r="AD107" s="705">
        <v>1.0</v>
      </c>
      <c r="AE107" s="705" t="s">
        <v>166</v>
      </c>
      <c r="AF107" s="707">
        <v>1.0</v>
      </c>
      <c r="AG107" s="705" t="s">
        <v>5133</v>
      </c>
      <c r="AH107" s="705">
        <v>1.0</v>
      </c>
      <c r="AI107" s="705">
        <v>1.0</v>
      </c>
      <c r="AJ107" s="705" t="s">
        <v>4966</v>
      </c>
      <c r="AK107" s="705" t="s">
        <v>5165</v>
      </c>
      <c r="AL107" s="705">
        <v>867.0</v>
      </c>
      <c r="AM107" s="705">
        <v>4.2</v>
      </c>
      <c r="AN107" s="705" t="s">
        <v>4952</v>
      </c>
      <c r="AO107" s="705" t="s">
        <v>174</v>
      </c>
      <c r="AP107" s="705">
        <v>6.0</v>
      </c>
      <c r="AQ107" s="705">
        <v>1.0</v>
      </c>
      <c r="AR107" s="705">
        <v>1.0</v>
      </c>
      <c r="AS107" s="705">
        <v>1.0</v>
      </c>
      <c r="AT107" s="705" t="s">
        <v>166</v>
      </c>
      <c r="AU107" s="705" t="s">
        <v>166</v>
      </c>
      <c r="AV107" s="705">
        <v>3.0</v>
      </c>
      <c r="AW107" s="705">
        <v>1.0</v>
      </c>
      <c r="AX107" s="705" t="s">
        <v>166</v>
      </c>
      <c r="AY107" s="705" t="s">
        <v>166</v>
      </c>
      <c r="AZ107" s="705" t="s">
        <v>166</v>
      </c>
      <c r="BA107" s="705" t="s">
        <v>5208</v>
      </c>
      <c r="BB107" s="705" t="s">
        <v>5091</v>
      </c>
      <c r="BC107" s="705" t="s">
        <v>4963</v>
      </c>
      <c r="BD107" s="705">
        <v>5.0</v>
      </c>
      <c r="BE107" s="708" t="s">
        <v>5065</v>
      </c>
      <c r="BF107" s="708"/>
      <c r="BG107" s="66"/>
      <c r="BH107" s="66"/>
      <c r="BI107" s="66"/>
      <c r="BJ107" s="66"/>
      <c r="BK107" s="66"/>
      <c r="BL107" s="66"/>
      <c r="BM107" s="66"/>
      <c r="BN107" s="66"/>
      <c r="BO107" s="66"/>
      <c r="BP107" s="66"/>
      <c r="BQ107" s="66"/>
      <c r="BR107" s="66"/>
      <c r="BS107" s="66"/>
    </row>
    <row r="108">
      <c r="A108" s="48" t="s">
        <v>1688</v>
      </c>
      <c r="B108" s="48" t="s">
        <v>5184</v>
      </c>
      <c r="C108" s="48" t="s">
        <v>5206</v>
      </c>
      <c r="D108" s="174" t="s">
        <v>169</v>
      </c>
      <c r="E108" s="174" t="str">
        <f>HYPERLINK("https://www.asrock.com/mb/Intel/Z370M-ITXac/","Z370M-ITX/ac")</f>
        <v>Z370M-ITX/ac</v>
      </c>
      <c r="F108" s="48" t="s">
        <v>4948</v>
      </c>
      <c r="G108" s="48" t="s">
        <v>166</v>
      </c>
      <c r="H108" s="48" t="s">
        <v>174</v>
      </c>
      <c r="I108" s="48" t="s">
        <v>174</v>
      </c>
      <c r="J108" s="48" t="s">
        <v>166</v>
      </c>
      <c r="K108" s="48" t="s">
        <v>166</v>
      </c>
      <c r="L108" s="48">
        <v>2.0</v>
      </c>
      <c r="M108" s="48" t="s">
        <v>3149</v>
      </c>
      <c r="N108" s="48">
        <v>32.0</v>
      </c>
      <c r="O108" s="48" t="s">
        <v>4996</v>
      </c>
      <c r="P108" s="48">
        <v>6.0</v>
      </c>
      <c r="Q108" s="710" t="s">
        <v>4950</v>
      </c>
      <c r="R108" s="697">
        <v>2.0</v>
      </c>
      <c r="S108" s="697" t="s">
        <v>166</v>
      </c>
      <c r="T108" s="697">
        <v>6.0</v>
      </c>
      <c r="U108" s="48" t="s">
        <v>166</v>
      </c>
      <c r="V108" s="48" t="s">
        <v>166</v>
      </c>
      <c r="W108" s="48" t="s">
        <v>166</v>
      </c>
      <c r="X108" s="48" t="s">
        <v>166</v>
      </c>
      <c r="Y108" s="48" t="s">
        <v>166</v>
      </c>
      <c r="Z108" s="48" t="s">
        <v>166</v>
      </c>
      <c r="AA108" s="48" t="s">
        <v>166</v>
      </c>
      <c r="AB108" s="48">
        <f t="shared" si="1"/>
        <v>8</v>
      </c>
      <c r="AC108" s="48">
        <v>1.0</v>
      </c>
      <c r="AD108" s="48">
        <v>1.0</v>
      </c>
      <c r="AE108" s="48" t="s">
        <v>166</v>
      </c>
      <c r="AF108" s="697">
        <v>2.0</v>
      </c>
      <c r="AG108" s="48" t="s">
        <v>5140</v>
      </c>
      <c r="AH108" s="48">
        <v>1.0</v>
      </c>
      <c r="AI108" s="48">
        <v>1.0</v>
      </c>
      <c r="AJ108" s="705" t="s">
        <v>4966</v>
      </c>
      <c r="AK108" s="48" t="s">
        <v>4967</v>
      </c>
      <c r="AL108" s="48">
        <v>433.0</v>
      </c>
      <c r="AM108" s="48">
        <v>4.2</v>
      </c>
      <c r="AN108" s="48" t="s">
        <v>4977</v>
      </c>
      <c r="AO108" s="48" t="s">
        <v>166</v>
      </c>
      <c r="AP108" s="48">
        <v>3.0</v>
      </c>
      <c r="AQ108" s="48">
        <v>1.0</v>
      </c>
      <c r="AR108" s="48">
        <v>1.0</v>
      </c>
      <c r="AS108" s="48">
        <v>2.0</v>
      </c>
      <c r="AT108" s="48" t="s">
        <v>166</v>
      </c>
      <c r="AU108" s="48" t="s">
        <v>166</v>
      </c>
      <c r="AV108" s="48">
        <v>3.0</v>
      </c>
      <c r="AW108" s="48" t="s">
        <v>166</v>
      </c>
      <c r="AX108" s="48" t="s">
        <v>166</v>
      </c>
      <c r="AY108" s="48" t="s">
        <v>166</v>
      </c>
      <c r="AZ108" s="48" t="s">
        <v>166</v>
      </c>
      <c r="BA108" s="48" t="s">
        <v>5209</v>
      </c>
      <c r="BB108" s="48" t="s">
        <v>4962</v>
      </c>
      <c r="BC108" s="48" t="s">
        <v>4963</v>
      </c>
      <c r="BD108" s="48">
        <v>4.0</v>
      </c>
      <c r="BE108" s="698" t="s">
        <v>4987</v>
      </c>
      <c r="BF108" s="699"/>
      <c r="BG108" s="66"/>
      <c r="BH108" s="66"/>
      <c r="BI108" s="66"/>
      <c r="BJ108" s="66"/>
      <c r="BK108" s="66"/>
      <c r="BL108" s="66"/>
      <c r="BM108" s="66"/>
      <c r="BN108" s="66"/>
      <c r="BO108" s="66"/>
      <c r="BP108" s="66"/>
      <c r="BQ108" s="66"/>
      <c r="BR108" s="66"/>
      <c r="BS108" s="66"/>
    </row>
    <row r="109">
      <c r="A109" s="48" t="s">
        <v>1688</v>
      </c>
      <c r="B109" s="48" t="s">
        <v>5184</v>
      </c>
      <c r="C109" s="48" t="s">
        <v>5206</v>
      </c>
      <c r="D109" s="174" t="str">
        <f>HYPERLINK("https://www.asus.com/","Asus")</f>
        <v>Asus</v>
      </c>
      <c r="E109" s="174" t="s">
        <v>5210</v>
      </c>
      <c r="F109" s="48" t="s">
        <v>4948</v>
      </c>
      <c r="G109" s="48" t="s">
        <v>174</v>
      </c>
      <c r="H109" s="48" t="s">
        <v>174</v>
      </c>
      <c r="I109" s="48" t="s">
        <v>174</v>
      </c>
      <c r="J109" s="48" t="s">
        <v>166</v>
      </c>
      <c r="K109" s="48" t="s">
        <v>166</v>
      </c>
      <c r="L109" s="48">
        <v>2.0</v>
      </c>
      <c r="M109" s="48" t="s">
        <v>3149</v>
      </c>
      <c r="N109" s="48">
        <v>32.0</v>
      </c>
      <c r="O109" s="48" t="s">
        <v>5207</v>
      </c>
      <c r="P109" s="48">
        <v>4.0</v>
      </c>
      <c r="Q109" s="698" t="s">
        <v>5211</v>
      </c>
      <c r="R109" s="697">
        <v>4.0</v>
      </c>
      <c r="S109" s="697" t="s">
        <v>166</v>
      </c>
      <c r="T109" s="697">
        <v>3.0</v>
      </c>
      <c r="U109" s="48">
        <v>1.0</v>
      </c>
      <c r="V109" s="48" t="s">
        <v>166</v>
      </c>
      <c r="W109" s="48" t="s">
        <v>166</v>
      </c>
      <c r="X109" s="48" t="s">
        <v>166</v>
      </c>
      <c r="Y109" s="48" t="s">
        <v>166</v>
      </c>
      <c r="Z109" s="48" t="s">
        <v>166</v>
      </c>
      <c r="AA109" s="48" t="s">
        <v>166</v>
      </c>
      <c r="AB109" s="48">
        <f t="shared" si="1"/>
        <v>8</v>
      </c>
      <c r="AC109" s="48">
        <v>1.0</v>
      </c>
      <c r="AD109" s="48">
        <v>1.0</v>
      </c>
      <c r="AE109" s="48" t="s">
        <v>5025</v>
      </c>
      <c r="AF109" s="697">
        <v>1.0</v>
      </c>
      <c r="AG109" s="48" t="s">
        <v>5133</v>
      </c>
      <c r="AH109" s="48">
        <v>1.0</v>
      </c>
      <c r="AI109" s="48">
        <v>1.0</v>
      </c>
      <c r="AJ109" s="705" t="s">
        <v>4966</v>
      </c>
      <c r="AK109" s="48" t="s">
        <v>5165</v>
      </c>
      <c r="AL109" s="48">
        <v>867.0</v>
      </c>
      <c r="AM109" s="48">
        <v>4.2</v>
      </c>
      <c r="AN109" s="48" t="s">
        <v>4971</v>
      </c>
      <c r="AO109" s="48" t="s">
        <v>174</v>
      </c>
      <c r="AP109" s="48">
        <v>5.0</v>
      </c>
      <c r="AQ109" s="48" t="s">
        <v>166</v>
      </c>
      <c r="AR109" s="48">
        <v>1.0</v>
      </c>
      <c r="AS109" s="48">
        <v>1.0</v>
      </c>
      <c r="AT109" s="48" t="s">
        <v>166</v>
      </c>
      <c r="AU109" s="48" t="s">
        <v>166</v>
      </c>
      <c r="AV109" s="48">
        <v>3.0</v>
      </c>
      <c r="AW109" s="48" t="s">
        <v>166</v>
      </c>
      <c r="AX109" s="48">
        <v>1.0</v>
      </c>
      <c r="AY109" s="48" t="s">
        <v>174</v>
      </c>
      <c r="AZ109" s="48" t="s">
        <v>166</v>
      </c>
      <c r="BA109" s="48" t="s">
        <v>5212</v>
      </c>
      <c r="BB109" s="48" t="s">
        <v>4954</v>
      </c>
      <c r="BC109" s="48" t="s">
        <v>4963</v>
      </c>
      <c r="BD109" s="48">
        <v>6.0</v>
      </c>
      <c r="BE109" s="698" t="s">
        <v>5202</v>
      </c>
      <c r="BF109" s="699"/>
      <c r="BG109" s="66"/>
      <c r="BH109" s="66"/>
      <c r="BI109" s="66"/>
      <c r="BJ109" s="66"/>
      <c r="BK109" s="66"/>
      <c r="BL109" s="66"/>
      <c r="BM109" s="66"/>
      <c r="BN109" s="66"/>
      <c r="BO109" s="66"/>
      <c r="BP109" s="66"/>
      <c r="BQ109" s="66"/>
      <c r="BR109" s="66"/>
      <c r="BS109" s="66"/>
    </row>
    <row r="110">
      <c r="A110" s="48" t="s">
        <v>1688</v>
      </c>
      <c r="B110" s="48" t="s">
        <v>5184</v>
      </c>
      <c r="C110" s="48" t="s">
        <v>5206</v>
      </c>
      <c r="D110" s="174" t="str">
        <f>HYPERLINK("https://www.gigabyte.com/","Gigabyte")</f>
        <v>Gigabyte</v>
      </c>
      <c r="E110" s="174" t="str">
        <f>HYPERLINK("https://www.gigabyte.com/Motherboard/Z370N-WIFI-rev-10#kf","Z370N WIFI")</f>
        <v>Z370N WIFI</v>
      </c>
      <c r="F110" s="48" t="s">
        <v>4948</v>
      </c>
      <c r="G110" s="48" t="s">
        <v>166</v>
      </c>
      <c r="H110" s="48" t="s">
        <v>174</v>
      </c>
      <c r="I110" s="48" t="s">
        <v>174</v>
      </c>
      <c r="J110" s="48" t="s">
        <v>166</v>
      </c>
      <c r="K110" s="48" t="s">
        <v>166</v>
      </c>
      <c r="L110" s="48">
        <v>2.0</v>
      </c>
      <c r="M110" s="48" t="s">
        <v>3149</v>
      </c>
      <c r="N110" s="48">
        <v>32.0</v>
      </c>
      <c r="O110" s="48" t="s">
        <v>5213</v>
      </c>
      <c r="P110" s="48">
        <v>4.0</v>
      </c>
      <c r="Q110" s="698" t="s">
        <v>5214</v>
      </c>
      <c r="R110" s="697" t="s">
        <v>166</v>
      </c>
      <c r="S110" s="697" t="s">
        <v>166</v>
      </c>
      <c r="T110" s="697">
        <v>6.0</v>
      </c>
      <c r="U110" s="48">
        <v>1.0</v>
      </c>
      <c r="V110" s="48" t="s">
        <v>166</v>
      </c>
      <c r="W110" s="48" t="s">
        <v>166</v>
      </c>
      <c r="X110" s="48" t="s">
        <v>166</v>
      </c>
      <c r="Y110" s="48" t="s">
        <v>166</v>
      </c>
      <c r="Z110" s="48" t="s">
        <v>166</v>
      </c>
      <c r="AA110" s="48" t="s">
        <v>166</v>
      </c>
      <c r="AB110" s="48">
        <f t="shared" si="1"/>
        <v>7</v>
      </c>
      <c r="AC110" s="48">
        <v>1.0</v>
      </c>
      <c r="AD110" s="48">
        <v>1.0</v>
      </c>
      <c r="AE110" s="48" t="s">
        <v>166</v>
      </c>
      <c r="AF110" s="697">
        <v>2.0</v>
      </c>
      <c r="AG110" s="48" t="s">
        <v>5140</v>
      </c>
      <c r="AH110" s="48">
        <v>1.0</v>
      </c>
      <c r="AI110" s="48">
        <v>1.0</v>
      </c>
      <c r="AJ110" s="705" t="s">
        <v>4966</v>
      </c>
      <c r="AK110" s="48" t="s">
        <v>5165</v>
      </c>
      <c r="AL110" s="48">
        <v>867.0</v>
      </c>
      <c r="AM110" s="48">
        <v>4.2</v>
      </c>
      <c r="AN110" s="48" t="s">
        <v>4952</v>
      </c>
      <c r="AO110" s="48" t="s">
        <v>166</v>
      </c>
      <c r="AP110" s="48">
        <v>3.0</v>
      </c>
      <c r="AQ110" s="48" t="s">
        <v>166</v>
      </c>
      <c r="AR110" s="48">
        <v>1.0</v>
      </c>
      <c r="AS110" s="48">
        <v>2.0</v>
      </c>
      <c r="AT110" s="48" t="s">
        <v>166</v>
      </c>
      <c r="AU110" s="48" t="s">
        <v>166</v>
      </c>
      <c r="AV110" s="48">
        <v>3.0</v>
      </c>
      <c r="AW110" s="48">
        <v>1.0</v>
      </c>
      <c r="AX110" s="48">
        <v>1.0</v>
      </c>
      <c r="AY110" s="48" t="s">
        <v>166</v>
      </c>
      <c r="AZ110" s="48" t="s">
        <v>166</v>
      </c>
      <c r="BA110" s="48" t="s">
        <v>5204</v>
      </c>
      <c r="BB110" s="48" t="s">
        <v>4962</v>
      </c>
      <c r="BC110" s="48" t="s">
        <v>4963</v>
      </c>
      <c r="BD110" s="48">
        <v>4.0</v>
      </c>
      <c r="BE110" s="698" t="s">
        <v>5205</v>
      </c>
      <c r="BF110" s="699"/>
      <c r="BG110" s="66"/>
      <c r="BH110" s="66"/>
      <c r="BI110" s="66"/>
      <c r="BJ110" s="66"/>
      <c r="BK110" s="66"/>
      <c r="BL110" s="66"/>
      <c r="BM110" s="66"/>
      <c r="BN110" s="66"/>
      <c r="BO110" s="66"/>
      <c r="BP110" s="66"/>
      <c r="BQ110" s="66"/>
      <c r="BR110" s="66"/>
      <c r="BS110" s="66"/>
    </row>
    <row r="111">
      <c r="A111" s="700" t="s">
        <v>1688</v>
      </c>
      <c r="B111" s="700" t="s">
        <v>5184</v>
      </c>
      <c r="C111" s="700" t="s">
        <v>5206</v>
      </c>
      <c r="D111" s="291" t="str">
        <f>HYPERLINK("https://www.msi.com/index.php","MSI")</f>
        <v>MSI</v>
      </c>
      <c r="E111" s="291" t="str">
        <f>HYPERLINK("https://www.msi.com/Motherboard/Z370I-GAMING-PRO-CARBON-AC.html","Z370I GAMING PRO CARBON AC")</f>
        <v>Z370I GAMING PRO CARBON AC</v>
      </c>
      <c r="F111" s="700" t="s">
        <v>4948</v>
      </c>
      <c r="G111" s="700" t="s">
        <v>166</v>
      </c>
      <c r="H111" s="700" t="s">
        <v>174</v>
      </c>
      <c r="I111" s="700" t="s">
        <v>174</v>
      </c>
      <c r="J111" s="700" t="s">
        <v>166</v>
      </c>
      <c r="K111" s="700" t="s">
        <v>174</v>
      </c>
      <c r="L111" s="700">
        <v>2.0</v>
      </c>
      <c r="M111" s="700" t="s">
        <v>3149</v>
      </c>
      <c r="N111" s="700">
        <v>32.0</v>
      </c>
      <c r="O111" s="700" t="s">
        <v>5215</v>
      </c>
      <c r="P111" s="700">
        <v>4.0</v>
      </c>
      <c r="Q111" s="709" t="s">
        <v>4950</v>
      </c>
      <c r="R111" s="702">
        <v>2.0</v>
      </c>
      <c r="S111" s="702" t="s">
        <v>166</v>
      </c>
      <c r="T111" s="702">
        <v>2.0</v>
      </c>
      <c r="U111" s="700" t="s">
        <v>166</v>
      </c>
      <c r="V111" s="700">
        <v>1.0</v>
      </c>
      <c r="W111" s="700">
        <v>1.0</v>
      </c>
      <c r="X111" s="700" t="s">
        <v>166</v>
      </c>
      <c r="Y111" s="700" t="s">
        <v>166</v>
      </c>
      <c r="Z111" s="700" t="s">
        <v>166</v>
      </c>
      <c r="AA111" s="700" t="s">
        <v>166</v>
      </c>
      <c r="AB111" s="700">
        <f t="shared" si="1"/>
        <v>6</v>
      </c>
      <c r="AC111" s="700">
        <v>1.0</v>
      </c>
      <c r="AD111" s="700">
        <v>1.0</v>
      </c>
      <c r="AE111" s="700" t="s">
        <v>166</v>
      </c>
      <c r="AF111" s="702">
        <v>1.0</v>
      </c>
      <c r="AG111" s="700" t="s">
        <v>5133</v>
      </c>
      <c r="AH111" s="700">
        <v>1.0</v>
      </c>
      <c r="AI111" s="700">
        <v>1.0</v>
      </c>
      <c r="AJ111" s="700" t="s">
        <v>4966</v>
      </c>
      <c r="AK111" s="700" t="s">
        <v>5165</v>
      </c>
      <c r="AL111" s="700">
        <v>867.0</v>
      </c>
      <c r="AM111" s="700">
        <v>4.2</v>
      </c>
      <c r="AN111" s="700" t="s">
        <v>4952</v>
      </c>
      <c r="AO111" s="700" t="s">
        <v>174</v>
      </c>
      <c r="AP111" s="700">
        <v>5.0</v>
      </c>
      <c r="AQ111" s="700">
        <v>1.0</v>
      </c>
      <c r="AR111" s="700">
        <v>1.0</v>
      </c>
      <c r="AS111" s="700">
        <v>1.0</v>
      </c>
      <c r="AT111" s="700" t="s">
        <v>166</v>
      </c>
      <c r="AU111" s="700" t="s">
        <v>166</v>
      </c>
      <c r="AV111" s="700">
        <v>2.0</v>
      </c>
      <c r="AW111" s="700">
        <v>1.0</v>
      </c>
      <c r="AX111" s="700">
        <v>1.0</v>
      </c>
      <c r="AY111" s="700" t="s">
        <v>174</v>
      </c>
      <c r="AZ111" s="700" t="s">
        <v>166</v>
      </c>
      <c r="BA111" s="700" t="s">
        <v>5216</v>
      </c>
      <c r="BB111" s="700" t="s">
        <v>4954</v>
      </c>
      <c r="BC111" s="700" t="s">
        <v>5217</v>
      </c>
      <c r="BD111" s="700">
        <v>6.0</v>
      </c>
      <c r="BE111" s="703" t="s">
        <v>5218</v>
      </c>
      <c r="BF111" s="704"/>
      <c r="BG111" s="66"/>
      <c r="BH111" s="66"/>
      <c r="BI111" s="66"/>
      <c r="BJ111" s="66"/>
      <c r="BK111" s="66"/>
      <c r="BL111" s="66"/>
      <c r="BM111" s="66"/>
      <c r="BN111" s="66"/>
      <c r="BO111" s="66"/>
      <c r="BP111" s="66"/>
      <c r="BQ111" s="66"/>
      <c r="BR111" s="66"/>
      <c r="BS111" s="66"/>
    </row>
    <row r="112">
      <c r="A112" s="705" t="s">
        <v>1688</v>
      </c>
      <c r="B112" s="705" t="s">
        <v>5184</v>
      </c>
      <c r="C112" s="705" t="s">
        <v>5219</v>
      </c>
      <c r="D112" s="282" t="s">
        <v>169</v>
      </c>
      <c r="E112" s="282" t="str">
        <f>HYPERLINK("https://www.asrock.com/MB/Intel/Z390%20Phantom%20Gaming-ITXac/index.asp","Z390 Phantom Gaming-ITX/ac")</f>
        <v>Z390 Phantom Gaming-ITX/ac</v>
      </c>
      <c r="F112" s="705" t="s">
        <v>4948</v>
      </c>
      <c r="G112" s="705" t="s">
        <v>174</v>
      </c>
      <c r="H112" s="705" t="s">
        <v>174</v>
      </c>
      <c r="I112" s="705" t="s">
        <v>174</v>
      </c>
      <c r="J112" s="705" t="s">
        <v>166</v>
      </c>
      <c r="K112" s="705" t="s">
        <v>174</v>
      </c>
      <c r="L112" s="705">
        <v>2.0</v>
      </c>
      <c r="M112" s="705" t="s">
        <v>3149</v>
      </c>
      <c r="N112" s="705">
        <v>64.0</v>
      </c>
      <c r="O112" s="705" t="s">
        <v>5215</v>
      </c>
      <c r="P112" s="705">
        <v>4.0</v>
      </c>
      <c r="Q112" s="708" t="s">
        <v>5220</v>
      </c>
      <c r="R112" s="707" t="s">
        <v>166</v>
      </c>
      <c r="S112" s="707" t="s">
        <v>166</v>
      </c>
      <c r="T112" s="707">
        <v>2.0</v>
      </c>
      <c r="U112" s="705" t="s">
        <v>166</v>
      </c>
      <c r="V112" s="705">
        <v>4.0</v>
      </c>
      <c r="W112" s="705" t="s">
        <v>166</v>
      </c>
      <c r="X112" s="705" t="s">
        <v>166</v>
      </c>
      <c r="Y112" s="705" t="s">
        <v>166</v>
      </c>
      <c r="Z112" s="705">
        <v>1.0</v>
      </c>
      <c r="AA112" s="705" t="s">
        <v>166</v>
      </c>
      <c r="AB112" s="705">
        <f t="shared" si="1"/>
        <v>7</v>
      </c>
      <c r="AC112" s="705">
        <v>1.0</v>
      </c>
      <c r="AD112" s="705">
        <v>1.0</v>
      </c>
      <c r="AE112" s="705" t="s">
        <v>166</v>
      </c>
      <c r="AF112" s="707">
        <v>1.0</v>
      </c>
      <c r="AG112" s="705" t="s">
        <v>5133</v>
      </c>
      <c r="AH112" s="705">
        <v>1.0</v>
      </c>
      <c r="AI112" s="705">
        <v>1.0</v>
      </c>
      <c r="AJ112" s="705" t="s">
        <v>4966</v>
      </c>
      <c r="AK112" s="705" t="s">
        <v>5192</v>
      </c>
      <c r="AL112" s="705">
        <v>1733.0</v>
      </c>
      <c r="AM112" s="705">
        <v>5.0</v>
      </c>
      <c r="AN112" s="705" t="s">
        <v>4952</v>
      </c>
      <c r="AO112" s="705" t="s">
        <v>174</v>
      </c>
      <c r="AP112" s="705">
        <v>5.0</v>
      </c>
      <c r="AQ112" s="705">
        <v>1.0</v>
      </c>
      <c r="AR112" s="705">
        <v>1.0</v>
      </c>
      <c r="AS112" s="705">
        <v>1.0</v>
      </c>
      <c r="AT112" s="705" t="s">
        <v>166</v>
      </c>
      <c r="AU112" s="705" t="s">
        <v>166</v>
      </c>
      <c r="AV112" s="705">
        <v>3.0</v>
      </c>
      <c r="AW112" s="705">
        <v>1.0</v>
      </c>
      <c r="AX112" s="705">
        <v>1.0</v>
      </c>
      <c r="AY112" s="705" t="s">
        <v>166</v>
      </c>
      <c r="AZ112" s="705" t="s">
        <v>166</v>
      </c>
      <c r="BA112" s="705" t="s">
        <v>5208</v>
      </c>
      <c r="BB112" s="705" t="s">
        <v>5091</v>
      </c>
      <c r="BC112" s="705" t="s">
        <v>4963</v>
      </c>
      <c r="BD112" s="705">
        <v>5.0</v>
      </c>
      <c r="BE112" s="708" t="s">
        <v>5065</v>
      </c>
      <c r="BF112" s="708"/>
      <c r="BG112" s="66"/>
      <c r="BH112" s="66"/>
      <c r="BI112" s="66"/>
      <c r="BJ112" s="66"/>
      <c r="BK112" s="66"/>
      <c r="BL112" s="66"/>
      <c r="BM112" s="66"/>
      <c r="BN112" s="66"/>
      <c r="BO112" s="66"/>
      <c r="BP112" s="66"/>
      <c r="BQ112" s="66"/>
      <c r="BR112" s="66"/>
      <c r="BS112" s="66"/>
    </row>
    <row r="113">
      <c r="A113" s="48" t="s">
        <v>1688</v>
      </c>
      <c r="B113" s="48" t="s">
        <v>5184</v>
      </c>
      <c r="C113" s="48" t="s">
        <v>5219</v>
      </c>
      <c r="D113" s="174" t="s">
        <v>169</v>
      </c>
      <c r="E113" s="174" t="str">
        <f>HYPERLINK("https://www.asrock.com/mb/Intel/Z390M-ITXac/index.asp","Z390M-ITX/ac")</f>
        <v>Z390M-ITX/ac</v>
      </c>
      <c r="F113" s="48" t="s">
        <v>4948</v>
      </c>
      <c r="G113" s="48" t="s">
        <v>174</v>
      </c>
      <c r="H113" s="48" t="s">
        <v>174</v>
      </c>
      <c r="I113" s="48" t="s">
        <v>174</v>
      </c>
      <c r="J113" s="48" t="s">
        <v>166</v>
      </c>
      <c r="K113" s="48" t="s">
        <v>166</v>
      </c>
      <c r="L113" s="48">
        <v>2.0</v>
      </c>
      <c r="M113" s="48" t="s">
        <v>3149</v>
      </c>
      <c r="N113" s="48">
        <v>64.0</v>
      </c>
      <c r="O113" s="48" t="s">
        <v>4996</v>
      </c>
      <c r="P113" s="48">
        <v>6.0</v>
      </c>
      <c r="Q113" s="710" t="s">
        <v>4950</v>
      </c>
      <c r="R113" s="697">
        <v>2.0</v>
      </c>
      <c r="S113" s="697" t="s">
        <v>166</v>
      </c>
      <c r="T113" s="697" t="s">
        <v>166</v>
      </c>
      <c r="U113" s="48" t="s">
        <v>166</v>
      </c>
      <c r="V113" s="48">
        <v>5.0</v>
      </c>
      <c r="W113" s="48">
        <v>1.0</v>
      </c>
      <c r="X113" s="48" t="s">
        <v>166</v>
      </c>
      <c r="Y113" s="48" t="s">
        <v>166</v>
      </c>
      <c r="Z113" s="48" t="s">
        <v>166</v>
      </c>
      <c r="AA113" s="48" t="s">
        <v>166</v>
      </c>
      <c r="AB113" s="48">
        <f t="shared" si="1"/>
        <v>8</v>
      </c>
      <c r="AC113" s="48">
        <v>1.0</v>
      </c>
      <c r="AD113" s="48">
        <v>1.0</v>
      </c>
      <c r="AE113" s="48" t="s">
        <v>166</v>
      </c>
      <c r="AF113" s="697">
        <v>2.0</v>
      </c>
      <c r="AG113" s="48" t="s">
        <v>5140</v>
      </c>
      <c r="AH113" s="48">
        <v>1.0</v>
      </c>
      <c r="AI113" s="48">
        <v>1.0</v>
      </c>
      <c r="AJ113" s="705" t="s">
        <v>4966</v>
      </c>
      <c r="AK113" s="48" t="s">
        <v>4981</v>
      </c>
      <c r="AL113" s="48">
        <v>433.0</v>
      </c>
      <c r="AM113" s="48">
        <v>4.2</v>
      </c>
      <c r="AN113" s="48" t="s">
        <v>4977</v>
      </c>
      <c r="AO113" s="48" t="s">
        <v>166</v>
      </c>
      <c r="AP113" s="48">
        <v>3.0</v>
      </c>
      <c r="AQ113" s="48">
        <v>1.0</v>
      </c>
      <c r="AR113" s="48">
        <v>1.0</v>
      </c>
      <c r="AS113" s="48">
        <v>2.0</v>
      </c>
      <c r="AT113" s="48" t="s">
        <v>166</v>
      </c>
      <c r="AU113" s="48" t="s">
        <v>166</v>
      </c>
      <c r="AV113" s="48">
        <v>3.0</v>
      </c>
      <c r="AW113" s="48" t="s">
        <v>166</v>
      </c>
      <c r="AX113" s="48" t="s">
        <v>166</v>
      </c>
      <c r="AY113" s="48" t="s">
        <v>166</v>
      </c>
      <c r="AZ113" s="48" t="s">
        <v>166</v>
      </c>
      <c r="BA113" s="48" t="s">
        <v>5221</v>
      </c>
      <c r="BB113" s="48" t="s">
        <v>5034</v>
      </c>
      <c r="BC113" s="48" t="s">
        <v>4955</v>
      </c>
      <c r="BD113" s="48">
        <v>8.0</v>
      </c>
      <c r="BE113" s="698" t="s">
        <v>4987</v>
      </c>
      <c r="BF113" s="698"/>
      <c r="BG113" s="66"/>
      <c r="BH113" s="66"/>
      <c r="BI113" s="66"/>
      <c r="BJ113" s="66"/>
      <c r="BK113" s="66"/>
      <c r="BL113" s="66"/>
      <c r="BM113" s="66"/>
      <c r="BN113" s="66"/>
      <c r="BO113" s="66"/>
      <c r="BP113" s="66"/>
      <c r="BQ113" s="66"/>
      <c r="BR113" s="66"/>
      <c r="BS113" s="66"/>
    </row>
    <row r="114">
      <c r="A114" s="48" t="s">
        <v>1688</v>
      </c>
      <c r="B114" s="48" t="s">
        <v>5184</v>
      </c>
      <c r="C114" s="48" t="s">
        <v>5219</v>
      </c>
      <c r="D114" s="174" t="str">
        <f>HYPERLINK("https://www.asus.com/","Asus")</f>
        <v>Asus</v>
      </c>
      <c r="E114" s="174" t="s">
        <v>5222</v>
      </c>
      <c r="F114" s="48" t="s">
        <v>4948</v>
      </c>
      <c r="G114" s="48" t="s">
        <v>174</v>
      </c>
      <c r="H114" s="48" t="s">
        <v>174</v>
      </c>
      <c r="I114" s="48" t="s">
        <v>174</v>
      </c>
      <c r="J114" s="48" t="s">
        <v>166</v>
      </c>
      <c r="K114" s="48" t="s">
        <v>166</v>
      </c>
      <c r="L114" s="48">
        <v>2.0</v>
      </c>
      <c r="M114" s="48" t="s">
        <v>3149</v>
      </c>
      <c r="N114" s="48">
        <v>64.0</v>
      </c>
      <c r="O114" s="48" t="s">
        <v>5223</v>
      </c>
      <c r="P114" s="48">
        <v>4.0</v>
      </c>
      <c r="Q114" s="698" t="s">
        <v>5224</v>
      </c>
      <c r="R114" s="697">
        <v>2.0</v>
      </c>
      <c r="S114" s="697" t="s">
        <v>166</v>
      </c>
      <c r="T114" s="697">
        <v>2.0</v>
      </c>
      <c r="U114" s="48">
        <v>1.0</v>
      </c>
      <c r="V114" s="48">
        <v>2.0</v>
      </c>
      <c r="W114" s="48" t="s">
        <v>166</v>
      </c>
      <c r="X114" s="48" t="s">
        <v>166</v>
      </c>
      <c r="Y114" s="48" t="s">
        <v>166</v>
      </c>
      <c r="Z114" s="48" t="s">
        <v>166</v>
      </c>
      <c r="AA114" s="48" t="s">
        <v>166</v>
      </c>
      <c r="AB114" s="48">
        <f t="shared" si="1"/>
        <v>7</v>
      </c>
      <c r="AC114" s="48">
        <v>1.0</v>
      </c>
      <c r="AD114" s="48">
        <v>1.0</v>
      </c>
      <c r="AE114" s="48" t="s">
        <v>5025</v>
      </c>
      <c r="AF114" s="697">
        <v>1.0</v>
      </c>
      <c r="AG114" s="48" t="s">
        <v>5133</v>
      </c>
      <c r="AH114" s="48">
        <v>1.0</v>
      </c>
      <c r="AI114" s="48">
        <v>1.0</v>
      </c>
      <c r="AJ114" s="705" t="s">
        <v>4966</v>
      </c>
      <c r="AK114" s="48" t="s">
        <v>5192</v>
      </c>
      <c r="AL114" s="48">
        <v>1733.0</v>
      </c>
      <c r="AM114" s="48">
        <v>5.0</v>
      </c>
      <c r="AN114" s="48" t="s">
        <v>4971</v>
      </c>
      <c r="AO114" s="48" t="s">
        <v>174</v>
      </c>
      <c r="AP114" s="48">
        <v>5.0</v>
      </c>
      <c r="AQ114" s="48" t="s">
        <v>166</v>
      </c>
      <c r="AR114" s="48">
        <v>1.0</v>
      </c>
      <c r="AS114" s="48">
        <v>1.0</v>
      </c>
      <c r="AT114" s="48" t="s">
        <v>166</v>
      </c>
      <c r="AU114" s="48" t="s">
        <v>166</v>
      </c>
      <c r="AV114" s="48">
        <v>3.0</v>
      </c>
      <c r="AW114" s="48">
        <v>1.0</v>
      </c>
      <c r="AX114" s="48">
        <v>1.0</v>
      </c>
      <c r="AY114" s="48" t="s">
        <v>174</v>
      </c>
      <c r="AZ114" s="48" t="s">
        <v>174</v>
      </c>
      <c r="BA114" s="48" t="s">
        <v>5225</v>
      </c>
      <c r="BB114" s="48" t="s">
        <v>5226</v>
      </c>
      <c r="BC114" s="48" t="s">
        <v>4955</v>
      </c>
      <c r="BD114" s="48">
        <v>8.0</v>
      </c>
      <c r="BE114" s="698" t="s">
        <v>5227</v>
      </c>
      <c r="BF114" s="698"/>
      <c r="BG114" s="66"/>
      <c r="BH114" s="66"/>
      <c r="BI114" s="66"/>
      <c r="BJ114" s="66"/>
      <c r="BK114" s="66"/>
      <c r="BL114" s="66"/>
      <c r="BM114" s="66"/>
      <c r="BN114" s="66"/>
      <c r="BO114" s="66"/>
      <c r="BP114" s="66"/>
      <c r="BQ114" s="66"/>
      <c r="BR114" s="66"/>
      <c r="BS114" s="66"/>
    </row>
    <row r="115">
      <c r="A115" s="48" t="s">
        <v>1688</v>
      </c>
      <c r="B115" s="48" t="s">
        <v>5184</v>
      </c>
      <c r="C115" s="48" t="s">
        <v>5219</v>
      </c>
      <c r="D115" s="174" t="str">
        <f>HYPERLINK("https://www.gigabyte.com/","Gigabyte")</f>
        <v>Gigabyte</v>
      </c>
      <c r="E115" s="174" t="str">
        <f>HYPERLINK("https://www.gigabyte.com/Motherboard/Z390-I-AORUS-PRO-WIFI-rev-10#kf","Z390 I AORUS PRO WIFI")</f>
        <v>Z390 I AORUS PRO WIFI</v>
      </c>
      <c r="F115" s="48" t="s">
        <v>4948</v>
      </c>
      <c r="G115" s="48" t="s">
        <v>166</v>
      </c>
      <c r="H115" s="48" t="s">
        <v>174</v>
      </c>
      <c r="I115" s="48" t="s">
        <v>174</v>
      </c>
      <c r="J115" s="48" t="s">
        <v>166</v>
      </c>
      <c r="K115" s="48" t="s">
        <v>166</v>
      </c>
      <c r="L115" s="48">
        <v>2.0</v>
      </c>
      <c r="M115" s="48" t="s">
        <v>3149</v>
      </c>
      <c r="N115" s="48">
        <v>64.0</v>
      </c>
      <c r="O115" s="48" t="s">
        <v>5213</v>
      </c>
      <c r="P115" s="48">
        <v>4.0</v>
      </c>
      <c r="Q115" s="698" t="s">
        <v>5228</v>
      </c>
      <c r="R115" s="697" t="s">
        <v>166</v>
      </c>
      <c r="S115" s="697" t="s">
        <v>166</v>
      </c>
      <c r="T115" s="697">
        <v>4.0</v>
      </c>
      <c r="U115" s="48" t="s">
        <v>166</v>
      </c>
      <c r="V115" s="48">
        <v>1.0</v>
      </c>
      <c r="W115" s="48">
        <v>1.0</v>
      </c>
      <c r="X115" s="48" t="s">
        <v>166</v>
      </c>
      <c r="Y115" s="48" t="s">
        <v>166</v>
      </c>
      <c r="Z115" s="48" t="s">
        <v>166</v>
      </c>
      <c r="AA115" s="48" t="s">
        <v>166</v>
      </c>
      <c r="AB115" s="48">
        <f t="shared" si="1"/>
        <v>6</v>
      </c>
      <c r="AC115" s="48">
        <v>1.0</v>
      </c>
      <c r="AD115" s="48">
        <v>1.0</v>
      </c>
      <c r="AE115" s="48" t="s">
        <v>5049</v>
      </c>
      <c r="AF115" s="697">
        <v>1.0</v>
      </c>
      <c r="AG115" s="48" t="s">
        <v>5133</v>
      </c>
      <c r="AH115" s="48">
        <v>1.0</v>
      </c>
      <c r="AI115" s="48">
        <v>1.0</v>
      </c>
      <c r="AJ115" s="705" t="s">
        <v>4966</v>
      </c>
      <c r="AK115" s="48" t="s">
        <v>5192</v>
      </c>
      <c r="AL115" s="48">
        <v>1733.0</v>
      </c>
      <c r="AM115" s="48">
        <v>5.0</v>
      </c>
      <c r="AN115" s="48" t="s">
        <v>4998</v>
      </c>
      <c r="AO115" s="48" t="s">
        <v>174</v>
      </c>
      <c r="AP115" s="48">
        <v>5.0</v>
      </c>
      <c r="AQ115" s="48" t="s">
        <v>166</v>
      </c>
      <c r="AR115" s="48">
        <v>1.0</v>
      </c>
      <c r="AS115" s="48">
        <v>1.0</v>
      </c>
      <c r="AT115" s="48" t="s">
        <v>166</v>
      </c>
      <c r="AU115" s="48" t="s">
        <v>166</v>
      </c>
      <c r="AV115" s="48">
        <v>3.0</v>
      </c>
      <c r="AW115" s="48">
        <v>1.0</v>
      </c>
      <c r="AX115" s="48">
        <v>1.0</v>
      </c>
      <c r="AY115" s="48" t="s">
        <v>166</v>
      </c>
      <c r="AZ115" s="48" t="s">
        <v>166</v>
      </c>
      <c r="BA115" s="48" t="s">
        <v>4982</v>
      </c>
      <c r="BB115" s="48" t="s">
        <v>4954</v>
      </c>
      <c r="BC115" s="48" t="s">
        <v>4963</v>
      </c>
      <c r="BD115" s="48">
        <v>6.0</v>
      </c>
      <c r="BE115" s="698" t="s">
        <v>4994</v>
      </c>
      <c r="BF115" s="699"/>
      <c r="BG115" s="66"/>
      <c r="BH115" s="66"/>
      <c r="BI115" s="66"/>
      <c r="BJ115" s="66"/>
      <c r="BK115" s="66"/>
      <c r="BL115" s="66"/>
      <c r="BM115" s="66"/>
      <c r="BN115" s="66"/>
      <c r="BO115" s="66"/>
      <c r="BP115" s="66"/>
      <c r="BQ115" s="66"/>
      <c r="BR115" s="66"/>
      <c r="BS115" s="66"/>
    </row>
    <row r="116">
      <c r="A116" s="700" t="s">
        <v>1688</v>
      </c>
      <c r="B116" s="700" t="s">
        <v>5184</v>
      </c>
      <c r="C116" s="700" t="s">
        <v>5219</v>
      </c>
      <c r="D116" s="291" t="str">
        <f>HYPERLINK("https://www.msi.com/index.php","MSI")</f>
        <v>MSI</v>
      </c>
      <c r="E116" s="291" t="str">
        <f>HYPERLINK("https://www.msi.com/Motherboard/MPG-Z390I-GAMING-EDGE-AC","MPG Z390I GAMING EDGE AC")</f>
        <v>MPG Z390I GAMING EDGE AC</v>
      </c>
      <c r="F116" s="700" t="s">
        <v>4948</v>
      </c>
      <c r="G116" s="700" t="s">
        <v>166</v>
      </c>
      <c r="H116" s="700" t="s">
        <v>174</v>
      </c>
      <c r="I116" s="700" t="s">
        <v>174</v>
      </c>
      <c r="J116" s="700" t="s">
        <v>166</v>
      </c>
      <c r="K116" s="700" t="s">
        <v>166</v>
      </c>
      <c r="L116" s="700">
        <v>2.0</v>
      </c>
      <c r="M116" s="700" t="s">
        <v>3149</v>
      </c>
      <c r="N116" s="700">
        <v>64.0</v>
      </c>
      <c r="O116" s="700" t="s">
        <v>5223</v>
      </c>
      <c r="P116" s="700">
        <v>4.0</v>
      </c>
      <c r="Q116" s="703" t="s">
        <v>5229</v>
      </c>
      <c r="R116" s="702">
        <v>2.0</v>
      </c>
      <c r="S116" s="702" t="s">
        <v>166</v>
      </c>
      <c r="T116" s="702">
        <v>2.0</v>
      </c>
      <c r="U116" s="700" t="s">
        <v>166</v>
      </c>
      <c r="V116" s="700">
        <v>2.0</v>
      </c>
      <c r="W116" s="700" t="s">
        <v>166</v>
      </c>
      <c r="X116" s="700" t="s">
        <v>166</v>
      </c>
      <c r="Y116" s="700" t="s">
        <v>166</v>
      </c>
      <c r="Z116" s="700" t="s">
        <v>166</v>
      </c>
      <c r="AA116" s="700" t="s">
        <v>166</v>
      </c>
      <c r="AB116" s="700">
        <f t="shared" si="1"/>
        <v>6</v>
      </c>
      <c r="AC116" s="700">
        <v>1.0</v>
      </c>
      <c r="AD116" s="700">
        <v>1.0</v>
      </c>
      <c r="AE116" s="700" t="s">
        <v>166</v>
      </c>
      <c r="AF116" s="702">
        <v>1.0</v>
      </c>
      <c r="AG116" s="700" t="s">
        <v>4959</v>
      </c>
      <c r="AH116" s="700">
        <v>1.0</v>
      </c>
      <c r="AI116" s="700">
        <v>1.0</v>
      </c>
      <c r="AJ116" s="700" t="s">
        <v>4966</v>
      </c>
      <c r="AK116" s="700" t="s">
        <v>5195</v>
      </c>
      <c r="AL116" s="700">
        <v>433.0</v>
      </c>
      <c r="AM116" s="700">
        <v>5.0</v>
      </c>
      <c r="AN116" s="700" t="s">
        <v>4977</v>
      </c>
      <c r="AO116" s="700" t="s">
        <v>174</v>
      </c>
      <c r="AP116" s="700">
        <v>5.0</v>
      </c>
      <c r="AQ116" s="700" t="s">
        <v>166</v>
      </c>
      <c r="AR116" s="700">
        <v>1.0</v>
      </c>
      <c r="AS116" s="700">
        <v>1.0</v>
      </c>
      <c r="AT116" s="700" t="s">
        <v>166</v>
      </c>
      <c r="AU116" s="700" t="s">
        <v>166</v>
      </c>
      <c r="AV116" s="700">
        <v>3.0</v>
      </c>
      <c r="AW116" s="700">
        <v>1.0</v>
      </c>
      <c r="AX116" s="700" t="s">
        <v>166</v>
      </c>
      <c r="AY116" s="700" t="s">
        <v>174</v>
      </c>
      <c r="AZ116" s="700" t="s">
        <v>166</v>
      </c>
      <c r="BA116" s="700" t="s">
        <v>5230</v>
      </c>
      <c r="BB116" s="700" t="s">
        <v>4973</v>
      </c>
      <c r="BC116" s="700" t="s">
        <v>4963</v>
      </c>
      <c r="BD116" s="700">
        <v>6.0</v>
      </c>
      <c r="BE116" s="703" t="s">
        <v>5150</v>
      </c>
      <c r="BF116" s="704"/>
      <c r="BG116" s="66"/>
      <c r="BH116" s="66"/>
      <c r="BI116" s="66"/>
      <c r="BJ116" s="66"/>
      <c r="BK116" s="66"/>
      <c r="BL116" s="66"/>
      <c r="BM116" s="66"/>
      <c r="BN116" s="66"/>
      <c r="BO116" s="66"/>
      <c r="BP116" s="66"/>
      <c r="BQ116" s="66"/>
      <c r="BR116" s="66"/>
      <c r="BS116" s="66"/>
    </row>
    <row r="117">
      <c r="A117" s="705" t="s">
        <v>1688</v>
      </c>
      <c r="B117" s="705">
        <v>1200.0</v>
      </c>
      <c r="C117" s="705" t="s">
        <v>5231</v>
      </c>
      <c r="D117" s="282" t="s">
        <v>169</v>
      </c>
      <c r="E117" s="282" t="s">
        <v>5232</v>
      </c>
      <c r="F117" s="705" t="s">
        <v>4948</v>
      </c>
      <c r="G117" s="705" t="s">
        <v>166</v>
      </c>
      <c r="H117" s="705" t="s">
        <v>166</v>
      </c>
      <c r="I117" s="705" t="s">
        <v>166</v>
      </c>
      <c r="J117" s="705" t="s">
        <v>166</v>
      </c>
      <c r="K117" s="705" t="s">
        <v>166</v>
      </c>
      <c r="L117" s="705">
        <v>2.0</v>
      </c>
      <c r="M117" s="705" t="s">
        <v>3149</v>
      </c>
      <c r="N117" s="705">
        <v>64.0</v>
      </c>
      <c r="O117" s="705">
        <v>2933.0</v>
      </c>
      <c r="P117" s="705">
        <v>4.0</v>
      </c>
      <c r="Q117" s="711" t="s">
        <v>4950</v>
      </c>
      <c r="R117" s="707">
        <v>2.0</v>
      </c>
      <c r="S117" s="707" t="s">
        <v>166</v>
      </c>
      <c r="T117" s="707">
        <v>2.0</v>
      </c>
      <c r="U117" s="705" t="s">
        <v>166</v>
      </c>
      <c r="V117" s="705" t="s">
        <v>166</v>
      </c>
      <c r="W117" s="705" t="s">
        <v>166</v>
      </c>
      <c r="X117" s="705" t="s">
        <v>166</v>
      </c>
      <c r="Y117" s="705" t="s">
        <v>166</v>
      </c>
      <c r="Z117" s="705" t="s">
        <v>166</v>
      </c>
      <c r="AA117" s="705" t="s">
        <v>166</v>
      </c>
      <c r="AB117" s="705">
        <f t="shared" si="1"/>
        <v>4</v>
      </c>
      <c r="AC117" s="705">
        <v>1.0</v>
      </c>
      <c r="AD117" s="705">
        <v>1.0</v>
      </c>
      <c r="AE117" s="705" t="s">
        <v>166</v>
      </c>
      <c r="AF117" s="707">
        <v>1.0</v>
      </c>
      <c r="AG117" s="705" t="s">
        <v>5133</v>
      </c>
      <c r="AH117" s="705">
        <v>1.0</v>
      </c>
      <c r="AI117" s="705">
        <v>1.0</v>
      </c>
      <c r="AJ117" s="705" t="s">
        <v>4966</v>
      </c>
      <c r="AK117" s="705" t="s">
        <v>4967</v>
      </c>
      <c r="AL117" s="705">
        <v>433.0</v>
      </c>
      <c r="AM117" s="705">
        <v>4.2</v>
      </c>
      <c r="AN117" s="705" t="s">
        <v>4960</v>
      </c>
      <c r="AO117" s="705" t="s">
        <v>166</v>
      </c>
      <c r="AP117" s="705">
        <v>3.0</v>
      </c>
      <c r="AQ117" s="705">
        <v>1.0</v>
      </c>
      <c r="AR117" s="705">
        <v>1.0</v>
      </c>
      <c r="AS117" s="705">
        <v>1.0</v>
      </c>
      <c r="AT117" s="705" t="s">
        <v>166</v>
      </c>
      <c r="AU117" s="705" t="s">
        <v>166</v>
      </c>
      <c r="AV117" s="705">
        <v>3.0</v>
      </c>
      <c r="AW117" s="705">
        <v>1.0</v>
      </c>
      <c r="AX117" s="705">
        <v>1.0</v>
      </c>
      <c r="AY117" s="705" t="s">
        <v>166</v>
      </c>
      <c r="AZ117" s="705" t="s">
        <v>166</v>
      </c>
      <c r="BA117" s="705" t="s">
        <v>5233</v>
      </c>
      <c r="BB117" s="705" t="s">
        <v>5017</v>
      </c>
      <c r="BC117" s="705" t="s">
        <v>4963</v>
      </c>
      <c r="BD117" s="705">
        <v>4.0</v>
      </c>
      <c r="BE117" s="708" t="s">
        <v>5009</v>
      </c>
      <c r="BF117" s="708"/>
      <c r="BG117" s="66"/>
      <c r="BH117" s="66"/>
      <c r="BI117" s="66"/>
      <c r="BJ117" s="66"/>
      <c r="BK117" s="66"/>
      <c r="BL117" s="66"/>
      <c r="BM117" s="66"/>
      <c r="BN117" s="66"/>
      <c r="BO117" s="66"/>
      <c r="BP117" s="66"/>
      <c r="BQ117" s="66"/>
      <c r="BR117" s="66"/>
      <c r="BS117" s="66"/>
    </row>
    <row r="118">
      <c r="A118" s="48" t="s">
        <v>1688</v>
      </c>
      <c r="B118" s="48">
        <v>1200.0</v>
      </c>
      <c r="C118" s="48" t="s">
        <v>5231</v>
      </c>
      <c r="D118" s="174" t="str">
        <f>HYPERLINK("https://www.asus.com/","Asus")</f>
        <v>Asus</v>
      </c>
      <c r="E118" s="174" t="s">
        <v>5234</v>
      </c>
      <c r="F118" s="48" t="s">
        <v>4948</v>
      </c>
      <c r="G118" s="48" t="s">
        <v>166</v>
      </c>
      <c r="H118" s="48" t="s">
        <v>166</v>
      </c>
      <c r="I118" s="48" t="s">
        <v>166</v>
      </c>
      <c r="J118" s="48" t="s">
        <v>166</v>
      </c>
      <c r="K118" s="48" t="s">
        <v>166</v>
      </c>
      <c r="L118" s="48">
        <v>2.0</v>
      </c>
      <c r="M118" s="48" t="s">
        <v>3149</v>
      </c>
      <c r="N118" s="48">
        <v>64.0</v>
      </c>
      <c r="O118" s="48">
        <v>2666.0</v>
      </c>
      <c r="P118" s="48">
        <v>4.0</v>
      </c>
      <c r="Q118" s="710" t="s">
        <v>5062</v>
      </c>
      <c r="R118" s="697">
        <v>2.0</v>
      </c>
      <c r="S118" s="697" t="s">
        <v>166</v>
      </c>
      <c r="T118" s="697">
        <v>2.0</v>
      </c>
      <c r="U118" s="48" t="s">
        <v>166</v>
      </c>
      <c r="V118" s="48" t="s">
        <v>166</v>
      </c>
      <c r="W118" s="48" t="s">
        <v>166</v>
      </c>
      <c r="X118" s="48" t="s">
        <v>166</v>
      </c>
      <c r="Y118" s="48" t="s">
        <v>166</v>
      </c>
      <c r="Z118" s="48" t="s">
        <v>166</v>
      </c>
      <c r="AA118" s="48" t="s">
        <v>166</v>
      </c>
      <c r="AB118" s="48">
        <f t="shared" si="1"/>
        <v>4</v>
      </c>
      <c r="AC118" s="48">
        <v>1.0</v>
      </c>
      <c r="AD118" s="48">
        <v>1.0</v>
      </c>
      <c r="AE118" s="48" t="s">
        <v>166</v>
      </c>
      <c r="AF118" s="697">
        <v>1.0</v>
      </c>
      <c r="AG118" s="48" t="s">
        <v>4959</v>
      </c>
      <c r="AH118" s="48">
        <v>1.0</v>
      </c>
      <c r="AI118" s="48" t="s">
        <v>166</v>
      </c>
      <c r="AJ118" s="48" t="s">
        <v>166</v>
      </c>
      <c r="AK118" s="48" t="s">
        <v>166</v>
      </c>
      <c r="AL118" s="48" t="s">
        <v>166</v>
      </c>
      <c r="AM118" s="48" t="s">
        <v>166</v>
      </c>
      <c r="AN118" s="48" t="s">
        <v>4960</v>
      </c>
      <c r="AO118" s="48" t="s">
        <v>166</v>
      </c>
      <c r="AP118" s="48">
        <v>3.0</v>
      </c>
      <c r="AQ118" s="48">
        <v>1.0</v>
      </c>
      <c r="AR118" s="48" t="s">
        <v>166</v>
      </c>
      <c r="AS118" s="48">
        <v>1.0</v>
      </c>
      <c r="AT118" s="48" t="s">
        <v>166</v>
      </c>
      <c r="AU118" s="48">
        <v>1.0</v>
      </c>
      <c r="AV118" s="48">
        <v>3.0</v>
      </c>
      <c r="AW118" s="48" t="s">
        <v>166</v>
      </c>
      <c r="AX118" s="48" t="s">
        <v>166</v>
      </c>
      <c r="AY118" s="48" t="s">
        <v>166</v>
      </c>
      <c r="AZ118" s="48" t="s">
        <v>166</v>
      </c>
      <c r="BA118" s="48" t="s">
        <v>5235</v>
      </c>
      <c r="BB118" s="48" t="s">
        <v>5017</v>
      </c>
      <c r="BC118" s="48" t="s">
        <v>4963</v>
      </c>
      <c r="BD118" s="48">
        <v>4.0</v>
      </c>
      <c r="BE118" s="698" t="s">
        <v>5227</v>
      </c>
      <c r="BF118" s="698"/>
      <c r="BG118" s="66"/>
      <c r="BH118" s="66"/>
      <c r="BI118" s="66"/>
      <c r="BJ118" s="66"/>
      <c r="BK118" s="66"/>
      <c r="BL118" s="66"/>
      <c r="BM118" s="66"/>
      <c r="BN118" s="66"/>
      <c r="BO118" s="66"/>
      <c r="BP118" s="66"/>
      <c r="BQ118" s="66"/>
      <c r="BR118" s="66"/>
      <c r="BS118" s="66"/>
    </row>
    <row r="119">
      <c r="A119" s="48" t="s">
        <v>1688</v>
      </c>
      <c r="B119" s="48">
        <v>1200.0</v>
      </c>
      <c r="C119" s="48" t="s">
        <v>5231</v>
      </c>
      <c r="D119" s="174" t="str">
        <f>HYPERLINK("https://www.gigabyte.com/","Gigabyte")</f>
        <v>Gigabyte</v>
      </c>
      <c r="E119" s="174" t="s">
        <v>5236</v>
      </c>
      <c r="F119" s="48" t="s">
        <v>4948</v>
      </c>
      <c r="G119" s="48" t="s">
        <v>166</v>
      </c>
      <c r="H119" s="48" t="s">
        <v>166</v>
      </c>
      <c r="I119" s="48" t="s">
        <v>166</v>
      </c>
      <c r="J119" s="48" t="s">
        <v>166</v>
      </c>
      <c r="K119" s="48" t="s">
        <v>166</v>
      </c>
      <c r="L119" s="48">
        <v>2.0</v>
      </c>
      <c r="M119" s="48" t="s">
        <v>3149</v>
      </c>
      <c r="N119" s="48">
        <v>32.0</v>
      </c>
      <c r="O119" s="48">
        <v>2933.0</v>
      </c>
      <c r="P119" s="48">
        <v>4.0</v>
      </c>
      <c r="Q119" s="710" t="s">
        <v>4950</v>
      </c>
      <c r="R119" s="697" t="s">
        <v>166</v>
      </c>
      <c r="S119" s="697" t="s">
        <v>166</v>
      </c>
      <c r="T119" s="697">
        <v>4.0</v>
      </c>
      <c r="U119" s="48" t="s">
        <v>166</v>
      </c>
      <c r="V119" s="48" t="s">
        <v>166</v>
      </c>
      <c r="W119" s="48" t="s">
        <v>166</v>
      </c>
      <c r="X119" s="48" t="s">
        <v>166</v>
      </c>
      <c r="Y119" s="48" t="s">
        <v>166</v>
      </c>
      <c r="Z119" s="48" t="s">
        <v>166</v>
      </c>
      <c r="AA119" s="48" t="s">
        <v>166</v>
      </c>
      <c r="AB119" s="48">
        <f t="shared" si="1"/>
        <v>4</v>
      </c>
      <c r="AC119" s="48">
        <v>1.0</v>
      </c>
      <c r="AD119" s="48" t="s">
        <v>166</v>
      </c>
      <c r="AE119" s="48" t="s">
        <v>166</v>
      </c>
      <c r="AF119" s="697">
        <v>2.0</v>
      </c>
      <c r="AG119" s="48" t="s">
        <v>5140</v>
      </c>
      <c r="AH119" s="48">
        <v>1.0</v>
      </c>
      <c r="AI119" s="48">
        <v>1.0</v>
      </c>
      <c r="AJ119" s="48" t="s">
        <v>166</v>
      </c>
      <c r="AK119" s="48" t="s">
        <v>232</v>
      </c>
      <c r="AL119" s="48" t="s">
        <v>166</v>
      </c>
      <c r="AM119" s="48" t="s">
        <v>166</v>
      </c>
      <c r="AN119" s="48" t="s">
        <v>4960</v>
      </c>
      <c r="AO119" s="48" t="s">
        <v>166</v>
      </c>
      <c r="AP119" s="48">
        <v>2.0</v>
      </c>
      <c r="AQ119" s="48" t="s">
        <v>166</v>
      </c>
      <c r="AR119" s="48">
        <v>1.0</v>
      </c>
      <c r="AS119" s="48">
        <v>1.0</v>
      </c>
      <c r="AT119" s="48" t="s">
        <v>166</v>
      </c>
      <c r="AU119" s="48">
        <v>1.0</v>
      </c>
      <c r="AV119" s="48">
        <v>2.0</v>
      </c>
      <c r="AW119" s="48" t="s">
        <v>166</v>
      </c>
      <c r="AX119" s="48" t="s">
        <v>166</v>
      </c>
      <c r="AY119" s="48" t="s">
        <v>166</v>
      </c>
      <c r="AZ119" s="48" t="s">
        <v>166</v>
      </c>
      <c r="BA119" s="48" t="s">
        <v>170</v>
      </c>
      <c r="BB119" s="48" t="s">
        <v>170</v>
      </c>
      <c r="BC119" s="48" t="s">
        <v>170</v>
      </c>
      <c r="BD119" s="48" t="s">
        <v>170</v>
      </c>
      <c r="BE119" s="698" t="s">
        <v>170</v>
      </c>
      <c r="BF119" s="698"/>
      <c r="BG119" s="66"/>
      <c r="BH119" s="66"/>
      <c r="BI119" s="66"/>
      <c r="BJ119" s="66"/>
      <c r="BK119" s="66"/>
      <c r="BL119" s="66"/>
      <c r="BM119" s="66"/>
      <c r="BN119" s="66"/>
      <c r="BO119" s="66"/>
      <c r="BP119" s="66"/>
      <c r="BQ119" s="66"/>
      <c r="BR119" s="66"/>
      <c r="BS119" s="66"/>
    </row>
    <row r="120">
      <c r="A120" s="700" t="s">
        <v>1688</v>
      </c>
      <c r="B120" s="700">
        <v>1200.0</v>
      </c>
      <c r="C120" s="700" t="s">
        <v>5231</v>
      </c>
      <c r="D120" s="291" t="str">
        <f>HYPERLINK("https://www.msi.com/index.php","MSI")</f>
        <v>MSI</v>
      </c>
      <c r="E120" s="291" t="s">
        <v>5237</v>
      </c>
      <c r="F120" s="700" t="s">
        <v>4948</v>
      </c>
      <c r="G120" s="700" t="s">
        <v>166</v>
      </c>
      <c r="H120" s="700" t="s">
        <v>166</v>
      </c>
      <c r="I120" s="700" t="s">
        <v>166</v>
      </c>
      <c r="J120" s="700" t="s">
        <v>166</v>
      </c>
      <c r="K120" s="700" t="s">
        <v>166</v>
      </c>
      <c r="L120" s="700">
        <v>2.0</v>
      </c>
      <c r="M120" s="700" t="s">
        <v>3149</v>
      </c>
      <c r="N120" s="700">
        <v>64.0</v>
      </c>
      <c r="O120" s="700">
        <v>2933.0</v>
      </c>
      <c r="P120" s="700">
        <v>4.0</v>
      </c>
      <c r="Q120" s="701" t="s">
        <v>4950</v>
      </c>
      <c r="R120" s="702">
        <v>2.0</v>
      </c>
      <c r="S120" s="702" t="s">
        <v>166</v>
      </c>
      <c r="T120" s="702">
        <v>2.0</v>
      </c>
      <c r="U120" s="700" t="s">
        <v>166</v>
      </c>
      <c r="V120" s="700" t="s">
        <v>166</v>
      </c>
      <c r="W120" s="700" t="s">
        <v>166</v>
      </c>
      <c r="X120" s="700" t="s">
        <v>166</v>
      </c>
      <c r="Y120" s="700" t="s">
        <v>166</v>
      </c>
      <c r="Z120" s="700" t="s">
        <v>166</v>
      </c>
      <c r="AA120" s="700" t="s">
        <v>166</v>
      </c>
      <c r="AB120" s="700">
        <f t="shared" si="1"/>
        <v>4</v>
      </c>
      <c r="AC120" s="700">
        <v>1.0</v>
      </c>
      <c r="AD120" s="700">
        <v>1.0</v>
      </c>
      <c r="AE120" s="700" t="s">
        <v>166</v>
      </c>
      <c r="AF120" s="702">
        <v>1.0</v>
      </c>
      <c r="AG120" s="700" t="s">
        <v>5133</v>
      </c>
      <c r="AH120" s="700">
        <v>1.0</v>
      </c>
      <c r="AI120" s="700">
        <v>1.0</v>
      </c>
      <c r="AJ120" s="700" t="s">
        <v>4966</v>
      </c>
      <c r="AK120" s="700" t="s">
        <v>4967</v>
      </c>
      <c r="AL120" s="700">
        <v>433.0</v>
      </c>
      <c r="AM120" s="700">
        <v>4.2</v>
      </c>
      <c r="AN120" s="700" t="s">
        <v>5050</v>
      </c>
      <c r="AO120" s="700" t="s">
        <v>174</v>
      </c>
      <c r="AP120" s="700">
        <v>5.0</v>
      </c>
      <c r="AQ120" s="700" t="s">
        <v>166</v>
      </c>
      <c r="AR120" s="700">
        <v>1.0</v>
      </c>
      <c r="AS120" s="700">
        <v>1.0</v>
      </c>
      <c r="AT120" s="700" t="s">
        <v>166</v>
      </c>
      <c r="AU120" s="700" t="s">
        <v>166</v>
      </c>
      <c r="AV120" s="700">
        <v>3.0</v>
      </c>
      <c r="AW120" s="700">
        <v>1.0</v>
      </c>
      <c r="AX120" s="700">
        <v>1.0</v>
      </c>
      <c r="AY120" s="700" t="s">
        <v>174</v>
      </c>
      <c r="AZ120" s="700" t="s">
        <v>166</v>
      </c>
      <c r="BA120" s="700" t="s">
        <v>5233</v>
      </c>
      <c r="BB120" s="700" t="s">
        <v>4973</v>
      </c>
      <c r="BC120" s="700" t="s">
        <v>4963</v>
      </c>
      <c r="BD120" s="700">
        <v>6.0</v>
      </c>
      <c r="BE120" s="703" t="s">
        <v>4990</v>
      </c>
      <c r="BF120" s="703"/>
      <c r="BG120" s="66"/>
      <c r="BH120" s="66"/>
      <c r="BI120" s="66"/>
      <c r="BJ120" s="66"/>
      <c r="BK120" s="66"/>
      <c r="BL120" s="66"/>
      <c r="BM120" s="66"/>
      <c r="BN120" s="66"/>
      <c r="BO120" s="66"/>
      <c r="BP120" s="66"/>
      <c r="BQ120" s="66"/>
      <c r="BR120" s="66"/>
      <c r="BS120" s="66"/>
    </row>
    <row r="121">
      <c r="A121" s="705" t="s">
        <v>1688</v>
      </c>
      <c r="B121" s="705">
        <v>1200.0</v>
      </c>
      <c r="C121" s="705" t="s">
        <v>5238</v>
      </c>
      <c r="D121" s="282" t="s">
        <v>169</v>
      </c>
      <c r="E121" s="282" t="s">
        <v>5239</v>
      </c>
      <c r="F121" s="705" t="s">
        <v>4948</v>
      </c>
      <c r="G121" s="705" t="s">
        <v>166</v>
      </c>
      <c r="H121" s="705" t="s">
        <v>166</v>
      </c>
      <c r="I121" s="705" t="s">
        <v>166</v>
      </c>
      <c r="J121" s="705" t="s">
        <v>166</v>
      </c>
      <c r="K121" s="705" t="s">
        <v>166</v>
      </c>
      <c r="L121" s="705">
        <v>2.0</v>
      </c>
      <c r="M121" s="705" t="s">
        <v>3149</v>
      </c>
      <c r="N121" s="705">
        <v>64.0</v>
      </c>
      <c r="O121" s="705">
        <v>2933.0</v>
      </c>
      <c r="P121" s="705">
        <v>4.0</v>
      </c>
      <c r="Q121" s="711" t="s">
        <v>4950</v>
      </c>
      <c r="R121" s="707" t="s">
        <v>166</v>
      </c>
      <c r="S121" s="707" t="s">
        <v>166</v>
      </c>
      <c r="T121" s="707">
        <v>4.0</v>
      </c>
      <c r="U121" s="705" t="s">
        <v>166</v>
      </c>
      <c r="V121" s="705" t="s">
        <v>166</v>
      </c>
      <c r="W121" s="705" t="s">
        <v>166</v>
      </c>
      <c r="X121" s="705" t="s">
        <v>166</v>
      </c>
      <c r="Y121" s="705" t="s">
        <v>166</v>
      </c>
      <c r="Z121" s="705" t="s">
        <v>166</v>
      </c>
      <c r="AA121" s="705" t="s">
        <v>166</v>
      </c>
      <c r="AB121" s="705">
        <f t="shared" si="1"/>
        <v>4</v>
      </c>
      <c r="AC121" s="705">
        <v>1.0</v>
      </c>
      <c r="AD121" s="705">
        <v>1.0</v>
      </c>
      <c r="AE121" s="705" t="s">
        <v>166</v>
      </c>
      <c r="AF121" s="707">
        <v>1.0</v>
      </c>
      <c r="AG121" s="705" t="s">
        <v>5133</v>
      </c>
      <c r="AH121" s="705">
        <v>1.0</v>
      </c>
      <c r="AI121" s="705">
        <v>1.0</v>
      </c>
      <c r="AJ121" s="705" t="s">
        <v>4966</v>
      </c>
      <c r="AK121" s="705" t="s">
        <v>4967</v>
      </c>
      <c r="AL121" s="705">
        <v>433.0</v>
      </c>
      <c r="AM121" s="705">
        <v>4.2</v>
      </c>
      <c r="AN121" s="705" t="s">
        <v>4960</v>
      </c>
      <c r="AO121" s="705" t="s">
        <v>166</v>
      </c>
      <c r="AP121" s="705">
        <v>5.0</v>
      </c>
      <c r="AQ121" s="705">
        <v>1.0</v>
      </c>
      <c r="AR121" s="705">
        <v>1.0</v>
      </c>
      <c r="AS121" s="705">
        <v>1.0</v>
      </c>
      <c r="AT121" s="705" t="s">
        <v>166</v>
      </c>
      <c r="AU121" s="705" t="s">
        <v>166</v>
      </c>
      <c r="AV121" s="705">
        <v>3.0</v>
      </c>
      <c r="AW121" s="705">
        <v>1.0</v>
      </c>
      <c r="AX121" s="705">
        <v>1.0</v>
      </c>
      <c r="AY121" s="705" t="s">
        <v>166</v>
      </c>
      <c r="AZ121" s="705" t="s">
        <v>166</v>
      </c>
      <c r="BA121" s="705" t="s">
        <v>5233</v>
      </c>
      <c r="BB121" s="705" t="s">
        <v>5017</v>
      </c>
      <c r="BC121" s="705" t="s">
        <v>4963</v>
      </c>
      <c r="BD121" s="705">
        <v>4.0</v>
      </c>
      <c r="BE121" s="708" t="s">
        <v>5009</v>
      </c>
      <c r="BF121" s="708"/>
      <c r="BG121" s="66"/>
      <c r="BH121" s="66"/>
      <c r="BI121" s="66"/>
      <c r="BJ121" s="66"/>
      <c r="BK121" s="66"/>
      <c r="BL121" s="66"/>
      <c r="BM121" s="66"/>
      <c r="BN121" s="66"/>
      <c r="BO121" s="66"/>
      <c r="BP121" s="66"/>
      <c r="BQ121" s="66"/>
      <c r="BR121" s="66"/>
      <c r="BS121" s="66"/>
    </row>
    <row r="122">
      <c r="A122" s="48" t="s">
        <v>1688</v>
      </c>
      <c r="B122" s="48">
        <v>1200.0</v>
      </c>
      <c r="C122" s="48" t="s">
        <v>5238</v>
      </c>
      <c r="D122" s="174" t="str">
        <f t="shared" ref="D122:D123" si="20">HYPERLINK("https://www.asus.com/","Asus")</f>
        <v>Asus</v>
      </c>
      <c r="E122" s="174" t="s">
        <v>5240</v>
      </c>
      <c r="F122" s="48" t="s">
        <v>4948</v>
      </c>
      <c r="G122" s="48" t="s">
        <v>166</v>
      </c>
      <c r="H122" s="48" t="s">
        <v>166</v>
      </c>
      <c r="I122" s="48" t="s">
        <v>166</v>
      </c>
      <c r="J122" s="48" t="s">
        <v>166</v>
      </c>
      <c r="K122" s="48" t="s">
        <v>166</v>
      </c>
      <c r="L122" s="48">
        <v>2.0</v>
      </c>
      <c r="M122" s="48" t="s">
        <v>3149</v>
      </c>
      <c r="N122" s="48">
        <v>64.0</v>
      </c>
      <c r="O122" s="48">
        <v>2933.0</v>
      </c>
      <c r="P122" s="48">
        <v>4.0</v>
      </c>
      <c r="Q122" s="710" t="s">
        <v>5062</v>
      </c>
      <c r="R122" s="697">
        <v>2.0</v>
      </c>
      <c r="S122" s="697" t="s">
        <v>166</v>
      </c>
      <c r="T122" s="697">
        <v>4.0</v>
      </c>
      <c r="U122" s="48" t="s">
        <v>166</v>
      </c>
      <c r="V122" s="48" t="s">
        <v>166</v>
      </c>
      <c r="W122" s="48" t="s">
        <v>166</v>
      </c>
      <c r="X122" s="48" t="s">
        <v>166</v>
      </c>
      <c r="Y122" s="48" t="s">
        <v>166</v>
      </c>
      <c r="Z122" s="48" t="s">
        <v>166</v>
      </c>
      <c r="AA122" s="48" t="s">
        <v>166</v>
      </c>
      <c r="AB122" s="48">
        <f t="shared" si="1"/>
        <v>6</v>
      </c>
      <c r="AC122" s="48">
        <v>1.0</v>
      </c>
      <c r="AD122" s="48">
        <v>1.0</v>
      </c>
      <c r="AE122" s="48" t="s">
        <v>166</v>
      </c>
      <c r="AF122" s="697">
        <v>1.0</v>
      </c>
      <c r="AG122" s="48" t="s">
        <v>4959</v>
      </c>
      <c r="AH122" s="48">
        <v>1.0</v>
      </c>
      <c r="AI122" s="48">
        <v>1.0</v>
      </c>
      <c r="AJ122" s="48" t="s">
        <v>166</v>
      </c>
      <c r="AK122" s="48" t="s">
        <v>232</v>
      </c>
      <c r="AL122" s="48" t="s">
        <v>166</v>
      </c>
      <c r="AM122" s="48" t="s">
        <v>166</v>
      </c>
      <c r="AN122" s="48" t="s">
        <v>4960</v>
      </c>
      <c r="AO122" s="48" t="s">
        <v>166</v>
      </c>
      <c r="AP122" s="48">
        <v>3.0</v>
      </c>
      <c r="AQ122" s="48">
        <v>1.0</v>
      </c>
      <c r="AR122" s="48">
        <v>1.0</v>
      </c>
      <c r="AS122" s="48">
        <v>1.0</v>
      </c>
      <c r="AT122" s="48" t="s">
        <v>166</v>
      </c>
      <c r="AU122" s="48" t="s">
        <v>166</v>
      </c>
      <c r="AV122" s="48">
        <v>3.0</v>
      </c>
      <c r="AW122" s="48">
        <v>1.0</v>
      </c>
      <c r="AX122" s="48" t="s">
        <v>166</v>
      </c>
      <c r="AY122" s="48" t="s">
        <v>166</v>
      </c>
      <c r="AZ122" s="48" t="s">
        <v>166</v>
      </c>
      <c r="BA122" s="48" t="s">
        <v>5235</v>
      </c>
      <c r="BB122" s="48" t="s">
        <v>4973</v>
      </c>
      <c r="BC122" s="48" t="s">
        <v>4963</v>
      </c>
      <c r="BD122" s="48">
        <v>6.0</v>
      </c>
      <c r="BE122" s="698" t="s">
        <v>5227</v>
      </c>
      <c r="BF122" s="698"/>
      <c r="BG122" s="66"/>
      <c r="BH122" s="66"/>
      <c r="BI122" s="66"/>
      <c r="BJ122" s="66"/>
      <c r="BK122" s="66"/>
      <c r="BL122" s="66"/>
      <c r="BM122" s="66"/>
      <c r="BN122" s="66"/>
      <c r="BO122" s="66"/>
      <c r="BP122" s="66"/>
      <c r="BQ122" s="66"/>
      <c r="BR122" s="66"/>
      <c r="BS122" s="66"/>
    </row>
    <row r="123">
      <c r="A123" s="48" t="s">
        <v>1688</v>
      </c>
      <c r="B123" s="48">
        <v>1200.0</v>
      </c>
      <c r="C123" s="48" t="s">
        <v>5238</v>
      </c>
      <c r="D123" s="174" t="str">
        <f t="shared" si="20"/>
        <v>Asus</v>
      </c>
      <c r="E123" s="174" t="s">
        <v>5241</v>
      </c>
      <c r="F123" s="48" t="s">
        <v>4948</v>
      </c>
      <c r="G123" s="48" t="s">
        <v>166</v>
      </c>
      <c r="H123" s="48" t="s">
        <v>166</v>
      </c>
      <c r="I123" s="48" t="s">
        <v>166</v>
      </c>
      <c r="J123" s="48" t="s">
        <v>166</v>
      </c>
      <c r="K123" s="48" t="s">
        <v>166</v>
      </c>
      <c r="L123" s="48">
        <v>2.0</v>
      </c>
      <c r="M123" s="48" t="s">
        <v>3149</v>
      </c>
      <c r="N123" s="48">
        <v>64.0</v>
      </c>
      <c r="O123" s="48">
        <v>2933.0</v>
      </c>
      <c r="P123" s="48">
        <v>4.0</v>
      </c>
      <c r="Q123" s="698" t="s">
        <v>5242</v>
      </c>
      <c r="R123" s="697" t="s">
        <v>166</v>
      </c>
      <c r="S123" s="697">
        <v>1.0</v>
      </c>
      <c r="T123" s="697">
        <v>6.0</v>
      </c>
      <c r="U123" s="48" t="s">
        <v>166</v>
      </c>
      <c r="V123" s="48" t="s">
        <v>166</v>
      </c>
      <c r="W123" s="48" t="s">
        <v>166</v>
      </c>
      <c r="X123" s="48">
        <v>1.0</v>
      </c>
      <c r="Y123" s="48" t="s">
        <v>166</v>
      </c>
      <c r="Z123" s="48" t="s">
        <v>166</v>
      </c>
      <c r="AA123" s="48" t="s">
        <v>166</v>
      </c>
      <c r="AB123" s="48">
        <f t="shared" si="1"/>
        <v>8</v>
      </c>
      <c r="AC123" s="48">
        <v>1.0</v>
      </c>
      <c r="AD123" s="48">
        <v>1.0</v>
      </c>
      <c r="AE123" s="48" t="s">
        <v>166</v>
      </c>
      <c r="AF123" s="697">
        <v>1.0</v>
      </c>
      <c r="AG123" s="48" t="s">
        <v>5133</v>
      </c>
      <c r="AH123" s="48">
        <v>1.0</v>
      </c>
      <c r="AI123" s="48">
        <v>1.0</v>
      </c>
      <c r="AJ123" s="48" t="s">
        <v>5027</v>
      </c>
      <c r="AK123" s="48" t="s">
        <v>5028</v>
      </c>
      <c r="AL123" s="48">
        <v>2400.0</v>
      </c>
      <c r="AM123" s="48">
        <v>5.1</v>
      </c>
      <c r="AN123" s="48" t="s">
        <v>4971</v>
      </c>
      <c r="AO123" s="48" t="s">
        <v>166</v>
      </c>
      <c r="AP123" s="48">
        <v>3.0</v>
      </c>
      <c r="AQ123" s="48" t="s">
        <v>166</v>
      </c>
      <c r="AR123" s="48">
        <v>1.0</v>
      </c>
      <c r="AS123" s="48">
        <v>1.0</v>
      </c>
      <c r="AT123" s="48" t="s">
        <v>166</v>
      </c>
      <c r="AU123" s="48" t="s">
        <v>166</v>
      </c>
      <c r="AV123" s="48">
        <v>3.0</v>
      </c>
      <c r="AW123" s="48">
        <v>1.0</v>
      </c>
      <c r="AX123" s="48">
        <v>1.0</v>
      </c>
      <c r="AY123" s="48" t="s">
        <v>174</v>
      </c>
      <c r="AZ123" s="48" t="s">
        <v>174</v>
      </c>
      <c r="BA123" s="48" t="s">
        <v>5235</v>
      </c>
      <c r="BB123" s="48" t="s">
        <v>4954</v>
      </c>
      <c r="BC123" s="48" t="s">
        <v>4963</v>
      </c>
      <c r="BD123" s="48">
        <v>6.0</v>
      </c>
      <c r="BE123" s="698" t="s">
        <v>5227</v>
      </c>
      <c r="BF123" s="698"/>
      <c r="BG123" s="66"/>
      <c r="BH123" s="66"/>
      <c r="BI123" s="66"/>
      <c r="BJ123" s="66"/>
      <c r="BK123" s="66"/>
      <c r="BL123" s="66"/>
      <c r="BM123" s="66"/>
      <c r="BN123" s="66"/>
      <c r="BO123" s="66"/>
      <c r="BP123" s="66"/>
      <c r="BQ123" s="66"/>
      <c r="BR123" s="66"/>
      <c r="BS123" s="66"/>
    </row>
    <row r="124">
      <c r="A124" s="48" t="s">
        <v>1688</v>
      </c>
      <c r="B124" s="48">
        <v>1200.0</v>
      </c>
      <c r="C124" s="48" t="s">
        <v>5238</v>
      </c>
      <c r="D124" s="174" t="s">
        <v>3575</v>
      </c>
      <c r="E124" s="174" t="s">
        <v>5243</v>
      </c>
      <c r="F124" s="48" t="s">
        <v>4948</v>
      </c>
      <c r="G124" s="48" t="s">
        <v>166</v>
      </c>
      <c r="H124" s="48" t="s">
        <v>166</v>
      </c>
      <c r="I124" s="48" t="s">
        <v>166</v>
      </c>
      <c r="J124" s="48" t="s">
        <v>166</v>
      </c>
      <c r="K124" s="48" t="s">
        <v>166</v>
      </c>
      <c r="L124" s="48">
        <v>2.0</v>
      </c>
      <c r="M124" s="48" t="s">
        <v>3149</v>
      </c>
      <c r="N124" s="48">
        <v>64.0</v>
      </c>
      <c r="O124" s="48">
        <v>2933.0</v>
      </c>
      <c r="P124" s="48">
        <v>4.0</v>
      </c>
      <c r="Q124" s="710" t="s">
        <v>4950</v>
      </c>
      <c r="R124" s="697">
        <v>2.0</v>
      </c>
      <c r="S124" s="697" t="s">
        <v>166</v>
      </c>
      <c r="T124" s="697">
        <v>3.0</v>
      </c>
      <c r="U124" s="48">
        <v>1.0</v>
      </c>
      <c r="V124" s="48" t="s">
        <v>166</v>
      </c>
      <c r="W124" s="48" t="s">
        <v>166</v>
      </c>
      <c r="X124" s="48" t="s">
        <v>166</v>
      </c>
      <c r="Y124" s="48" t="s">
        <v>166</v>
      </c>
      <c r="Z124" s="48" t="s">
        <v>166</v>
      </c>
      <c r="AA124" s="48" t="s">
        <v>166</v>
      </c>
      <c r="AB124" s="48">
        <f t="shared" si="1"/>
        <v>6</v>
      </c>
      <c r="AC124" s="48">
        <v>1.0</v>
      </c>
      <c r="AD124" s="48">
        <v>1.0</v>
      </c>
      <c r="AE124" s="48" t="s">
        <v>166</v>
      </c>
      <c r="AF124" s="697">
        <v>1.0</v>
      </c>
      <c r="AG124" s="48" t="s">
        <v>4959</v>
      </c>
      <c r="AH124" s="48">
        <v>1.0</v>
      </c>
      <c r="AI124" s="48">
        <v>1.0</v>
      </c>
      <c r="AJ124" s="48" t="s">
        <v>5027</v>
      </c>
      <c r="AK124" s="48" t="s">
        <v>5028</v>
      </c>
      <c r="AL124" s="48">
        <v>2400.0</v>
      </c>
      <c r="AM124" s="48">
        <v>5.1</v>
      </c>
      <c r="AN124" s="48" t="s">
        <v>5244</v>
      </c>
      <c r="AO124" s="48" t="s">
        <v>166</v>
      </c>
      <c r="AP124" s="48">
        <v>3.0</v>
      </c>
      <c r="AQ124" s="48">
        <v>2.0</v>
      </c>
      <c r="AR124" s="48">
        <v>1.0</v>
      </c>
      <c r="AS124" s="48">
        <v>1.0</v>
      </c>
      <c r="AT124" s="48" t="s">
        <v>166</v>
      </c>
      <c r="AU124" s="48" t="s">
        <v>166</v>
      </c>
      <c r="AV124" s="48">
        <v>3.0</v>
      </c>
      <c r="AW124" s="48" t="s">
        <v>166</v>
      </c>
      <c r="AX124" s="48" t="s">
        <v>166</v>
      </c>
      <c r="AY124" s="48" t="s">
        <v>166</v>
      </c>
      <c r="AZ124" s="48" t="s">
        <v>166</v>
      </c>
      <c r="BA124" s="705" t="s">
        <v>5233</v>
      </c>
      <c r="BB124" s="705" t="s">
        <v>5143</v>
      </c>
      <c r="BC124" s="48" t="s">
        <v>4963</v>
      </c>
      <c r="BD124" s="48">
        <v>5.0</v>
      </c>
      <c r="BE124" s="698" t="s">
        <v>5245</v>
      </c>
      <c r="BF124" s="698"/>
      <c r="BG124" s="66"/>
      <c r="BH124" s="66"/>
      <c r="BI124" s="66"/>
      <c r="BJ124" s="66"/>
      <c r="BK124" s="66"/>
      <c r="BL124" s="66"/>
      <c r="BM124" s="66"/>
      <c r="BN124" s="66"/>
      <c r="BO124" s="66"/>
      <c r="BP124" s="66"/>
      <c r="BQ124" s="66"/>
      <c r="BR124" s="66"/>
      <c r="BS124" s="66"/>
    </row>
    <row r="125">
      <c r="A125" s="48" t="s">
        <v>1688</v>
      </c>
      <c r="B125" s="48">
        <v>1200.0</v>
      </c>
      <c r="C125" s="48" t="s">
        <v>5238</v>
      </c>
      <c r="D125" s="174" t="s">
        <v>3575</v>
      </c>
      <c r="E125" s="174" t="s">
        <v>5246</v>
      </c>
      <c r="F125" s="48" t="s">
        <v>4948</v>
      </c>
      <c r="G125" s="48" t="s">
        <v>166</v>
      </c>
      <c r="H125" s="48" t="s">
        <v>166</v>
      </c>
      <c r="I125" s="48" t="s">
        <v>166</v>
      </c>
      <c r="J125" s="48" t="s">
        <v>166</v>
      </c>
      <c r="K125" s="48" t="s">
        <v>166</v>
      </c>
      <c r="L125" s="48">
        <v>2.0</v>
      </c>
      <c r="M125" s="48" t="s">
        <v>3149</v>
      </c>
      <c r="N125" s="48">
        <v>64.0</v>
      </c>
      <c r="O125" s="48">
        <v>2933.0</v>
      </c>
      <c r="P125" s="48">
        <v>4.0</v>
      </c>
      <c r="Q125" s="710" t="s">
        <v>4950</v>
      </c>
      <c r="R125" s="697">
        <v>2.0</v>
      </c>
      <c r="S125" s="697" t="s">
        <v>166</v>
      </c>
      <c r="T125" s="697">
        <v>3.0</v>
      </c>
      <c r="U125" s="48">
        <v>1.0</v>
      </c>
      <c r="V125" s="48" t="s">
        <v>166</v>
      </c>
      <c r="W125" s="48" t="s">
        <v>166</v>
      </c>
      <c r="X125" s="48" t="s">
        <v>166</v>
      </c>
      <c r="Y125" s="48" t="s">
        <v>166</v>
      </c>
      <c r="Z125" s="48" t="s">
        <v>166</v>
      </c>
      <c r="AA125" s="48" t="s">
        <v>166</v>
      </c>
      <c r="AB125" s="48">
        <f t="shared" si="1"/>
        <v>6</v>
      </c>
      <c r="AC125" s="48">
        <v>1.0</v>
      </c>
      <c r="AD125" s="48">
        <v>1.0</v>
      </c>
      <c r="AE125" s="48" t="s">
        <v>166</v>
      </c>
      <c r="AF125" s="697">
        <v>1.0</v>
      </c>
      <c r="AG125" s="48" t="s">
        <v>4959</v>
      </c>
      <c r="AH125" s="48">
        <v>1.0</v>
      </c>
      <c r="AI125" s="48">
        <v>1.0</v>
      </c>
      <c r="AJ125" s="48" t="s">
        <v>5027</v>
      </c>
      <c r="AK125" s="48" t="s">
        <v>5028</v>
      </c>
      <c r="AL125" s="48">
        <v>2400.0</v>
      </c>
      <c r="AM125" s="48">
        <v>5.1</v>
      </c>
      <c r="AN125" s="48" t="s">
        <v>5244</v>
      </c>
      <c r="AO125" s="48" t="s">
        <v>166</v>
      </c>
      <c r="AP125" s="48">
        <v>3.0</v>
      </c>
      <c r="AQ125" s="48">
        <v>2.0</v>
      </c>
      <c r="AR125" s="48">
        <v>1.0</v>
      </c>
      <c r="AS125" s="48">
        <v>1.0</v>
      </c>
      <c r="AT125" s="48" t="s">
        <v>166</v>
      </c>
      <c r="AU125" s="48" t="s">
        <v>166</v>
      </c>
      <c r="AV125" s="48">
        <v>3.0</v>
      </c>
      <c r="AW125" s="48" t="s">
        <v>166</v>
      </c>
      <c r="AX125" s="48" t="s">
        <v>166</v>
      </c>
      <c r="AY125" s="48" t="s">
        <v>166</v>
      </c>
      <c r="AZ125" s="48" t="s">
        <v>166</v>
      </c>
      <c r="BA125" s="705" t="s">
        <v>5233</v>
      </c>
      <c r="BB125" s="705" t="s">
        <v>5143</v>
      </c>
      <c r="BC125" s="48" t="s">
        <v>4963</v>
      </c>
      <c r="BD125" s="48">
        <v>5.0</v>
      </c>
      <c r="BE125" s="698" t="s">
        <v>5245</v>
      </c>
      <c r="BF125" s="698"/>
      <c r="BG125" s="66"/>
      <c r="BH125" s="66"/>
      <c r="BI125" s="66"/>
      <c r="BJ125" s="66"/>
      <c r="BK125" s="66"/>
      <c r="BL125" s="66"/>
      <c r="BM125" s="66"/>
      <c r="BN125" s="66"/>
      <c r="BO125" s="66"/>
      <c r="BP125" s="66"/>
      <c r="BQ125" s="66"/>
      <c r="BR125" s="66"/>
      <c r="BS125" s="66"/>
    </row>
    <row r="126">
      <c r="A126" s="48" t="s">
        <v>1688</v>
      </c>
      <c r="B126" s="48">
        <v>1200.0</v>
      </c>
      <c r="C126" s="48" t="s">
        <v>5238</v>
      </c>
      <c r="D126" s="174" t="str">
        <f>HYPERLINK("https://www.gigabyte.com/","Gigabyte")</f>
        <v>Gigabyte</v>
      </c>
      <c r="E126" s="174" t="s">
        <v>5247</v>
      </c>
      <c r="F126" s="48" t="s">
        <v>4948</v>
      </c>
      <c r="G126" s="48" t="s">
        <v>166</v>
      </c>
      <c r="H126" s="48" t="s">
        <v>166</v>
      </c>
      <c r="I126" s="48" t="s">
        <v>166</v>
      </c>
      <c r="J126" s="48" t="s">
        <v>166</v>
      </c>
      <c r="K126" s="48" t="s">
        <v>166</v>
      </c>
      <c r="L126" s="48">
        <v>2.0</v>
      </c>
      <c r="M126" s="48" t="s">
        <v>3149</v>
      </c>
      <c r="N126" s="48">
        <v>32.0</v>
      </c>
      <c r="O126" s="48">
        <v>2933.0</v>
      </c>
      <c r="P126" s="48">
        <v>4.0</v>
      </c>
      <c r="Q126" s="710" t="s">
        <v>4950</v>
      </c>
      <c r="R126" s="697" t="s">
        <v>166</v>
      </c>
      <c r="S126" s="697" t="s">
        <v>166</v>
      </c>
      <c r="T126" s="697">
        <v>4.0</v>
      </c>
      <c r="U126" s="48" t="s">
        <v>166</v>
      </c>
      <c r="V126" s="48" t="s">
        <v>166</v>
      </c>
      <c r="W126" s="48" t="s">
        <v>166</v>
      </c>
      <c r="X126" s="48" t="s">
        <v>166</v>
      </c>
      <c r="Y126" s="48" t="s">
        <v>166</v>
      </c>
      <c r="Z126" s="48" t="s">
        <v>166</v>
      </c>
      <c r="AA126" s="48" t="s">
        <v>166</v>
      </c>
      <c r="AB126" s="48">
        <f t="shared" si="1"/>
        <v>4</v>
      </c>
      <c r="AC126" s="48">
        <v>3.0</v>
      </c>
      <c r="AD126" s="48" t="s">
        <v>166</v>
      </c>
      <c r="AE126" s="48" t="s">
        <v>166</v>
      </c>
      <c r="AF126" s="697">
        <v>2.0</v>
      </c>
      <c r="AG126" s="48" t="s">
        <v>5140</v>
      </c>
      <c r="AH126" s="48">
        <v>1.0</v>
      </c>
      <c r="AI126" s="48">
        <v>1.0</v>
      </c>
      <c r="AJ126" s="48" t="s">
        <v>166</v>
      </c>
      <c r="AK126" s="48" t="s">
        <v>232</v>
      </c>
      <c r="AL126" s="48" t="s">
        <v>166</v>
      </c>
      <c r="AM126" s="48" t="s">
        <v>166</v>
      </c>
      <c r="AN126" s="48" t="s">
        <v>4960</v>
      </c>
      <c r="AO126" s="48" t="s">
        <v>166</v>
      </c>
      <c r="AP126" s="48">
        <v>2.0</v>
      </c>
      <c r="AQ126" s="48" t="s">
        <v>166</v>
      </c>
      <c r="AR126" s="48">
        <v>1.0</v>
      </c>
      <c r="AS126" s="48">
        <v>1.0</v>
      </c>
      <c r="AT126" s="48" t="s">
        <v>166</v>
      </c>
      <c r="AU126" s="48">
        <v>1.0</v>
      </c>
      <c r="AV126" s="48">
        <v>2.0</v>
      </c>
      <c r="AW126" s="48" t="s">
        <v>166</v>
      </c>
      <c r="AX126" s="48" t="s">
        <v>166</v>
      </c>
      <c r="AY126" s="48" t="s">
        <v>166</v>
      </c>
      <c r="AZ126" s="48" t="s">
        <v>166</v>
      </c>
      <c r="BA126" s="697" t="s">
        <v>170</v>
      </c>
      <c r="BB126" s="48" t="s">
        <v>170</v>
      </c>
      <c r="BC126" s="48" t="s">
        <v>170</v>
      </c>
      <c r="BD126" s="48" t="s">
        <v>170</v>
      </c>
      <c r="BE126" s="698" t="s">
        <v>170</v>
      </c>
      <c r="BF126" s="698"/>
      <c r="BG126" s="66"/>
      <c r="BH126" s="66"/>
      <c r="BI126" s="66"/>
      <c r="BJ126" s="66"/>
      <c r="BK126" s="66"/>
      <c r="BL126" s="66"/>
      <c r="BM126" s="66"/>
      <c r="BN126" s="66"/>
      <c r="BO126" s="66"/>
      <c r="BP126" s="66"/>
      <c r="BQ126" s="66"/>
      <c r="BR126" s="66"/>
      <c r="BS126" s="66"/>
    </row>
    <row r="127">
      <c r="A127" s="700" t="s">
        <v>1688</v>
      </c>
      <c r="B127" s="700">
        <v>1200.0</v>
      </c>
      <c r="C127" s="700" t="s">
        <v>5238</v>
      </c>
      <c r="D127" s="291" t="str">
        <f>HYPERLINK("https://www.msi.com/index.php","MSI")</f>
        <v>MSI</v>
      </c>
      <c r="E127" s="291" t="s">
        <v>5248</v>
      </c>
      <c r="F127" s="700" t="s">
        <v>4948</v>
      </c>
      <c r="G127" s="700" t="s">
        <v>166</v>
      </c>
      <c r="H127" s="700" t="s">
        <v>166</v>
      </c>
      <c r="I127" s="700" t="s">
        <v>166</v>
      </c>
      <c r="J127" s="700" t="s">
        <v>166</v>
      </c>
      <c r="K127" s="700" t="s">
        <v>166</v>
      </c>
      <c r="L127" s="700">
        <v>2.0</v>
      </c>
      <c r="M127" s="700" t="s">
        <v>3149</v>
      </c>
      <c r="N127" s="700">
        <v>64.0</v>
      </c>
      <c r="O127" s="700">
        <v>2933.0</v>
      </c>
      <c r="P127" s="700">
        <v>4.0</v>
      </c>
      <c r="Q127" s="703" t="s">
        <v>5249</v>
      </c>
      <c r="R127" s="702">
        <v>2.0</v>
      </c>
      <c r="S127" s="702" t="s">
        <v>166</v>
      </c>
      <c r="T127" s="702">
        <v>3.0</v>
      </c>
      <c r="U127" s="700">
        <v>1.0</v>
      </c>
      <c r="V127" s="700" t="s">
        <v>166</v>
      </c>
      <c r="W127" s="700" t="s">
        <v>166</v>
      </c>
      <c r="X127" s="700" t="s">
        <v>166</v>
      </c>
      <c r="Y127" s="700" t="s">
        <v>166</v>
      </c>
      <c r="Z127" s="700" t="s">
        <v>166</v>
      </c>
      <c r="AA127" s="700" t="s">
        <v>166</v>
      </c>
      <c r="AB127" s="700">
        <f t="shared" si="1"/>
        <v>6</v>
      </c>
      <c r="AC127" s="700">
        <v>1.0</v>
      </c>
      <c r="AD127" s="700">
        <v>1.0</v>
      </c>
      <c r="AE127" s="700" t="s">
        <v>5049</v>
      </c>
      <c r="AF127" s="702">
        <v>1.0</v>
      </c>
      <c r="AG127" s="700" t="s">
        <v>5038</v>
      </c>
      <c r="AH127" s="700">
        <v>2.5</v>
      </c>
      <c r="AI127" s="700">
        <v>1.0</v>
      </c>
      <c r="AJ127" s="700" t="s">
        <v>5027</v>
      </c>
      <c r="AK127" s="700" t="s">
        <v>5028</v>
      </c>
      <c r="AL127" s="700">
        <v>2400.0</v>
      </c>
      <c r="AM127" s="700">
        <v>5.1</v>
      </c>
      <c r="AN127" s="700" t="s">
        <v>5050</v>
      </c>
      <c r="AO127" s="700" t="s">
        <v>174</v>
      </c>
      <c r="AP127" s="700">
        <v>5.0</v>
      </c>
      <c r="AQ127" s="700" t="s">
        <v>166</v>
      </c>
      <c r="AR127" s="700">
        <v>1.0</v>
      </c>
      <c r="AS127" s="700">
        <v>1.0</v>
      </c>
      <c r="AT127" s="700" t="s">
        <v>166</v>
      </c>
      <c r="AU127" s="700" t="s">
        <v>166</v>
      </c>
      <c r="AV127" s="700">
        <v>3.0</v>
      </c>
      <c r="AW127" s="700">
        <v>1.0</v>
      </c>
      <c r="AX127" s="700">
        <v>1.0</v>
      </c>
      <c r="AY127" s="700" t="s">
        <v>174</v>
      </c>
      <c r="AZ127" s="700" t="s">
        <v>174</v>
      </c>
      <c r="BA127" s="700" t="s">
        <v>5233</v>
      </c>
      <c r="BB127" s="700" t="s">
        <v>4973</v>
      </c>
      <c r="BC127" s="700" t="s">
        <v>4963</v>
      </c>
      <c r="BD127" s="700">
        <v>6.0</v>
      </c>
      <c r="BE127" s="703" t="s">
        <v>4990</v>
      </c>
      <c r="BF127" s="703"/>
      <c r="BG127" s="66"/>
      <c r="BH127" s="66"/>
      <c r="BI127" s="66"/>
      <c r="BJ127" s="66"/>
      <c r="BK127" s="66"/>
      <c r="BL127" s="66"/>
      <c r="BM127" s="66"/>
      <c r="BN127" s="66"/>
      <c r="BO127" s="66"/>
      <c r="BP127" s="66"/>
      <c r="BQ127" s="66"/>
      <c r="BR127" s="66"/>
      <c r="BS127" s="66"/>
    </row>
    <row r="128">
      <c r="A128" s="705" t="s">
        <v>1688</v>
      </c>
      <c r="B128" s="705">
        <v>1200.0</v>
      </c>
      <c r="C128" s="705" t="s">
        <v>5250</v>
      </c>
      <c r="D128" s="282" t="s">
        <v>169</v>
      </c>
      <c r="E128" s="282" t="str">
        <f>HYPERLINK("https://www.asrock.com/mb/Intel/H470M-ITXac/index.asp","H470M-ITX/ac")</f>
        <v>H470M-ITX/ac</v>
      </c>
      <c r="F128" s="705" t="s">
        <v>4948</v>
      </c>
      <c r="G128" s="705" t="s">
        <v>166</v>
      </c>
      <c r="H128" s="705" t="s">
        <v>166</v>
      </c>
      <c r="I128" s="705" t="s">
        <v>166</v>
      </c>
      <c r="J128" s="705" t="s">
        <v>166</v>
      </c>
      <c r="K128" s="705" t="s">
        <v>166</v>
      </c>
      <c r="L128" s="705">
        <v>2.0</v>
      </c>
      <c r="M128" s="705" t="s">
        <v>3149</v>
      </c>
      <c r="N128" s="705">
        <v>64.0</v>
      </c>
      <c r="O128" s="705">
        <v>2933.0</v>
      </c>
      <c r="P128" s="705">
        <v>4.0</v>
      </c>
      <c r="Q128" s="711" t="s">
        <v>5251</v>
      </c>
      <c r="R128" s="707">
        <v>2.0</v>
      </c>
      <c r="S128" s="707" t="s">
        <v>166</v>
      </c>
      <c r="T128" s="707">
        <v>1.0</v>
      </c>
      <c r="U128" s="705">
        <v>1.0</v>
      </c>
      <c r="V128" s="705">
        <v>4.0</v>
      </c>
      <c r="W128" s="705" t="s">
        <v>166</v>
      </c>
      <c r="X128" s="705" t="s">
        <v>166</v>
      </c>
      <c r="Y128" s="705" t="s">
        <v>166</v>
      </c>
      <c r="Z128" s="705" t="s">
        <v>166</v>
      </c>
      <c r="AA128" s="705" t="s">
        <v>166</v>
      </c>
      <c r="AB128" s="705">
        <f t="shared" si="1"/>
        <v>8</v>
      </c>
      <c r="AC128" s="705">
        <v>1.0</v>
      </c>
      <c r="AD128" s="705">
        <v>1.0</v>
      </c>
      <c r="AE128" s="705" t="s">
        <v>166</v>
      </c>
      <c r="AF128" s="707">
        <v>2.0</v>
      </c>
      <c r="AG128" s="705" t="s">
        <v>5252</v>
      </c>
      <c r="AH128" s="705" t="s">
        <v>5253</v>
      </c>
      <c r="AI128" s="705">
        <v>1.0</v>
      </c>
      <c r="AJ128" s="705" t="s">
        <v>4966</v>
      </c>
      <c r="AK128" s="705" t="s">
        <v>4967</v>
      </c>
      <c r="AL128" s="705">
        <v>433.0</v>
      </c>
      <c r="AM128" s="705">
        <v>4.2</v>
      </c>
      <c r="AN128" s="705" t="s">
        <v>5050</v>
      </c>
      <c r="AO128" s="705" t="s">
        <v>166</v>
      </c>
      <c r="AP128" s="705">
        <v>3.0</v>
      </c>
      <c r="AQ128" s="705">
        <v>1.0</v>
      </c>
      <c r="AR128" s="705">
        <v>1.0</v>
      </c>
      <c r="AS128" s="705">
        <v>1.0</v>
      </c>
      <c r="AT128" s="705" t="s">
        <v>166</v>
      </c>
      <c r="AU128" s="705" t="s">
        <v>166</v>
      </c>
      <c r="AV128" s="705">
        <v>3.0</v>
      </c>
      <c r="AW128" s="705">
        <v>1.0</v>
      </c>
      <c r="AX128" s="705">
        <v>1.0</v>
      </c>
      <c r="AY128" s="705" t="s">
        <v>166</v>
      </c>
      <c r="AZ128" s="705" t="s">
        <v>166</v>
      </c>
      <c r="BA128" s="707" t="s">
        <v>5254</v>
      </c>
      <c r="BB128" s="705" t="s">
        <v>5091</v>
      </c>
      <c r="BC128" s="705" t="s">
        <v>4963</v>
      </c>
      <c r="BD128" s="705">
        <v>5.0</v>
      </c>
      <c r="BE128" s="708" t="s">
        <v>5009</v>
      </c>
      <c r="BF128" s="708"/>
      <c r="BG128" s="66"/>
      <c r="BH128" s="66"/>
      <c r="BI128" s="66"/>
      <c r="BJ128" s="66"/>
      <c r="BK128" s="66"/>
      <c r="BL128" s="66"/>
      <c r="BM128" s="66"/>
      <c r="BN128" s="66"/>
      <c r="BO128" s="66"/>
      <c r="BP128" s="66"/>
      <c r="BQ128" s="66"/>
      <c r="BR128" s="66"/>
      <c r="BS128" s="66"/>
    </row>
    <row r="129">
      <c r="A129" s="48" t="s">
        <v>1688</v>
      </c>
      <c r="B129" s="48">
        <v>1200.0</v>
      </c>
      <c r="C129" s="48" t="s">
        <v>5250</v>
      </c>
      <c r="D129" s="174" t="str">
        <f>HYPERLINK("https://www.asus.com/","Asus")</f>
        <v>Asus</v>
      </c>
      <c r="E129" s="174" t="s">
        <v>5255</v>
      </c>
      <c r="F129" s="48" t="s">
        <v>4948</v>
      </c>
      <c r="G129" s="48" t="s">
        <v>166</v>
      </c>
      <c r="H129" s="48" t="s">
        <v>166</v>
      </c>
      <c r="I129" s="48" t="s">
        <v>166</v>
      </c>
      <c r="J129" s="48" t="s">
        <v>166</v>
      </c>
      <c r="K129" s="48" t="s">
        <v>166</v>
      </c>
      <c r="L129" s="48">
        <v>2.0</v>
      </c>
      <c r="M129" s="48" t="s">
        <v>3149</v>
      </c>
      <c r="N129" s="48">
        <v>64.0</v>
      </c>
      <c r="O129" s="48">
        <v>2933.0</v>
      </c>
      <c r="P129" s="48">
        <v>4.0</v>
      </c>
      <c r="Q129" s="698" t="s">
        <v>5256</v>
      </c>
      <c r="R129" s="697" t="s">
        <v>166</v>
      </c>
      <c r="S129" s="697">
        <v>1.0</v>
      </c>
      <c r="T129" s="697">
        <v>4.0</v>
      </c>
      <c r="U129" s="48" t="s">
        <v>166</v>
      </c>
      <c r="V129" s="48">
        <v>1.0</v>
      </c>
      <c r="W129" s="48">
        <v>1.0</v>
      </c>
      <c r="X129" s="48" t="s">
        <v>166</v>
      </c>
      <c r="Y129" s="48" t="s">
        <v>166</v>
      </c>
      <c r="Z129" s="48" t="s">
        <v>166</v>
      </c>
      <c r="AA129" s="48" t="s">
        <v>166</v>
      </c>
      <c r="AB129" s="48">
        <f t="shared" si="1"/>
        <v>7</v>
      </c>
      <c r="AC129" s="48">
        <v>1.0</v>
      </c>
      <c r="AD129" s="48">
        <v>1.0</v>
      </c>
      <c r="AE129" s="48" t="s">
        <v>166</v>
      </c>
      <c r="AF129" s="697">
        <v>2.0</v>
      </c>
      <c r="AG129" s="48" t="s">
        <v>5142</v>
      </c>
      <c r="AH129" s="48">
        <v>1.0</v>
      </c>
      <c r="AI129" s="48">
        <v>1.0</v>
      </c>
      <c r="AJ129" s="48" t="s">
        <v>5027</v>
      </c>
      <c r="AK129" s="48" t="s">
        <v>5257</v>
      </c>
      <c r="AL129" s="48">
        <v>2400.0</v>
      </c>
      <c r="AM129" s="48">
        <v>5.1</v>
      </c>
      <c r="AN129" s="48" t="s">
        <v>4971</v>
      </c>
      <c r="AO129" s="48" t="s">
        <v>166</v>
      </c>
      <c r="AP129" s="48">
        <v>5.0</v>
      </c>
      <c r="AQ129" s="48" t="s">
        <v>166</v>
      </c>
      <c r="AR129" s="48">
        <v>1.0</v>
      </c>
      <c r="AS129" s="48">
        <v>1.0</v>
      </c>
      <c r="AT129" s="48" t="s">
        <v>166</v>
      </c>
      <c r="AU129" s="48" t="s">
        <v>166</v>
      </c>
      <c r="AV129" s="48">
        <v>3.0</v>
      </c>
      <c r="AW129" s="48">
        <v>1.0</v>
      </c>
      <c r="AX129" s="48">
        <v>2.0</v>
      </c>
      <c r="AY129" s="48" t="s">
        <v>174</v>
      </c>
      <c r="AZ129" s="48" t="s">
        <v>174</v>
      </c>
      <c r="BA129" s="48" t="s">
        <v>5235</v>
      </c>
      <c r="BB129" s="48" t="s">
        <v>4954</v>
      </c>
      <c r="BC129" s="48" t="s">
        <v>4963</v>
      </c>
      <c r="BD129" s="48">
        <v>6.0</v>
      </c>
      <c r="BE129" s="698" t="s">
        <v>5227</v>
      </c>
      <c r="BF129" s="698"/>
      <c r="BG129" s="66"/>
      <c r="BH129" s="66"/>
      <c r="BI129" s="66"/>
      <c r="BJ129" s="66"/>
      <c r="BK129" s="66"/>
      <c r="BL129" s="66"/>
      <c r="BM129" s="66"/>
      <c r="BN129" s="66"/>
      <c r="BO129" s="66"/>
      <c r="BP129" s="66"/>
      <c r="BQ129" s="66"/>
      <c r="BR129" s="66"/>
      <c r="BS129" s="66"/>
    </row>
    <row r="130">
      <c r="A130" s="700" t="s">
        <v>1688</v>
      </c>
      <c r="B130" s="700">
        <v>1200.0</v>
      </c>
      <c r="C130" s="700" t="s">
        <v>5250</v>
      </c>
      <c r="D130" s="291" t="str">
        <f>HYPERLINK("https://www.gigabyte.com/","Gigabyte")</f>
        <v>Gigabyte</v>
      </c>
      <c r="E130" s="291" t="s">
        <v>5258</v>
      </c>
      <c r="F130" s="700" t="s">
        <v>4948</v>
      </c>
      <c r="G130" s="700" t="s">
        <v>166</v>
      </c>
      <c r="H130" s="700" t="s">
        <v>166</v>
      </c>
      <c r="I130" s="700" t="s">
        <v>166</v>
      </c>
      <c r="J130" s="700" t="s">
        <v>174</v>
      </c>
      <c r="K130" s="700" t="s">
        <v>166</v>
      </c>
      <c r="L130" s="700">
        <v>2.0</v>
      </c>
      <c r="M130" s="700" t="s">
        <v>3149</v>
      </c>
      <c r="N130" s="700">
        <v>64.0</v>
      </c>
      <c r="O130" s="700">
        <v>2933.0</v>
      </c>
      <c r="P130" s="700">
        <v>4.0</v>
      </c>
      <c r="Q130" s="703" t="s">
        <v>5259</v>
      </c>
      <c r="R130" s="702" t="s">
        <v>166</v>
      </c>
      <c r="S130" s="702" t="s">
        <v>166</v>
      </c>
      <c r="T130" s="702">
        <v>4.0</v>
      </c>
      <c r="U130" s="700">
        <v>1.0</v>
      </c>
      <c r="V130" s="700" t="s">
        <v>166</v>
      </c>
      <c r="W130" s="700" t="s">
        <v>166</v>
      </c>
      <c r="X130" s="700" t="s">
        <v>166</v>
      </c>
      <c r="Y130" s="700" t="s">
        <v>166</v>
      </c>
      <c r="Z130" s="700" t="s">
        <v>166</v>
      </c>
      <c r="AA130" s="700" t="s">
        <v>166</v>
      </c>
      <c r="AB130" s="700">
        <f t="shared" si="1"/>
        <v>5</v>
      </c>
      <c r="AC130" s="700">
        <v>1.0</v>
      </c>
      <c r="AD130" s="700">
        <v>1.0</v>
      </c>
      <c r="AE130" s="700" t="s">
        <v>166</v>
      </c>
      <c r="AF130" s="702">
        <v>2.0</v>
      </c>
      <c r="AG130" s="700" t="s">
        <v>5260</v>
      </c>
      <c r="AH130" s="700" t="s">
        <v>5253</v>
      </c>
      <c r="AI130" s="700">
        <v>1.0</v>
      </c>
      <c r="AJ130" s="700" t="s">
        <v>5027</v>
      </c>
      <c r="AK130" s="700" t="s">
        <v>5257</v>
      </c>
      <c r="AL130" s="700">
        <v>2400.0</v>
      </c>
      <c r="AM130" s="700">
        <v>5.1</v>
      </c>
      <c r="AN130" s="700" t="s">
        <v>4998</v>
      </c>
      <c r="AO130" s="700" t="s">
        <v>166</v>
      </c>
      <c r="AP130" s="700">
        <v>3.0</v>
      </c>
      <c r="AQ130" s="700" t="s">
        <v>166</v>
      </c>
      <c r="AR130" s="700">
        <v>1.0</v>
      </c>
      <c r="AS130" s="700">
        <v>2.0</v>
      </c>
      <c r="AT130" s="700" t="s">
        <v>166</v>
      </c>
      <c r="AU130" s="700" t="s">
        <v>166</v>
      </c>
      <c r="AV130" s="700">
        <v>3.0</v>
      </c>
      <c r="AW130" s="700">
        <v>1.0</v>
      </c>
      <c r="AX130" s="700">
        <v>1.0</v>
      </c>
      <c r="AY130" s="700" t="s">
        <v>166</v>
      </c>
      <c r="AZ130" s="700" t="s">
        <v>174</v>
      </c>
      <c r="BA130" s="700" t="s">
        <v>5261</v>
      </c>
      <c r="BB130" s="700" t="s">
        <v>5143</v>
      </c>
      <c r="BC130" s="700" t="s">
        <v>4963</v>
      </c>
      <c r="BD130" s="700">
        <v>5.0</v>
      </c>
      <c r="BE130" s="703" t="s">
        <v>5262</v>
      </c>
      <c r="BF130" s="703" t="s">
        <v>5014</v>
      </c>
      <c r="BG130" s="66"/>
      <c r="BH130" s="66"/>
      <c r="BI130" s="66"/>
      <c r="BJ130" s="66"/>
      <c r="BK130" s="66"/>
      <c r="BL130" s="66"/>
      <c r="BM130" s="66"/>
      <c r="BN130" s="66"/>
      <c r="BO130" s="66"/>
      <c r="BP130" s="66"/>
      <c r="BQ130" s="66"/>
      <c r="BR130" s="66"/>
      <c r="BS130" s="66"/>
    </row>
    <row r="131">
      <c r="A131" s="705" t="s">
        <v>1688</v>
      </c>
      <c r="B131" s="705">
        <v>1200.0</v>
      </c>
      <c r="C131" s="705" t="s">
        <v>5263</v>
      </c>
      <c r="D131" s="282" t="s">
        <v>169</v>
      </c>
      <c r="E131" s="282" t="str">
        <f>HYPERLINK("https://www.asrock.com/mb/Intel/Z490M-ITXac/index.asp","Z490M-ITX/ac")</f>
        <v>Z490M-ITX/ac</v>
      </c>
      <c r="F131" s="705" t="s">
        <v>4948</v>
      </c>
      <c r="G131" s="705" t="s">
        <v>174</v>
      </c>
      <c r="H131" s="705" t="s">
        <v>174</v>
      </c>
      <c r="I131" s="705" t="s">
        <v>174</v>
      </c>
      <c r="J131" s="705" t="s">
        <v>166</v>
      </c>
      <c r="K131" s="705" t="s">
        <v>166</v>
      </c>
      <c r="L131" s="705">
        <v>2.0</v>
      </c>
      <c r="M131" s="705" t="s">
        <v>3149</v>
      </c>
      <c r="N131" s="705">
        <v>64.0</v>
      </c>
      <c r="O131" s="705" t="s">
        <v>5213</v>
      </c>
      <c r="P131" s="705">
        <v>4.0</v>
      </c>
      <c r="Q131" s="711" t="s">
        <v>5251</v>
      </c>
      <c r="R131" s="707">
        <v>2.0</v>
      </c>
      <c r="S131" s="707" t="s">
        <v>166</v>
      </c>
      <c r="T131" s="707">
        <v>1.0</v>
      </c>
      <c r="U131" s="705">
        <v>1.0</v>
      </c>
      <c r="V131" s="705">
        <v>4.0</v>
      </c>
      <c r="W131" s="705" t="s">
        <v>166</v>
      </c>
      <c r="X131" s="705" t="s">
        <v>166</v>
      </c>
      <c r="Y131" s="705" t="s">
        <v>166</v>
      </c>
      <c r="Z131" s="705" t="s">
        <v>166</v>
      </c>
      <c r="AA131" s="705" t="s">
        <v>166</v>
      </c>
      <c r="AB131" s="705">
        <f t="shared" si="1"/>
        <v>8</v>
      </c>
      <c r="AC131" s="705">
        <v>1.0</v>
      </c>
      <c r="AD131" s="705">
        <v>1.0</v>
      </c>
      <c r="AE131" s="705" t="s">
        <v>166</v>
      </c>
      <c r="AF131" s="707">
        <v>2.0</v>
      </c>
      <c r="AG131" s="705" t="s">
        <v>5252</v>
      </c>
      <c r="AH131" s="705" t="s">
        <v>5253</v>
      </c>
      <c r="AI131" s="705">
        <v>1.0</v>
      </c>
      <c r="AJ131" s="705" t="s">
        <v>4966</v>
      </c>
      <c r="AK131" s="705" t="s">
        <v>4967</v>
      </c>
      <c r="AL131" s="705">
        <v>433.0</v>
      </c>
      <c r="AM131" s="705">
        <v>4.2</v>
      </c>
      <c r="AN131" s="705" t="s">
        <v>5050</v>
      </c>
      <c r="AO131" s="705" t="s">
        <v>166</v>
      </c>
      <c r="AP131" s="705">
        <v>3.0</v>
      </c>
      <c r="AQ131" s="705">
        <v>1.0</v>
      </c>
      <c r="AR131" s="705">
        <v>1.0</v>
      </c>
      <c r="AS131" s="705">
        <v>1.0</v>
      </c>
      <c r="AT131" s="705" t="s">
        <v>166</v>
      </c>
      <c r="AU131" s="705" t="s">
        <v>166</v>
      </c>
      <c r="AV131" s="705">
        <v>3.0</v>
      </c>
      <c r="AW131" s="705">
        <v>1.0</v>
      </c>
      <c r="AX131" s="705">
        <v>1.0</v>
      </c>
      <c r="AY131" s="705" t="s">
        <v>166</v>
      </c>
      <c r="AZ131" s="705" t="s">
        <v>166</v>
      </c>
      <c r="BA131" s="705" t="s">
        <v>5254</v>
      </c>
      <c r="BB131" s="705" t="s">
        <v>5091</v>
      </c>
      <c r="BC131" s="705" t="s">
        <v>4963</v>
      </c>
      <c r="BD131" s="705">
        <v>5.0</v>
      </c>
      <c r="BE131" s="708" t="s">
        <v>5009</v>
      </c>
      <c r="BF131" s="708"/>
      <c r="BG131" s="66"/>
      <c r="BH131" s="66"/>
      <c r="BI131" s="66"/>
      <c r="BJ131" s="66"/>
      <c r="BK131" s="66"/>
      <c r="BL131" s="66"/>
      <c r="BM131" s="66"/>
      <c r="BN131" s="66"/>
      <c r="BO131" s="66"/>
      <c r="BP131" s="66"/>
      <c r="BQ131" s="66"/>
      <c r="BR131" s="66"/>
      <c r="BS131" s="66"/>
    </row>
    <row r="132">
      <c r="A132" s="48" t="s">
        <v>1688</v>
      </c>
      <c r="B132" s="48">
        <v>1200.0</v>
      </c>
      <c r="C132" s="48" t="s">
        <v>5263</v>
      </c>
      <c r="D132" s="174" t="s">
        <v>169</v>
      </c>
      <c r="E132" s="174" t="str">
        <f>HYPERLINK("https://www.asrock.com/mb/Intel/Z490%20Phantom%20Gaming-ITXTB3/index.asp","Z490 Phantom Gaming-ITX/TB3")</f>
        <v>Z490 Phantom Gaming-ITX/TB3</v>
      </c>
      <c r="F132" s="48" t="s">
        <v>4948</v>
      </c>
      <c r="G132" s="48" t="s">
        <v>174</v>
      </c>
      <c r="H132" s="48" t="s">
        <v>174</v>
      </c>
      <c r="I132" s="48" t="s">
        <v>174</v>
      </c>
      <c r="J132" s="48" t="s">
        <v>166</v>
      </c>
      <c r="K132" s="48" t="s">
        <v>174</v>
      </c>
      <c r="L132" s="48">
        <v>2.0</v>
      </c>
      <c r="M132" s="48" t="s">
        <v>3149</v>
      </c>
      <c r="N132" s="48">
        <v>64.0</v>
      </c>
      <c r="O132" s="48" t="s">
        <v>5264</v>
      </c>
      <c r="P132" s="48">
        <v>4.0</v>
      </c>
      <c r="Q132" s="698" t="s">
        <v>5265</v>
      </c>
      <c r="R132" s="697" t="s">
        <v>166</v>
      </c>
      <c r="S132" s="697" t="s">
        <v>166</v>
      </c>
      <c r="T132" s="697">
        <v>2.0</v>
      </c>
      <c r="U132" s="48" t="s">
        <v>166</v>
      </c>
      <c r="V132" s="48">
        <v>3.0</v>
      </c>
      <c r="W132" s="48" t="s">
        <v>166</v>
      </c>
      <c r="X132" s="48" t="s">
        <v>166</v>
      </c>
      <c r="Y132" s="48" t="s">
        <v>166</v>
      </c>
      <c r="Z132" s="48">
        <v>1.0</v>
      </c>
      <c r="AA132" s="48" t="s">
        <v>166</v>
      </c>
      <c r="AB132" s="48">
        <f t="shared" si="1"/>
        <v>6</v>
      </c>
      <c r="AC132" s="48">
        <v>1.0</v>
      </c>
      <c r="AD132" s="48">
        <v>1.0</v>
      </c>
      <c r="AE132" s="48" t="s">
        <v>166</v>
      </c>
      <c r="AF132" s="697">
        <v>1.0</v>
      </c>
      <c r="AG132" s="48" t="s">
        <v>5043</v>
      </c>
      <c r="AH132" s="48">
        <v>2.5</v>
      </c>
      <c r="AI132" s="48">
        <v>1.0</v>
      </c>
      <c r="AJ132" s="48" t="s">
        <v>5027</v>
      </c>
      <c r="AK132" s="48" t="s">
        <v>5257</v>
      </c>
      <c r="AL132" s="48">
        <v>2400.0</v>
      </c>
      <c r="AM132" s="48">
        <v>5.1</v>
      </c>
      <c r="AN132" s="48" t="s">
        <v>4952</v>
      </c>
      <c r="AO132" s="48" t="s">
        <v>174</v>
      </c>
      <c r="AP132" s="48">
        <v>5.0</v>
      </c>
      <c r="AQ132" s="48">
        <v>1.0</v>
      </c>
      <c r="AR132" s="48">
        <v>1.0</v>
      </c>
      <c r="AS132" s="48">
        <v>1.0</v>
      </c>
      <c r="AT132" s="48" t="s">
        <v>166</v>
      </c>
      <c r="AU132" s="48" t="s">
        <v>166</v>
      </c>
      <c r="AV132" s="48">
        <v>3.0</v>
      </c>
      <c r="AW132" s="48">
        <v>1.0</v>
      </c>
      <c r="AX132" s="48">
        <v>1.0</v>
      </c>
      <c r="AY132" s="48" t="s">
        <v>174</v>
      </c>
      <c r="AZ132" s="48" t="s">
        <v>174</v>
      </c>
      <c r="BA132" s="48" t="s">
        <v>5261</v>
      </c>
      <c r="BB132" s="48" t="s">
        <v>5266</v>
      </c>
      <c r="BC132" s="48" t="s">
        <v>4963</v>
      </c>
      <c r="BD132" s="48">
        <v>6.0</v>
      </c>
      <c r="BE132" s="698" t="s">
        <v>5267</v>
      </c>
      <c r="BF132" s="698" t="s">
        <v>5035</v>
      </c>
      <c r="BG132" s="66"/>
      <c r="BH132" s="66"/>
      <c r="BI132" s="66"/>
      <c r="BJ132" s="66"/>
      <c r="BK132" s="66"/>
      <c r="BL132" s="66"/>
      <c r="BM132" s="66"/>
      <c r="BN132" s="66"/>
      <c r="BO132" s="66"/>
      <c r="BP132" s="66"/>
      <c r="BQ132" s="66"/>
      <c r="BR132" s="66"/>
      <c r="BS132" s="66"/>
    </row>
    <row r="133">
      <c r="A133" s="48" t="s">
        <v>1688</v>
      </c>
      <c r="B133" s="48">
        <v>1200.0</v>
      </c>
      <c r="C133" s="48" t="s">
        <v>5263</v>
      </c>
      <c r="D133" s="174" t="str">
        <f>HYPERLINK("https://www.asus.com/","Asus")</f>
        <v>Asus</v>
      </c>
      <c r="E133" s="174" t="s">
        <v>5268</v>
      </c>
      <c r="F133" s="48" t="s">
        <v>4948</v>
      </c>
      <c r="G133" s="48" t="s">
        <v>174</v>
      </c>
      <c r="H133" s="48" t="s">
        <v>174</v>
      </c>
      <c r="I133" s="48" t="s">
        <v>174</v>
      </c>
      <c r="J133" s="48" t="s">
        <v>174</v>
      </c>
      <c r="K133" s="48" t="s">
        <v>166</v>
      </c>
      <c r="L133" s="48">
        <v>2.0</v>
      </c>
      <c r="M133" s="48" t="s">
        <v>3149</v>
      </c>
      <c r="N133" s="48">
        <v>64.0</v>
      </c>
      <c r="O133" s="48" t="s">
        <v>5223</v>
      </c>
      <c r="P133" s="48">
        <v>4.0</v>
      </c>
      <c r="Q133" s="710" t="s">
        <v>5269</v>
      </c>
      <c r="R133" s="697">
        <v>2.0</v>
      </c>
      <c r="S133" s="697" t="s">
        <v>166</v>
      </c>
      <c r="T133" s="697">
        <v>2.0</v>
      </c>
      <c r="U133" s="48" t="s">
        <v>166</v>
      </c>
      <c r="V133" s="48">
        <v>3.0</v>
      </c>
      <c r="W133" s="48">
        <v>1.0</v>
      </c>
      <c r="X133" s="48" t="s">
        <v>166</v>
      </c>
      <c r="Y133" s="48" t="s">
        <v>166</v>
      </c>
      <c r="Z133" s="48" t="s">
        <v>166</v>
      </c>
      <c r="AA133" s="48" t="s">
        <v>166</v>
      </c>
      <c r="AB133" s="48">
        <f t="shared" si="1"/>
        <v>8</v>
      </c>
      <c r="AC133" s="48">
        <v>1.0</v>
      </c>
      <c r="AD133" s="48">
        <v>1.0</v>
      </c>
      <c r="AE133" s="48" t="s">
        <v>5025</v>
      </c>
      <c r="AF133" s="697">
        <v>1.0</v>
      </c>
      <c r="AG133" s="48" t="s">
        <v>5026</v>
      </c>
      <c r="AH133" s="48">
        <v>2.5</v>
      </c>
      <c r="AI133" s="48">
        <v>1.0</v>
      </c>
      <c r="AJ133" s="48" t="s">
        <v>5027</v>
      </c>
      <c r="AK133" s="48" t="s">
        <v>5257</v>
      </c>
      <c r="AL133" s="48">
        <v>2400.0</v>
      </c>
      <c r="AM133" s="48">
        <v>5.1</v>
      </c>
      <c r="AN133" s="48" t="s">
        <v>4971</v>
      </c>
      <c r="AO133" s="48" t="s">
        <v>166</v>
      </c>
      <c r="AP133" s="48">
        <v>3.0</v>
      </c>
      <c r="AQ133" s="48" t="s">
        <v>166</v>
      </c>
      <c r="AR133" s="48">
        <v>1.0</v>
      </c>
      <c r="AS133" s="48">
        <v>1.0</v>
      </c>
      <c r="AT133" s="48" t="s">
        <v>166</v>
      </c>
      <c r="AU133" s="48" t="s">
        <v>166</v>
      </c>
      <c r="AV133" s="48">
        <v>3.0</v>
      </c>
      <c r="AW133" s="48">
        <v>1.0</v>
      </c>
      <c r="AX133" s="48">
        <v>1.0</v>
      </c>
      <c r="AY133" s="48" t="s">
        <v>174</v>
      </c>
      <c r="AZ133" s="48" t="s">
        <v>174</v>
      </c>
      <c r="BA133" s="48" t="s">
        <v>4972</v>
      </c>
      <c r="BB133" s="48" t="s">
        <v>5226</v>
      </c>
      <c r="BC133" s="48" t="s">
        <v>4955</v>
      </c>
      <c r="BD133" s="48">
        <v>8.0</v>
      </c>
      <c r="BE133" s="698" t="s">
        <v>5270</v>
      </c>
      <c r="BF133" s="698" t="s">
        <v>5035</v>
      </c>
      <c r="BG133" s="66"/>
      <c r="BH133" s="66"/>
      <c r="BI133" s="66"/>
      <c r="BJ133" s="66"/>
      <c r="BK133" s="66"/>
      <c r="BL133" s="66"/>
      <c r="BM133" s="66"/>
      <c r="BN133" s="66"/>
      <c r="BO133" s="66"/>
      <c r="BP133" s="66"/>
      <c r="BQ133" s="66"/>
      <c r="BR133" s="66"/>
      <c r="BS133" s="66"/>
    </row>
    <row r="134">
      <c r="A134" s="48" t="s">
        <v>1688</v>
      </c>
      <c r="B134" s="48">
        <v>1200.0</v>
      </c>
      <c r="C134" s="48" t="s">
        <v>5263</v>
      </c>
      <c r="D134" s="174" t="str">
        <f t="shared" ref="D134:D135" si="21">HYPERLINK("https://www.biostar.com.tw/","Biostar")</f>
        <v>Biostar</v>
      </c>
      <c r="E134" s="174" t="str">
        <f>HYPERLINK("https://www.biostar.com.tw/app/en/mb/introduction.php?S_ID=979","Z490GTN")</f>
        <v>Z490GTN</v>
      </c>
      <c r="F134" s="48" t="s">
        <v>4948</v>
      </c>
      <c r="G134" s="48" t="s">
        <v>166</v>
      </c>
      <c r="H134" s="48" t="s">
        <v>174</v>
      </c>
      <c r="I134" s="48" t="s">
        <v>174</v>
      </c>
      <c r="J134" s="48" t="s">
        <v>166</v>
      </c>
      <c r="K134" s="48" t="s">
        <v>166</v>
      </c>
      <c r="L134" s="48">
        <v>2.0</v>
      </c>
      <c r="M134" s="48" t="s">
        <v>3149</v>
      </c>
      <c r="N134" s="48">
        <v>64.0</v>
      </c>
      <c r="O134" s="48" t="s">
        <v>5213</v>
      </c>
      <c r="P134" s="48">
        <v>4.0</v>
      </c>
      <c r="Q134" s="696" t="s">
        <v>4950</v>
      </c>
      <c r="R134" s="697">
        <v>2.0</v>
      </c>
      <c r="S134" s="697" t="s">
        <v>166</v>
      </c>
      <c r="T134" s="697">
        <v>4.0</v>
      </c>
      <c r="U134" s="48" t="s">
        <v>166</v>
      </c>
      <c r="V134" s="48" t="s">
        <v>166</v>
      </c>
      <c r="W134" s="48" t="s">
        <v>166</v>
      </c>
      <c r="X134" s="48" t="s">
        <v>166</v>
      </c>
      <c r="Y134" s="48" t="s">
        <v>166</v>
      </c>
      <c r="Z134" s="48" t="s">
        <v>166</v>
      </c>
      <c r="AA134" s="48" t="s">
        <v>166</v>
      </c>
      <c r="AB134" s="48">
        <f t="shared" si="1"/>
        <v>6</v>
      </c>
      <c r="AC134" s="48">
        <v>1.0</v>
      </c>
      <c r="AD134" s="48">
        <v>1.0</v>
      </c>
      <c r="AE134" s="48" t="s">
        <v>166</v>
      </c>
      <c r="AF134" s="697">
        <v>1.0</v>
      </c>
      <c r="AG134" s="48" t="s">
        <v>5133</v>
      </c>
      <c r="AH134" s="48">
        <v>1.0</v>
      </c>
      <c r="AI134" s="48">
        <v>1.0</v>
      </c>
      <c r="AJ134" s="48" t="s">
        <v>166</v>
      </c>
      <c r="AK134" s="48" t="s">
        <v>232</v>
      </c>
      <c r="AL134" s="48" t="s">
        <v>166</v>
      </c>
      <c r="AM134" s="48" t="s">
        <v>166</v>
      </c>
      <c r="AN134" s="48" t="s">
        <v>4977</v>
      </c>
      <c r="AO134" s="48" t="s">
        <v>166</v>
      </c>
      <c r="AP134" s="48">
        <v>3.0</v>
      </c>
      <c r="AQ134" s="48">
        <v>1.0</v>
      </c>
      <c r="AR134" s="48" t="s">
        <v>166</v>
      </c>
      <c r="AS134" s="48">
        <v>1.0</v>
      </c>
      <c r="AT134" s="48" t="s">
        <v>166</v>
      </c>
      <c r="AU134" s="48">
        <v>1.0</v>
      </c>
      <c r="AV134" s="48">
        <v>3.0</v>
      </c>
      <c r="AW134" s="48">
        <v>1.0</v>
      </c>
      <c r="AX134" s="48">
        <v>1.0</v>
      </c>
      <c r="AY134" s="48" t="s">
        <v>166</v>
      </c>
      <c r="AZ134" s="48" t="s">
        <v>166</v>
      </c>
      <c r="BA134" s="48" t="s">
        <v>5271</v>
      </c>
      <c r="BB134" s="48" t="s">
        <v>4954</v>
      </c>
      <c r="BC134" s="48" t="s">
        <v>4963</v>
      </c>
      <c r="BD134" s="48">
        <v>6.0</v>
      </c>
      <c r="BE134" s="698" t="s">
        <v>5272</v>
      </c>
      <c r="BF134" s="698"/>
      <c r="BG134" s="66"/>
      <c r="BH134" s="66"/>
      <c r="BI134" s="66"/>
      <c r="BJ134" s="66"/>
      <c r="BK134" s="66"/>
      <c r="BL134" s="66"/>
      <c r="BM134" s="66"/>
      <c r="BN134" s="66"/>
      <c r="BO134" s="66"/>
      <c r="BP134" s="66"/>
      <c r="BQ134" s="66"/>
      <c r="BR134" s="66"/>
      <c r="BS134" s="66"/>
    </row>
    <row r="135">
      <c r="A135" s="48" t="s">
        <v>1688</v>
      </c>
      <c r="B135" s="48">
        <v>1200.0</v>
      </c>
      <c r="C135" s="48" t="s">
        <v>5263</v>
      </c>
      <c r="D135" s="174" t="str">
        <f t="shared" si="21"/>
        <v>Biostar</v>
      </c>
      <c r="E135" s="174" t="s">
        <v>5273</v>
      </c>
      <c r="F135" s="48" t="s">
        <v>4948</v>
      </c>
      <c r="G135" s="48" t="s">
        <v>166</v>
      </c>
      <c r="H135" s="48" t="s">
        <v>174</v>
      </c>
      <c r="I135" s="48" t="s">
        <v>174</v>
      </c>
      <c r="J135" s="48" t="s">
        <v>166</v>
      </c>
      <c r="K135" s="48" t="s">
        <v>166</v>
      </c>
      <c r="L135" s="48">
        <v>2.0</v>
      </c>
      <c r="M135" s="48" t="s">
        <v>3149</v>
      </c>
      <c r="N135" s="48">
        <v>64.0</v>
      </c>
      <c r="O135" s="48" t="s">
        <v>5213</v>
      </c>
      <c r="P135" s="48">
        <v>4.0</v>
      </c>
      <c r="Q135" s="696" t="s">
        <v>4950</v>
      </c>
      <c r="R135" s="697">
        <v>2.0</v>
      </c>
      <c r="S135" s="697" t="s">
        <v>166</v>
      </c>
      <c r="T135" s="697">
        <v>4.0</v>
      </c>
      <c r="U135" s="48" t="s">
        <v>166</v>
      </c>
      <c r="V135" s="48" t="s">
        <v>166</v>
      </c>
      <c r="W135" s="48" t="s">
        <v>166</v>
      </c>
      <c r="X135" s="48" t="s">
        <v>166</v>
      </c>
      <c r="Y135" s="48" t="s">
        <v>166</v>
      </c>
      <c r="Z135" s="48" t="s">
        <v>166</v>
      </c>
      <c r="AA135" s="48" t="s">
        <v>166</v>
      </c>
      <c r="AB135" s="48">
        <f t="shared" si="1"/>
        <v>6</v>
      </c>
      <c r="AC135" s="48">
        <v>1.0</v>
      </c>
      <c r="AD135" s="48">
        <v>1.0</v>
      </c>
      <c r="AE135" s="48" t="s">
        <v>166</v>
      </c>
      <c r="AF135" s="697">
        <v>1.0</v>
      </c>
      <c r="AG135" s="48" t="s">
        <v>5133</v>
      </c>
      <c r="AH135" s="48">
        <v>1.0</v>
      </c>
      <c r="AI135" s="48">
        <v>1.0</v>
      </c>
      <c r="AJ135" s="48" t="s">
        <v>166</v>
      </c>
      <c r="AK135" s="48" t="s">
        <v>232</v>
      </c>
      <c r="AL135" s="48" t="s">
        <v>166</v>
      </c>
      <c r="AM135" s="48" t="s">
        <v>166</v>
      </c>
      <c r="AN135" s="48" t="s">
        <v>4977</v>
      </c>
      <c r="AO135" s="48" t="s">
        <v>166</v>
      </c>
      <c r="AP135" s="48">
        <v>3.0</v>
      </c>
      <c r="AQ135" s="48">
        <v>1.0</v>
      </c>
      <c r="AR135" s="48" t="s">
        <v>166</v>
      </c>
      <c r="AS135" s="48">
        <v>1.0</v>
      </c>
      <c r="AT135" s="48" t="s">
        <v>166</v>
      </c>
      <c r="AU135" s="48">
        <v>1.0</v>
      </c>
      <c r="AV135" s="48">
        <v>3.0</v>
      </c>
      <c r="AW135" s="48">
        <v>1.0</v>
      </c>
      <c r="AX135" s="48">
        <v>1.0</v>
      </c>
      <c r="AY135" s="48" t="s">
        <v>166</v>
      </c>
      <c r="AZ135" s="48" t="s">
        <v>166</v>
      </c>
      <c r="BA135" s="48" t="s">
        <v>170</v>
      </c>
      <c r="BB135" s="48" t="s">
        <v>170</v>
      </c>
      <c r="BC135" s="48" t="s">
        <v>170</v>
      </c>
      <c r="BD135" s="48" t="s">
        <v>170</v>
      </c>
      <c r="BE135" s="698" t="s">
        <v>170</v>
      </c>
      <c r="BF135" s="698"/>
      <c r="BG135" s="66"/>
      <c r="BH135" s="66"/>
      <c r="BI135" s="66"/>
      <c r="BJ135" s="66"/>
      <c r="BK135" s="66"/>
      <c r="BL135" s="66"/>
      <c r="BM135" s="66"/>
      <c r="BN135" s="66"/>
      <c r="BO135" s="66"/>
      <c r="BP135" s="66"/>
      <c r="BQ135" s="66"/>
      <c r="BR135" s="66"/>
      <c r="BS135" s="66"/>
    </row>
    <row r="136">
      <c r="A136" s="48" t="s">
        <v>1688</v>
      </c>
      <c r="B136" s="48">
        <v>1200.0</v>
      </c>
      <c r="C136" s="48" t="s">
        <v>5263</v>
      </c>
      <c r="D136" s="174" t="str">
        <f>HYPERLINK("https://www.gigabyte.com/","Gigabyte")</f>
        <v>Gigabyte</v>
      </c>
      <c r="E136" s="174" t="s">
        <v>5274</v>
      </c>
      <c r="F136" s="48" t="s">
        <v>4948</v>
      </c>
      <c r="G136" s="48" t="s">
        <v>174</v>
      </c>
      <c r="H136" s="48" t="s">
        <v>174</v>
      </c>
      <c r="I136" s="48" t="s">
        <v>174</v>
      </c>
      <c r="J136" s="48" t="s">
        <v>174</v>
      </c>
      <c r="K136" s="48" t="s">
        <v>166</v>
      </c>
      <c r="L136" s="48">
        <v>2.0</v>
      </c>
      <c r="M136" s="48" t="s">
        <v>3149</v>
      </c>
      <c r="N136" s="48">
        <v>64.0</v>
      </c>
      <c r="O136" s="48" t="s">
        <v>5275</v>
      </c>
      <c r="P136" s="48">
        <v>4.0</v>
      </c>
      <c r="Q136" s="698" t="s">
        <v>5276</v>
      </c>
      <c r="R136" s="697">
        <v>2.0</v>
      </c>
      <c r="S136" s="697" t="s">
        <v>166</v>
      </c>
      <c r="T136" s="697">
        <v>4.0</v>
      </c>
      <c r="U136" s="48" t="s">
        <v>166</v>
      </c>
      <c r="V136" s="48">
        <v>1.0</v>
      </c>
      <c r="W136" s="48">
        <v>1.0</v>
      </c>
      <c r="X136" s="48" t="s">
        <v>166</v>
      </c>
      <c r="Y136" s="48" t="s">
        <v>166</v>
      </c>
      <c r="Z136" s="48" t="s">
        <v>166</v>
      </c>
      <c r="AA136" s="48" t="s">
        <v>166</v>
      </c>
      <c r="AB136" s="48">
        <f t="shared" si="1"/>
        <v>8</v>
      </c>
      <c r="AC136" s="48">
        <v>1.0</v>
      </c>
      <c r="AD136" s="48">
        <v>1.0</v>
      </c>
      <c r="AE136" s="48" t="s">
        <v>5049</v>
      </c>
      <c r="AF136" s="697">
        <v>1.0</v>
      </c>
      <c r="AG136" s="48" t="s">
        <v>5026</v>
      </c>
      <c r="AH136" s="48">
        <v>2.5</v>
      </c>
      <c r="AI136" s="48">
        <v>1.0</v>
      </c>
      <c r="AJ136" s="48" t="s">
        <v>5027</v>
      </c>
      <c r="AK136" s="48" t="s">
        <v>5257</v>
      </c>
      <c r="AL136" s="48">
        <v>2400.0</v>
      </c>
      <c r="AM136" s="48">
        <v>5.1</v>
      </c>
      <c r="AN136" s="48" t="s">
        <v>4998</v>
      </c>
      <c r="AO136" s="48" t="s">
        <v>166</v>
      </c>
      <c r="AP136" s="48">
        <v>3.0</v>
      </c>
      <c r="AQ136" s="48" t="s">
        <v>166</v>
      </c>
      <c r="AR136" s="48">
        <v>1.0</v>
      </c>
      <c r="AS136" s="48">
        <v>1.0</v>
      </c>
      <c r="AT136" s="48" t="s">
        <v>166</v>
      </c>
      <c r="AU136" s="48" t="s">
        <v>166</v>
      </c>
      <c r="AV136" s="48">
        <v>4.0</v>
      </c>
      <c r="AW136" s="48">
        <v>1.0</v>
      </c>
      <c r="AX136" s="48">
        <v>1.0</v>
      </c>
      <c r="AY136" s="48" t="s">
        <v>166</v>
      </c>
      <c r="AZ136" s="48" t="s">
        <v>174</v>
      </c>
      <c r="BA136" s="48" t="s">
        <v>5261</v>
      </c>
      <c r="BB136" s="48" t="s">
        <v>5226</v>
      </c>
      <c r="BC136" s="48" t="s">
        <v>4963</v>
      </c>
      <c r="BD136" s="48">
        <v>8.0</v>
      </c>
      <c r="BE136" s="698" t="s">
        <v>5029</v>
      </c>
      <c r="BF136" s="698" t="s">
        <v>5277</v>
      </c>
      <c r="BG136" s="66"/>
      <c r="BH136" s="66"/>
      <c r="BI136" s="66"/>
      <c r="BJ136" s="66"/>
      <c r="BK136" s="66"/>
      <c r="BL136" s="66"/>
      <c r="BM136" s="66"/>
      <c r="BN136" s="66"/>
      <c r="BO136" s="66"/>
      <c r="BP136" s="66"/>
      <c r="BQ136" s="66"/>
      <c r="BR136" s="66"/>
      <c r="BS136" s="66"/>
    </row>
    <row r="137">
      <c r="A137" s="700" t="s">
        <v>1688</v>
      </c>
      <c r="B137" s="700">
        <v>1200.0</v>
      </c>
      <c r="C137" s="700" t="s">
        <v>5263</v>
      </c>
      <c r="D137" s="291" t="str">
        <f>HYPERLINK("https://www.msi.com/index.php","MSI")</f>
        <v>MSI</v>
      </c>
      <c r="E137" s="291" t="s">
        <v>5278</v>
      </c>
      <c r="F137" s="700" t="s">
        <v>4948</v>
      </c>
      <c r="G137" s="700" t="s">
        <v>166</v>
      </c>
      <c r="H137" s="700" t="s">
        <v>174</v>
      </c>
      <c r="I137" s="700" t="s">
        <v>174</v>
      </c>
      <c r="J137" s="700" t="s">
        <v>166</v>
      </c>
      <c r="K137" s="700" t="s">
        <v>174</v>
      </c>
      <c r="L137" s="700">
        <v>2.0</v>
      </c>
      <c r="M137" s="700" t="s">
        <v>3149</v>
      </c>
      <c r="N137" s="700">
        <v>64.0</v>
      </c>
      <c r="O137" s="700" t="s">
        <v>5275</v>
      </c>
      <c r="P137" s="700">
        <v>4.0</v>
      </c>
      <c r="Q137" s="703" t="s">
        <v>5279</v>
      </c>
      <c r="R137" s="702">
        <v>2.0</v>
      </c>
      <c r="S137" s="702" t="s">
        <v>166</v>
      </c>
      <c r="T137" s="702">
        <v>2.0</v>
      </c>
      <c r="U137" s="700" t="s">
        <v>166</v>
      </c>
      <c r="V137" s="700">
        <v>1.0</v>
      </c>
      <c r="W137" s="700" t="s">
        <v>166</v>
      </c>
      <c r="X137" s="700" t="s">
        <v>166</v>
      </c>
      <c r="Y137" s="700" t="s">
        <v>166</v>
      </c>
      <c r="Z137" s="700">
        <v>1.0</v>
      </c>
      <c r="AA137" s="700" t="s">
        <v>166</v>
      </c>
      <c r="AB137" s="700">
        <f t="shared" si="1"/>
        <v>6</v>
      </c>
      <c r="AC137" s="700">
        <v>1.0</v>
      </c>
      <c r="AD137" s="700">
        <v>1.0</v>
      </c>
      <c r="AE137" s="700" t="s">
        <v>5025</v>
      </c>
      <c r="AF137" s="702">
        <v>1.0</v>
      </c>
      <c r="AG137" s="700" t="s">
        <v>5038</v>
      </c>
      <c r="AH137" s="700">
        <v>2.5</v>
      </c>
      <c r="AI137" s="700">
        <v>1.0</v>
      </c>
      <c r="AJ137" s="700" t="s">
        <v>5027</v>
      </c>
      <c r="AK137" s="700" t="s">
        <v>5257</v>
      </c>
      <c r="AL137" s="700">
        <v>2400.0</v>
      </c>
      <c r="AM137" s="700">
        <v>5.1</v>
      </c>
      <c r="AN137" s="700" t="s">
        <v>4952</v>
      </c>
      <c r="AO137" s="700" t="s">
        <v>174</v>
      </c>
      <c r="AP137" s="700">
        <v>5.0</v>
      </c>
      <c r="AQ137" s="700" t="s">
        <v>166</v>
      </c>
      <c r="AR137" s="700">
        <v>1.0</v>
      </c>
      <c r="AS137" s="700">
        <v>1.0</v>
      </c>
      <c r="AT137" s="700" t="s">
        <v>166</v>
      </c>
      <c r="AU137" s="700" t="s">
        <v>166</v>
      </c>
      <c r="AV137" s="700">
        <v>3.0</v>
      </c>
      <c r="AW137" s="700" t="s">
        <v>166</v>
      </c>
      <c r="AX137" s="700">
        <v>2.0</v>
      </c>
      <c r="AY137" s="700" t="s">
        <v>174</v>
      </c>
      <c r="AZ137" s="700" t="s">
        <v>174</v>
      </c>
      <c r="BA137" s="700" t="s">
        <v>5261</v>
      </c>
      <c r="BB137" s="700" t="s">
        <v>5034</v>
      </c>
      <c r="BC137" s="700" t="s">
        <v>4963</v>
      </c>
      <c r="BD137" s="700">
        <v>8.0</v>
      </c>
      <c r="BE137" s="703" t="s">
        <v>5267</v>
      </c>
      <c r="BF137" s="703" t="s">
        <v>5035</v>
      </c>
      <c r="BG137" s="66"/>
      <c r="BH137" s="66"/>
      <c r="BI137" s="66"/>
      <c r="BJ137" s="66"/>
      <c r="BK137" s="66"/>
      <c r="BL137" s="66"/>
      <c r="BM137" s="66"/>
      <c r="BN137" s="66"/>
      <c r="BO137" s="66"/>
      <c r="BP137" s="66"/>
      <c r="BQ137" s="66"/>
      <c r="BR137" s="66"/>
      <c r="BS137" s="66"/>
    </row>
    <row r="138">
      <c r="A138" s="705" t="s">
        <v>1688</v>
      </c>
      <c r="B138" s="705">
        <v>1200.0</v>
      </c>
      <c r="C138" s="705" t="s">
        <v>5280</v>
      </c>
      <c r="D138" s="282" t="s">
        <v>169</v>
      </c>
      <c r="E138" s="282" t="s">
        <v>5281</v>
      </c>
      <c r="F138" s="705" t="s">
        <v>5021</v>
      </c>
      <c r="G138" s="705" t="s">
        <v>166</v>
      </c>
      <c r="H138" s="705" t="s">
        <v>166</v>
      </c>
      <c r="I138" s="705" t="s">
        <v>166</v>
      </c>
      <c r="J138" s="705" t="s">
        <v>166</v>
      </c>
      <c r="K138" s="705" t="s">
        <v>166</v>
      </c>
      <c r="L138" s="705">
        <v>2.0</v>
      </c>
      <c r="M138" s="705" t="s">
        <v>3149</v>
      </c>
      <c r="N138" s="705">
        <v>64.0</v>
      </c>
      <c r="O138" s="705">
        <v>3200.0</v>
      </c>
      <c r="P138" s="705">
        <v>4.0</v>
      </c>
      <c r="Q138" s="711" t="s">
        <v>4950</v>
      </c>
      <c r="R138" s="707">
        <v>2.0</v>
      </c>
      <c r="S138" s="707" t="s">
        <v>166</v>
      </c>
      <c r="T138" s="707">
        <v>2.0</v>
      </c>
      <c r="U138" s="705" t="s">
        <v>166</v>
      </c>
      <c r="V138" s="705" t="s">
        <v>166</v>
      </c>
      <c r="W138" s="705" t="s">
        <v>166</v>
      </c>
      <c r="X138" s="705" t="s">
        <v>166</v>
      </c>
      <c r="Y138" s="705" t="s">
        <v>166</v>
      </c>
      <c r="Z138" s="705" t="s">
        <v>166</v>
      </c>
      <c r="AA138" s="705" t="s">
        <v>166</v>
      </c>
      <c r="AB138" s="705">
        <f t="shared" si="1"/>
        <v>4</v>
      </c>
      <c r="AC138" s="705">
        <v>1.0</v>
      </c>
      <c r="AD138" s="705">
        <v>1.0</v>
      </c>
      <c r="AE138" s="705" t="s">
        <v>166</v>
      </c>
      <c r="AF138" s="707">
        <v>1.0</v>
      </c>
      <c r="AG138" s="705" t="s">
        <v>5133</v>
      </c>
      <c r="AH138" s="705">
        <v>1.0</v>
      </c>
      <c r="AI138" s="705">
        <v>1.0</v>
      </c>
      <c r="AJ138" s="705" t="s">
        <v>4966</v>
      </c>
      <c r="AK138" s="705" t="s">
        <v>4967</v>
      </c>
      <c r="AL138" s="705">
        <v>433.0</v>
      </c>
      <c r="AM138" s="705">
        <v>4.2</v>
      </c>
      <c r="AN138" s="705" t="s">
        <v>5039</v>
      </c>
      <c r="AO138" s="705" t="s">
        <v>166</v>
      </c>
      <c r="AP138" s="705">
        <v>3.0</v>
      </c>
      <c r="AQ138" s="705">
        <v>1.0</v>
      </c>
      <c r="AR138" s="705">
        <v>1.0</v>
      </c>
      <c r="AS138" s="705">
        <v>1.0</v>
      </c>
      <c r="AT138" s="705" t="s">
        <v>166</v>
      </c>
      <c r="AU138" s="705" t="s">
        <v>166</v>
      </c>
      <c r="AV138" s="705">
        <v>3.0</v>
      </c>
      <c r="AW138" s="705" t="s">
        <v>166</v>
      </c>
      <c r="AX138" s="705">
        <v>1.0</v>
      </c>
      <c r="AY138" s="705" t="s">
        <v>166</v>
      </c>
      <c r="AZ138" s="705" t="s">
        <v>166</v>
      </c>
      <c r="BA138" s="705" t="s">
        <v>5233</v>
      </c>
      <c r="BB138" s="705" t="s">
        <v>4962</v>
      </c>
      <c r="BC138" s="705" t="s">
        <v>4963</v>
      </c>
      <c r="BD138" s="705">
        <v>4.0</v>
      </c>
      <c r="BE138" s="708" t="s">
        <v>5009</v>
      </c>
      <c r="BF138" s="708"/>
      <c r="BG138" s="66"/>
      <c r="BH138" s="66"/>
      <c r="BI138" s="66"/>
      <c r="BJ138" s="66"/>
      <c r="BK138" s="66"/>
      <c r="BL138" s="66"/>
      <c r="BM138" s="66"/>
      <c r="BN138" s="66"/>
      <c r="BO138" s="66"/>
      <c r="BP138" s="66"/>
      <c r="BQ138" s="66"/>
      <c r="BR138" s="66"/>
      <c r="BS138" s="66"/>
    </row>
    <row r="139">
      <c r="A139" s="712" t="s">
        <v>1688</v>
      </c>
      <c r="B139" s="712">
        <v>1200.0</v>
      </c>
      <c r="C139" s="712" t="s">
        <v>5280</v>
      </c>
      <c r="D139" s="291" t="str">
        <f>HYPERLINK("https://www.msi.com/index.php","MSI")</f>
        <v>MSI</v>
      </c>
      <c r="E139" s="291" t="s">
        <v>5282</v>
      </c>
      <c r="F139" s="712" t="s">
        <v>5021</v>
      </c>
      <c r="G139" s="700" t="s">
        <v>166</v>
      </c>
      <c r="H139" s="700" t="s">
        <v>166</v>
      </c>
      <c r="I139" s="700" t="s">
        <v>166</v>
      </c>
      <c r="J139" s="700" t="s">
        <v>166</v>
      </c>
      <c r="K139" s="700" t="s">
        <v>166</v>
      </c>
      <c r="L139" s="700">
        <v>2.0</v>
      </c>
      <c r="M139" s="712" t="s">
        <v>3149</v>
      </c>
      <c r="N139" s="712">
        <v>64.0</v>
      </c>
      <c r="O139" s="700">
        <v>3200.0</v>
      </c>
      <c r="P139" s="700">
        <v>4.0</v>
      </c>
      <c r="Q139" s="719" t="s">
        <v>4950</v>
      </c>
      <c r="R139" s="702">
        <v>4.0</v>
      </c>
      <c r="S139" s="702" t="s">
        <v>166</v>
      </c>
      <c r="T139" s="702">
        <v>2.0</v>
      </c>
      <c r="U139" s="700" t="s">
        <v>166</v>
      </c>
      <c r="V139" s="700" t="s">
        <v>166</v>
      </c>
      <c r="W139" s="700" t="s">
        <v>166</v>
      </c>
      <c r="X139" s="700" t="s">
        <v>166</v>
      </c>
      <c r="Y139" s="700" t="s">
        <v>166</v>
      </c>
      <c r="Z139" s="700" t="s">
        <v>166</v>
      </c>
      <c r="AA139" s="712" t="s">
        <v>166</v>
      </c>
      <c r="AB139" s="712">
        <f t="shared" si="1"/>
        <v>6</v>
      </c>
      <c r="AC139" s="712">
        <v>1.0</v>
      </c>
      <c r="AD139" s="712">
        <v>1.0</v>
      </c>
      <c r="AE139" s="700" t="s">
        <v>166</v>
      </c>
      <c r="AF139" s="702">
        <v>1.0</v>
      </c>
      <c r="AG139" s="700" t="s">
        <v>5038</v>
      </c>
      <c r="AH139" s="700">
        <v>2.5</v>
      </c>
      <c r="AI139" s="700">
        <v>1.0</v>
      </c>
      <c r="AJ139" s="700" t="s">
        <v>5027</v>
      </c>
      <c r="AK139" s="700" t="s">
        <v>5257</v>
      </c>
      <c r="AL139" s="700">
        <v>2400.0</v>
      </c>
      <c r="AM139" s="700">
        <v>5.1</v>
      </c>
      <c r="AN139" s="712" t="s">
        <v>5039</v>
      </c>
      <c r="AO139" s="700" t="s">
        <v>166</v>
      </c>
      <c r="AP139" s="700">
        <v>3.0</v>
      </c>
      <c r="AQ139" s="700" t="s">
        <v>166</v>
      </c>
      <c r="AR139" s="700">
        <v>1.0</v>
      </c>
      <c r="AS139" s="712">
        <v>1.0</v>
      </c>
      <c r="AT139" s="700" t="s">
        <v>166</v>
      </c>
      <c r="AU139" s="700" t="s">
        <v>166</v>
      </c>
      <c r="AV139" s="700">
        <v>3.0</v>
      </c>
      <c r="AW139" s="700" t="s">
        <v>166</v>
      </c>
      <c r="AX139" s="700" t="s">
        <v>166</v>
      </c>
      <c r="AY139" s="700" t="s">
        <v>174</v>
      </c>
      <c r="AZ139" s="700" t="s">
        <v>166</v>
      </c>
      <c r="BA139" s="700" t="s">
        <v>170</v>
      </c>
      <c r="BB139" s="700" t="s">
        <v>170</v>
      </c>
      <c r="BC139" s="700" t="s">
        <v>170</v>
      </c>
      <c r="BD139" s="700" t="s">
        <v>170</v>
      </c>
      <c r="BE139" s="703" t="s">
        <v>170</v>
      </c>
      <c r="BF139" s="703"/>
      <c r="BG139" s="66"/>
      <c r="BH139" s="66"/>
      <c r="BI139" s="66"/>
      <c r="BJ139" s="66"/>
      <c r="BK139" s="66"/>
      <c r="BL139" s="66"/>
      <c r="BM139" s="66"/>
      <c r="BN139" s="66"/>
      <c r="BO139" s="66"/>
      <c r="BP139" s="66"/>
      <c r="BQ139" s="66"/>
      <c r="BR139" s="66"/>
      <c r="BS139" s="66"/>
    </row>
    <row r="140">
      <c r="A140" s="705" t="s">
        <v>1688</v>
      </c>
      <c r="B140" s="705">
        <v>1200.0</v>
      </c>
      <c r="C140" s="705" t="s">
        <v>5283</v>
      </c>
      <c r="D140" s="282" t="s">
        <v>169</v>
      </c>
      <c r="E140" s="282" t="s">
        <v>5284</v>
      </c>
      <c r="F140" s="705" t="s">
        <v>5021</v>
      </c>
      <c r="G140" s="705" t="s">
        <v>166</v>
      </c>
      <c r="H140" s="705" t="s">
        <v>166</v>
      </c>
      <c r="I140" s="705" t="s">
        <v>174</v>
      </c>
      <c r="J140" s="705" t="s">
        <v>166</v>
      </c>
      <c r="K140" s="705" t="s">
        <v>166</v>
      </c>
      <c r="L140" s="705">
        <v>2.0</v>
      </c>
      <c r="M140" s="705" t="s">
        <v>3149</v>
      </c>
      <c r="N140" s="705">
        <v>64.0</v>
      </c>
      <c r="O140" s="705" t="s">
        <v>5223</v>
      </c>
      <c r="P140" s="705">
        <v>4.0</v>
      </c>
      <c r="Q140" s="711" t="s">
        <v>4950</v>
      </c>
      <c r="R140" s="707">
        <v>2.0</v>
      </c>
      <c r="S140" s="707" t="s">
        <v>166</v>
      </c>
      <c r="T140" s="707">
        <v>2.0</v>
      </c>
      <c r="U140" s="705" t="s">
        <v>166</v>
      </c>
      <c r="V140" s="705" t="s">
        <v>166</v>
      </c>
      <c r="W140" s="705" t="s">
        <v>166</v>
      </c>
      <c r="X140" s="705" t="s">
        <v>166</v>
      </c>
      <c r="Y140" s="705" t="s">
        <v>166</v>
      </c>
      <c r="Z140" s="705" t="s">
        <v>166</v>
      </c>
      <c r="AA140" s="705" t="s">
        <v>166</v>
      </c>
      <c r="AB140" s="705">
        <f t="shared" si="1"/>
        <v>4</v>
      </c>
      <c r="AC140" s="705">
        <v>1.0</v>
      </c>
      <c r="AD140" s="705">
        <v>1.0</v>
      </c>
      <c r="AE140" s="705" t="s">
        <v>5049</v>
      </c>
      <c r="AF140" s="707">
        <v>1.0</v>
      </c>
      <c r="AG140" s="705" t="s">
        <v>5133</v>
      </c>
      <c r="AH140" s="705">
        <v>1.0</v>
      </c>
      <c r="AI140" s="705">
        <v>1.0</v>
      </c>
      <c r="AJ140" s="705" t="s">
        <v>4966</v>
      </c>
      <c r="AK140" s="705" t="s">
        <v>4967</v>
      </c>
      <c r="AL140" s="705">
        <v>433.0</v>
      </c>
      <c r="AM140" s="705">
        <v>4.2</v>
      </c>
      <c r="AN140" s="705" t="s">
        <v>5039</v>
      </c>
      <c r="AO140" s="705" t="s">
        <v>166</v>
      </c>
      <c r="AP140" s="705">
        <v>3.0</v>
      </c>
      <c r="AQ140" s="705">
        <v>1.0</v>
      </c>
      <c r="AR140" s="705">
        <v>1.0</v>
      </c>
      <c r="AS140" s="705">
        <v>1.0</v>
      </c>
      <c r="AT140" s="705" t="s">
        <v>166</v>
      </c>
      <c r="AU140" s="705" t="s">
        <v>166</v>
      </c>
      <c r="AV140" s="705">
        <v>3.0</v>
      </c>
      <c r="AW140" s="705" t="s">
        <v>166</v>
      </c>
      <c r="AX140" s="705">
        <v>1.0</v>
      </c>
      <c r="AY140" s="705" t="s">
        <v>166</v>
      </c>
      <c r="AZ140" s="705" t="s">
        <v>166</v>
      </c>
      <c r="BA140" s="705" t="s">
        <v>5233</v>
      </c>
      <c r="BB140" s="705" t="s">
        <v>4954</v>
      </c>
      <c r="BC140" s="705" t="s">
        <v>4963</v>
      </c>
      <c r="BD140" s="705">
        <v>6.0</v>
      </c>
      <c r="BE140" s="708" t="s">
        <v>5009</v>
      </c>
      <c r="BF140" s="708"/>
      <c r="BG140" s="66"/>
      <c r="BH140" s="66"/>
      <c r="BI140" s="66"/>
      <c r="BJ140" s="66"/>
      <c r="BK140" s="66"/>
      <c r="BL140" s="66"/>
      <c r="BM140" s="66"/>
      <c r="BN140" s="66"/>
      <c r="BO140" s="66"/>
      <c r="BP140" s="66"/>
      <c r="BQ140" s="66"/>
      <c r="BR140" s="66"/>
      <c r="BS140" s="66"/>
    </row>
    <row r="141">
      <c r="A141" s="48" t="s">
        <v>1688</v>
      </c>
      <c r="B141" s="48">
        <v>1200.0</v>
      </c>
      <c r="C141" s="48" t="s">
        <v>5283</v>
      </c>
      <c r="D141" s="174" t="str">
        <f>HYPERLINK("https://www.asus.com/","Asus")</f>
        <v>Asus</v>
      </c>
      <c r="E141" s="718" t="s">
        <v>5285</v>
      </c>
      <c r="F141" s="48" t="s">
        <v>5021</v>
      </c>
      <c r="G141" s="48" t="s">
        <v>166</v>
      </c>
      <c r="H141" s="48" t="s">
        <v>166</v>
      </c>
      <c r="I141" s="48" t="s">
        <v>174</v>
      </c>
      <c r="J141" s="48" t="s">
        <v>166</v>
      </c>
      <c r="K141" s="48" t="s">
        <v>166</v>
      </c>
      <c r="L141" s="48">
        <v>2.0</v>
      </c>
      <c r="M141" s="48" t="s">
        <v>3149</v>
      </c>
      <c r="N141" s="48">
        <v>64.0</v>
      </c>
      <c r="O141" s="48" t="s">
        <v>5286</v>
      </c>
      <c r="P141" s="48">
        <v>4.0</v>
      </c>
      <c r="Q141" s="698" t="s">
        <v>5287</v>
      </c>
      <c r="R141" s="697">
        <v>5.0</v>
      </c>
      <c r="S141" s="697">
        <v>1.0</v>
      </c>
      <c r="T141" s="697" t="s">
        <v>166</v>
      </c>
      <c r="U141" s="48" t="s">
        <v>166</v>
      </c>
      <c r="V141" s="48">
        <v>1.0</v>
      </c>
      <c r="W141" s="48" t="s">
        <v>166</v>
      </c>
      <c r="X141" s="48">
        <v>1.0</v>
      </c>
      <c r="Y141" s="48" t="s">
        <v>166</v>
      </c>
      <c r="Z141" s="48" t="s">
        <v>166</v>
      </c>
      <c r="AA141" s="48" t="s">
        <v>166</v>
      </c>
      <c r="AB141" s="48">
        <f t="shared" si="1"/>
        <v>8</v>
      </c>
      <c r="AC141" s="48">
        <v>1.0</v>
      </c>
      <c r="AD141" s="48">
        <v>1.0</v>
      </c>
      <c r="AE141" s="48" t="s">
        <v>5025</v>
      </c>
      <c r="AF141" s="697">
        <v>1.0</v>
      </c>
      <c r="AG141" s="48" t="s">
        <v>5038</v>
      </c>
      <c r="AH141" s="48">
        <v>2.5</v>
      </c>
      <c r="AI141" s="48">
        <v>1.0</v>
      </c>
      <c r="AJ141" s="48" t="s">
        <v>5027</v>
      </c>
      <c r="AK141" s="48" t="s">
        <v>5257</v>
      </c>
      <c r="AL141" s="48">
        <v>2400.0</v>
      </c>
      <c r="AM141" s="48">
        <v>5.1</v>
      </c>
      <c r="AN141" s="48" t="s">
        <v>5288</v>
      </c>
      <c r="AO141" s="48" t="s">
        <v>166</v>
      </c>
      <c r="AP141" s="48">
        <v>5.0</v>
      </c>
      <c r="AQ141" s="48" t="s">
        <v>166</v>
      </c>
      <c r="AR141" s="48">
        <v>1.0</v>
      </c>
      <c r="AS141" s="48">
        <v>1.0</v>
      </c>
      <c r="AT141" s="48" t="s">
        <v>166</v>
      </c>
      <c r="AU141" s="48" t="s">
        <v>166</v>
      </c>
      <c r="AV141" s="48">
        <v>3.0</v>
      </c>
      <c r="AW141" s="48">
        <v>1.0</v>
      </c>
      <c r="AX141" s="48">
        <v>1.0</v>
      </c>
      <c r="AY141" s="48" t="s">
        <v>174</v>
      </c>
      <c r="AZ141" s="48" t="s">
        <v>174</v>
      </c>
      <c r="BA141" s="48" t="s">
        <v>5235</v>
      </c>
      <c r="BB141" s="48" t="s">
        <v>5226</v>
      </c>
      <c r="BC141" s="48" t="s">
        <v>4955</v>
      </c>
      <c r="BD141" s="48">
        <v>8.0</v>
      </c>
      <c r="BE141" s="698" t="s">
        <v>5289</v>
      </c>
      <c r="BF141" s="698"/>
      <c r="BG141" s="66"/>
      <c r="BH141" s="66"/>
      <c r="BI141" s="66"/>
      <c r="BJ141" s="66"/>
      <c r="BK141" s="66"/>
      <c r="BL141" s="66"/>
      <c r="BM141" s="66"/>
      <c r="BN141" s="66"/>
      <c r="BO141" s="66"/>
      <c r="BP141" s="66"/>
      <c r="BQ141" s="66"/>
      <c r="BR141" s="66"/>
      <c r="BS141" s="66"/>
    </row>
    <row r="142">
      <c r="A142" s="48" t="s">
        <v>1688</v>
      </c>
      <c r="B142" s="48">
        <v>1200.0</v>
      </c>
      <c r="C142" s="48" t="s">
        <v>5283</v>
      </c>
      <c r="D142" s="174" t="s">
        <v>3575</v>
      </c>
      <c r="E142" s="718" t="s">
        <v>5290</v>
      </c>
      <c r="F142" s="48" t="s">
        <v>5021</v>
      </c>
      <c r="G142" s="48" t="s">
        <v>166</v>
      </c>
      <c r="H142" s="48" t="s">
        <v>166</v>
      </c>
      <c r="I142" s="48" t="s">
        <v>174</v>
      </c>
      <c r="J142" s="48" t="s">
        <v>166</v>
      </c>
      <c r="K142" s="48" t="s">
        <v>166</v>
      </c>
      <c r="L142" s="48">
        <v>2.0</v>
      </c>
      <c r="M142" s="48" t="s">
        <v>3149</v>
      </c>
      <c r="N142" s="48">
        <v>64.0</v>
      </c>
      <c r="O142" s="48" t="s">
        <v>5175</v>
      </c>
      <c r="P142" s="48">
        <v>4.0</v>
      </c>
      <c r="Q142" s="711" t="s">
        <v>4950</v>
      </c>
      <c r="R142" s="697">
        <v>2.0</v>
      </c>
      <c r="S142" s="697" t="s">
        <v>166</v>
      </c>
      <c r="T142" s="697">
        <v>2.0</v>
      </c>
      <c r="U142" s="48">
        <v>1.0</v>
      </c>
      <c r="V142" s="48" t="s">
        <v>166</v>
      </c>
      <c r="W142" s="48" t="s">
        <v>166</v>
      </c>
      <c r="X142" s="48" t="s">
        <v>166</v>
      </c>
      <c r="Y142" s="48" t="s">
        <v>166</v>
      </c>
      <c r="Z142" s="48" t="s">
        <v>166</v>
      </c>
      <c r="AA142" s="48" t="s">
        <v>166</v>
      </c>
      <c r="AB142" s="48">
        <f t="shared" si="1"/>
        <v>5</v>
      </c>
      <c r="AC142" s="48">
        <v>1.0</v>
      </c>
      <c r="AD142" s="48">
        <v>1.0</v>
      </c>
      <c r="AE142" s="705" t="s">
        <v>5049</v>
      </c>
      <c r="AF142" s="697">
        <v>1.0</v>
      </c>
      <c r="AG142" s="48" t="s">
        <v>4959</v>
      </c>
      <c r="AH142" s="48">
        <v>1.0</v>
      </c>
      <c r="AI142" s="48">
        <v>1.0</v>
      </c>
      <c r="AJ142" s="48" t="s">
        <v>5027</v>
      </c>
      <c r="AK142" s="48" t="s">
        <v>5257</v>
      </c>
      <c r="AL142" s="48">
        <v>2400.0</v>
      </c>
      <c r="AM142" s="48">
        <v>5.1</v>
      </c>
      <c r="AN142" s="705" t="s">
        <v>5039</v>
      </c>
      <c r="AO142" s="48" t="s">
        <v>166</v>
      </c>
      <c r="AP142" s="48">
        <v>3.0</v>
      </c>
      <c r="AQ142" s="48" t="s">
        <v>166</v>
      </c>
      <c r="AR142" s="48">
        <v>1.0</v>
      </c>
      <c r="AS142" s="48">
        <v>1.0</v>
      </c>
      <c r="AT142" s="48" t="s">
        <v>166</v>
      </c>
      <c r="AU142" s="48" t="s">
        <v>166</v>
      </c>
      <c r="AV142" s="48">
        <v>3.0</v>
      </c>
      <c r="AW142" s="48" t="s">
        <v>166</v>
      </c>
      <c r="AX142" s="48">
        <v>1.0</v>
      </c>
      <c r="AY142" s="48" t="s">
        <v>166</v>
      </c>
      <c r="AZ142" s="48" t="s">
        <v>166</v>
      </c>
      <c r="BA142" s="48" t="s">
        <v>5233</v>
      </c>
      <c r="BB142" s="48" t="s">
        <v>4954</v>
      </c>
      <c r="BC142" s="48" t="s">
        <v>4963</v>
      </c>
      <c r="BD142" s="48">
        <v>6.0</v>
      </c>
      <c r="BE142" s="698" t="s">
        <v>5291</v>
      </c>
      <c r="BF142" s="698"/>
      <c r="BG142" s="66"/>
      <c r="BH142" s="66"/>
      <c r="BI142" s="66"/>
      <c r="BJ142" s="66"/>
      <c r="BK142" s="66"/>
      <c r="BL142" s="66"/>
      <c r="BM142" s="66"/>
      <c r="BN142" s="66"/>
      <c r="BO142" s="66"/>
      <c r="BP142" s="66"/>
      <c r="BQ142" s="66"/>
      <c r="BR142" s="66"/>
      <c r="BS142" s="66"/>
    </row>
    <row r="143">
      <c r="A143" s="48" t="s">
        <v>1688</v>
      </c>
      <c r="B143" s="48">
        <v>1200.0</v>
      </c>
      <c r="C143" s="48" t="s">
        <v>5283</v>
      </c>
      <c r="D143" s="174" t="s">
        <v>3575</v>
      </c>
      <c r="E143" s="718" t="s">
        <v>5292</v>
      </c>
      <c r="F143" s="48" t="s">
        <v>5021</v>
      </c>
      <c r="G143" s="48" t="s">
        <v>166</v>
      </c>
      <c r="H143" s="48" t="s">
        <v>166</v>
      </c>
      <c r="I143" s="48" t="s">
        <v>174</v>
      </c>
      <c r="J143" s="48" t="s">
        <v>166</v>
      </c>
      <c r="K143" s="48" t="s">
        <v>166</v>
      </c>
      <c r="L143" s="48">
        <v>2.0</v>
      </c>
      <c r="M143" s="48" t="s">
        <v>3149</v>
      </c>
      <c r="N143" s="48">
        <v>64.0</v>
      </c>
      <c r="O143" s="48" t="s">
        <v>5175</v>
      </c>
      <c r="P143" s="48">
        <v>4.0</v>
      </c>
      <c r="Q143" s="711" t="s">
        <v>4950</v>
      </c>
      <c r="R143" s="697">
        <v>2.0</v>
      </c>
      <c r="S143" s="697" t="s">
        <v>166</v>
      </c>
      <c r="T143" s="697">
        <v>2.0</v>
      </c>
      <c r="U143" s="48">
        <v>1.0</v>
      </c>
      <c r="V143" s="48" t="s">
        <v>166</v>
      </c>
      <c r="W143" s="48" t="s">
        <v>166</v>
      </c>
      <c r="X143" s="48" t="s">
        <v>166</v>
      </c>
      <c r="Y143" s="48" t="s">
        <v>166</v>
      </c>
      <c r="Z143" s="48" t="s">
        <v>166</v>
      </c>
      <c r="AA143" s="48" t="s">
        <v>166</v>
      </c>
      <c r="AB143" s="48">
        <f t="shared" si="1"/>
        <v>5</v>
      </c>
      <c r="AC143" s="48">
        <v>1.0</v>
      </c>
      <c r="AD143" s="48">
        <v>1.0</v>
      </c>
      <c r="AE143" s="705" t="s">
        <v>5049</v>
      </c>
      <c r="AF143" s="697">
        <v>1.0</v>
      </c>
      <c r="AG143" s="48" t="s">
        <v>4959</v>
      </c>
      <c r="AH143" s="48">
        <v>1.0</v>
      </c>
      <c r="AI143" s="48">
        <v>1.0</v>
      </c>
      <c r="AJ143" s="48" t="s">
        <v>5027</v>
      </c>
      <c r="AK143" s="48" t="s">
        <v>5257</v>
      </c>
      <c r="AL143" s="48">
        <v>2400.0</v>
      </c>
      <c r="AM143" s="48">
        <v>5.1</v>
      </c>
      <c r="AN143" s="705" t="s">
        <v>5039</v>
      </c>
      <c r="AO143" s="48" t="s">
        <v>166</v>
      </c>
      <c r="AP143" s="48">
        <v>3.0</v>
      </c>
      <c r="AQ143" s="48" t="s">
        <v>166</v>
      </c>
      <c r="AR143" s="48">
        <v>1.0</v>
      </c>
      <c r="AS143" s="48">
        <v>1.0</v>
      </c>
      <c r="AT143" s="48" t="s">
        <v>166</v>
      </c>
      <c r="AU143" s="48" t="s">
        <v>166</v>
      </c>
      <c r="AV143" s="48">
        <v>3.0</v>
      </c>
      <c r="AW143" s="48" t="s">
        <v>166</v>
      </c>
      <c r="AX143" s="48">
        <v>1.0</v>
      </c>
      <c r="AY143" s="48" t="s">
        <v>166</v>
      </c>
      <c r="AZ143" s="48" t="s">
        <v>166</v>
      </c>
      <c r="BA143" s="48" t="s">
        <v>5233</v>
      </c>
      <c r="BB143" s="48" t="s">
        <v>4954</v>
      </c>
      <c r="BC143" s="48" t="s">
        <v>4963</v>
      </c>
      <c r="BD143" s="48">
        <v>6.0</v>
      </c>
      <c r="BE143" s="698" t="s">
        <v>5291</v>
      </c>
      <c r="BF143" s="698"/>
      <c r="BG143" s="66"/>
      <c r="BH143" s="66"/>
      <c r="BI143" s="66"/>
      <c r="BJ143" s="66"/>
      <c r="BK143" s="66"/>
      <c r="BL143" s="66"/>
      <c r="BM143" s="66"/>
      <c r="BN143" s="66"/>
      <c r="BO143" s="66"/>
      <c r="BP143" s="66"/>
      <c r="BQ143" s="66"/>
      <c r="BR143" s="66"/>
      <c r="BS143" s="66"/>
    </row>
    <row r="144">
      <c r="A144" s="48" t="s">
        <v>1688</v>
      </c>
      <c r="B144" s="48">
        <v>1200.0</v>
      </c>
      <c r="C144" s="48" t="s">
        <v>5283</v>
      </c>
      <c r="D144" s="174" t="str">
        <f>HYPERLINK("https://www.gigabyte.com/","Gigabyte")</f>
        <v>Gigabyte</v>
      </c>
      <c r="E144" s="718" t="s">
        <v>5293</v>
      </c>
      <c r="F144" s="48" t="s">
        <v>5021</v>
      </c>
      <c r="G144" s="48" t="s">
        <v>166</v>
      </c>
      <c r="H144" s="48" t="s">
        <v>166</v>
      </c>
      <c r="I144" s="48" t="s">
        <v>174</v>
      </c>
      <c r="J144" s="48" t="s">
        <v>174</v>
      </c>
      <c r="K144" s="48" t="s">
        <v>166</v>
      </c>
      <c r="L144" s="48">
        <v>2.0</v>
      </c>
      <c r="M144" s="48" t="s">
        <v>3149</v>
      </c>
      <c r="N144" s="48">
        <v>64.0</v>
      </c>
      <c r="O144" s="48" t="s">
        <v>5047</v>
      </c>
      <c r="P144" s="48">
        <v>4.0</v>
      </c>
      <c r="Q144" s="698" t="s">
        <v>5294</v>
      </c>
      <c r="R144" s="697">
        <v>2.0</v>
      </c>
      <c r="S144" s="697" t="s">
        <v>166</v>
      </c>
      <c r="T144" s="697">
        <v>4.0</v>
      </c>
      <c r="U144" s="48">
        <v>1.0</v>
      </c>
      <c r="V144" s="48">
        <v>1.0</v>
      </c>
      <c r="W144" s="48" t="s">
        <v>166</v>
      </c>
      <c r="X144" s="48" t="s">
        <v>166</v>
      </c>
      <c r="Y144" s="48" t="s">
        <v>166</v>
      </c>
      <c r="Z144" s="48" t="s">
        <v>166</v>
      </c>
      <c r="AA144" s="48" t="s">
        <v>166</v>
      </c>
      <c r="AB144" s="48">
        <f t="shared" si="1"/>
        <v>8</v>
      </c>
      <c r="AC144" s="48">
        <v>1.0</v>
      </c>
      <c r="AD144" s="48">
        <v>1.0</v>
      </c>
      <c r="AE144" s="705" t="s">
        <v>5049</v>
      </c>
      <c r="AF144" s="697">
        <v>1.0</v>
      </c>
      <c r="AG144" s="48" t="s">
        <v>5026</v>
      </c>
      <c r="AH144" s="48">
        <v>2.5</v>
      </c>
      <c r="AI144" s="48">
        <v>1.0</v>
      </c>
      <c r="AJ144" s="48" t="s">
        <v>5027</v>
      </c>
      <c r="AK144" s="48" t="s">
        <v>5028</v>
      </c>
      <c r="AL144" s="48">
        <v>2400.0</v>
      </c>
      <c r="AM144" s="48">
        <v>5.1</v>
      </c>
      <c r="AN144" s="705" t="s">
        <v>5039</v>
      </c>
      <c r="AO144" s="48" t="s">
        <v>166</v>
      </c>
      <c r="AP144" s="48">
        <v>3.0</v>
      </c>
      <c r="AQ144" s="48" t="s">
        <v>166</v>
      </c>
      <c r="AR144" s="48">
        <v>1.0</v>
      </c>
      <c r="AS144" s="48">
        <v>1.0</v>
      </c>
      <c r="AT144" s="48" t="s">
        <v>166</v>
      </c>
      <c r="AU144" s="48" t="s">
        <v>166</v>
      </c>
      <c r="AV144" s="48">
        <v>3.0</v>
      </c>
      <c r="AW144" s="48">
        <v>1.0</v>
      </c>
      <c r="AX144" s="48">
        <v>1.0</v>
      </c>
      <c r="AY144" s="48" t="s">
        <v>166</v>
      </c>
      <c r="AZ144" s="48" t="s">
        <v>174</v>
      </c>
      <c r="BA144" s="48" t="s">
        <v>5261</v>
      </c>
      <c r="BB144" s="48" t="s">
        <v>5295</v>
      </c>
      <c r="BC144" s="48" t="s">
        <v>4963</v>
      </c>
      <c r="BD144" s="48">
        <v>8.0</v>
      </c>
      <c r="BE144" s="698" t="s">
        <v>5296</v>
      </c>
      <c r="BF144" s="698" t="s">
        <v>5014</v>
      </c>
      <c r="BG144" s="66"/>
      <c r="BH144" s="66"/>
      <c r="BI144" s="66"/>
      <c r="BJ144" s="66"/>
      <c r="BK144" s="66"/>
      <c r="BL144" s="66"/>
      <c r="BM144" s="66"/>
      <c r="BN144" s="66"/>
      <c r="BO144" s="66"/>
      <c r="BP144" s="66"/>
      <c r="BQ144" s="66"/>
      <c r="BR144" s="66"/>
      <c r="BS144" s="66"/>
    </row>
    <row r="145">
      <c r="A145" s="700" t="s">
        <v>1688</v>
      </c>
      <c r="B145" s="700">
        <v>1200.0</v>
      </c>
      <c r="C145" s="700" t="s">
        <v>5283</v>
      </c>
      <c r="D145" s="291" t="str">
        <f>HYPERLINK("https://www.msi.com/index.php","MSI")</f>
        <v>MSI</v>
      </c>
      <c r="E145" s="714" t="s">
        <v>5297</v>
      </c>
      <c r="F145" s="700" t="s">
        <v>5021</v>
      </c>
      <c r="G145" s="700" t="s">
        <v>166</v>
      </c>
      <c r="H145" s="700" t="s">
        <v>166</v>
      </c>
      <c r="I145" s="700" t="s">
        <v>174</v>
      </c>
      <c r="J145" s="700" t="s">
        <v>166</v>
      </c>
      <c r="K145" s="700" t="s">
        <v>166</v>
      </c>
      <c r="L145" s="700">
        <v>2.0</v>
      </c>
      <c r="M145" s="700" t="s">
        <v>3149</v>
      </c>
      <c r="N145" s="700">
        <v>64.0</v>
      </c>
      <c r="O145" s="700" t="s">
        <v>5298</v>
      </c>
      <c r="P145" s="700">
        <v>4.0</v>
      </c>
      <c r="Q145" s="703" t="s">
        <v>5299</v>
      </c>
      <c r="R145" s="702">
        <v>4.0</v>
      </c>
      <c r="S145" s="702" t="s">
        <v>166</v>
      </c>
      <c r="T145" s="702" t="s">
        <v>166</v>
      </c>
      <c r="U145" s="700" t="s">
        <v>166</v>
      </c>
      <c r="V145" s="700">
        <v>1.0</v>
      </c>
      <c r="W145" s="700">
        <v>1.0</v>
      </c>
      <c r="X145" s="700" t="s">
        <v>166</v>
      </c>
      <c r="Y145" s="700" t="s">
        <v>166</v>
      </c>
      <c r="Z145" s="700" t="s">
        <v>166</v>
      </c>
      <c r="AA145" s="700" t="s">
        <v>166</v>
      </c>
      <c r="AB145" s="700">
        <f t="shared" si="1"/>
        <v>6</v>
      </c>
      <c r="AC145" s="700">
        <v>1.0</v>
      </c>
      <c r="AD145" s="700">
        <v>1.0</v>
      </c>
      <c r="AE145" s="700" t="s">
        <v>5049</v>
      </c>
      <c r="AF145" s="702">
        <v>1.0</v>
      </c>
      <c r="AG145" s="700" t="s">
        <v>5038</v>
      </c>
      <c r="AH145" s="700">
        <v>2.5</v>
      </c>
      <c r="AI145" s="700">
        <v>1.0</v>
      </c>
      <c r="AJ145" s="700" t="s">
        <v>5044</v>
      </c>
      <c r="AK145" s="712" t="s">
        <v>5300</v>
      </c>
      <c r="AL145" s="700">
        <v>2400.0</v>
      </c>
      <c r="AM145" s="700">
        <v>5.2</v>
      </c>
      <c r="AN145" s="712" t="s">
        <v>5039</v>
      </c>
      <c r="AO145" s="700" t="s">
        <v>166</v>
      </c>
      <c r="AP145" s="700">
        <v>3.0</v>
      </c>
      <c r="AQ145" s="700" t="s">
        <v>166</v>
      </c>
      <c r="AR145" s="700">
        <v>1.0</v>
      </c>
      <c r="AS145" s="712">
        <v>1.0</v>
      </c>
      <c r="AT145" s="700" t="s">
        <v>166</v>
      </c>
      <c r="AU145" s="700" t="s">
        <v>166</v>
      </c>
      <c r="AV145" s="700">
        <v>3.0</v>
      </c>
      <c r="AW145" s="700">
        <v>1.0</v>
      </c>
      <c r="AX145" s="700">
        <v>1.0</v>
      </c>
      <c r="AY145" s="700" t="s">
        <v>174</v>
      </c>
      <c r="AZ145" s="700" t="s">
        <v>174</v>
      </c>
      <c r="BA145" s="700" t="s">
        <v>5233</v>
      </c>
      <c r="BB145" s="700" t="s">
        <v>4954</v>
      </c>
      <c r="BC145" s="700" t="s">
        <v>4963</v>
      </c>
      <c r="BD145" s="700">
        <v>6.0</v>
      </c>
      <c r="BE145" s="703" t="s">
        <v>5301</v>
      </c>
      <c r="BF145" s="703"/>
      <c r="BG145" s="66"/>
      <c r="BH145" s="66"/>
      <c r="BI145" s="66"/>
      <c r="BJ145" s="66"/>
      <c r="BK145" s="66"/>
      <c r="BL145" s="66"/>
      <c r="BM145" s="66"/>
      <c r="BN145" s="66"/>
      <c r="BO145" s="66"/>
      <c r="BP145" s="66"/>
      <c r="BQ145" s="66"/>
      <c r="BR145" s="66"/>
      <c r="BS145" s="66"/>
    </row>
    <row r="146">
      <c r="A146" s="712" t="s">
        <v>1688</v>
      </c>
      <c r="B146" s="712">
        <v>1200.0</v>
      </c>
      <c r="C146" s="712" t="s">
        <v>5302</v>
      </c>
      <c r="D146" s="290" t="s">
        <v>169</v>
      </c>
      <c r="E146" s="290" t="s">
        <v>5303</v>
      </c>
      <c r="F146" s="712" t="s">
        <v>5021</v>
      </c>
      <c r="G146" s="712" t="s">
        <v>166</v>
      </c>
      <c r="H146" s="712" t="s">
        <v>166</v>
      </c>
      <c r="I146" s="712" t="s">
        <v>174</v>
      </c>
      <c r="J146" s="712" t="s">
        <v>166</v>
      </c>
      <c r="K146" s="712" t="s">
        <v>166</v>
      </c>
      <c r="L146" s="712">
        <v>2.0</v>
      </c>
      <c r="M146" s="712" t="s">
        <v>3149</v>
      </c>
      <c r="N146" s="712">
        <v>64.0</v>
      </c>
      <c r="O146" s="712" t="s">
        <v>5304</v>
      </c>
      <c r="P146" s="712">
        <v>4.0</v>
      </c>
      <c r="Q146" s="719" t="s">
        <v>5305</v>
      </c>
      <c r="R146" s="713">
        <v>1.0</v>
      </c>
      <c r="S146" s="713" t="s">
        <v>166</v>
      </c>
      <c r="T146" s="713" t="s">
        <v>166</v>
      </c>
      <c r="U146" s="712" t="s">
        <v>166</v>
      </c>
      <c r="V146" s="712">
        <v>4.0</v>
      </c>
      <c r="W146" s="712" t="s">
        <v>166</v>
      </c>
      <c r="X146" s="712">
        <v>1.0</v>
      </c>
      <c r="Y146" s="712" t="s">
        <v>166</v>
      </c>
      <c r="Z146" s="712" t="s">
        <v>166</v>
      </c>
      <c r="AA146" s="712" t="s">
        <v>166</v>
      </c>
      <c r="AB146" s="712">
        <f t="shared" si="1"/>
        <v>6</v>
      </c>
      <c r="AC146" s="712">
        <v>1.0</v>
      </c>
      <c r="AD146" s="712">
        <v>1.0</v>
      </c>
      <c r="AE146" s="712" t="s">
        <v>5049</v>
      </c>
      <c r="AF146" s="713">
        <v>2.0</v>
      </c>
      <c r="AG146" s="712" t="s">
        <v>5252</v>
      </c>
      <c r="AH146" s="712" t="s">
        <v>5253</v>
      </c>
      <c r="AI146" s="712">
        <v>1.0</v>
      </c>
      <c r="AJ146" s="712" t="s">
        <v>4966</v>
      </c>
      <c r="AK146" s="712" t="s">
        <v>4967</v>
      </c>
      <c r="AL146" s="712">
        <v>433.0</v>
      </c>
      <c r="AM146" s="712">
        <v>4.2</v>
      </c>
      <c r="AN146" s="712" t="s">
        <v>5039</v>
      </c>
      <c r="AO146" s="712" t="s">
        <v>166</v>
      </c>
      <c r="AP146" s="712">
        <v>3.0</v>
      </c>
      <c r="AQ146" s="712" t="s">
        <v>166</v>
      </c>
      <c r="AR146" s="712">
        <v>1.0</v>
      </c>
      <c r="AS146" s="712">
        <v>1.0</v>
      </c>
      <c r="AT146" s="712" t="s">
        <v>166</v>
      </c>
      <c r="AU146" s="712" t="s">
        <v>166</v>
      </c>
      <c r="AV146" s="712">
        <v>3.0</v>
      </c>
      <c r="AW146" s="712">
        <v>1.0</v>
      </c>
      <c r="AX146" s="712">
        <v>1.0</v>
      </c>
      <c r="AY146" s="712" t="s">
        <v>166</v>
      </c>
      <c r="AZ146" s="712" t="s">
        <v>166</v>
      </c>
      <c r="BA146" s="712" t="s">
        <v>5261</v>
      </c>
      <c r="BB146" s="712" t="s">
        <v>4954</v>
      </c>
      <c r="BC146" s="712" t="s">
        <v>4963</v>
      </c>
      <c r="BD146" s="712">
        <v>6.0</v>
      </c>
      <c r="BE146" s="717" t="s">
        <v>5306</v>
      </c>
      <c r="BF146" s="717"/>
      <c r="BG146" s="66"/>
      <c r="BH146" s="66"/>
      <c r="BI146" s="66"/>
      <c r="BJ146" s="66"/>
      <c r="BK146" s="66"/>
      <c r="BL146" s="66"/>
      <c r="BM146" s="66"/>
      <c r="BN146" s="66"/>
      <c r="BO146" s="66"/>
      <c r="BP146" s="66"/>
      <c r="BQ146" s="66"/>
      <c r="BR146" s="66"/>
      <c r="BS146" s="66"/>
    </row>
    <row r="147">
      <c r="A147" s="705" t="s">
        <v>1688</v>
      </c>
      <c r="B147" s="705">
        <v>1200.0</v>
      </c>
      <c r="C147" s="705" t="s">
        <v>5307</v>
      </c>
      <c r="D147" s="282" t="s">
        <v>169</v>
      </c>
      <c r="E147" s="282" t="s">
        <v>5308</v>
      </c>
      <c r="F147" s="705" t="s">
        <v>5021</v>
      </c>
      <c r="G147" s="705" t="s">
        <v>174</v>
      </c>
      <c r="H147" s="705" t="s">
        <v>174</v>
      </c>
      <c r="I147" s="705" t="s">
        <v>174</v>
      </c>
      <c r="J147" s="705" t="s">
        <v>166</v>
      </c>
      <c r="K147" s="705" t="s">
        <v>166</v>
      </c>
      <c r="L147" s="705">
        <v>2.0</v>
      </c>
      <c r="M147" s="705" t="s">
        <v>3149</v>
      </c>
      <c r="N147" s="705">
        <v>64.0</v>
      </c>
      <c r="O147" s="705" t="s">
        <v>5304</v>
      </c>
      <c r="P147" s="705">
        <v>4.0</v>
      </c>
      <c r="Q147" s="710" t="s">
        <v>5305</v>
      </c>
      <c r="R147" s="707">
        <v>1.0</v>
      </c>
      <c r="S147" s="707" t="s">
        <v>166</v>
      </c>
      <c r="T147" s="707" t="s">
        <v>166</v>
      </c>
      <c r="U147" s="705" t="s">
        <v>166</v>
      </c>
      <c r="V147" s="705">
        <v>4.0</v>
      </c>
      <c r="W147" s="705" t="s">
        <v>166</v>
      </c>
      <c r="X147" s="705">
        <v>1.0</v>
      </c>
      <c r="Y147" s="705" t="s">
        <v>166</v>
      </c>
      <c r="Z147" s="705" t="s">
        <v>166</v>
      </c>
      <c r="AA147" s="705" t="s">
        <v>166</v>
      </c>
      <c r="AB147" s="705">
        <f t="shared" si="1"/>
        <v>6</v>
      </c>
      <c r="AC147" s="705">
        <v>1.0</v>
      </c>
      <c r="AD147" s="705">
        <v>1.0</v>
      </c>
      <c r="AE147" s="48" t="s">
        <v>5025</v>
      </c>
      <c r="AF147" s="707">
        <v>2.0</v>
      </c>
      <c r="AG147" s="705" t="s">
        <v>5252</v>
      </c>
      <c r="AH147" s="705" t="s">
        <v>5253</v>
      </c>
      <c r="AI147" s="705">
        <v>1.0</v>
      </c>
      <c r="AJ147" s="705" t="s">
        <v>5044</v>
      </c>
      <c r="AK147" s="705" t="s">
        <v>5300</v>
      </c>
      <c r="AL147" s="705">
        <v>2400.0</v>
      </c>
      <c r="AM147" s="705">
        <v>5.2</v>
      </c>
      <c r="AN147" s="705" t="s">
        <v>5039</v>
      </c>
      <c r="AO147" s="705" t="s">
        <v>166</v>
      </c>
      <c r="AP147" s="705">
        <v>3.0</v>
      </c>
      <c r="AQ147" s="705" t="s">
        <v>166</v>
      </c>
      <c r="AR147" s="705">
        <v>1.0</v>
      </c>
      <c r="AS147" s="705">
        <v>1.0</v>
      </c>
      <c r="AT147" s="705" t="s">
        <v>166</v>
      </c>
      <c r="AU147" s="705" t="s">
        <v>166</v>
      </c>
      <c r="AV147" s="705">
        <v>3.0</v>
      </c>
      <c r="AW147" s="705">
        <v>1.0</v>
      </c>
      <c r="AX147" s="705">
        <v>1.0</v>
      </c>
      <c r="AY147" s="705" t="s">
        <v>166</v>
      </c>
      <c r="AZ147" s="705" t="s">
        <v>166</v>
      </c>
      <c r="BA147" s="705" t="s">
        <v>5261</v>
      </c>
      <c r="BB147" s="705" t="s">
        <v>4954</v>
      </c>
      <c r="BC147" s="705" t="s">
        <v>4963</v>
      </c>
      <c r="BD147" s="705">
        <v>6.0</v>
      </c>
      <c r="BE147" s="708" t="s">
        <v>5009</v>
      </c>
      <c r="BF147" s="708"/>
      <c r="BG147" s="66"/>
      <c r="BH147" s="66"/>
      <c r="BI147" s="66"/>
      <c r="BJ147" s="66"/>
      <c r="BK147" s="66"/>
      <c r="BL147" s="66"/>
      <c r="BM147" s="66"/>
      <c r="BN147" s="66"/>
      <c r="BO147" s="66"/>
      <c r="BP147" s="66"/>
      <c r="BQ147" s="66"/>
      <c r="BR147" s="66"/>
      <c r="BS147" s="66"/>
    </row>
    <row r="148">
      <c r="A148" s="705" t="s">
        <v>1688</v>
      </c>
      <c r="B148" s="705">
        <v>1200.0</v>
      </c>
      <c r="C148" s="705" t="s">
        <v>5307</v>
      </c>
      <c r="D148" s="282" t="s">
        <v>169</v>
      </c>
      <c r="E148" s="715" t="s">
        <v>5309</v>
      </c>
      <c r="F148" s="48" t="s">
        <v>5021</v>
      </c>
      <c r="G148" s="705" t="s">
        <v>174</v>
      </c>
      <c r="H148" s="705" t="s">
        <v>174</v>
      </c>
      <c r="I148" s="705" t="s">
        <v>174</v>
      </c>
      <c r="J148" s="705" t="s">
        <v>166</v>
      </c>
      <c r="K148" s="705" t="s">
        <v>174</v>
      </c>
      <c r="L148" s="705">
        <v>2.0</v>
      </c>
      <c r="M148" s="48" t="s">
        <v>3149</v>
      </c>
      <c r="N148" s="705">
        <v>64.0</v>
      </c>
      <c r="O148" s="705" t="s">
        <v>5175</v>
      </c>
      <c r="P148" s="705">
        <v>3.0</v>
      </c>
      <c r="Q148" s="698" t="s">
        <v>5310</v>
      </c>
      <c r="R148" s="707" t="s">
        <v>166</v>
      </c>
      <c r="S148" s="707" t="s">
        <v>166</v>
      </c>
      <c r="T148" s="707" t="s">
        <v>166</v>
      </c>
      <c r="U148" s="705" t="s">
        <v>166</v>
      </c>
      <c r="V148" s="705">
        <v>5.0</v>
      </c>
      <c r="W148" s="705" t="s">
        <v>166</v>
      </c>
      <c r="X148" s="705" t="s">
        <v>166</v>
      </c>
      <c r="Y148" s="705" t="s">
        <v>166</v>
      </c>
      <c r="Z148" s="705" t="s">
        <v>166</v>
      </c>
      <c r="AA148" s="705">
        <v>1.0</v>
      </c>
      <c r="AB148" s="705">
        <f t="shared" si="1"/>
        <v>6</v>
      </c>
      <c r="AC148" s="705">
        <v>1.0</v>
      </c>
      <c r="AD148" s="705">
        <v>1.0</v>
      </c>
      <c r="AE148" s="705" t="s">
        <v>5097</v>
      </c>
      <c r="AF148" s="707">
        <v>1.0</v>
      </c>
      <c r="AG148" s="705" t="s">
        <v>5114</v>
      </c>
      <c r="AH148" s="705">
        <v>2.5</v>
      </c>
      <c r="AI148" s="705">
        <v>1.0</v>
      </c>
      <c r="AJ148" s="48" t="s">
        <v>5044</v>
      </c>
      <c r="AK148" s="705" t="s">
        <v>5115</v>
      </c>
      <c r="AL148" s="705">
        <v>2400.0</v>
      </c>
      <c r="AM148" s="705">
        <v>5.2</v>
      </c>
      <c r="AN148" s="48" t="s">
        <v>4952</v>
      </c>
      <c r="AO148" s="705" t="s">
        <v>174</v>
      </c>
      <c r="AP148" s="705">
        <v>5.0</v>
      </c>
      <c r="AQ148" s="705" t="s">
        <v>166</v>
      </c>
      <c r="AR148" s="48">
        <v>1.0</v>
      </c>
      <c r="AS148" s="48">
        <v>1.0</v>
      </c>
      <c r="AT148" s="705" t="s">
        <v>166</v>
      </c>
      <c r="AU148" s="705" t="s">
        <v>166</v>
      </c>
      <c r="AV148" s="705">
        <v>3.0</v>
      </c>
      <c r="AW148" s="705">
        <v>1.0</v>
      </c>
      <c r="AX148" s="705">
        <v>1.0</v>
      </c>
      <c r="AY148" s="705" t="s">
        <v>174</v>
      </c>
      <c r="AZ148" s="705" t="s">
        <v>174</v>
      </c>
      <c r="BA148" s="705" t="s">
        <v>5261</v>
      </c>
      <c r="BB148" s="705" t="s">
        <v>5034</v>
      </c>
      <c r="BC148" s="705" t="s">
        <v>4963</v>
      </c>
      <c r="BD148" s="705">
        <v>8.0</v>
      </c>
      <c r="BE148" s="698" t="s">
        <v>5029</v>
      </c>
      <c r="BF148" s="698" t="s">
        <v>5035</v>
      </c>
      <c r="BG148" s="66"/>
      <c r="BH148" s="66"/>
      <c r="BI148" s="66"/>
      <c r="BJ148" s="66"/>
      <c r="BK148" s="66"/>
      <c r="BL148" s="66"/>
      <c r="BM148" s="66"/>
      <c r="BN148" s="66"/>
      <c r="BO148" s="66"/>
      <c r="BP148" s="66"/>
      <c r="BQ148" s="66"/>
      <c r="BR148" s="66"/>
      <c r="BS148" s="66"/>
    </row>
    <row r="149">
      <c r="A149" s="48" t="s">
        <v>1688</v>
      </c>
      <c r="B149" s="48">
        <v>1200.0</v>
      </c>
      <c r="C149" s="48" t="s">
        <v>5307</v>
      </c>
      <c r="D149" s="174" t="str">
        <f>HYPERLINK("https://www.asus.com/","Asus")</f>
        <v>Asus</v>
      </c>
      <c r="E149" s="715" t="s">
        <v>5311</v>
      </c>
      <c r="F149" s="48" t="s">
        <v>5021</v>
      </c>
      <c r="G149" s="705" t="s">
        <v>174</v>
      </c>
      <c r="H149" s="705" t="s">
        <v>174</v>
      </c>
      <c r="I149" s="705" t="s">
        <v>174</v>
      </c>
      <c r="J149" s="705" t="s">
        <v>174</v>
      </c>
      <c r="K149" s="705" t="s">
        <v>166</v>
      </c>
      <c r="L149" s="705">
        <v>2.0</v>
      </c>
      <c r="M149" s="48" t="s">
        <v>3149</v>
      </c>
      <c r="N149" s="705">
        <v>64.0</v>
      </c>
      <c r="O149" s="705" t="s">
        <v>5312</v>
      </c>
      <c r="P149" s="705">
        <v>4.0</v>
      </c>
      <c r="Q149" s="710" t="s">
        <v>5305</v>
      </c>
      <c r="R149" s="707">
        <v>4.0</v>
      </c>
      <c r="S149" s="707" t="s">
        <v>166</v>
      </c>
      <c r="T149" s="707">
        <v>1.0</v>
      </c>
      <c r="U149" s="705" t="s">
        <v>166</v>
      </c>
      <c r="V149" s="705">
        <v>1.0</v>
      </c>
      <c r="W149" s="705" t="s">
        <v>166</v>
      </c>
      <c r="X149" s="705">
        <v>1.0</v>
      </c>
      <c r="Y149" s="705" t="s">
        <v>166</v>
      </c>
      <c r="Z149" s="705" t="s">
        <v>166</v>
      </c>
      <c r="AA149" s="705">
        <v>1.0</v>
      </c>
      <c r="AB149" s="705">
        <f t="shared" si="1"/>
        <v>8</v>
      </c>
      <c r="AC149" s="705">
        <v>1.0</v>
      </c>
      <c r="AD149" s="705">
        <v>1.0</v>
      </c>
      <c r="AE149" s="48" t="s">
        <v>5025</v>
      </c>
      <c r="AF149" s="707">
        <v>1.0</v>
      </c>
      <c r="AG149" s="48" t="s">
        <v>5026</v>
      </c>
      <c r="AH149" s="48">
        <v>2.5</v>
      </c>
      <c r="AI149" s="705">
        <v>1.0</v>
      </c>
      <c r="AJ149" s="48" t="s">
        <v>5044</v>
      </c>
      <c r="AK149" s="705" t="s">
        <v>5300</v>
      </c>
      <c r="AL149" s="705">
        <v>2400.0</v>
      </c>
      <c r="AM149" s="705">
        <v>5.2</v>
      </c>
      <c r="AN149" s="48" t="s">
        <v>5121</v>
      </c>
      <c r="AO149" s="705" t="s">
        <v>166</v>
      </c>
      <c r="AP149" s="705">
        <v>3.0</v>
      </c>
      <c r="AQ149" s="705" t="s">
        <v>166</v>
      </c>
      <c r="AR149" s="705" t="s">
        <v>166</v>
      </c>
      <c r="AS149" s="48">
        <v>1.0</v>
      </c>
      <c r="AT149" s="705" t="s">
        <v>166</v>
      </c>
      <c r="AU149" s="705" t="s">
        <v>166</v>
      </c>
      <c r="AV149" s="705">
        <v>3.0</v>
      </c>
      <c r="AW149" s="705">
        <v>1.0</v>
      </c>
      <c r="AX149" s="705">
        <v>1.0</v>
      </c>
      <c r="AY149" s="705" t="s">
        <v>174</v>
      </c>
      <c r="AZ149" s="705" t="s">
        <v>174</v>
      </c>
      <c r="BA149" s="705" t="s">
        <v>5261</v>
      </c>
      <c r="BB149" s="705" t="s">
        <v>5034</v>
      </c>
      <c r="BC149" s="705" t="s">
        <v>4963</v>
      </c>
      <c r="BD149" s="705">
        <v>8.0</v>
      </c>
      <c r="BE149" s="708" t="s">
        <v>5313</v>
      </c>
      <c r="BF149" s="708" t="s">
        <v>5035</v>
      </c>
      <c r="BG149" s="66"/>
      <c r="BH149" s="66"/>
      <c r="BI149" s="66"/>
      <c r="BJ149" s="66"/>
      <c r="BK149" s="66"/>
      <c r="BL149" s="66"/>
      <c r="BM149" s="66"/>
      <c r="BN149" s="66"/>
      <c r="BO149" s="66"/>
      <c r="BP149" s="66"/>
      <c r="BQ149" s="66"/>
      <c r="BR149" s="66"/>
      <c r="BS149" s="66"/>
    </row>
    <row r="150">
      <c r="A150" s="48" t="s">
        <v>1688</v>
      </c>
      <c r="B150" s="48">
        <v>1200.0</v>
      </c>
      <c r="C150" s="48" t="s">
        <v>5307</v>
      </c>
      <c r="D150" s="174" t="str">
        <f>HYPERLINK("https://www.biostar.com.tw/","Biostar")</f>
        <v>Biostar</v>
      </c>
      <c r="E150" s="174" t="s">
        <v>5314</v>
      </c>
      <c r="F150" s="48" t="s">
        <v>5021</v>
      </c>
      <c r="G150" s="48" t="s">
        <v>170</v>
      </c>
      <c r="H150" s="48" t="s">
        <v>174</v>
      </c>
      <c r="I150" s="48" t="s">
        <v>174</v>
      </c>
      <c r="J150" s="48" t="s">
        <v>166</v>
      </c>
      <c r="K150" s="48" t="s">
        <v>166</v>
      </c>
      <c r="L150" s="48">
        <v>2.0</v>
      </c>
      <c r="M150" s="48" t="s">
        <v>3149</v>
      </c>
      <c r="N150" s="48">
        <v>64.0</v>
      </c>
      <c r="O150" s="48" t="s">
        <v>5275</v>
      </c>
      <c r="P150" s="48">
        <v>4.0</v>
      </c>
      <c r="Q150" s="698" t="s">
        <v>5315</v>
      </c>
      <c r="R150" s="697">
        <v>2.0</v>
      </c>
      <c r="S150" s="697" t="s">
        <v>166</v>
      </c>
      <c r="T150" s="697">
        <v>3.0</v>
      </c>
      <c r="U150" s="48" t="s">
        <v>166</v>
      </c>
      <c r="V150" s="48">
        <v>2.0</v>
      </c>
      <c r="W150" s="48" t="s">
        <v>166</v>
      </c>
      <c r="X150" s="48">
        <v>1.0</v>
      </c>
      <c r="Y150" s="48" t="s">
        <v>166</v>
      </c>
      <c r="Z150" s="48" t="s">
        <v>166</v>
      </c>
      <c r="AA150" s="48" t="s">
        <v>166</v>
      </c>
      <c r="AB150" s="48">
        <f t="shared" si="1"/>
        <v>8</v>
      </c>
      <c r="AC150" s="48">
        <v>1.0</v>
      </c>
      <c r="AD150" s="48">
        <v>1.0</v>
      </c>
      <c r="AE150" s="48" t="s">
        <v>166</v>
      </c>
      <c r="AF150" s="697">
        <v>1.0</v>
      </c>
      <c r="AG150" s="48" t="s">
        <v>5038</v>
      </c>
      <c r="AH150" s="48">
        <v>2.5</v>
      </c>
      <c r="AI150" s="48">
        <v>1.0</v>
      </c>
      <c r="AJ150" s="48" t="s">
        <v>166</v>
      </c>
      <c r="AK150" s="48" t="s">
        <v>232</v>
      </c>
      <c r="AL150" s="48" t="s">
        <v>166</v>
      </c>
      <c r="AM150" s="48" t="s">
        <v>166</v>
      </c>
      <c r="AN150" s="48" t="s">
        <v>4952</v>
      </c>
      <c r="AO150" s="48" t="s">
        <v>166</v>
      </c>
      <c r="AP150" s="48">
        <v>3.0</v>
      </c>
      <c r="AQ150" s="48">
        <v>1.0</v>
      </c>
      <c r="AR150" s="48">
        <v>1.0</v>
      </c>
      <c r="AS150" s="48">
        <v>1.0</v>
      </c>
      <c r="AT150" s="48" t="s">
        <v>166</v>
      </c>
      <c r="AU150" s="48" t="s">
        <v>166</v>
      </c>
      <c r="AV150" s="48">
        <v>3.0</v>
      </c>
      <c r="AW150" s="48">
        <v>1.0</v>
      </c>
      <c r="AX150" s="48">
        <v>1.0</v>
      </c>
      <c r="AY150" s="48" t="s">
        <v>174</v>
      </c>
      <c r="AZ150" s="48" t="s">
        <v>174</v>
      </c>
      <c r="BA150" s="48" t="s">
        <v>5261</v>
      </c>
      <c r="BB150" s="48" t="s">
        <v>5034</v>
      </c>
      <c r="BC150" s="48" t="s">
        <v>4963</v>
      </c>
      <c r="BD150" s="48">
        <v>8.0</v>
      </c>
      <c r="BE150" s="698" t="s">
        <v>5029</v>
      </c>
      <c r="BF150" s="698"/>
      <c r="BG150" s="66"/>
      <c r="BH150" s="66"/>
      <c r="BI150" s="66"/>
      <c r="BJ150" s="66"/>
      <c r="BK150" s="66"/>
      <c r="BL150" s="66"/>
      <c r="BM150" s="66"/>
      <c r="BN150" s="66"/>
      <c r="BO150" s="66"/>
      <c r="BP150" s="66"/>
      <c r="BQ150" s="66"/>
      <c r="BR150" s="66"/>
      <c r="BS150" s="66"/>
    </row>
    <row r="151">
      <c r="A151" s="48" t="s">
        <v>1688</v>
      </c>
      <c r="B151" s="48">
        <v>1200.0</v>
      </c>
      <c r="C151" s="48" t="s">
        <v>5307</v>
      </c>
      <c r="D151" s="174" t="str">
        <f t="shared" ref="D151:D152" si="22">HYPERLINK("https://www.gigabyte.com/","Gigabyte")</f>
        <v>Gigabyte</v>
      </c>
      <c r="E151" s="174" t="s">
        <v>5316</v>
      </c>
      <c r="F151" s="48" t="s">
        <v>5021</v>
      </c>
      <c r="G151" s="48" t="s">
        <v>174</v>
      </c>
      <c r="H151" s="48" t="s">
        <v>174</v>
      </c>
      <c r="I151" s="48" t="s">
        <v>174</v>
      </c>
      <c r="J151" s="48" t="s">
        <v>174</v>
      </c>
      <c r="K151" s="48" t="s">
        <v>166</v>
      </c>
      <c r="L151" s="48">
        <v>2.0</v>
      </c>
      <c r="M151" s="48" t="s">
        <v>3149</v>
      </c>
      <c r="N151" s="48">
        <v>64.0</v>
      </c>
      <c r="O151" s="48" t="s">
        <v>5047</v>
      </c>
      <c r="P151" s="48">
        <v>4.0</v>
      </c>
      <c r="Q151" s="698" t="s">
        <v>5317</v>
      </c>
      <c r="R151" s="697">
        <v>2.0</v>
      </c>
      <c r="S151" s="697" t="s">
        <v>166</v>
      </c>
      <c r="T151" s="697">
        <v>2.0</v>
      </c>
      <c r="U151" s="48" t="s">
        <v>166</v>
      </c>
      <c r="V151" s="48">
        <v>3.0</v>
      </c>
      <c r="W151" s="48" t="s">
        <v>166</v>
      </c>
      <c r="X151" s="48">
        <v>1.0</v>
      </c>
      <c r="Y151" s="48" t="s">
        <v>166</v>
      </c>
      <c r="Z151" s="48" t="s">
        <v>166</v>
      </c>
      <c r="AA151" s="48" t="s">
        <v>166</v>
      </c>
      <c r="AB151" s="48">
        <f t="shared" si="1"/>
        <v>8</v>
      </c>
      <c r="AC151" s="48">
        <v>1.0</v>
      </c>
      <c r="AD151" s="48">
        <v>1.0</v>
      </c>
      <c r="AE151" s="705" t="s">
        <v>5049</v>
      </c>
      <c r="AF151" s="697">
        <v>1.0</v>
      </c>
      <c r="AG151" s="48" t="s">
        <v>5026</v>
      </c>
      <c r="AH151" s="48">
        <v>2.5</v>
      </c>
      <c r="AI151" s="48">
        <v>1.0</v>
      </c>
      <c r="AJ151" s="48" t="s">
        <v>5027</v>
      </c>
      <c r="AK151" s="48" t="s">
        <v>5028</v>
      </c>
      <c r="AL151" s="48">
        <v>2400.0</v>
      </c>
      <c r="AM151" s="48">
        <v>5.1</v>
      </c>
      <c r="AN151" s="48" t="s">
        <v>4998</v>
      </c>
      <c r="AO151" s="48" t="s">
        <v>166</v>
      </c>
      <c r="AP151" s="48">
        <v>3.0</v>
      </c>
      <c r="AQ151" s="48" t="s">
        <v>166</v>
      </c>
      <c r="AR151" s="48">
        <v>1.0</v>
      </c>
      <c r="AS151" s="48">
        <v>1.0</v>
      </c>
      <c r="AT151" s="48" t="s">
        <v>166</v>
      </c>
      <c r="AU151" s="48" t="s">
        <v>166</v>
      </c>
      <c r="AV151" s="48">
        <v>4.0</v>
      </c>
      <c r="AW151" s="48">
        <v>1.0</v>
      </c>
      <c r="AX151" s="48">
        <v>1.0</v>
      </c>
      <c r="AY151" s="48" t="s">
        <v>166</v>
      </c>
      <c r="AZ151" s="48" t="s">
        <v>174</v>
      </c>
      <c r="BA151" s="48" t="s">
        <v>5261</v>
      </c>
      <c r="BB151" s="48" t="s">
        <v>5318</v>
      </c>
      <c r="BC151" s="48" t="s">
        <v>4963</v>
      </c>
      <c r="BD151" s="48">
        <v>10.0</v>
      </c>
      <c r="BE151" s="698" t="s">
        <v>5267</v>
      </c>
      <c r="BF151" s="698" t="s">
        <v>5277</v>
      </c>
      <c r="BG151" s="66"/>
      <c r="BH151" s="66"/>
      <c r="BI151" s="66"/>
      <c r="BJ151" s="66"/>
      <c r="BK151" s="66"/>
      <c r="BL151" s="66"/>
      <c r="BM151" s="66"/>
      <c r="BN151" s="66"/>
      <c r="BO151" s="66"/>
      <c r="BP151" s="66"/>
      <c r="BQ151" s="66"/>
      <c r="BR151" s="66"/>
      <c r="BS151" s="66"/>
    </row>
    <row r="152">
      <c r="A152" s="48" t="s">
        <v>1688</v>
      </c>
      <c r="B152" s="48">
        <v>1200.0</v>
      </c>
      <c r="C152" s="48" t="s">
        <v>5307</v>
      </c>
      <c r="D152" s="174" t="str">
        <f t="shared" si="22"/>
        <v>Gigabyte</v>
      </c>
      <c r="E152" s="174" t="s">
        <v>5319</v>
      </c>
      <c r="F152" s="48" t="s">
        <v>5021</v>
      </c>
      <c r="G152" s="48" t="s">
        <v>174</v>
      </c>
      <c r="H152" s="48" t="s">
        <v>174</v>
      </c>
      <c r="I152" s="48" t="s">
        <v>174</v>
      </c>
      <c r="J152" s="48" t="s">
        <v>174</v>
      </c>
      <c r="K152" s="48" t="s">
        <v>166</v>
      </c>
      <c r="L152" s="48">
        <v>2.0</v>
      </c>
      <c r="M152" s="48" t="s">
        <v>3149</v>
      </c>
      <c r="N152" s="48">
        <v>64.0</v>
      </c>
      <c r="O152" s="48" t="s">
        <v>5047</v>
      </c>
      <c r="P152" s="48">
        <v>4.0</v>
      </c>
      <c r="Q152" s="698" t="s">
        <v>5320</v>
      </c>
      <c r="R152" s="697" t="s">
        <v>166</v>
      </c>
      <c r="S152" s="697" t="s">
        <v>166</v>
      </c>
      <c r="T152" s="697">
        <v>4.0</v>
      </c>
      <c r="U152" s="48" t="s">
        <v>166</v>
      </c>
      <c r="V152" s="48">
        <v>2.0</v>
      </c>
      <c r="W152" s="48" t="s">
        <v>166</v>
      </c>
      <c r="X152" s="48" t="s">
        <v>166</v>
      </c>
      <c r="Y152" s="48" t="s">
        <v>166</v>
      </c>
      <c r="Z152" s="48" t="s">
        <v>166</v>
      </c>
      <c r="AA152" s="48">
        <v>2.0</v>
      </c>
      <c r="AB152" s="48">
        <f t="shared" si="1"/>
        <v>8</v>
      </c>
      <c r="AC152" s="48">
        <v>1.0</v>
      </c>
      <c r="AD152" s="48">
        <v>1.0</v>
      </c>
      <c r="AE152" s="705" t="s">
        <v>5049</v>
      </c>
      <c r="AF152" s="697">
        <v>1.0</v>
      </c>
      <c r="AG152" s="48" t="s">
        <v>5026</v>
      </c>
      <c r="AH152" s="48">
        <v>2.5</v>
      </c>
      <c r="AI152" s="48">
        <v>1.0</v>
      </c>
      <c r="AJ152" s="48" t="s">
        <v>5027</v>
      </c>
      <c r="AK152" s="48" t="s">
        <v>5028</v>
      </c>
      <c r="AL152" s="48">
        <v>2400.0</v>
      </c>
      <c r="AM152" s="48">
        <v>5.1</v>
      </c>
      <c r="AN152" s="48" t="s">
        <v>5099</v>
      </c>
      <c r="AO152" s="48" t="s">
        <v>166</v>
      </c>
      <c r="AP152" s="48">
        <v>2.0</v>
      </c>
      <c r="AQ152" s="48" t="s">
        <v>166</v>
      </c>
      <c r="AR152" s="48">
        <v>1.0</v>
      </c>
      <c r="AS152" s="48" t="s">
        <v>166</v>
      </c>
      <c r="AT152" s="48" t="s">
        <v>166</v>
      </c>
      <c r="AU152" s="48" t="s">
        <v>166</v>
      </c>
      <c r="AV152" s="48">
        <v>4.0</v>
      </c>
      <c r="AW152" s="48">
        <v>1.0</v>
      </c>
      <c r="AX152" s="48">
        <v>1.0</v>
      </c>
      <c r="AY152" s="48" t="s">
        <v>166</v>
      </c>
      <c r="AZ152" s="48" t="s">
        <v>174</v>
      </c>
      <c r="BA152" s="48" t="s">
        <v>5261</v>
      </c>
      <c r="BB152" s="48" t="s">
        <v>5226</v>
      </c>
      <c r="BC152" s="48" t="s">
        <v>4963</v>
      </c>
      <c r="BD152" s="48">
        <v>8.0</v>
      </c>
      <c r="BE152" s="698" t="s">
        <v>5267</v>
      </c>
      <c r="BF152" s="698" t="s">
        <v>5321</v>
      </c>
      <c r="BG152" s="66"/>
      <c r="BH152" s="66"/>
      <c r="BI152" s="66"/>
      <c r="BJ152" s="66"/>
      <c r="BK152" s="66"/>
      <c r="BL152" s="66"/>
      <c r="BM152" s="66"/>
      <c r="BN152" s="66"/>
      <c r="BO152" s="66"/>
      <c r="BP152" s="66"/>
      <c r="BQ152" s="66"/>
      <c r="BR152" s="66"/>
      <c r="BS152" s="66"/>
    </row>
    <row r="153">
      <c r="A153" s="700" t="s">
        <v>1688</v>
      </c>
      <c r="B153" s="700">
        <v>1200.0</v>
      </c>
      <c r="C153" s="700" t="s">
        <v>5307</v>
      </c>
      <c r="D153" s="291" t="str">
        <f>HYPERLINK("https://www.msi.com/index.php","MSI")</f>
        <v>MSI</v>
      </c>
      <c r="E153" s="714" t="s">
        <v>5322</v>
      </c>
      <c r="F153" s="700" t="s">
        <v>5021</v>
      </c>
      <c r="G153" s="700" t="s">
        <v>166</v>
      </c>
      <c r="H153" s="700" t="s">
        <v>174</v>
      </c>
      <c r="I153" s="700" t="s">
        <v>174</v>
      </c>
      <c r="J153" s="700" t="s">
        <v>166</v>
      </c>
      <c r="K153" s="700" t="s">
        <v>174</v>
      </c>
      <c r="L153" s="700">
        <v>2.0</v>
      </c>
      <c r="M153" s="700" t="s">
        <v>3149</v>
      </c>
      <c r="N153" s="700">
        <v>64.0</v>
      </c>
      <c r="O153" s="700" t="s">
        <v>5323</v>
      </c>
      <c r="P153" s="700">
        <v>4.0</v>
      </c>
      <c r="Q153" s="701" t="s">
        <v>5324</v>
      </c>
      <c r="R153" s="702">
        <v>2.0</v>
      </c>
      <c r="S153" s="702" t="s">
        <v>166</v>
      </c>
      <c r="T153" s="713">
        <v>2.0</v>
      </c>
      <c r="U153" s="712" t="s">
        <v>166</v>
      </c>
      <c r="V153" s="712">
        <v>2.0</v>
      </c>
      <c r="W153" s="712" t="s">
        <v>166</v>
      </c>
      <c r="X153" s="712" t="s">
        <v>166</v>
      </c>
      <c r="Y153" s="712" t="s">
        <v>166</v>
      </c>
      <c r="Z153" s="712" t="s">
        <v>166</v>
      </c>
      <c r="AA153" s="712">
        <v>2.0</v>
      </c>
      <c r="AB153" s="712">
        <f t="shared" si="1"/>
        <v>8</v>
      </c>
      <c r="AC153" s="712">
        <v>1.0</v>
      </c>
      <c r="AD153" s="712">
        <v>1.0</v>
      </c>
      <c r="AE153" s="700" t="s">
        <v>5025</v>
      </c>
      <c r="AF153" s="713">
        <v>1.0</v>
      </c>
      <c r="AG153" s="700" t="s">
        <v>5026</v>
      </c>
      <c r="AH153" s="712">
        <v>2.5</v>
      </c>
      <c r="AI153" s="712">
        <v>1.0</v>
      </c>
      <c r="AJ153" s="700" t="s">
        <v>5044</v>
      </c>
      <c r="AK153" s="712" t="s">
        <v>5300</v>
      </c>
      <c r="AL153" s="712">
        <v>2400.0</v>
      </c>
      <c r="AM153" s="712">
        <v>5.2</v>
      </c>
      <c r="AN153" s="712" t="s">
        <v>5325</v>
      </c>
      <c r="AO153" s="712" t="s">
        <v>166</v>
      </c>
      <c r="AP153" s="712">
        <v>3.0</v>
      </c>
      <c r="AQ153" s="712" t="s">
        <v>166</v>
      </c>
      <c r="AR153" s="712">
        <v>3.0</v>
      </c>
      <c r="AS153" s="712">
        <v>1.0</v>
      </c>
      <c r="AT153" s="712" t="s">
        <v>166</v>
      </c>
      <c r="AU153" s="712" t="s">
        <v>166</v>
      </c>
      <c r="AV153" s="712">
        <v>3.0</v>
      </c>
      <c r="AW153" s="712" t="s">
        <v>166</v>
      </c>
      <c r="AX153" s="712">
        <v>1.0</v>
      </c>
      <c r="AY153" s="712" t="s">
        <v>174</v>
      </c>
      <c r="AZ153" s="712" t="s">
        <v>174</v>
      </c>
      <c r="BA153" s="712" t="s">
        <v>5261</v>
      </c>
      <c r="BB153" s="712" t="s">
        <v>5226</v>
      </c>
      <c r="BC153" s="712" t="s">
        <v>4963</v>
      </c>
      <c r="BD153" s="712">
        <v>8.0</v>
      </c>
      <c r="BE153" s="717" t="s">
        <v>5029</v>
      </c>
      <c r="BF153" s="703" t="s">
        <v>5035</v>
      </c>
      <c r="BG153" s="66"/>
      <c r="BH153" s="66"/>
      <c r="BI153" s="66"/>
      <c r="BJ153" s="66"/>
      <c r="BK153" s="66"/>
      <c r="BL153" s="66"/>
      <c r="BM153" s="66"/>
      <c r="BN153" s="66"/>
      <c r="BO153" s="66"/>
      <c r="BP153" s="66"/>
      <c r="BQ153" s="66"/>
      <c r="BR153" s="66"/>
      <c r="BS153" s="66"/>
    </row>
    <row r="154">
      <c r="A154" s="48" t="s">
        <v>1688</v>
      </c>
      <c r="B154" s="48">
        <v>1700.0</v>
      </c>
      <c r="C154" s="48" t="s">
        <v>5326</v>
      </c>
      <c r="D154" s="282" t="s">
        <v>169</v>
      </c>
      <c r="E154" s="718" t="s">
        <v>5327</v>
      </c>
      <c r="F154" s="48" t="s">
        <v>5021</v>
      </c>
      <c r="G154" s="48" t="s">
        <v>166</v>
      </c>
      <c r="H154" s="48" t="s">
        <v>166</v>
      </c>
      <c r="I154" s="48" t="s">
        <v>166</v>
      </c>
      <c r="J154" s="48" t="s">
        <v>166</v>
      </c>
      <c r="K154" s="48" t="s">
        <v>166</v>
      </c>
      <c r="L154" s="48">
        <v>2.0</v>
      </c>
      <c r="M154" s="48" t="s">
        <v>3149</v>
      </c>
      <c r="N154" s="48">
        <v>64.0</v>
      </c>
      <c r="O154" s="48">
        <v>3200.0</v>
      </c>
      <c r="P154" s="48">
        <v>4.0</v>
      </c>
      <c r="Q154" s="710" t="s">
        <v>4950</v>
      </c>
      <c r="R154" s="697">
        <v>2.0</v>
      </c>
      <c r="S154" s="697" t="s">
        <v>166</v>
      </c>
      <c r="T154" s="697">
        <v>2.0</v>
      </c>
      <c r="U154" s="48" t="s">
        <v>166</v>
      </c>
      <c r="V154" s="48" t="s">
        <v>166</v>
      </c>
      <c r="W154" s="48" t="s">
        <v>166</v>
      </c>
      <c r="X154" s="48" t="s">
        <v>166</v>
      </c>
      <c r="Y154" s="48" t="s">
        <v>166</v>
      </c>
      <c r="Z154" s="48" t="s">
        <v>166</v>
      </c>
      <c r="AA154" s="48" t="s">
        <v>166</v>
      </c>
      <c r="AB154" s="705">
        <f t="shared" si="1"/>
        <v>4</v>
      </c>
      <c r="AC154" s="48">
        <v>1.0</v>
      </c>
      <c r="AD154" s="48">
        <v>1.0</v>
      </c>
      <c r="AE154" s="48" t="s">
        <v>166</v>
      </c>
      <c r="AF154" s="697">
        <v>1.0</v>
      </c>
      <c r="AG154" s="48" t="s">
        <v>5133</v>
      </c>
      <c r="AH154" s="48">
        <v>1.0</v>
      </c>
      <c r="AI154" s="48">
        <v>1.0</v>
      </c>
      <c r="AJ154" s="48" t="s">
        <v>4966</v>
      </c>
      <c r="AK154" s="705" t="s">
        <v>4967</v>
      </c>
      <c r="AL154" s="48">
        <v>433.0</v>
      </c>
      <c r="AM154" s="48">
        <v>4.2</v>
      </c>
      <c r="AN154" s="48" t="s">
        <v>5039</v>
      </c>
      <c r="AO154" s="48" t="s">
        <v>166</v>
      </c>
      <c r="AP154" s="48">
        <v>3.0</v>
      </c>
      <c r="AQ154" s="48">
        <v>1.0</v>
      </c>
      <c r="AR154" s="48">
        <v>1.0</v>
      </c>
      <c r="AS154" s="48">
        <v>1.0</v>
      </c>
      <c r="AT154" s="48" t="s">
        <v>166</v>
      </c>
      <c r="AU154" s="48" t="s">
        <v>166</v>
      </c>
      <c r="AV154" s="48">
        <v>3.0</v>
      </c>
      <c r="AW154" s="48" t="s">
        <v>166</v>
      </c>
      <c r="AX154" s="48">
        <v>1.0</v>
      </c>
      <c r="AY154" s="48" t="s">
        <v>166</v>
      </c>
      <c r="AZ154" s="48" t="s">
        <v>166</v>
      </c>
      <c r="BA154" s="705" t="s">
        <v>5328</v>
      </c>
      <c r="BB154" s="705" t="s">
        <v>5143</v>
      </c>
      <c r="BC154" s="48" t="s">
        <v>4963</v>
      </c>
      <c r="BD154" s="48">
        <v>5.0</v>
      </c>
      <c r="BE154" s="708" t="s">
        <v>5009</v>
      </c>
      <c r="BF154" s="698"/>
      <c r="BG154" s="66"/>
      <c r="BH154" s="66"/>
      <c r="BI154" s="66"/>
      <c r="BJ154" s="66"/>
      <c r="BK154" s="66"/>
      <c r="BL154" s="66"/>
      <c r="BM154" s="66"/>
      <c r="BN154" s="66"/>
      <c r="BO154" s="66"/>
      <c r="BP154" s="66"/>
      <c r="BQ154" s="66"/>
      <c r="BR154" s="66"/>
      <c r="BS154" s="66"/>
    </row>
    <row r="155">
      <c r="A155" s="48" t="s">
        <v>1688</v>
      </c>
      <c r="B155" s="48">
        <v>1700.0</v>
      </c>
      <c r="C155" s="48" t="s">
        <v>5326</v>
      </c>
      <c r="D155" s="282" t="str">
        <f>HYPERLINK("https://www.asus.com/","Asus")</f>
        <v>Asus</v>
      </c>
      <c r="E155" s="718" t="s">
        <v>5329</v>
      </c>
      <c r="F155" s="48" t="s">
        <v>5021</v>
      </c>
      <c r="G155" s="48" t="s">
        <v>166</v>
      </c>
      <c r="H155" s="48" t="s">
        <v>166</v>
      </c>
      <c r="I155" s="48" t="s">
        <v>166</v>
      </c>
      <c r="J155" s="48" t="s">
        <v>166</v>
      </c>
      <c r="K155" s="48" t="s">
        <v>166</v>
      </c>
      <c r="L155" s="48">
        <v>2.0</v>
      </c>
      <c r="M155" s="48" t="s">
        <v>3149</v>
      </c>
      <c r="N155" s="48">
        <v>64.0</v>
      </c>
      <c r="O155" s="48">
        <v>3200.0</v>
      </c>
      <c r="P155" s="48">
        <v>4.0</v>
      </c>
      <c r="Q155" s="710" t="s">
        <v>5062</v>
      </c>
      <c r="R155" s="697">
        <v>2.0</v>
      </c>
      <c r="S155" s="697" t="s">
        <v>166</v>
      </c>
      <c r="T155" s="697">
        <v>2.0</v>
      </c>
      <c r="U155" s="48" t="s">
        <v>166</v>
      </c>
      <c r="V155" s="48" t="s">
        <v>166</v>
      </c>
      <c r="W155" s="48" t="s">
        <v>166</v>
      </c>
      <c r="X155" s="48" t="s">
        <v>166</v>
      </c>
      <c r="Y155" s="48" t="s">
        <v>166</v>
      </c>
      <c r="Z155" s="48" t="s">
        <v>166</v>
      </c>
      <c r="AA155" s="48" t="s">
        <v>166</v>
      </c>
      <c r="AB155" s="705">
        <f t="shared" si="1"/>
        <v>4</v>
      </c>
      <c r="AC155" s="48">
        <v>1.0</v>
      </c>
      <c r="AD155" s="48">
        <v>1.0</v>
      </c>
      <c r="AE155" s="48" t="s">
        <v>166</v>
      </c>
      <c r="AF155" s="697">
        <v>1.0</v>
      </c>
      <c r="AG155" s="48" t="s">
        <v>4959</v>
      </c>
      <c r="AH155" s="48">
        <v>1.0</v>
      </c>
      <c r="AI155" s="48">
        <v>1.0</v>
      </c>
      <c r="AJ155" s="48" t="s">
        <v>166</v>
      </c>
      <c r="AK155" s="705" t="s">
        <v>232</v>
      </c>
      <c r="AL155" s="48" t="s">
        <v>166</v>
      </c>
      <c r="AM155" s="48" t="s">
        <v>166</v>
      </c>
      <c r="AN155" s="722" t="s">
        <v>5039</v>
      </c>
      <c r="AO155" s="48" t="s">
        <v>166</v>
      </c>
      <c r="AP155" s="48">
        <v>3.0</v>
      </c>
      <c r="AQ155" s="48">
        <v>1.0</v>
      </c>
      <c r="AR155" s="48">
        <v>1.0</v>
      </c>
      <c r="AS155" s="48">
        <v>1.0</v>
      </c>
      <c r="AT155" s="48" t="s">
        <v>166</v>
      </c>
      <c r="AU155" s="48">
        <v>1.0</v>
      </c>
      <c r="AV155" s="48">
        <v>3.0</v>
      </c>
      <c r="AW155" s="48" t="s">
        <v>166</v>
      </c>
      <c r="AX155" s="48" t="s">
        <v>166</v>
      </c>
      <c r="AY155" s="48" t="s">
        <v>174</v>
      </c>
      <c r="AZ155" s="48" t="s">
        <v>166</v>
      </c>
      <c r="BA155" s="705" t="s">
        <v>5328</v>
      </c>
      <c r="BB155" s="705" t="s">
        <v>5143</v>
      </c>
      <c r="BC155" s="48" t="s">
        <v>4963</v>
      </c>
      <c r="BD155" s="48">
        <v>5.0</v>
      </c>
      <c r="BE155" s="708" t="s">
        <v>4964</v>
      </c>
      <c r="BF155" s="698"/>
      <c r="BG155" s="66"/>
      <c r="BH155" s="66"/>
      <c r="BI155" s="66"/>
      <c r="BJ155" s="66"/>
      <c r="BK155" s="66"/>
      <c r="BL155" s="66"/>
      <c r="BM155" s="66"/>
      <c r="BN155" s="66"/>
      <c r="BO155" s="66"/>
      <c r="BP155" s="66"/>
      <c r="BQ155" s="66"/>
      <c r="BR155" s="66"/>
      <c r="BS155" s="66"/>
    </row>
    <row r="156">
      <c r="A156" s="48" t="s">
        <v>1688</v>
      </c>
      <c r="B156" s="48">
        <v>1700.0</v>
      </c>
      <c r="C156" s="48" t="s">
        <v>5326</v>
      </c>
      <c r="D156" s="282" t="str">
        <f>HYPERLINK("https://www.gigabyte.com/","Gigabyte")</f>
        <v>Gigabyte</v>
      </c>
      <c r="E156" s="718" t="s">
        <v>5330</v>
      </c>
      <c r="F156" s="48" t="s">
        <v>5021</v>
      </c>
      <c r="G156" s="48" t="s">
        <v>166</v>
      </c>
      <c r="H156" s="48" t="s">
        <v>166</v>
      </c>
      <c r="I156" s="48" t="s">
        <v>166</v>
      </c>
      <c r="J156" s="48" t="s">
        <v>166</v>
      </c>
      <c r="K156" s="48" t="s">
        <v>166</v>
      </c>
      <c r="L156" s="48">
        <v>2.0</v>
      </c>
      <c r="M156" s="48" t="s">
        <v>3149</v>
      </c>
      <c r="N156" s="48">
        <v>64.0</v>
      </c>
      <c r="O156" s="48">
        <v>3200.0</v>
      </c>
      <c r="P156" s="48">
        <v>4.0</v>
      </c>
      <c r="Q156" s="710" t="s">
        <v>5062</v>
      </c>
      <c r="R156" s="697">
        <v>4.0</v>
      </c>
      <c r="S156" s="697" t="s">
        <v>166</v>
      </c>
      <c r="T156" s="697">
        <v>2.0</v>
      </c>
      <c r="U156" s="48" t="s">
        <v>166</v>
      </c>
      <c r="V156" s="48" t="s">
        <v>166</v>
      </c>
      <c r="W156" s="48" t="s">
        <v>166</v>
      </c>
      <c r="X156" s="48" t="s">
        <v>166</v>
      </c>
      <c r="Y156" s="48" t="s">
        <v>166</v>
      </c>
      <c r="Z156" s="48" t="s">
        <v>166</v>
      </c>
      <c r="AA156" s="48" t="s">
        <v>166</v>
      </c>
      <c r="AB156" s="705">
        <f t="shared" si="1"/>
        <v>6</v>
      </c>
      <c r="AC156" s="48">
        <v>2.0</v>
      </c>
      <c r="AD156" s="48">
        <v>1.0</v>
      </c>
      <c r="AE156" s="48" t="s">
        <v>166</v>
      </c>
      <c r="AF156" s="697">
        <v>1.0</v>
      </c>
      <c r="AG156" s="48" t="s">
        <v>5133</v>
      </c>
      <c r="AH156" s="48">
        <v>1.0</v>
      </c>
      <c r="AI156" s="48" t="s">
        <v>166</v>
      </c>
      <c r="AJ156" s="48" t="s">
        <v>166</v>
      </c>
      <c r="AK156" s="705" t="s">
        <v>166</v>
      </c>
      <c r="AL156" s="48" t="s">
        <v>166</v>
      </c>
      <c r="AM156" s="48" t="s">
        <v>166</v>
      </c>
      <c r="AN156" s="48" t="s">
        <v>5039</v>
      </c>
      <c r="AO156" s="48" t="s">
        <v>166</v>
      </c>
      <c r="AP156" s="48">
        <v>3.0</v>
      </c>
      <c r="AQ156" s="48">
        <v>1.0</v>
      </c>
      <c r="AR156" s="48">
        <v>2.0</v>
      </c>
      <c r="AS156" s="48">
        <v>1.0</v>
      </c>
      <c r="AT156" s="48" t="s">
        <v>166</v>
      </c>
      <c r="AU156" s="48">
        <v>1.0</v>
      </c>
      <c r="AV156" s="48">
        <v>3.0</v>
      </c>
      <c r="AW156" s="48">
        <v>1.0</v>
      </c>
      <c r="AX156" s="48" t="s">
        <v>166</v>
      </c>
      <c r="AY156" s="48" t="s">
        <v>166</v>
      </c>
      <c r="AZ156" s="48" t="s">
        <v>166</v>
      </c>
      <c r="BA156" s="705" t="s">
        <v>5331</v>
      </c>
      <c r="BB156" s="705" t="s">
        <v>5017</v>
      </c>
      <c r="BC156" s="48" t="s">
        <v>4963</v>
      </c>
      <c r="BD156" s="48">
        <v>4.0</v>
      </c>
      <c r="BE156" s="708" t="s">
        <v>5272</v>
      </c>
      <c r="BF156" s="698" t="s">
        <v>5014</v>
      </c>
      <c r="BG156" s="66"/>
      <c r="BH156" s="66"/>
      <c r="BI156" s="66"/>
      <c r="BJ156" s="66"/>
      <c r="BK156" s="66"/>
      <c r="BL156" s="66"/>
      <c r="BM156" s="66"/>
      <c r="BN156" s="66"/>
      <c r="BO156" s="66"/>
      <c r="BP156" s="66"/>
      <c r="BQ156" s="66"/>
      <c r="BR156" s="66"/>
      <c r="BS156" s="66"/>
    </row>
    <row r="157">
      <c r="A157" s="700" t="s">
        <v>1688</v>
      </c>
      <c r="B157" s="700">
        <v>1700.0</v>
      </c>
      <c r="C157" s="700" t="s">
        <v>5326</v>
      </c>
      <c r="D157" s="291" t="s">
        <v>3565</v>
      </c>
      <c r="E157" s="714" t="s">
        <v>5332</v>
      </c>
      <c r="F157" s="700" t="s">
        <v>5021</v>
      </c>
      <c r="G157" s="700" t="s">
        <v>166</v>
      </c>
      <c r="H157" s="700" t="s">
        <v>166</v>
      </c>
      <c r="I157" s="700" t="s">
        <v>166</v>
      </c>
      <c r="J157" s="700" t="s">
        <v>166</v>
      </c>
      <c r="K157" s="700" t="s">
        <v>166</v>
      </c>
      <c r="L157" s="700">
        <v>2.0</v>
      </c>
      <c r="M157" s="700" t="s">
        <v>3149</v>
      </c>
      <c r="N157" s="700">
        <v>64.0</v>
      </c>
      <c r="O157" s="700">
        <v>3200.0</v>
      </c>
      <c r="P157" s="700">
        <v>4.0</v>
      </c>
      <c r="Q157" s="701" t="s">
        <v>5062</v>
      </c>
      <c r="R157" s="702">
        <v>3.0</v>
      </c>
      <c r="S157" s="702" t="s">
        <v>166</v>
      </c>
      <c r="T157" s="702">
        <v>2.0</v>
      </c>
      <c r="U157" s="700" t="s">
        <v>166</v>
      </c>
      <c r="V157" s="700" t="s">
        <v>166</v>
      </c>
      <c r="W157" s="700" t="s">
        <v>166</v>
      </c>
      <c r="X157" s="700" t="s">
        <v>166</v>
      </c>
      <c r="Y157" s="700" t="s">
        <v>166</v>
      </c>
      <c r="Z157" s="700" t="s">
        <v>166</v>
      </c>
      <c r="AA157" s="700" t="s">
        <v>166</v>
      </c>
      <c r="AB157" s="712">
        <f t="shared" si="1"/>
        <v>5</v>
      </c>
      <c r="AC157" s="700">
        <v>1.0</v>
      </c>
      <c r="AD157" s="700">
        <v>1.0</v>
      </c>
      <c r="AE157" s="700" t="s">
        <v>166</v>
      </c>
      <c r="AF157" s="702">
        <v>1.0</v>
      </c>
      <c r="AG157" s="712" t="s">
        <v>5038</v>
      </c>
      <c r="AH157" s="700">
        <v>2.5</v>
      </c>
      <c r="AI157" s="700">
        <v>1.0</v>
      </c>
      <c r="AJ157" s="700" t="s">
        <v>166</v>
      </c>
      <c r="AK157" s="712" t="s">
        <v>232</v>
      </c>
      <c r="AL157" s="700" t="s">
        <v>166</v>
      </c>
      <c r="AM157" s="700" t="s">
        <v>166</v>
      </c>
      <c r="AN157" s="700" t="s">
        <v>5039</v>
      </c>
      <c r="AO157" s="700" t="s">
        <v>166</v>
      </c>
      <c r="AP157" s="700">
        <v>3.0</v>
      </c>
      <c r="AQ157" s="700" t="s">
        <v>166</v>
      </c>
      <c r="AR157" s="712">
        <v>1.0</v>
      </c>
      <c r="AS157" s="712">
        <v>2.0</v>
      </c>
      <c r="AT157" s="700" t="s">
        <v>166</v>
      </c>
      <c r="AU157" s="700" t="s">
        <v>166</v>
      </c>
      <c r="AV157" s="700">
        <v>4.0</v>
      </c>
      <c r="AW157" s="700" t="s">
        <v>166</v>
      </c>
      <c r="AX157" s="700" t="s">
        <v>166</v>
      </c>
      <c r="AY157" s="700" t="s">
        <v>174</v>
      </c>
      <c r="AZ157" s="700" t="s">
        <v>166</v>
      </c>
      <c r="BA157" s="712" t="s">
        <v>5328</v>
      </c>
      <c r="BB157" s="712" t="s">
        <v>5226</v>
      </c>
      <c r="BC157" s="700" t="s">
        <v>4963</v>
      </c>
      <c r="BD157" s="700">
        <v>8.0</v>
      </c>
      <c r="BE157" s="717" t="s">
        <v>5009</v>
      </c>
      <c r="BF157" s="703"/>
      <c r="BG157" s="66"/>
      <c r="BH157" s="66"/>
      <c r="BI157" s="66"/>
      <c r="BJ157" s="66"/>
      <c r="BK157" s="66"/>
      <c r="BL157" s="66"/>
      <c r="BM157" s="66"/>
      <c r="BN157" s="66"/>
      <c r="BO157" s="66"/>
      <c r="BP157" s="66"/>
      <c r="BQ157" s="66"/>
      <c r="BR157" s="66"/>
      <c r="BS157" s="66"/>
    </row>
    <row r="158">
      <c r="A158" s="705" t="s">
        <v>1688</v>
      </c>
      <c r="B158" s="705">
        <v>1700.0</v>
      </c>
      <c r="C158" s="705" t="s">
        <v>5333</v>
      </c>
      <c r="D158" s="282" t="s">
        <v>169</v>
      </c>
      <c r="E158" s="715" t="s">
        <v>5334</v>
      </c>
      <c r="F158" s="705" t="s">
        <v>5021</v>
      </c>
      <c r="G158" s="705" t="s">
        <v>166</v>
      </c>
      <c r="H158" s="705" t="s">
        <v>166</v>
      </c>
      <c r="I158" s="705" t="s">
        <v>174</v>
      </c>
      <c r="J158" s="705" t="s">
        <v>166</v>
      </c>
      <c r="K158" s="705" t="s">
        <v>166</v>
      </c>
      <c r="L158" s="705">
        <v>2.0</v>
      </c>
      <c r="M158" s="705" t="s">
        <v>3149</v>
      </c>
      <c r="N158" s="705">
        <v>64.0</v>
      </c>
      <c r="O158" s="705" t="s">
        <v>5275</v>
      </c>
      <c r="P158" s="705">
        <v>4.0</v>
      </c>
      <c r="Q158" s="711" t="s">
        <v>4950</v>
      </c>
      <c r="R158" s="707">
        <v>2.0</v>
      </c>
      <c r="S158" s="707" t="s">
        <v>166</v>
      </c>
      <c r="T158" s="707">
        <v>2.0</v>
      </c>
      <c r="U158" s="705" t="s">
        <v>166</v>
      </c>
      <c r="V158" s="705" t="s">
        <v>166</v>
      </c>
      <c r="W158" s="705" t="s">
        <v>166</v>
      </c>
      <c r="X158" s="705" t="s">
        <v>166</v>
      </c>
      <c r="Y158" s="705" t="s">
        <v>166</v>
      </c>
      <c r="Z158" s="705" t="s">
        <v>166</v>
      </c>
      <c r="AA158" s="705" t="s">
        <v>166</v>
      </c>
      <c r="AB158" s="705">
        <f t="shared" si="1"/>
        <v>4</v>
      </c>
      <c r="AC158" s="705">
        <v>1.0</v>
      </c>
      <c r="AD158" s="705">
        <v>1.0</v>
      </c>
      <c r="AE158" s="705" t="s">
        <v>5049</v>
      </c>
      <c r="AF158" s="707">
        <v>1.0</v>
      </c>
      <c r="AG158" s="705" t="s">
        <v>5133</v>
      </c>
      <c r="AH158" s="705">
        <v>1.0</v>
      </c>
      <c r="AI158" s="705">
        <v>1.0</v>
      </c>
      <c r="AJ158" s="705" t="s">
        <v>4966</v>
      </c>
      <c r="AK158" s="705" t="s">
        <v>4967</v>
      </c>
      <c r="AL158" s="705">
        <v>433.0</v>
      </c>
      <c r="AM158" s="705">
        <v>4.2</v>
      </c>
      <c r="AN158" s="705" t="s">
        <v>5039</v>
      </c>
      <c r="AO158" s="705" t="s">
        <v>166</v>
      </c>
      <c r="AP158" s="705">
        <v>3.0</v>
      </c>
      <c r="AQ158" s="705">
        <v>1.0</v>
      </c>
      <c r="AR158" s="705">
        <v>1.0</v>
      </c>
      <c r="AS158" s="705">
        <v>1.0</v>
      </c>
      <c r="AT158" s="705" t="s">
        <v>166</v>
      </c>
      <c r="AU158" s="705" t="s">
        <v>166</v>
      </c>
      <c r="AV158" s="705">
        <v>3.0</v>
      </c>
      <c r="AW158" s="705" t="s">
        <v>166</v>
      </c>
      <c r="AX158" s="705">
        <v>1.0</v>
      </c>
      <c r="AY158" s="705" t="s">
        <v>166</v>
      </c>
      <c r="AZ158" s="705" t="s">
        <v>166</v>
      </c>
      <c r="BA158" s="705" t="s">
        <v>5328</v>
      </c>
      <c r="BB158" s="705" t="s">
        <v>5143</v>
      </c>
      <c r="BC158" s="705" t="s">
        <v>4963</v>
      </c>
      <c r="BD158" s="705">
        <v>5.0</v>
      </c>
      <c r="BE158" s="708" t="s">
        <v>5009</v>
      </c>
      <c r="BF158" s="708"/>
      <c r="BG158" s="66"/>
      <c r="BH158" s="66"/>
      <c r="BI158" s="66"/>
      <c r="BJ158" s="66"/>
      <c r="BK158" s="66"/>
      <c r="BL158" s="66"/>
      <c r="BM158" s="66"/>
      <c r="BN158" s="66"/>
      <c r="BO158" s="66"/>
      <c r="BP158" s="66"/>
      <c r="BQ158" s="66"/>
      <c r="BR158" s="66"/>
      <c r="BS158" s="66"/>
    </row>
    <row r="159">
      <c r="A159" s="48" t="s">
        <v>1688</v>
      </c>
      <c r="B159" s="48">
        <v>1700.0</v>
      </c>
      <c r="C159" s="48" t="s">
        <v>5333</v>
      </c>
      <c r="D159" s="174" t="str">
        <f>HYPERLINK("https://www.asus.com/","Asus")</f>
        <v>Asus</v>
      </c>
      <c r="E159" s="718" t="s">
        <v>5335</v>
      </c>
      <c r="F159" s="48" t="s">
        <v>5111</v>
      </c>
      <c r="G159" s="48" t="s">
        <v>166</v>
      </c>
      <c r="H159" s="48" t="s">
        <v>166</v>
      </c>
      <c r="I159" s="48" t="s">
        <v>174</v>
      </c>
      <c r="J159" s="48" t="s">
        <v>166</v>
      </c>
      <c r="K159" s="48" t="s">
        <v>166</v>
      </c>
      <c r="L159" s="48">
        <v>2.0</v>
      </c>
      <c r="M159" s="48" t="s">
        <v>3151</v>
      </c>
      <c r="N159" s="48">
        <v>96.0</v>
      </c>
      <c r="O159" s="48" t="s">
        <v>5336</v>
      </c>
      <c r="P159" s="48">
        <v>4.0</v>
      </c>
      <c r="Q159" s="698" t="s">
        <v>5337</v>
      </c>
      <c r="R159" s="697">
        <v>3.0</v>
      </c>
      <c r="S159" s="697" t="s">
        <v>166</v>
      </c>
      <c r="T159" s="697">
        <v>3.0</v>
      </c>
      <c r="U159" s="48">
        <v>1.0</v>
      </c>
      <c r="V159" s="48" t="s">
        <v>166</v>
      </c>
      <c r="W159" s="48" t="s">
        <v>166</v>
      </c>
      <c r="X159" s="48">
        <v>1.0</v>
      </c>
      <c r="Y159" s="48" t="s">
        <v>166</v>
      </c>
      <c r="Z159" s="48" t="s">
        <v>166</v>
      </c>
      <c r="AA159" s="48" t="s">
        <v>166</v>
      </c>
      <c r="AB159" s="705">
        <f t="shared" si="1"/>
        <v>8</v>
      </c>
      <c r="AC159" s="48">
        <v>1.0</v>
      </c>
      <c r="AD159" s="48">
        <v>1.0</v>
      </c>
      <c r="AE159" s="48" t="s">
        <v>5025</v>
      </c>
      <c r="AF159" s="697">
        <v>1.0</v>
      </c>
      <c r="AG159" s="48" t="s">
        <v>5026</v>
      </c>
      <c r="AH159" s="48">
        <v>2.5</v>
      </c>
      <c r="AI159" s="48">
        <v>1.0</v>
      </c>
      <c r="AJ159" s="48" t="s">
        <v>5027</v>
      </c>
      <c r="AK159" s="705" t="s">
        <v>5257</v>
      </c>
      <c r="AL159" s="48">
        <v>2400.0</v>
      </c>
      <c r="AM159" s="48">
        <v>5.2</v>
      </c>
      <c r="AN159" s="48" t="s">
        <v>5288</v>
      </c>
      <c r="AO159" s="48" t="s">
        <v>166</v>
      </c>
      <c r="AP159" s="48">
        <v>5.0</v>
      </c>
      <c r="AQ159" s="48" t="s">
        <v>166</v>
      </c>
      <c r="AR159" s="48">
        <v>1.0</v>
      </c>
      <c r="AS159" s="48">
        <v>1.0</v>
      </c>
      <c r="AT159" s="48" t="s">
        <v>166</v>
      </c>
      <c r="AU159" s="48" t="s">
        <v>166</v>
      </c>
      <c r="AV159" s="48">
        <v>3.0</v>
      </c>
      <c r="AW159" s="48">
        <v>1.0</v>
      </c>
      <c r="AX159" s="48">
        <v>1.0</v>
      </c>
      <c r="AY159" s="48" t="s">
        <v>174</v>
      </c>
      <c r="AZ159" s="48" t="s">
        <v>174</v>
      </c>
      <c r="BA159" s="48" t="s">
        <v>5338</v>
      </c>
      <c r="BB159" s="48" t="s">
        <v>5226</v>
      </c>
      <c r="BC159" s="48" t="s">
        <v>4955</v>
      </c>
      <c r="BD159" s="48">
        <v>8.0</v>
      </c>
      <c r="BE159" s="698" t="s">
        <v>5339</v>
      </c>
      <c r="BF159" s="698"/>
      <c r="BG159" s="66"/>
      <c r="BH159" s="66"/>
      <c r="BI159" s="66"/>
      <c r="BJ159" s="66"/>
      <c r="BK159" s="66"/>
      <c r="BL159" s="66"/>
      <c r="BM159" s="66"/>
      <c r="BN159" s="66"/>
      <c r="BO159" s="66"/>
      <c r="BP159" s="66"/>
      <c r="BQ159" s="66"/>
      <c r="BR159" s="66"/>
      <c r="BS159" s="66"/>
    </row>
    <row r="160">
      <c r="A160" s="48" t="s">
        <v>1688</v>
      </c>
      <c r="B160" s="48">
        <v>1700.0</v>
      </c>
      <c r="C160" s="48" t="s">
        <v>5333</v>
      </c>
      <c r="D160" s="174" t="str">
        <f t="shared" ref="D160:D161" si="23">HYPERLINK("https://www.biostar.com.tw/","Biostar")</f>
        <v>Biostar</v>
      </c>
      <c r="E160" s="718" t="s">
        <v>5340</v>
      </c>
      <c r="F160" s="48" t="s">
        <v>5111</v>
      </c>
      <c r="G160" s="48" t="s">
        <v>166</v>
      </c>
      <c r="H160" s="48" t="s">
        <v>166</v>
      </c>
      <c r="I160" s="48" t="s">
        <v>174</v>
      </c>
      <c r="J160" s="48" t="s">
        <v>166</v>
      </c>
      <c r="K160" s="48" t="s">
        <v>166</v>
      </c>
      <c r="L160" s="48">
        <v>2.0</v>
      </c>
      <c r="M160" s="48" t="s">
        <v>3149</v>
      </c>
      <c r="N160" s="48">
        <v>64.0</v>
      </c>
      <c r="O160" s="48" t="s">
        <v>5275</v>
      </c>
      <c r="P160" s="48">
        <v>4.0</v>
      </c>
      <c r="Q160" s="698" t="s">
        <v>5341</v>
      </c>
      <c r="R160" s="697">
        <v>2.0</v>
      </c>
      <c r="S160" s="697" t="s">
        <v>166</v>
      </c>
      <c r="T160" s="697" t="s">
        <v>166</v>
      </c>
      <c r="U160" s="48" t="s">
        <v>166</v>
      </c>
      <c r="V160" s="48">
        <v>4.0</v>
      </c>
      <c r="W160" s="48" t="s">
        <v>166</v>
      </c>
      <c r="X160" s="48" t="s">
        <v>166</v>
      </c>
      <c r="Y160" s="48" t="s">
        <v>166</v>
      </c>
      <c r="Z160" s="48" t="s">
        <v>166</v>
      </c>
      <c r="AA160" s="48" t="s">
        <v>166</v>
      </c>
      <c r="AB160" s="705">
        <f t="shared" si="1"/>
        <v>6</v>
      </c>
      <c r="AC160" s="48">
        <v>1.0</v>
      </c>
      <c r="AD160" s="48">
        <v>1.0</v>
      </c>
      <c r="AE160" s="48" t="s">
        <v>166</v>
      </c>
      <c r="AF160" s="697">
        <v>1.0</v>
      </c>
      <c r="AG160" s="705" t="s">
        <v>5038</v>
      </c>
      <c r="AH160" s="48">
        <v>2.5</v>
      </c>
      <c r="AI160" s="48">
        <v>1.0</v>
      </c>
      <c r="AJ160" s="48" t="s">
        <v>166</v>
      </c>
      <c r="AK160" s="705" t="s">
        <v>232</v>
      </c>
      <c r="AL160" s="48" t="s">
        <v>166</v>
      </c>
      <c r="AM160" s="48" t="s">
        <v>166</v>
      </c>
      <c r="AN160" s="48" t="s">
        <v>4952</v>
      </c>
      <c r="AO160" s="48" t="s">
        <v>166</v>
      </c>
      <c r="AP160" s="48">
        <v>3.0</v>
      </c>
      <c r="AQ160" s="48">
        <v>1.0</v>
      </c>
      <c r="AR160" s="48">
        <v>1.0</v>
      </c>
      <c r="AS160" s="48">
        <v>1.0</v>
      </c>
      <c r="AT160" s="48" t="s">
        <v>166</v>
      </c>
      <c r="AU160" s="48" t="s">
        <v>166</v>
      </c>
      <c r="AV160" s="48">
        <v>3.0</v>
      </c>
      <c r="AW160" s="48">
        <v>1.0</v>
      </c>
      <c r="AX160" s="48">
        <v>1.0</v>
      </c>
      <c r="AY160" s="48" t="s">
        <v>174</v>
      </c>
      <c r="AZ160" s="48" t="s">
        <v>174</v>
      </c>
      <c r="BA160" s="48" t="s">
        <v>5342</v>
      </c>
      <c r="BB160" s="48" t="s">
        <v>5295</v>
      </c>
      <c r="BC160" s="48" t="s">
        <v>4963</v>
      </c>
      <c r="BD160" s="48">
        <v>9.0</v>
      </c>
      <c r="BE160" s="698" t="s">
        <v>5343</v>
      </c>
      <c r="BF160" s="698"/>
      <c r="BG160" s="66"/>
      <c r="BH160" s="66"/>
      <c r="BI160" s="66"/>
      <c r="BJ160" s="66"/>
      <c r="BK160" s="66"/>
      <c r="BL160" s="66"/>
      <c r="BM160" s="66"/>
      <c r="BN160" s="66"/>
      <c r="BO160" s="66"/>
      <c r="BP160" s="66"/>
      <c r="BQ160" s="66"/>
      <c r="BR160" s="66"/>
      <c r="BS160" s="66"/>
    </row>
    <row r="161">
      <c r="A161" s="48" t="s">
        <v>1688</v>
      </c>
      <c r="B161" s="48">
        <v>1700.0</v>
      </c>
      <c r="C161" s="48" t="s">
        <v>5333</v>
      </c>
      <c r="D161" s="174" t="str">
        <f t="shared" si="23"/>
        <v>Biostar</v>
      </c>
      <c r="E161" s="723" t="s">
        <v>5344</v>
      </c>
      <c r="F161" s="48" t="s">
        <v>5111</v>
      </c>
      <c r="G161" s="722" t="s">
        <v>166</v>
      </c>
      <c r="H161" s="722" t="s">
        <v>166</v>
      </c>
      <c r="I161" s="722" t="s">
        <v>174</v>
      </c>
      <c r="J161" s="722" t="s">
        <v>166</v>
      </c>
      <c r="K161" s="722" t="s">
        <v>166</v>
      </c>
      <c r="L161" s="722">
        <v>2.0</v>
      </c>
      <c r="M161" s="48" t="s">
        <v>3149</v>
      </c>
      <c r="N161" s="48">
        <v>64.0</v>
      </c>
      <c r="O161" s="722" t="s">
        <v>5275</v>
      </c>
      <c r="P161" s="722">
        <v>4.0</v>
      </c>
      <c r="Q161" s="698" t="s">
        <v>5345</v>
      </c>
      <c r="R161" s="724">
        <v>2.0</v>
      </c>
      <c r="S161" s="724" t="s">
        <v>166</v>
      </c>
      <c r="T161" s="724" t="s">
        <v>166</v>
      </c>
      <c r="U161" s="722" t="s">
        <v>166</v>
      </c>
      <c r="V161" s="722">
        <v>4.0</v>
      </c>
      <c r="W161" s="722" t="s">
        <v>166</v>
      </c>
      <c r="X161" s="722" t="s">
        <v>166</v>
      </c>
      <c r="Y161" s="722" t="s">
        <v>166</v>
      </c>
      <c r="Z161" s="722" t="s">
        <v>166</v>
      </c>
      <c r="AA161" s="722" t="s">
        <v>166</v>
      </c>
      <c r="AB161" s="705">
        <f t="shared" si="1"/>
        <v>6</v>
      </c>
      <c r="AC161" s="722">
        <v>1.0</v>
      </c>
      <c r="AD161" s="722">
        <v>1.0</v>
      </c>
      <c r="AE161" s="722" t="s">
        <v>166</v>
      </c>
      <c r="AF161" s="697">
        <v>1.0</v>
      </c>
      <c r="AG161" s="705" t="s">
        <v>5038</v>
      </c>
      <c r="AH161" s="48">
        <v>2.5</v>
      </c>
      <c r="AI161" s="48">
        <v>1.0</v>
      </c>
      <c r="AJ161" s="48" t="s">
        <v>166</v>
      </c>
      <c r="AK161" s="705" t="s">
        <v>232</v>
      </c>
      <c r="AL161" s="48" t="s">
        <v>166</v>
      </c>
      <c r="AM161" s="48" t="s">
        <v>166</v>
      </c>
      <c r="AN161" s="48" t="s">
        <v>4952</v>
      </c>
      <c r="AO161" s="722" t="s">
        <v>166</v>
      </c>
      <c r="AP161" s="722">
        <v>3.0</v>
      </c>
      <c r="AQ161" s="722">
        <v>1.0</v>
      </c>
      <c r="AR161" s="48">
        <v>1.0</v>
      </c>
      <c r="AS161" s="48">
        <v>1.0</v>
      </c>
      <c r="AT161" s="722" t="s">
        <v>166</v>
      </c>
      <c r="AU161" s="722" t="s">
        <v>166</v>
      </c>
      <c r="AV161" s="48">
        <v>3.0</v>
      </c>
      <c r="AW161" s="722">
        <v>1.0</v>
      </c>
      <c r="AX161" s="722">
        <v>1.0</v>
      </c>
      <c r="AY161" s="722" t="s">
        <v>174</v>
      </c>
      <c r="AZ161" s="722" t="s">
        <v>166</v>
      </c>
      <c r="BA161" s="722" t="s">
        <v>170</v>
      </c>
      <c r="BB161" s="722" t="s">
        <v>170</v>
      </c>
      <c r="BC161" s="722" t="s">
        <v>170</v>
      </c>
      <c r="BD161" s="722" t="s">
        <v>170</v>
      </c>
      <c r="BE161" s="725" t="s">
        <v>170</v>
      </c>
      <c r="BF161" s="725"/>
      <c r="BG161" s="66"/>
      <c r="BH161" s="66"/>
      <c r="BI161" s="66"/>
      <c r="BJ161" s="66"/>
      <c r="BK161" s="66"/>
      <c r="BL161" s="66"/>
      <c r="BM161" s="66"/>
      <c r="BN161" s="66"/>
      <c r="BO161" s="66"/>
      <c r="BP161" s="66"/>
      <c r="BQ161" s="66"/>
      <c r="BR161" s="66"/>
      <c r="BS161" s="66"/>
    </row>
    <row r="162">
      <c r="A162" s="48" t="s">
        <v>1688</v>
      </c>
      <c r="B162" s="48">
        <v>1700.0</v>
      </c>
      <c r="C162" s="48" t="s">
        <v>5333</v>
      </c>
      <c r="D162" s="174" t="s">
        <v>3575</v>
      </c>
      <c r="E162" s="723" t="s">
        <v>5346</v>
      </c>
      <c r="F162" s="48" t="s">
        <v>5111</v>
      </c>
      <c r="G162" s="722" t="s">
        <v>166</v>
      </c>
      <c r="H162" s="722" t="s">
        <v>166</v>
      </c>
      <c r="I162" s="722" t="s">
        <v>174</v>
      </c>
      <c r="J162" s="722" t="s">
        <v>166</v>
      </c>
      <c r="K162" s="722" t="s">
        <v>174</v>
      </c>
      <c r="L162" s="722">
        <v>2.0</v>
      </c>
      <c r="M162" s="48" t="s">
        <v>3149</v>
      </c>
      <c r="N162" s="48">
        <v>64.0</v>
      </c>
      <c r="O162" s="722" t="s">
        <v>5047</v>
      </c>
      <c r="P162" s="722">
        <v>4.0</v>
      </c>
      <c r="Q162" s="698" t="s">
        <v>5347</v>
      </c>
      <c r="R162" s="724">
        <v>4.0</v>
      </c>
      <c r="S162" s="724" t="s">
        <v>166</v>
      </c>
      <c r="T162" s="724">
        <v>2.0</v>
      </c>
      <c r="U162" s="722">
        <v>1.0</v>
      </c>
      <c r="V162" s="722" t="s">
        <v>166</v>
      </c>
      <c r="W162" s="722" t="s">
        <v>166</v>
      </c>
      <c r="X162" s="722" t="s">
        <v>166</v>
      </c>
      <c r="Y162" s="722" t="s">
        <v>166</v>
      </c>
      <c r="Z162" s="722" t="s">
        <v>166</v>
      </c>
      <c r="AA162" s="722" t="s">
        <v>166</v>
      </c>
      <c r="AB162" s="705">
        <f t="shared" si="1"/>
        <v>7</v>
      </c>
      <c r="AC162" s="722">
        <v>1.0</v>
      </c>
      <c r="AD162" s="722">
        <v>1.0</v>
      </c>
      <c r="AE162" s="48" t="s">
        <v>5049</v>
      </c>
      <c r="AF162" s="724">
        <v>1.0</v>
      </c>
      <c r="AG162" s="705" t="s">
        <v>5038</v>
      </c>
      <c r="AH162" s="48">
        <v>2.5</v>
      </c>
      <c r="AI162" s="722">
        <v>1.0</v>
      </c>
      <c r="AJ162" s="48" t="s">
        <v>5027</v>
      </c>
      <c r="AK162" s="705" t="s">
        <v>5257</v>
      </c>
      <c r="AL162" s="48">
        <v>2400.0</v>
      </c>
      <c r="AM162" s="48">
        <v>5.2</v>
      </c>
      <c r="AN162" s="722" t="s">
        <v>5039</v>
      </c>
      <c r="AO162" s="722" t="s">
        <v>166</v>
      </c>
      <c r="AP162" s="722">
        <v>3.0</v>
      </c>
      <c r="AQ162" s="722" t="s">
        <v>166</v>
      </c>
      <c r="AR162" s="722">
        <v>1.0</v>
      </c>
      <c r="AS162" s="722">
        <v>1.0</v>
      </c>
      <c r="AT162" s="722" t="s">
        <v>166</v>
      </c>
      <c r="AU162" s="722" t="s">
        <v>166</v>
      </c>
      <c r="AV162" s="722">
        <v>3.0</v>
      </c>
      <c r="AW162" s="722" t="s">
        <v>166</v>
      </c>
      <c r="AX162" s="722">
        <v>1.0</v>
      </c>
      <c r="AY162" s="722" t="s">
        <v>166</v>
      </c>
      <c r="AZ162" s="722" t="s">
        <v>174</v>
      </c>
      <c r="BA162" s="722" t="s">
        <v>170</v>
      </c>
      <c r="BB162" s="722" t="s">
        <v>5226</v>
      </c>
      <c r="BC162" s="722" t="s">
        <v>4963</v>
      </c>
      <c r="BD162" s="722">
        <v>8.0</v>
      </c>
      <c r="BE162" s="725" t="s">
        <v>170</v>
      </c>
      <c r="BF162" s="725"/>
      <c r="BG162" s="66"/>
      <c r="BH162" s="66"/>
      <c r="BI162" s="66"/>
      <c r="BJ162" s="66"/>
      <c r="BK162" s="66"/>
      <c r="BL162" s="66"/>
      <c r="BM162" s="66"/>
      <c r="BN162" s="66"/>
      <c r="BO162" s="66"/>
      <c r="BP162" s="66"/>
      <c r="BQ162" s="66"/>
      <c r="BR162" s="66"/>
      <c r="BS162" s="66"/>
    </row>
    <row r="163">
      <c r="A163" s="48" t="s">
        <v>1688</v>
      </c>
      <c r="B163" s="48">
        <v>1700.0</v>
      </c>
      <c r="C163" s="48" t="s">
        <v>5333</v>
      </c>
      <c r="D163" s="174" t="s">
        <v>3575</v>
      </c>
      <c r="E163" s="723" t="s">
        <v>5348</v>
      </c>
      <c r="F163" s="48" t="s">
        <v>5111</v>
      </c>
      <c r="G163" s="722" t="s">
        <v>166</v>
      </c>
      <c r="H163" s="722" t="s">
        <v>166</v>
      </c>
      <c r="I163" s="722" t="s">
        <v>174</v>
      </c>
      <c r="J163" s="722" t="s">
        <v>166</v>
      </c>
      <c r="K163" s="722" t="s">
        <v>174</v>
      </c>
      <c r="L163" s="722">
        <v>2.0</v>
      </c>
      <c r="M163" s="48" t="s">
        <v>3149</v>
      </c>
      <c r="N163" s="48">
        <v>64.0</v>
      </c>
      <c r="O163" s="722" t="s">
        <v>5047</v>
      </c>
      <c r="P163" s="722">
        <v>4.0</v>
      </c>
      <c r="Q163" s="698" t="s">
        <v>5349</v>
      </c>
      <c r="R163" s="724">
        <v>4.0</v>
      </c>
      <c r="S163" s="724" t="s">
        <v>166</v>
      </c>
      <c r="T163" s="724">
        <v>2.0</v>
      </c>
      <c r="U163" s="722">
        <v>1.0</v>
      </c>
      <c r="V163" s="722" t="s">
        <v>166</v>
      </c>
      <c r="W163" s="722" t="s">
        <v>166</v>
      </c>
      <c r="X163" s="722" t="s">
        <v>166</v>
      </c>
      <c r="Y163" s="722" t="s">
        <v>166</v>
      </c>
      <c r="Z163" s="722" t="s">
        <v>166</v>
      </c>
      <c r="AA163" s="722" t="s">
        <v>166</v>
      </c>
      <c r="AB163" s="705">
        <f t="shared" si="1"/>
        <v>7</v>
      </c>
      <c r="AC163" s="722">
        <v>1.0</v>
      </c>
      <c r="AD163" s="722">
        <v>1.0</v>
      </c>
      <c r="AE163" s="705" t="s">
        <v>5049</v>
      </c>
      <c r="AF163" s="724">
        <v>1.0</v>
      </c>
      <c r="AG163" s="48" t="s">
        <v>5133</v>
      </c>
      <c r="AH163" s="48">
        <v>1.0</v>
      </c>
      <c r="AI163" s="722">
        <v>1.0</v>
      </c>
      <c r="AJ163" s="48" t="s">
        <v>5027</v>
      </c>
      <c r="AK163" s="705" t="s">
        <v>5257</v>
      </c>
      <c r="AL163" s="48">
        <v>2400.0</v>
      </c>
      <c r="AM163" s="48">
        <v>5.2</v>
      </c>
      <c r="AN163" s="722" t="s">
        <v>5039</v>
      </c>
      <c r="AO163" s="722" t="s">
        <v>166</v>
      </c>
      <c r="AP163" s="722">
        <v>3.0</v>
      </c>
      <c r="AQ163" s="722" t="s">
        <v>166</v>
      </c>
      <c r="AR163" s="722">
        <v>1.0</v>
      </c>
      <c r="AS163" s="722">
        <v>1.0</v>
      </c>
      <c r="AT163" s="722" t="s">
        <v>166</v>
      </c>
      <c r="AU163" s="722" t="s">
        <v>166</v>
      </c>
      <c r="AV163" s="722">
        <v>3.0</v>
      </c>
      <c r="AW163" s="722" t="s">
        <v>166</v>
      </c>
      <c r="AX163" s="722">
        <v>1.0</v>
      </c>
      <c r="AY163" s="722" t="s">
        <v>166</v>
      </c>
      <c r="AZ163" s="722" t="s">
        <v>174</v>
      </c>
      <c r="BA163" s="722" t="s">
        <v>170</v>
      </c>
      <c r="BB163" s="722" t="s">
        <v>5226</v>
      </c>
      <c r="BC163" s="722" t="s">
        <v>4963</v>
      </c>
      <c r="BD163" s="722">
        <v>8.0</v>
      </c>
      <c r="BE163" s="725" t="s">
        <v>170</v>
      </c>
      <c r="BF163" s="725"/>
      <c r="BG163" s="66"/>
      <c r="BH163" s="66"/>
      <c r="BI163" s="66"/>
      <c r="BJ163" s="66"/>
      <c r="BK163" s="66"/>
      <c r="BL163" s="66"/>
      <c r="BM163" s="66"/>
      <c r="BN163" s="66"/>
      <c r="BO163" s="66"/>
      <c r="BP163" s="66"/>
      <c r="BQ163" s="66"/>
      <c r="BR163" s="66"/>
      <c r="BS163" s="66"/>
    </row>
    <row r="164">
      <c r="A164" s="700" t="s">
        <v>1688</v>
      </c>
      <c r="B164" s="700">
        <v>1700.0</v>
      </c>
      <c r="C164" s="700" t="s">
        <v>5333</v>
      </c>
      <c r="D164" s="291" t="str">
        <f>HYPERLINK("https://www.gigabyte.com/","Gigabyte")</f>
        <v>Gigabyte</v>
      </c>
      <c r="E164" s="714" t="s">
        <v>5350</v>
      </c>
      <c r="F164" s="700" t="s">
        <v>5021</v>
      </c>
      <c r="G164" s="700" t="s">
        <v>166</v>
      </c>
      <c r="H164" s="700" t="s">
        <v>166</v>
      </c>
      <c r="I164" s="700" t="s">
        <v>174</v>
      </c>
      <c r="J164" s="700" t="s">
        <v>174</v>
      </c>
      <c r="K164" s="700" t="s">
        <v>166</v>
      </c>
      <c r="L164" s="700">
        <v>2.0</v>
      </c>
      <c r="M164" s="700" t="s">
        <v>3149</v>
      </c>
      <c r="N164" s="700">
        <v>64.0</v>
      </c>
      <c r="O164" s="700" t="s">
        <v>5286</v>
      </c>
      <c r="P164" s="700">
        <v>4.0</v>
      </c>
      <c r="Q164" s="701" t="s">
        <v>5062</v>
      </c>
      <c r="R164" s="702">
        <v>2.0</v>
      </c>
      <c r="S164" s="702" t="s">
        <v>166</v>
      </c>
      <c r="T164" s="702">
        <v>4.0</v>
      </c>
      <c r="U164" s="700" t="s">
        <v>166</v>
      </c>
      <c r="V164" s="700">
        <v>1.0</v>
      </c>
      <c r="W164" s="700">
        <v>1.0</v>
      </c>
      <c r="X164" s="700" t="s">
        <v>166</v>
      </c>
      <c r="Y164" s="700" t="s">
        <v>166</v>
      </c>
      <c r="Z164" s="700" t="s">
        <v>166</v>
      </c>
      <c r="AA164" s="700" t="s">
        <v>166</v>
      </c>
      <c r="AB164" s="712">
        <f t="shared" si="1"/>
        <v>8</v>
      </c>
      <c r="AC164" s="700">
        <v>1.0</v>
      </c>
      <c r="AD164" s="700">
        <v>1.0</v>
      </c>
      <c r="AE164" s="700" t="s">
        <v>5049</v>
      </c>
      <c r="AF164" s="702">
        <v>1.0</v>
      </c>
      <c r="AG164" s="700" t="s">
        <v>5026</v>
      </c>
      <c r="AH164" s="700">
        <v>2.5</v>
      </c>
      <c r="AI164" s="700">
        <v>1.0</v>
      </c>
      <c r="AJ164" s="700" t="s">
        <v>5027</v>
      </c>
      <c r="AK164" s="712" t="s">
        <v>5257</v>
      </c>
      <c r="AL164" s="700">
        <v>2400.0</v>
      </c>
      <c r="AM164" s="700">
        <v>5.2</v>
      </c>
      <c r="AN164" s="700" t="s">
        <v>5039</v>
      </c>
      <c r="AO164" s="700" t="s">
        <v>174</v>
      </c>
      <c r="AP164" s="700">
        <v>2.0</v>
      </c>
      <c r="AQ164" s="700" t="s">
        <v>166</v>
      </c>
      <c r="AR164" s="700">
        <v>1.0</v>
      </c>
      <c r="AS164" s="700">
        <v>1.0</v>
      </c>
      <c r="AT164" s="700" t="s">
        <v>166</v>
      </c>
      <c r="AU164" s="700" t="s">
        <v>166</v>
      </c>
      <c r="AV164" s="700">
        <v>3.0</v>
      </c>
      <c r="AW164" s="700">
        <v>1.0</v>
      </c>
      <c r="AX164" s="700">
        <v>1.0</v>
      </c>
      <c r="AY164" s="700" t="s">
        <v>166</v>
      </c>
      <c r="AZ164" s="700" t="s">
        <v>174</v>
      </c>
      <c r="BA164" s="700" t="s">
        <v>5351</v>
      </c>
      <c r="BB164" s="700" t="s">
        <v>5226</v>
      </c>
      <c r="BC164" s="700" t="s">
        <v>4963</v>
      </c>
      <c r="BD164" s="700">
        <v>8.0</v>
      </c>
      <c r="BE164" s="703" t="s">
        <v>5029</v>
      </c>
      <c r="BF164" s="703" t="s">
        <v>5014</v>
      </c>
      <c r="BG164" s="66"/>
      <c r="BH164" s="66"/>
      <c r="BI164" s="66"/>
      <c r="BJ164" s="66"/>
      <c r="BK164" s="66"/>
      <c r="BL164" s="66"/>
      <c r="BM164" s="66"/>
      <c r="BN164" s="66"/>
      <c r="BO164" s="66"/>
      <c r="BP164" s="66"/>
      <c r="BQ164" s="66"/>
      <c r="BR164" s="66"/>
      <c r="BS164" s="66"/>
    </row>
    <row r="165">
      <c r="A165" s="712" t="s">
        <v>1688</v>
      </c>
      <c r="B165" s="712">
        <v>1700.0</v>
      </c>
      <c r="C165" s="712" t="s">
        <v>5352</v>
      </c>
      <c r="D165" s="290" t="s">
        <v>169</v>
      </c>
      <c r="E165" s="716" t="s">
        <v>5353</v>
      </c>
      <c r="F165" s="712" t="s">
        <v>5111</v>
      </c>
      <c r="G165" s="712" t="s">
        <v>174</v>
      </c>
      <c r="H165" s="712" t="s">
        <v>166</v>
      </c>
      <c r="I165" s="712" t="s">
        <v>174</v>
      </c>
      <c r="J165" s="712" t="s">
        <v>174</v>
      </c>
      <c r="K165" s="712" t="s">
        <v>166</v>
      </c>
      <c r="L165" s="712">
        <v>2.0</v>
      </c>
      <c r="M165" s="712" t="s">
        <v>3149</v>
      </c>
      <c r="N165" s="712">
        <v>64.0</v>
      </c>
      <c r="O165" s="712" t="s">
        <v>5275</v>
      </c>
      <c r="P165" s="712">
        <v>4.0</v>
      </c>
      <c r="Q165" s="719" t="s">
        <v>5305</v>
      </c>
      <c r="R165" s="713">
        <v>4.0</v>
      </c>
      <c r="S165" s="713" t="s">
        <v>166</v>
      </c>
      <c r="T165" s="713" t="s">
        <v>166</v>
      </c>
      <c r="U165" s="712" t="s">
        <v>166</v>
      </c>
      <c r="V165" s="712">
        <v>2.0</v>
      </c>
      <c r="W165" s="712" t="s">
        <v>166</v>
      </c>
      <c r="X165" s="712">
        <v>1.0</v>
      </c>
      <c r="Y165" s="712" t="s">
        <v>166</v>
      </c>
      <c r="Z165" s="712" t="s">
        <v>166</v>
      </c>
      <c r="AA165" s="712" t="s">
        <v>166</v>
      </c>
      <c r="AB165" s="712">
        <f t="shared" si="1"/>
        <v>7</v>
      </c>
      <c r="AC165" s="712">
        <v>1.0</v>
      </c>
      <c r="AD165" s="712">
        <v>1.0</v>
      </c>
      <c r="AE165" s="712" t="s">
        <v>5049</v>
      </c>
      <c r="AF165" s="713">
        <v>2.0</v>
      </c>
      <c r="AG165" s="712" t="s">
        <v>5252</v>
      </c>
      <c r="AH165" s="712" t="s">
        <v>5253</v>
      </c>
      <c r="AI165" s="712">
        <v>1.0</v>
      </c>
      <c r="AJ165" s="712" t="s">
        <v>5044</v>
      </c>
      <c r="AK165" s="712" t="s">
        <v>5300</v>
      </c>
      <c r="AL165" s="712">
        <v>2400.0</v>
      </c>
      <c r="AM165" s="712">
        <v>5.2</v>
      </c>
      <c r="AN165" s="712" t="s">
        <v>5039</v>
      </c>
      <c r="AO165" s="712" t="s">
        <v>166</v>
      </c>
      <c r="AP165" s="712">
        <v>3.0</v>
      </c>
      <c r="AQ165" s="712" t="s">
        <v>166</v>
      </c>
      <c r="AR165" s="712">
        <v>1.0</v>
      </c>
      <c r="AS165" s="712">
        <v>1.0</v>
      </c>
      <c r="AT165" s="712" t="s">
        <v>166</v>
      </c>
      <c r="AU165" s="712" t="s">
        <v>166</v>
      </c>
      <c r="AV165" s="712">
        <v>3.0</v>
      </c>
      <c r="AW165" s="712">
        <v>1.0</v>
      </c>
      <c r="AX165" s="712">
        <v>1.0</v>
      </c>
      <c r="AY165" s="712" t="s">
        <v>166</v>
      </c>
      <c r="AZ165" s="712" t="s">
        <v>166</v>
      </c>
      <c r="BA165" s="712" t="s">
        <v>5328</v>
      </c>
      <c r="BB165" s="712" t="s">
        <v>5354</v>
      </c>
      <c r="BC165" s="712" t="s">
        <v>4963</v>
      </c>
      <c r="BD165" s="712">
        <v>7.0</v>
      </c>
      <c r="BE165" s="717" t="s">
        <v>5009</v>
      </c>
      <c r="BF165" s="717"/>
      <c r="BG165" s="66"/>
      <c r="BH165" s="66"/>
      <c r="BI165" s="66"/>
      <c r="BJ165" s="66"/>
      <c r="BK165" s="66"/>
      <c r="BL165" s="66"/>
      <c r="BM165" s="66"/>
      <c r="BN165" s="66"/>
      <c r="BO165" s="66"/>
      <c r="BP165" s="66"/>
      <c r="BQ165" s="66"/>
      <c r="BR165" s="66"/>
      <c r="BS165" s="66"/>
    </row>
    <row r="166">
      <c r="A166" s="705" t="s">
        <v>1688</v>
      </c>
      <c r="B166" s="705">
        <v>1700.0</v>
      </c>
      <c r="C166" s="705" t="s">
        <v>5355</v>
      </c>
      <c r="D166" s="282" t="s">
        <v>169</v>
      </c>
      <c r="E166" s="715" t="s">
        <v>5356</v>
      </c>
      <c r="F166" s="705" t="s">
        <v>5111</v>
      </c>
      <c r="G166" s="705" t="s">
        <v>174</v>
      </c>
      <c r="H166" s="705" t="s">
        <v>174</v>
      </c>
      <c r="I166" s="705" t="s">
        <v>174</v>
      </c>
      <c r="J166" s="705" t="s">
        <v>174</v>
      </c>
      <c r="K166" s="705" t="s">
        <v>166</v>
      </c>
      <c r="L166" s="705">
        <v>2.0</v>
      </c>
      <c r="M166" s="705" t="s">
        <v>3149</v>
      </c>
      <c r="N166" s="705">
        <v>64.0</v>
      </c>
      <c r="O166" s="705" t="s">
        <v>5275</v>
      </c>
      <c r="P166" s="705">
        <v>4.0</v>
      </c>
      <c r="Q166" s="711" t="s">
        <v>5305</v>
      </c>
      <c r="R166" s="707">
        <v>2.0</v>
      </c>
      <c r="S166" s="707" t="s">
        <v>166</v>
      </c>
      <c r="T166" s="707" t="s">
        <v>166</v>
      </c>
      <c r="U166" s="705" t="s">
        <v>166</v>
      </c>
      <c r="V166" s="705">
        <v>4.0</v>
      </c>
      <c r="W166" s="705" t="s">
        <v>166</v>
      </c>
      <c r="X166" s="705">
        <v>1.0</v>
      </c>
      <c r="Y166" s="705" t="s">
        <v>166</v>
      </c>
      <c r="Z166" s="705" t="s">
        <v>166</v>
      </c>
      <c r="AA166" s="705" t="s">
        <v>166</v>
      </c>
      <c r="AB166" s="705">
        <f t="shared" si="1"/>
        <v>7</v>
      </c>
      <c r="AC166" s="705">
        <v>1.0</v>
      </c>
      <c r="AD166" s="705">
        <v>1.0</v>
      </c>
      <c r="AE166" s="48" t="s">
        <v>5097</v>
      </c>
      <c r="AF166" s="707">
        <v>2.0</v>
      </c>
      <c r="AG166" s="705" t="s">
        <v>5252</v>
      </c>
      <c r="AH166" s="705" t="s">
        <v>5253</v>
      </c>
      <c r="AI166" s="705">
        <v>1.0</v>
      </c>
      <c r="AJ166" s="705" t="s">
        <v>5044</v>
      </c>
      <c r="AK166" s="705" t="s">
        <v>5300</v>
      </c>
      <c r="AL166" s="705">
        <v>2400.0</v>
      </c>
      <c r="AM166" s="705">
        <v>5.2</v>
      </c>
      <c r="AN166" s="705" t="s">
        <v>5039</v>
      </c>
      <c r="AO166" s="705" t="s">
        <v>166</v>
      </c>
      <c r="AP166" s="705">
        <v>3.0</v>
      </c>
      <c r="AQ166" s="705" t="s">
        <v>166</v>
      </c>
      <c r="AR166" s="705">
        <v>1.0</v>
      </c>
      <c r="AS166" s="705">
        <v>1.0</v>
      </c>
      <c r="AT166" s="705" t="s">
        <v>166</v>
      </c>
      <c r="AU166" s="705" t="s">
        <v>166</v>
      </c>
      <c r="AV166" s="705">
        <v>3.0</v>
      </c>
      <c r="AW166" s="705">
        <v>1.0</v>
      </c>
      <c r="AX166" s="705">
        <v>1.0</v>
      </c>
      <c r="AY166" s="705" t="s">
        <v>166</v>
      </c>
      <c r="AZ166" s="705" t="s">
        <v>166</v>
      </c>
      <c r="BA166" s="705" t="s">
        <v>5328</v>
      </c>
      <c r="BB166" s="705" t="s">
        <v>5354</v>
      </c>
      <c r="BC166" s="705" t="s">
        <v>4963</v>
      </c>
      <c r="BD166" s="705">
        <v>7.0</v>
      </c>
      <c r="BE166" s="708" t="s">
        <v>5009</v>
      </c>
      <c r="BF166" s="708"/>
      <c r="BG166" s="66"/>
      <c r="BH166" s="66"/>
      <c r="BI166" s="66"/>
      <c r="BJ166" s="66"/>
      <c r="BK166" s="66"/>
      <c r="BL166" s="66"/>
      <c r="BM166" s="66"/>
      <c r="BN166" s="66"/>
      <c r="BO166" s="66"/>
      <c r="BP166" s="66"/>
      <c r="BQ166" s="66"/>
      <c r="BR166" s="66"/>
      <c r="BS166" s="66"/>
    </row>
    <row r="167">
      <c r="A167" s="48" t="s">
        <v>1688</v>
      </c>
      <c r="B167" s="48">
        <v>1700.0</v>
      </c>
      <c r="C167" s="48" t="s">
        <v>5355</v>
      </c>
      <c r="D167" s="174" t="s">
        <v>169</v>
      </c>
      <c r="E167" s="718" t="s">
        <v>5357</v>
      </c>
      <c r="F167" s="48" t="s">
        <v>5111</v>
      </c>
      <c r="G167" s="48" t="s">
        <v>174</v>
      </c>
      <c r="H167" s="48" t="s">
        <v>174</v>
      </c>
      <c r="I167" s="48" t="s">
        <v>174</v>
      </c>
      <c r="J167" s="48" t="s">
        <v>174</v>
      </c>
      <c r="K167" s="48" t="s">
        <v>174</v>
      </c>
      <c r="L167" s="48">
        <v>2.0</v>
      </c>
      <c r="M167" s="48" t="s">
        <v>3151</v>
      </c>
      <c r="N167" s="48">
        <v>96.0</v>
      </c>
      <c r="O167" s="48" t="s">
        <v>5089</v>
      </c>
      <c r="P167" s="48">
        <v>3.0</v>
      </c>
      <c r="Q167" s="698" t="s">
        <v>5358</v>
      </c>
      <c r="R167" s="697" t="s">
        <v>166</v>
      </c>
      <c r="S167" s="697" t="s">
        <v>166</v>
      </c>
      <c r="T167" s="697">
        <v>1.0</v>
      </c>
      <c r="U167" s="48" t="s">
        <v>166</v>
      </c>
      <c r="V167" s="48">
        <v>4.0</v>
      </c>
      <c r="W167" s="48" t="s">
        <v>166</v>
      </c>
      <c r="X167" s="48" t="s">
        <v>166</v>
      </c>
      <c r="Y167" s="48" t="s">
        <v>166</v>
      </c>
      <c r="Z167" s="48" t="s">
        <v>166</v>
      </c>
      <c r="AA167" s="48">
        <v>1.0</v>
      </c>
      <c r="AB167" s="48">
        <f t="shared" si="1"/>
        <v>6</v>
      </c>
      <c r="AC167" s="48">
        <v>1.0</v>
      </c>
      <c r="AD167" s="48">
        <v>1.0</v>
      </c>
      <c r="AE167" s="48" t="s">
        <v>5097</v>
      </c>
      <c r="AF167" s="697">
        <v>1.0</v>
      </c>
      <c r="AG167" s="48" t="s">
        <v>5114</v>
      </c>
      <c r="AH167" s="48">
        <v>2.5</v>
      </c>
      <c r="AI167" s="48">
        <v>1.0</v>
      </c>
      <c r="AJ167" s="48" t="s">
        <v>5044</v>
      </c>
      <c r="AK167" s="48" t="s">
        <v>5115</v>
      </c>
      <c r="AL167" s="48">
        <v>2400.0</v>
      </c>
      <c r="AM167" s="48">
        <v>5.2</v>
      </c>
      <c r="AN167" s="48" t="s">
        <v>4952</v>
      </c>
      <c r="AO167" s="48" t="s">
        <v>174</v>
      </c>
      <c r="AP167" s="48">
        <v>5.0</v>
      </c>
      <c r="AQ167" s="48" t="s">
        <v>166</v>
      </c>
      <c r="AR167" s="48">
        <v>1.0</v>
      </c>
      <c r="AS167" s="48">
        <v>1.0</v>
      </c>
      <c r="AT167" s="48" t="s">
        <v>166</v>
      </c>
      <c r="AU167" s="48" t="s">
        <v>166</v>
      </c>
      <c r="AV167" s="48">
        <v>3.0</v>
      </c>
      <c r="AW167" s="48">
        <v>1.0</v>
      </c>
      <c r="AX167" s="48">
        <v>1.0</v>
      </c>
      <c r="AY167" s="48" t="s">
        <v>174</v>
      </c>
      <c r="AZ167" s="48" t="s">
        <v>174</v>
      </c>
      <c r="BA167" s="48" t="s">
        <v>5359</v>
      </c>
      <c r="BB167" s="48" t="s">
        <v>5318</v>
      </c>
      <c r="BC167" s="48" t="s">
        <v>4963</v>
      </c>
      <c r="BD167" s="48">
        <v>10.0</v>
      </c>
      <c r="BE167" s="698" t="s">
        <v>5101</v>
      </c>
      <c r="BF167" s="698" t="s">
        <v>5035</v>
      </c>
      <c r="BG167" s="66"/>
      <c r="BH167" s="66"/>
      <c r="BI167" s="66"/>
      <c r="BJ167" s="66"/>
      <c r="BK167" s="66"/>
      <c r="BL167" s="66"/>
      <c r="BM167" s="66"/>
      <c r="BN167" s="66"/>
      <c r="BO167" s="66"/>
      <c r="BP167" s="66"/>
      <c r="BQ167" s="66"/>
      <c r="BR167" s="66"/>
      <c r="BS167" s="66"/>
    </row>
    <row r="168">
      <c r="A168" s="48" t="s">
        <v>1688</v>
      </c>
      <c r="B168" s="48">
        <v>1700.0</v>
      </c>
      <c r="C168" s="48" t="s">
        <v>5355</v>
      </c>
      <c r="D168" s="174" t="str">
        <f>HYPERLINK("https://www.asus.com/","Asus")</f>
        <v>Asus</v>
      </c>
      <c r="E168" s="718" t="s">
        <v>5360</v>
      </c>
      <c r="F168" s="48" t="s">
        <v>5111</v>
      </c>
      <c r="G168" s="48" t="s">
        <v>174</v>
      </c>
      <c r="H168" s="48" t="s">
        <v>174</v>
      </c>
      <c r="I168" s="48" t="s">
        <v>174</v>
      </c>
      <c r="J168" s="48" t="s">
        <v>174</v>
      </c>
      <c r="K168" s="48" t="s">
        <v>174</v>
      </c>
      <c r="L168" s="48">
        <v>2.0</v>
      </c>
      <c r="M168" s="48" t="s">
        <v>3151</v>
      </c>
      <c r="N168" s="48">
        <v>96.0</v>
      </c>
      <c r="O168" s="48" t="s">
        <v>5089</v>
      </c>
      <c r="P168" s="48">
        <v>4.0</v>
      </c>
      <c r="Q168" s="710" t="s">
        <v>5305</v>
      </c>
      <c r="R168" s="697">
        <v>2.0</v>
      </c>
      <c r="S168" s="697" t="s">
        <v>166</v>
      </c>
      <c r="T168" s="697">
        <v>3.0</v>
      </c>
      <c r="U168" s="48" t="s">
        <v>166</v>
      </c>
      <c r="V168" s="48">
        <v>2.0</v>
      </c>
      <c r="W168" s="48" t="s">
        <v>166</v>
      </c>
      <c r="X168" s="48" t="s">
        <v>166</v>
      </c>
      <c r="Y168" s="48" t="s">
        <v>166</v>
      </c>
      <c r="Z168" s="48" t="s">
        <v>166</v>
      </c>
      <c r="AA168" s="48">
        <v>2.0</v>
      </c>
      <c r="AB168" s="48">
        <f t="shared" si="1"/>
        <v>9</v>
      </c>
      <c r="AC168" s="48">
        <v>1.0</v>
      </c>
      <c r="AD168" s="48">
        <v>1.0</v>
      </c>
      <c r="AE168" s="48" t="s">
        <v>5097</v>
      </c>
      <c r="AF168" s="697">
        <v>1.0</v>
      </c>
      <c r="AG168" s="48" t="s">
        <v>5026</v>
      </c>
      <c r="AH168" s="48">
        <v>2.5</v>
      </c>
      <c r="AI168" s="48">
        <v>1.0</v>
      </c>
      <c r="AJ168" s="48" t="s">
        <v>5044</v>
      </c>
      <c r="AK168" s="48" t="s">
        <v>5300</v>
      </c>
      <c r="AL168" s="48">
        <v>2400.0</v>
      </c>
      <c r="AM168" s="48">
        <v>5.2</v>
      </c>
      <c r="AN168" s="48" t="s">
        <v>5121</v>
      </c>
      <c r="AO168" s="48" t="s">
        <v>174</v>
      </c>
      <c r="AP168" s="48">
        <v>3.0</v>
      </c>
      <c r="AQ168" s="48" t="s">
        <v>166</v>
      </c>
      <c r="AR168" s="48" t="s">
        <v>166</v>
      </c>
      <c r="AS168" s="48">
        <v>1.0</v>
      </c>
      <c r="AT168" s="48" t="s">
        <v>166</v>
      </c>
      <c r="AU168" s="48" t="s">
        <v>166</v>
      </c>
      <c r="AV168" s="48">
        <v>3.0</v>
      </c>
      <c r="AW168" s="48">
        <v>1.0</v>
      </c>
      <c r="AX168" s="48">
        <v>2.0</v>
      </c>
      <c r="AY168" s="48" t="s">
        <v>174</v>
      </c>
      <c r="AZ168" s="48" t="s">
        <v>174</v>
      </c>
      <c r="BA168" s="48" t="s">
        <v>5359</v>
      </c>
      <c r="BB168" s="48" t="s">
        <v>5318</v>
      </c>
      <c r="BC168" s="48" t="s">
        <v>4963</v>
      </c>
      <c r="BD168" s="48">
        <v>10.0</v>
      </c>
      <c r="BE168" s="698" t="s">
        <v>5101</v>
      </c>
      <c r="BF168" s="698" t="s">
        <v>5035</v>
      </c>
      <c r="BG168" s="66"/>
      <c r="BH168" s="66"/>
      <c r="BI168" s="66"/>
      <c r="BJ168" s="66"/>
      <c r="BK168" s="66"/>
      <c r="BL168" s="66"/>
      <c r="BM168" s="66"/>
      <c r="BN168" s="66"/>
      <c r="BO168" s="66"/>
      <c r="BP168" s="66"/>
      <c r="BQ168" s="66"/>
      <c r="BR168" s="66"/>
      <c r="BS168" s="66"/>
    </row>
    <row r="169">
      <c r="A169" s="48" t="s">
        <v>1688</v>
      </c>
      <c r="B169" s="48">
        <v>1700.0</v>
      </c>
      <c r="C169" s="48" t="s">
        <v>5355</v>
      </c>
      <c r="D169" s="174" t="str">
        <f t="shared" ref="D169:D174" si="24">HYPERLINK("https://www.gigabyte.com/","Gigabyte")</f>
        <v>Gigabyte</v>
      </c>
      <c r="E169" s="718" t="s">
        <v>5361</v>
      </c>
      <c r="F169" s="48" t="s">
        <v>5111</v>
      </c>
      <c r="G169" s="48" t="s">
        <v>174</v>
      </c>
      <c r="H169" s="48" t="s">
        <v>174</v>
      </c>
      <c r="I169" s="48" t="s">
        <v>174</v>
      </c>
      <c r="J169" s="48" t="s">
        <v>174</v>
      </c>
      <c r="K169" s="48" t="s">
        <v>166</v>
      </c>
      <c r="L169" s="48">
        <v>2.0</v>
      </c>
      <c r="M169" s="48" t="s">
        <v>3149</v>
      </c>
      <c r="N169" s="48">
        <v>64.0</v>
      </c>
      <c r="O169" s="48" t="s">
        <v>5286</v>
      </c>
      <c r="P169" s="48">
        <v>4.0</v>
      </c>
      <c r="Q169" s="710" t="s">
        <v>5126</v>
      </c>
      <c r="R169" s="697">
        <v>2.0</v>
      </c>
      <c r="S169" s="697" t="s">
        <v>166</v>
      </c>
      <c r="T169" s="697">
        <v>2.0</v>
      </c>
      <c r="U169" s="48" t="s">
        <v>166</v>
      </c>
      <c r="V169" s="48">
        <v>3.0</v>
      </c>
      <c r="W169" s="48" t="s">
        <v>166</v>
      </c>
      <c r="X169" s="48">
        <v>1.0</v>
      </c>
      <c r="Y169" s="48" t="s">
        <v>166</v>
      </c>
      <c r="Z169" s="48" t="s">
        <v>166</v>
      </c>
      <c r="AA169" s="48" t="s">
        <v>166</v>
      </c>
      <c r="AB169" s="48">
        <f t="shared" si="1"/>
        <v>8</v>
      </c>
      <c r="AC169" s="48">
        <v>1.0</v>
      </c>
      <c r="AD169" s="48">
        <v>1.0</v>
      </c>
      <c r="AE169" s="48" t="s">
        <v>5025</v>
      </c>
      <c r="AF169" s="697">
        <v>1.0</v>
      </c>
      <c r="AG169" s="48" t="s">
        <v>5026</v>
      </c>
      <c r="AH169" s="48">
        <v>2.5</v>
      </c>
      <c r="AI169" s="48">
        <v>1.0</v>
      </c>
      <c r="AJ169" s="48" t="s">
        <v>5027</v>
      </c>
      <c r="AK169" s="48" t="s">
        <v>5257</v>
      </c>
      <c r="AL169" s="48">
        <v>2400.0</v>
      </c>
      <c r="AM169" s="48">
        <v>5.2</v>
      </c>
      <c r="AN169" s="48" t="s">
        <v>5099</v>
      </c>
      <c r="AO169" s="48" t="s">
        <v>166</v>
      </c>
      <c r="AP169" s="48">
        <v>2.0</v>
      </c>
      <c r="AQ169" s="48" t="s">
        <v>166</v>
      </c>
      <c r="AR169" s="48">
        <v>1.0</v>
      </c>
      <c r="AS169" s="48">
        <v>1.0</v>
      </c>
      <c r="AT169" s="48" t="s">
        <v>166</v>
      </c>
      <c r="AU169" s="48" t="s">
        <v>166</v>
      </c>
      <c r="AV169" s="48">
        <v>4.0</v>
      </c>
      <c r="AW169" s="48">
        <v>1.0</v>
      </c>
      <c r="AX169" s="48">
        <v>1.0</v>
      </c>
      <c r="AY169" s="48" t="s">
        <v>166</v>
      </c>
      <c r="AZ169" s="48" t="s">
        <v>174</v>
      </c>
      <c r="BA169" s="48" t="s">
        <v>5351</v>
      </c>
      <c r="BB169" s="48" t="s">
        <v>5318</v>
      </c>
      <c r="BC169" s="48" t="s">
        <v>4963</v>
      </c>
      <c r="BD169" s="48">
        <v>10.0</v>
      </c>
      <c r="BE169" s="698" t="s">
        <v>5101</v>
      </c>
      <c r="BF169" s="726" t="s">
        <v>5362</v>
      </c>
      <c r="BG169" s="66"/>
      <c r="BH169" s="66"/>
      <c r="BI169" s="66"/>
      <c r="BJ169" s="66"/>
      <c r="BK169" s="66"/>
      <c r="BL169" s="66"/>
      <c r="BM169" s="66"/>
      <c r="BN169" s="66"/>
      <c r="BO169" s="66"/>
      <c r="BP169" s="66"/>
      <c r="BQ169" s="66"/>
      <c r="BR169" s="66"/>
      <c r="BS169" s="66"/>
    </row>
    <row r="170">
      <c r="A170" s="48" t="s">
        <v>1688</v>
      </c>
      <c r="B170" s="48">
        <v>1700.0</v>
      </c>
      <c r="C170" s="48" t="s">
        <v>5355</v>
      </c>
      <c r="D170" s="174" t="str">
        <f t="shared" si="24"/>
        <v>Gigabyte</v>
      </c>
      <c r="E170" s="718" t="s">
        <v>5363</v>
      </c>
      <c r="F170" s="48" t="s">
        <v>5111</v>
      </c>
      <c r="G170" s="48" t="s">
        <v>174</v>
      </c>
      <c r="H170" s="48" t="s">
        <v>174</v>
      </c>
      <c r="I170" s="48" t="s">
        <v>174</v>
      </c>
      <c r="J170" s="48" t="s">
        <v>174</v>
      </c>
      <c r="K170" s="48" t="s">
        <v>166</v>
      </c>
      <c r="L170" s="48">
        <v>2.0</v>
      </c>
      <c r="M170" s="48" t="s">
        <v>3151</v>
      </c>
      <c r="N170" s="48">
        <v>96.0</v>
      </c>
      <c r="O170" s="48" t="s">
        <v>5336</v>
      </c>
      <c r="P170" s="48">
        <v>2.0</v>
      </c>
      <c r="Q170" s="710" t="s">
        <v>5126</v>
      </c>
      <c r="R170" s="697">
        <v>2.0</v>
      </c>
      <c r="S170" s="697" t="s">
        <v>166</v>
      </c>
      <c r="T170" s="697">
        <v>2.0</v>
      </c>
      <c r="U170" s="48" t="s">
        <v>166</v>
      </c>
      <c r="V170" s="48">
        <v>3.0</v>
      </c>
      <c r="W170" s="48" t="s">
        <v>166</v>
      </c>
      <c r="X170" s="48">
        <v>1.0</v>
      </c>
      <c r="Y170" s="48" t="s">
        <v>166</v>
      </c>
      <c r="Z170" s="48" t="s">
        <v>166</v>
      </c>
      <c r="AA170" s="48" t="s">
        <v>166</v>
      </c>
      <c r="AB170" s="48">
        <f t="shared" si="1"/>
        <v>8</v>
      </c>
      <c r="AC170" s="48">
        <v>1.0</v>
      </c>
      <c r="AD170" s="48">
        <v>1.0</v>
      </c>
      <c r="AE170" s="48" t="s">
        <v>5025</v>
      </c>
      <c r="AF170" s="697">
        <v>1.0</v>
      </c>
      <c r="AG170" s="48" t="s">
        <v>5026</v>
      </c>
      <c r="AH170" s="48">
        <v>2.5</v>
      </c>
      <c r="AI170" s="48">
        <v>1.0</v>
      </c>
      <c r="AJ170" s="48" t="s">
        <v>5027</v>
      </c>
      <c r="AK170" s="48" t="s">
        <v>5257</v>
      </c>
      <c r="AL170" s="48">
        <v>2400.0</v>
      </c>
      <c r="AM170" s="48">
        <v>5.2</v>
      </c>
      <c r="AN170" s="48" t="s">
        <v>5099</v>
      </c>
      <c r="AO170" s="48" t="s">
        <v>166</v>
      </c>
      <c r="AP170" s="48">
        <v>2.0</v>
      </c>
      <c r="AQ170" s="48" t="s">
        <v>166</v>
      </c>
      <c r="AR170" s="48">
        <v>1.0</v>
      </c>
      <c r="AS170" s="48">
        <v>1.0</v>
      </c>
      <c r="AT170" s="48" t="s">
        <v>166</v>
      </c>
      <c r="AU170" s="48" t="s">
        <v>166</v>
      </c>
      <c r="AV170" s="48">
        <v>4.0</v>
      </c>
      <c r="AW170" s="48">
        <v>1.0</v>
      </c>
      <c r="AX170" s="48">
        <v>1.0</v>
      </c>
      <c r="AY170" s="48" t="s">
        <v>166</v>
      </c>
      <c r="AZ170" s="48" t="s">
        <v>174</v>
      </c>
      <c r="BA170" s="48" t="s">
        <v>5351</v>
      </c>
      <c r="BB170" s="48" t="s">
        <v>5318</v>
      </c>
      <c r="BC170" s="48" t="s">
        <v>4963</v>
      </c>
      <c r="BD170" s="48">
        <v>10.0</v>
      </c>
      <c r="BE170" s="698" t="s">
        <v>5101</v>
      </c>
      <c r="BF170" s="726" t="s">
        <v>5364</v>
      </c>
      <c r="BG170" s="66"/>
      <c r="BH170" s="66"/>
      <c r="BI170" s="66"/>
      <c r="BJ170" s="66"/>
      <c r="BK170" s="66"/>
      <c r="BL170" s="66"/>
      <c r="BM170" s="66"/>
      <c r="BN170" s="66"/>
      <c r="BO170" s="66"/>
      <c r="BP170" s="66"/>
      <c r="BQ170" s="66"/>
      <c r="BR170" s="66"/>
      <c r="BS170" s="66"/>
    </row>
    <row r="171">
      <c r="A171" s="48" t="s">
        <v>1688</v>
      </c>
      <c r="B171" s="48">
        <v>1700.0</v>
      </c>
      <c r="C171" s="48" t="s">
        <v>5355</v>
      </c>
      <c r="D171" s="174" t="str">
        <f t="shared" si="24"/>
        <v>Gigabyte</v>
      </c>
      <c r="E171" s="718" t="s">
        <v>5365</v>
      </c>
      <c r="F171" s="48" t="s">
        <v>4948</v>
      </c>
      <c r="G171" s="48" t="s">
        <v>174</v>
      </c>
      <c r="H171" s="48" t="s">
        <v>174</v>
      </c>
      <c r="I171" s="48" t="s">
        <v>174</v>
      </c>
      <c r="J171" s="48" t="s">
        <v>174</v>
      </c>
      <c r="K171" s="48" t="s">
        <v>166</v>
      </c>
      <c r="L171" s="48">
        <v>2.0</v>
      </c>
      <c r="M171" s="48" t="s">
        <v>3149</v>
      </c>
      <c r="N171" s="48">
        <v>64.0</v>
      </c>
      <c r="O171" s="48" t="s">
        <v>5286</v>
      </c>
      <c r="P171" s="48">
        <v>4.0</v>
      </c>
      <c r="Q171" s="710" t="s">
        <v>5126</v>
      </c>
      <c r="R171" s="697">
        <v>2.0</v>
      </c>
      <c r="S171" s="697" t="s">
        <v>166</v>
      </c>
      <c r="T171" s="697">
        <v>2.0</v>
      </c>
      <c r="U171" s="48" t="s">
        <v>166</v>
      </c>
      <c r="V171" s="48">
        <v>3.0</v>
      </c>
      <c r="W171" s="48" t="s">
        <v>166</v>
      </c>
      <c r="X171" s="48">
        <v>1.0</v>
      </c>
      <c r="Y171" s="48" t="s">
        <v>166</v>
      </c>
      <c r="Z171" s="48" t="s">
        <v>166</v>
      </c>
      <c r="AA171" s="48" t="s">
        <v>166</v>
      </c>
      <c r="AB171" s="48">
        <f t="shared" si="1"/>
        <v>8</v>
      </c>
      <c r="AC171" s="48">
        <v>1.0</v>
      </c>
      <c r="AD171" s="48">
        <v>1.0</v>
      </c>
      <c r="AE171" s="48" t="s">
        <v>5025</v>
      </c>
      <c r="AF171" s="697">
        <v>1.0</v>
      </c>
      <c r="AG171" s="48" t="s">
        <v>5026</v>
      </c>
      <c r="AH171" s="48">
        <v>2.5</v>
      </c>
      <c r="AI171" s="48">
        <v>1.0</v>
      </c>
      <c r="AJ171" s="48" t="s">
        <v>5027</v>
      </c>
      <c r="AK171" s="48" t="s">
        <v>5257</v>
      </c>
      <c r="AL171" s="48">
        <v>2400.0</v>
      </c>
      <c r="AM171" s="48">
        <v>5.2</v>
      </c>
      <c r="AN171" s="48" t="s">
        <v>5099</v>
      </c>
      <c r="AO171" s="48" t="s">
        <v>166</v>
      </c>
      <c r="AP171" s="48">
        <v>2.0</v>
      </c>
      <c r="AQ171" s="48" t="s">
        <v>166</v>
      </c>
      <c r="AR171" s="48">
        <v>1.0</v>
      </c>
      <c r="AS171" s="48">
        <v>1.0</v>
      </c>
      <c r="AT171" s="48" t="s">
        <v>166</v>
      </c>
      <c r="AU171" s="48" t="s">
        <v>166</v>
      </c>
      <c r="AV171" s="48">
        <v>4.0</v>
      </c>
      <c r="AW171" s="48">
        <v>1.0</v>
      </c>
      <c r="AX171" s="48">
        <v>1.0</v>
      </c>
      <c r="AY171" s="48" t="s">
        <v>166</v>
      </c>
      <c r="AZ171" s="48" t="s">
        <v>174</v>
      </c>
      <c r="BA171" s="48" t="s">
        <v>5351</v>
      </c>
      <c r="BB171" s="48" t="s">
        <v>5318</v>
      </c>
      <c r="BC171" s="48" t="s">
        <v>4963</v>
      </c>
      <c r="BD171" s="48">
        <v>10.0</v>
      </c>
      <c r="BE171" s="698" t="s">
        <v>5101</v>
      </c>
      <c r="BF171" s="698" t="s">
        <v>5366</v>
      </c>
      <c r="BG171" s="66"/>
      <c r="BH171" s="66"/>
      <c r="BI171" s="66"/>
      <c r="BJ171" s="66"/>
      <c r="BK171" s="66"/>
      <c r="BL171" s="66"/>
      <c r="BM171" s="66"/>
      <c r="BN171" s="66"/>
      <c r="BO171" s="66"/>
      <c r="BP171" s="66"/>
      <c r="BQ171" s="66"/>
      <c r="BR171" s="66"/>
      <c r="BS171" s="66"/>
    </row>
    <row r="172">
      <c r="A172" s="48" t="s">
        <v>1688</v>
      </c>
      <c r="B172" s="48">
        <v>1700.0</v>
      </c>
      <c r="C172" s="48" t="s">
        <v>5355</v>
      </c>
      <c r="D172" s="174" t="str">
        <f t="shared" si="24"/>
        <v>Gigabyte</v>
      </c>
      <c r="E172" s="718" t="s">
        <v>5367</v>
      </c>
      <c r="F172" s="48" t="s">
        <v>4948</v>
      </c>
      <c r="G172" s="48" t="s">
        <v>174</v>
      </c>
      <c r="H172" s="48" t="s">
        <v>174</v>
      </c>
      <c r="I172" s="48" t="s">
        <v>174</v>
      </c>
      <c r="J172" s="48" t="s">
        <v>174</v>
      </c>
      <c r="K172" s="48" t="s">
        <v>166</v>
      </c>
      <c r="L172" s="48">
        <v>2.0</v>
      </c>
      <c r="M172" s="48" t="s">
        <v>3151</v>
      </c>
      <c r="N172" s="48">
        <v>96.0</v>
      </c>
      <c r="O172" s="48" t="s">
        <v>5368</v>
      </c>
      <c r="P172" s="48">
        <v>2.0</v>
      </c>
      <c r="Q172" s="710" t="s">
        <v>5126</v>
      </c>
      <c r="R172" s="697">
        <v>2.0</v>
      </c>
      <c r="S172" s="697" t="s">
        <v>166</v>
      </c>
      <c r="T172" s="697">
        <v>2.0</v>
      </c>
      <c r="U172" s="48" t="s">
        <v>166</v>
      </c>
      <c r="V172" s="48">
        <v>3.0</v>
      </c>
      <c r="W172" s="48" t="s">
        <v>166</v>
      </c>
      <c r="X172" s="48">
        <v>1.0</v>
      </c>
      <c r="Y172" s="48" t="s">
        <v>166</v>
      </c>
      <c r="Z172" s="48" t="s">
        <v>166</v>
      </c>
      <c r="AA172" s="48" t="s">
        <v>166</v>
      </c>
      <c r="AB172" s="48">
        <f t="shared" si="1"/>
        <v>8</v>
      </c>
      <c r="AC172" s="48">
        <v>1.0</v>
      </c>
      <c r="AD172" s="48">
        <v>1.0</v>
      </c>
      <c r="AE172" s="48" t="s">
        <v>5025</v>
      </c>
      <c r="AF172" s="697">
        <v>1.0</v>
      </c>
      <c r="AG172" s="48" t="s">
        <v>5026</v>
      </c>
      <c r="AH172" s="48">
        <v>2.5</v>
      </c>
      <c r="AI172" s="48">
        <v>1.0</v>
      </c>
      <c r="AJ172" s="48" t="s">
        <v>5027</v>
      </c>
      <c r="AK172" s="48" t="s">
        <v>5257</v>
      </c>
      <c r="AL172" s="48">
        <v>2400.0</v>
      </c>
      <c r="AM172" s="48">
        <v>5.2</v>
      </c>
      <c r="AN172" s="48" t="s">
        <v>5099</v>
      </c>
      <c r="AO172" s="48" t="s">
        <v>166</v>
      </c>
      <c r="AP172" s="48">
        <v>2.0</v>
      </c>
      <c r="AQ172" s="48" t="s">
        <v>166</v>
      </c>
      <c r="AR172" s="48">
        <v>1.0</v>
      </c>
      <c r="AS172" s="48">
        <v>1.0</v>
      </c>
      <c r="AT172" s="48" t="s">
        <v>166</v>
      </c>
      <c r="AU172" s="48" t="s">
        <v>166</v>
      </c>
      <c r="AV172" s="48">
        <v>4.0</v>
      </c>
      <c r="AW172" s="48">
        <v>1.0</v>
      </c>
      <c r="AX172" s="48">
        <v>1.0</v>
      </c>
      <c r="AY172" s="48" t="s">
        <v>166</v>
      </c>
      <c r="AZ172" s="48" t="s">
        <v>174</v>
      </c>
      <c r="BA172" s="48" t="s">
        <v>5351</v>
      </c>
      <c r="BB172" s="48" t="s">
        <v>5318</v>
      </c>
      <c r="BC172" s="48" t="s">
        <v>4963</v>
      </c>
      <c r="BD172" s="48">
        <v>10.0</v>
      </c>
      <c r="BE172" s="698" t="s">
        <v>5101</v>
      </c>
      <c r="BF172" s="698" t="s">
        <v>5366</v>
      </c>
      <c r="BG172" s="66"/>
      <c r="BH172" s="66"/>
      <c r="BI172" s="66"/>
      <c r="BJ172" s="66"/>
      <c r="BK172" s="66"/>
      <c r="BL172" s="66"/>
      <c r="BM172" s="66"/>
      <c r="BN172" s="66"/>
      <c r="BO172" s="66"/>
      <c r="BP172" s="66"/>
      <c r="BQ172" s="66"/>
      <c r="BR172" s="66"/>
      <c r="BS172" s="66"/>
    </row>
    <row r="173">
      <c r="A173" s="48" t="s">
        <v>1688</v>
      </c>
      <c r="B173" s="48">
        <v>1700.0</v>
      </c>
      <c r="C173" s="48" t="s">
        <v>5355</v>
      </c>
      <c r="D173" s="174" t="str">
        <f t="shared" si="24"/>
        <v>Gigabyte</v>
      </c>
      <c r="E173" s="718" t="s">
        <v>5369</v>
      </c>
      <c r="F173" s="48" t="s">
        <v>5111</v>
      </c>
      <c r="G173" s="48" t="s">
        <v>174</v>
      </c>
      <c r="H173" s="48" t="s">
        <v>174</v>
      </c>
      <c r="I173" s="48" t="s">
        <v>174</v>
      </c>
      <c r="J173" s="48" t="s">
        <v>174</v>
      </c>
      <c r="K173" s="48" t="s">
        <v>166</v>
      </c>
      <c r="L173" s="48">
        <v>2.0</v>
      </c>
      <c r="M173" s="48" t="s">
        <v>3149</v>
      </c>
      <c r="N173" s="48">
        <v>64.0</v>
      </c>
      <c r="O173" s="48" t="s">
        <v>5286</v>
      </c>
      <c r="P173" s="48">
        <v>4.0</v>
      </c>
      <c r="Q173" s="710" t="s">
        <v>5126</v>
      </c>
      <c r="R173" s="697">
        <v>2.0</v>
      </c>
      <c r="S173" s="697" t="s">
        <v>166</v>
      </c>
      <c r="T173" s="697">
        <v>2.0</v>
      </c>
      <c r="U173" s="48" t="s">
        <v>166</v>
      </c>
      <c r="V173" s="48">
        <v>3.0</v>
      </c>
      <c r="W173" s="48" t="s">
        <v>166</v>
      </c>
      <c r="X173" s="48">
        <v>1.0</v>
      </c>
      <c r="Y173" s="48" t="s">
        <v>166</v>
      </c>
      <c r="Z173" s="48" t="s">
        <v>166</v>
      </c>
      <c r="AA173" s="48" t="s">
        <v>166</v>
      </c>
      <c r="AB173" s="48">
        <f t="shared" si="1"/>
        <v>8</v>
      </c>
      <c r="AC173" s="48">
        <v>1.0</v>
      </c>
      <c r="AD173" s="48">
        <v>1.0</v>
      </c>
      <c r="AE173" s="48" t="s">
        <v>5025</v>
      </c>
      <c r="AF173" s="697">
        <v>1.0</v>
      </c>
      <c r="AG173" s="48" t="s">
        <v>5026</v>
      </c>
      <c r="AH173" s="48">
        <v>2.5</v>
      </c>
      <c r="AI173" s="48">
        <v>1.0</v>
      </c>
      <c r="AJ173" s="48" t="s">
        <v>5044</v>
      </c>
      <c r="AK173" s="48" t="s">
        <v>5370</v>
      </c>
      <c r="AL173" s="48">
        <v>2400.0</v>
      </c>
      <c r="AM173" s="48">
        <v>5.2</v>
      </c>
      <c r="AN173" s="48" t="s">
        <v>5099</v>
      </c>
      <c r="AO173" s="48" t="s">
        <v>166</v>
      </c>
      <c r="AP173" s="48">
        <v>2.0</v>
      </c>
      <c r="AQ173" s="48" t="s">
        <v>166</v>
      </c>
      <c r="AR173" s="48">
        <v>1.0</v>
      </c>
      <c r="AS173" s="48">
        <v>1.0</v>
      </c>
      <c r="AT173" s="48" t="s">
        <v>166</v>
      </c>
      <c r="AU173" s="48" t="s">
        <v>166</v>
      </c>
      <c r="AV173" s="48">
        <v>4.0</v>
      </c>
      <c r="AW173" s="48">
        <v>1.0</v>
      </c>
      <c r="AX173" s="48">
        <v>1.0</v>
      </c>
      <c r="AY173" s="48" t="s">
        <v>166</v>
      </c>
      <c r="AZ173" s="48" t="s">
        <v>174</v>
      </c>
      <c r="BA173" s="48" t="s">
        <v>5351</v>
      </c>
      <c r="BB173" s="48" t="s">
        <v>5318</v>
      </c>
      <c r="BC173" s="48" t="s">
        <v>4963</v>
      </c>
      <c r="BD173" s="48">
        <v>10.0</v>
      </c>
      <c r="BE173" s="698" t="s">
        <v>5101</v>
      </c>
      <c r="BF173" s="698" t="s">
        <v>5371</v>
      </c>
      <c r="BG173" s="66"/>
      <c r="BH173" s="66"/>
      <c r="BI173" s="66"/>
      <c r="BJ173" s="66"/>
      <c r="BK173" s="66"/>
      <c r="BL173" s="66"/>
      <c r="BM173" s="66"/>
      <c r="BN173" s="66"/>
      <c r="BO173" s="66"/>
      <c r="BP173" s="66"/>
      <c r="BQ173" s="66"/>
      <c r="BR173" s="66"/>
      <c r="BS173" s="66"/>
    </row>
    <row r="174">
      <c r="A174" s="48" t="s">
        <v>1688</v>
      </c>
      <c r="B174" s="48">
        <v>1700.0</v>
      </c>
      <c r="C174" s="48" t="s">
        <v>5355</v>
      </c>
      <c r="D174" s="174" t="str">
        <f t="shared" si="24"/>
        <v>Gigabyte</v>
      </c>
      <c r="E174" s="718" t="s">
        <v>5372</v>
      </c>
      <c r="F174" s="48" t="s">
        <v>5111</v>
      </c>
      <c r="G174" s="48" t="s">
        <v>174</v>
      </c>
      <c r="H174" s="48" t="s">
        <v>174</v>
      </c>
      <c r="I174" s="48" t="s">
        <v>174</v>
      </c>
      <c r="J174" s="48" t="s">
        <v>174</v>
      </c>
      <c r="K174" s="48" t="s">
        <v>166</v>
      </c>
      <c r="L174" s="48">
        <v>2.0</v>
      </c>
      <c r="M174" s="48" t="s">
        <v>3151</v>
      </c>
      <c r="N174" s="48">
        <v>96.0</v>
      </c>
      <c r="O174" s="48" t="s">
        <v>5089</v>
      </c>
      <c r="P174" s="48">
        <v>2.0</v>
      </c>
      <c r="Q174" s="710" t="s">
        <v>5126</v>
      </c>
      <c r="R174" s="697">
        <v>2.0</v>
      </c>
      <c r="S174" s="697" t="s">
        <v>166</v>
      </c>
      <c r="T174" s="697">
        <v>2.0</v>
      </c>
      <c r="U174" s="48" t="s">
        <v>166</v>
      </c>
      <c r="V174" s="48">
        <v>3.0</v>
      </c>
      <c r="W174" s="48" t="s">
        <v>166</v>
      </c>
      <c r="X174" s="48">
        <v>1.0</v>
      </c>
      <c r="Y174" s="48" t="s">
        <v>166</v>
      </c>
      <c r="Z174" s="48" t="s">
        <v>166</v>
      </c>
      <c r="AA174" s="48" t="s">
        <v>166</v>
      </c>
      <c r="AB174" s="48">
        <f t="shared" si="1"/>
        <v>8</v>
      </c>
      <c r="AC174" s="48">
        <v>1.0</v>
      </c>
      <c r="AD174" s="48">
        <v>1.0</v>
      </c>
      <c r="AE174" s="48" t="s">
        <v>5025</v>
      </c>
      <c r="AF174" s="697">
        <v>1.0</v>
      </c>
      <c r="AG174" s="48" t="s">
        <v>5026</v>
      </c>
      <c r="AH174" s="48">
        <v>2.5</v>
      </c>
      <c r="AI174" s="48">
        <v>1.0</v>
      </c>
      <c r="AJ174" s="48" t="s">
        <v>5044</v>
      </c>
      <c r="AK174" s="48" t="s">
        <v>5370</v>
      </c>
      <c r="AL174" s="48">
        <v>2400.0</v>
      </c>
      <c r="AM174" s="48">
        <v>5.2</v>
      </c>
      <c r="AN174" s="48" t="s">
        <v>5099</v>
      </c>
      <c r="AO174" s="48" t="s">
        <v>166</v>
      </c>
      <c r="AP174" s="48">
        <v>2.0</v>
      </c>
      <c r="AQ174" s="48" t="s">
        <v>166</v>
      </c>
      <c r="AR174" s="48">
        <v>1.0</v>
      </c>
      <c r="AS174" s="48">
        <v>1.0</v>
      </c>
      <c r="AT174" s="48" t="s">
        <v>166</v>
      </c>
      <c r="AU174" s="48" t="s">
        <v>166</v>
      </c>
      <c r="AV174" s="48">
        <v>4.0</v>
      </c>
      <c r="AW174" s="48">
        <v>1.0</v>
      </c>
      <c r="AX174" s="48">
        <v>1.0</v>
      </c>
      <c r="AY174" s="48" t="s">
        <v>166</v>
      </c>
      <c r="AZ174" s="48" t="s">
        <v>174</v>
      </c>
      <c r="BA174" s="48" t="s">
        <v>5351</v>
      </c>
      <c r="BB174" s="48" t="s">
        <v>5318</v>
      </c>
      <c r="BC174" s="48" t="s">
        <v>4963</v>
      </c>
      <c r="BD174" s="48">
        <v>10.0</v>
      </c>
      <c r="BE174" s="698" t="s">
        <v>5101</v>
      </c>
      <c r="BF174" s="698" t="s">
        <v>5371</v>
      </c>
      <c r="BG174" s="66"/>
      <c r="BH174" s="66"/>
      <c r="BI174" s="66"/>
      <c r="BJ174" s="66"/>
      <c r="BK174" s="66"/>
      <c r="BL174" s="66"/>
      <c r="BM174" s="66"/>
      <c r="BN174" s="66"/>
      <c r="BO174" s="66"/>
      <c r="BP174" s="66"/>
      <c r="BQ174" s="66"/>
      <c r="BR174" s="66"/>
      <c r="BS174" s="66"/>
    </row>
    <row r="175">
      <c r="A175" s="48" t="s">
        <v>1688</v>
      </c>
      <c r="B175" s="48">
        <v>1700.0</v>
      </c>
      <c r="C175" s="48" t="s">
        <v>5355</v>
      </c>
      <c r="D175" s="174" t="s">
        <v>3565</v>
      </c>
      <c r="E175" s="718" t="s">
        <v>5373</v>
      </c>
      <c r="F175" s="48" t="s">
        <v>5111</v>
      </c>
      <c r="G175" s="48" t="s">
        <v>170</v>
      </c>
      <c r="H175" s="48" t="s">
        <v>174</v>
      </c>
      <c r="I175" s="48" t="s">
        <v>174</v>
      </c>
      <c r="J175" s="48" t="s">
        <v>166</v>
      </c>
      <c r="K175" s="48" t="s">
        <v>174</v>
      </c>
      <c r="L175" s="48">
        <v>2.0</v>
      </c>
      <c r="M175" s="48" t="s">
        <v>3151</v>
      </c>
      <c r="N175" s="48">
        <v>96.0</v>
      </c>
      <c r="O175" s="48" t="s">
        <v>5368</v>
      </c>
      <c r="P175" s="48">
        <v>4.0</v>
      </c>
      <c r="Q175" s="698" t="s">
        <v>5374</v>
      </c>
      <c r="R175" s="697" t="s">
        <v>166</v>
      </c>
      <c r="S175" s="697" t="s">
        <v>166</v>
      </c>
      <c r="T175" s="697">
        <v>6.0</v>
      </c>
      <c r="U175" s="48" t="s">
        <v>166</v>
      </c>
      <c r="V175" s="48" t="s">
        <v>166</v>
      </c>
      <c r="W175" s="48" t="s">
        <v>166</v>
      </c>
      <c r="X175" s="48" t="s">
        <v>166</v>
      </c>
      <c r="Y175" s="48" t="s">
        <v>166</v>
      </c>
      <c r="Z175" s="48" t="s">
        <v>166</v>
      </c>
      <c r="AA175" s="48" t="s">
        <v>166</v>
      </c>
      <c r="AB175" s="48">
        <f t="shared" si="1"/>
        <v>6</v>
      </c>
      <c r="AC175" s="48">
        <v>1.0</v>
      </c>
      <c r="AD175" s="48">
        <v>1.0</v>
      </c>
      <c r="AE175" s="48" t="s">
        <v>5025</v>
      </c>
      <c r="AF175" s="697">
        <v>2.0</v>
      </c>
      <c r="AG175" s="705" t="s">
        <v>5375</v>
      </c>
      <c r="AH175" s="48">
        <v>2.5</v>
      </c>
      <c r="AI175" s="48">
        <v>1.0</v>
      </c>
      <c r="AJ175" s="48" t="s">
        <v>5044</v>
      </c>
      <c r="AK175" s="48" t="s">
        <v>5376</v>
      </c>
      <c r="AL175" s="48">
        <v>2400.0</v>
      </c>
      <c r="AM175" s="48">
        <v>5.2</v>
      </c>
      <c r="AN175" s="48" t="s">
        <v>5039</v>
      </c>
      <c r="AO175" s="48" t="s">
        <v>166</v>
      </c>
      <c r="AP175" s="48">
        <v>3.0</v>
      </c>
      <c r="AQ175" s="48" t="s">
        <v>166</v>
      </c>
      <c r="AR175" s="48">
        <v>2.0</v>
      </c>
      <c r="AS175" s="48">
        <v>2.0</v>
      </c>
      <c r="AT175" s="48" t="s">
        <v>166</v>
      </c>
      <c r="AU175" s="48" t="s">
        <v>166</v>
      </c>
      <c r="AV175" s="48">
        <v>4.0</v>
      </c>
      <c r="AW175" s="48">
        <v>1.0</v>
      </c>
      <c r="AX175" s="48">
        <v>2.0</v>
      </c>
      <c r="AY175" s="48" t="s">
        <v>174</v>
      </c>
      <c r="AZ175" s="48" t="s">
        <v>174</v>
      </c>
      <c r="BA175" s="48" t="s">
        <v>5342</v>
      </c>
      <c r="BB175" s="48" t="s">
        <v>5226</v>
      </c>
      <c r="BC175" s="48" t="s">
        <v>4963</v>
      </c>
      <c r="BD175" s="48">
        <v>8.0</v>
      </c>
      <c r="BE175" s="698" t="s">
        <v>5029</v>
      </c>
      <c r="BF175" s="698" t="s">
        <v>5035</v>
      </c>
      <c r="BG175" s="66"/>
      <c r="BH175" s="66"/>
      <c r="BI175" s="66"/>
      <c r="BJ175" s="66"/>
      <c r="BK175" s="66"/>
      <c r="BL175" s="66"/>
      <c r="BM175" s="66"/>
      <c r="BN175" s="66"/>
      <c r="BO175" s="66"/>
      <c r="BP175" s="66"/>
      <c r="BQ175" s="66"/>
      <c r="BR175" s="66"/>
      <c r="BS175" s="66"/>
    </row>
    <row r="176">
      <c r="A176" s="700" t="s">
        <v>1688</v>
      </c>
      <c r="B176" s="700">
        <v>1700.0</v>
      </c>
      <c r="C176" s="700" t="s">
        <v>5355</v>
      </c>
      <c r="D176" s="291" t="str">
        <f>HYPERLINK("https://www.msi.com/index.php","MSI")</f>
        <v>MSI</v>
      </c>
      <c r="E176" s="714" t="s">
        <v>5377</v>
      </c>
      <c r="F176" s="700" t="s">
        <v>5111</v>
      </c>
      <c r="G176" s="700" t="s">
        <v>166</v>
      </c>
      <c r="H176" s="700" t="s">
        <v>174</v>
      </c>
      <c r="I176" s="700" t="s">
        <v>174</v>
      </c>
      <c r="J176" s="700" t="s">
        <v>166</v>
      </c>
      <c r="K176" s="700" t="s">
        <v>174</v>
      </c>
      <c r="L176" s="700">
        <v>2.0</v>
      </c>
      <c r="M176" s="700" t="s">
        <v>3151</v>
      </c>
      <c r="N176" s="700">
        <v>96.0</v>
      </c>
      <c r="O176" s="700" t="s">
        <v>5112</v>
      </c>
      <c r="P176" s="700">
        <v>4.0</v>
      </c>
      <c r="Q176" s="703" t="s">
        <v>5378</v>
      </c>
      <c r="R176" s="702" t="s">
        <v>166</v>
      </c>
      <c r="S176" s="702" t="s">
        <v>166</v>
      </c>
      <c r="T176" s="702">
        <v>4.0</v>
      </c>
      <c r="U176" s="700" t="s">
        <v>166</v>
      </c>
      <c r="V176" s="700">
        <v>2.0</v>
      </c>
      <c r="W176" s="700" t="s">
        <v>166</v>
      </c>
      <c r="X176" s="700" t="s">
        <v>166</v>
      </c>
      <c r="Y176" s="700" t="s">
        <v>166</v>
      </c>
      <c r="Z176" s="700" t="s">
        <v>166</v>
      </c>
      <c r="AA176" s="700">
        <v>2.0</v>
      </c>
      <c r="AB176" s="700">
        <f t="shared" si="1"/>
        <v>8</v>
      </c>
      <c r="AC176" s="700">
        <v>1.0</v>
      </c>
      <c r="AD176" s="700">
        <v>1.0</v>
      </c>
      <c r="AE176" s="700" t="s">
        <v>5097</v>
      </c>
      <c r="AF176" s="702">
        <v>1.0</v>
      </c>
      <c r="AG176" s="712" t="s">
        <v>5026</v>
      </c>
      <c r="AH176" s="700">
        <v>2.5</v>
      </c>
      <c r="AI176" s="700">
        <v>1.0</v>
      </c>
      <c r="AJ176" s="700" t="s">
        <v>5044</v>
      </c>
      <c r="AK176" s="700" t="s">
        <v>5300</v>
      </c>
      <c r="AL176" s="700">
        <v>2400.0</v>
      </c>
      <c r="AM176" s="700">
        <v>5.2</v>
      </c>
      <c r="AN176" s="700" t="s">
        <v>5099</v>
      </c>
      <c r="AO176" s="700" t="s">
        <v>166</v>
      </c>
      <c r="AP176" s="700">
        <v>3.0</v>
      </c>
      <c r="AQ176" s="700" t="s">
        <v>166</v>
      </c>
      <c r="AR176" s="700">
        <v>3.0</v>
      </c>
      <c r="AS176" s="700">
        <v>1.0</v>
      </c>
      <c r="AT176" s="700" t="s">
        <v>166</v>
      </c>
      <c r="AU176" s="700" t="s">
        <v>166</v>
      </c>
      <c r="AV176" s="700">
        <v>3.0</v>
      </c>
      <c r="AW176" s="700" t="s">
        <v>166</v>
      </c>
      <c r="AX176" s="700">
        <v>1.0</v>
      </c>
      <c r="AY176" s="700" t="s">
        <v>174</v>
      </c>
      <c r="AZ176" s="700" t="s">
        <v>174</v>
      </c>
      <c r="BA176" s="700" t="s">
        <v>5359</v>
      </c>
      <c r="BB176" s="700" t="s">
        <v>5318</v>
      </c>
      <c r="BC176" s="700" t="s">
        <v>4963</v>
      </c>
      <c r="BD176" s="700">
        <v>10.0</v>
      </c>
      <c r="BE176" s="703" t="s">
        <v>5101</v>
      </c>
      <c r="BF176" s="703" t="s">
        <v>5035</v>
      </c>
      <c r="BG176" s="66"/>
      <c r="BH176" s="66"/>
      <c r="BI176" s="66"/>
      <c r="BJ176" s="66"/>
      <c r="BK176" s="66"/>
      <c r="BL176" s="66"/>
      <c r="BM176" s="66"/>
      <c r="BN176" s="66"/>
      <c r="BO176" s="66"/>
      <c r="BP176" s="66"/>
      <c r="BQ176" s="66"/>
      <c r="BR176" s="66"/>
      <c r="BS176" s="66"/>
    </row>
    <row r="177">
      <c r="A177" s="705" t="s">
        <v>1688</v>
      </c>
      <c r="B177" s="705">
        <v>1700.0</v>
      </c>
      <c r="C177" s="705" t="s">
        <v>5379</v>
      </c>
      <c r="D177" s="174" t="s">
        <v>169</v>
      </c>
      <c r="E177" s="715" t="s">
        <v>5380</v>
      </c>
      <c r="F177" s="705" t="s">
        <v>5021</v>
      </c>
      <c r="G177" s="705" t="s">
        <v>166</v>
      </c>
      <c r="H177" s="705" t="s">
        <v>166</v>
      </c>
      <c r="I177" s="705" t="s">
        <v>174</v>
      </c>
      <c r="J177" s="705" t="s">
        <v>166</v>
      </c>
      <c r="K177" s="705" t="s">
        <v>166</v>
      </c>
      <c r="L177" s="705">
        <v>2.0</v>
      </c>
      <c r="M177" s="705" t="s">
        <v>3149</v>
      </c>
      <c r="N177" s="705">
        <v>64.0</v>
      </c>
      <c r="O177" s="705" t="s">
        <v>5286</v>
      </c>
      <c r="P177" s="705">
        <v>4.0</v>
      </c>
      <c r="Q177" s="710" t="s">
        <v>5062</v>
      </c>
      <c r="R177" s="707">
        <v>2.0</v>
      </c>
      <c r="S177" s="707" t="s">
        <v>166</v>
      </c>
      <c r="T177" s="707">
        <v>2.0</v>
      </c>
      <c r="U177" s="705" t="s">
        <v>166</v>
      </c>
      <c r="V177" s="705" t="s">
        <v>166</v>
      </c>
      <c r="W177" s="705" t="s">
        <v>166</v>
      </c>
      <c r="X177" s="705">
        <v>1.0</v>
      </c>
      <c r="Y177" s="705" t="s">
        <v>166</v>
      </c>
      <c r="Z177" s="705" t="s">
        <v>166</v>
      </c>
      <c r="AA177" s="705" t="s">
        <v>166</v>
      </c>
      <c r="AB177" s="705">
        <f t="shared" si="1"/>
        <v>5</v>
      </c>
      <c r="AC177" s="705">
        <v>2.0</v>
      </c>
      <c r="AD177" s="705">
        <v>1.0</v>
      </c>
      <c r="AE177" s="705" t="s">
        <v>166</v>
      </c>
      <c r="AF177" s="707">
        <v>1.0</v>
      </c>
      <c r="AG177" s="48" t="s">
        <v>4959</v>
      </c>
      <c r="AH177" s="705">
        <v>1.0</v>
      </c>
      <c r="AI177" s="705">
        <v>1.0</v>
      </c>
      <c r="AJ177" s="48" t="s">
        <v>5044</v>
      </c>
      <c r="AK177" s="48" t="s">
        <v>5376</v>
      </c>
      <c r="AL177" s="705">
        <v>2400.0</v>
      </c>
      <c r="AM177" s="705">
        <v>5.2</v>
      </c>
      <c r="AN177" s="705" t="s">
        <v>5039</v>
      </c>
      <c r="AO177" s="705" t="s">
        <v>166</v>
      </c>
      <c r="AP177" s="705">
        <v>3.0</v>
      </c>
      <c r="AQ177" s="705" t="s">
        <v>166</v>
      </c>
      <c r="AR177" s="48">
        <v>1.0</v>
      </c>
      <c r="AS177" s="705">
        <v>1.0</v>
      </c>
      <c r="AT177" s="705" t="s">
        <v>166</v>
      </c>
      <c r="AU177" s="705" t="s">
        <v>166</v>
      </c>
      <c r="AV177" s="705">
        <v>3.0</v>
      </c>
      <c r="AW177" s="705" t="s">
        <v>166</v>
      </c>
      <c r="AX177" s="705" t="s">
        <v>166</v>
      </c>
      <c r="AY177" s="705" t="s">
        <v>166</v>
      </c>
      <c r="AZ177" s="705" t="s">
        <v>166</v>
      </c>
      <c r="BA177" s="705" t="s">
        <v>5328</v>
      </c>
      <c r="BB177" s="705" t="s">
        <v>5143</v>
      </c>
      <c r="BC177" s="705" t="s">
        <v>4963</v>
      </c>
      <c r="BD177" s="705">
        <v>5.0</v>
      </c>
      <c r="BE177" s="708" t="s">
        <v>5009</v>
      </c>
      <c r="BF177" s="708"/>
      <c r="BG177" s="66"/>
      <c r="BH177" s="66"/>
      <c r="BI177" s="66"/>
      <c r="BJ177" s="66"/>
      <c r="BK177" s="66"/>
      <c r="BL177" s="66"/>
      <c r="BM177" s="66"/>
      <c r="BN177" s="66"/>
      <c r="BO177" s="66"/>
      <c r="BP177" s="66"/>
      <c r="BQ177" s="66"/>
      <c r="BR177" s="66"/>
      <c r="BS177" s="66"/>
    </row>
    <row r="178">
      <c r="A178" s="705" t="s">
        <v>1688</v>
      </c>
      <c r="B178" s="705">
        <v>1700.0</v>
      </c>
      <c r="C178" s="705" t="s">
        <v>5379</v>
      </c>
      <c r="D178" s="174" t="s">
        <v>169</v>
      </c>
      <c r="E178" s="715" t="s">
        <v>5381</v>
      </c>
      <c r="F178" s="705" t="s">
        <v>5111</v>
      </c>
      <c r="G178" s="705" t="s">
        <v>166</v>
      </c>
      <c r="H178" s="705" t="s">
        <v>166</v>
      </c>
      <c r="I178" s="705" t="s">
        <v>174</v>
      </c>
      <c r="J178" s="705" t="s">
        <v>166</v>
      </c>
      <c r="K178" s="705" t="s">
        <v>166</v>
      </c>
      <c r="L178" s="705">
        <v>2.0</v>
      </c>
      <c r="M178" s="705" t="s">
        <v>3151</v>
      </c>
      <c r="N178" s="705">
        <v>96.0</v>
      </c>
      <c r="O178" s="705" t="s">
        <v>5382</v>
      </c>
      <c r="P178" s="705">
        <v>3.0</v>
      </c>
      <c r="Q178" s="698" t="s">
        <v>5383</v>
      </c>
      <c r="R178" s="707" t="s">
        <v>166</v>
      </c>
      <c r="S178" s="707" t="s">
        <v>166</v>
      </c>
      <c r="T178" s="707">
        <v>4.0</v>
      </c>
      <c r="U178" s="705" t="s">
        <v>166</v>
      </c>
      <c r="V178" s="705">
        <v>1.0</v>
      </c>
      <c r="W178" s="705">
        <v>1.0</v>
      </c>
      <c r="X178" s="705" t="s">
        <v>166</v>
      </c>
      <c r="Y178" s="705" t="s">
        <v>166</v>
      </c>
      <c r="Z178" s="705" t="s">
        <v>166</v>
      </c>
      <c r="AA178" s="705" t="s">
        <v>166</v>
      </c>
      <c r="AB178" s="705">
        <f t="shared" si="1"/>
        <v>6</v>
      </c>
      <c r="AC178" s="705">
        <v>1.0</v>
      </c>
      <c r="AD178" s="705">
        <v>1.0</v>
      </c>
      <c r="AE178" s="705" t="s">
        <v>5049</v>
      </c>
      <c r="AF178" s="707">
        <v>1.0</v>
      </c>
      <c r="AG178" s="705" t="s">
        <v>5043</v>
      </c>
      <c r="AH178" s="705">
        <v>2.5</v>
      </c>
      <c r="AI178" s="705">
        <v>1.0</v>
      </c>
      <c r="AJ178" s="705" t="s">
        <v>5044</v>
      </c>
      <c r="AK178" s="48" t="s">
        <v>5300</v>
      </c>
      <c r="AL178" s="705">
        <v>2400.0</v>
      </c>
      <c r="AM178" s="705">
        <v>5.3</v>
      </c>
      <c r="AN178" s="705" t="s">
        <v>5039</v>
      </c>
      <c r="AO178" s="705" t="s">
        <v>174</v>
      </c>
      <c r="AP178" s="705">
        <v>2.0</v>
      </c>
      <c r="AQ178" s="705" t="s">
        <v>166</v>
      </c>
      <c r="AR178" s="48">
        <v>1.0</v>
      </c>
      <c r="AS178" s="705">
        <v>1.0</v>
      </c>
      <c r="AT178" s="705" t="s">
        <v>166</v>
      </c>
      <c r="AU178" s="705" t="s">
        <v>166</v>
      </c>
      <c r="AV178" s="705">
        <v>3.0</v>
      </c>
      <c r="AW178" s="705" t="s">
        <v>166</v>
      </c>
      <c r="AX178" s="705">
        <v>2.0</v>
      </c>
      <c r="AY178" s="705" t="s">
        <v>166</v>
      </c>
      <c r="AZ178" s="705" t="s">
        <v>174</v>
      </c>
      <c r="BA178" s="705" t="s">
        <v>170</v>
      </c>
      <c r="BB178" s="705" t="s">
        <v>5384</v>
      </c>
      <c r="BC178" s="705" t="s">
        <v>170</v>
      </c>
      <c r="BD178" s="705">
        <v>14.0</v>
      </c>
      <c r="BE178" s="708" t="s">
        <v>5385</v>
      </c>
      <c r="BF178" s="708" t="s">
        <v>5035</v>
      </c>
      <c r="BG178" s="66"/>
      <c r="BH178" s="66"/>
      <c r="BI178" s="66"/>
      <c r="BJ178" s="66"/>
      <c r="BK178" s="66"/>
      <c r="BL178" s="66"/>
      <c r="BM178" s="66"/>
      <c r="BN178" s="66"/>
      <c r="BO178" s="66"/>
      <c r="BP178" s="66"/>
      <c r="BQ178" s="66"/>
      <c r="BR178" s="66"/>
      <c r="BS178" s="66"/>
    </row>
    <row r="179">
      <c r="A179" s="705" t="s">
        <v>1688</v>
      </c>
      <c r="B179" s="705">
        <v>1700.0</v>
      </c>
      <c r="C179" s="705" t="s">
        <v>5379</v>
      </c>
      <c r="D179" s="282" t="str">
        <f>HYPERLINK("https://www.asus.com/","Asus")</f>
        <v>Asus</v>
      </c>
      <c r="E179" s="715" t="s">
        <v>5386</v>
      </c>
      <c r="F179" s="705" t="s">
        <v>5111</v>
      </c>
      <c r="G179" s="705" t="s">
        <v>166</v>
      </c>
      <c r="H179" s="705" t="s">
        <v>166</v>
      </c>
      <c r="I179" s="705" t="s">
        <v>174</v>
      </c>
      <c r="J179" s="705" t="s">
        <v>166</v>
      </c>
      <c r="K179" s="705" t="s">
        <v>166</v>
      </c>
      <c r="L179" s="705">
        <v>2.0</v>
      </c>
      <c r="M179" s="705" t="s">
        <v>3151</v>
      </c>
      <c r="N179" s="705">
        <v>96.0</v>
      </c>
      <c r="O179" s="705" t="s">
        <v>5387</v>
      </c>
      <c r="P179" s="705">
        <v>4.0</v>
      </c>
      <c r="Q179" s="698" t="s">
        <v>5388</v>
      </c>
      <c r="R179" s="707">
        <v>3.0</v>
      </c>
      <c r="S179" s="707" t="s">
        <v>166</v>
      </c>
      <c r="T179" s="707">
        <v>3.0</v>
      </c>
      <c r="U179" s="705">
        <v>1.0</v>
      </c>
      <c r="V179" s="705" t="s">
        <v>166</v>
      </c>
      <c r="W179" s="705" t="s">
        <v>166</v>
      </c>
      <c r="X179" s="705">
        <v>1.0</v>
      </c>
      <c r="Y179" s="705" t="s">
        <v>166</v>
      </c>
      <c r="Z179" s="705" t="s">
        <v>166</v>
      </c>
      <c r="AA179" s="705" t="s">
        <v>166</v>
      </c>
      <c r="AB179" s="705">
        <f t="shared" si="1"/>
        <v>8</v>
      </c>
      <c r="AC179" s="705">
        <v>1.0</v>
      </c>
      <c r="AD179" s="705">
        <v>1.0</v>
      </c>
      <c r="AE179" s="48" t="s">
        <v>5025</v>
      </c>
      <c r="AF179" s="707">
        <v>1.0</v>
      </c>
      <c r="AG179" s="705" t="s">
        <v>5026</v>
      </c>
      <c r="AH179" s="705">
        <v>2.5</v>
      </c>
      <c r="AI179" s="705">
        <v>1.0</v>
      </c>
      <c r="AJ179" s="705" t="s">
        <v>5044</v>
      </c>
      <c r="AK179" s="48" t="s">
        <v>5376</v>
      </c>
      <c r="AL179" s="705">
        <v>2400.0</v>
      </c>
      <c r="AM179" s="705">
        <v>5.3</v>
      </c>
      <c r="AN179" s="48" t="s">
        <v>5288</v>
      </c>
      <c r="AO179" s="705" t="s">
        <v>166</v>
      </c>
      <c r="AP179" s="705">
        <v>5.0</v>
      </c>
      <c r="AQ179" s="705" t="s">
        <v>166</v>
      </c>
      <c r="AR179" s="48">
        <v>1.0</v>
      </c>
      <c r="AS179" s="705">
        <v>1.0</v>
      </c>
      <c r="AT179" s="705" t="s">
        <v>166</v>
      </c>
      <c r="AU179" s="705" t="s">
        <v>166</v>
      </c>
      <c r="AV179" s="705">
        <v>3.0</v>
      </c>
      <c r="AW179" s="705">
        <v>1.0</v>
      </c>
      <c r="AX179" s="705">
        <v>1.0</v>
      </c>
      <c r="AY179" s="705" t="s">
        <v>174</v>
      </c>
      <c r="AZ179" s="705" t="s">
        <v>174</v>
      </c>
      <c r="BA179" s="705" t="s">
        <v>170</v>
      </c>
      <c r="BB179" s="705" t="s">
        <v>5226</v>
      </c>
      <c r="BC179" s="705" t="s">
        <v>4963</v>
      </c>
      <c r="BD179" s="705">
        <v>8.0</v>
      </c>
      <c r="BE179" s="708" t="s">
        <v>5389</v>
      </c>
      <c r="BF179" s="708"/>
      <c r="BG179" s="66"/>
      <c r="BH179" s="66"/>
      <c r="BI179" s="66"/>
      <c r="BJ179" s="66"/>
      <c r="BK179" s="66"/>
      <c r="BL179" s="66"/>
      <c r="BM179" s="66"/>
      <c r="BN179" s="66"/>
      <c r="BO179" s="66"/>
      <c r="BP179" s="66"/>
      <c r="BQ179" s="66"/>
      <c r="BR179" s="66"/>
      <c r="BS179" s="66"/>
    </row>
    <row r="180">
      <c r="A180" s="705" t="s">
        <v>1688</v>
      </c>
      <c r="B180" s="705">
        <v>1700.0</v>
      </c>
      <c r="C180" s="705" t="s">
        <v>5379</v>
      </c>
      <c r="D180" s="174" t="str">
        <f>HYPERLINK("https://www.biostar.com.tw/","Biostar")</f>
        <v>Biostar</v>
      </c>
      <c r="E180" s="715" t="s">
        <v>5390</v>
      </c>
      <c r="F180" s="705" t="s">
        <v>5111</v>
      </c>
      <c r="G180" s="705" t="s">
        <v>166</v>
      </c>
      <c r="H180" s="705" t="s">
        <v>166</v>
      </c>
      <c r="I180" s="705" t="s">
        <v>174</v>
      </c>
      <c r="J180" s="705" t="s">
        <v>166</v>
      </c>
      <c r="K180" s="705" t="s">
        <v>166</v>
      </c>
      <c r="L180" s="705">
        <v>2.0</v>
      </c>
      <c r="M180" s="705" t="s">
        <v>3151</v>
      </c>
      <c r="N180" s="705">
        <v>96.0</v>
      </c>
      <c r="O180" s="705" t="s">
        <v>5089</v>
      </c>
      <c r="P180" s="705">
        <v>4.0</v>
      </c>
      <c r="Q180" s="698" t="s">
        <v>5391</v>
      </c>
      <c r="R180" s="707">
        <v>2.0</v>
      </c>
      <c r="S180" s="707" t="s">
        <v>166</v>
      </c>
      <c r="T180" s="707" t="s">
        <v>166</v>
      </c>
      <c r="U180" s="705" t="s">
        <v>166</v>
      </c>
      <c r="V180" s="705">
        <v>3.0</v>
      </c>
      <c r="W180" s="705">
        <v>1.0</v>
      </c>
      <c r="X180" s="705" t="s">
        <v>166</v>
      </c>
      <c r="Y180" s="705" t="s">
        <v>166</v>
      </c>
      <c r="Z180" s="705" t="s">
        <v>166</v>
      </c>
      <c r="AA180" s="705" t="s">
        <v>166</v>
      </c>
      <c r="AB180" s="705">
        <f t="shared" si="1"/>
        <v>6</v>
      </c>
      <c r="AC180" s="705">
        <v>1.0</v>
      </c>
      <c r="AD180" s="705">
        <v>1.0</v>
      </c>
      <c r="AE180" s="48" t="s">
        <v>5025</v>
      </c>
      <c r="AF180" s="707">
        <v>1.0</v>
      </c>
      <c r="AG180" s="705" t="s">
        <v>5038</v>
      </c>
      <c r="AH180" s="705">
        <v>2.5</v>
      </c>
      <c r="AI180" s="705">
        <v>1.0</v>
      </c>
      <c r="AJ180" s="705" t="s">
        <v>166</v>
      </c>
      <c r="AK180" s="48" t="s">
        <v>232</v>
      </c>
      <c r="AL180" s="705" t="s">
        <v>166</v>
      </c>
      <c r="AM180" s="705" t="s">
        <v>166</v>
      </c>
      <c r="AN180" s="48" t="s">
        <v>4998</v>
      </c>
      <c r="AO180" s="705" t="s">
        <v>166</v>
      </c>
      <c r="AP180" s="705">
        <v>3.0</v>
      </c>
      <c r="AQ180" s="705">
        <v>1.0</v>
      </c>
      <c r="AR180" s="705">
        <v>1.0</v>
      </c>
      <c r="AS180" s="705">
        <v>1.0</v>
      </c>
      <c r="AT180" s="705" t="s">
        <v>166</v>
      </c>
      <c r="AU180" s="705" t="s">
        <v>166</v>
      </c>
      <c r="AV180" s="705">
        <v>3.0</v>
      </c>
      <c r="AW180" s="705">
        <v>1.0</v>
      </c>
      <c r="AX180" s="705">
        <v>1.0</v>
      </c>
      <c r="AY180" s="705" t="s">
        <v>174</v>
      </c>
      <c r="AZ180" s="705" t="s">
        <v>166</v>
      </c>
      <c r="BA180" s="705" t="s">
        <v>170</v>
      </c>
      <c r="BB180" s="705" t="s">
        <v>170</v>
      </c>
      <c r="BC180" s="705" t="s">
        <v>170</v>
      </c>
      <c r="BD180" s="705" t="s">
        <v>170</v>
      </c>
      <c r="BE180" s="708" t="s">
        <v>170</v>
      </c>
      <c r="BF180" s="708"/>
      <c r="BG180" s="66"/>
      <c r="BH180" s="66"/>
      <c r="BI180" s="66"/>
      <c r="BJ180" s="66"/>
      <c r="BK180" s="66"/>
      <c r="BL180" s="66"/>
      <c r="BM180" s="66"/>
      <c r="BN180" s="66"/>
      <c r="BO180" s="66"/>
      <c r="BP180" s="66"/>
      <c r="BQ180" s="66"/>
      <c r="BR180" s="66"/>
      <c r="BS180" s="66"/>
    </row>
    <row r="181">
      <c r="A181" s="705" t="s">
        <v>1688</v>
      </c>
      <c r="B181" s="705">
        <v>1700.0</v>
      </c>
      <c r="C181" s="705" t="s">
        <v>5379</v>
      </c>
      <c r="D181" s="174" t="s">
        <v>3575</v>
      </c>
      <c r="E181" s="715" t="s">
        <v>5392</v>
      </c>
      <c r="F181" s="705" t="s">
        <v>5111</v>
      </c>
      <c r="G181" s="705" t="s">
        <v>166</v>
      </c>
      <c r="H181" s="705" t="s">
        <v>166</v>
      </c>
      <c r="I181" s="705" t="s">
        <v>174</v>
      </c>
      <c r="J181" s="705" t="s">
        <v>166</v>
      </c>
      <c r="K181" s="705" t="s">
        <v>174</v>
      </c>
      <c r="L181" s="705">
        <v>2.0</v>
      </c>
      <c r="M181" s="705" t="s">
        <v>3151</v>
      </c>
      <c r="N181" s="705">
        <v>96.0</v>
      </c>
      <c r="O181" s="705" t="s">
        <v>5119</v>
      </c>
      <c r="P181" s="705">
        <v>4.0</v>
      </c>
      <c r="Q181" s="698" t="s">
        <v>5393</v>
      </c>
      <c r="R181" s="707">
        <v>4.0</v>
      </c>
      <c r="S181" s="707" t="s">
        <v>166</v>
      </c>
      <c r="T181" s="707">
        <v>2.0</v>
      </c>
      <c r="U181" s="705">
        <v>1.0</v>
      </c>
      <c r="V181" s="705" t="s">
        <v>166</v>
      </c>
      <c r="W181" s="705" t="s">
        <v>166</v>
      </c>
      <c r="X181" s="705" t="s">
        <v>166</v>
      </c>
      <c r="Y181" s="705" t="s">
        <v>166</v>
      </c>
      <c r="Z181" s="705" t="s">
        <v>166</v>
      </c>
      <c r="AA181" s="705" t="s">
        <v>166</v>
      </c>
      <c r="AB181" s="705">
        <f t="shared" si="1"/>
        <v>7</v>
      </c>
      <c r="AC181" s="705">
        <v>1.0</v>
      </c>
      <c r="AD181" s="705">
        <v>1.0</v>
      </c>
      <c r="AE181" s="48" t="s">
        <v>5025</v>
      </c>
      <c r="AF181" s="707">
        <v>1.0</v>
      </c>
      <c r="AG181" s="705" t="s">
        <v>5038</v>
      </c>
      <c r="AH181" s="705">
        <v>2.5</v>
      </c>
      <c r="AI181" s="705">
        <v>1.0</v>
      </c>
      <c r="AJ181" s="48" t="s">
        <v>5027</v>
      </c>
      <c r="AK181" s="48" t="s">
        <v>5028</v>
      </c>
      <c r="AL181" s="705">
        <v>2400.0</v>
      </c>
      <c r="AM181" s="705">
        <v>5.2</v>
      </c>
      <c r="AN181" s="48" t="s">
        <v>5039</v>
      </c>
      <c r="AO181" s="705" t="s">
        <v>166</v>
      </c>
      <c r="AP181" s="705">
        <v>3.0</v>
      </c>
      <c r="AQ181" s="705" t="s">
        <v>166</v>
      </c>
      <c r="AR181" s="705">
        <v>1.0</v>
      </c>
      <c r="AS181" s="705">
        <v>1.0</v>
      </c>
      <c r="AT181" s="705" t="s">
        <v>166</v>
      </c>
      <c r="AU181" s="705" t="s">
        <v>166</v>
      </c>
      <c r="AV181" s="705">
        <v>3.0</v>
      </c>
      <c r="AW181" s="705" t="s">
        <v>166</v>
      </c>
      <c r="AX181" s="705">
        <v>1.0</v>
      </c>
      <c r="AY181" s="705" t="s">
        <v>174</v>
      </c>
      <c r="AZ181" s="705" t="s">
        <v>174</v>
      </c>
      <c r="BA181" s="705" t="s">
        <v>170</v>
      </c>
      <c r="BB181" s="705" t="s">
        <v>5354</v>
      </c>
      <c r="BC181" s="705" t="s">
        <v>4963</v>
      </c>
      <c r="BD181" s="705">
        <v>7.0</v>
      </c>
      <c r="BE181" s="708" t="s">
        <v>5394</v>
      </c>
      <c r="BF181" s="708"/>
      <c r="BG181" s="66"/>
      <c r="BH181" s="66"/>
      <c r="BI181" s="66"/>
      <c r="BJ181" s="66"/>
      <c r="BK181" s="66"/>
      <c r="BL181" s="66"/>
      <c r="BM181" s="66"/>
      <c r="BN181" s="66"/>
      <c r="BO181" s="66"/>
      <c r="BP181" s="66"/>
      <c r="BQ181" s="66"/>
      <c r="BR181" s="66"/>
      <c r="BS181" s="66"/>
    </row>
    <row r="182">
      <c r="A182" s="705" t="s">
        <v>1688</v>
      </c>
      <c r="B182" s="705">
        <v>1700.0</v>
      </c>
      <c r="C182" s="705" t="s">
        <v>5379</v>
      </c>
      <c r="D182" s="174" t="s">
        <v>3575</v>
      </c>
      <c r="E182" s="715" t="s">
        <v>5395</v>
      </c>
      <c r="F182" s="705" t="s">
        <v>5111</v>
      </c>
      <c r="G182" s="705" t="s">
        <v>166</v>
      </c>
      <c r="H182" s="705" t="s">
        <v>166</v>
      </c>
      <c r="I182" s="705" t="s">
        <v>174</v>
      </c>
      <c r="J182" s="705" t="s">
        <v>166</v>
      </c>
      <c r="K182" s="705" t="s">
        <v>174</v>
      </c>
      <c r="L182" s="705">
        <v>2.0</v>
      </c>
      <c r="M182" s="705" t="s">
        <v>3149</v>
      </c>
      <c r="N182" s="705">
        <v>64.0</v>
      </c>
      <c r="O182" s="705" t="s">
        <v>5223</v>
      </c>
      <c r="P182" s="705">
        <v>4.0</v>
      </c>
      <c r="Q182" s="698" t="s">
        <v>5396</v>
      </c>
      <c r="R182" s="707">
        <v>4.0</v>
      </c>
      <c r="S182" s="707" t="s">
        <v>166</v>
      </c>
      <c r="T182" s="707">
        <v>2.0</v>
      </c>
      <c r="U182" s="705">
        <v>1.0</v>
      </c>
      <c r="V182" s="705" t="s">
        <v>166</v>
      </c>
      <c r="W182" s="705" t="s">
        <v>166</v>
      </c>
      <c r="X182" s="705" t="s">
        <v>166</v>
      </c>
      <c r="Y182" s="705" t="s">
        <v>166</v>
      </c>
      <c r="Z182" s="705" t="s">
        <v>166</v>
      </c>
      <c r="AA182" s="705" t="s">
        <v>166</v>
      </c>
      <c r="AB182" s="705">
        <f t="shared" si="1"/>
        <v>7</v>
      </c>
      <c r="AC182" s="705">
        <v>1.0</v>
      </c>
      <c r="AD182" s="705">
        <v>1.0</v>
      </c>
      <c r="AE182" s="705" t="s">
        <v>5049</v>
      </c>
      <c r="AF182" s="707">
        <v>1.0</v>
      </c>
      <c r="AG182" s="705" t="s">
        <v>5038</v>
      </c>
      <c r="AH182" s="705">
        <v>2.5</v>
      </c>
      <c r="AI182" s="705">
        <v>1.0</v>
      </c>
      <c r="AJ182" s="48" t="s">
        <v>5027</v>
      </c>
      <c r="AK182" s="48" t="s">
        <v>5397</v>
      </c>
      <c r="AL182" s="705">
        <v>2400.0</v>
      </c>
      <c r="AM182" s="705">
        <v>5.2</v>
      </c>
      <c r="AN182" s="48" t="s">
        <v>5039</v>
      </c>
      <c r="AO182" s="705" t="s">
        <v>166</v>
      </c>
      <c r="AP182" s="705">
        <v>3.0</v>
      </c>
      <c r="AQ182" s="705" t="s">
        <v>166</v>
      </c>
      <c r="AR182" s="705">
        <v>1.0</v>
      </c>
      <c r="AS182" s="705">
        <v>1.0</v>
      </c>
      <c r="AT182" s="705" t="s">
        <v>166</v>
      </c>
      <c r="AU182" s="705" t="s">
        <v>166</v>
      </c>
      <c r="AV182" s="705">
        <v>3.0</v>
      </c>
      <c r="AW182" s="705" t="s">
        <v>166</v>
      </c>
      <c r="AX182" s="705">
        <v>1.0</v>
      </c>
      <c r="AY182" s="705" t="s">
        <v>174</v>
      </c>
      <c r="AZ182" s="705" t="s">
        <v>174</v>
      </c>
      <c r="BA182" s="705" t="s">
        <v>170</v>
      </c>
      <c r="BB182" s="705" t="s">
        <v>5354</v>
      </c>
      <c r="BC182" s="705" t="s">
        <v>4963</v>
      </c>
      <c r="BD182" s="705">
        <v>7.0</v>
      </c>
      <c r="BE182" s="708" t="s">
        <v>5398</v>
      </c>
      <c r="BF182" s="708"/>
      <c r="BG182" s="66"/>
      <c r="BH182" s="66"/>
      <c r="BI182" s="66"/>
      <c r="BJ182" s="66"/>
      <c r="BK182" s="66"/>
      <c r="BL182" s="66"/>
      <c r="BM182" s="66"/>
      <c r="BN182" s="66"/>
      <c r="BO182" s="66"/>
      <c r="BP182" s="66"/>
      <c r="BQ182" s="66"/>
      <c r="BR182" s="66"/>
      <c r="BS182" s="66"/>
    </row>
    <row r="183">
      <c r="A183" s="705" t="s">
        <v>1688</v>
      </c>
      <c r="B183" s="705">
        <v>1700.0</v>
      </c>
      <c r="C183" s="705" t="s">
        <v>5379</v>
      </c>
      <c r="D183" s="174" t="str">
        <f t="shared" ref="D183:D184" si="25">HYPERLINK("https://www.gigabyte.com/","Gigabyte")</f>
        <v>Gigabyte</v>
      </c>
      <c r="E183" s="715" t="s">
        <v>5399</v>
      </c>
      <c r="F183" s="705" t="s">
        <v>5021</v>
      </c>
      <c r="G183" s="705" t="s">
        <v>166</v>
      </c>
      <c r="H183" s="705" t="s">
        <v>166</v>
      </c>
      <c r="I183" s="705" t="s">
        <v>174</v>
      </c>
      <c r="J183" s="705" t="s">
        <v>174</v>
      </c>
      <c r="K183" s="705" t="s">
        <v>166</v>
      </c>
      <c r="L183" s="705">
        <v>2.0</v>
      </c>
      <c r="M183" s="705" t="s">
        <v>3151</v>
      </c>
      <c r="N183" s="705">
        <v>96.0</v>
      </c>
      <c r="O183" s="705" t="s">
        <v>5119</v>
      </c>
      <c r="P183" s="705">
        <v>2.0</v>
      </c>
      <c r="Q183" s="698" t="s">
        <v>5400</v>
      </c>
      <c r="R183" s="707">
        <v>2.0</v>
      </c>
      <c r="S183" s="707" t="s">
        <v>166</v>
      </c>
      <c r="T183" s="707">
        <v>4.0</v>
      </c>
      <c r="U183" s="705" t="s">
        <v>166</v>
      </c>
      <c r="V183" s="705">
        <v>1.0</v>
      </c>
      <c r="W183" s="705">
        <v>1.0</v>
      </c>
      <c r="X183" s="705" t="s">
        <v>166</v>
      </c>
      <c r="Y183" s="705" t="s">
        <v>166</v>
      </c>
      <c r="Z183" s="705" t="s">
        <v>166</v>
      </c>
      <c r="AA183" s="705" t="s">
        <v>166</v>
      </c>
      <c r="AB183" s="705">
        <f t="shared" si="1"/>
        <v>8</v>
      </c>
      <c r="AC183" s="705">
        <v>1.0</v>
      </c>
      <c r="AD183" s="705">
        <v>1.0</v>
      </c>
      <c r="AE183" s="705" t="s">
        <v>5049</v>
      </c>
      <c r="AF183" s="707">
        <v>1.0</v>
      </c>
      <c r="AG183" s="705" t="s">
        <v>5026</v>
      </c>
      <c r="AH183" s="705">
        <v>2.5</v>
      </c>
      <c r="AI183" s="705">
        <v>1.0</v>
      </c>
      <c r="AJ183" s="705" t="s">
        <v>5044</v>
      </c>
      <c r="AK183" s="48" t="s">
        <v>5401</v>
      </c>
      <c r="AL183" s="705">
        <v>2400.0</v>
      </c>
      <c r="AM183" s="705">
        <v>5.3</v>
      </c>
      <c r="AN183" s="48" t="s">
        <v>5039</v>
      </c>
      <c r="AO183" s="705" t="s">
        <v>174</v>
      </c>
      <c r="AP183" s="705">
        <v>2.0</v>
      </c>
      <c r="AQ183" s="705" t="s">
        <v>166</v>
      </c>
      <c r="AR183" s="705">
        <v>1.0</v>
      </c>
      <c r="AS183" s="705">
        <v>1.0</v>
      </c>
      <c r="AT183" s="705" t="s">
        <v>166</v>
      </c>
      <c r="AU183" s="705" t="s">
        <v>166</v>
      </c>
      <c r="AV183" s="705">
        <v>3.0</v>
      </c>
      <c r="AW183" s="705">
        <v>1.0</v>
      </c>
      <c r="AX183" s="705">
        <v>1.0</v>
      </c>
      <c r="AY183" s="705" t="s">
        <v>166</v>
      </c>
      <c r="AZ183" s="705" t="s">
        <v>174</v>
      </c>
      <c r="BA183" s="705" t="s">
        <v>5351</v>
      </c>
      <c r="BB183" s="705" t="s">
        <v>5226</v>
      </c>
      <c r="BC183" s="705" t="s">
        <v>4963</v>
      </c>
      <c r="BD183" s="705">
        <v>8.0</v>
      </c>
      <c r="BE183" s="708" t="s">
        <v>5029</v>
      </c>
      <c r="BF183" s="708" t="s">
        <v>5014</v>
      </c>
      <c r="BG183" s="66"/>
      <c r="BH183" s="66"/>
      <c r="BI183" s="66"/>
      <c r="BJ183" s="66"/>
      <c r="BK183" s="66"/>
      <c r="BL183" s="66"/>
      <c r="BM183" s="66"/>
      <c r="BN183" s="66"/>
      <c r="BO183" s="66"/>
      <c r="BP183" s="66"/>
      <c r="BQ183" s="66"/>
      <c r="BR183" s="66"/>
      <c r="BS183" s="66"/>
    </row>
    <row r="184">
      <c r="A184" s="705" t="s">
        <v>1688</v>
      </c>
      <c r="B184" s="705">
        <v>1700.0</v>
      </c>
      <c r="C184" s="705" t="s">
        <v>5379</v>
      </c>
      <c r="D184" s="174" t="str">
        <f t="shared" si="25"/>
        <v>Gigabyte</v>
      </c>
      <c r="E184" s="715" t="s">
        <v>5402</v>
      </c>
      <c r="F184" s="705" t="s">
        <v>5021</v>
      </c>
      <c r="G184" s="705" t="s">
        <v>166</v>
      </c>
      <c r="H184" s="705" t="s">
        <v>166</v>
      </c>
      <c r="I184" s="705" t="s">
        <v>174</v>
      </c>
      <c r="J184" s="705" t="s">
        <v>174</v>
      </c>
      <c r="K184" s="705" t="s">
        <v>166</v>
      </c>
      <c r="L184" s="705">
        <v>2.0</v>
      </c>
      <c r="M184" s="705" t="s">
        <v>3149</v>
      </c>
      <c r="N184" s="705">
        <v>64.0</v>
      </c>
      <c r="O184" s="705" t="s">
        <v>5286</v>
      </c>
      <c r="P184" s="705">
        <v>4.0</v>
      </c>
      <c r="Q184" s="698" t="s">
        <v>5403</v>
      </c>
      <c r="R184" s="707">
        <v>2.0</v>
      </c>
      <c r="S184" s="707" t="s">
        <v>166</v>
      </c>
      <c r="T184" s="707">
        <v>4.0</v>
      </c>
      <c r="U184" s="705" t="s">
        <v>166</v>
      </c>
      <c r="V184" s="705">
        <v>1.0</v>
      </c>
      <c r="W184" s="705">
        <v>1.0</v>
      </c>
      <c r="X184" s="705" t="s">
        <v>166</v>
      </c>
      <c r="Y184" s="705" t="s">
        <v>166</v>
      </c>
      <c r="Z184" s="705" t="s">
        <v>166</v>
      </c>
      <c r="AA184" s="705" t="s">
        <v>166</v>
      </c>
      <c r="AB184" s="705">
        <f t="shared" si="1"/>
        <v>8</v>
      </c>
      <c r="AC184" s="705">
        <v>1.0</v>
      </c>
      <c r="AD184" s="705">
        <v>1.0</v>
      </c>
      <c r="AE184" s="705" t="s">
        <v>5049</v>
      </c>
      <c r="AF184" s="707">
        <v>1.0</v>
      </c>
      <c r="AG184" s="705" t="s">
        <v>5026</v>
      </c>
      <c r="AH184" s="705">
        <v>2.5</v>
      </c>
      <c r="AI184" s="705">
        <v>1.0</v>
      </c>
      <c r="AJ184" s="705" t="s">
        <v>5044</v>
      </c>
      <c r="AK184" s="48" t="s">
        <v>5404</v>
      </c>
      <c r="AL184" s="705">
        <v>2400.0</v>
      </c>
      <c r="AM184" s="705">
        <v>5.3</v>
      </c>
      <c r="AN184" s="48" t="s">
        <v>5039</v>
      </c>
      <c r="AO184" s="705" t="s">
        <v>174</v>
      </c>
      <c r="AP184" s="705">
        <v>2.0</v>
      </c>
      <c r="AQ184" s="705" t="s">
        <v>166</v>
      </c>
      <c r="AR184" s="705">
        <v>1.0</v>
      </c>
      <c r="AS184" s="705">
        <v>1.0</v>
      </c>
      <c r="AT184" s="705" t="s">
        <v>166</v>
      </c>
      <c r="AU184" s="705" t="s">
        <v>166</v>
      </c>
      <c r="AV184" s="705">
        <v>3.0</v>
      </c>
      <c r="AW184" s="705">
        <v>1.0</v>
      </c>
      <c r="AX184" s="705">
        <v>1.0</v>
      </c>
      <c r="AY184" s="705" t="s">
        <v>166</v>
      </c>
      <c r="AZ184" s="705" t="s">
        <v>174</v>
      </c>
      <c r="BA184" s="705" t="s">
        <v>5351</v>
      </c>
      <c r="BB184" s="705" t="s">
        <v>5226</v>
      </c>
      <c r="BC184" s="705" t="s">
        <v>4963</v>
      </c>
      <c r="BD184" s="705">
        <v>8.0</v>
      </c>
      <c r="BE184" s="708" t="s">
        <v>5029</v>
      </c>
      <c r="BF184" s="708" t="s">
        <v>5014</v>
      </c>
      <c r="BG184" s="66"/>
      <c r="BH184" s="66"/>
      <c r="BI184" s="66"/>
      <c r="BJ184" s="66"/>
      <c r="BK184" s="66"/>
      <c r="BL184" s="66"/>
      <c r="BM184" s="66"/>
      <c r="BN184" s="66"/>
      <c r="BO184" s="66"/>
      <c r="BP184" s="66"/>
      <c r="BQ184" s="66"/>
      <c r="BR184" s="66"/>
      <c r="BS184" s="66"/>
    </row>
    <row r="185">
      <c r="A185" s="705" t="s">
        <v>1688</v>
      </c>
      <c r="B185" s="705">
        <v>1700.0</v>
      </c>
      <c r="C185" s="705" t="s">
        <v>5379</v>
      </c>
      <c r="D185" s="174" t="str">
        <f t="shared" ref="D185:D186" si="26">HYPERLINK("https://www.msi.com/index.php","MSI")</f>
        <v>MSI</v>
      </c>
      <c r="E185" s="715" t="s">
        <v>5405</v>
      </c>
      <c r="F185" s="705" t="s">
        <v>5111</v>
      </c>
      <c r="G185" s="705" t="s">
        <v>166</v>
      </c>
      <c r="H185" s="705" t="s">
        <v>166</v>
      </c>
      <c r="I185" s="705" t="s">
        <v>174</v>
      </c>
      <c r="J185" s="705" t="s">
        <v>166</v>
      </c>
      <c r="K185" s="705" t="s">
        <v>166</v>
      </c>
      <c r="L185" s="705">
        <v>2.0</v>
      </c>
      <c r="M185" s="705" t="s">
        <v>3151</v>
      </c>
      <c r="N185" s="705">
        <v>128.0</v>
      </c>
      <c r="O185" s="705" t="s">
        <v>5084</v>
      </c>
      <c r="P185" s="705">
        <v>4.0</v>
      </c>
      <c r="Q185" s="698" t="s">
        <v>5406</v>
      </c>
      <c r="R185" s="707">
        <v>2.0</v>
      </c>
      <c r="S185" s="707" t="s">
        <v>166</v>
      </c>
      <c r="T185" s="707">
        <v>4.0</v>
      </c>
      <c r="U185" s="705" t="s">
        <v>166</v>
      </c>
      <c r="V185" s="705">
        <v>1.0</v>
      </c>
      <c r="W185" s="705">
        <v>1.0</v>
      </c>
      <c r="X185" s="705" t="s">
        <v>166</v>
      </c>
      <c r="Y185" s="705" t="s">
        <v>166</v>
      </c>
      <c r="Z185" s="705" t="s">
        <v>166</v>
      </c>
      <c r="AA185" s="705" t="s">
        <v>166</v>
      </c>
      <c r="AB185" s="705">
        <f t="shared" si="1"/>
        <v>8</v>
      </c>
      <c r="AC185" s="705">
        <v>1.0</v>
      </c>
      <c r="AD185" s="705">
        <v>1.0</v>
      </c>
      <c r="AE185" s="48" t="s">
        <v>5025</v>
      </c>
      <c r="AF185" s="707">
        <v>1.0</v>
      </c>
      <c r="AG185" s="705" t="s">
        <v>5038</v>
      </c>
      <c r="AH185" s="705">
        <v>2.5</v>
      </c>
      <c r="AI185" s="705">
        <v>1.0</v>
      </c>
      <c r="AJ185" s="48" t="s">
        <v>5044</v>
      </c>
      <c r="AK185" s="48" t="s">
        <v>5376</v>
      </c>
      <c r="AL185" s="705">
        <v>2400.0</v>
      </c>
      <c r="AM185" s="705">
        <v>5.3</v>
      </c>
      <c r="AN185" s="48" t="s">
        <v>5039</v>
      </c>
      <c r="AO185" s="705" t="s">
        <v>166</v>
      </c>
      <c r="AP185" s="705">
        <v>3.0</v>
      </c>
      <c r="AQ185" s="705" t="s">
        <v>166</v>
      </c>
      <c r="AR185" s="48">
        <v>1.0</v>
      </c>
      <c r="AS185" s="705">
        <v>1.0</v>
      </c>
      <c r="AT185" s="705" t="s">
        <v>166</v>
      </c>
      <c r="AU185" s="705" t="s">
        <v>166</v>
      </c>
      <c r="AV185" s="705">
        <v>3.0</v>
      </c>
      <c r="AW185" s="705">
        <v>1.0</v>
      </c>
      <c r="AX185" s="705">
        <v>1.0</v>
      </c>
      <c r="AY185" s="705" t="s">
        <v>174</v>
      </c>
      <c r="AZ185" s="705" t="s">
        <v>174</v>
      </c>
      <c r="BA185" s="705" t="s">
        <v>5342</v>
      </c>
      <c r="BB185" s="705" t="s">
        <v>5226</v>
      </c>
      <c r="BC185" s="705" t="s">
        <v>4963</v>
      </c>
      <c r="BD185" s="705">
        <v>8.0</v>
      </c>
      <c r="BE185" s="708" t="s">
        <v>5029</v>
      </c>
      <c r="BF185" s="708"/>
      <c r="BG185" s="66"/>
      <c r="BH185" s="66"/>
      <c r="BI185" s="66"/>
      <c r="BJ185" s="66"/>
      <c r="BK185" s="66"/>
      <c r="BL185" s="66"/>
      <c r="BM185" s="66"/>
      <c r="BN185" s="66"/>
      <c r="BO185" s="66"/>
      <c r="BP185" s="66"/>
      <c r="BQ185" s="66"/>
      <c r="BR185" s="66"/>
      <c r="BS185" s="66"/>
    </row>
    <row r="186">
      <c r="A186" s="712" t="s">
        <v>1688</v>
      </c>
      <c r="B186" s="712">
        <v>1700.0</v>
      </c>
      <c r="C186" s="712" t="s">
        <v>5379</v>
      </c>
      <c r="D186" s="291" t="str">
        <f t="shared" si="26"/>
        <v>MSI</v>
      </c>
      <c r="E186" s="716" t="s">
        <v>5407</v>
      </c>
      <c r="F186" s="712" t="s">
        <v>5111</v>
      </c>
      <c r="G186" s="712" t="s">
        <v>166</v>
      </c>
      <c r="H186" s="712" t="s">
        <v>166</v>
      </c>
      <c r="I186" s="712" t="s">
        <v>174</v>
      </c>
      <c r="J186" s="712" t="s">
        <v>166</v>
      </c>
      <c r="K186" s="712" t="s">
        <v>166</v>
      </c>
      <c r="L186" s="712">
        <v>2.0</v>
      </c>
      <c r="M186" s="712" t="s">
        <v>3149</v>
      </c>
      <c r="N186" s="712">
        <v>64.0</v>
      </c>
      <c r="O186" s="712" t="s">
        <v>5286</v>
      </c>
      <c r="P186" s="712">
        <v>4.0</v>
      </c>
      <c r="Q186" s="703" t="s">
        <v>5408</v>
      </c>
      <c r="R186" s="713">
        <v>2.0</v>
      </c>
      <c r="S186" s="713" t="s">
        <v>166</v>
      </c>
      <c r="T186" s="713">
        <v>4.0</v>
      </c>
      <c r="U186" s="712" t="s">
        <v>166</v>
      </c>
      <c r="V186" s="712">
        <v>1.0</v>
      </c>
      <c r="W186" s="712">
        <v>1.0</v>
      </c>
      <c r="X186" s="712" t="s">
        <v>166</v>
      </c>
      <c r="Y186" s="712" t="s">
        <v>166</v>
      </c>
      <c r="Z186" s="712" t="s">
        <v>166</v>
      </c>
      <c r="AA186" s="712" t="s">
        <v>166</v>
      </c>
      <c r="AB186" s="712">
        <f t="shared" si="1"/>
        <v>8</v>
      </c>
      <c r="AC186" s="712">
        <v>1.0</v>
      </c>
      <c r="AD186" s="712">
        <v>1.0</v>
      </c>
      <c r="AE186" s="700" t="s">
        <v>5025</v>
      </c>
      <c r="AF186" s="702">
        <v>1.0</v>
      </c>
      <c r="AG186" s="712" t="s">
        <v>5038</v>
      </c>
      <c r="AH186" s="700">
        <v>2.5</v>
      </c>
      <c r="AI186" s="712">
        <v>1.0</v>
      </c>
      <c r="AJ186" s="712" t="s">
        <v>5044</v>
      </c>
      <c r="AK186" s="712" t="s">
        <v>5376</v>
      </c>
      <c r="AL186" s="712">
        <v>2400.0</v>
      </c>
      <c r="AM186" s="712">
        <v>5.3</v>
      </c>
      <c r="AN186" s="700" t="s">
        <v>5039</v>
      </c>
      <c r="AO186" s="712" t="s">
        <v>166</v>
      </c>
      <c r="AP186" s="712">
        <v>3.0</v>
      </c>
      <c r="AQ186" s="712" t="s">
        <v>166</v>
      </c>
      <c r="AR186" s="700">
        <v>1.0</v>
      </c>
      <c r="AS186" s="712">
        <v>1.0</v>
      </c>
      <c r="AT186" s="712" t="s">
        <v>166</v>
      </c>
      <c r="AU186" s="712" t="s">
        <v>166</v>
      </c>
      <c r="AV186" s="712">
        <v>3.0</v>
      </c>
      <c r="AW186" s="712">
        <v>1.0</v>
      </c>
      <c r="AX186" s="712">
        <v>1.0</v>
      </c>
      <c r="AY186" s="712" t="s">
        <v>174</v>
      </c>
      <c r="AZ186" s="712" t="s">
        <v>174</v>
      </c>
      <c r="BA186" s="712" t="s">
        <v>5342</v>
      </c>
      <c r="BB186" s="712" t="s">
        <v>5226</v>
      </c>
      <c r="BC186" s="712" t="s">
        <v>4963</v>
      </c>
      <c r="BD186" s="712">
        <v>8.0</v>
      </c>
      <c r="BE186" s="717" t="s">
        <v>5029</v>
      </c>
      <c r="BF186" s="717"/>
      <c r="BG186" s="66"/>
      <c r="BH186" s="66"/>
      <c r="BI186" s="66"/>
      <c r="BJ186" s="66"/>
      <c r="BK186" s="66"/>
      <c r="BL186" s="66"/>
      <c r="BM186" s="66"/>
      <c r="BN186" s="66"/>
      <c r="BO186" s="66"/>
      <c r="BP186" s="66"/>
      <c r="BQ186" s="66"/>
      <c r="BR186" s="66"/>
      <c r="BS186" s="66"/>
    </row>
    <row r="187">
      <c r="A187" s="705" t="s">
        <v>1688</v>
      </c>
      <c r="B187" s="705">
        <v>1700.0</v>
      </c>
      <c r="C187" s="705" t="s">
        <v>5409</v>
      </c>
      <c r="D187" s="282" t="s">
        <v>169</v>
      </c>
      <c r="E187" s="715" t="s">
        <v>5410</v>
      </c>
      <c r="F187" s="705" t="s">
        <v>5111</v>
      </c>
      <c r="G187" s="705" t="s">
        <v>174</v>
      </c>
      <c r="H187" s="705" t="s">
        <v>174</v>
      </c>
      <c r="I187" s="705" t="s">
        <v>174</v>
      </c>
      <c r="J187" s="705" t="s">
        <v>166</v>
      </c>
      <c r="K187" s="705" t="s">
        <v>166</v>
      </c>
      <c r="L187" s="705">
        <v>2.0</v>
      </c>
      <c r="M187" s="705" t="s">
        <v>3151</v>
      </c>
      <c r="N187" s="705">
        <v>96.0</v>
      </c>
      <c r="O187" s="705" t="s">
        <v>5411</v>
      </c>
      <c r="P187" s="705">
        <v>4.0</v>
      </c>
      <c r="Q187" s="711" t="s">
        <v>5305</v>
      </c>
      <c r="R187" s="707">
        <v>1.0</v>
      </c>
      <c r="S187" s="707" t="s">
        <v>166</v>
      </c>
      <c r="T187" s="707" t="s">
        <v>166</v>
      </c>
      <c r="U187" s="705" t="s">
        <v>166</v>
      </c>
      <c r="V187" s="705">
        <v>4.0</v>
      </c>
      <c r="W187" s="705" t="s">
        <v>166</v>
      </c>
      <c r="X187" s="705">
        <v>1.0</v>
      </c>
      <c r="Y187" s="705" t="s">
        <v>166</v>
      </c>
      <c r="Z187" s="705" t="s">
        <v>166</v>
      </c>
      <c r="AA187" s="705" t="s">
        <v>166</v>
      </c>
      <c r="AB187" s="705">
        <f t="shared" si="1"/>
        <v>6</v>
      </c>
      <c r="AC187" s="705">
        <v>1.0</v>
      </c>
      <c r="AD187" s="705">
        <v>1.0</v>
      </c>
      <c r="AE187" s="705" t="s">
        <v>5097</v>
      </c>
      <c r="AF187" s="707">
        <v>1.0</v>
      </c>
      <c r="AG187" s="705" t="s">
        <v>5412</v>
      </c>
      <c r="AH187" s="705" t="s">
        <v>5253</v>
      </c>
      <c r="AI187" s="705">
        <v>1.0</v>
      </c>
      <c r="AJ187" s="705" t="s">
        <v>5044</v>
      </c>
      <c r="AK187" s="48" t="s">
        <v>5376</v>
      </c>
      <c r="AL187" s="705">
        <v>2400.0</v>
      </c>
      <c r="AM187" s="705">
        <v>5.2</v>
      </c>
      <c r="AN187" s="705" t="s">
        <v>5039</v>
      </c>
      <c r="AO187" s="705" t="s">
        <v>174</v>
      </c>
      <c r="AP187" s="705">
        <v>2.0</v>
      </c>
      <c r="AQ187" s="705" t="s">
        <v>166</v>
      </c>
      <c r="AR187" s="705">
        <v>1.0</v>
      </c>
      <c r="AS187" s="705">
        <v>1.0</v>
      </c>
      <c r="AT187" s="705" t="s">
        <v>166</v>
      </c>
      <c r="AU187" s="705" t="s">
        <v>166</v>
      </c>
      <c r="AV187" s="705">
        <v>3.0</v>
      </c>
      <c r="AW187" s="705">
        <v>1.0</v>
      </c>
      <c r="AX187" s="705">
        <v>1.0</v>
      </c>
      <c r="AY187" s="705" t="s">
        <v>166</v>
      </c>
      <c r="AZ187" s="705" t="s">
        <v>166</v>
      </c>
      <c r="BA187" s="705" t="s">
        <v>5328</v>
      </c>
      <c r="BB187" s="705" t="s">
        <v>5354</v>
      </c>
      <c r="BC187" s="705" t="s">
        <v>4963</v>
      </c>
      <c r="BD187" s="705">
        <v>7.0</v>
      </c>
      <c r="BE187" s="708" t="s">
        <v>5009</v>
      </c>
      <c r="BF187" s="708"/>
      <c r="BG187" s="66"/>
      <c r="BH187" s="66"/>
      <c r="BI187" s="66"/>
      <c r="BJ187" s="66"/>
      <c r="BK187" s="66"/>
      <c r="BL187" s="66"/>
      <c r="BM187" s="66"/>
      <c r="BN187" s="66"/>
      <c r="BO187" s="66"/>
      <c r="BP187" s="66"/>
      <c r="BQ187" s="66"/>
      <c r="BR187" s="66"/>
      <c r="BS187" s="66"/>
    </row>
    <row r="188">
      <c r="A188" s="705" t="s">
        <v>1688</v>
      </c>
      <c r="B188" s="705">
        <v>1700.0</v>
      </c>
      <c r="C188" s="705" t="s">
        <v>5409</v>
      </c>
      <c r="D188" s="174" t="s">
        <v>169</v>
      </c>
      <c r="E188" s="715" t="s">
        <v>5413</v>
      </c>
      <c r="F188" s="705" t="s">
        <v>5111</v>
      </c>
      <c r="G188" s="705" t="s">
        <v>174</v>
      </c>
      <c r="H188" s="705" t="s">
        <v>174</v>
      </c>
      <c r="I188" s="705" t="s">
        <v>174</v>
      </c>
      <c r="J188" s="705" t="s">
        <v>166</v>
      </c>
      <c r="K188" s="705" t="s">
        <v>174</v>
      </c>
      <c r="L188" s="705">
        <v>2.0</v>
      </c>
      <c r="M188" s="705" t="s">
        <v>3151</v>
      </c>
      <c r="N188" s="705">
        <v>96.0</v>
      </c>
      <c r="O188" s="705" t="s">
        <v>5411</v>
      </c>
      <c r="P188" s="705">
        <v>3.0</v>
      </c>
      <c r="Q188" s="708" t="s">
        <v>5414</v>
      </c>
      <c r="R188" s="707" t="s">
        <v>166</v>
      </c>
      <c r="S188" s="707" t="s">
        <v>166</v>
      </c>
      <c r="T188" s="707" t="s">
        <v>166</v>
      </c>
      <c r="U188" s="705" t="s">
        <v>166</v>
      </c>
      <c r="V188" s="705">
        <v>6.0</v>
      </c>
      <c r="W188" s="705" t="s">
        <v>166</v>
      </c>
      <c r="X188" s="705" t="s">
        <v>166</v>
      </c>
      <c r="Y188" s="705" t="s">
        <v>166</v>
      </c>
      <c r="Z188" s="705" t="s">
        <v>166</v>
      </c>
      <c r="AA188" s="705">
        <v>2.0</v>
      </c>
      <c r="AB188" s="705">
        <f t="shared" si="1"/>
        <v>8</v>
      </c>
      <c r="AC188" s="705">
        <v>1.0</v>
      </c>
      <c r="AD188" s="705">
        <v>1.0</v>
      </c>
      <c r="AE188" s="705" t="s">
        <v>5097</v>
      </c>
      <c r="AF188" s="707">
        <v>1.0</v>
      </c>
      <c r="AG188" s="705" t="s">
        <v>5415</v>
      </c>
      <c r="AH188" s="705">
        <v>2.5</v>
      </c>
      <c r="AI188" s="705">
        <v>1.0</v>
      </c>
      <c r="AJ188" s="705" t="s">
        <v>5044</v>
      </c>
      <c r="AK188" s="48" t="s">
        <v>5115</v>
      </c>
      <c r="AL188" s="705">
        <v>2400.0</v>
      </c>
      <c r="AM188" s="705">
        <v>5.2</v>
      </c>
      <c r="AN188" s="705" t="s">
        <v>5416</v>
      </c>
      <c r="AO188" s="705" t="s">
        <v>174</v>
      </c>
      <c r="AP188" s="705">
        <v>2.0</v>
      </c>
      <c r="AQ188" s="705" t="s">
        <v>166</v>
      </c>
      <c r="AR188" s="705">
        <v>1.0</v>
      </c>
      <c r="AS188" s="705">
        <v>1.0</v>
      </c>
      <c r="AT188" s="705" t="s">
        <v>166</v>
      </c>
      <c r="AU188" s="705" t="s">
        <v>166</v>
      </c>
      <c r="AV188" s="705">
        <v>3.0</v>
      </c>
      <c r="AW188" s="705">
        <v>1.0</v>
      </c>
      <c r="AX188" s="705">
        <v>1.0</v>
      </c>
      <c r="AY188" s="705" t="s">
        <v>174</v>
      </c>
      <c r="AZ188" s="705" t="s">
        <v>174</v>
      </c>
      <c r="BA188" s="705" t="s">
        <v>5359</v>
      </c>
      <c r="BB188" s="705" t="s">
        <v>5318</v>
      </c>
      <c r="BC188" s="705" t="s">
        <v>4963</v>
      </c>
      <c r="BD188" s="705">
        <v>10.0</v>
      </c>
      <c r="BE188" s="708" t="s">
        <v>5101</v>
      </c>
      <c r="BF188" s="708" t="s">
        <v>5035</v>
      </c>
      <c r="BG188" s="66"/>
      <c r="BH188" s="66"/>
      <c r="BI188" s="66"/>
      <c r="BJ188" s="66"/>
      <c r="BK188" s="66"/>
      <c r="BL188" s="66"/>
      <c r="BM188" s="66"/>
      <c r="BN188" s="66"/>
      <c r="BO188" s="66"/>
      <c r="BP188" s="66"/>
      <c r="BQ188" s="66"/>
      <c r="BR188" s="66"/>
      <c r="BS188" s="66"/>
    </row>
    <row r="189">
      <c r="A189" s="705" t="s">
        <v>1688</v>
      </c>
      <c r="B189" s="705">
        <v>1700.0</v>
      </c>
      <c r="C189" s="705" t="s">
        <v>5409</v>
      </c>
      <c r="D189" s="174" t="s">
        <v>169</v>
      </c>
      <c r="E189" s="715" t="s">
        <v>5417</v>
      </c>
      <c r="F189" s="705" t="s">
        <v>5111</v>
      </c>
      <c r="G189" s="705" t="s">
        <v>174</v>
      </c>
      <c r="H189" s="705" t="s">
        <v>174</v>
      </c>
      <c r="I189" s="705" t="s">
        <v>174</v>
      </c>
      <c r="J189" s="705" t="s">
        <v>166</v>
      </c>
      <c r="K189" s="705" t="s">
        <v>166</v>
      </c>
      <c r="L189" s="705">
        <v>2.0</v>
      </c>
      <c r="M189" s="705" t="s">
        <v>3151</v>
      </c>
      <c r="N189" s="705">
        <v>96.0</v>
      </c>
      <c r="O189" s="705" t="s">
        <v>5382</v>
      </c>
      <c r="P189" s="705">
        <v>3.0</v>
      </c>
      <c r="Q189" s="698" t="s">
        <v>5418</v>
      </c>
      <c r="R189" s="707" t="s">
        <v>166</v>
      </c>
      <c r="S189" s="707" t="s">
        <v>166</v>
      </c>
      <c r="T189" s="707">
        <v>4.0</v>
      </c>
      <c r="U189" s="705" t="s">
        <v>166</v>
      </c>
      <c r="V189" s="705">
        <v>1.0</v>
      </c>
      <c r="W189" s="705">
        <v>1.0</v>
      </c>
      <c r="X189" s="705" t="s">
        <v>166</v>
      </c>
      <c r="Y189" s="705" t="s">
        <v>166</v>
      </c>
      <c r="Z189" s="705" t="s">
        <v>166</v>
      </c>
      <c r="AA189" s="705" t="s">
        <v>166</v>
      </c>
      <c r="AB189" s="705">
        <f t="shared" si="1"/>
        <v>6</v>
      </c>
      <c r="AC189" s="705">
        <v>1.0</v>
      </c>
      <c r="AD189" s="705">
        <v>1.0</v>
      </c>
      <c r="AE189" s="705" t="s">
        <v>5049</v>
      </c>
      <c r="AF189" s="707">
        <v>1.0</v>
      </c>
      <c r="AG189" s="705" t="s">
        <v>5043</v>
      </c>
      <c r="AH189" s="705">
        <v>2.5</v>
      </c>
      <c r="AI189" s="705">
        <v>1.0</v>
      </c>
      <c r="AJ189" s="705" t="s">
        <v>5044</v>
      </c>
      <c r="AK189" s="48" t="s">
        <v>5300</v>
      </c>
      <c r="AL189" s="705">
        <v>2400.0</v>
      </c>
      <c r="AM189" s="705">
        <v>5.3</v>
      </c>
      <c r="AN189" s="705" t="s">
        <v>5039</v>
      </c>
      <c r="AO189" s="705" t="s">
        <v>174</v>
      </c>
      <c r="AP189" s="705">
        <v>2.0</v>
      </c>
      <c r="AQ189" s="705" t="s">
        <v>166</v>
      </c>
      <c r="AR189" s="48">
        <v>1.0</v>
      </c>
      <c r="AS189" s="705">
        <v>1.0</v>
      </c>
      <c r="AT189" s="705" t="s">
        <v>166</v>
      </c>
      <c r="AU189" s="705" t="s">
        <v>166</v>
      </c>
      <c r="AV189" s="705">
        <v>3.0</v>
      </c>
      <c r="AW189" s="705" t="s">
        <v>166</v>
      </c>
      <c r="AX189" s="705">
        <v>2.0</v>
      </c>
      <c r="AY189" s="705" t="s">
        <v>166</v>
      </c>
      <c r="AZ189" s="705" t="s">
        <v>174</v>
      </c>
      <c r="BA189" s="705" t="s">
        <v>170</v>
      </c>
      <c r="BB189" s="705" t="s">
        <v>5384</v>
      </c>
      <c r="BC189" s="705" t="s">
        <v>170</v>
      </c>
      <c r="BD189" s="705">
        <v>14.0</v>
      </c>
      <c r="BE189" s="708" t="s">
        <v>5385</v>
      </c>
      <c r="BF189" s="708" t="s">
        <v>5035</v>
      </c>
      <c r="BG189" s="66"/>
      <c r="BH189" s="66"/>
      <c r="BI189" s="66"/>
      <c r="BJ189" s="66"/>
      <c r="BK189" s="66"/>
      <c r="BL189" s="66"/>
      <c r="BM189" s="66"/>
      <c r="BN189" s="66"/>
      <c r="BO189" s="66"/>
      <c r="BP189" s="66"/>
      <c r="BQ189" s="66"/>
      <c r="BR189" s="66"/>
      <c r="BS189" s="66"/>
    </row>
    <row r="190">
      <c r="A190" s="705" t="s">
        <v>1688</v>
      </c>
      <c r="B190" s="705">
        <v>1700.0</v>
      </c>
      <c r="C190" s="705" t="s">
        <v>5409</v>
      </c>
      <c r="D190" s="282" t="str">
        <f>HYPERLINK("https://www.asus.com/","Asus")</f>
        <v>Asus</v>
      </c>
      <c r="E190" s="715" t="s">
        <v>5419</v>
      </c>
      <c r="F190" s="705" t="s">
        <v>5111</v>
      </c>
      <c r="G190" s="705" t="s">
        <v>174</v>
      </c>
      <c r="H190" s="705" t="s">
        <v>174</v>
      </c>
      <c r="I190" s="705" t="s">
        <v>174</v>
      </c>
      <c r="J190" s="705" t="s">
        <v>174</v>
      </c>
      <c r="K190" s="705" t="s">
        <v>174</v>
      </c>
      <c r="L190" s="705">
        <v>2.0</v>
      </c>
      <c r="M190" s="705" t="s">
        <v>3151</v>
      </c>
      <c r="N190" s="705">
        <v>96.0</v>
      </c>
      <c r="O190" s="705" t="s">
        <v>5387</v>
      </c>
      <c r="P190" s="705">
        <v>2.0</v>
      </c>
      <c r="Q190" s="711" t="s">
        <v>5126</v>
      </c>
      <c r="R190" s="707">
        <v>2.0</v>
      </c>
      <c r="S190" s="707" t="s">
        <v>166</v>
      </c>
      <c r="T190" s="707">
        <v>1.0</v>
      </c>
      <c r="U190" s="705" t="s">
        <v>166</v>
      </c>
      <c r="V190" s="705">
        <v>3.0</v>
      </c>
      <c r="W190" s="705" t="s">
        <v>166</v>
      </c>
      <c r="X190" s="705">
        <v>1.0</v>
      </c>
      <c r="Y190" s="705" t="s">
        <v>166</v>
      </c>
      <c r="Z190" s="705" t="s">
        <v>166</v>
      </c>
      <c r="AA190" s="705">
        <v>2.0</v>
      </c>
      <c r="AB190" s="705">
        <f t="shared" si="1"/>
        <v>9</v>
      </c>
      <c r="AC190" s="705">
        <v>2.0</v>
      </c>
      <c r="AD190" s="705">
        <v>1.0</v>
      </c>
      <c r="AE190" s="705" t="s">
        <v>5097</v>
      </c>
      <c r="AF190" s="707">
        <v>1.0</v>
      </c>
      <c r="AG190" s="705" t="s">
        <v>5026</v>
      </c>
      <c r="AH190" s="705">
        <v>2.5</v>
      </c>
      <c r="AI190" s="705">
        <v>1.0</v>
      </c>
      <c r="AJ190" s="705" t="s">
        <v>5044</v>
      </c>
      <c r="AK190" s="48" t="s">
        <v>5376</v>
      </c>
      <c r="AL190" s="705">
        <v>2400.0</v>
      </c>
      <c r="AM190" s="705">
        <v>5.3</v>
      </c>
      <c r="AN190" s="705" t="s">
        <v>5127</v>
      </c>
      <c r="AO190" s="705" t="s">
        <v>174</v>
      </c>
      <c r="AP190" s="705">
        <v>2.0</v>
      </c>
      <c r="AQ190" s="705" t="s">
        <v>166</v>
      </c>
      <c r="AR190" s="705" t="s">
        <v>166</v>
      </c>
      <c r="AS190" s="705">
        <v>1.0</v>
      </c>
      <c r="AT190" s="705" t="s">
        <v>166</v>
      </c>
      <c r="AU190" s="705" t="s">
        <v>166</v>
      </c>
      <c r="AV190" s="705">
        <v>3.0</v>
      </c>
      <c r="AW190" s="705">
        <v>1.0</v>
      </c>
      <c r="AX190" s="705">
        <v>1.0</v>
      </c>
      <c r="AY190" s="705" t="s">
        <v>174</v>
      </c>
      <c r="AZ190" s="705" t="s">
        <v>174</v>
      </c>
      <c r="BA190" s="705" t="s">
        <v>5359</v>
      </c>
      <c r="BB190" s="705" t="s">
        <v>5318</v>
      </c>
      <c r="BC190" s="705" t="s">
        <v>4963</v>
      </c>
      <c r="BD190" s="705">
        <v>10.0</v>
      </c>
      <c r="BE190" s="708" t="s">
        <v>5101</v>
      </c>
      <c r="BF190" s="708" t="s">
        <v>5035</v>
      </c>
      <c r="BG190" s="66"/>
      <c r="BH190" s="66"/>
      <c r="BI190" s="66"/>
      <c r="BJ190" s="66"/>
      <c r="BK190" s="66"/>
      <c r="BL190" s="66"/>
      <c r="BM190" s="66"/>
      <c r="BN190" s="66"/>
      <c r="BO190" s="66"/>
      <c r="BP190" s="66"/>
      <c r="BQ190" s="66"/>
      <c r="BR190" s="66"/>
      <c r="BS190" s="66"/>
    </row>
    <row r="191">
      <c r="A191" s="705" t="s">
        <v>1688</v>
      </c>
      <c r="B191" s="705">
        <v>1700.0</v>
      </c>
      <c r="C191" s="705" t="s">
        <v>5409</v>
      </c>
      <c r="D191" s="174" t="str">
        <f>HYPERLINK("https://www.gigabyte.com/","Gigabyte")</f>
        <v>Gigabyte</v>
      </c>
      <c r="E191" s="727" t="s">
        <v>5420</v>
      </c>
      <c r="F191" s="728" t="s">
        <v>5111</v>
      </c>
      <c r="G191" s="728" t="s">
        <v>174</v>
      </c>
      <c r="H191" s="728" t="s">
        <v>174</v>
      </c>
      <c r="I191" s="728" t="s">
        <v>174</v>
      </c>
      <c r="J191" s="728" t="s">
        <v>174</v>
      </c>
      <c r="K191" s="728" t="s">
        <v>166</v>
      </c>
      <c r="L191" s="728">
        <v>2.0</v>
      </c>
      <c r="M191" s="705" t="s">
        <v>3151</v>
      </c>
      <c r="N191" s="728">
        <v>96.0</v>
      </c>
      <c r="O191" s="728" t="s">
        <v>5119</v>
      </c>
      <c r="P191" s="728">
        <v>2.0</v>
      </c>
      <c r="Q191" s="711" t="s">
        <v>5126</v>
      </c>
      <c r="R191" s="729">
        <v>2.0</v>
      </c>
      <c r="S191" s="729" t="s">
        <v>166</v>
      </c>
      <c r="T191" s="729">
        <v>2.0</v>
      </c>
      <c r="U191" s="728" t="s">
        <v>166</v>
      </c>
      <c r="V191" s="728">
        <v>2.0</v>
      </c>
      <c r="W191" s="728" t="s">
        <v>166</v>
      </c>
      <c r="X191" s="728">
        <v>1.0</v>
      </c>
      <c r="Y191" s="728" t="s">
        <v>166</v>
      </c>
      <c r="Z191" s="728" t="s">
        <v>166</v>
      </c>
      <c r="AA191" s="728" t="s">
        <v>166</v>
      </c>
      <c r="AB191" s="705">
        <f t="shared" si="1"/>
        <v>7</v>
      </c>
      <c r="AC191" s="728">
        <v>1.0</v>
      </c>
      <c r="AD191" s="728">
        <v>1.0</v>
      </c>
      <c r="AE191" s="48" t="s">
        <v>5025</v>
      </c>
      <c r="AF191" s="707">
        <v>1.0</v>
      </c>
      <c r="AG191" s="705" t="s">
        <v>5026</v>
      </c>
      <c r="AH191" s="705">
        <v>2.5</v>
      </c>
      <c r="AI191" s="705">
        <v>1.0</v>
      </c>
      <c r="AJ191" s="705" t="s">
        <v>5044</v>
      </c>
      <c r="AK191" s="48" t="s">
        <v>5421</v>
      </c>
      <c r="AL191" s="705">
        <v>2400.0</v>
      </c>
      <c r="AM191" s="705">
        <v>5.3</v>
      </c>
      <c r="AN191" s="48" t="s">
        <v>5099</v>
      </c>
      <c r="AO191" s="728" t="s">
        <v>166</v>
      </c>
      <c r="AP191" s="728">
        <v>2.0</v>
      </c>
      <c r="AQ191" s="728" t="s">
        <v>166</v>
      </c>
      <c r="AR191" s="705">
        <v>1.0</v>
      </c>
      <c r="AS191" s="705">
        <v>1.0</v>
      </c>
      <c r="AT191" s="728" t="s">
        <v>166</v>
      </c>
      <c r="AU191" s="728" t="s">
        <v>166</v>
      </c>
      <c r="AV191" s="728">
        <v>4.0</v>
      </c>
      <c r="AW191" s="728">
        <v>1.0</v>
      </c>
      <c r="AX191" s="728">
        <v>1.0</v>
      </c>
      <c r="AY191" s="728" t="s">
        <v>166</v>
      </c>
      <c r="AZ191" s="728" t="s">
        <v>174</v>
      </c>
      <c r="BA191" s="705" t="s">
        <v>5351</v>
      </c>
      <c r="BB191" s="705" t="s">
        <v>5318</v>
      </c>
      <c r="BC191" s="705" t="s">
        <v>4963</v>
      </c>
      <c r="BD191" s="705">
        <v>10.0</v>
      </c>
      <c r="BE191" s="708" t="s">
        <v>5101</v>
      </c>
      <c r="BF191" s="698" t="s">
        <v>5371</v>
      </c>
      <c r="BG191" s="66"/>
      <c r="BH191" s="66"/>
      <c r="BI191" s="66"/>
      <c r="BJ191" s="66"/>
      <c r="BK191" s="66"/>
      <c r="BL191" s="66"/>
      <c r="BM191" s="66"/>
      <c r="BN191" s="66"/>
      <c r="BO191" s="66"/>
      <c r="BP191" s="66"/>
      <c r="BQ191" s="66"/>
      <c r="BR191" s="66"/>
      <c r="BS191" s="66"/>
    </row>
    <row r="192">
      <c r="A192" s="700" t="s">
        <v>1688</v>
      </c>
      <c r="B192" s="700">
        <v>1700.0</v>
      </c>
      <c r="C192" s="700" t="s">
        <v>5409</v>
      </c>
      <c r="D192" s="291" t="str">
        <f>HYPERLINK("https://www.msi.com/index.php","MSI")</f>
        <v>MSI</v>
      </c>
      <c r="E192" s="714" t="s">
        <v>5422</v>
      </c>
      <c r="F192" s="700" t="s">
        <v>5111</v>
      </c>
      <c r="G192" s="700" t="s">
        <v>166</v>
      </c>
      <c r="H192" s="700" t="s">
        <v>174</v>
      </c>
      <c r="I192" s="700" t="s">
        <v>174</v>
      </c>
      <c r="J192" s="700" t="s">
        <v>166</v>
      </c>
      <c r="K192" s="700" t="s">
        <v>174</v>
      </c>
      <c r="L192" s="700">
        <v>2.0</v>
      </c>
      <c r="M192" s="700" t="s">
        <v>3151</v>
      </c>
      <c r="N192" s="700">
        <v>128.0</v>
      </c>
      <c r="O192" s="700" t="s">
        <v>5119</v>
      </c>
      <c r="P192" s="700">
        <v>4.0</v>
      </c>
      <c r="Q192" s="703" t="s">
        <v>5423</v>
      </c>
      <c r="R192" s="702" t="s">
        <v>166</v>
      </c>
      <c r="S192" s="702" t="s">
        <v>166</v>
      </c>
      <c r="T192" s="702">
        <v>4.0</v>
      </c>
      <c r="U192" s="700" t="s">
        <v>166</v>
      </c>
      <c r="V192" s="700">
        <v>2.0</v>
      </c>
      <c r="W192" s="700" t="s">
        <v>166</v>
      </c>
      <c r="X192" s="700">
        <v>1.0</v>
      </c>
      <c r="Y192" s="700" t="s">
        <v>166</v>
      </c>
      <c r="Z192" s="700" t="s">
        <v>166</v>
      </c>
      <c r="AA192" s="700" t="s">
        <v>166</v>
      </c>
      <c r="AB192" s="700">
        <f t="shared" si="1"/>
        <v>7</v>
      </c>
      <c r="AC192" s="700">
        <v>2.0</v>
      </c>
      <c r="AD192" s="700">
        <v>2.0</v>
      </c>
      <c r="AE192" s="700" t="s">
        <v>5097</v>
      </c>
      <c r="AF192" s="702">
        <v>1.0</v>
      </c>
      <c r="AG192" s="712" t="s">
        <v>5424</v>
      </c>
      <c r="AH192" s="700">
        <v>2.5</v>
      </c>
      <c r="AI192" s="700">
        <v>1.0</v>
      </c>
      <c r="AJ192" s="700" t="s">
        <v>5044</v>
      </c>
      <c r="AK192" s="700" t="s">
        <v>5376</v>
      </c>
      <c r="AL192" s="700">
        <v>2400.0</v>
      </c>
      <c r="AM192" s="700">
        <v>5.2</v>
      </c>
      <c r="AN192" s="700" t="s">
        <v>5099</v>
      </c>
      <c r="AO192" s="700" t="s">
        <v>166</v>
      </c>
      <c r="AP192" s="700">
        <v>3.0</v>
      </c>
      <c r="AQ192" s="700" t="s">
        <v>166</v>
      </c>
      <c r="AR192" s="700">
        <v>1.0</v>
      </c>
      <c r="AS192" s="700">
        <v>1.0</v>
      </c>
      <c r="AT192" s="700" t="s">
        <v>166</v>
      </c>
      <c r="AU192" s="700" t="s">
        <v>166</v>
      </c>
      <c r="AV192" s="700">
        <v>3.0</v>
      </c>
      <c r="AW192" s="700" t="s">
        <v>166</v>
      </c>
      <c r="AX192" s="700">
        <v>1.0</v>
      </c>
      <c r="AY192" s="700" t="s">
        <v>174</v>
      </c>
      <c r="AZ192" s="700" t="s">
        <v>174</v>
      </c>
      <c r="BA192" s="700" t="s">
        <v>5359</v>
      </c>
      <c r="BB192" s="700" t="s">
        <v>5318</v>
      </c>
      <c r="BC192" s="700" t="s">
        <v>4963</v>
      </c>
      <c r="BD192" s="700">
        <v>10.0</v>
      </c>
      <c r="BE192" s="703" t="s">
        <v>5101</v>
      </c>
      <c r="BF192" s="703" t="s">
        <v>5035</v>
      </c>
      <c r="BG192" s="66"/>
      <c r="BH192" s="66"/>
      <c r="BI192" s="66"/>
      <c r="BJ192" s="66"/>
      <c r="BK192" s="66"/>
      <c r="BL192" s="66"/>
      <c r="BM192" s="66"/>
      <c r="BN192" s="66"/>
      <c r="BO192" s="66"/>
      <c r="BP192" s="66"/>
      <c r="BQ192" s="66"/>
      <c r="BR192" s="66"/>
      <c r="BS192" s="66"/>
    </row>
    <row r="193">
      <c r="A193" s="705" t="s">
        <v>1688</v>
      </c>
      <c r="B193" s="705">
        <v>2066.0</v>
      </c>
      <c r="C193" s="705" t="s">
        <v>5425</v>
      </c>
      <c r="D193" s="282" t="s">
        <v>169</v>
      </c>
      <c r="E193" s="282" t="str">
        <f>HYPERLINK("https://www.asrock.com/mb/Intel/X299E-ITXac/index.asp","X299E-ITX/ac")</f>
        <v>X299E-ITX/ac</v>
      </c>
      <c r="F193" s="705" t="s">
        <v>4948</v>
      </c>
      <c r="G193" s="705" t="s">
        <v>174</v>
      </c>
      <c r="H193" s="705" t="s">
        <v>174</v>
      </c>
      <c r="I193" s="705" t="s">
        <v>174</v>
      </c>
      <c r="J193" s="705" t="s">
        <v>166</v>
      </c>
      <c r="K193" s="705" t="s">
        <v>174</v>
      </c>
      <c r="L193" s="705">
        <v>4.0</v>
      </c>
      <c r="M193" s="705" t="s">
        <v>3149</v>
      </c>
      <c r="N193" s="705">
        <v>128.0</v>
      </c>
      <c r="O193" s="705" t="s">
        <v>4996</v>
      </c>
      <c r="P193" s="705">
        <v>6.0</v>
      </c>
      <c r="Q193" s="708" t="s">
        <v>5426</v>
      </c>
      <c r="R193" s="707" t="s">
        <v>166</v>
      </c>
      <c r="S193" s="707" t="s">
        <v>166</v>
      </c>
      <c r="T193" s="707">
        <v>4.0</v>
      </c>
      <c r="U193" s="705" t="s">
        <v>166</v>
      </c>
      <c r="V193" s="705">
        <v>1.0</v>
      </c>
      <c r="W193" s="705">
        <v>1.0</v>
      </c>
      <c r="X193" s="705" t="s">
        <v>166</v>
      </c>
      <c r="Y193" s="705" t="s">
        <v>166</v>
      </c>
      <c r="Z193" s="705" t="s">
        <v>166</v>
      </c>
      <c r="AA193" s="705" t="s">
        <v>166</v>
      </c>
      <c r="AB193" s="705">
        <f t="shared" si="1"/>
        <v>6</v>
      </c>
      <c r="AC193" s="705">
        <v>1.0</v>
      </c>
      <c r="AD193" s="705">
        <v>1.0</v>
      </c>
      <c r="AE193" s="705" t="s">
        <v>166</v>
      </c>
      <c r="AF193" s="707">
        <v>2.0</v>
      </c>
      <c r="AG193" s="705" t="s">
        <v>5140</v>
      </c>
      <c r="AH193" s="705">
        <v>1.0</v>
      </c>
      <c r="AI193" s="705">
        <v>1.0</v>
      </c>
      <c r="AJ193" s="705" t="s">
        <v>4966</v>
      </c>
      <c r="AK193" s="705" t="s">
        <v>5165</v>
      </c>
      <c r="AL193" s="705">
        <v>867.0</v>
      </c>
      <c r="AM193" s="705">
        <v>4.2</v>
      </c>
      <c r="AN193" s="705" t="s">
        <v>4952</v>
      </c>
      <c r="AO193" s="705" t="s">
        <v>174</v>
      </c>
      <c r="AP193" s="705">
        <v>5.0</v>
      </c>
      <c r="AQ193" s="705" t="s">
        <v>166</v>
      </c>
      <c r="AR193" s="705" t="s">
        <v>166</v>
      </c>
      <c r="AS193" s="705" t="s">
        <v>166</v>
      </c>
      <c r="AT193" s="705" t="s">
        <v>166</v>
      </c>
      <c r="AU193" s="705" t="s">
        <v>166</v>
      </c>
      <c r="AV193" s="705">
        <v>3.0</v>
      </c>
      <c r="AW193" s="705">
        <v>1.0</v>
      </c>
      <c r="AX193" s="705" t="s">
        <v>166</v>
      </c>
      <c r="AY193" s="705" t="s">
        <v>166</v>
      </c>
      <c r="AZ193" s="705" t="s">
        <v>166</v>
      </c>
      <c r="BA193" s="705" t="s">
        <v>5208</v>
      </c>
      <c r="BB193" s="705" t="s">
        <v>4973</v>
      </c>
      <c r="BC193" s="705" t="s">
        <v>4963</v>
      </c>
      <c r="BD193" s="705">
        <v>6.0</v>
      </c>
      <c r="BE193" s="708" t="s">
        <v>5427</v>
      </c>
      <c r="BF193" s="708"/>
      <c r="BG193" s="66"/>
      <c r="BH193" s="66"/>
      <c r="BI193" s="66"/>
      <c r="BJ193" s="66"/>
      <c r="BK193" s="66"/>
      <c r="BL193" s="66"/>
      <c r="BM193" s="66"/>
      <c r="BN193" s="66"/>
      <c r="BO193" s="66"/>
      <c r="BP193" s="66"/>
      <c r="BQ193" s="66"/>
      <c r="BR193" s="66"/>
      <c r="BS193" s="66"/>
    </row>
    <row r="194">
      <c r="A194" s="66"/>
      <c r="B194" s="66"/>
      <c r="C194" s="66"/>
      <c r="D194" s="66"/>
      <c r="E194" s="66"/>
      <c r="F194" s="66"/>
      <c r="G194" s="66"/>
      <c r="H194" s="66"/>
      <c r="I194" s="66"/>
      <c r="J194" s="66"/>
      <c r="K194" s="66"/>
      <c r="L194" s="66"/>
      <c r="M194" s="66"/>
      <c r="N194" s="66"/>
      <c r="O194" s="66"/>
      <c r="P194" s="66"/>
      <c r="Q194" s="66"/>
      <c r="R194" s="730"/>
      <c r="S194" s="730"/>
      <c r="T194" s="730"/>
      <c r="U194" s="730"/>
      <c r="V194" s="730"/>
      <c r="W194" s="730"/>
      <c r="X194" s="730"/>
      <c r="Y194" s="730"/>
      <c r="Z194" s="730"/>
      <c r="AA194" s="730"/>
      <c r="AB194" s="730"/>
      <c r="AC194" s="730"/>
      <c r="AD194" s="730"/>
      <c r="AE194" s="730"/>
      <c r="AF194" s="730"/>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row>
    <row r="195">
      <c r="A195" s="66"/>
      <c r="B195" s="66"/>
      <c r="C195" s="66"/>
      <c r="D195" s="66"/>
      <c r="E195" s="66"/>
      <c r="F195" s="66"/>
      <c r="G195" s="66"/>
      <c r="H195" s="66"/>
      <c r="I195" s="66"/>
      <c r="J195" s="66"/>
      <c r="K195" s="66"/>
      <c r="L195" s="66"/>
      <c r="M195" s="66"/>
      <c r="N195" s="66"/>
      <c r="O195" s="66"/>
      <c r="P195" s="66"/>
      <c r="Q195" s="66"/>
      <c r="R195" s="730"/>
      <c r="S195" s="730"/>
      <c r="T195" s="730"/>
      <c r="U195" s="730"/>
      <c r="V195" s="730"/>
      <c r="W195" s="730"/>
      <c r="X195" s="730"/>
      <c r="Y195" s="730"/>
      <c r="Z195" s="730"/>
      <c r="AA195" s="730"/>
      <c r="AB195" s="730"/>
      <c r="AC195" s="730"/>
      <c r="AD195" s="730"/>
      <c r="AE195" s="730"/>
      <c r="AF195" s="730"/>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row>
    <row r="196">
      <c r="A196" s="66"/>
      <c r="B196" s="66"/>
      <c r="C196" s="66"/>
      <c r="D196" s="66"/>
      <c r="E196" s="66"/>
      <c r="F196" s="66"/>
      <c r="G196" s="66"/>
      <c r="H196" s="66"/>
      <c r="I196" s="66"/>
      <c r="J196" s="66"/>
      <c r="K196" s="66"/>
      <c r="L196" s="66"/>
      <c r="M196" s="66"/>
      <c r="N196" s="66"/>
      <c r="O196" s="66"/>
      <c r="P196" s="66"/>
      <c r="Q196" s="66"/>
      <c r="R196" s="730"/>
      <c r="S196" s="730"/>
      <c r="T196" s="730"/>
      <c r="U196" s="730"/>
      <c r="V196" s="730"/>
      <c r="W196" s="730"/>
      <c r="X196" s="730"/>
      <c r="Y196" s="730"/>
      <c r="Z196" s="730"/>
      <c r="AA196" s="730"/>
      <c r="AB196" s="730"/>
      <c r="AC196" s="730"/>
      <c r="AD196" s="730"/>
      <c r="AE196" s="730"/>
      <c r="AF196" s="730"/>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row>
    <row r="197">
      <c r="A197" s="66"/>
      <c r="B197" s="66"/>
      <c r="C197" s="66"/>
      <c r="D197" s="66"/>
      <c r="E197" s="66"/>
      <c r="F197" s="66"/>
      <c r="G197" s="66"/>
      <c r="H197" s="66"/>
      <c r="I197" s="66"/>
      <c r="J197" s="66"/>
      <c r="K197" s="66"/>
      <c r="L197" s="66"/>
      <c r="M197" s="66"/>
      <c r="N197" s="66"/>
      <c r="O197" s="66"/>
      <c r="P197" s="66"/>
      <c r="Q197" s="66"/>
      <c r="R197" s="730"/>
      <c r="S197" s="730"/>
      <c r="T197" s="730"/>
      <c r="U197" s="730"/>
      <c r="V197" s="730"/>
      <c r="W197" s="730"/>
      <c r="X197" s="730"/>
      <c r="Y197" s="730"/>
      <c r="Z197" s="730"/>
      <c r="AA197" s="730"/>
      <c r="AB197" s="730"/>
      <c r="AC197" s="730"/>
      <c r="AD197" s="730"/>
      <c r="AE197" s="730"/>
      <c r="AF197" s="730"/>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row>
    <row r="198">
      <c r="A198" s="66"/>
      <c r="B198" s="66"/>
      <c r="C198" s="66"/>
      <c r="D198" s="66"/>
      <c r="E198" s="66"/>
      <c r="F198" s="66"/>
      <c r="G198" s="66"/>
      <c r="H198" s="66"/>
      <c r="I198" s="66"/>
      <c r="J198" s="66"/>
      <c r="K198" s="66"/>
      <c r="L198" s="66"/>
      <c r="M198" s="66"/>
      <c r="N198" s="66"/>
      <c r="O198" s="66"/>
      <c r="P198" s="66"/>
      <c r="Q198" s="66"/>
      <c r="R198" s="730"/>
      <c r="S198" s="730"/>
      <c r="T198" s="730"/>
      <c r="U198" s="730"/>
      <c r="V198" s="730"/>
      <c r="W198" s="730"/>
      <c r="X198" s="730"/>
      <c r="Y198" s="730"/>
      <c r="Z198" s="730"/>
      <c r="AA198" s="730"/>
      <c r="AB198" s="730"/>
      <c r="AC198" s="730"/>
      <c r="AD198" s="730"/>
      <c r="AE198" s="730"/>
      <c r="AF198" s="730"/>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row>
    <row r="199">
      <c r="A199" s="66"/>
      <c r="B199" s="66"/>
      <c r="C199" s="66"/>
      <c r="D199" s="66"/>
      <c r="E199" s="66"/>
      <c r="F199" s="66"/>
      <c r="G199" s="66"/>
      <c r="H199" s="66"/>
      <c r="I199" s="66"/>
      <c r="J199" s="66"/>
      <c r="K199" s="66"/>
      <c r="L199" s="66"/>
      <c r="M199" s="66"/>
      <c r="N199" s="66"/>
      <c r="O199" s="66"/>
      <c r="P199" s="66"/>
      <c r="Q199" s="66"/>
      <c r="R199" s="730"/>
      <c r="S199" s="730"/>
      <c r="T199" s="730"/>
      <c r="U199" s="730"/>
      <c r="V199" s="730"/>
      <c r="W199" s="730"/>
      <c r="X199" s="730"/>
      <c r="Y199" s="730"/>
      <c r="Z199" s="730"/>
      <c r="AA199" s="730"/>
      <c r="AB199" s="730"/>
      <c r="AC199" s="730"/>
      <c r="AD199" s="730"/>
      <c r="AE199" s="730"/>
      <c r="AF199" s="730"/>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row>
    <row r="200">
      <c r="A200" s="66"/>
      <c r="B200" s="66"/>
      <c r="C200" s="66"/>
      <c r="D200" s="66"/>
      <c r="E200" s="66"/>
      <c r="F200" s="66"/>
      <c r="G200" s="66"/>
      <c r="H200" s="66"/>
      <c r="I200" s="66"/>
      <c r="J200" s="66"/>
      <c r="K200" s="66"/>
      <c r="L200" s="66"/>
      <c r="M200" s="66"/>
      <c r="N200" s="66"/>
      <c r="O200" s="66"/>
      <c r="P200" s="66"/>
      <c r="Q200" s="66"/>
      <c r="R200" s="730"/>
      <c r="S200" s="730"/>
      <c r="T200" s="730"/>
      <c r="U200" s="730"/>
      <c r="V200" s="730"/>
      <c r="W200" s="730"/>
      <c r="X200" s="730"/>
      <c r="Y200" s="730"/>
      <c r="Z200" s="730"/>
      <c r="AA200" s="730"/>
      <c r="AB200" s="730"/>
      <c r="AC200" s="730"/>
      <c r="AD200" s="730"/>
      <c r="AE200" s="730"/>
      <c r="AF200" s="730"/>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row>
    <row r="201">
      <c r="A201" s="66"/>
      <c r="B201" s="66"/>
      <c r="C201" s="66"/>
      <c r="D201" s="66"/>
      <c r="E201" s="66"/>
      <c r="F201" s="66"/>
      <c r="G201" s="66"/>
      <c r="H201" s="66"/>
      <c r="I201" s="66"/>
      <c r="J201" s="66"/>
      <c r="K201" s="66"/>
      <c r="L201" s="66"/>
      <c r="M201" s="66"/>
      <c r="N201" s="66"/>
      <c r="O201" s="66"/>
      <c r="P201" s="66"/>
      <c r="Q201" s="66"/>
      <c r="R201" s="730"/>
      <c r="S201" s="730"/>
      <c r="T201" s="730"/>
      <c r="U201" s="730"/>
      <c r="V201" s="730"/>
      <c r="W201" s="730"/>
      <c r="X201" s="730"/>
      <c r="Y201" s="730"/>
      <c r="Z201" s="730"/>
      <c r="AA201" s="730"/>
      <c r="AB201" s="730"/>
      <c r="AC201" s="730"/>
      <c r="AD201" s="730"/>
      <c r="AE201" s="730"/>
      <c r="AF201" s="730"/>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row>
    <row r="202">
      <c r="A202" s="66"/>
      <c r="B202" s="66"/>
      <c r="C202" s="66"/>
      <c r="D202" s="66"/>
      <c r="E202" s="66"/>
      <c r="F202" s="66"/>
      <c r="G202" s="66"/>
      <c r="H202" s="66"/>
      <c r="I202" s="66"/>
      <c r="J202" s="66"/>
      <c r="K202" s="66"/>
      <c r="L202" s="66"/>
      <c r="M202" s="66"/>
      <c r="N202" s="66"/>
      <c r="O202" s="66"/>
      <c r="P202" s="66"/>
      <c r="Q202" s="66"/>
      <c r="R202" s="730"/>
      <c r="S202" s="730"/>
      <c r="T202" s="730"/>
      <c r="U202" s="730"/>
      <c r="V202" s="730"/>
      <c r="W202" s="730"/>
      <c r="X202" s="730"/>
      <c r="Y202" s="730"/>
      <c r="Z202" s="730"/>
      <c r="AA202" s="730"/>
      <c r="AB202" s="730"/>
      <c r="AC202" s="730"/>
      <c r="AD202" s="730"/>
      <c r="AE202" s="730"/>
      <c r="AF202" s="730"/>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row>
  </sheetData>
  <autoFilter ref="$A$1:$BF$193"/>
  <customSheetViews>
    <customSheetView guid="{3081402C-586B-4A7A-8352-EABE724DB239}" filter="1" showAutoFilter="1">
      <autoFilter ref="$A$1:$BF$193">
        <filterColumn colId="0">
          <filters>
            <filter val="Intel"/>
          </filters>
        </filterColumn>
        <filterColumn colId="1">
          <filters>
            <filter val="1700"/>
            <filter val="AM4"/>
            <filter val="AM5"/>
          </filters>
        </filterColumn>
      </autoFilter>
    </customSheetView>
    <customSheetView guid="{4F6BD2AE-48F5-48D6-B519-5C3F90CA2213}" filter="1" showAutoFilter="1">
      <autoFilter ref="$A$1:$BF$193">
        <filterColumn colId="26">
          <filters>
            <filter val="1"/>
            <filter val="2"/>
          </filters>
        </filterColumn>
      </autoFilter>
    </customSheetView>
    <customSheetView guid="{B19D701D-DC0D-4230-B1AE-4A76FC2C59D6}" filter="1" showAutoFilter="1">
      <autoFilter ref="$A$1:$BF$193">
        <filterColumn colId="12">
          <filters>
            <filter val="DDR4"/>
          </filters>
        </filterColumn>
      </autoFilter>
    </customSheetView>
    <customSheetView guid="{677EE374-6E09-4D7E-B493-0A41E30893FA}" filter="1" showAutoFilter="1">
      <autoFilter ref="$A$1:$BF$193"/>
    </customSheetView>
    <customSheetView guid="{0E751126-1B91-4106-A3DC-DF1C62053125}" filter="1" showAutoFilter="1">
      <autoFilter ref="$A$1:$BF$193">
        <filterColumn colId="30">
          <filters>
            <filter val="Y (10 Gbps)"/>
            <filter val="Y (20 Gbps)"/>
            <filter val="Y (5 Gbps)"/>
          </filters>
        </filterColumn>
      </autoFilter>
    </customSheetView>
    <customSheetView guid="{B5271078-FE6D-4C5D-9703-911A5D0A7416}" filter="1" showAutoFilter="1">
      <autoFilter ref="$A$1:$BF$193">
        <filterColumn colId="7">
          <filters>
            <filter val="Y"/>
          </filters>
        </filterColumn>
      </autoFilter>
    </customSheetView>
    <customSheetView guid="{0A32852C-2ACF-4D64-9C6F-CE6AA27990A0}" filter="1" showAutoFilter="1">
      <autoFilter ref="$A$1:$BF$193">
        <sortState ref="A1:BF193">
          <sortCondition ref="D1:D193"/>
          <sortCondition ref="A1:A193"/>
          <sortCondition ref="B1:B193"/>
          <sortCondition ref="C1:C193"/>
          <sortCondition ref="E1:E193"/>
        </sortState>
      </autoFilter>
    </customSheetView>
    <customSheetView guid="{76A08345-79E7-48F6-B038-2C174A0EE745}" filter="1" showAutoFilter="1">
      <autoFilter ref="$A$1:$BF$193">
        <filterColumn colId="0">
          <filters>
            <filter val="AMD"/>
          </filters>
        </filterColumn>
        <filterColumn colId="1">
          <filters>
            <filter val="1151 v2"/>
            <filter val="1700"/>
            <filter val="1200"/>
            <filter val="AM5"/>
            <filter val="2066"/>
            <filter val="1151 v1"/>
          </filters>
        </filterColumn>
      </autoFilter>
    </customSheetView>
    <customSheetView guid="{B7BDA02A-DFE4-4636-A941-3478BCF006D1}" filter="1" showAutoFilter="1">
      <autoFilter ref="$A$1:$BF$193">
        <filterColumn colId="1">
          <filters>
            <filter val="1151 v2"/>
            <filter val="1700"/>
            <filter val="1200"/>
            <filter val="AM4"/>
            <filter val="2066"/>
            <filter val="1151 v1"/>
          </filters>
        </filterColumn>
        <filterColumn colId="0">
          <filters>
            <filter val="AMD"/>
          </filters>
        </filterColumn>
      </autoFilter>
    </customSheetView>
    <customSheetView guid="{D0E4E144-FA51-47B2-8E2F-1AA67A5E9239}" filter="1" showAutoFilter="1">
      <autoFilter ref="$A$1:$BF$193">
        <filterColumn colId="51">
          <filters>
            <filter val="Y"/>
          </filters>
        </filterColumn>
      </autoFilter>
    </customSheetView>
    <customSheetView guid="{FEC9776A-FB8E-4FCD-8FB6-CF302DEEF00D}" filter="1" showAutoFilter="1">
      <autoFilter ref="$A$1:$BF$193">
        <filterColumn colId="1">
          <filters>
            <filter val="1151 v2"/>
            <filter val="AM4"/>
            <filter val="AM5"/>
          </filters>
        </filterColumn>
        <filterColumn colId="0">
          <filters>
            <filter val="Intel"/>
          </filters>
        </filterColumn>
      </autoFilter>
    </customSheetView>
    <customSheetView guid="{8C6CAA53-755F-4D7E-9ABD-2FAC383E5622}" filter="1" showAutoFilter="1">
      <autoFilter ref="$A$1:$BF$193">
        <filterColumn colId="50">
          <filters>
            <filter val="Y"/>
          </filters>
        </filterColumn>
      </autoFilter>
    </customSheetView>
    <customSheetView guid="{BE57C4BF-69E9-4827-9149-EC31389B5A17}" filter="1" showAutoFilter="1">
      <autoFilter ref="$A$1:$BF$193">
        <filterColumn colId="0">
          <filters>
            <filter val="AMD"/>
          </filters>
        </filterColumn>
      </autoFilter>
    </customSheetView>
    <customSheetView guid="{FD865359-D342-42CD-8503-5E25780491EA}" filter="1" showAutoFilter="1">
      <autoFilter ref="$A$1:$BF$193">
        <filterColumn colId="24">
          <filters>
            <filter val="2"/>
          </filters>
        </filterColumn>
      </autoFilter>
    </customSheetView>
    <customSheetView guid="{5186E655-6EAC-4D79-B842-62727023EE74}" filter="1" showAutoFilter="1">
      <autoFilter ref="$A$1:$BF$193">
        <filterColumn colId="10">
          <filters>
            <filter val="Y"/>
          </filters>
        </filterColumn>
      </autoFilter>
    </customSheetView>
    <customSheetView guid="{361AB68E-A618-4D94-9A4A-73BEC2918065}" filter="1" showAutoFilter="1">
      <autoFilter ref="$A$1:$BF$193">
        <filterColumn colId="1">
          <filters>
            <filter val="AM4"/>
            <filter val="AM5"/>
            <filter val="1151 v1"/>
          </filters>
        </filterColumn>
        <filterColumn colId="0">
          <filters>
            <filter val="Intel"/>
          </filters>
        </filterColumn>
      </autoFilter>
    </customSheetView>
    <customSheetView guid="{1303F21E-1A49-440C-B5F6-A976CE2E6597}" filter="1" showAutoFilter="1">
      <autoFilter ref="$A$1:$BF$193">
        <filterColumn colId="9">
          <filters>
            <filter val="Y"/>
          </filters>
        </filterColumn>
      </autoFilter>
    </customSheetView>
    <customSheetView guid="{E26A97E9-8229-4348-8B94-718617AC9488}" filter="1" showAutoFilter="1">
      <autoFilter ref="$A$1:$BF$193">
        <filterColumn colId="12">
          <filters>
            <filter val="DDR5"/>
          </filters>
        </filterColumn>
      </autoFilter>
    </customSheetView>
    <customSheetView guid="{B4ED1059-3735-470A-B4E2-A780753516DA}" filter="1" showAutoFilter="1">
      <autoFilter ref="$A$1:$BF$193">
        <filterColumn colId="1">
          <filters>
            <filter val="1200"/>
            <filter val="AM4"/>
            <filter val="AM5"/>
          </filters>
        </filterColumn>
        <filterColumn colId="0">
          <filters>
            <filter val="Intel"/>
          </filters>
        </filterColumn>
      </autoFilter>
    </customSheetView>
    <customSheetView guid="{74934B54-B801-4E86-A4F2-601A32582EAA}" filter="1" showAutoFilter="1">
      <autoFilter ref="$A$1:$BF$193">
        <filterColumn colId="6">
          <filters>
            <filter val="Y"/>
          </filters>
        </filterColumn>
      </autoFilter>
    </customSheetView>
    <customSheetView guid="{8D7EB049-F168-4438-BEF7-B343B7C33CA4}" filter="1" showAutoFilter="1">
      <autoFilter ref="$A$1:$BF$193">
        <filterColumn colId="25">
          <filters>
            <filter val="1"/>
          </filters>
        </filterColumn>
      </autoFilter>
    </customSheetView>
    <customSheetView guid="{E8001174-015C-4430-9F21-728090371E9D}" filter="1" showAutoFilter="1">
      <autoFilter ref="$A$1:$BF$193">
        <filterColumn colId="0">
          <filters>
            <filter val="Intel"/>
          </filters>
        </filterColumn>
      </autoFilter>
    </customSheetView>
    <customSheetView guid="{D6FE9368-5AD9-4BEB-8387-F4F2466DF786}" filter="1" showAutoFilter="1">
      <autoFilter ref="$A$1:$BF$193">
        <filterColumn colId="40">
          <filters>
            <filter val="Y"/>
          </filters>
        </filterColumn>
      </autoFilter>
    </customSheetView>
  </customSheetViews>
  <conditionalFormatting sqref="AO169:AO192">
    <cfRule type="cellIs" dxfId="3" priority="1" operator="greaterThan">
      <formula>0</formula>
    </cfRule>
  </conditionalFormatting>
  <conditionalFormatting sqref="AE2:AE193 AO2:AO193">
    <cfRule type="beginsWith" dxfId="3" priority="2" operator="beginsWith" text="Y">
      <formula>LEFT((AE2),LEN("Y"))=("Y")</formula>
    </cfRule>
  </conditionalFormatting>
  <conditionalFormatting sqref="G2:G193">
    <cfRule type="cellIs" dxfId="3" priority="3" operator="equal">
      <formula>"Y"</formula>
    </cfRule>
  </conditionalFormatting>
  <conditionalFormatting sqref="BA2:BC193 BD27">
    <cfRule type="colorScale" priority="4">
      <colorScale>
        <cfvo type="min"/>
        <cfvo type="percentile" val="50"/>
        <cfvo type="max"/>
        <color rgb="FFE67C73"/>
        <color rgb="FFFFD666"/>
        <color rgb="FF57BB8A"/>
      </colorScale>
    </cfRule>
  </conditionalFormatting>
  <conditionalFormatting sqref="BD2:BD193">
    <cfRule type="colorScale" priority="5">
      <colorScale>
        <cfvo type="min"/>
        <cfvo type="percentile" val="50"/>
        <cfvo type="max"/>
        <color rgb="FFE67C73"/>
        <color rgb="FFFFD666"/>
        <color rgb="FF57BB8A"/>
      </colorScale>
    </cfRule>
  </conditionalFormatting>
  <conditionalFormatting sqref="H2:H193">
    <cfRule type="cellIs" dxfId="3" priority="6" operator="equal">
      <formula>"Y"</formula>
    </cfRule>
  </conditionalFormatting>
  <conditionalFormatting sqref="AL2:AL193">
    <cfRule type="colorScale" priority="7">
      <colorScale>
        <cfvo type="min"/>
        <cfvo type="percentile" val="50"/>
        <cfvo type="max"/>
        <color rgb="FFE67C73"/>
        <color rgb="FFFFD666"/>
        <color rgb="FF57BB8A"/>
      </colorScale>
    </cfRule>
  </conditionalFormatting>
  <conditionalFormatting sqref="AW2:AZ193">
    <cfRule type="cellIs" dxfId="3" priority="8" operator="equal">
      <formula>"Y"</formula>
    </cfRule>
  </conditionalFormatting>
  <conditionalFormatting sqref="I2:K193">
    <cfRule type="cellIs" dxfId="3" priority="9" operator="equal">
      <formula>"Y"</formula>
    </cfRule>
  </conditionalFormatting>
  <conditionalFormatting sqref="Y12:AA193">
    <cfRule type="cellIs" dxfId="3" priority="10" operator="greaterThanOrEqual">
      <formula>1</formula>
    </cfRule>
  </conditionalFormatting>
  <hyperlinks>
    <hyperlink r:id="rId2" ref="D2"/>
    <hyperlink r:id="rId3" ref="E3"/>
    <hyperlink r:id="rId4" ref="D4"/>
    <hyperlink r:id="rId5" ref="E5"/>
    <hyperlink r:id="rId6" ref="D9"/>
    <hyperlink r:id="rId7" ref="E10"/>
    <hyperlink r:id="rId8" ref="D12"/>
    <hyperlink r:id="rId9" ref="D13"/>
    <hyperlink r:id="rId10" ref="E13"/>
    <hyperlink r:id="rId11" ref="E14"/>
    <hyperlink r:id="rId12" ref="E17"/>
    <hyperlink r:id="rId13" ref="D18"/>
    <hyperlink r:id="rId14" ref="E19"/>
    <hyperlink r:id="rId15" ref="E21"/>
    <hyperlink r:id="rId16" ref="D22"/>
    <hyperlink r:id="rId17" ref="E22"/>
    <hyperlink r:id="rId18" location="kf" ref="E23"/>
    <hyperlink r:id="rId19" location="kf" ref="E24"/>
    <hyperlink r:id="rId20" ref="D25"/>
    <hyperlink r:id="rId21" ref="E25"/>
    <hyperlink r:id="rId22" ref="D26"/>
    <hyperlink r:id="rId23" ref="E26"/>
    <hyperlink r:id="rId24" ref="E27"/>
    <hyperlink r:id="rId25" ref="E28"/>
    <hyperlink r:id="rId26" location="kf" ref="E29"/>
    <hyperlink r:id="rId27" ref="E30"/>
    <hyperlink r:id="rId28" ref="E31"/>
    <hyperlink r:id="rId29" ref="D32"/>
    <hyperlink r:id="rId30" ref="E32"/>
    <hyperlink r:id="rId31" ref="D33"/>
    <hyperlink r:id="rId32" ref="D34"/>
    <hyperlink r:id="rId33" ref="E34"/>
    <hyperlink r:id="rId34" ref="D35"/>
    <hyperlink r:id="rId35" location="Specifications" ref="E35"/>
    <hyperlink r:id="rId36" ref="E36"/>
    <hyperlink r:id="rId37" location="kf" ref="E38"/>
    <hyperlink r:id="rId38" ref="D39"/>
    <hyperlink r:id="rId39" ref="E39"/>
    <hyperlink r:id="rId40" location="kf" ref="E40"/>
    <hyperlink r:id="rId41" ref="D41"/>
    <hyperlink r:id="rId42" ref="E41"/>
    <hyperlink r:id="rId43" location="kf" ref="E42"/>
    <hyperlink r:id="rId44" location="kf" ref="E43"/>
    <hyperlink r:id="rId45" ref="E44"/>
    <hyperlink r:id="rId46" ref="D45"/>
    <hyperlink r:id="rId47" ref="E45"/>
    <hyperlink r:id="rId48" ref="E46"/>
    <hyperlink r:id="rId49" ref="E47"/>
    <hyperlink r:id="rId50" ref="D48"/>
    <hyperlink r:id="rId51" ref="D49"/>
    <hyperlink r:id="rId52" ref="E50"/>
    <hyperlink r:id="rId53" ref="D55"/>
    <hyperlink r:id="rId54" ref="E56"/>
    <hyperlink r:id="rId55" ref="D61"/>
    <hyperlink r:id="rId56" ref="D62"/>
    <hyperlink r:id="rId57" ref="E63"/>
    <hyperlink r:id="rId58" ref="E64"/>
    <hyperlink r:id="rId59" ref="E66"/>
    <hyperlink r:id="rId60" ref="D67"/>
    <hyperlink r:id="rId61" ref="D68"/>
    <hyperlink r:id="rId62" ref="E69"/>
    <hyperlink r:id="rId63" ref="E70"/>
    <hyperlink r:id="rId64" ref="E76"/>
    <hyperlink r:id="rId65" ref="D80"/>
    <hyperlink r:id="rId66" ref="E81"/>
    <hyperlink r:id="rId67" ref="D84"/>
    <hyperlink r:id="rId68" ref="D85"/>
    <hyperlink r:id="rId69" ref="E85"/>
    <hyperlink r:id="rId70" ref="E86"/>
    <hyperlink r:id="rId71" ref="D91"/>
    <hyperlink r:id="rId72" ref="E91"/>
    <hyperlink r:id="rId73" ref="E92"/>
    <hyperlink r:id="rId74" ref="E93"/>
    <hyperlink r:id="rId75" ref="D96"/>
    <hyperlink r:id="rId76" ref="E97"/>
    <hyperlink r:id="rId77" ref="D102"/>
    <hyperlink r:id="rId78" ref="D103"/>
    <hyperlink r:id="rId79" ref="E104"/>
    <hyperlink r:id="rId80" ref="D107"/>
    <hyperlink r:id="rId81" ref="D108"/>
    <hyperlink r:id="rId82" ref="E109"/>
    <hyperlink r:id="rId83" ref="D112"/>
    <hyperlink r:id="rId84" ref="D113"/>
    <hyperlink r:id="rId85" ref="E114"/>
    <hyperlink r:id="rId86" ref="D117"/>
    <hyperlink r:id="rId87" ref="E117"/>
    <hyperlink r:id="rId88" ref="E118"/>
    <hyperlink r:id="rId89" ref="E119"/>
    <hyperlink r:id="rId90" ref="E120"/>
    <hyperlink r:id="rId91" ref="D121"/>
    <hyperlink r:id="rId92" ref="E121"/>
    <hyperlink r:id="rId93" ref="E122"/>
    <hyperlink r:id="rId94" ref="E123"/>
    <hyperlink r:id="rId95" ref="D124"/>
    <hyperlink r:id="rId96" ref="E124"/>
    <hyperlink r:id="rId97" ref="D125"/>
    <hyperlink r:id="rId98" ref="E125"/>
    <hyperlink r:id="rId99" location="ov" ref="E126"/>
    <hyperlink r:id="rId100" ref="E127"/>
    <hyperlink r:id="rId101" ref="D128"/>
    <hyperlink r:id="rId102" ref="E129"/>
    <hyperlink r:id="rId103" location="kf" ref="E130"/>
    <hyperlink r:id="rId104" ref="D131"/>
    <hyperlink r:id="rId105" ref="D132"/>
    <hyperlink r:id="rId106" ref="E133"/>
    <hyperlink r:id="rId107" ref="E135"/>
    <hyperlink r:id="rId108" location="kf" ref="E136"/>
    <hyperlink r:id="rId109" ref="E137"/>
    <hyperlink r:id="rId110" ref="D138"/>
    <hyperlink r:id="rId111" ref="E138"/>
    <hyperlink r:id="rId112" ref="E139"/>
    <hyperlink r:id="rId113" ref="D140"/>
    <hyperlink r:id="rId114" ref="E140"/>
    <hyperlink r:id="rId115" ref="E141"/>
    <hyperlink r:id="rId116" ref="D142"/>
    <hyperlink r:id="rId117" ref="E142"/>
    <hyperlink r:id="rId118" ref="D143"/>
    <hyperlink r:id="rId119" ref="E143"/>
    <hyperlink r:id="rId120" location="kf" ref="E144"/>
    <hyperlink r:id="rId121" ref="E145"/>
    <hyperlink r:id="rId122" ref="D146"/>
    <hyperlink r:id="rId123" ref="E146"/>
    <hyperlink r:id="rId124" ref="D147"/>
    <hyperlink r:id="rId125" ref="E147"/>
    <hyperlink r:id="rId126" ref="D148"/>
    <hyperlink r:id="rId127" ref="E148"/>
    <hyperlink r:id="rId128" ref="E149"/>
    <hyperlink r:id="rId129" ref="E150"/>
    <hyperlink r:id="rId130" location="ov" ref="E151"/>
    <hyperlink r:id="rId131" location="ov" ref="E152"/>
    <hyperlink r:id="rId132" ref="E153"/>
    <hyperlink r:id="rId133" ref="D154"/>
    <hyperlink r:id="rId134" ref="E154"/>
    <hyperlink r:id="rId135" ref="E155"/>
    <hyperlink r:id="rId136" location="kf" ref="E156"/>
    <hyperlink r:id="rId137" ref="D157"/>
    <hyperlink r:id="rId138" ref="E157"/>
    <hyperlink r:id="rId139" ref="D158"/>
    <hyperlink r:id="rId140" ref="E158"/>
    <hyperlink r:id="rId141" ref="E159"/>
    <hyperlink r:id="rId142" ref="E160"/>
    <hyperlink r:id="rId143" ref="E161"/>
    <hyperlink r:id="rId144" ref="D162"/>
    <hyperlink r:id="rId145" ref="E162"/>
    <hyperlink r:id="rId146" ref="D163"/>
    <hyperlink r:id="rId147" ref="E163"/>
    <hyperlink r:id="rId148" location="kf" ref="E164"/>
    <hyperlink r:id="rId149" ref="D165"/>
    <hyperlink r:id="rId150" ref="E165"/>
    <hyperlink r:id="rId151" ref="D166"/>
    <hyperlink r:id="rId152" ref="E166"/>
    <hyperlink r:id="rId153" ref="D167"/>
    <hyperlink r:id="rId154" ref="E167"/>
    <hyperlink r:id="rId155" ref="E168"/>
    <hyperlink r:id="rId156" location="kf" ref="E169"/>
    <hyperlink r:id="rId157" ref="BF169"/>
    <hyperlink r:id="rId158" location="ov" ref="E170"/>
    <hyperlink r:id="rId159" ref="BF170"/>
    <hyperlink r:id="rId160" location="kf" ref="E171"/>
    <hyperlink r:id="rId161" location="kf" ref="E172"/>
    <hyperlink r:id="rId162" location="kf" ref="E173"/>
    <hyperlink r:id="rId163" location="kf" ref="E174"/>
    <hyperlink r:id="rId164" ref="D175"/>
    <hyperlink r:id="rId165" ref="E175"/>
    <hyperlink r:id="rId166" ref="E176"/>
    <hyperlink r:id="rId167" ref="D177"/>
    <hyperlink r:id="rId168" ref="E177"/>
    <hyperlink r:id="rId169" ref="D178"/>
    <hyperlink r:id="rId170" ref="E178"/>
    <hyperlink r:id="rId171" ref="E179"/>
    <hyperlink r:id="rId172" ref="E180"/>
    <hyperlink r:id="rId173" ref="D181"/>
    <hyperlink r:id="rId174" ref="E181"/>
    <hyperlink r:id="rId175" ref="D182"/>
    <hyperlink r:id="rId176" ref="E182"/>
    <hyperlink r:id="rId177" location="kf" ref="E183"/>
    <hyperlink r:id="rId178" location="kf" ref="E184"/>
    <hyperlink r:id="rId179" ref="E185"/>
    <hyperlink r:id="rId180" ref="E186"/>
    <hyperlink r:id="rId181" ref="D187"/>
    <hyperlink r:id="rId182" ref="E187"/>
    <hyperlink r:id="rId183" ref="D188"/>
    <hyperlink r:id="rId184" ref="E188"/>
    <hyperlink r:id="rId185" ref="D189"/>
    <hyperlink r:id="rId186" ref="E189"/>
    <hyperlink r:id="rId187" ref="E190"/>
    <hyperlink r:id="rId188" location="kf" ref="E191"/>
    <hyperlink r:id="rId189" ref="E192"/>
    <hyperlink r:id="rId190" ref="D193"/>
  </hyperlinks>
  <drawing r:id="rId191"/>
  <legacyDrawing r:id="rId19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6B26B"/>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5.63"/>
    <col customWidth="1" min="2" max="2" width="6.88"/>
    <col customWidth="1" min="3" max="3" width="5.63"/>
    <col customWidth="1" min="4" max="4" width="10.38"/>
    <col customWidth="1" min="5" max="5" width="27.13"/>
    <col customWidth="1" min="6" max="19" width="5.63"/>
    <col customWidth="1" min="20" max="20" width="7.38"/>
    <col customWidth="1" min="21" max="21" width="8.13"/>
    <col customWidth="1" min="22" max="22" width="5.63"/>
    <col customWidth="1" min="23" max="23" width="13.38"/>
    <col customWidth="1" min="24" max="34" width="5.63"/>
    <col customWidth="1" min="35" max="35" width="9.38"/>
    <col customWidth="1" min="36" max="36" width="5.63"/>
    <col customWidth="1" min="37" max="37" width="16.63"/>
    <col customWidth="1" min="38" max="38" width="5.63"/>
    <col customWidth="1" min="39" max="39" width="8.13"/>
    <col customWidth="1" min="40" max="40" width="8.5"/>
    <col customWidth="1" min="41" max="41" width="18.25"/>
    <col customWidth="1" min="42" max="43" width="5.63"/>
    <col customWidth="1" min="44" max="44" width="16.75"/>
    <col customWidth="1" min="45" max="56" width="5.63"/>
    <col customWidth="1" min="57" max="57" width="11.13"/>
    <col customWidth="1" min="58" max="58" width="5.63"/>
    <col customWidth="1" min="59" max="59" width="6.5"/>
    <col customWidth="1" min="60" max="60" width="5.63"/>
    <col customWidth="1" min="61" max="61" width="17.5"/>
    <col customWidth="1" min="62" max="62" width="18.0"/>
  </cols>
  <sheetData>
    <row r="1" ht="90.0" customHeight="1">
      <c r="A1" s="731" t="s">
        <v>44</v>
      </c>
      <c r="B1" s="732" t="s">
        <v>4896</v>
      </c>
      <c r="C1" s="732" t="s">
        <v>46</v>
      </c>
      <c r="D1" s="733" t="s">
        <v>1579</v>
      </c>
      <c r="E1" s="733" t="s">
        <v>3346</v>
      </c>
      <c r="F1" s="399" t="s">
        <v>5428</v>
      </c>
      <c r="G1" s="399" t="s">
        <v>5429</v>
      </c>
      <c r="H1" s="399" t="s">
        <v>5430</v>
      </c>
      <c r="I1" s="399" t="s">
        <v>5431</v>
      </c>
      <c r="J1" s="399" t="s">
        <v>5432</v>
      </c>
      <c r="K1" s="399" t="s">
        <v>5433</v>
      </c>
      <c r="L1" s="399" t="s">
        <v>5434</v>
      </c>
      <c r="M1" s="399" t="s">
        <v>4897</v>
      </c>
      <c r="N1" s="399" t="s">
        <v>4899</v>
      </c>
      <c r="O1" s="399" t="s">
        <v>4900</v>
      </c>
      <c r="P1" s="399" t="s">
        <v>4901</v>
      </c>
      <c r="Q1" s="399" t="s">
        <v>4902</v>
      </c>
      <c r="R1" s="399" t="s">
        <v>4903</v>
      </c>
      <c r="S1" s="399" t="s">
        <v>4904</v>
      </c>
      <c r="T1" s="399" t="s">
        <v>4905</v>
      </c>
      <c r="U1" s="384" t="s">
        <v>4906</v>
      </c>
      <c r="V1" s="399" t="s">
        <v>4907</v>
      </c>
      <c r="W1" s="398" t="s">
        <v>5435</v>
      </c>
      <c r="X1" s="399" t="s">
        <v>4909</v>
      </c>
      <c r="Y1" s="399" t="s">
        <v>4911</v>
      </c>
      <c r="Z1" s="399" t="s">
        <v>4912</v>
      </c>
      <c r="AA1" s="399" t="s">
        <v>4913</v>
      </c>
      <c r="AB1" s="399" t="s">
        <v>4914</v>
      </c>
      <c r="AC1" s="399" t="s">
        <v>4915</v>
      </c>
      <c r="AD1" s="399" t="s">
        <v>4916</v>
      </c>
      <c r="AE1" s="399" t="s">
        <v>5436</v>
      </c>
      <c r="AF1" s="399" t="s">
        <v>4919</v>
      </c>
      <c r="AG1" s="399" t="s">
        <v>1996</v>
      </c>
      <c r="AH1" s="399" t="s">
        <v>5437</v>
      </c>
      <c r="AI1" s="318" t="s">
        <v>4921</v>
      </c>
      <c r="AJ1" s="399" t="s">
        <v>4922</v>
      </c>
      <c r="AK1" s="398" t="s">
        <v>4923</v>
      </c>
      <c r="AL1" s="399" t="s">
        <v>4924</v>
      </c>
      <c r="AM1" s="399" t="s">
        <v>4925</v>
      </c>
      <c r="AN1" s="398" t="s">
        <v>4926</v>
      </c>
      <c r="AO1" s="398" t="s">
        <v>4927</v>
      </c>
      <c r="AP1" s="399" t="s">
        <v>4928</v>
      </c>
      <c r="AQ1" s="732" t="s">
        <v>4929</v>
      </c>
      <c r="AR1" s="733" t="s">
        <v>4930</v>
      </c>
      <c r="AS1" s="399" t="s">
        <v>4931</v>
      </c>
      <c r="AT1" s="399" t="s">
        <v>4932</v>
      </c>
      <c r="AU1" s="399" t="s">
        <v>4933</v>
      </c>
      <c r="AV1" s="399" t="s">
        <v>3351</v>
      </c>
      <c r="AW1" s="399" t="s">
        <v>3352</v>
      </c>
      <c r="AX1" s="399" t="s">
        <v>4934</v>
      </c>
      <c r="AY1" s="399" t="s">
        <v>4935</v>
      </c>
      <c r="AZ1" s="399" t="s">
        <v>4936</v>
      </c>
      <c r="BA1" s="399" t="s">
        <v>4937</v>
      </c>
      <c r="BB1" s="399" t="s">
        <v>4938</v>
      </c>
      <c r="BC1" s="399" t="s">
        <v>4939</v>
      </c>
      <c r="BD1" s="399" t="s">
        <v>4940</v>
      </c>
      <c r="BE1" s="398" t="s">
        <v>4941</v>
      </c>
      <c r="BF1" s="399" t="s">
        <v>4942</v>
      </c>
      <c r="BG1" s="399" t="s">
        <v>4943</v>
      </c>
      <c r="BH1" s="399" t="s">
        <v>4944</v>
      </c>
      <c r="BI1" s="398" t="s">
        <v>4945</v>
      </c>
      <c r="BJ1" s="733" t="s">
        <v>1602</v>
      </c>
    </row>
    <row r="2">
      <c r="A2" s="266" t="s">
        <v>1664</v>
      </c>
      <c r="B2" s="507" t="s">
        <v>4946</v>
      </c>
      <c r="C2" s="507" t="s">
        <v>4991</v>
      </c>
      <c r="D2" s="506" t="s">
        <v>169</v>
      </c>
      <c r="E2" s="734" t="s">
        <v>5438</v>
      </c>
      <c r="F2" s="507">
        <v>231.0</v>
      </c>
      <c r="G2" s="507">
        <v>206.0</v>
      </c>
      <c r="H2" s="507">
        <v>3.0</v>
      </c>
      <c r="I2" s="507" t="s">
        <v>166</v>
      </c>
      <c r="J2" s="507">
        <v>1.0</v>
      </c>
      <c r="K2" s="507" t="s">
        <v>166</v>
      </c>
      <c r="L2" s="507" t="s">
        <v>166</v>
      </c>
      <c r="M2" s="507">
        <v>1.0</v>
      </c>
      <c r="N2" s="507" t="s">
        <v>174</v>
      </c>
      <c r="O2" s="507" t="s">
        <v>174</v>
      </c>
      <c r="P2" s="507" t="s">
        <v>166</v>
      </c>
      <c r="Q2" s="507" t="s">
        <v>166</v>
      </c>
      <c r="R2" s="507">
        <v>2.0</v>
      </c>
      <c r="S2" s="507" t="s">
        <v>3149</v>
      </c>
      <c r="T2" s="507">
        <v>32.0</v>
      </c>
      <c r="U2" s="266" t="s">
        <v>4975</v>
      </c>
      <c r="V2" s="266">
        <v>4.0</v>
      </c>
      <c r="W2" s="710" t="s">
        <v>4950</v>
      </c>
      <c r="X2" s="266">
        <v>2.0</v>
      </c>
      <c r="Y2" s="266">
        <v>4.0</v>
      </c>
      <c r="Z2" s="266" t="s">
        <v>166</v>
      </c>
      <c r="AA2" s="266" t="s">
        <v>166</v>
      </c>
      <c r="AB2" s="266" t="s">
        <v>166</v>
      </c>
      <c r="AC2" s="266" t="s">
        <v>166</v>
      </c>
      <c r="AD2" s="266" t="s">
        <v>166</v>
      </c>
      <c r="AE2" s="266" t="s">
        <v>166</v>
      </c>
      <c r="AF2" s="266">
        <f t="shared" ref="AF2:AF511" si="1">sum(X2:AE2)</f>
        <v>6</v>
      </c>
      <c r="AG2" s="266">
        <v>2.0</v>
      </c>
      <c r="AH2" s="266">
        <v>1.0</v>
      </c>
      <c r="AI2" s="266" t="s">
        <v>166</v>
      </c>
      <c r="AJ2" s="266">
        <v>1.0</v>
      </c>
      <c r="AK2" s="48" t="s">
        <v>4959</v>
      </c>
      <c r="AL2" s="48">
        <v>1.0</v>
      </c>
      <c r="AM2" s="48" t="s">
        <v>166</v>
      </c>
      <c r="AN2" s="48" t="s">
        <v>166</v>
      </c>
      <c r="AO2" s="266" t="s">
        <v>166</v>
      </c>
      <c r="AP2" s="266" t="s">
        <v>166</v>
      </c>
      <c r="AQ2" s="266" t="s">
        <v>166</v>
      </c>
      <c r="AR2" s="48" t="s">
        <v>4960</v>
      </c>
      <c r="AS2" s="266" t="s">
        <v>166</v>
      </c>
      <c r="AT2" s="266">
        <v>3.0</v>
      </c>
      <c r="AU2" s="266">
        <v>1.0</v>
      </c>
      <c r="AV2" s="266" t="s">
        <v>166</v>
      </c>
      <c r="AW2" s="266">
        <v>1.0</v>
      </c>
      <c r="AX2" s="266">
        <v>1.0</v>
      </c>
      <c r="AY2" s="266">
        <v>1.0</v>
      </c>
      <c r="AZ2" s="266">
        <v>3.0</v>
      </c>
      <c r="BA2" s="266" t="s">
        <v>166</v>
      </c>
      <c r="BB2" s="266" t="s">
        <v>166</v>
      </c>
      <c r="BC2" s="266" t="s">
        <v>166</v>
      </c>
      <c r="BD2" s="266" t="s">
        <v>166</v>
      </c>
      <c r="BE2" s="48" t="s">
        <v>4953</v>
      </c>
      <c r="BF2" s="48" t="s">
        <v>4978</v>
      </c>
      <c r="BG2" s="48" t="s">
        <v>4963</v>
      </c>
      <c r="BH2" s="48">
        <v>4.0</v>
      </c>
      <c r="BI2" s="698" t="s">
        <v>5439</v>
      </c>
      <c r="BJ2" s="699"/>
      <c r="BK2" s="394"/>
      <c r="BL2" s="394"/>
      <c r="BM2" s="394"/>
      <c r="BN2" s="394"/>
      <c r="BO2" s="394"/>
      <c r="BP2" s="394"/>
    </row>
    <row r="3">
      <c r="A3" s="266" t="s">
        <v>1664</v>
      </c>
      <c r="B3" s="266" t="s">
        <v>4946</v>
      </c>
      <c r="C3" s="266" t="s">
        <v>4991</v>
      </c>
      <c r="D3" s="452" t="str">
        <f t="shared" ref="D3:D4" si="2">HYPERLINK("https://www.asus.com/","Asus")</f>
        <v>Asus</v>
      </c>
      <c r="E3" s="174" t="s">
        <v>5440</v>
      </c>
      <c r="F3" s="266">
        <v>226.0</v>
      </c>
      <c r="G3" s="266">
        <v>221.0</v>
      </c>
      <c r="H3" s="266">
        <v>3.0</v>
      </c>
      <c r="I3" s="266" t="s">
        <v>166</v>
      </c>
      <c r="J3" s="266">
        <v>2.0</v>
      </c>
      <c r="K3" s="266" t="s">
        <v>166</v>
      </c>
      <c r="L3" s="266" t="s">
        <v>166</v>
      </c>
      <c r="M3" s="266">
        <v>1.0</v>
      </c>
      <c r="N3" s="266" t="s">
        <v>174</v>
      </c>
      <c r="O3" s="266" t="s">
        <v>174</v>
      </c>
      <c r="P3" s="266" t="s">
        <v>166</v>
      </c>
      <c r="Q3" s="266" t="s">
        <v>166</v>
      </c>
      <c r="R3" s="266">
        <v>2.0</v>
      </c>
      <c r="S3" s="266" t="s">
        <v>3149</v>
      </c>
      <c r="T3" s="266">
        <v>64.0</v>
      </c>
      <c r="U3" s="266" t="s">
        <v>5213</v>
      </c>
      <c r="V3" s="266">
        <v>4.0</v>
      </c>
      <c r="W3" s="710" t="s">
        <v>4950</v>
      </c>
      <c r="X3" s="266" t="s">
        <v>166</v>
      </c>
      <c r="Y3" s="266">
        <v>4.0</v>
      </c>
      <c r="Z3" s="266" t="s">
        <v>166</v>
      </c>
      <c r="AA3" s="266">
        <v>2.0</v>
      </c>
      <c r="AB3" s="266" t="s">
        <v>166</v>
      </c>
      <c r="AC3" s="266" t="s">
        <v>166</v>
      </c>
      <c r="AD3" s="266" t="s">
        <v>166</v>
      </c>
      <c r="AE3" s="266" t="s">
        <v>166</v>
      </c>
      <c r="AF3" s="266">
        <f t="shared" si="1"/>
        <v>6</v>
      </c>
      <c r="AG3" s="266">
        <v>2.0</v>
      </c>
      <c r="AH3" s="266">
        <v>1.0</v>
      </c>
      <c r="AI3" s="266" t="s">
        <v>166</v>
      </c>
      <c r="AJ3" s="266">
        <v>1.0</v>
      </c>
      <c r="AK3" s="48" t="s">
        <v>4959</v>
      </c>
      <c r="AL3" s="48">
        <v>1.0</v>
      </c>
      <c r="AM3" s="48" t="s">
        <v>166</v>
      </c>
      <c r="AN3" s="48" t="s">
        <v>166</v>
      </c>
      <c r="AO3" s="266" t="s">
        <v>166</v>
      </c>
      <c r="AP3" s="266" t="s">
        <v>166</v>
      </c>
      <c r="AQ3" s="266" t="s">
        <v>166</v>
      </c>
      <c r="AR3" s="48" t="s">
        <v>4960</v>
      </c>
      <c r="AS3" s="266" t="s">
        <v>166</v>
      </c>
      <c r="AT3" s="266">
        <v>3.0</v>
      </c>
      <c r="AU3" s="266">
        <v>2.0</v>
      </c>
      <c r="AV3" s="266" t="s">
        <v>166</v>
      </c>
      <c r="AW3" s="266" t="s">
        <v>166</v>
      </c>
      <c r="AX3" s="266">
        <v>1.0</v>
      </c>
      <c r="AY3" s="266">
        <v>1.0</v>
      </c>
      <c r="AZ3" s="266">
        <v>2.0</v>
      </c>
      <c r="BA3" s="266" t="s">
        <v>166</v>
      </c>
      <c r="BB3" s="266" t="s">
        <v>166</v>
      </c>
      <c r="BC3" s="266" t="s">
        <v>166</v>
      </c>
      <c r="BD3" s="266" t="s">
        <v>166</v>
      </c>
      <c r="BE3" s="48" t="s">
        <v>4961</v>
      </c>
      <c r="BF3" s="48" t="s">
        <v>4962</v>
      </c>
      <c r="BG3" s="48" t="s">
        <v>4963</v>
      </c>
      <c r="BH3" s="48">
        <v>4.0</v>
      </c>
      <c r="BI3" s="698" t="s">
        <v>5441</v>
      </c>
      <c r="BJ3" s="699"/>
      <c r="BK3" s="394"/>
      <c r="BL3" s="394"/>
      <c r="BM3" s="394"/>
      <c r="BN3" s="394"/>
      <c r="BO3" s="394"/>
      <c r="BP3" s="394"/>
    </row>
    <row r="4">
      <c r="A4" s="266" t="s">
        <v>1664</v>
      </c>
      <c r="B4" s="266" t="s">
        <v>4946</v>
      </c>
      <c r="C4" s="266" t="s">
        <v>4991</v>
      </c>
      <c r="D4" s="452" t="str">
        <f t="shared" si="2"/>
        <v>Asus</v>
      </c>
      <c r="E4" s="174" t="s">
        <v>5442</v>
      </c>
      <c r="F4" s="266">
        <v>226.0</v>
      </c>
      <c r="G4" s="266">
        <v>221.0</v>
      </c>
      <c r="H4" s="266">
        <v>3.0</v>
      </c>
      <c r="I4" s="266" t="s">
        <v>166</v>
      </c>
      <c r="J4" s="266">
        <v>2.0</v>
      </c>
      <c r="K4" s="266" t="s">
        <v>166</v>
      </c>
      <c r="L4" s="266" t="s">
        <v>166</v>
      </c>
      <c r="M4" s="266">
        <v>1.0</v>
      </c>
      <c r="N4" s="266" t="s">
        <v>174</v>
      </c>
      <c r="O4" s="266" t="s">
        <v>174</v>
      </c>
      <c r="P4" s="266" t="s">
        <v>174</v>
      </c>
      <c r="Q4" s="266" t="s">
        <v>166</v>
      </c>
      <c r="R4" s="266">
        <v>2.0</v>
      </c>
      <c r="S4" s="266" t="s">
        <v>3149</v>
      </c>
      <c r="T4" s="266">
        <v>64.0</v>
      </c>
      <c r="U4" s="266" t="s">
        <v>5213</v>
      </c>
      <c r="V4" s="266">
        <v>4.0</v>
      </c>
      <c r="W4" s="710" t="s">
        <v>4950</v>
      </c>
      <c r="X4" s="266">
        <v>2.0</v>
      </c>
      <c r="Y4" s="266">
        <v>4.0</v>
      </c>
      <c r="Z4" s="266" t="s">
        <v>166</v>
      </c>
      <c r="AA4" s="266" t="s">
        <v>166</v>
      </c>
      <c r="AB4" s="266" t="s">
        <v>166</v>
      </c>
      <c r="AC4" s="266" t="s">
        <v>166</v>
      </c>
      <c r="AD4" s="266" t="s">
        <v>166</v>
      </c>
      <c r="AE4" s="266" t="s">
        <v>166</v>
      </c>
      <c r="AF4" s="266">
        <f t="shared" si="1"/>
        <v>6</v>
      </c>
      <c r="AG4" s="266">
        <v>2.0</v>
      </c>
      <c r="AH4" s="266">
        <v>1.0</v>
      </c>
      <c r="AI4" s="266" t="s">
        <v>166</v>
      </c>
      <c r="AJ4" s="266">
        <v>1.0</v>
      </c>
      <c r="AK4" s="48" t="s">
        <v>4959</v>
      </c>
      <c r="AL4" s="48">
        <v>1.0</v>
      </c>
      <c r="AM4" s="48" t="s">
        <v>166</v>
      </c>
      <c r="AN4" s="48" t="s">
        <v>166</v>
      </c>
      <c r="AO4" s="266" t="s">
        <v>166</v>
      </c>
      <c r="AP4" s="266" t="s">
        <v>166</v>
      </c>
      <c r="AQ4" s="266" t="s">
        <v>166</v>
      </c>
      <c r="AR4" s="48" t="s">
        <v>4960</v>
      </c>
      <c r="AS4" s="266" t="s">
        <v>166</v>
      </c>
      <c r="AT4" s="266">
        <v>3.0</v>
      </c>
      <c r="AU4" s="266">
        <v>1.0</v>
      </c>
      <c r="AV4" s="266" t="s">
        <v>166</v>
      </c>
      <c r="AW4" s="266">
        <v>1.0</v>
      </c>
      <c r="AX4" s="266">
        <v>1.0</v>
      </c>
      <c r="AY4" s="266">
        <v>1.0</v>
      </c>
      <c r="AZ4" s="266">
        <v>2.0</v>
      </c>
      <c r="BA4" s="266" t="s">
        <v>166</v>
      </c>
      <c r="BB4" s="266" t="s">
        <v>166</v>
      </c>
      <c r="BC4" s="266" t="s">
        <v>166</v>
      </c>
      <c r="BD4" s="266" t="s">
        <v>166</v>
      </c>
      <c r="BE4" s="48" t="s">
        <v>5443</v>
      </c>
      <c r="BF4" s="48" t="s">
        <v>4962</v>
      </c>
      <c r="BG4" s="48" t="s">
        <v>4963</v>
      </c>
      <c r="BH4" s="48">
        <v>4.0</v>
      </c>
      <c r="BI4" s="698" t="s">
        <v>5441</v>
      </c>
      <c r="BJ4" s="699"/>
      <c r="BK4" s="394"/>
      <c r="BL4" s="394"/>
      <c r="BM4" s="394"/>
      <c r="BN4" s="394"/>
      <c r="BO4" s="394"/>
      <c r="BP4" s="394"/>
    </row>
    <row r="5">
      <c r="A5" s="266" t="s">
        <v>1664</v>
      </c>
      <c r="B5" s="266" t="s">
        <v>4946</v>
      </c>
      <c r="C5" s="266" t="s">
        <v>4991</v>
      </c>
      <c r="D5" s="452" t="str">
        <f t="shared" ref="D5:D6" si="3">HYPERLINK("https://www.biostar.com.tw/app/en/","Biostar")</f>
        <v>Biostar</v>
      </c>
      <c r="E5" s="735" t="s">
        <v>5444</v>
      </c>
      <c r="F5" s="266">
        <v>244.0</v>
      </c>
      <c r="G5" s="266">
        <v>198.0</v>
      </c>
      <c r="H5" s="266">
        <v>3.0</v>
      </c>
      <c r="I5" s="266" t="s">
        <v>166</v>
      </c>
      <c r="J5" s="266">
        <v>2.0</v>
      </c>
      <c r="K5" s="266" t="s">
        <v>166</v>
      </c>
      <c r="L5" s="266" t="s">
        <v>166</v>
      </c>
      <c r="M5" s="266">
        <v>1.0</v>
      </c>
      <c r="N5" s="266" t="s">
        <v>174</v>
      </c>
      <c r="O5" s="266" t="s">
        <v>174</v>
      </c>
      <c r="P5" s="266" t="s">
        <v>166</v>
      </c>
      <c r="Q5" s="266" t="s">
        <v>166</v>
      </c>
      <c r="R5" s="266">
        <v>2.0</v>
      </c>
      <c r="S5" s="266" t="s">
        <v>3149</v>
      </c>
      <c r="T5" s="266">
        <v>32.0</v>
      </c>
      <c r="U5" s="266" t="s">
        <v>4975</v>
      </c>
      <c r="V5" s="266">
        <v>4.0</v>
      </c>
      <c r="W5" s="710" t="s">
        <v>4950</v>
      </c>
      <c r="X5" s="266">
        <v>2.0</v>
      </c>
      <c r="Y5" s="266">
        <v>4.0</v>
      </c>
      <c r="Z5" s="266" t="s">
        <v>166</v>
      </c>
      <c r="AA5" s="266" t="s">
        <v>166</v>
      </c>
      <c r="AB5" s="266" t="s">
        <v>166</v>
      </c>
      <c r="AC5" s="266" t="s">
        <v>166</v>
      </c>
      <c r="AD5" s="266" t="s">
        <v>166</v>
      </c>
      <c r="AE5" s="266" t="s">
        <v>166</v>
      </c>
      <c r="AF5" s="266">
        <f t="shared" si="1"/>
        <v>6</v>
      </c>
      <c r="AG5" s="266">
        <v>2.0</v>
      </c>
      <c r="AH5" s="266">
        <v>1.0</v>
      </c>
      <c r="AI5" s="266" t="s">
        <v>166</v>
      </c>
      <c r="AJ5" s="266">
        <v>1.0</v>
      </c>
      <c r="AK5" s="48" t="s">
        <v>4959</v>
      </c>
      <c r="AL5" s="48">
        <v>1.0</v>
      </c>
      <c r="AM5" s="48" t="s">
        <v>166</v>
      </c>
      <c r="AN5" s="48" t="s">
        <v>166</v>
      </c>
      <c r="AO5" s="266" t="s">
        <v>166</v>
      </c>
      <c r="AP5" s="266" t="s">
        <v>166</v>
      </c>
      <c r="AQ5" s="266" t="s">
        <v>166</v>
      </c>
      <c r="AR5" s="48" t="s">
        <v>4960</v>
      </c>
      <c r="AS5" s="266" t="s">
        <v>166</v>
      </c>
      <c r="AT5" s="266">
        <v>3.0</v>
      </c>
      <c r="AU5" s="266">
        <v>1.0</v>
      </c>
      <c r="AV5" s="266" t="s">
        <v>166</v>
      </c>
      <c r="AW5" s="266">
        <v>1.0</v>
      </c>
      <c r="AX5" s="266" t="s">
        <v>166</v>
      </c>
      <c r="AY5" s="266">
        <v>1.0</v>
      </c>
      <c r="AZ5" s="266">
        <v>2.0</v>
      </c>
      <c r="BA5" s="266" t="s">
        <v>166</v>
      </c>
      <c r="BB5" s="266" t="s">
        <v>166</v>
      </c>
      <c r="BC5" s="266" t="s">
        <v>166</v>
      </c>
      <c r="BD5" s="266" t="s">
        <v>166</v>
      </c>
      <c r="BE5" s="48" t="s">
        <v>4953</v>
      </c>
      <c r="BF5" s="48" t="s">
        <v>4962</v>
      </c>
      <c r="BG5" s="48" t="s">
        <v>4963</v>
      </c>
      <c r="BH5" s="48">
        <v>4.0</v>
      </c>
      <c r="BI5" s="698" t="s">
        <v>5158</v>
      </c>
      <c r="BJ5" s="699"/>
      <c r="BK5" s="394"/>
      <c r="BL5" s="394"/>
      <c r="BM5" s="394"/>
      <c r="BN5" s="394"/>
      <c r="BO5" s="394"/>
      <c r="BP5" s="394"/>
    </row>
    <row r="6">
      <c r="A6" s="266" t="s">
        <v>1664</v>
      </c>
      <c r="B6" s="266" t="s">
        <v>4946</v>
      </c>
      <c r="C6" s="266" t="s">
        <v>4991</v>
      </c>
      <c r="D6" s="452" t="str">
        <f t="shared" si="3"/>
        <v>Biostar</v>
      </c>
      <c r="E6" s="735" t="s">
        <v>5445</v>
      </c>
      <c r="F6" s="266">
        <v>244.0</v>
      </c>
      <c r="G6" s="266">
        <v>198.0</v>
      </c>
      <c r="H6" s="266">
        <v>3.0</v>
      </c>
      <c r="I6" s="266" t="s">
        <v>166</v>
      </c>
      <c r="J6" s="266">
        <v>2.0</v>
      </c>
      <c r="K6" s="266" t="s">
        <v>166</v>
      </c>
      <c r="L6" s="266" t="s">
        <v>166</v>
      </c>
      <c r="M6" s="266">
        <v>1.0</v>
      </c>
      <c r="N6" s="266" t="s">
        <v>174</v>
      </c>
      <c r="O6" s="266" t="s">
        <v>174</v>
      </c>
      <c r="P6" s="266" t="s">
        <v>166</v>
      </c>
      <c r="Q6" s="266" t="s">
        <v>166</v>
      </c>
      <c r="R6" s="266">
        <v>2.0</v>
      </c>
      <c r="S6" s="266" t="s">
        <v>3149</v>
      </c>
      <c r="T6" s="266">
        <v>32.0</v>
      </c>
      <c r="U6" s="266" t="s">
        <v>4975</v>
      </c>
      <c r="V6" s="266">
        <v>4.0</v>
      </c>
      <c r="W6" s="698" t="s">
        <v>166</v>
      </c>
      <c r="X6" s="266">
        <v>2.0</v>
      </c>
      <c r="Y6" s="266">
        <v>4.0</v>
      </c>
      <c r="Z6" s="266" t="s">
        <v>166</v>
      </c>
      <c r="AA6" s="266" t="s">
        <v>166</v>
      </c>
      <c r="AB6" s="266" t="s">
        <v>166</v>
      </c>
      <c r="AC6" s="266" t="s">
        <v>166</v>
      </c>
      <c r="AD6" s="266" t="s">
        <v>166</v>
      </c>
      <c r="AE6" s="266" t="s">
        <v>166</v>
      </c>
      <c r="AF6" s="266">
        <f t="shared" si="1"/>
        <v>6</v>
      </c>
      <c r="AG6" s="266">
        <v>2.0</v>
      </c>
      <c r="AH6" s="266">
        <v>1.0</v>
      </c>
      <c r="AI6" s="266" t="s">
        <v>166</v>
      </c>
      <c r="AJ6" s="266">
        <v>1.0</v>
      </c>
      <c r="AK6" s="48" t="s">
        <v>4959</v>
      </c>
      <c r="AL6" s="48">
        <v>1.0</v>
      </c>
      <c r="AM6" s="48" t="s">
        <v>166</v>
      </c>
      <c r="AN6" s="48" t="s">
        <v>166</v>
      </c>
      <c r="AO6" s="266" t="s">
        <v>166</v>
      </c>
      <c r="AP6" s="266" t="s">
        <v>166</v>
      </c>
      <c r="AQ6" s="266" t="s">
        <v>166</v>
      </c>
      <c r="AR6" s="48" t="s">
        <v>4960</v>
      </c>
      <c r="AS6" s="266" t="s">
        <v>166</v>
      </c>
      <c r="AT6" s="266">
        <v>3.0</v>
      </c>
      <c r="AU6" s="266">
        <v>1.0</v>
      </c>
      <c r="AV6" s="266" t="s">
        <v>166</v>
      </c>
      <c r="AW6" s="266">
        <v>1.0</v>
      </c>
      <c r="AX6" s="266" t="s">
        <v>166</v>
      </c>
      <c r="AY6" s="266">
        <v>1.0</v>
      </c>
      <c r="AZ6" s="266">
        <v>2.0</v>
      </c>
      <c r="BA6" s="266" t="s">
        <v>166</v>
      </c>
      <c r="BB6" s="266" t="s">
        <v>166</v>
      </c>
      <c r="BC6" s="266" t="s">
        <v>166</v>
      </c>
      <c r="BD6" s="266" t="s">
        <v>166</v>
      </c>
      <c r="BE6" s="48" t="s">
        <v>4953</v>
      </c>
      <c r="BF6" s="48" t="s">
        <v>4962</v>
      </c>
      <c r="BG6" s="48" t="s">
        <v>4963</v>
      </c>
      <c r="BH6" s="48">
        <v>4.0</v>
      </c>
      <c r="BI6" s="698" t="s">
        <v>5158</v>
      </c>
      <c r="BJ6" s="699"/>
      <c r="BK6" s="394"/>
      <c r="BL6" s="394"/>
      <c r="BM6" s="394"/>
      <c r="BN6" s="394"/>
      <c r="BO6" s="394"/>
      <c r="BP6" s="394"/>
    </row>
    <row r="7">
      <c r="A7" s="266" t="s">
        <v>1664</v>
      </c>
      <c r="B7" s="266" t="s">
        <v>4946</v>
      </c>
      <c r="C7" s="266" t="s">
        <v>4991</v>
      </c>
      <c r="D7" s="452" t="str">
        <f t="shared" ref="D7:D12" si="4">HYPERLINK("https://www.gigabyte.com/","Gigabyte")</f>
        <v>Gigabyte</v>
      </c>
      <c r="E7" s="735" t="s">
        <v>5446</v>
      </c>
      <c r="F7" s="266">
        <v>244.0</v>
      </c>
      <c r="G7" s="266">
        <v>215.0</v>
      </c>
      <c r="H7" s="266">
        <v>3.0</v>
      </c>
      <c r="I7" s="266" t="s">
        <v>166</v>
      </c>
      <c r="J7" s="266">
        <v>1.0</v>
      </c>
      <c r="K7" s="266" t="s">
        <v>166</v>
      </c>
      <c r="L7" s="266" t="s">
        <v>166</v>
      </c>
      <c r="M7" s="266">
        <v>2.0</v>
      </c>
      <c r="N7" s="266" t="s">
        <v>174</v>
      </c>
      <c r="O7" s="266" t="s">
        <v>174</v>
      </c>
      <c r="P7" s="266" t="s">
        <v>166</v>
      </c>
      <c r="Q7" s="266" t="s">
        <v>166</v>
      </c>
      <c r="R7" s="266">
        <v>4.0</v>
      </c>
      <c r="S7" s="266" t="s">
        <v>3149</v>
      </c>
      <c r="T7" s="266">
        <v>64.0</v>
      </c>
      <c r="U7" s="266" t="s">
        <v>4958</v>
      </c>
      <c r="V7" s="266">
        <v>4.0</v>
      </c>
      <c r="W7" s="710" t="s">
        <v>4950</v>
      </c>
      <c r="X7" s="266">
        <v>4.0</v>
      </c>
      <c r="Y7" s="266">
        <v>4.0</v>
      </c>
      <c r="Z7" s="266" t="s">
        <v>166</v>
      </c>
      <c r="AA7" s="266" t="s">
        <v>166</v>
      </c>
      <c r="AB7" s="266" t="s">
        <v>166</v>
      </c>
      <c r="AC7" s="266" t="s">
        <v>166</v>
      </c>
      <c r="AD7" s="266" t="s">
        <v>166</v>
      </c>
      <c r="AE7" s="266" t="s">
        <v>166</v>
      </c>
      <c r="AF7" s="266">
        <f t="shared" si="1"/>
        <v>8</v>
      </c>
      <c r="AG7" s="266">
        <v>2.0</v>
      </c>
      <c r="AH7" s="266">
        <v>1.0</v>
      </c>
      <c r="AI7" s="266" t="s">
        <v>166</v>
      </c>
      <c r="AJ7" s="266">
        <v>1.0</v>
      </c>
      <c r="AK7" s="48" t="s">
        <v>4980</v>
      </c>
      <c r="AL7" s="48">
        <v>1.0</v>
      </c>
      <c r="AM7" s="48" t="s">
        <v>166</v>
      </c>
      <c r="AN7" s="48" t="s">
        <v>166</v>
      </c>
      <c r="AO7" s="266" t="s">
        <v>166</v>
      </c>
      <c r="AP7" s="266" t="s">
        <v>166</v>
      </c>
      <c r="AQ7" s="266" t="s">
        <v>166</v>
      </c>
      <c r="AR7" s="48" t="s">
        <v>4960</v>
      </c>
      <c r="AS7" s="266" t="s">
        <v>166</v>
      </c>
      <c r="AT7" s="266">
        <v>3.0</v>
      </c>
      <c r="AU7" s="266">
        <v>1.0</v>
      </c>
      <c r="AV7" s="266" t="s">
        <v>166</v>
      </c>
      <c r="AW7" s="266">
        <v>1.0</v>
      </c>
      <c r="AX7" s="266">
        <v>1.0</v>
      </c>
      <c r="AY7" s="266" t="s">
        <v>166</v>
      </c>
      <c r="AZ7" s="266">
        <v>2.0</v>
      </c>
      <c r="BA7" s="266">
        <v>1.0</v>
      </c>
      <c r="BB7" s="266" t="s">
        <v>166</v>
      </c>
      <c r="BC7" s="266" t="s">
        <v>166</v>
      </c>
      <c r="BD7" s="266" t="s">
        <v>166</v>
      </c>
      <c r="BE7" s="48" t="s">
        <v>4953</v>
      </c>
      <c r="BF7" s="48" t="s">
        <v>4978</v>
      </c>
      <c r="BG7" s="48" t="s">
        <v>4963</v>
      </c>
      <c r="BH7" s="48">
        <v>4.0</v>
      </c>
      <c r="BI7" s="698" t="s">
        <v>5205</v>
      </c>
      <c r="BJ7" s="699"/>
      <c r="BK7" s="394"/>
      <c r="BL7" s="394"/>
      <c r="BM7" s="394"/>
      <c r="BN7" s="394"/>
      <c r="BO7" s="394"/>
      <c r="BP7" s="394"/>
    </row>
    <row r="8">
      <c r="A8" s="266" t="s">
        <v>1664</v>
      </c>
      <c r="B8" s="266" t="s">
        <v>4946</v>
      </c>
      <c r="C8" s="266" t="s">
        <v>4991</v>
      </c>
      <c r="D8" s="452" t="str">
        <f t="shared" si="4"/>
        <v>Gigabyte</v>
      </c>
      <c r="E8" s="174" t="s">
        <v>5447</v>
      </c>
      <c r="F8" s="266">
        <v>244.0</v>
      </c>
      <c r="G8" s="266">
        <v>215.0</v>
      </c>
      <c r="H8" s="266">
        <v>3.0</v>
      </c>
      <c r="I8" s="266" t="s">
        <v>166</v>
      </c>
      <c r="J8" s="266">
        <v>1.0</v>
      </c>
      <c r="K8" s="266" t="s">
        <v>166</v>
      </c>
      <c r="L8" s="266" t="s">
        <v>166</v>
      </c>
      <c r="M8" s="266">
        <v>2.0</v>
      </c>
      <c r="N8" s="266" t="s">
        <v>174</v>
      </c>
      <c r="O8" s="266" t="s">
        <v>174</v>
      </c>
      <c r="P8" s="266" t="s">
        <v>166</v>
      </c>
      <c r="Q8" s="266" t="s">
        <v>166</v>
      </c>
      <c r="R8" s="266">
        <v>4.0</v>
      </c>
      <c r="S8" s="266" t="s">
        <v>3149</v>
      </c>
      <c r="T8" s="266">
        <v>128.0</v>
      </c>
      <c r="U8" s="266" t="s">
        <v>4958</v>
      </c>
      <c r="V8" s="266">
        <v>4.0</v>
      </c>
      <c r="W8" s="710" t="s">
        <v>4950</v>
      </c>
      <c r="X8" s="266">
        <v>4.0</v>
      </c>
      <c r="Y8" s="266">
        <v>4.0</v>
      </c>
      <c r="Z8" s="266" t="s">
        <v>166</v>
      </c>
      <c r="AA8" s="266" t="s">
        <v>166</v>
      </c>
      <c r="AB8" s="266" t="s">
        <v>166</v>
      </c>
      <c r="AC8" s="266" t="s">
        <v>166</v>
      </c>
      <c r="AD8" s="266" t="s">
        <v>166</v>
      </c>
      <c r="AE8" s="266" t="s">
        <v>166</v>
      </c>
      <c r="AF8" s="266">
        <f t="shared" si="1"/>
        <v>8</v>
      </c>
      <c r="AG8" s="266">
        <v>2.0</v>
      </c>
      <c r="AH8" s="266">
        <v>1.0</v>
      </c>
      <c r="AI8" s="266" t="s">
        <v>166</v>
      </c>
      <c r="AJ8" s="266">
        <v>1.0</v>
      </c>
      <c r="AK8" s="48" t="s">
        <v>4980</v>
      </c>
      <c r="AL8" s="48">
        <v>1.0</v>
      </c>
      <c r="AM8" s="48" t="s">
        <v>166</v>
      </c>
      <c r="AN8" s="48" t="s">
        <v>166</v>
      </c>
      <c r="AO8" s="266" t="s">
        <v>166</v>
      </c>
      <c r="AP8" s="266" t="s">
        <v>166</v>
      </c>
      <c r="AQ8" s="266" t="s">
        <v>166</v>
      </c>
      <c r="AR8" s="48" t="s">
        <v>4960</v>
      </c>
      <c r="AS8" s="266" t="s">
        <v>166</v>
      </c>
      <c r="AT8" s="266">
        <v>3.0</v>
      </c>
      <c r="AU8" s="266">
        <v>1.0</v>
      </c>
      <c r="AV8" s="266" t="s">
        <v>166</v>
      </c>
      <c r="AW8" s="266">
        <v>1.0</v>
      </c>
      <c r="AX8" s="266">
        <v>1.0</v>
      </c>
      <c r="AY8" s="266" t="s">
        <v>166</v>
      </c>
      <c r="AZ8" s="266">
        <v>2.0</v>
      </c>
      <c r="BA8" s="266">
        <v>1.0</v>
      </c>
      <c r="BB8" s="266" t="s">
        <v>166</v>
      </c>
      <c r="BC8" s="266" t="s">
        <v>166</v>
      </c>
      <c r="BD8" s="266" t="s">
        <v>166</v>
      </c>
      <c r="BE8" s="48" t="s">
        <v>4953</v>
      </c>
      <c r="BF8" s="48" t="s">
        <v>4978</v>
      </c>
      <c r="BG8" s="48" t="s">
        <v>4963</v>
      </c>
      <c r="BH8" s="48">
        <v>4.0</v>
      </c>
      <c r="BI8" s="698" t="s">
        <v>5205</v>
      </c>
      <c r="BJ8" s="699"/>
      <c r="BK8" s="394"/>
      <c r="BL8" s="394"/>
      <c r="BM8" s="394"/>
      <c r="BN8" s="394"/>
      <c r="BO8" s="394"/>
      <c r="BP8" s="394"/>
    </row>
    <row r="9">
      <c r="A9" s="266" t="s">
        <v>1664</v>
      </c>
      <c r="B9" s="266" t="s">
        <v>4946</v>
      </c>
      <c r="C9" s="266" t="s">
        <v>4991</v>
      </c>
      <c r="D9" s="452" t="str">
        <f t="shared" si="4"/>
        <v>Gigabyte</v>
      </c>
      <c r="E9" s="735" t="s">
        <v>5448</v>
      </c>
      <c r="F9" s="266">
        <v>244.0</v>
      </c>
      <c r="G9" s="266">
        <v>215.0</v>
      </c>
      <c r="H9" s="266">
        <v>3.0</v>
      </c>
      <c r="I9" s="266" t="s">
        <v>166</v>
      </c>
      <c r="J9" s="266">
        <v>1.0</v>
      </c>
      <c r="K9" s="266" t="s">
        <v>166</v>
      </c>
      <c r="L9" s="266" t="s">
        <v>166</v>
      </c>
      <c r="M9" s="266">
        <v>2.0</v>
      </c>
      <c r="N9" s="266" t="s">
        <v>174</v>
      </c>
      <c r="O9" s="266" t="s">
        <v>174</v>
      </c>
      <c r="P9" s="266" t="s">
        <v>166</v>
      </c>
      <c r="Q9" s="266" t="s">
        <v>166</v>
      </c>
      <c r="R9" s="266">
        <v>4.0</v>
      </c>
      <c r="S9" s="266" t="s">
        <v>3149</v>
      </c>
      <c r="T9" s="266">
        <v>64.0</v>
      </c>
      <c r="U9" s="266" t="s">
        <v>4958</v>
      </c>
      <c r="V9" s="266">
        <v>4.0</v>
      </c>
      <c r="W9" s="710" t="s">
        <v>4950</v>
      </c>
      <c r="X9" s="266">
        <v>4.0</v>
      </c>
      <c r="Y9" s="266">
        <v>4.0</v>
      </c>
      <c r="Z9" s="266" t="s">
        <v>166</v>
      </c>
      <c r="AA9" s="266" t="s">
        <v>166</v>
      </c>
      <c r="AB9" s="266" t="s">
        <v>166</v>
      </c>
      <c r="AC9" s="266" t="s">
        <v>166</v>
      </c>
      <c r="AD9" s="266" t="s">
        <v>166</v>
      </c>
      <c r="AE9" s="266" t="s">
        <v>166</v>
      </c>
      <c r="AF9" s="266">
        <f t="shared" si="1"/>
        <v>8</v>
      </c>
      <c r="AG9" s="266">
        <v>2.0</v>
      </c>
      <c r="AH9" s="266">
        <v>1.0</v>
      </c>
      <c r="AI9" s="266" t="s">
        <v>166</v>
      </c>
      <c r="AJ9" s="266">
        <v>1.0</v>
      </c>
      <c r="AK9" s="48" t="s">
        <v>4980</v>
      </c>
      <c r="AL9" s="48">
        <v>1.0</v>
      </c>
      <c r="AM9" s="48">
        <v>1.0</v>
      </c>
      <c r="AN9" s="48" t="s">
        <v>4966</v>
      </c>
      <c r="AO9" s="48" t="s">
        <v>4967</v>
      </c>
      <c r="AP9" s="266">
        <v>433.0</v>
      </c>
      <c r="AQ9" s="266">
        <v>4.2</v>
      </c>
      <c r="AR9" s="48" t="s">
        <v>4960</v>
      </c>
      <c r="AS9" s="266" t="s">
        <v>166</v>
      </c>
      <c r="AT9" s="266">
        <v>3.0</v>
      </c>
      <c r="AU9" s="266">
        <v>1.0</v>
      </c>
      <c r="AV9" s="266" t="s">
        <v>166</v>
      </c>
      <c r="AW9" s="266">
        <v>1.0</v>
      </c>
      <c r="AX9" s="266" t="s">
        <v>166</v>
      </c>
      <c r="AY9" s="266" t="s">
        <v>166</v>
      </c>
      <c r="AZ9" s="266">
        <v>2.0</v>
      </c>
      <c r="BA9" s="266">
        <v>2.0</v>
      </c>
      <c r="BB9" s="266">
        <v>2.0</v>
      </c>
      <c r="BC9" s="266" t="s">
        <v>166</v>
      </c>
      <c r="BD9" s="266" t="s">
        <v>166</v>
      </c>
      <c r="BE9" s="48" t="s">
        <v>4953</v>
      </c>
      <c r="BF9" s="48" t="s">
        <v>4978</v>
      </c>
      <c r="BG9" s="48" t="s">
        <v>4963</v>
      </c>
      <c r="BH9" s="48">
        <v>4.0</v>
      </c>
      <c r="BI9" s="698" t="s">
        <v>5205</v>
      </c>
      <c r="BJ9" s="699"/>
      <c r="BK9" s="394"/>
      <c r="BL9" s="394"/>
      <c r="BM9" s="394"/>
      <c r="BN9" s="394"/>
      <c r="BO9" s="394"/>
      <c r="BP9" s="394"/>
    </row>
    <row r="10">
      <c r="A10" s="266" t="s">
        <v>1664</v>
      </c>
      <c r="B10" s="266" t="s">
        <v>4946</v>
      </c>
      <c r="C10" s="266" t="s">
        <v>4991</v>
      </c>
      <c r="D10" s="452" t="str">
        <f t="shared" si="4"/>
        <v>Gigabyte</v>
      </c>
      <c r="E10" s="735" t="s">
        <v>5449</v>
      </c>
      <c r="F10" s="266">
        <v>244.0</v>
      </c>
      <c r="G10" s="266">
        <v>205.0</v>
      </c>
      <c r="H10" s="266">
        <v>3.0</v>
      </c>
      <c r="I10" s="266" t="s">
        <v>166</v>
      </c>
      <c r="J10" s="266">
        <v>2.0</v>
      </c>
      <c r="K10" s="266" t="s">
        <v>166</v>
      </c>
      <c r="L10" s="266" t="s">
        <v>166</v>
      </c>
      <c r="M10" s="266">
        <v>1.0</v>
      </c>
      <c r="N10" s="266" t="s">
        <v>174</v>
      </c>
      <c r="O10" s="266" t="s">
        <v>174</v>
      </c>
      <c r="P10" s="266" t="s">
        <v>166</v>
      </c>
      <c r="Q10" s="266" t="s">
        <v>166</v>
      </c>
      <c r="R10" s="266">
        <v>2.0</v>
      </c>
      <c r="S10" s="266" t="s">
        <v>3149</v>
      </c>
      <c r="T10" s="266">
        <v>32.0</v>
      </c>
      <c r="U10" s="266" t="s">
        <v>4958</v>
      </c>
      <c r="V10" s="266">
        <v>4.0</v>
      </c>
      <c r="W10" s="710" t="s">
        <v>4950</v>
      </c>
      <c r="X10" s="266">
        <v>2.0</v>
      </c>
      <c r="Y10" s="266">
        <v>4.0</v>
      </c>
      <c r="Z10" s="266" t="s">
        <v>166</v>
      </c>
      <c r="AA10" s="266" t="s">
        <v>166</v>
      </c>
      <c r="AB10" s="266" t="s">
        <v>166</v>
      </c>
      <c r="AC10" s="266" t="s">
        <v>166</v>
      </c>
      <c r="AD10" s="266" t="s">
        <v>166</v>
      </c>
      <c r="AE10" s="266" t="s">
        <v>166</v>
      </c>
      <c r="AF10" s="266">
        <f t="shared" si="1"/>
        <v>6</v>
      </c>
      <c r="AG10" s="266">
        <v>2.0</v>
      </c>
      <c r="AH10" s="266">
        <v>1.0</v>
      </c>
      <c r="AI10" s="266" t="s">
        <v>166</v>
      </c>
      <c r="AJ10" s="266">
        <v>1.0</v>
      </c>
      <c r="AK10" s="48" t="s">
        <v>4976</v>
      </c>
      <c r="AL10" s="48">
        <v>1.0</v>
      </c>
      <c r="AM10" s="48" t="s">
        <v>166</v>
      </c>
      <c r="AN10" s="48" t="s">
        <v>166</v>
      </c>
      <c r="AO10" s="266" t="s">
        <v>166</v>
      </c>
      <c r="AP10" s="266" t="s">
        <v>166</v>
      </c>
      <c r="AQ10" s="266" t="s">
        <v>166</v>
      </c>
      <c r="AR10" s="48" t="s">
        <v>4960</v>
      </c>
      <c r="AS10" s="266" t="s">
        <v>166</v>
      </c>
      <c r="AT10" s="266">
        <v>3.0</v>
      </c>
      <c r="AU10" s="266">
        <v>2.0</v>
      </c>
      <c r="AV10" s="266" t="s">
        <v>166</v>
      </c>
      <c r="AW10" s="266">
        <v>1.0</v>
      </c>
      <c r="AX10" s="266">
        <v>1.0</v>
      </c>
      <c r="AY10" s="266">
        <v>1.0</v>
      </c>
      <c r="AZ10" s="266">
        <v>3.0</v>
      </c>
      <c r="BA10" s="266">
        <v>1.0</v>
      </c>
      <c r="BB10" s="266" t="s">
        <v>166</v>
      </c>
      <c r="BC10" s="266" t="s">
        <v>166</v>
      </c>
      <c r="BD10" s="266" t="s">
        <v>166</v>
      </c>
      <c r="BE10" s="48" t="s">
        <v>4953</v>
      </c>
      <c r="BF10" s="48" t="s">
        <v>4978</v>
      </c>
      <c r="BG10" s="48" t="s">
        <v>4963</v>
      </c>
      <c r="BH10" s="48">
        <v>4.0</v>
      </c>
      <c r="BI10" s="698" t="s">
        <v>5205</v>
      </c>
      <c r="BJ10" s="699"/>
      <c r="BK10" s="394"/>
      <c r="BL10" s="394"/>
      <c r="BM10" s="394"/>
      <c r="BN10" s="394"/>
      <c r="BO10" s="394"/>
      <c r="BP10" s="394"/>
    </row>
    <row r="11">
      <c r="A11" s="266" t="s">
        <v>1664</v>
      </c>
      <c r="B11" s="266" t="s">
        <v>4946</v>
      </c>
      <c r="C11" s="266" t="s">
        <v>4991</v>
      </c>
      <c r="D11" s="452" t="str">
        <f t="shared" si="4"/>
        <v>Gigabyte</v>
      </c>
      <c r="E11" s="735" t="s">
        <v>5450</v>
      </c>
      <c r="F11" s="266">
        <v>244.0</v>
      </c>
      <c r="G11" s="266">
        <v>205.0</v>
      </c>
      <c r="H11" s="266">
        <v>3.0</v>
      </c>
      <c r="I11" s="266" t="s">
        <v>166</v>
      </c>
      <c r="J11" s="266">
        <v>2.0</v>
      </c>
      <c r="K11" s="266" t="s">
        <v>166</v>
      </c>
      <c r="L11" s="266" t="s">
        <v>166</v>
      </c>
      <c r="M11" s="266">
        <v>1.0</v>
      </c>
      <c r="N11" s="266" t="s">
        <v>174</v>
      </c>
      <c r="O11" s="266" t="s">
        <v>174</v>
      </c>
      <c r="P11" s="266" t="s">
        <v>166</v>
      </c>
      <c r="Q11" s="266" t="s">
        <v>166</v>
      </c>
      <c r="R11" s="266">
        <v>2.0</v>
      </c>
      <c r="S11" s="266" t="s">
        <v>3149</v>
      </c>
      <c r="T11" s="266">
        <v>32.0</v>
      </c>
      <c r="U11" s="266" t="s">
        <v>4958</v>
      </c>
      <c r="V11" s="266">
        <v>4.0</v>
      </c>
      <c r="W11" s="710" t="s">
        <v>4950</v>
      </c>
      <c r="X11" s="266">
        <v>2.0</v>
      </c>
      <c r="Y11" s="266">
        <v>4.0</v>
      </c>
      <c r="Z11" s="266" t="s">
        <v>166</v>
      </c>
      <c r="AA11" s="266" t="s">
        <v>166</v>
      </c>
      <c r="AB11" s="266" t="s">
        <v>166</v>
      </c>
      <c r="AC11" s="266" t="s">
        <v>166</v>
      </c>
      <c r="AD11" s="266" t="s">
        <v>166</v>
      </c>
      <c r="AE11" s="266" t="s">
        <v>166</v>
      </c>
      <c r="AF11" s="266">
        <f t="shared" si="1"/>
        <v>6</v>
      </c>
      <c r="AG11" s="266">
        <v>2.0</v>
      </c>
      <c r="AH11" s="266">
        <v>1.0</v>
      </c>
      <c r="AI11" s="266" t="s">
        <v>166</v>
      </c>
      <c r="AJ11" s="266">
        <v>1.0</v>
      </c>
      <c r="AK11" s="48" t="s">
        <v>4980</v>
      </c>
      <c r="AL11" s="48">
        <v>1.0</v>
      </c>
      <c r="AM11" s="48" t="s">
        <v>166</v>
      </c>
      <c r="AN11" s="48" t="s">
        <v>166</v>
      </c>
      <c r="AO11" s="266" t="s">
        <v>166</v>
      </c>
      <c r="AP11" s="266" t="s">
        <v>166</v>
      </c>
      <c r="AQ11" s="266" t="s">
        <v>166</v>
      </c>
      <c r="AR11" s="48" t="s">
        <v>4960</v>
      </c>
      <c r="AS11" s="266" t="s">
        <v>166</v>
      </c>
      <c r="AT11" s="266">
        <v>3.0</v>
      </c>
      <c r="AU11" s="266">
        <v>2.0</v>
      </c>
      <c r="AV11" s="266" t="s">
        <v>166</v>
      </c>
      <c r="AW11" s="266">
        <v>1.0</v>
      </c>
      <c r="AX11" s="266">
        <v>1.0</v>
      </c>
      <c r="AY11" s="266">
        <v>1.0</v>
      </c>
      <c r="AZ11" s="266">
        <v>2.0</v>
      </c>
      <c r="BA11" s="266">
        <v>1.0</v>
      </c>
      <c r="BB11" s="266" t="s">
        <v>166</v>
      </c>
      <c r="BC11" s="266" t="s">
        <v>166</v>
      </c>
      <c r="BD11" s="266" t="s">
        <v>166</v>
      </c>
      <c r="BE11" s="48" t="s">
        <v>4953</v>
      </c>
      <c r="BF11" s="48" t="s">
        <v>4978</v>
      </c>
      <c r="BG11" s="48" t="s">
        <v>4963</v>
      </c>
      <c r="BH11" s="48">
        <v>4.0</v>
      </c>
      <c r="BI11" s="698" t="s">
        <v>5205</v>
      </c>
      <c r="BJ11" s="699"/>
      <c r="BK11" s="394"/>
      <c r="BL11" s="394"/>
      <c r="BM11" s="394"/>
      <c r="BN11" s="394"/>
      <c r="BO11" s="394"/>
      <c r="BP11" s="394"/>
    </row>
    <row r="12">
      <c r="A12" s="266" t="s">
        <v>1664</v>
      </c>
      <c r="B12" s="266" t="s">
        <v>4946</v>
      </c>
      <c r="C12" s="266" t="s">
        <v>4991</v>
      </c>
      <c r="D12" s="452" t="str">
        <f t="shared" si="4"/>
        <v>Gigabyte</v>
      </c>
      <c r="E12" s="174" t="s">
        <v>5451</v>
      </c>
      <c r="F12" s="266">
        <v>244.0</v>
      </c>
      <c r="G12" s="266">
        <v>205.0</v>
      </c>
      <c r="H12" s="266">
        <v>3.0</v>
      </c>
      <c r="I12" s="266" t="s">
        <v>166</v>
      </c>
      <c r="J12" s="266">
        <v>2.0</v>
      </c>
      <c r="K12" s="266" t="s">
        <v>166</v>
      </c>
      <c r="L12" s="266" t="s">
        <v>166</v>
      </c>
      <c r="M12" s="266">
        <v>1.0</v>
      </c>
      <c r="N12" s="266" t="s">
        <v>174</v>
      </c>
      <c r="O12" s="266" t="s">
        <v>174</v>
      </c>
      <c r="P12" s="266" t="s">
        <v>166</v>
      </c>
      <c r="Q12" s="266" t="s">
        <v>166</v>
      </c>
      <c r="R12" s="266">
        <v>2.0</v>
      </c>
      <c r="S12" s="266" t="s">
        <v>3149</v>
      </c>
      <c r="T12" s="266">
        <v>64.0</v>
      </c>
      <c r="U12" s="266" t="s">
        <v>4958</v>
      </c>
      <c r="V12" s="266">
        <v>4.0</v>
      </c>
      <c r="W12" s="710" t="s">
        <v>4950</v>
      </c>
      <c r="X12" s="266">
        <v>2.0</v>
      </c>
      <c r="Y12" s="266">
        <v>4.0</v>
      </c>
      <c r="Z12" s="266" t="s">
        <v>166</v>
      </c>
      <c r="AA12" s="266" t="s">
        <v>166</v>
      </c>
      <c r="AB12" s="266" t="s">
        <v>166</v>
      </c>
      <c r="AC12" s="266" t="s">
        <v>166</v>
      </c>
      <c r="AD12" s="266" t="s">
        <v>166</v>
      </c>
      <c r="AE12" s="266" t="s">
        <v>166</v>
      </c>
      <c r="AF12" s="266">
        <f t="shared" si="1"/>
        <v>6</v>
      </c>
      <c r="AG12" s="266">
        <v>2.0</v>
      </c>
      <c r="AH12" s="266">
        <v>1.0</v>
      </c>
      <c r="AI12" s="266" t="s">
        <v>166</v>
      </c>
      <c r="AJ12" s="266">
        <v>1.0</v>
      </c>
      <c r="AK12" s="48" t="s">
        <v>4980</v>
      </c>
      <c r="AL12" s="48">
        <v>1.0</v>
      </c>
      <c r="AM12" s="48" t="s">
        <v>166</v>
      </c>
      <c r="AN12" s="48" t="s">
        <v>166</v>
      </c>
      <c r="AO12" s="266" t="s">
        <v>166</v>
      </c>
      <c r="AP12" s="266" t="s">
        <v>166</v>
      </c>
      <c r="AQ12" s="266" t="s">
        <v>166</v>
      </c>
      <c r="AR12" s="48" t="s">
        <v>4960</v>
      </c>
      <c r="AS12" s="266" t="s">
        <v>166</v>
      </c>
      <c r="AT12" s="266">
        <v>3.0</v>
      </c>
      <c r="AU12" s="266">
        <v>2.0</v>
      </c>
      <c r="AV12" s="266" t="s">
        <v>166</v>
      </c>
      <c r="AW12" s="266">
        <v>1.0</v>
      </c>
      <c r="AX12" s="266">
        <v>1.0</v>
      </c>
      <c r="AY12" s="266">
        <v>1.0</v>
      </c>
      <c r="AZ12" s="266">
        <v>2.0</v>
      </c>
      <c r="BA12" s="266">
        <v>1.0</v>
      </c>
      <c r="BB12" s="266" t="s">
        <v>166</v>
      </c>
      <c r="BC12" s="266" t="s">
        <v>166</v>
      </c>
      <c r="BD12" s="266" t="s">
        <v>166</v>
      </c>
      <c r="BE12" s="48" t="s">
        <v>4953</v>
      </c>
      <c r="BF12" s="48" t="s">
        <v>4978</v>
      </c>
      <c r="BG12" s="48" t="s">
        <v>4963</v>
      </c>
      <c r="BH12" s="48">
        <v>4.0</v>
      </c>
      <c r="BI12" s="698" t="s">
        <v>5205</v>
      </c>
      <c r="BJ12" s="699"/>
      <c r="BK12" s="394"/>
      <c r="BL12" s="394"/>
      <c r="BM12" s="394"/>
      <c r="BN12" s="394"/>
      <c r="BO12" s="394"/>
      <c r="BP12" s="394"/>
    </row>
    <row r="13">
      <c r="A13" s="266" t="s">
        <v>1664</v>
      </c>
      <c r="B13" s="266" t="s">
        <v>4946</v>
      </c>
      <c r="C13" s="266" t="s">
        <v>4991</v>
      </c>
      <c r="D13" s="452" t="str">
        <f t="shared" ref="D13:D17" si="5">HYPERLINK("https://www.msi.com/index.php","MSI")</f>
        <v>MSI</v>
      </c>
      <c r="E13" s="735" t="s">
        <v>5452</v>
      </c>
      <c r="F13" s="266">
        <v>244.0</v>
      </c>
      <c r="G13" s="266">
        <v>210.0</v>
      </c>
      <c r="H13" s="266">
        <v>3.0</v>
      </c>
      <c r="I13" s="266" t="s">
        <v>166</v>
      </c>
      <c r="J13" s="266">
        <v>2.0</v>
      </c>
      <c r="K13" s="266" t="s">
        <v>166</v>
      </c>
      <c r="L13" s="266" t="s">
        <v>166</v>
      </c>
      <c r="M13" s="266">
        <v>1.0</v>
      </c>
      <c r="N13" s="266" t="s">
        <v>174</v>
      </c>
      <c r="O13" s="266" t="s">
        <v>174</v>
      </c>
      <c r="P13" s="266" t="s">
        <v>174</v>
      </c>
      <c r="Q13" s="266" t="s">
        <v>166</v>
      </c>
      <c r="R13" s="266">
        <v>2.0</v>
      </c>
      <c r="S13" s="266" t="s">
        <v>3149</v>
      </c>
      <c r="T13" s="266">
        <v>64.0</v>
      </c>
      <c r="U13" s="266" t="s">
        <v>4949</v>
      </c>
      <c r="V13" s="266">
        <v>4.0</v>
      </c>
      <c r="W13" s="710" t="s">
        <v>4950</v>
      </c>
      <c r="X13" s="266">
        <v>2.0</v>
      </c>
      <c r="Y13" s="266">
        <v>3.0</v>
      </c>
      <c r="Z13" s="266">
        <v>1.0</v>
      </c>
      <c r="AA13" s="266" t="s">
        <v>166</v>
      </c>
      <c r="AB13" s="266" t="s">
        <v>166</v>
      </c>
      <c r="AC13" s="266" t="s">
        <v>166</v>
      </c>
      <c r="AD13" s="266" t="s">
        <v>166</v>
      </c>
      <c r="AE13" s="266" t="s">
        <v>166</v>
      </c>
      <c r="AF13" s="266">
        <f t="shared" si="1"/>
        <v>6</v>
      </c>
      <c r="AG13" s="266">
        <v>2.0</v>
      </c>
      <c r="AH13" s="266">
        <v>2.0</v>
      </c>
      <c r="AI13" s="266" t="s">
        <v>166</v>
      </c>
      <c r="AJ13" s="266">
        <v>1.0</v>
      </c>
      <c r="AK13" s="48" t="s">
        <v>4959</v>
      </c>
      <c r="AL13" s="48">
        <v>1.0</v>
      </c>
      <c r="AM13" s="48" t="s">
        <v>166</v>
      </c>
      <c r="AN13" s="48" t="s">
        <v>166</v>
      </c>
      <c r="AO13" s="266" t="s">
        <v>166</v>
      </c>
      <c r="AP13" s="266" t="s">
        <v>166</v>
      </c>
      <c r="AQ13" s="266" t="s">
        <v>166</v>
      </c>
      <c r="AR13" s="48" t="s">
        <v>4960</v>
      </c>
      <c r="AS13" s="266" t="s">
        <v>166</v>
      </c>
      <c r="AT13" s="266">
        <v>3.0</v>
      </c>
      <c r="AU13" s="266">
        <v>1.0</v>
      </c>
      <c r="AV13" s="266" t="s">
        <v>166</v>
      </c>
      <c r="AW13" s="266">
        <v>1.0</v>
      </c>
      <c r="AX13" s="266">
        <v>1.0</v>
      </c>
      <c r="AY13" s="266" t="s">
        <v>166</v>
      </c>
      <c r="AZ13" s="266">
        <v>3.0</v>
      </c>
      <c r="BA13" s="266">
        <v>2.0</v>
      </c>
      <c r="BB13" s="266" t="s">
        <v>166</v>
      </c>
      <c r="BC13" s="266" t="s">
        <v>174</v>
      </c>
      <c r="BD13" s="266" t="s">
        <v>166</v>
      </c>
      <c r="BE13" s="48" t="s">
        <v>5453</v>
      </c>
      <c r="BF13" s="48" t="s">
        <v>4962</v>
      </c>
      <c r="BG13" s="48" t="s">
        <v>4963</v>
      </c>
      <c r="BH13" s="48">
        <v>4.0</v>
      </c>
      <c r="BI13" s="698" t="s">
        <v>5454</v>
      </c>
      <c r="BJ13" s="699"/>
      <c r="BK13" s="394"/>
      <c r="BL13" s="394"/>
      <c r="BM13" s="394"/>
      <c r="BN13" s="394"/>
      <c r="BO13" s="394"/>
      <c r="BP13" s="394"/>
    </row>
    <row r="14">
      <c r="A14" s="266" t="s">
        <v>1664</v>
      </c>
      <c r="B14" s="266" t="s">
        <v>4946</v>
      </c>
      <c r="C14" s="266" t="s">
        <v>4991</v>
      </c>
      <c r="D14" s="452" t="str">
        <f t="shared" si="5"/>
        <v>MSI</v>
      </c>
      <c r="E14" s="735" t="s">
        <v>5455</v>
      </c>
      <c r="F14" s="266">
        <v>244.0</v>
      </c>
      <c r="G14" s="266">
        <v>206.0</v>
      </c>
      <c r="H14" s="266">
        <v>3.0</v>
      </c>
      <c r="I14" s="266" t="s">
        <v>166</v>
      </c>
      <c r="J14" s="266">
        <v>2.0</v>
      </c>
      <c r="K14" s="266" t="s">
        <v>166</v>
      </c>
      <c r="L14" s="266" t="s">
        <v>166</v>
      </c>
      <c r="M14" s="266">
        <v>1.0</v>
      </c>
      <c r="N14" s="266" t="s">
        <v>174</v>
      </c>
      <c r="O14" s="266" t="s">
        <v>174</v>
      </c>
      <c r="P14" s="266" t="s">
        <v>166</v>
      </c>
      <c r="Q14" s="266" t="s">
        <v>166</v>
      </c>
      <c r="R14" s="266">
        <v>2.0</v>
      </c>
      <c r="S14" s="266" t="s">
        <v>3149</v>
      </c>
      <c r="T14" s="266">
        <v>64.0</v>
      </c>
      <c r="U14" s="266" t="s">
        <v>4949</v>
      </c>
      <c r="V14" s="266">
        <v>4.0</v>
      </c>
      <c r="W14" s="710" t="s">
        <v>4950</v>
      </c>
      <c r="X14" s="266">
        <v>2.0</v>
      </c>
      <c r="Y14" s="266">
        <v>4.0</v>
      </c>
      <c r="Z14" s="266" t="s">
        <v>166</v>
      </c>
      <c r="AA14" s="266" t="s">
        <v>166</v>
      </c>
      <c r="AB14" s="266" t="s">
        <v>166</v>
      </c>
      <c r="AC14" s="266" t="s">
        <v>166</v>
      </c>
      <c r="AD14" s="266" t="s">
        <v>166</v>
      </c>
      <c r="AE14" s="266" t="s">
        <v>166</v>
      </c>
      <c r="AF14" s="266">
        <f t="shared" si="1"/>
        <v>6</v>
      </c>
      <c r="AG14" s="266">
        <v>2.0</v>
      </c>
      <c r="AH14" s="266">
        <v>1.0</v>
      </c>
      <c r="AI14" s="266" t="s">
        <v>166</v>
      </c>
      <c r="AJ14" s="266">
        <v>1.0</v>
      </c>
      <c r="AK14" s="48" t="s">
        <v>4959</v>
      </c>
      <c r="AL14" s="48">
        <v>1.0</v>
      </c>
      <c r="AM14" s="48" t="s">
        <v>166</v>
      </c>
      <c r="AN14" s="48" t="s">
        <v>166</v>
      </c>
      <c r="AO14" s="266" t="s">
        <v>166</v>
      </c>
      <c r="AP14" s="266" t="s">
        <v>166</v>
      </c>
      <c r="AQ14" s="266" t="s">
        <v>166</v>
      </c>
      <c r="AR14" s="48" t="s">
        <v>4960</v>
      </c>
      <c r="AS14" s="266" t="s">
        <v>166</v>
      </c>
      <c r="AT14" s="266">
        <v>3.0</v>
      </c>
      <c r="AU14" s="266">
        <v>1.0</v>
      </c>
      <c r="AV14" s="266" t="s">
        <v>166</v>
      </c>
      <c r="AW14" s="266">
        <v>1.0</v>
      </c>
      <c r="AX14" s="266">
        <v>1.0</v>
      </c>
      <c r="AY14" s="266">
        <v>1.0</v>
      </c>
      <c r="AZ14" s="266">
        <v>2.0</v>
      </c>
      <c r="BA14" s="266">
        <v>1.0</v>
      </c>
      <c r="BB14" s="266" t="s">
        <v>166</v>
      </c>
      <c r="BC14" s="266" t="s">
        <v>174</v>
      </c>
      <c r="BD14" s="266" t="s">
        <v>166</v>
      </c>
      <c r="BE14" s="48" t="s">
        <v>5453</v>
      </c>
      <c r="BF14" s="48" t="s">
        <v>4962</v>
      </c>
      <c r="BG14" s="48" t="s">
        <v>4963</v>
      </c>
      <c r="BH14" s="48">
        <v>4.0</v>
      </c>
      <c r="BI14" s="698" t="s">
        <v>5456</v>
      </c>
      <c r="BJ14" s="699"/>
      <c r="BK14" s="394"/>
      <c r="BL14" s="394"/>
      <c r="BM14" s="394"/>
      <c r="BN14" s="394"/>
      <c r="BO14" s="394"/>
      <c r="BP14" s="394"/>
    </row>
    <row r="15">
      <c r="A15" s="266" t="s">
        <v>1664</v>
      </c>
      <c r="B15" s="266" t="s">
        <v>4946</v>
      </c>
      <c r="C15" s="266" t="s">
        <v>4991</v>
      </c>
      <c r="D15" s="452" t="str">
        <f t="shared" si="5"/>
        <v>MSI</v>
      </c>
      <c r="E15" s="735" t="s">
        <v>5457</v>
      </c>
      <c r="F15" s="266">
        <v>244.0</v>
      </c>
      <c r="G15" s="266">
        <v>206.0</v>
      </c>
      <c r="H15" s="266">
        <v>3.0</v>
      </c>
      <c r="I15" s="266" t="s">
        <v>166</v>
      </c>
      <c r="J15" s="266">
        <v>2.0</v>
      </c>
      <c r="K15" s="266" t="s">
        <v>166</v>
      </c>
      <c r="L15" s="266" t="s">
        <v>166</v>
      </c>
      <c r="M15" s="266">
        <v>1.0</v>
      </c>
      <c r="N15" s="266" t="s">
        <v>174</v>
      </c>
      <c r="O15" s="266" t="s">
        <v>174</v>
      </c>
      <c r="P15" s="266" t="s">
        <v>166</v>
      </c>
      <c r="Q15" s="266" t="s">
        <v>166</v>
      </c>
      <c r="R15" s="266">
        <v>2.0</v>
      </c>
      <c r="S15" s="266" t="s">
        <v>3149</v>
      </c>
      <c r="T15" s="266">
        <v>64.0</v>
      </c>
      <c r="U15" s="266" t="s">
        <v>5152</v>
      </c>
      <c r="V15" s="266">
        <v>4.0</v>
      </c>
      <c r="W15" s="710" t="s">
        <v>4950</v>
      </c>
      <c r="X15" s="266">
        <v>2.0</v>
      </c>
      <c r="Y15" s="266">
        <v>4.0</v>
      </c>
      <c r="Z15" s="266" t="s">
        <v>166</v>
      </c>
      <c r="AA15" s="266" t="s">
        <v>166</v>
      </c>
      <c r="AB15" s="266" t="s">
        <v>166</v>
      </c>
      <c r="AC15" s="266" t="s">
        <v>166</v>
      </c>
      <c r="AD15" s="266" t="s">
        <v>166</v>
      </c>
      <c r="AE15" s="266" t="s">
        <v>166</v>
      </c>
      <c r="AF15" s="266">
        <f t="shared" si="1"/>
        <v>6</v>
      </c>
      <c r="AG15" s="266">
        <v>2.0</v>
      </c>
      <c r="AH15" s="266">
        <v>1.0</v>
      </c>
      <c r="AI15" s="266" t="s">
        <v>166</v>
      </c>
      <c r="AJ15" s="266">
        <v>1.0</v>
      </c>
      <c r="AK15" s="48" t="s">
        <v>4959</v>
      </c>
      <c r="AL15" s="48">
        <v>1.0</v>
      </c>
      <c r="AM15" s="48" t="s">
        <v>166</v>
      </c>
      <c r="AN15" s="48" t="s">
        <v>166</v>
      </c>
      <c r="AO15" s="266" t="s">
        <v>166</v>
      </c>
      <c r="AP15" s="266" t="s">
        <v>166</v>
      </c>
      <c r="AQ15" s="266" t="s">
        <v>166</v>
      </c>
      <c r="AR15" s="48" t="s">
        <v>4960</v>
      </c>
      <c r="AS15" s="266" t="s">
        <v>166</v>
      </c>
      <c r="AT15" s="266">
        <v>3.0</v>
      </c>
      <c r="AU15" s="266">
        <v>2.0</v>
      </c>
      <c r="AV15" s="266" t="s">
        <v>166</v>
      </c>
      <c r="AW15" s="266">
        <v>1.0</v>
      </c>
      <c r="AX15" s="266">
        <v>1.0</v>
      </c>
      <c r="AY15" s="266">
        <v>1.0</v>
      </c>
      <c r="AZ15" s="266">
        <v>2.0</v>
      </c>
      <c r="BA15" s="266">
        <v>1.0</v>
      </c>
      <c r="BB15" s="266" t="s">
        <v>166</v>
      </c>
      <c r="BC15" s="266" t="s">
        <v>174</v>
      </c>
      <c r="BD15" s="266" t="s">
        <v>166</v>
      </c>
      <c r="BE15" s="48" t="s">
        <v>5458</v>
      </c>
      <c r="BF15" s="48" t="s">
        <v>4962</v>
      </c>
      <c r="BG15" s="48" t="s">
        <v>4963</v>
      </c>
      <c r="BH15" s="48">
        <v>4.0</v>
      </c>
      <c r="BI15" s="698" t="s">
        <v>5456</v>
      </c>
      <c r="BJ15" s="699"/>
      <c r="BK15" s="394"/>
      <c r="BL15" s="394"/>
      <c r="BM15" s="394"/>
      <c r="BN15" s="394"/>
      <c r="BO15" s="394"/>
      <c r="BP15" s="394"/>
    </row>
    <row r="16">
      <c r="A16" s="266" t="s">
        <v>1664</v>
      </c>
      <c r="B16" s="266" t="s">
        <v>4946</v>
      </c>
      <c r="C16" s="266" t="s">
        <v>4991</v>
      </c>
      <c r="D16" s="452" t="str">
        <f t="shared" si="5"/>
        <v>MSI</v>
      </c>
      <c r="E16" s="735" t="s">
        <v>5459</v>
      </c>
      <c r="F16" s="266">
        <v>244.0</v>
      </c>
      <c r="G16" s="266">
        <v>206.0</v>
      </c>
      <c r="H16" s="266">
        <v>3.0</v>
      </c>
      <c r="I16" s="266" t="s">
        <v>166</v>
      </c>
      <c r="J16" s="266">
        <v>2.0</v>
      </c>
      <c r="K16" s="266" t="s">
        <v>166</v>
      </c>
      <c r="L16" s="266" t="s">
        <v>166</v>
      </c>
      <c r="M16" s="266">
        <v>1.0</v>
      </c>
      <c r="N16" s="266" t="s">
        <v>174</v>
      </c>
      <c r="O16" s="266" t="s">
        <v>174</v>
      </c>
      <c r="P16" s="266" t="s">
        <v>166</v>
      </c>
      <c r="Q16" s="266" t="s">
        <v>166</v>
      </c>
      <c r="R16" s="266">
        <v>2.0</v>
      </c>
      <c r="S16" s="266" t="s">
        <v>3149</v>
      </c>
      <c r="T16" s="266">
        <v>64.0</v>
      </c>
      <c r="U16" s="266" t="s">
        <v>4949</v>
      </c>
      <c r="V16" s="266">
        <v>4.0</v>
      </c>
      <c r="W16" s="710" t="s">
        <v>4950</v>
      </c>
      <c r="X16" s="266">
        <v>2.0</v>
      </c>
      <c r="Y16" s="266">
        <v>4.0</v>
      </c>
      <c r="Z16" s="266" t="s">
        <v>166</v>
      </c>
      <c r="AA16" s="266" t="s">
        <v>166</v>
      </c>
      <c r="AB16" s="266" t="s">
        <v>166</v>
      </c>
      <c r="AC16" s="266" t="s">
        <v>166</v>
      </c>
      <c r="AD16" s="266" t="s">
        <v>166</v>
      </c>
      <c r="AE16" s="266" t="s">
        <v>166</v>
      </c>
      <c r="AF16" s="266">
        <f t="shared" si="1"/>
        <v>6</v>
      </c>
      <c r="AG16" s="266">
        <v>2.0</v>
      </c>
      <c r="AH16" s="266">
        <v>1.0</v>
      </c>
      <c r="AI16" s="266" t="s">
        <v>166</v>
      </c>
      <c r="AJ16" s="266">
        <v>1.0</v>
      </c>
      <c r="AK16" s="48" t="s">
        <v>4959</v>
      </c>
      <c r="AL16" s="48">
        <v>1.0</v>
      </c>
      <c r="AM16" s="48" t="s">
        <v>166</v>
      </c>
      <c r="AN16" s="48" t="s">
        <v>166</v>
      </c>
      <c r="AO16" s="266" t="s">
        <v>166</v>
      </c>
      <c r="AP16" s="266" t="s">
        <v>166</v>
      </c>
      <c r="AQ16" s="266" t="s">
        <v>166</v>
      </c>
      <c r="AR16" s="48" t="s">
        <v>4960</v>
      </c>
      <c r="AS16" s="266" t="s">
        <v>166</v>
      </c>
      <c r="AT16" s="266">
        <v>3.0</v>
      </c>
      <c r="AU16" s="266">
        <v>2.0</v>
      </c>
      <c r="AV16" s="266" t="s">
        <v>166</v>
      </c>
      <c r="AW16" s="266">
        <v>1.0</v>
      </c>
      <c r="AX16" s="266">
        <v>1.0</v>
      </c>
      <c r="AY16" s="266">
        <v>1.0</v>
      </c>
      <c r="AZ16" s="266">
        <v>2.0</v>
      </c>
      <c r="BA16" s="266">
        <v>1.0</v>
      </c>
      <c r="BB16" s="266" t="s">
        <v>166</v>
      </c>
      <c r="BC16" s="266" t="s">
        <v>174</v>
      </c>
      <c r="BD16" s="266" t="s">
        <v>166</v>
      </c>
      <c r="BE16" s="48" t="s">
        <v>5458</v>
      </c>
      <c r="BF16" s="48" t="s">
        <v>4962</v>
      </c>
      <c r="BG16" s="48" t="s">
        <v>4963</v>
      </c>
      <c r="BH16" s="48">
        <v>4.0</v>
      </c>
      <c r="BI16" s="698" t="s">
        <v>5456</v>
      </c>
      <c r="BJ16" s="699"/>
      <c r="BK16" s="394"/>
      <c r="BL16" s="394"/>
      <c r="BM16" s="394"/>
      <c r="BN16" s="394"/>
      <c r="BO16" s="394"/>
      <c r="BP16" s="394"/>
    </row>
    <row r="17">
      <c r="A17" s="501" t="s">
        <v>1664</v>
      </c>
      <c r="B17" s="501" t="s">
        <v>4946</v>
      </c>
      <c r="C17" s="501" t="s">
        <v>4991</v>
      </c>
      <c r="D17" s="500" t="str">
        <f t="shared" si="5"/>
        <v>MSI</v>
      </c>
      <c r="E17" s="736" t="s">
        <v>5460</v>
      </c>
      <c r="F17" s="501">
        <v>236.0</v>
      </c>
      <c r="G17" s="501">
        <v>200.0</v>
      </c>
      <c r="H17" s="501">
        <v>3.0</v>
      </c>
      <c r="I17" s="501" t="s">
        <v>166</v>
      </c>
      <c r="J17" s="501">
        <v>1.0</v>
      </c>
      <c r="K17" s="501" t="s">
        <v>166</v>
      </c>
      <c r="L17" s="501" t="s">
        <v>166</v>
      </c>
      <c r="M17" s="501">
        <v>1.0</v>
      </c>
      <c r="N17" s="501" t="s">
        <v>174</v>
      </c>
      <c r="O17" s="501" t="s">
        <v>174</v>
      </c>
      <c r="P17" s="501" t="s">
        <v>166</v>
      </c>
      <c r="Q17" s="501" t="s">
        <v>166</v>
      </c>
      <c r="R17" s="501">
        <v>2.0</v>
      </c>
      <c r="S17" s="501" t="s">
        <v>3149</v>
      </c>
      <c r="T17" s="501">
        <v>64.0</v>
      </c>
      <c r="U17" s="501" t="s">
        <v>5152</v>
      </c>
      <c r="V17" s="501">
        <v>4.0</v>
      </c>
      <c r="W17" s="701" t="s">
        <v>4950</v>
      </c>
      <c r="X17" s="501">
        <v>2.0</v>
      </c>
      <c r="Y17" s="501">
        <v>4.0</v>
      </c>
      <c r="Z17" s="501" t="s">
        <v>166</v>
      </c>
      <c r="AA17" s="501" t="s">
        <v>166</v>
      </c>
      <c r="AB17" s="501" t="s">
        <v>166</v>
      </c>
      <c r="AC17" s="501" t="s">
        <v>166</v>
      </c>
      <c r="AD17" s="501" t="s">
        <v>166</v>
      </c>
      <c r="AE17" s="501" t="s">
        <v>166</v>
      </c>
      <c r="AF17" s="501">
        <f t="shared" si="1"/>
        <v>6</v>
      </c>
      <c r="AG17" s="501">
        <v>2.0</v>
      </c>
      <c r="AH17" s="501">
        <v>1.0</v>
      </c>
      <c r="AI17" s="501" t="s">
        <v>166</v>
      </c>
      <c r="AJ17" s="501">
        <v>1.0</v>
      </c>
      <c r="AK17" s="700" t="s">
        <v>4959</v>
      </c>
      <c r="AL17" s="700">
        <v>1.0</v>
      </c>
      <c r="AM17" s="700" t="s">
        <v>166</v>
      </c>
      <c r="AN17" s="700" t="s">
        <v>166</v>
      </c>
      <c r="AO17" s="501" t="s">
        <v>166</v>
      </c>
      <c r="AP17" s="501" t="s">
        <v>166</v>
      </c>
      <c r="AQ17" s="501" t="s">
        <v>166</v>
      </c>
      <c r="AR17" s="700" t="s">
        <v>4977</v>
      </c>
      <c r="AS17" s="501" t="s">
        <v>166</v>
      </c>
      <c r="AT17" s="501">
        <v>3.0</v>
      </c>
      <c r="AU17" s="501">
        <v>2.0</v>
      </c>
      <c r="AV17" s="501" t="s">
        <v>166</v>
      </c>
      <c r="AW17" s="501">
        <v>1.0</v>
      </c>
      <c r="AX17" s="501">
        <v>1.0</v>
      </c>
      <c r="AY17" s="501" t="s">
        <v>166</v>
      </c>
      <c r="AZ17" s="501">
        <v>2.0</v>
      </c>
      <c r="BA17" s="501" t="s">
        <v>166</v>
      </c>
      <c r="BB17" s="501" t="s">
        <v>166</v>
      </c>
      <c r="BC17" s="501" t="s">
        <v>166</v>
      </c>
      <c r="BD17" s="501" t="s">
        <v>166</v>
      </c>
      <c r="BE17" s="700" t="s">
        <v>5453</v>
      </c>
      <c r="BF17" s="700" t="s">
        <v>5461</v>
      </c>
      <c r="BG17" s="700" t="s">
        <v>4963</v>
      </c>
      <c r="BH17" s="700">
        <v>3.0</v>
      </c>
      <c r="BI17" s="703" t="s">
        <v>5456</v>
      </c>
      <c r="BJ17" s="704"/>
      <c r="BK17" s="394"/>
      <c r="BL17" s="394"/>
      <c r="BM17" s="394"/>
      <c r="BN17" s="394"/>
      <c r="BO17" s="394"/>
      <c r="BP17" s="394"/>
    </row>
    <row r="18">
      <c r="A18" s="507" t="s">
        <v>1664</v>
      </c>
      <c r="B18" s="507" t="s">
        <v>4946</v>
      </c>
      <c r="C18" s="266" t="s">
        <v>5000</v>
      </c>
      <c r="D18" s="452" t="str">
        <f t="shared" ref="D18:D19" si="6">HYPERLINK("https://www.biostar.com.tw/app/en/","Biostar")</f>
        <v>Biostar</v>
      </c>
      <c r="E18" s="282" t="s">
        <v>5462</v>
      </c>
      <c r="F18" s="507">
        <v>244.0</v>
      </c>
      <c r="G18" s="507">
        <v>238.0</v>
      </c>
      <c r="H18" s="507">
        <v>3.0</v>
      </c>
      <c r="I18" s="507" t="s">
        <v>166</v>
      </c>
      <c r="J18" s="507">
        <v>2.0</v>
      </c>
      <c r="K18" s="507" t="s">
        <v>166</v>
      </c>
      <c r="L18" s="507" t="s">
        <v>166</v>
      </c>
      <c r="M18" s="507">
        <v>2.0</v>
      </c>
      <c r="N18" s="507" t="s">
        <v>174</v>
      </c>
      <c r="O18" s="507" t="s">
        <v>174</v>
      </c>
      <c r="P18" s="507" t="s">
        <v>166</v>
      </c>
      <c r="Q18" s="507" t="s">
        <v>166</v>
      </c>
      <c r="R18" s="507">
        <v>4.0</v>
      </c>
      <c r="S18" s="507" t="s">
        <v>3149</v>
      </c>
      <c r="T18" s="507">
        <v>64.0</v>
      </c>
      <c r="U18" s="266" t="s">
        <v>4975</v>
      </c>
      <c r="V18" s="507">
        <v>4.0</v>
      </c>
      <c r="W18" s="710" t="s">
        <v>4950</v>
      </c>
      <c r="X18" s="507" t="s">
        <v>166</v>
      </c>
      <c r="Y18" s="507">
        <v>4.0</v>
      </c>
      <c r="Z18" s="507" t="s">
        <v>166</v>
      </c>
      <c r="AA18" s="507">
        <v>2.0</v>
      </c>
      <c r="AB18" s="507" t="s">
        <v>166</v>
      </c>
      <c r="AC18" s="507" t="s">
        <v>166</v>
      </c>
      <c r="AD18" s="507" t="s">
        <v>166</v>
      </c>
      <c r="AE18" s="507" t="s">
        <v>166</v>
      </c>
      <c r="AF18" s="507">
        <f t="shared" si="1"/>
        <v>6</v>
      </c>
      <c r="AG18" s="507">
        <v>2.0</v>
      </c>
      <c r="AH18" s="507">
        <v>1.0</v>
      </c>
      <c r="AI18" s="507" t="s">
        <v>166</v>
      </c>
      <c r="AJ18" s="507">
        <v>1.0</v>
      </c>
      <c r="AK18" s="48" t="s">
        <v>4976</v>
      </c>
      <c r="AL18" s="705">
        <v>1.0</v>
      </c>
      <c r="AM18" s="705" t="s">
        <v>166</v>
      </c>
      <c r="AN18" s="48" t="s">
        <v>166</v>
      </c>
      <c r="AO18" s="705" t="s">
        <v>166</v>
      </c>
      <c r="AP18" s="507" t="s">
        <v>166</v>
      </c>
      <c r="AQ18" s="507" t="s">
        <v>166</v>
      </c>
      <c r="AR18" s="705" t="s">
        <v>4960</v>
      </c>
      <c r="AS18" s="507" t="s">
        <v>166</v>
      </c>
      <c r="AT18" s="507">
        <v>3.0</v>
      </c>
      <c r="AU18" s="507">
        <v>1.0</v>
      </c>
      <c r="AV18" s="507" t="s">
        <v>166</v>
      </c>
      <c r="AW18" s="266">
        <v>1.0</v>
      </c>
      <c r="AX18" s="507">
        <v>1.0</v>
      </c>
      <c r="AY18" s="507" t="s">
        <v>166</v>
      </c>
      <c r="AZ18" s="507">
        <v>3.0</v>
      </c>
      <c r="BA18" s="507">
        <v>2.0</v>
      </c>
      <c r="BB18" s="507" t="s">
        <v>166</v>
      </c>
      <c r="BC18" s="507" t="s">
        <v>166</v>
      </c>
      <c r="BD18" s="507" t="s">
        <v>166</v>
      </c>
      <c r="BE18" s="48" t="s">
        <v>4953</v>
      </c>
      <c r="BF18" s="48" t="s">
        <v>4962</v>
      </c>
      <c r="BG18" s="48" t="s">
        <v>4963</v>
      </c>
      <c r="BH18" s="48">
        <v>4.0</v>
      </c>
      <c r="BI18" s="698" t="s">
        <v>5463</v>
      </c>
      <c r="BJ18" s="708"/>
      <c r="BK18" s="394"/>
      <c r="BL18" s="394"/>
      <c r="BM18" s="394"/>
      <c r="BN18" s="394"/>
      <c r="BO18" s="394"/>
      <c r="BP18" s="394"/>
    </row>
    <row r="19">
      <c r="A19" s="519" t="s">
        <v>1664</v>
      </c>
      <c r="B19" s="519" t="s">
        <v>4946</v>
      </c>
      <c r="C19" s="501" t="s">
        <v>5000</v>
      </c>
      <c r="D19" s="500" t="str">
        <f t="shared" si="6"/>
        <v>Biostar</v>
      </c>
      <c r="E19" s="290" t="s">
        <v>5464</v>
      </c>
      <c r="F19" s="519">
        <v>244.0</v>
      </c>
      <c r="G19" s="519">
        <v>198.0</v>
      </c>
      <c r="H19" s="519">
        <v>3.0</v>
      </c>
      <c r="I19" s="519" t="s">
        <v>166</v>
      </c>
      <c r="J19" s="519">
        <v>2.0</v>
      </c>
      <c r="K19" s="519" t="s">
        <v>166</v>
      </c>
      <c r="L19" s="519" t="s">
        <v>166</v>
      </c>
      <c r="M19" s="519">
        <v>1.0</v>
      </c>
      <c r="N19" s="519" t="s">
        <v>174</v>
      </c>
      <c r="O19" s="519" t="s">
        <v>174</v>
      </c>
      <c r="P19" s="519" t="s">
        <v>166</v>
      </c>
      <c r="Q19" s="519" t="s">
        <v>166</v>
      </c>
      <c r="R19" s="519">
        <v>2.0</v>
      </c>
      <c r="S19" s="519" t="s">
        <v>3149</v>
      </c>
      <c r="T19" s="519">
        <v>32.0</v>
      </c>
      <c r="U19" s="501" t="s">
        <v>4975</v>
      </c>
      <c r="V19" s="519">
        <v>4.0</v>
      </c>
      <c r="W19" s="701" t="s">
        <v>4950</v>
      </c>
      <c r="X19" s="519">
        <v>2.0</v>
      </c>
      <c r="Y19" s="519">
        <v>4.0</v>
      </c>
      <c r="Z19" s="519" t="s">
        <v>166</v>
      </c>
      <c r="AA19" s="519" t="s">
        <v>166</v>
      </c>
      <c r="AB19" s="519" t="s">
        <v>166</v>
      </c>
      <c r="AC19" s="519" t="s">
        <v>166</v>
      </c>
      <c r="AD19" s="519" t="s">
        <v>166</v>
      </c>
      <c r="AE19" s="519" t="s">
        <v>166</v>
      </c>
      <c r="AF19" s="519">
        <f t="shared" si="1"/>
        <v>6</v>
      </c>
      <c r="AG19" s="519">
        <v>2.0</v>
      </c>
      <c r="AH19" s="519">
        <v>1.0</v>
      </c>
      <c r="AI19" s="519" t="s">
        <v>166</v>
      </c>
      <c r="AJ19" s="519">
        <v>1.0</v>
      </c>
      <c r="AK19" s="712" t="s">
        <v>4959</v>
      </c>
      <c r="AL19" s="712">
        <v>1.0</v>
      </c>
      <c r="AM19" s="712" t="s">
        <v>166</v>
      </c>
      <c r="AN19" s="700" t="s">
        <v>166</v>
      </c>
      <c r="AO19" s="712" t="s">
        <v>166</v>
      </c>
      <c r="AP19" s="519" t="s">
        <v>166</v>
      </c>
      <c r="AQ19" s="519" t="s">
        <v>166</v>
      </c>
      <c r="AR19" s="712" t="s">
        <v>4960</v>
      </c>
      <c r="AS19" s="519" t="s">
        <v>166</v>
      </c>
      <c r="AT19" s="519">
        <v>3.0</v>
      </c>
      <c r="AU19" s="519">
        <v>1.0</v>
      </c>
      <c r="AV19" s="519" t="s">
        <v>166</v>
      </c>
      <c r="AW19" s="501">
        <v>1.0</v>
      </c>
      <c r="AX19" s="519" t="s">
        <v>166</v>
      </c>
      <c r="AY19" s="519">
        <v>1.0</v>
      </c>
      <c r="AZ19" s="519">
        <v>2.0</v>
      </c>
      <c r="BA19" s="519" t="s">
        <v>166</v>
      </c>
      <c r="BB19" s="519" t="s">
        <v>166</v>
      </c>
      <c r="BC19" s="519" t="s">
        <v>166</v>
      </c>
      <c r="BD19" s="519" t="s">
        <v>166</v>
      </c>
      <c r="BE19" s="700" t="s">
        <v>170</v>
      </c>
      <c r="BF19" s="700" t="s">
        <v>170</v>
      </c>
      <c r="BG19" s="700" t="s">
        <v>170</v>
      </c>
      <c r="BH19" s="700" t="s">
        <v>170</v>
      </c>
      <c r="BI19" s="703" t="s">
        <v>170</v>
      </c>
      <c r="BJ19" s="717"/>
      <c r="BK19" s="394"/>
      <c r="BL19" s="394"/>
      <c r="BM19" s="394"/>
      <c r="BN19" s="394"/>
      <c r="BO19" s="394"/>
      <c r="BP19" s="394"/>
    </row>
    <row r="20">
      <c r="A20" s="507" t="s">
        <v>1664</v>
      </c>
      <c r="B20" s="507" t="s">
        <v>4946</v>
      </c>
      <c r="C20" s="507" t="s">
        <v>5004</v>
      </c>
      <c r="D20" s="506" t="s">
        <v>169</v>
      </c>
      <c r="E20" s="282" t="s">
        <v>5465</v>
      </c>
      <c r="F20" s="507">
        <v>230.0</v>
      </c>
      <c r="G20" s="507">
        <v>201.0</v>
      </c>
      <c r="H20" s="507">
        <v>3.0</v>
      </c>
      <c r="I20" s="507" t="s">
        <v>166</v>
      </c>
      <c r="J20" s="507">
        <v>1.0</v>
      </c>
      <c r="K20" s="507" t="s">
        <v>166</v>
      </c>
      <c r="L20" s="507" t="s">
        <v>166</v>
      </c>
      <c r="M20" s="507">
        <v>1.0</v>
      </c>
      <c r="N20" s="507" t="s">
        <v>166</v>
      </c>
      <c r="O20" s="507" t="s">
        <v>174</v>
      </c>
      <c r="P20" s="507" t="s">
        <v>166</v>
      </c>
      <c r="Q20" s="507" t="s">
        <v>166</v>
      </c>
      <c r="R20" s="507">
        <v>2.0</v>
      </c>
      <c r="S20" s="507" t="s">
        <v>3149</v>
      </c>
      <c r="T20" s="507">
        <v>64.0</v>
      </c>
      <c r="U20" s="507" t="s">
        <v>5006</v>
      </c>
      <c r="V20" s="507">
        <v>4.0</v>
      </c>
      <c r="W20" s="711" t="s">
        <v>4950</v>
      </c>
      <c r="X20" s="507">
        <v>2.0</v>
      </c>
      <c r="Y20" s="507">
        <v>4.0</v>
      </c>
      <c r="Z20" s="507" t="s">
        <v>166</v>
      </c>
      <c r="AA20" s="507" t="s">
        <v>166</v>
      </c>
      <c r="AB20" s="507" t="s">
        <v>166</v>
      </c>
      <c r="AC20" s="507" t="s">
        <v>166</v>
      </c>
      <c r="AD20" s="507" t="s">
        <v>166</v>
      </c>
      <c r="AE20" s="507" t="s">
        <v>166</v>
      </c>
      <c r="AF20" s="507">
        <f t="shared" si="1"/>
        <v>6</v>
      </c>
      <c r="AG20" s="507">
        <v>2.0</v>
      </c>
      <c r="AH20" s="507">
        <v>1.0</v>
      </c>
      <c r="AI20" s="507" t="s">
        <v>166</v>
      </c>
      <c r="AJ20" s="507">
        <v>1.0</v>
      </c>
      <c r="AK20" s="705" t="s">
        <v>4959</v>
      </c>
      <c r="AL20" s="705">
        <v>1.0</v>
      </c>
      <c r="AM20" s="705">
        <v>1.0</v>
      </c>
      <c r="AN20" s="705" t="s">
        <v>4966</v>
      </c>
      <c r="AO20" s="705" t="s">
        <v>4967</v>
      </c>
      <c r="AP20" s="507">
        <v>433.0</v>
      </c>
      <c r="AQ20" s="507">
        <v>4.2</v>
      </c>
      <c r="AR20" s="705" t="s">
        <v>4960</v>
      </c>
      <c r="AS20" s="507" t="s">
        <v>166</v>
      </c>
      <c r="AT20" s="507">
        <v>3.0</v>
      </c>
      <c r="AU20" s="507">
        <v>1.0</v>
      </c>
      <c r="AV20" s="507" t="s">
        <v>166</v>
      </c>
      <c r="AW20" s="507">
        <v>1.0</v>
      </c>
      <c r="AX20" s="507" t="s">
        <v>166</v>
      </c>
      <c r="AY20" s="507" t="s">
        <v>166</v>
      </c>
      <c r="AZ20" s="507">
        <v>3.0</v>
      </c>
      <c r="BA20" s="507" t="s">
        <v>166</v>
      </c>
      <c r="BB20" s="507" t="s">
        <v>166</v>
      </c>
      <c r="BC20" s="507" t="s">
        <v>166</v>
      </c>
      <c r="BD20" s="507" t="s">
        <v>166</v>
      </c>
      <c r="BE20" s="705" t="s">
        <v>5466</v>
      </c>
      <c r="BF20" s="705" t="s">
        <v>4962</v>
      </c>
      <c r="BG20" s="705" t="s">
        <v>4963</v>
      </c>
      <c r="BH20" s="705">
        <v>4.0</v>
      </c>
      <c r="BI20" s="708" t="s">
        <v>5439</v>
      </c>
      <c r="BJ20" s="708"/>
      <c r="BK20" s="394"/>
      <c r="BL20" s="394"/>
      <c r="BM20" s="394"/>
      <c r="BN20" s="394"/>
      <c r="BO20" s="394"/>
      <c r="BP20" s="394"/>
    </row>
    <row r="21">
      <c r="A21" s="266" t="s">
        <v>1664</v>
      </c>
      <c r="B21" s="266" t="s">
        <v>4946</v>
      </c>
      <c r="C21" s="266" t="s">
        <v>5004</v>
      </c>
      <c r="D21" s="452" t="s">
        <v>169</v>
      </c>
      <c r="E21" s="282" t="s">
        <v>5467</v>
      </c>
      <c r="F21" s="507">
        <v>230.0</v>
      </c>
      <c r="G21" s="507">
        <v>201.0</v>
      </c>
      <c r="H21" s="507">
        <v>3.0</v>
      </c>
      <c r="I21" s="507" t="s">
        <v>166</v>
      </c>
      <c r="J21" s="507">
        <v>1.0</v>
      </c>
      <c r="K21" s="507" t="s">
        <v>166</v>
      </c>
      <c r="L21" s="507" t="s">
        <v>166</v>
      </c>
      <c r="M21" s="507">
        <v>1.0</v>
      </c>
      <c r="N21" s="507" t="s">
        <v>166</v>
      </c>
      <c r="O21" s="507" t="s">
        <v>174</v>
      </c>
      <c r="P21" s="507" t="s">
        <v>166</v>
      </c>
      <c r="Q21" s="507" t="s">
        <v>166</v>
      </c>
      <c r="R21" s="507">
        <v>2.0</v>
      </c>
      <c r="S21" s="266" t="s">
        <v>3149</v>
      </c>
      <c r="T21" s="507">
        <v>64.0</v>
      </c>
      <c r="U21" s="507" t="s">
        <v>5006</v>
      </c>
      <c r="V21" s="507">
        <v>4.0</v>
      </c>
      <c r="W21" s="710" t="s">
        <v>4950</v>
      </c>
      <c r="X21" s="507">
        <v>2.0</v>
      </c>
      <c r="Y21" s="507">
        <v>4.0</v>
      </c>
      <c r="Z21" s="507" t="s">
        <v>166</v>
      </c>
      <c r="AA21" s="507" t="s">
        <v>166</v>
      </c>
      <c r="AB21" s="507" t="s">
        <v>166</v>
      </c>
      <c r="AC21" s="507" t="s">
        <v>166</v>
      </c>
      <c r="AD21" s="507" t="s">
        <v>166</v>
      </c>
      <c r="AE21" s="507" t="s">
        <v>166</v>
      </c>
      <c r="AF21" s="266">
        <f t="shared" si="1"/>
        <v>6</v>
      </c>
      <c r="AG21" s="507">
        <v>2.0</v>
      </c>
      <c r="AH21" s="507">
        <v>1.0</v>
      </c>
      <c r="AI21" s="507" t="s">
        <v>166</v>
      </c>
      <c r="AJ21" s="507">
        <v>1.0</v>
      </c>
      <c r="AK21" s="48" t="s">
        <v>4959</v>
      </c>
      <c r="AL21" s="705">
        <v>1.0</v>
      </c>
      <c r="AM21" s="705" t="s">
        <v>166</v>
      </c>
      <c r="AN21" s="48" t="s">
        <v>166</v>
      </c>
      <c r="AO21" s="705" t="s">
        <v>166</v>
      </c>
      <c r="AP21" s="507" t="s">
        <v>166</v>
      </c>
      <c r="AQ21" s="507" t="s">
        <v>166</v>
      </c>
      <c r="AR21" s="48" t="s">
        <v>4960</v>
      </c>
      <c r="AS21" s="507" t="s">
        <v>166</v>
      </c>
      <c r="AT21" s="507">
        <v>3.0</v>
      </c>
      <c r="AU21" s="507">
        <v>1.0</v>
      </c>
      <c r="AV21" s="507" t="s">
        <v>166</v>
      </c>
      <c r="AW21" s="266">
        <v>1.0</v>
      </c>
      <c r="AX21" s="507">
        <v>1.0</v>
      </c>
      <c r="AY21" s="507">
        <v>1.0</v>
      </c>
      <c r="AZ21" s="507">
        <v>3.0</v>
      </c>
      <c r="BA21" s="507" t="s">
        <v>166</v>
      </c>
      <c r="BB21" s="507" t="s">
        <v>166</v>
      </c>
      <c r="BC21" s="507" t="s">
        <v>166</v>
      </c>
      <c r="BD21" s="507" t="s">
        <v>166</v>
      </c>
      <c r="BE21" s="48" t="s">
        <v>5466</v>
      </c>
      <c r="BF21" s="48" t="s">
        <v>4962</v>
      </c>
      <c r="BG21" s="48" t="s">
        <v>4963</v>
      </c>
      <c r="BH21" s="48">
        <v>4.0</v>
      </c>
      <c r="BI21" s="698" t="s">
        <v>5439</v>
      </c>
      <c r="BJ21" s="708"/>
      <c r="BK21" s="394"/>
      <c r="BL21" s="394"/>
      <c r="BM21" s="394"/>
      <c r="BN21" s="394"/>
      <c r="BO21" s="394"/>
      <c r="BP21" s="394"/>
    </row>
    <row r="22">
      <c r="A22" s="266" t="s">
        <v>1664</v>
      </c>
      <c r="B22" s="266" t="s">
        <v>4946</v>
      </c>
      <c r="C22" s="266" t="s">
        <v>5004</v>
      </c>
      <c r="D22" s="452" t="s">
        <v>169</v>
      </c>
      <c r="E22" s="174" t="s">
        <v>5468</v>
      </c>
      <c r="F22" s="266">
        <v>244.0</v>
      </c>
      <c r="G22" s="266">
        <v>201.0</v>
      </c>
      <c r="H22" s="266">
        <v>3.0</v>
      </c>
      <c r="I22" s="266">
        <v>1.0</v>
      </c>
      <c r="J22" s="266">
        <v>2.0</v>
      </c>
      <c r="K22" s="266" t="s">
        <v>166</v>
      </c>
      <c r="L22" s="266" t="s">
        <v>166</v>
      </c>
      <c r="M22" s="266">
        <v>1.0</v>
      </c>
      <c r="N22" s="266" t="s">
        <v>166</v>
      </c>
      <c r="O22" s="266" t="s">
        <v>174</v>
      </c>
      <c r="P22" s="266" t="s">
        <v>166</v>
      </c>
      <c r="Q22" s="266" t="s">
        <v>166</v>
      </c>
      <c r="R22" s="266">
        <v>2.0</v>
      </c>
      <c r="S22" s="266" t="s">
        <v>3149</v>
      </c>
      <c r="T22" s="266">
        <v>64.0</v>
      </c>
      <c r="U22" s="507" t="s">
        <v>5006</v>
      </c>
      <c r="V22" s="266">
        <v>4.0</v>
      </c>
      <c r="W22" s="710" t="s">
        <v>4950</v>
      </c>
      <c r="X22" s="266">
        <v>2.0</v>
      </c>
      <c r="Y22" s="266">
        <v>4.0</v>
      </c>
      <c r="Z22" s="266" t="s">
        <v>166</v>
      </c>
      <c r="AA22" s="266" t="s">
        <v>166</v>
      </c>
      <c r="AB22" s="266" t="s">
        <v>166</v>
      </c>
      <c r="AC22" s="266" t="s">
        <v>166</v>
      </c>
      <c r="AD22" s="266" t="s">
        <v>166</v>
      </c>
      <c r="AE22" s="266" t="s">
        <v>166</v>
      </c>
      <c r="AF22" s="266">
        <f t="shared" si="1"/>
        <v>6</v>
      </c>
      <c r="AG22" s="266">
        <v>2.0</v>
      </c>
      <c r="AH22" s="266">
        <v>1.0</v>
      </c>
      <c r="AI22" s="266" t="s">
        <v>166</v>
      </c>
      <c r="AJ22" s="266">
        <v>1.0</v>
      </c>
      <c r="AK22" s="48" t="s">
        <v>5469</v>
      </c>
      <c r="AL22" s="48">
        <v>1.0</v>
      </c>
      <c r="AM22" s="48" t="s">
        <v>166</v>
      </c>
      <c r="AN22" s="48" t="s">
        <v>166</v>
      </c>
      <c r="AO22" s="48" t="s">
        <v>166</v>
      </c>
      <c r="AP22" s="266" t="s">
        <v>166</v>
      </c>
      <c r="AQ22" s="266" t="s">
        <v>166</v>
      </c>
      <c r="AR22" s="48" t="s">
        <v>4960</v>
      </c>
      <c r="AS22" s="266" t="s">
        <v>166</v>
      </c>
      <c r="AT22" s="266">
        <v>3.0</v>
      </c>
      <c r="AU22" s="266">
        <v>2.0</v>
      </c>
      <c r="AV22" s="266">
        <v>1.0</v>
      </c>
      <c r="AW22" s="266">
        <v>1.0</v>
      </c>
      <c r="AX22" s="266">
        <v>1.0</v>
      </c>
      <c r="AY22" s="266">
        <v>1.0</v>
      </c>
      <c r="AZ22" s="266">
        <v>3.0</v>
      </c>
      <c r="BA22" s="266" t="s">
        <v>166</v>
      </c>
      <c r="BB22" s="266" t="s">
        <v>166</v>
      </c>
      <c r="BC22" s="266" t="s">
        <v>166</v>
      </c>
      <c r="BD22" s="266" t="s">
        <v>166</v>
      </c>
      <c r="BE22" s="48" t="s">
        <v>5466</v>
      </c>
      <c r="BF22" s="48" t="s">
        <v>4962</v>
      </c>
      <c r="BG22" s="48" t="s">
        <v>4963</v>
      </c>
      <c r="BH22" s="48">
        <v>4.0</v>
      </c>
      <c r="BI22" s="698" t="s">
        <v>5439</v>
      </c>
      <c r="BJ22" s="698"/>
      <c r="BK22" s="394"/>
      <c r="BL22" s="394"/>
      <c r="BM22" s="394"/>
      <c r="BN22" s="394"/>
      <c r="BO22" s="394"/>
      <c r="BP22" s="394"/>
    </row>
    <row r="23">
      <c r="A23" s="266" t="s">
        <v>1664</v>
      </c>
      <c r="B23" s="266" t="s">
        <v>4946</v>
      </c>
      <c r="C23" s="266" t="s">
        <v>5004</v>
      </c>
      <c r="D23" s="452" t="s">
        <v>169</v>
      </c>
      <c r="E23" s="174" t="s">
        <v>5470</v>
      </c>
      <c r="F23" s="266">
        <v>244.0</v>
      </c>
      <c r="G23" s="266">
        <v>201.0</v>
      </c>
      <c r="H23" s="266">
        <v>3.0</v>
      </c>
      <c r="I23" s="266">
        <v>1.0</v>
      </c>
      <c r="J23" s="266">
        <v>2.0</v>
      </c>
      <c r="K23" s="266" t="s">
        <v>166</v>
      </c>
      <c r="L23" s="266" t="s">
        <v>166</v>
      </c>
      <c r="M23" s="266">
        <v>1.0</v>
      </c>
      <c r="N23" s="266" t="s">
        <v>166</v>
      </c>
      <c r="O23" s="266" t="s">
        <v>174</v>
      </c>
      <c r="P23" s="266" t="s">
        <v>166</v>
      </c>
      <c r="Q23" s="266" t="s">
        <v>166</v>
      </c>
      <c r="R23" s="266">
        <v>2.0</v>
      </c>
      <c r="S23" s="266" t="s">
        <v>3149</v>
      </c>
      <c r="T23" s="266">
        <v>64.0</v>
      </c>
      <c r="U23" s="507" t="s">
        <v>5006</v>
      </c>
      <c r="V23" s="266">
        <v>4.0</v>
      </c>
      <c r="W23" s="710" t="s">
        <v>4950</v>
      </c>
      <c r="X23" s="266">
        <v>2.0</v>
      </c>
      <c r="Y23" s="266">
        <v>4.0</v>
      </c>
      <c r="Z23" s="266" t="s">
        <v>166</v>
      </c>
      <c r="AA23" s="266" t="s">
        <v>166</v>
      </c>
      <c r="AB23" s="266" t="s">
        <v>166</v>
      </c>
      <c r="AC23" s="266" t="s">
        <v>166</v>
      </c>
      <c r="AD23" s="266" t="s">
        <v>166</v>
      </c>
      <c r="AE23" s="266" t="s">
        <v>166</v>
      </c>
      <c r="AF23" s="266">
        <f t="shared" si="1"/>
        <v>6</v>
      </c>
      <c r="AG23" s="266">
        <v>2.0</v>
      </c>
      <c r="AH23" s="266">
        <v>1.0</v>
      </c>
      <c r="AI23" s="266" t="s">
        <v>166</v>
      </c>
      <c r="AJ23" s="266">
        <v>1.0</v>
      </c>
      <c r="AK23" s="48" t="s">
        <v>5471</v>
      </c>
      <c r="AL23" s="48">
        <v>1.0</v>
      </c>
      <c r="AM23" s="48" t="s">
        <v>166</v>
      </c>
      <c r="AN23" s="48" t="s">
        <v>166</v>
      </c>
      <c r="AO23" s="48" t="s">
        <v>166</v>
      </c>
      <c r="AP23" s="266" t="s">
        <v>166</v>
      </c>
      <c r="AQ23" s="266" t="s">
        <v>166</v>
      </c>
      <c r="AR23" s="48" t="s">
        <v>4960</v>
      </c>
      <c r="AS23" s="266" t="s">
        <v>166</v>
      </c>
      <c r="AT23" s="266">
        <v>3.0</v>
      </c>
      <c r="AU23" s="266">
        <v>2.0</v>
      </c>
      <c r="AV23" s="266">
        <v>1.0</v>
      </c>
      <c r="AW23" s="266">
        <v>1.0</v>
      </c>
      <c r="AX23" s="266">
        <v>1.0</v>
      </c>
      <c r="AY23" s="266">
        <v>1.0</v>
      </c>
      <c r="AZ23" s="266">
        <v>3.0</v>
      </c>
      <c r="BA23" s="266" t="s">
        <v>166</v>
      </c>
      <c r="BB23" s="266" t="s">
        <v>166</v>
      </c>
      <c r="BC23" s="266" t="s">
        <v>166</v>
      </c>
      <c r="BD23" s="266" t="s">
        <v>166</v>
      </c>
      <c r="BE23" s="48" t="s">
        <v>5466</v>
      </c>
      <c r="BF23" s="48" t="s">
        <v>4962</v>
      </c>
      <c r="BG23" s="48" t="s">
        <v>4963</v>
      </c>
      <c r="BH23" s="48">
        <v>4.0</v>
      </c>
      <c r="BI23" s="698" t="s">
        <v>5439</v>
      </c>
      <c r="BJ23" s="698"/>
      <c r="BK23" s="394"/>
      <c r="BL23" s="394"/>
      <c r="BM23" s="394"/>
      <c r="BN23" s="394"/>
      <c r="BO23" s="394"/>
      <c r="BP23" s="394"/>
    </row>
    <row r="24">
      <c r="A24" s="266" t="s">
        <v>1664</v>
      </c>
      <c r="B24" s="266" t="s">
        <v>4946</v>
      </c>
      <c r="C24" s="266" t="s">
        <v>5004</v>
      </c>
      <c r="D24" s="452" t="s">
        <v>169</v>
      </c>
      <c r="E24" s="174" t="s">
        <v>5472</v>
      </c>
      <c r="F24" s="266">
        <v>230.0</v>
      </c>
      <c r="G24" s="266">
        <v>201.0</v>
      </c>
      <c r="H24" s="266">
        <v>3.0</v>
      </c>
      <c r="I24" s="266" t="s">
        <v>166</v>
      </c>
      <c r="J24" s="266">
        <v>1.0</v>
      </c>
      <c r="K24" s="266" t="s">
        <v>166</v>
      </c>
      <c r="L24" s="266" t="s">
        <v>166</v>
      </c>
      <c r="M24" s="266">
        <v>1.0</v>
      </c>
      <c r="N24" s="266" t="s">
        <v>166</v>
      </c>
      <c r="O24" s="266" t="s">
        <v>174</v>
      </c>
      <c r="P24" s="266" t="s">
        <v>166</v>
      </c>
      <c r="Q24" s="266" t="s">
        <v>166</v>
      </c>
      <c r="R24" s="266">
        <v>2.0</v>
      </c>
      <c r="S24" s="266" t="s">
        <v>3149</v>
      </c>
      <c r="T24" s="266">
        <v>64.0</v>
      </c>
      <c r="U24" s="507" t="s">
        <v>5006</v>
      </c>
      <c r="V24" s="266">
        <v>4.0</v>
      </c>
      <c r="W24" s="710" t="s">
        <v>4950</v>
      </c>
      <c r="X24" s="266">
        <v>2.0</v>
      </c>
      <c r="Y24" s="266">
        <v>4.0</v>
      </c>
      <c r="Z24" s="266" t="s">
        <v>166</v>
      </c>
      <c r="AA24" s="266" t="s">
        <v>166</v>
      </c>
      <c r="AB24" s="266" t="s">
        <v>166</v>
      </c>
      <c r="AC24" s="266" t="s">
        <v>166</v>
      </c>
      <c r="AD24" s="266" t="s">
        <v>166</v>
      </c>
      <c r="AE24" s="266" t="s">
        <v>166</v>
      </c>
      <c r="AF24" s="266">
        <f t="shared" si="1"/>
        <v>6</v>
      </c>
      <c r="AG24" s="266">
        <v>2.0</v>
      </c>
      <c r="AH24" s="266">
        <v>1.0</v>
      </c>
      <c r="AI24" s="266" t="s">
        <v>166</v>
      </c>
      <c r="AJ24" s="266">
        <v>1.0</v>
      </c>
      <c r="AK24" s="48" t="s">
        <v>4959</v>
      </c>
      <c r="AL24" s="48">
        <v>1.0</v>
      </c>
      <c r="AM24" s="48" t="s">
        <v>166</v>
      </c>
      <c r="AN24" s="48" t="s">
        <v>166</v>
      </c>
      <c r="AO24" s="48" t="s">
        <v>166</v>
      </c>
      <c r="AP24" s="266" t="s">
        <v>166</v>
      </c>
      <c r="AQ24" s="266" t="s">
        <v>166</v>
      </c>
      <c r="AR24" s="48" t="s">
        <v>4960</v>
      </c>
      <c r="AS24" s="266" t="s">
        <v>166</v>
      </c>
      <c r="AT24" s="266">
        <v>3.0</v>
      </c>
      <c r="AU24" s="266">
        <v>1.0</v>
      </c>
      <c r="AV24" s="266" t="s">
        <v>166</v>
      </c>
      <c r="AW24" s="266">
        <v>1.0</v>
      </c>
      <c r="AX24" s="266" t="s">
        <v>166</v>
      </c>
      <c r="AY24" s="266">
        <v>1.0</v>
      </c>
      <c r="AZ24" s="266">
        <v>3.0</v>
      </c>
      <c r="BA24" s="266" t="s">
        <v>166</v>
      </c>
      <c r="BB24" s="266" t="s">
        <v>166</v>
      </c>
      <c r="BC24" s="266" t="s">
        <v>166</v>
      </c>
      <c r="BD24" s="266" t="s">
        <v>166</v>
      </c>
      <c r="BE24" s="48" t="s">
        <v>5466</v>
      </c>
      <c r="BF24" s="48" t="s">
        <v>4962</v>
      </c>
      <c r="BG24" s="48" t="s">
        <v>4963</v>
      </c>
      <c r="BH24" s="48">
        <v>4.0</v>
      </c>
      <c r="BI24" s="698" t="s">
        <v>5439</v>
      </c>
      <c r="BJ24" s="698"/>
      <c r="BK24" s="394"/>
      <c r="BL24" s="394"/>
      <c r="BM24" s="394"/>
      <c r="BN24" s="394"/>
      <c r="BO24" s="394"/>
      <c r="BP24" s="394"/>
    </row>
    <row r="25">
      <c r="A25" s="266" t="s">
        <v>1664</v>
      </c>
      <c r="B25" s="266" t="s">
        <v>4946</v>
      </c>
      <c r="C25" s="266" t="s">
        <v>5004</v>
      </c>
      <c r="D25" s="452" t="s">
        <v>169</v>
      </c>
      <c r="E25" s="174" t="s">
        <v>5473</v>
      </c>
      <c r="F25" s="266">
        <v>244.0</v>
      </c>
      <c r="G25" s="266">
        <v>244.0</v>
      </c>
      <c r="H25" s="266">
        <v>3.0</v>
      </c>
      <c r="I25" s="266" t="s">
        <v>166</v>
      </c>
      <c r="J25" s="266">
        <v>1.0</v>
      </c>
      <c r="K25" s="266" t="s">
        <v>166</v>
      </c>
      <c r="L25" s="507" t="s">
        <v>166</v>
      </c>
      <c r="M25" s="507">
        <v>2.0</v>
      </c>
      <c r="N25" s="266" t="s">
        <v>166</v>
      </c>
      <c r="O25" s="266" t="s">
        <v>174</v>
      </c>
      <c r="P25" s="266" t="s">
        <v>166</v>
      </c>
      <c r="Q25" s="266" t="s">
        <v>166</v>
      </c>
      <c r="R25" s="266">
        <v>4.0</v>
      </c>
      <c r="S25" s="266" t="s">
        <v>3149</v>
      </c>
      <c r="T25" s="266">
        <v>128.0</v>
      </c>
      <c r="U25" s="507" t="s">
        <v>5006</v>
      </c>
      <c r="V25" s="266">
        <v>4.0</v>
      </c>
      <c r="W25" s="710" t="s">
        <v>5305</v>
      </c>
      <c r="X25" s="266">
        <v>2.0</v>
      </c>
      <c r="Y25" s="266">
        <v>4.0</v>
      </c>
      <c r="Z25" s="266" t="s">
        <v>166</v>
      </c>
      <c r="AA25" s="266" t="s">
        <v>166</v>
      </c>
      <c r="AB25" s="266" t="s">
        <v>166</v>
      </c>
      <c r="AC25" s="266" t="s">
        <v>166</v>
      </c>
      <c r="AD25" s="266" t="s">
        <v>166</v>
      </c>
      <c r="AE25" s="266" t="s">
        <v>166</v>
      </c>
      <c r="AF25" s="266">
        <f t="shared" si="1"/>
        <v>6</v>
      </c>
      <c r="AG25" s="266">
        <v>2.0</v>
      </c>
      <c r="AH25" s="266">
        <v>1.0</v>
      </c>
      <c r="AI25" s="266" t="s">
        <v>166</v>
      </c>
      <c r="AJ25" s="266">
        <v>1.0</v>
      </c>
      <c r="AK25" s="48" t="s">
        <v>4959</v>
      </c>
      <c r="AL25" s="48">
        <v>1.0</v>
      </c>
      <c r="AM25" s="48" t="s">
        <v>166</v>
      </c>
      <c r="AN25" s="48" t="s">
        <v>166</v>
      </c>
      <c r="AO25" s="48" t="s">
        <v>166</v>
      </c>
      <c r="AP25" s="266" t="s">
        <v>166</v>
      </c>
      <c r="AQ25" s="266" t="s">
        <v>166</v>
      </c>
      <c r="AR25" s="48" t="s">
        <v>5039</v>
      </c>
      <c r="AS25" s="266" t="s">
        <v>166</v>
      </c>
      <c r="AT25" s="266">
        <v>3.0</v>
      </c>
      <c r="AU25" s="266">
        <v>1.0</v>
      </c>
      <c r="AV25" s="266">
        <v>1.0</v>
      </c>
      <c r="AW25" s="266">
        <v>1.0</v>
      </c>
      <c r="AX25" s="266" t="s">
        <v>166</v>
      </c>
      <c r="AY25" s="266" t="s">
        <v>166</v>
      </c>
      <c r="AZ25" s="266">
        <v>4.0</v>
      </c>
      <c r="BA25" s="266">
        <v>2.0</v>
      </c>
      <c r="BB25" s="266">
        <v>2.0</v>
      </c>
      <c r="BC25" s="266" t="s">
        <v>166</v>
      </c>
      <c r="BD25" s="266" t="s">
        <v>166</v>
      </c>
      <c r="BE25" s="705" t="s">
        <v>5007</v>
      </c>
      <c r="BF25" s="705" t="s">
        <v>4954</v>
      </c>
      <c r="BG25" s="48" t="s">
        <v>4955</v>
      </c>
      <c r="BH25" s="48">
        <v>6.0</v>
      </c>
      <c r="BI25" s="708" t="s">
        <v>5439</v>
      </c>
      <c r="BJ25" s="698"/>
      <c r="BK25" s="394"/>
      <c r="BL25" s="394"/>
      <c r="BM25" s="394"/>
      <c r="BN25" s="394"/>
      <c r="BO25" s="394"/>
      <c r="BP25" s="394"/>
    </row>
    <row r="26">
      <c r="A26" s="266" t="s">
        <v>1664</v>
      </c>
      <c r="B26" s="266" t="s">
        <v>4946</v>
      </c>
      <c r="C26" s="266" t="s">
        <v>5004</v>
      </c>
      <c r="D26" s="452" t="s">
        <v>169</v>
      </c>
      <c r="E26" s="174" t="s">
        <v>5474</v>
      </c>
      <c r="F26" s="266">
        <v>244.0</v>
      </c>
      <c r="G26" s="266">
        <v>244.0</v>
      </c>
      <c r="H26" s="266">
        <v>3.0</v>
      </c>
      <c r="I26" s="266" t="s">
        <v>166</v>
      </c>
      <c r="J26" s="266" t="s">
        <v>166</v>
      </c>
      <c r="K26" s="266" t="s">
        <v>166</v>
      </c>
      <c r="L26" s="507" t="s">
        <v>166</v>
      </c>
      <c r="M26" s="507">
        <v>2.0</v>
      </c>
      <c r="N26" s="266" t="s">
        <v>166</v>
      </c>
      <c r="O26" s="266" t="s">
        <v>174</v>
      </c>
      <c r="P26" s="266" t="s">
        <v>166</v>
      </c>
      <c r="Q26" s="266" t="s">
        <v>166</v>
      </c>
      <c r="R26" s="266">
        <v>4.0</v>
      </c>
      <c r="S26" s="266" t="s">
        <v>3149</v>
      </c>
      <c r="T26" s="266">
        <v>128.0</v>
      </c>
      <c r="U26" s="507" t="s">
        <v>5006</v>
      </c>
      <c r="V26" s="266">
        <v>4.0</v>
      </c>
      <c r="W26" s="710" t="s">
        <v>5305</v>
      </c>
      <c r="X26" s="266">
        <v>2.0</v>
      </c>
      <c r="Y26" s="266">
        <v>5.0</v>
      </c>
      <c r="Z26" s="266">
        <v>1.0</v>
      </c>
      <c r="AA26" s="266" t="s">
        <v>166</v>
      </c>
      <c r="AB26" s="266" t="s">
        <v>166</v>
      </c>
      <c r="AC26" s="266" t="s">
        <v>166</v>
      </c>
      <c r="AD26" s="266" t="s">
        <v>166</v>
      </c>
      <c r="AE26" s="266" t="s">
        <v>166</v>
      </c>
      <c r="AF26" s="266">
        <f t="shared" si="1"/>
        <v>8</v>
      </c>
      <c r="AG26" s="266">
        <v>2.0</v>
      </c>
      <c r="AH26" s="266">
        <v>2.0</v>
      </c>
      <c r="AI26" s="266" t="s">
        <v>166</v>
      </c>
      <c r="AJ26" s="266">
        <v>1.0</v>
      </c>
      <c r="AK26" s="48" t="s">
        <v>4959</v>
      </c>
      <c r="AL26" s="48">
        <v>1.0</v>
      </c>
      <c r="AM26" s="48">
        <v>1.0</v>
      </c>
      <c r="AN26" s="48" t="s">
        <v>166</v>
      </c>
      <c r="AO26" s="48" t="s">
        <v>232</v>
      </c>
      <c r="AP26" s="266" t="s">
        <v>166</v>
      </c>
      <c r="AQ26" s="266" t="s">
        <v>166</v>
      </c>
      <c r="AR26" s="705" t="s">
        <v>5050</v>
      </c>
      <c r="AS26" s="266" t="s">
        <v>166</v>
      </c>
      <c r="AT26" s="266">
        <v>3.0</v>
      </c>
      <c r="AU26" s="266">
        <v>1.0</v>
      </c>
      <c r="AV26" s="266">
        <v>1.0</v>
      </c>
      <c r="AW26" s="266">
        <v>1.0</v>
      </c>
      <c r="AX26" s="266" t="s">
        <v>166</v>
      </c>
      <c r="AY26" s="266">
        <v>1.0</v>
      </c>
      <c r="AZ26" s="266">
        <v>6.0</v>
      </c>
      <c r="BA26" s="266">
        <v>2.0</v>
      </c>
      <c r="BB26" s="266">
        <v>2.0</v>
      </c>
      <c r="BC26" s="266" t="s">
        <v>174</v>
      </c>
      <c r="BD26" s="266" t="s">
        <v>166</v>
      </c>
      <c r="BE26" s="705" t="s">
        <v>5007</v>
      </c>
      <c r="BF26" s="705" t="s">
        <v>4954</v>
      </c>
      <c r="BG26" s="48" t="s">
        <v>4955</v>
      </c>
      <c r="BH26" s="48">
        <v>6.0</v>
      </c>
      <c r="BI26" s="708" t="s">
        <v>5439</v>
      </c>
      <c r="BJ26" s="698"/>
      <c r="BK26" s="394"/>
      <c r="BL26" s="394"/>
      <c r="BM26" s="394"/>
      <c r="BN26" s="394"/>
      <c r="BO26" s="394"/>
      <c r="BP26" s="394"/>
    </row>
    <row r="27">
      <c r="A27" s="266" t="s">
        <v>1664</v>
      </c>
      <c r="B27" s="266" t="s">
        <v>4946</v>
      </c>
      <c r="C27" s="266" t="s">
        <v>5004</v>
      </c>
      <c r="D27" s="452" t="str">
        <f t="shared" ref="D27:D33" si="7">HYPERLINK("https://www.asus.com/","Asus")</f>
        <v>Asus</v>
      </c>
      <c r="E27" s="174" t="s">
        <v>5475</v>
      </c>
      <c r="F27" s="266">
        <v>244.0</v>
      </c>
      <c r="G27" s="266">
        <v>244.0</v>
      </c>
      <c r="H27" s="266">
        <v>3.0</v>
      </c>
      <c r="I27" s="266" t="s">
        <v>166</v>
      </c>
      <c r="J27" s="266">
        <v>2.0</v>
      </c>
      <c r="K27" s="266" t="s">
        <v>166</v>
      </c>
      <c r="L27" s="507" t="s">
        <v>166</v>
      </c>
      <c r="M27" s="507">
        <v>1.0</v>
      </c>
      <c r="N27" s="266" t="s">
        <v>166</v>
      </c>
      <c r="O27" s="266" t="s">
        <v>174</v>
      </c>
      <c r="P27" s="266" t="s">
        <v>166</v>
      </c>
      <c r="Q27" s="266" t="s">
        <v>166</v>
      </c>
      <c r="R27" s="266">
        <v>4.0</v>
      </c>
      <c r="S27" s="266" t="s">
        <v>3149</v>
      </c>
      <c r="T27" s="266">
        <v>128.0</v>
      </c>
      <c r="U27" s="266" t="s">
        <v>5476</v>
      </c>
      <c r="V27" s="266">
        <v>4.0</v>
      </c>
      <c r="W27" s="710" t="s">
        <v>4950</v>
      </c>
      <c r="X27" s="266">
        <v>2.0</v>
      </c>
      <c r="Y27" s="266">
        <v>4.0</v>
      </c>
      <c r="Z27" s="266" t="s">
        <v>166</v>
      </c>
      <c r="AA27" s="266" t="s">
        <v>166</v>
      </c>
      <c r="AB27" s="266" t="s">
        <v>166</v>
      </c>
      <c r="AC27" s="266" t="s">
        <v>166</v>
      </c>
      <c r="AD27" s="266" t="s">
        <v>166</v>
      </c>
      <c r="AE27" s="266" t="s">
        <v>166</v>
      </c>
      <c r="AF27" s="266">
        <f t="shared" si="1"/>
        <v>6</v>
      </c>
      <c r="AG27" s="266">
        <v>2.0</v>
      </c>
      <c r="AH27" s="266">
        <v>1.0</v>
      </c>
      <c r="AI27" s="266" t="s">
        <v>166</v>
      </c>
      <c r="AJ27" s="266">
        <v>1.0</v>
      </c>
      <c r="AK27" s="48" t="s">
        <v>4959</v>
      </c>
      <c r="AL27" s="48">
        <v>1.0</v>
      </c>
      <c r="AM27" s="48" t="s">
        <v>166</v>
      </c>
      <c r="AN27" s="48" t="s">
        <v>166</v>
      </c>
      <c r="AO27" s="48" t="s">
        <v>166</v>
      </c>
      <c r="AP27" s="266" t="s">
        <v>166</v>
      </c>
      <c r="AQ27" s="266" t="s">
        <v>166</v>
      </c>
      <c r="AR27" s="48" t="s">
        <v>5039</v>
      </c>
      <c r="AS27" s="266" t="s">
        <v>166</v>
      </c>
      <c r="AT27" s="266">
        <v>3.0</v>
      </c>
      <c r="AU27" s="266">
        <v>1.0</v>
      </c>
      <c r="AV27" s="266" t="s">
        <v>166</v>
      </c>
      <c r="AW27" s="266">
        <v>1.0</v>
      </c>
      <c r="AX27" s="266">
        <v>1.0</v>
      </c>
      <c r="AY27" s="266">
        <v>1.0</v>
      </c>
      <c r="AZ27" s="266">
        <v>3.0</v>
      </c>
      <c r="BA27" s="266" t="s">
        <v>166</v>
      </c>
      <c r="BB27" s="266" t="s">
        <v>166</v>
      </c>
      <c r="BC27" s="266" t="s">
        <v>166</v>
      </c>
      <c r="BD27" s="266" t="s">
        <v>166</v>
      </c>
      <c r="BE27" s="48" t="s">
        <v>4961</v>
      </c>
      <c r="BF27" s="48" t="s">
        <v>4962</v>
      </c>
      <c r="BG27" s="48" t="s">
        <v>4963</v>
      </c>
      <c r="BH27" s="48">
        <v>4.0</v>
      </c>
      <c r="BI27" s="698" t="s">
        <v>5477</v>
      </c>
      <c r="BJ27" s="698"/>
      <c r="BK27" s="394"/>
      <c r="BL27" s="394"/>
      <c r="BM27" s="394"/>
      <c r="BN27" s="394"/>
      <c r="BO27" s="394"/>
      <c r="BP27" s="394"/>
    </row>
    <row r="28">
      <c r="A28" s="266" t="s">
        <v>1664</v>
      </c>
      <c r="B28" s="266" t="s">
        <v>4946</v>
      </c>
      <c r="C28" s="266" t="s">
        <v>5004</v>
      </c>
      <c r="D28" s="452" t="str">
        <f t="shared" si="7"/>
        <v>Asus</v>
      </c>
      <c r="E28" s="174" t="s">
        <v>5478</v>
      </c>
      <c r="F28" s="266">
        <v>244.0</v>
      </c>
      <c r="G28" s="266">
        <v>244.0</v>
      </c>
      <c r="H28" s="266">
        <v>3.0</v>
      </c>
      <c r="I28" s="266" t="s">
        <v>166</v>
      </c>
      <c r="J28" s="266">
        <v>2.0</v>
      </c>
      <c r="K28" s="266" t="s">
        <v>166</v>
      </c>
      <c r="L28" s="507" t="s">
        <v>166</v>
      </c>
      <c r="M28" s="507">
        <v>1.0</v>
      </c>
      <c r="N28" s="266" t="s">
        <v>166</v>
      </c>
      <c r="O28" s="266" t="s">
        <v>174</v>
      </c>
      <c r="P28" s="266" t="s">
        <v>166</v>
      </c>
      <c r="Q28" s="266" t="s">
        <v>166</v>
      </c>
      <c r="R28" s="266">
        <v>4.0</v>
      </c>
      <c r="S28" s="266" t="s">
        <v>3149</v>
      </c>
      <c r="T28" s="266">
        <v>128.0</v>
      </c>
      <c r="U28" s="266" t="s">
        <v>5476</v>
      </c>
      <c r="V28" s="266">
        <v>4.0</v>
      </c>
      <c r="W28" s="710" t="s">
        <v>4950</v>
      </c>
      <c r="X28" s="266">
        <v>2.0</v>
      </c>
      <c r="Y28" s="266">
        <v>4.0</v>
      </c>
      <c r="Z28" s="266" t="s">
        <v>166</v>
      </c>
      <c r="AA28" s="266" t="s">
        <v>166</v>
      </c>
      <c r="AB28" s="266" t="s">
        <v>166</v>
      </c>
      <c r="AC28" s="266" t="s">
        <v>166</v>
      </c>
      <c r="AD28" s="266" t="s">
        <v>166</v>
      </c>
      <c r="AE28" s="266" t="s">
        <v>166</v>
      </c>
      <c r="AF28" s="266">
        <f t="shared" si="1"/>
        <v>6</v>
      </c>
      <c r="AG28" s="266">
        <v>2.0</v>
      </c>
      <c r="AH28" s="266">
        <v>1.0</v>
      </c>
      <c r="AI28" s="266" t="s">
        <v>166</v>
      </c>
      <c r="AJ28" s="266">
        <v>1.0</v>
      </c>
      <c r="AK28" s="48" t="s">
        <v>4959</v>
      </c>
      <c r="AL28" s="48">
        <v>1.0</v>
      </c>
      <c r="AM28" s="48" t="s">
        <v>166</v>
      </c>
      <c r="AN28" s="48" t="s">
        <v>166</v>
      </c>
      <c r="AO28" s="48" t="s">
        <v>166</v>
      </c>
      <c r="AP28" s="266" t="s">
        <v>166</v>
      </c>
      <c r="AQ28" s="266" t="s">
        <v>166</v>
      </c>
      <c r="AR28" s="48" t="s">
        <v>5039</v>
      </c>
      <c r="AS28" s="266" t="s">
        <v>166</v>
      </c>
      <c r="AT28" s="266">
        <v>3.0</v>
      </c>
      <c r="AU28" s="266">
        <v>1.0</v>
      </c>
      <c r="AV28" s="266">
        <v>1.0</v>
      </c>
      <c r="AW28" s="266">
        <v>1.0</v>
      </c>
      <c r="AX28" s="266" t="s">
        <v>166</v>
      </c>
      <c r="AY28" s="266">
        <v>1.0</v>
      </c>
      <c r="AZ28" s="266">
        <v>3.0</v>
      </c>
      <c r="BA28" s="266">
        <v>2.0</v>
      </c>
      <c r="BB28" s="266">
        <v>2.0</v>
      </c>
      <c r="BC28" s="266" t="s">
        <v>166</v>
      </c>
      <c r="BD28" s="266" t="s">
        <v>166</v>
      </c>
      <c r="BE28" s="48" t="s">
        <v>4961</v>
      </c>
      <c r="BF28" s="48" t="s">
        <v>4962</v>
      </c>
      <c r="BG28" s="48" t="s">
        <v>4963</v>
      </c>
      <c r="BH28" s="48">
        <v>4.0</v>
      </c>
      <c r="BI28" s="698" t="s">
        <v>5477</v>
      </c>
      <c r="BJ28" s="698"/>
      <c r="BK28" s="394"/>
      <c r="BL28" s="394"/>
      <c r="BM28" s="394"/>
      <c r="BN28" s="394"/>
      <c r="BO28" s="394"/>
      <c r="BP28" s="394"/>
    </row>
    <row r="29">
      <c r="A29" s="266" t="s">
        <v>1664</v>
      </c>
      <c r="B29" s="266" t="s">
        <v>4946</v>
      </c>
      <c r="C29" s="266" t="s">
        <v>5004</v>
      </c>
      <c r="D29" s="452" t="str">
        <f t="shared" si="7"/>
        <v>Asus</v>
      </c>
      <c r="E29" s="174" t="s">
        <v>5479</v>
      </c>
      <c r="F29" s="266">
        <v>226.0</v>
      </c>
      <c r="G29" s="266">
        <v>221.0</v>
      </c>
      <c r="H29" s="266">
        <v>3.0</v>
      </c>
      <c r="I29" s="266" t="s">
        <v>166</v>
      </c>
      <c r="J29" s="266">
        <v>2.0</v>
      </c>
      <c r="K29" s="266" t="s">
        <v>166</v>
      </c>
      <c r="L29" s="266" t="s">
        <v>166</v>
      </c>
      <c r="M29" s="266">
        <v>1.0</v>
      </c>
      <c r="N29" s="266" t="s">
        <v>166</v>
      </c>
      <c r="O29" s="266" t="s">
        <v>174</v>
      </c>
      <c r="P29" s="266" t="s">
        <v>166</v>
      </c>
      <c r="Q29" s="266" t="s">
        <v>166</v>
      </c>
      <c r="R29" s="266">
        <v>2.0</v>
      </c>
      <c r="S29" s="266" t="s">
        <v>3149</v>
      </c>
      <c r="T29" s="266">
        <v>64.0</v>
      </c>
      <c r="U29" s="266" t="s">
        <v>5047</v>
      </c>
      <c r="V29" s="266">
        <v>4.0</v>
      </c>
      <c r="W29" s="710" t="s">
        <v>4950</v>
      </c>
      <c r="X29" s="266">
        <v>2.0</v>
      </c>
      <c r="Y29" s="266">
        <v>4.0</v>
      </c>
      <c r="Z29" s="266" t="s">
        <v>166</v>
      </c>
      <c r="AA29" s="266">
        <v>1.0</v>
      </c>
      <c r="AB29" s="266" t="s">
        <v>166</v>
      </c>
      <c r="AC29" s="266" t="s">
        <v>166</v>
      </c>
      <c r="AD29" s="266" t="s">
        <v>166</v>
      </c>
      <c r="AE29" s="266" t="s">
        <v>166</v>
      </c>
      <c r="AF29" s="266">
        <f t="shared" si="1"/>
        <v>7</v>
      </c>
      <c r="AG29" s="266">
        <v>2.0</v>
      </c>
      <c r="AH29" s="266">
        <v>1.0</v>
      </c>
      <c r="AI29" s="266" t="s">
        <v>166</v>
      </c>
      <c r="AJ29" s="266">
        <v>1.0</v>
      </c>
      <c r="AK29" s="48" t="s">
        <v>4959</v>
      </c>
      <c r="AL29" s="48">
        <v>1.0</v>
      </c>
      <c r="AM29" s="48" t="s">
        <v>166</v>
      </c>
      <c r="AN29" s="48" t="s">
        <v>166</v>
      </c>
      <c r="AO29" s="48" t="s">
        <v>166</v>
      </c>
      <c r="AP29" s="266" t="s">
        <v>166</v>
      </c>
      <c r="AQ29" s="266" t="s">
        <v>166</v>
      </c>
      <c r="AR29" s="48" t="s">
        <v>5039</v>
      </c>
      <c r="AS29" s="266" t="s">
        <v>166</v>
      </c>
      <c r="AT29" s="266">
        <v>3.0</v>
      </c>
      <c r="AU29" s="266">
        <v>1.0</v>
      </c>
      <c r="AV29" s="266" t="s">
        <v>166</v>
      </c>
      <c r="AW29" s="266">
        <v>1.0</v>
      </c>
      <c r="AX29" s="266">
        <v>1.0</v>
      </c>
      <c r="AY29" s="266">
        <v>1.0</v>
      </c>
      <c r="AZ29" s="266">
        <v>2.0</v>
      </c>
      <c r="BA29" s="266" t="s">
        <v>166</v>
      </c>
      <c r="BB29" s="266" t="s">
        <v>166</v>
      </c>
      <c r="BC29" s="266" t="s">
        <v>166</v>
      </c>
      <c r="BD29" s="266" t="s">
        <v>166</v>
      </c>
      <c r="BE29" s="48" t="s">
        <v>4961</v>
      </c>
      <c r="BF29" s="48" t="s">
        <v>4962</v>
      </c>
      <c r="BG29" s="48" t="s">
        <v>4963</v>
      </c>
      <c r="BH29" s="48">
        <v>4.0</v>
      </c>
      <c r="BI29" s="698" t="s">
        <v>5477</v>
      </c>
      <c r="BJ29" s="698"/>
      <c r="BK29" s="394"/>
      <c r="BL29" s="394"/>
      <c r="BM29" s="394"/>
      <c r="BN29" s="394"/>
      <c r="BO29" s="394"/>
      <c r="BP29" s="394"/>
    </row>
    <row r="30">
      <c r="A30" s="266" t="s">
        <v>1664</v>
      </c>
      <c r="B30" s="266" t="s">
        <v>4946</v>
      </c>
      <c r="C30" s="266" t="s">
        <v>5004</v>
      </c>
      <c r="D30" s="452" t="str">
        <f t="shared" si="7"/>
        <v>Asus</v>
      </c>
      <c r="E30" s="174" t="s">
        <v>5480</v>
      </c>
      <c r="F30" s="266">
        <v>226.0</v>
      </c>
      <c r="G30" s="266">
        <v>221.0</v>
      </c>
      <c r="H30" s="266">
        <v>3.0</v>
      </c>
      <c r="I30" s="266" t="s">
        <v>166</v>
      </c>
      <c r="J30" s="266">
        <v>2.0</v>
      </c>
      <c r="K30" s="266" t="s">
        <v>166</v>
      </c>
      <c r="L30" s="266" t="s">
        <v>166</v>
      </c>
      <c r="M30" s="266">
        <v>1.0</v>
      </c>
      <c r="N30" s="266" t="s">
        <v>166</v>
      </c>
      <c r="O30" s="266" t="s">
        <v>174</v>
      </c>
      <c r="P30" s="266" t="s">
        <v>166</v>
      </c>
      <c r="Q30" s="266" t="s">
        <v>166</v>
      </c>
      <c r="R30" s="266">
        <v>2.0</v>
      </c>
      <c r="S30" s="266" t="s">
        <v>3149</v>
      </c>
      <c r="T30" s="266">
        <v>64.0</v>
      </c>
      <c r="U30" s="266" t="s">
        <v>5047</v>
      </c>
      <c r="V30" s="266">
        <v>4.0</v>
      </c>
      <c r="W30" s="710" t="s">
        <v>4950</v>
      </c>
      <c r="X30" s="266">
        <v>2.0</v>
      </c>
      <c r="Y30" s="266">
        <v>4.0</v>
      </c>
      <c r="Z30" s="266" t="s">
        <v>166</v>
      </c>
      <c r="AA30" s="266" t="s">
        <v>166</v>
      </c>
      <c r="AB30" s="266" t="s">
        <v>166</v>
      </c>
      <c r="AC30" s="266" t="s">
        <v>166</v>
      </c>
      <c r="AD30" s="266" t="s">
        <v>166</v>
      </c>
      <c r="AE30" s="266" t="s">
        <v>166</v>
      </c>
      <c r="AF30" s="266">
        <f t="shared" si="1"/>
        <v>6</v>
      </c>
      <c r="AG30" s="266">
        <v>2.0</v>
      </c>
      <c r="AH30" s="266">
        <v>1.0</v>
      </c>
      <c r="AI30" s="266" t="s">
        <v>166</v>
      </c>
      <c r="AJ30" s="266">
        <v>1.0</v>
      </c>
      <c r="AK30" s="48" t="s">
        <v>4959</v>
      </c>
      <c r="AL30" s="48">
        <v>1.0</v>
      </c>
      <c r="AM30" s="48" t="s">
        <v>166</v>
      </c>
      <c r="AN30" s="48" t="s">
        <v>166</v>
      </c>
      <c r="AO30" s="48" t="s">
        <v>166</v>
      </c>
      <c r="AP30" s="266" t="s">
        <v>166</v>
      </c>
      <c r="AQ30" s="266" t="s">
        <v>166</v>
      </c>
      <c r="AR30" s="48" t="s">
        <v>5039</v>
      </c>
      <c r="AS30" s="266" t="s">
        <v>166</v>
      </c>
      <c r="AT30" s="266">
        <v>3.0</v>
      </c>
      <c r="AU30" s="266">
        <v>1.0</v>
      </c>
      <c r="AV30" s="266" t="s">
        <v>166</v>
      </c>
      <c r="AW30" s="266">
        <v>1.0</v>
      </c>
      <c r="AX30" s="266" t="s">
        <v>166</v>
      </c>
      <c r="AY30" s="266">
        <v>1.0</v>
      </c>
      <c r="AZ30" s="266">
        <v>2.0</v>
      </c>
      <c r="BA30" s="266" t="s">
        <v>166</v>
      </c>
      <c r="BB30" s="266" t="s">
        <v>166</v>
      </c>
      <c r="BC30" s="266" t="s">
        <v>166</v>
      </c>
      <c r="BD30" s="266" t="s">
        <v>166</v>
      </c>
      <c r="BE30" s="48" t="s">
        <v>4961</v>
      </c>
      <c r="BF30" s="48" t="s">
        <v>4962</v>
      </c>
      <c r="BG30" s="48" t="s">
        <v>4963</v>
      </c>
      <c r="BH30" s="48">
        <v>4.0</v>
      </c>
      <c r="BI30" s="698" t="s">
        <v>5477</v>
      </c>
      <c r="BJ30" s="698"/>
      <c r="BK30" s="394"/>
      <c r="BL30" s="394"/>
      <c r="BM30" s="394"/>
      <c r="BN30" s="394"/>
      <c r="BO30" s="394"/>
      <c r="BP30" s="394"/>
    </row>
    <row r="31">
      <c r="A31" s="266" t="s">
        <v>1664</v>
      </c>
      <c r="B31" s="266" t="s">
        <v>4946</v>
      </c>
      <c r="C31" s="266" t="s">
        <v>5004</v>
      </c>
      <c r="D31" s="452" t="str">
        <f t="shared" si="7"/>
        <v>Asus</v>
      </c>
      <c r="E31" s="174" t="s">
        <v>5481</v>
      </c>
      <c r="F31" s="266">
        <v>244.0</v>
      </c>
      <c r="G31" s="266">
        <v>229.0</v>
      </c>
      <c r="H31" s="266">
        <v>3.0</v>
      </c>
      <c r="I31" s="266">
        <v>1.0</v>
      </c>
      <c r="J31" s="266">
        <v>2.0</v>
      </c>
      <c r="K31" s="266" t="s">
        <v>166</v>
      </c>
      <c r="L31" s="266" t="s">
        <v>166</v>
      </c>
      <c r="M31" s="266">
        <v>1.0</v>
      </c>
      <c r="N31" s="266" t="s">
        <v>166</v>
      </c>
      <c r="O31" s="266" t="s">
        <v>174</v>
      </c>
      <c r="P31" s="266" t="s">
        <v>166</v>
      </c>
      <c r="Q31" s="266" t="s">
        <v>166</v>
      </c>
      <c r="R31" s="266">
        <v>2.0</v>
      </c>
      <c r="S31" s="266" t="s">
        <v>3149</v>
      </c>
      <c r="T31" s="266">
        <v>64.0</v>
      </c>
      <c r="U31" s="266" t="s">
        <v>5047</v>
      </c>
      <c r="V31" s="266">
        <v>4.0</v>
      </c>
      <c r="W31" s="710" t="s">
        <v>4950</v>
      </c>
      <c r="X31" s="266">
        <v>2.0</v>
      </c>
      <c r="Y31" s="266">
        <v>4.0</v>
      </c>
      <c r="Z31" s="266" t="s">
        <v>166</v>
      </c>
      <c r="AA31" s="266" t="s">
        <v>166</v>
      </c>
      <c r="AB31" s="266" t="s">
        <v>166</v>
      </c>
      <c r="AC31" s="266" t="s">
        <v>166</v>
      </c>
      <c r="AD31" s="266" t="s">
        <v>166</v>
      </c>
      <c r="AE31" s="266" t="s">
        <v>166</v>
      </c>
      <c r="AF31" s="266">
        <f t="shared" si="1"/>
        <v>6</v>
      </c>
      <c r="AG31" s="266">
        <v>2.0</v>
      </c>
      <c r="AH31" s="266">
        <v>1.0</v>
      </c>
      <c r="AI31" s="266" t="s">
        <v>166</v>
      </c>
      <c r="AJ31" s="266">
        <v>1.0</v>
      </c>
      <c r="AK31" s="48" t="s">
        <v>4959</v>
      </c>
      <c r="AL31" s="48">
        <v>1.0</v>
      </c>
      <c r="AM31" s="48" t="s">
        <v>166</v>
      </c>
      <c r="AN31" s="48" t="s">
        <v>166</v>
      </c>
      <c r="AO31" s="48" t="s">
        <v>166</v>
      </c>
      <c r="AP31" s="266" t="s">
        <v>166</v>
      </c>
      <c r="AQ31" s="266" t="s">
        <v>166</v>
      </c>
      <c r="AR31" s="48" t="s">
        <v>4960</v>
      </c>
      <c r="AS31" s="266" t="s">
        <v>166</v>
      </c>
      <c r="AT31" s="266">
        <v>3.0</v>
      </c>
      <c r="AU31" s="266">
        <v>2.0</v>
      </c>
      <c r="AV31" s="266" t="s">
        <v>166</v>
      </c>
      <c r="AW31" s="266">
        <v>1.0</v>
      </c>
      <c r="AX31" s="266">
        <v>1.0</v>
      </c>
      <c r="AY31" s="266">
        <v>1.0</v>
      </c>
      <c r="AZ31" s="266">
        <v>3.0</v>
      </c>
      <c r="BA31" s="266" t="s">
        <v>166</v>
      </c>
      <c r="BB31" s="266" t="s">
        <v>166</v>
      </c>
      <c r="BC31" s="266" t="s">
        <v>166</v>
      </c>
      <c r="BD31" s="266" t="s">
        <v>166</v>
      </c>
      <c r="BE31" s="48" t="s">
        <v>4961</v>
      </c>
      <c r="BF31" s="48" t="s">
        <v>4962</v>
      </c>
      <c r="BG31" s="48" t="s">
        <v>4963</v>
      </c>
      <c r="BH31" s="48">
        <v>4.0</v>
      </c>
      <c r="BI31" s="698" t="s">
        <v>5477</v>
      </c>
      <c r="BJ31" s="698"/>
      <c r="BK31" s="394"/>
      <c r="BL31" s="394"/>
      <c r="BM31" s="394"/>
      <c r="BN31" s="394"/>
      <c r="BO31" s="394"/>
      <c r="BP31" s="394"/>
    </row>
    <row r="32">
      <c r="A32" s="266" t="s">
        <v>1664</v>
      </c>
      <c r="B32" s="266" t="s">
        <v>4946</v>
      </c>
      <c r="C32" s="266" t="s">
        <v>5004</v>
      </c>
      <c r="D32" s="452" t="str">
        <f t="shared" si="7"/>
        <v>Asus</v>
      </c>
      <c r="E32" s="174" t="s">
        <v>5482</v>
      </c>
      <c r="F32" s="266">
        <v>244.0</v>
      </c>
      <c r="G32" s="266">
        <v>244.0</v>
      </c>
      <c r="H32" s="266">
        <v>3.0</v>
      </c>
      <c r="I32" s="266" t="s">
        <v>166</v>
      </c>
      <c r="J32" s="266">
        <v>2.0</v>
      </c>
      <c r="K32" s="266" t="s">
        <v>166</v>
      </c>
      <c r="L32" s="266" t="s">
        <v>166</v>
      </c>
      <c r="M32" s="266">
        <v>1.0</v>
      </c>
      <c r="N32" s="266" t="s">
        <v>166</v>
      </c>
      <c r="O32" s="266" t="s">
        <v>174</v>
      </c>
      <c r="P32" s="266" t="s">
        <v>166</v>
      </c>
      <c r="Q32" s="266" t="s">
        <v>166</v>
      </c>
      <c r="R32" s="266">
        <v>4.0</v>
      </c>
      <c r="S32" s="266" t="s">
        <v>3149</v>
      </c>
      <c r="T32" s="266">
        <v>128.0</v>
      </c>
      <c r="U32" s="266" t="s">
        <v>5476</v>
      </c>
      <c r="V32" s="266">
        <v>4.0</v>
      </c>
      <c r="W32" s="710" t="s">
        <v>4950</v>
      </c>
      <c r="X32" s="266">
        <v>2.0</v>
      </c>
      <c r="Y32" s="266">
        <v>4.0</v>
      </c>
      <c r="Z32" s="266" t="s">
        <v>166</v>
      </c>
      <c r="AA32" s="266">
        <v>1.0</v>
      </c>
      <c r="AB32" s="266" t="s">
        <v>166</v>
      </c>
      <c r="AC32" s="266" t="s">
        <v>166</v>
      </c>
      <c r="AD32" s="266" t="s">
        <v>166</v>
      </c>
      <c r="AE32" s="266" t="s">
        <v>166</v>
      </c>
      <c r="AF32" s="266">
        <f t="shared" si="1"/>
        <v>7</v>
      </c>
      <c r="AG32" s="266">
        <v>2.0</v>
      </c>
      <c r="AH32" s="266">
        <v>1.0</v>
      </c>
      <c r="AI32" s="266" t="s">
        <v>166</v>
      </c>
      <c r="AJ32" s="266">
        <v>1.0</v>
      </c>
      <c r="AK32" s="48" t="s">
        <v>5483</v>
      </c>
      <c r="AL32" s="48">
        <v>1.0</v>
      </c>
      <c r="AM32" s="48">
        <v>1.0</v>
      </c>
      <c r="AN32" s="48" t="s">
        <v>166</v>
      </c>
      <c r="AO32" s="48" t="s">
        <v>232</v>
      </c>
      <c r="AP32" s="266" t="s">
        <v>166</v>
      </c>
      <c r="AQ32" s="266" t="s">
        <v>166</v>
      </c>
      <c r="AR32" s="48" t="s">
        <v>5039</v>
      </c>
      <c r="AS32" s="266" t="s">
        <v>166</v>
      </c>
      <c r="AT32" s="266">
        <v>3.0</v>
      </c>
      <c r="AU32" s="266">
        <v>1.0</v>
      </c>
      <c r="AV32" s="266" t="s">
        <v>166</v>
      </c>
      <c r="AW32" s="266">
        <v>1.0</v>
      </c>
      <c r="AX32" s="266">
        <v>1.0</v>
      </c>
      <c r="AY32" s="266">
        <v>1.0</v>
      </c>
      <c r="AZ32" s="266">
        <v>3.0</v>
      </c>
      <c r="BA32" s="266">
        <v>1.0</v>
      </c>
      <c r="BB32" s="266" t="s">
        <v>166</v>
      </c>
      <c r="BC32" s="266" t="s">
        <v>166</v>
      </c>
      <c r="BD32" s="266" t="s">
        <v>166</v>
      </c>
      <c r="BE32" s="48" t="s">
        <v>4961</v>
      </c>
      <c r="BF32" s="48" t="s">
        <v>4962</v>
      </c>
      <c r="BG32" s="48" t="s">
        <v>4963</v>
      </c>
      <c r="BH32" s="48">
        <v>4.0</v>
      </c>
      <c r="BI32" s="698" t="s">
        <v>5477</v>
      </c>
      <c r="BJ32" s="698"/>
      <c r="BK32" s="394"/>
      <c r="BL32" s="394"/>
      <c r="BM32" s="394"/>
      <c r="BN32" s="394"/>
      <c r="BO32" s="394"/>
      <c r="BP32" s="394"/>
    </row>
    <row r="33">
      <c r="A33" s="266" t="s">
        <v>1664</v>
      </c>
      <c r="B33" s="266" t="s">
        <v>4946</v>
      </c>
      <c r="C33" s="266" t="s">
        <v>5004</v>
      </c>
      <c r="D33" s="452" t="str">
        <f t="shared" si="7"/>
        <v>Asus</v>
      </c>
      <c r="E33" s="174" t="s">
        <v>5484</v>
      </c>
      <c r="F33" s="266">
        <v>244.0</v>
      </c>
      <c r="G33" s="266">
        <v>244.0</v>
      </c>
      <c r="H33" s="266">
        <v>3.0</v>
      </c>
      <c r="I33" s="266" t="s">
        <v>166</v>
      </c>
      <c r="J33" s="266">
        <v>2.0</v>
      </c>
      <c r="K33" s="266" t="s">
        <v>166</v>
      </c>
      <c r="L33" s="266" t="s">
        <v>166</v>
      </c>
      <c r="M33" s="266">
        <v>1.0</v>
      </c>
      <c r="N33" s="266" t="s">
        <v>166</v>
      </c>
      <c r="O33" s="266" t="s">
        <v>174</v>
      </c>
      <c r="P33" s="266" t="s">
        <v>174</v>
      </c>
      <c r="Q33" s="266" t="s">
        <v>166</v>
      </c>
      <c r="R33" s="266">
        <v>4.0</v>
      </c>
      <c r="S33" s="266" t="s">
        <v>3149</v>
      </c>
      <c r="T33" s="266">
        <v>128.0</v>
      </c>
      <c r="U33" s="266" t="s">
        <v>5476</v>
      </c>
      <c r="V33" s="266">
        <v>4.0</v>
      </c>
      <c r="W33" s="710" t="s">
        <v>4950</v>
      </c>
      <c r="X33" s="266">
        <v>2.0</v>
      </c>
      <c r="Y33" s="266">
        <v>4.0</v>
      </c>
      <c r="Z33" s="266" t="s">
        <v>166</v>
      </c>
      <c r="AA33" s="266" t="s">
        <v>166</v>
      </c>
      <c r="AB33" s="266" t="s">
        <v>166</v>
      </c>
      <c r="AC33" s="266" t="s">
        <v>166</v>
      </c>
      <c r="AD33" s="266" t="s">
        <v>166</v>
      </c>
      <c r="AE33" s="266" t="s">
        <v>166</v>
      </c>
      <c r="AF33" s="266">
        <f t="shared" si="1"/>
        <v>6</v>
      </c>
      <c r="AG33" s="266">
        <v>2.0</v>
      </c>
      <c r="AH33" s="266">
        <v>1.0</v>
      </c>
      <c r="AI33" s="266" t="s">
        <v>166</v>
      </c>
      <c r="AJ33" s="266">
        <v>1.0</v>
      </c>
      <c r="AK33" s="48" t="s">
        <v>5016</v>
      </c>
      <c r="AL33" s="48">
        <v>1.0</v>
      </c>
      <c r="AM33" s="705">
        <v>1.0</v>
      </c>
      <c r="AN33" s="48" t="s">
        <v>4966</v>
      </c>
      <c r="AO33" s="705" t="s">
        <v>5485</v>
      </c>
      <c r="AP33" s="705" t="s">
        <v>170</v>
      </c>
      <c r="AQ33" s="705">
        <v>5.0</v>
      </c>
      <c r="AR33" s="48" t="s">
        <v>5039</v>
      </c>
      <c r="AS33" s="266" t="s">
        <v>166</v>
      </c>
      <c r="AT33" s="266">
        <v>3.0</v>
      </c>
      <c r="AU33" s="266">
        <v>1.0</v>
      </c>
      <c r="AV33" s="266">
        <v>1.0</v>
      </c>
      <c r="AW33" s="266">
        <v>1.0</v>
      </c>
      <c r="AX33" s="266" t="s">
        <v>166</v>
      </c>
      <c r="AY33" s="266">
        <v>1.0</v>
      </c>
      <c r="AZ33" s="266">
        <v>3.0</v>
      </c>
      <c r="BA33" s="266">
        <v>2.0</v>
      </c>
      <c r="BB33" s="266">
        <v>2.0</v>
      </c>
      <c r="BC33" s="266" t="s">
        <v>166</v>
      </c>
      <c r="BD33" s="266" t="s">
        <v>166</v>
      </c>
      <c r="BE33" s="48" t="s">
        <v>4961</v>
      </c>
      <c r="BF33" s="48" t="s">
        <v>4962</v>
      </c>
      <c r="BG33" s="48" t="s">
        <v>4963</v>
      </c>
      <c r="BH33" s="48">
        <v>4.0</v>
      </c>
      <c r="BI33" s="698" t="s">
        <v>5477</v>
      </c>
      <c r="BJ33" s="698"/>
      <c r="BK33" s="394"/>
      <c r="BL33" s="394"/>
      <c r="BM33" s="394"/>
      <c r="BN33" s="394"/>
      <c r="BO33" s="394"/>
      <c r="BP33" s="394"/>
    </row>
    <row r="34">
      <c r="A34" s="266" t="s">
        <v>1664</v>
      </c>
      <c r="B34" s="266" t="s">
        <v>4946</v>
      </c>
      <c r="C34" s="266" t="s">
        <v>5004</v>
      </c>
      <c r="D34" s="452" t="str">
        <f>HYPERLINK("https://www.biostar.com.tw/app/en/","Biostar")</f>
        <v>Biostar</v>
      </c>
      <c r="E34" s="174" t="s">
        <v>5486</v>
      </c>
      <c r="F34" s="266">
        <v>244.0</v>
      </c>
      <c r="G34" s="266">
        <v>208.0</v>
      </c>
      <c r="H34" s="266">
        <v>3.0</v>
      </c>
      <c r="I34" s="266" t="s">
        <v>166</v>
      </c>
      <c r="J34" s="266">
        <v>2.0</v>
      </c>
      <c r="K34" s="266" t="s">
        <v>166</v>
      </c>
      <c r="L34" s="266" t="s">
        <v>166</v>
      </c>
      <c r="M34" s="266">
        <v>1.0</v>
      </c>
      <c r="N34" s="266" t="s">
        <v>166</v>
      </c>
      <c r="O34" s="266" t="s">
        <v>174</v>
      </c>
      <c r="P34" s="266" t="s">
        <v>166</v>
      </c>
      <c r="Q34" s="266" t="s">
        <v>166</v>
      </c>
      <c r="R34" s="266">
        <v>2.0</v>
      </c>
      <c r="S34" s="266" t="s">
        <v>3149</v>
      </c>
      <c r="T34" s="266">
        <v>64.0</v>
      </c>
      <c r="U34" s="266" t="s">
        <v>5037</v>
      </c>
      <c r="V34" s="266">
        <v>4.0</v>
      </c>
      <c r="W34" s="710" t="s">
        <v>4950</v>
      </c>
      <c r="X34" s="266">
        <v>2.0</v>
      </c>
      <c r="Y34" s="266">
        <v>4.0</v>
      </c>
      <c r="Z34" s="266" t="s">
        <v>166</v>
      </c>
      <c r="AA34" s="266" t="s">
        <v>166</v>
      </c>
      <c r="AB34" s="266" t="s">
        <v>166</v>
      </c>
      <c r="AC34" s="266" t="s">
        <v>166</v>
      </c>
      <c r="AD34" s="266" t="s">
        <v>166</v>
      </c>
      <c r="AE34" s="266" t="s">
        <v>166</v>
      </c>
      <c r="AF34" s="266">
        <f t="shared" si="1"/>
        <v>6</v>
      </c>
      <c r="AG34" s="266">
        <v>2.0</v>
      </c>
      <c r="AH34" s="266">
        <v>1.0</v>
      </c>
      <c r="AI34" s="266" t="s">
        <v>166</v>
      </c>
      <c r="AJ34" s="266">
        <v>1.0</v>
      </c>
      <c r="AK34" s="48" t="s">
        <v>4959</v>
      </c>
      <c r="AL34" s="48">
        <v>1.0</v>
      </c>
      <c r="AM34" s="48" t="s">
        <v>166</v>
      </c>
      <c r="AN34" s="48" t="s">
        <v>166</v>
      </c>
      <c r="AO34" s="48" t="s">
        <v>166</v>
      </c>
      <c r="AP34" s="266" t="s">
        <v>166</v>
      </c>
      <c r="AQ34" s="266" t="s">
        <v>166</v>
      </c>
      <c r="AR34" s="48" t="s">
        <v>4960</v>
      </c>
      <c r="AS34" s="266" t="s">
        <v>166</v>
      </c>
      <c r="AT34" s="266">
        <v>3.0</v>
      </c>
      <c r="AU34" s="266">
        <v>2.0</v>
      </c>
      <c r="AV34" s="266" t="s">
        <v>166</v>
      </c>
      <c r="AW34" s="266">
        <v>1.0</v>
      </c>
      <c r="AX34" s="266" t="s">
        <v>166</v>
      </c>
      <c r="AY34" s="266">
        <v>1.0</v>
      </c>
      <c r="AZ34" s="266">
        <v>2.0</v>
      </c>
      <c r="BA34" s="266" t="s">
        <v>166</v>
      </c>
      <c r="BB34" s="266" t="s">
        <v>166</v>
      </c>
      <c r="BC34" s="266" t="s">
        <v>166</v>
      </c>
      <c r="BD34" s="266" t="s">
        <v>166</v>
      </c>
      <c r="BE34" s="48" t="s">
        <v>5012</v>
      </c>
      <c r="BF34" s="48" t="s">
        <v>4978</v>
      </c>
      <c r="BG34" s="48" t="s">
        <v>4963</v>
      </c>
      <c r="BH34" s="48">
        <v>4.0</v>
      </c>
      <c r="BI34" s="698" t="s">
        <v>5487</v>
      </c>
      <c r="BJ34" s="698"/>
      <c r="BK34" s="394"/>
      <c r="BL34" s="394"/>
      <c r="BM34" s="394"/>
      <c r="BN34" s="394"/>
      <c r="BO34" s="394"/>
      <c r="BP34" s="394"/>
    </row>
    <row r="35">
      <c r="A35" s="266" t="s">
        <v>1664</v>
      </c>
      <c r="B35" s="266" t="s">
        <v>4946</v>
      </c>
      <c r="C35" s="266" t="s">
        <v>5004</v>
      </c>
      <c r="D35" s="452" t="str">
        <f t="shared" ref="D35:D39" si="8">HYPERLINK("https://www.gigabyte.com/","Gigabyte")</f>
        <v>Gigabyte</v>
      </c>
      <c r="E35" s="174" t="s">
        <v>5488</v>
      </c>
      <c r="F35" s="266">
        <v>244.0</v>
      </c>
      <c r="G35" s="266">
        <v>244.0</v>
      </c>
      <c r="H35" s="266">
        <v>3.0</v>
      </c>
      <c r="I35" s="266" t="s">
        <v>166</v>
      </c>
      <c r="J35" s="266">
        <v>2.0</v>
      </c>
      <c r="K35" s="266" t="s">
        <v>166</v>
      </c>
      <c r="L35" s="266" t="s">
        <v>166</v>
      </c>
      <c r="M35" s="266">
        <v>1.0</v>
      </c>
      <c r="N35" s="266" t="s">
        <v>166</v>
      </c>
      <c r="O35" s="266" t="s">
        <v>174</v>
      </c>
      <c r="P35" s="266" t="s">
        <v>174</v>
      </c>
      <c r="Q35" s="266" t="s">
        <v>166</v>
      </c>
      <c r="R35" s="266">
        <v>4.0</v>
      </c>
      <c r="S35" s="266" t="s">
        <v>3149</v>
      </c>
      <c r="T35" s="266">
        <v>128.0</v>
      </c>
      <c r="U35" s="507" t="s">
        <v>5006</v>
      </c>
      <c r="V35" s="266">
        <v>4.0</v>
      </c>
      <c r="W35" s="710" t="s">
        <v>4950</v>
      </c>
      <c r="X35" s="266">
        <v>2.0</v>
      </c>
      <c r="Y35" s="266">
        <v>4.0</v>
      </c>
      <c r="Z35" s="266" t="s">
        <v>166</v>
      </c>
      <c r="AA35" s="266" t="s">
        <v>166</v>
      </c>
      <c r="AB35" s="266" t="s">
        <v>166</v>
      </c>
      <c r="AC35" s="266" t="s">
        <v>166</v>
      </c>
      <c r="AD35" s="266" t="s">
        <v>166</v>
      </c>
      <c r="AE35" s="266" t="s">
        <v>166</v>
      </c>
      <c r="AF35" s="266">
        <f t="shared" si="1"/>
        <v>6</v>
      </c>
      <c r="AG35" s="266">
        <v>1.0</v>
      </c>
      <c r="AH35" s="266">
        <v>1.0</v>
      </c>
      <c r="AI35" s="266" t="s">
        <v>166</v>
      </c>
      <c r="AJ35" s="266">
        <v>1.0</v>
      </c>
      <c r="AK35" s="48" t="s">
        <v>4976</v>
      </c>
      <c r="AL35" s="48">
        <v>1.0</v>
      </c>
      <c r="AM35" s="48" t="s">
        <v>166</v>
      </c>
      <c r="AN35" s="48" t="s">
        <v>166</v>
      </c>
      <c r="AO35" s="48" t="s">
        <v>166</v>
      </c>
      <c r="AP35" s="266" t="s">
        <v>166</v>
      </c>
      <c r="AQ35" s="266" t="s">
        <v>166</v>
      </c>
      <c r="AR35" s="48" t="s">
        <v>4960</v>
      </c>
      <c r="AS35" s="266" t="s">
        <v>166</v>
      </c>
      <c r="AT35" s="266">
        <v>3.0</v>
      </c>
      <c r="AU35" s="266">
        <v>1.0</v>
      </c>
      <c r="AV35" s="266" t="s">
        <v>166</v>
      </c>
      <c r="AW35" s="266">
        <v>1.0</v>
      </c>
      <c r="AX35" s="266">
        <v>1.0</v>
      </c>
      <c r="AY35" s="266" t="s">
        <v>166</v>
      </c>
      <c r="AZ35" s="266">
        <v>3.0</v>
      </c>
      <c r="BA35" s="266">
        <v>2.0</v>
      </c>
      <c r="BB35" s="266">
        <v>2.0</v>
      </c>
      <c r="BC35" s="266" t="s">
        <v>166</v>
      </c>
      <c r="BD35" s="266" t="s">
        <v>166</v>
      </c>
      <c r="BE35" s="48" t="s">
        <v>5012</v>
      </c>
      <c r="BF35" s="48" t="s">
        <v>5489</v>
      </c>
      <c r="BG35" s="48" t="s">
        <v>4963</v>
      </c>
      <c r="BH35" s="48">
        <v>5.0</v>
      </c>
      <c r="BI35" s="698" t="s">
        <v>5205</v>
      </c>
      <c r="BJ35" s="698"/>
      <c r="BK35" s="394"/>
      <c r="BL35" s="394"/>
      <c r="BM35" s="394"/>
      <c r="BN35" s="394"/>
      <c r="BO35" s="394"/>
      <c r="BP35" s="394"/>
    </row>
    <row r="36">
      <c r="A36" s="266" t="s">
        <v>1664</v>
      </c>
      <c r="B36" s="266" t="s">
        <v>4946</v>
      </c>
      <c r="C36" s="266" t="s">
        <v>5004</v>
      </c>
      <c r="D36" s="452" t="str">
        <f t="shared" si="8"/>
        <v>Gigabyte</v>
      </c>
      <c r="E36" s="174" t="s">
        <v>5490</v>
      </c>
      <c r="F36" s="266">
        <v>244.0</v>
      </c>
      <c r="G36" s="266">
        <v>244.0</v>
      </c>
      <c r="H36" s="266">
        <v>3.0</v>
      </c>
      <c r="I36" s="266" t="s">
        <v>166</v>
      </c>
      <c r="J36" s="266">
        <v>2.0</v>
      </c>
      <c r="K36" s="266" t="s">
        <v>166</v>
      </c>
      <c r="L36" s="266" t="s">
        <v>166</v>
      </c>
      <c r="M36" s="266">
        <v>1.0</v>
      </c>
      <c r="N36" s="266" t="s">
        <v>166</v>
      </c>
      <c r="O36" s="266" t="s">
        <v>174</v>
      </c>
      <c r="P36" s="266" t="s">
        <v>174</v>
      </c>
      <c r="Q36" s="266" t="s">
        <v>166</v>
      </c>
      <c r="R36" s="266">
        <v>4.0</v>
      </c>
      <c r="S36" s="266" t="s">
        <v>3149</v>
      </c>
      <c r="T36" s="266">
        <v>128.0</v>
      </c>
      <c r="U36" s="507" t="s">
        <v>5006</v>
      </c>
      <c r="V36" s="266">
        <v>4.0</v>
      </c>
      <c r="W36" s="710" t="s">
        <v>4950</v>
      </c>
      <c r="X36" s="266">
        <v>2.0</v>
      </c>
      <c r="Y36" s="266">
        <v>4.0</v>
      </c>
      <c r="Z36" s="266" t="s">
        <v>166</v>
      </c>
      <c r="AA36" s="266" t="s">
        <v>166</v>
      </c>
      <c r="AB36" s="266" t="s">
        <v>166</v>
      </c>
      <c r="AC36" s="266" t="s">
        <v>166</v>
      </c>
      <c r="AD36" s="266" t="s">
        <v>166</v>
      </c>
      <c r="AE36" s="266" t="s">
        <v>166</v>
      </c>
      <c r="AF36" s="266">
        <f t="shared" si="1"/>
        <v>6</v>
      </c>
      <c r="AG36" s="266">
        <v>1.0</v>
      </c>
      <c r="AH36" s="266">
        <v>1.0</v>
      </c>
      <c r="AI36" s="266" t="s">
        <v>166</v>
      </c>
      <c r="AJ36" s="266">
        <v>1.0</v>
      </c>
      <c r="AK36" s="48" t="s">
        <v>4976</v>
      </c>
      <c r="AL36" s="48">
        <v>1.0</v>
      </c>
      <c r="AM36" s="48" t="s">
        <v>166</v>
      </c>
      <c r="AN36" s="48" t="s">
        <v>166</v>
      </c>
      <c r="AO36" s="48" t="s">
        <v>166</v>
      </c>
      <c r="AP36" s="266" t="s">
        <v>166</v>
      </c>
      <c r="AQ36" s="266" t="s">
        <v>166</v>
      </c>
      <c r="AR36" s="48" t="s">
        <v>4960</v>
      </c>
      <c r="AS36" s="266" t="s">
        <v>166</v>
      </c>
      <c r="AT36" s="266">
        <v>3.0</v>
      </c>
      <c r="AU36" s="266">
        <v>1.0</v>
      </c>
      <c r="AV36" s="266">
        <v>1.0</v>
      </c>
      <c r="AW36" s="266">
        <v>1.0</v>
      </c>
      <c r="AX36" s="266">
        <v>1.0</v>
      </c>
      <c r="AY36" s="266" t="s">
        <v>166</v>
      </c>
      <c r="AZ36" s="266">
        <v>3.0</v>
      </c>
      <c r="BA36" s="266">
        <v>1.0</v>
      </c>
      <c r="BB36" s="266">
        <v>1.0</v>
      </c>
      <c r="BC36" s="266" t="s">
        <v>166</v>
      </c>
      <c r="BD36" s="266" t="s">
        <v>166</v>
      </c>
      <c r="BE36" s="48" t="s">
        <v>5012</v>
      </c>
      <c r="BF36" s="48" t="s">
        <v>5489</v>
      </c>
      <c r="BG36" s="48" t="s">
        <v>4963</v>
      </c>
      <c r="BH36" s="48">
        <v>5.0</v>
      </c>
      <c r="BI36" s="698" t="s">
        <v>5205</v>
      </c>
      <c r="BJ36" s="698"/>
      <c r="BK36" s="394"/>
      <c r="BL36" s="394"/>
      <c r="BM36" s="394"/>
      <c r="BN36" s="394"/>
      <c r="BO36" s="394"/>
      <c r="BP36" s="394"/>
    </row>
    <row r="37">
      <c r="A37" s="266" t="s">
        <v>1664</v>
      </c>
      <c r="B37" s="266" t="s">
        <v>4946</v>
      </c>
      <c r="C37" s="266" t="s">
        <v>5004</v>
      </c>
      <c r="D37" s="452" t="str">
        <f t="shared" si="8"/>
        <v>Gigabyte</v>
      </c>
      <c r="E37" s="174" t="s">
        <v>5491</v>
      </c>
      <c r="F37" s="266">
        <v>244.0</v>
      </c>
      <c r="G37" s="266">
        <v>244.0</v>
      </c>
      <c r="H37" s="266">
        <v>3.0</v>
      </c>
      <c r="I37" s="266" t="s">
        <v>166</v>
      </c>
      <c r="J37" s="266">
        <v>2.0</v>
      </c>
      <c r="K37" s="266" t="s">
        <v>166</v>
      </c>
      <c r="L37" s="266" t="s">
        <v>166</v>
      </c>
      <c r="M37" s="266">
        <v>1.0</v>
      </c>
      <c r="N37" s="266" t="s">
        <v>166</v>
      </c>
      <c r="O37" s="266" t="s">
        <v>174</v>
      </c>
      <c r="P37" s="266" t="s">
        <v>174</v>
      </c>
      <c r="Q37" s="266" t="s">
        <v>166</v>
      </c>
      <c r="R37" s="266">
        <v>4.0</v>
      </c>
      <c r="S37" s="266" t="s">
        <v>3149</v>
      </c>
      <c r="T37" s="266">
        <v>128.0</v>
      </c>
      <c r="U37" s="507" t="s">
        <v>5006</v>
      </c>
      <c r="V37" s="266">
        <v>4.0</v>
      </c>
      <c r="W37" s="710" t="s">
        <v>4950</v>
      </c>
      <c r="X37" s="266">
        <v>2.0</v>
      </c>
      <c r="Y37" s="266">
        <v>4.0</v>
      </c>
      <c r="Z37" s="266" t="s">
        <v>166</v>
      </c>
      <c r="AA37" s="266" t="s">
        <v>166</v>
      </c>
      <c r="AB37" s="266" t="s">
        <v>166</v>
      </c>
      <c r="AC37" s="266" t="s">
        <v>166</v>
      </c>
      <c r="AD37" s="266" t="s">
        <v>166</v>
      </c>
      <c r="AE37" s="266" t="s">
        <v>166</v>
      </c>
      <c r="AF37" s="266">
        <f t="shared" si="1"/>
        <v>6</v>
      </c>
      <c r="AG37" s="266">
        <v>1.0</v>
      </c>
      <c r="AH37" s="266">
        <v>1.0</v>
      </c>
      <c r="AI37" s="266" t="s">
        <v>166</v>
      </c>
      <c r="AJ37" s="266">
        <v>1.0</v>
      </c>
      <c r="AK37" s="48" t="s">
        <v>4976</v>
      </c>
      <c r="AL37" s="48">
        <v>1.0</v>
      </c>
      <c r="AM37" s="705">
        <v>1.0</v>
      </c>
      <c r="AN37" s="48" t="s">
        <v>4966</v>
      </c>
      <c r="AO37" s="48" t="s">
        <v>4967</v>
      </c>
      <c r="AP37" s="507">
        <v>433.0</v>
      </c>
      <c r="AQ37" s="507">
        <v>4.2</v>
      </c>
      <c r="AR37" s="48" t="s">
        <v>4960</v>
      </c>
      <c r="AS37" s="266" t="s">
        <v>166</v>
      </c>
      <c r="AT37" s="266">
        <v>3.0</v>
      </c>
      <c r="AU37" s="266">
        <v>1.0</v>
      </c>
      <c r="AV37" s="266">
        <v>1.0</v>
      </c>
      <c r="AW37" s="266">
        <v>1.0</v>
      </c>
      <c r="AX37" s="266">
        <v>1.0</v>
      </c>
      <c r="AY37" s="266" t="s">
        <v>166</v>
      </c>
      <c r="AZ37" s="266">
        <v>3.0</v>
      </c>
      <c r="BA37" s="266">
        <v>1.0</v>
      </c>
      <c r="BB37" s="266">
        <v>1.0</v>
      </c>
      <c r="BC37" s="266" t="s">
        <v>166</v>
      </c>
      <c r="BD37" s="266" t="s">
        <v>166</v>
      </c>
      <c r="BE37" s="48" t="s">
        <v>5012</v>
      </c>
      <c r="BF37" s="48" t="s">
        <v>5489</v>
      </c>
      <c r="BG37" s="48" t="s">
        <v>4963</v>
      </c>
      <c r="BH37" s="48">
        <v>5.0</v>
      </c>
      <c r="BI37" s="698" t="s">
        <v>5205</v>
      </c>
      <c r="BJ37" s="698"/>
      <c r="BK37" s="394"/>
      <c r="BL37" s="394"/>
      <c r="BM37" s="394"/>
      <c r="BN37" s="394"/>
      <c r="BO37" s="394"/>
      <c r="BP37" s="394"/>
    </row>
    <row r="38">
      <c r="A38" s="266" t="s">
        <v>1664</v>
      </c>
      <c r="B38" s="266" t="s">
        <v>4946</v>
      </c>
      <c r="C38" s="266" t="s">
        <v>5004</v>
      </c>
      <c r="D38" s="452" t="str">
        <f t="shared" si="8"/>
        <v>Gigabyte</v>
      </c>
      <c r="E38" s="174" t="s">
        <v>5492</v>
      </c>
      <c r="F38" s="266">
        <v>244.0</v>
      </c>
      <c r="G38" s="266">
        <v>205.0</v>
      </c>
      <c r="H38" s="266">
        <v>3.0</v>
      </c>
      <c r="I38" s="266" t="s">
        <v>166</v>
      </c>
      <c r="J38" s="266">
        <v>2.0</v>
      </c>
      <c r="K38" s="266" t="s">
        <v>166</v>
      </c>
      <c r="L38" s="266" t="s">
        <v>166</v>
      </c>
      <c r="M38" s="266">
        <v>1.0</v>
      </c>
      <c r="N38" s="266" t="s">
        <v>166</v>
      </c>
      <c r="O38" s="266" t="s">
        <v>174</v>
      </c>
      <c r="P38" s="266" t="s">
        <v>174</v>
      </c>
      <c r="Q38" s="266" t="s">
        <v>166</v>
      </c>
      <c r="R38" s="266">
        <v>2.0</v>
      </c>
      <c r="S38" s="266" t="s">
        <v>3149</v>
      </c>
      <c r="T38" s="266">
        <v>64.0</v>
      </c>
      <c r="U38" s="266" t="s">
        <v>5275</v>
      </c>
      <c r="V38" s="266">
        <v>4.0</v>
      </c>
      <c r="W38" s="710" t="s">
        <v>4950</v>
      </c>
      <c r="X38" s="266">
        <v>2.0</v>
      </c>
      <c r="Y38" s="266">
        <v>4.0</v>
      </c>
      <c r="Z38" s="266" t="s">
        <v>166</v>
      </c>
      <c r="AA38" s="266" t="s">
        <v>166</v>
      </c>
      <c r="AB38" s="266" t="s">
        <v>166</v>
      </c>
      <c r="AC38" s="266" t="s">
        <v>166</v>
      </c>
      <c r="AD38" s="266" t="s">
        <v>166</v>
      </c>
      <c r="AE38" s="266" t="s">
        <v>166</v>
      </c>
      <c r="AF38" s="266">
        <f t="shared" si="1"/>
        <v>6</v>
      </c>
      <c r="AG38" s="266">
        <v>2.0</v>
      </c>
      <c r="AH38" s="266">
        <v>1.0</v>
      </c>
      <c r="AI38" s="266" t="s">
        <v>166</v>
      </c>
      <c r="AJ38" s="266">
        <v>1.0</v>
      </c>
      <c r="AK38" s="48" t="s">
        <v>4976</v>
      </c>
      <c r="AL38" s="48">
        <v>1.0</v>
      </c>
      <c r="AM38" s="48" t="s">
        <v>166</v>
      </c>
      <c r="AN38" s="48" t="s">
        <v>166</v>
      </c>
      <c r="AO38" s="48" t="s">
        <v>166</v>
      </c>
      <c r="AP38" s="266" t="s">
        <v>166</v>
      </c>
      <c r="AQ38" s="266" t="s">
        <v>166</v>
      </c>
      <c r="AR38" s="48" t="s">
        <v>4960</v>
      </c>
      <c r="AS38" s="266" t="s">
        <v>166</v>
      </c>
      <c r="AT38" s="266">
        <v>3.0</v>
      </c>
      <c r="AU38" s="266">
        <v>1.0</v>
      </c>
      <c r="AV38" s="266" t="s">
        <v>166</v>
      </c>
      <c r="AW38" s="266">
        <v>1.0</v>
      </c>
      <c r="AX38" s="266">
        <v>1.0</v>
      </c>
      <c r="AY38" s="266" t="s">
        <v>166</v>
      </c>
      <c r="AZ38" s="266">
        <v>3.0</v>
      </c>
      <c r="BA38" s="266">
        <v>1.0</v>
      </c>
      <c r="BB38" s="266">
        <v>1.0</v>
      </c>
      <c r="BC38" s="266" t="s">
        <v>166</v>
      </c>
      <c r="BD38" s="266" t="s">
        <v>166</v>
      </c>
      <c r="BE38" s="48" t="s">
        <v>5012</v>
      </c>
      <c r="BF38" s="48" t="s">
        <v>4978</v>
      </c>
      <c r="BG38" s="48" t="s">
        <v>4963</v>
      </c>
      <c r="BH38" s="48">
        <v>4.0</v>
      </c>
      <c r="BI38" s="698" t="s">
        <v>5205</v>
      </c>
      <c r="BJ38" s="698"/>
      <c r="BK38" s="394"/>
      <c r="BL38" s="394"/>
      <c r="BM38" s="394"/>
      <c r="BN38" s="394"/>
      <c r="BO38" s="394"/>
      <c r="BP38" s="394"/>
    </row>
    <row r="39">
      <c r="A39" s="266" t="s">
        <v>1664</v>
      </c>
      <c r="B39" s="266" t="s">
        <v>4946</v>
      </c>
      <c r="C39" s="266" t="s">
        <v>5004</v>
      </c>
      <c r="D39" s="452" t="str">
        <f t="shared" si="8"/>
        <v>Gigabyte</v>
      </c>
      <c r="E39" s="174" t="s">
        <v>5493</v>
      </c>
      <c r="F39" s="266">
        <v>244.0</v>
      </c>
      <c r="G39" s="266">
        <v>205.0</v>
      </c>
      <c r="H39" s="266">
        <v>3.0</v>
      </c>
      <c r="I39" s="266" t="s">
        <v>166</v>
      </c>
      <c r="J39" s="266">
        <v>2.0</v>
      </c>
      <c r="K39" s="266" t="s">
        <v>166</v>
      </c>
      <c r="L39" s="266" t="s">
        <v>166</v>
      </c>
      <c r="M39" s="266">
        <v>1.0</v>
      </c>
      <c r="N39" s="266" t="s">
        <v>166</v>
      </c>
      <c r="O39" s="266" t="s">
        <v>174</v>
      </c>
      <c r="P39" s="266" t="s">
        <v>174</v>
      </c>
      <c r="Q39" s="266" t="s">
        <v>166</v>
      </c>
      <c r="R39" s="266">
        <v>2.0</v>
      </c>
      <c r="S39" s="266" t="s">
        <v>3149</v>
      </c>
      <c r="T39" s="266">
        <v>64.0</v>
      </c>
      <c r="U39" s="266" t="s">
        <v>5275</v>
      </c>
      <c r="V39" s="266">
        <v>4.0</v>
      </c>
      <c r="W39" s="710" t="s">
        <v>4950</v>
      </c>
      <c r="X39" s="266">
        <v>2.0</v>
      </c>
      <c r="Y39" s="266">
        <v>4.0</v>
      </c>
      <c r="Z39" s="266" t="s">
        <v>166</v>
      </c>
      <c r="AA39" s="266" t="s">
        <v>166</v>
      </c>
      <c r="AB39" s="266" t="s">
        <v>166</v>
      </c>
      <c r="AC39" s="266" t="s">
        <v>166</v>
      </c>
      <c r="AD39" s="266" t="s">
        <v>166</v>
      </c>
      <c r="AE39" s="266" t="s">
        <v>166</v>
      </c>
      <c r="AF39" s="266">
        <f t="shared" si="1"/>
        <v>6</v>
      </c>
      <c r="AG39" s="266">
        <v>2.0</v>
      </c>
      <c r="AH39" s="266">
        <v>1.0</v>
      </c>
      <c r="AI39" s="266" t="s">
        <v>166</v>
      </c>
      <c r="AJ39" s="266">
        <v>1.0</v>
      </c>
      <c r="AK39" s="48" t="s">
        <v>4976</v>
      </c>
      <c r="AL39" s="48">
        <v>1.0</v>
      </c>
      <c r="AM39" s="48" t="s">
        <v>166</v>
      </c>
      <c r="AN39" s="48" t="s">
        <v>166</v>
      </c>
      <c r="AO39" s="48" t="s">
        <v>166</v>
      </c>
      <c r="AP39" s="266" t="s">
        <v>166</v>
      </c>
      <c r="AQ39" s="266" t="s">
        <v>166</v>
      </c>
      <c r="AR39" s="48" t="s">
        <v>4960</v>
      </c>
      <c r="AS39" s="266" t="s">
        <v>166</v>
      </c>
      <c r="AT39" s="266">
        <v>3.0</v>
      </c>
      <c r="AU39" s="266">
        <v>1.0</v>
      </c>
      <c r="AV39" s="266" t="s">
        <v>166</v>
      </c>
      <c r="AW39" s="266">
        <v>1.0</v>
      </c>
      <c r="AX39" s="266">
        <v>1.0</v>
      </c>
      <c r="AY39" s="266">
        <v>1.0</v>
      </c>
      <c r="AZ39" s="266">
        <v>3.0</v>
      </c>
      <c r="BA39" s="266">
        <v>1.0</v>
      </c>
      <c r="BB39" s="266">
        <v>1.0</v>
      </c>
      <c r="BC39" s="266" t="s">
        <v>166</v>
      </c>
      <c r="BD39" s="266" t="s">
        <v>166</v>
      </c>
      <c r="BE39" s="48" t="s">
        <v>5012</v>
      </c>
      <c r="BF39" s="48" t="s">
        <v>4978</v>
      </c>
      <c r="BG39" s="48" t="s">
        <v>4963</v>
      </c>
      <c r="BH39" s="48">
        <v>4.0</v>
      </c>
      <c r="BI39" s="698" t="s">
        <v>5205</v>
      </c>
      <c r="BJ39" s="698"/>
      <c r="BK39" s="394"/>
      <c r="BL39" s="394"/>
      <c r="BM39" s="394"/>
      <c r="BN39" s="394"/>
      <c r="BO39" s="394"/>
      <c r="BP39" s="394"/>
    </row>
    <row r="40">
      <c r="A40" s="266" t="s">
        <v>1664</v>
      </c>
      <c r="B40" s="266" t="s">
        <v>4946</v>
      </c>
      <c r="C40" s="266" t="s">
        <v>5004</v>
      </c>
      <c r="D40" s="452" t="str">
        <f t="shared" ref="D40:D46" si="9">HYPERLINK("https://www.msi.com/index.php","MSI")</f>
        <v>MSI</v>
      </c>
      <c r="E40" s="174" t="s">
        <v>5494</v>
      </c>
      <c r="F40" s="266">
        <v>244.0</v>
      </c>
      <c r="G40" s="266">
        <v>210.0</v>
      </c>
      <c r="H40" s="266">
        <v>3.0</v>
      </c>
      <c r="I40" s="266" t="s">
        <v>166</v>
      </c>
      <c r="J40" s="266">
        <v>2.0</v>
      </c>
      <c r="K40" s="266" t="s">
        <v>166</v>
      </c>
      <c r="L40" s="266" t="s">
        <v>166</v>
      </c>
      <c r="M40" s="266">
        <v>1.0</v>
      </c>
      <c r="N40" s="266" t="s">
        <v>166</v>
      </c>
      <c r="O40" s="266" t="s">
        <v>174</v>
      </c>
      <c r="P40" s="266" t="s">
        <v>166</v>
      </c>
      <c r="Q40" s="266" t="s">
        <v>166</v>
      </c>
      <c r="R40" s="266">
        <v>2.0</v>
      </c>
      <c r="S40" s="266" t="s">
        <v>3149</v>
      </c>
      <c r="T40" s="266">
        <v>64.0</v>
      </c>
      <c r="U40" s="266" t="s">
        <v>5047</v>
      </c>
      <c r="V40" s="266">
        <v>4.0</v>
      </c>
      <c r="W40" s="710" t="s">
        <v>4950</v>
      </c>
      <c r="X40" s="266">
        <v>2.0</v>
      </c>
      <c r="Y40" s="266">
        <v>4.0</v>
      </c>
      <c r="Z40" s="266" t="s">
        <v>166</v>
      </c>
      <c r="AA40" s="266" t="s">
        <v>166</v>
      </c>
      <c r="AB40" s="266" t="s">
        <v>166</v>
      </c>
      <c r="AC40" s="266" t="s">
        <v>166</v>
      </c>
      <c r="AD40" s="266" t="s">
        <v>166</v>
      </c>
      <c r="AE40" s="266" t="s">
        <v>166</v>
      </c>
      <c r="AF40" s="266">
        <f t="shared" si="1"/>
        <v>6</v>
      </c>
      <c r="AG40" s="266">
        <v>2.0</v>
      </c>
      <c r="AH40" s="266">
        <v>1.0</v>
      </c>
      <c r="AI40" s="266" t="s">
        <v>166</v>
      </c>
      <c r="AJ40" s="266">
        <v>1.0</v>
      </c>
      <c r="AK40" s="48" t="s">
        <v>4959</v>
      </c>
      <c r="AL40" s="48">
        <v>1.0</v>
      </c>
      <c r="AM40" s="48" t="s">
        <v>166</v>
      </c>
      <c r="AN40" s="48" t="s">
        <v>166</v>
      </c>
      <c r="AO40" s="48" t="s">
        <v>166</v>
      </c>
      <c r="AP40" s="266" t="s">
        <v>166</v>
      </c>
      <c r="AQ40" s="266" t="s">
        <v>166</v>
      </c>
      <c r="AR40" s="48" t="s">
        <v>5039</v>
      </c>
      <c r="AS40" s="266" t="s">
        <v>166</v>
      </c>
      <c r="AT40" s="266">
        <v>3.0</v>
      </c>
      <c r="AU40" s="266">
        <v>1.0</v>
      </c>
      <c r="AV40" s="266">
        <v>1.0</v>
      </c>
      <c r="AW40" s="266">
        <v>1.0</v>
      </c>
      <c r="AX40" s="266" t="s">
        <v>166</v>
      </c>
      <c r="AY40" s="266">
        <v>1.0</v>
      </c>
      <c r="AZ40" s="266">
        <v>2.0</v>
      </c>
      <c r="BA40" s="266">
        <v>1.0</v>
      </c>
      <c r="BB40" s="266">
        <v>1.0</v>
      </c>
      <c r="BC40" s="266" t="s">
        <v>174</v>
      </c>
      <c r="BD40" s="266" t="s">
        <v>166</v>
      </c>
      <c r="BE40" s="48" t="s">
        <v>5495</v>
      </c>
      <c r="BF40" s="48" t="s">
        <v>4962</v>
      </c>
      <c r="BG40" s="48" t="s">
        <v>4963</v>
      </c>
      <c r="BH40" s="48">
        <v>4.0</v>
      </c>
      <c r="BI40" s="698" t="s">
        <v>5496</v>
      </c>
      <c r="BJ40" s="698"/>
      <c r="BK40" s="394"/>
      <c r="BL40" s="394"/>
      <c r="BM40" s="394"/>
      <c r="BN40" s="394"/>
      <c r="BO40" s="394"/>
      <c r="BP40" s="394"/>
    </row>
    <row r="41">
      <c r="A41" s="266" t="s">
        <v>1664</v>
      </c>
      <c r="B41" s="266" t="s">
        <v>4946</v>
      </c>
      <c r="C41" s="266" t="s">
        <v>5004</v>
      </c>
      <c r="D41" s="452" t="str">
        <f t="shared" si="9"/>
        <v>MSI</v>
      </c>
      <c r="E41" s="174" t="s">
        <v>5497</v>
      </c>
      <c r="F41" s="266">
        <v>244.0</v>
      </c>
      <c r="G41" s="266">
        <v>220.0</v>
      </c>
      <c r="H41" s="266">
        <v>3.0</v>
      </c>
      <c r="I41" s="266">
        <v>1.0</v>
      </c>
      <c r="J41" s="266">
        <v>2.0</v>
      </c>
      <c r="K41" s="266" t="s">
        <v>166</v>
      </c>
      <c r="L41" s="266" t="s">
        <v>166</v>
      </c>
      <c r="M41" s="266">
        <v>1.0</v>
      </c>
      <c r="N41" s="266" t="s">
        <v>166</v>
      </c>
      <c r="O41" s="266" t="s">
        <v>174</v>
      </c>
      <c r="P41" s="266" t="s">
        <v>166</v>
      </c>
      <c r="Q41" s="266" t="s">
        <v>166</v>
      </c>
      <c r="R41" s="266">
        <v>2.0</v>
      </c>
      <c r="S41" s="266" t="s">
        <v>3149</v>
      </c>
      <c r="T41" s="266">
        <v>64.0</v>
      </c>
      <c r="U41" s="266" t="s">
        <v>5047</v>
      </c>
      <c r="V41" s="266">
        <v>4.0</v>
      </c>
      <c r="W41" s="710" t="s">
        <v>4950</v>
      </c>
      <c r="X41" s="266">
        <v>2.0</v>
      </c>
      <c r="Y41" s="266">
        <v>4.0</v>
      </c>
      <c r="Z41" s="266" t="s">
        <v>166</v>
      </c>
      <c r="AA41" s="266" t="s">
        <v>166</v>
      </c>
      <c r="AB41" s="266" t="s">
        <v>166</v>
      </c>
      <c r="AC41" s="266" t="s">
        <v>166</v>
      </c>
      <c r="AD41" s="266" t="s">
        <v>166</v>
      </c>
      <c r="AE41" s="266" t="s">
        <v>166</v>
      </c>
      <c r="AF41" s="266">
        <f t="shared" si="1"/>
        <v>6</v>
      </c>
      <c r="AG41" s="266">
        <v>2.0</v>
      </c>
      <c r="AH41" s="266">
        <v>1.0</v>
      </c>
      <c r="AI41" s="266" t="s">
        <v>166</v>
      </c>
      <c r="AJ41" s="266">
        <v>1.0</v>
      </c>
      <c r="AK41" s="48" t="s">
        <v>5471</v>
      </c>
      <c r="AL41" s="48">
        <v>1.0</v>
      </c>
      <c r="AM41" s="48" t="s">
        <v>166</v>
      </c>
      <c r="AN41" s="48" t="s">
        <v>166</v>
      </c>
      <c r="AO41" s="48" t="s">
        <v>166</v>
      </c>
      <c r="AP41" s="266" t="s">
        <v>166</v>
      </c>
      <c r="AQ41" s="266" t="s">
        <v>166</v>
      </c>
      <c r="AR41" s="48" t="s">
        <v>5039</v>
      </c>
      <c r="AS41" s="266" t="s">
        <v>166</v>
      </c>
      <c r="AT41" s="266">
        <v>3.0</v>
      </c>
      <c r="AU41" s="266">
        <v>2.0</v>
      </c>
      <c r="AV41" s="266" t="s">
        <v>166</v>
      </c>
      <c r="AW41" s="266">
        <v>1.0</v>
      </c>
      <c r="AX41" s="266">
        <v>1.0</v>
      </c>
      <c r="AY41" s="266">
        <v>1.0</v>
      </c>
      <c r="AZ41" s="266">
        <v>2.0</v>
      </c>
      <c r="BA41" s="266" t="s">
        <v>166</v>
      </c>
      <c r="BB41" s="266" t="s">
        <v>166</v>
      </c>
      <c r="BC41" s="266" t="s">
        <v>174</v>
      </c>
      <c r="BD41" s="266" t="s">
        <v>166</v>
      </c>
      <c r="BE41" s="48" t="s">
        <v>5495</v>
      </c>
      <c r="BF41" s="48" t="s">
        <v>4962</v>
      </c>
      <c r="BG41" s="48" t="s">
        <v>4963</v>
      </c>
      <c r="BH41" s="48">
        <v>4.0</v>
      </c>
      <c r="BI41" s="698" t="s">
        <v>5496</v>
      </c>
      <c r="BJ41" s="698"/>
      <c r="BK41" s="394"/>
      <c r="BL41" s="394"/>
      <c r="BM41" s="394"/>
      <c r="BN41" s="394"/>
      <c r="BO41" s="394"/>
      <c r="BP41" s="394"/>
    </row>
    <row r="42">
      <c r="A42" s="266" t="s">
        <v>1664</v>
      </c>
      <c r="B42" s="266" t="s">
        <v>4946</v>
      </c>
      <c r="C42" s="266" t="s">
        <v>5004</v>
      </c>
      <c r="D42" s="452" t="str">
        <f t="shared" si="9"/>
        <v>MSI</v>
      </c>
      <c r="E42" s="174" t="s">
        <v>5498</v>
      </c>
      <c r="F42" s="266">
        <v>244.0</v>
      </c>
      <c r="G42" s="266">
        <v>244.0</v>
      </c>
      <c r="H42" s="266">
        <v>3.0</v>
      </c>
      <c r="I42" s="266" t="s">
        <v>166</v>
      </c>
      <c r="J42" s="266">
        <v>1.0</v>
      </c>
      <c r="K42" s="266" t="s">
        <v>166</v>
      </c>
      <c r="L42" s="266" t="s">
        <v>166</v>
      </c>
      <c r="M42" s="266">
        <v>2.0</v>
      </c>
      <c r="N42" s="266" t="s">
        <v>166</v>
      </c>
      <c r="O42" s="266" t="s">
        <v>174</v>
      </c>
      <c r="P42" s="266" t="s">
        <v>174</v>
      </c>
      <c r="Q42" s="266" t="s">
        <v>166</v>
      </c>
      <c r="R42" s="266">
        <v>4.0</v>
      </c>
      <c r="S42" s="266" t="s">
        <v>3149</v>
      </c>
      <c r="T42" s="266">
        <v>128.0</v>
      </c>
      <c r="U42" s="266" t="s">
        <v>5213</v>
      </c>
      <c r="V42" s="266">
        <v>4.0</v>
      </c>
      <c r="W42" s="710" t="s">
        <v>4950</v>
      </c>
      <c r="X42" s="266">
        <v>2.0</v>
      </c>
      <c r="Y42" s="266">
        <v>4.0</v>
      </c>
      <c r="Z42" s="266" t="s">
        <v>166</v>
      </c>
      <c r="AA42" s="266" t="s">
        <v>166</v>
      </c>
      <c r="AB42" s="266" t="s">
        <v>166</v>
      </c>
      <c r="AC42" s="266" t="s">
        <v>166</v>
      </c>
      <c r="AD42" s="266" t="s">
        <v>166</v>
      </c>
      <c r="AE42" s="266" t="s">
        <v>166</v>
      </c>
      <c r="AF42" s="266">
        <f t="shared" si="1"/>
        <v>6</v>
      </c>
      <c r="AG42" s="266">
        <v>2.0</v>
      </c>
      <c r="AH42" s="266">
        <v>1.0</v>
      </c>
      <c r="AI42" s="266" t="s">
        <v>166</v>
      </c>
      <c r="AJ42" s="266">
        <v>1.0</v>
      </c>
      <c r="AK42" s="48" t="s">
        <v>4959</v>
      </c>
      <c r="AL42" s="48">
        <v>1.0</v>
      </c>
      <c r="AM42" s="48" t="s">
        <v>166</v>
      </c>
      <c r="AN42" s="48" t="s">
        <v>166</v>
      </c>
      <c r="AO42" s="48" t="s">
        <v>166</v>
      </c>
      <c r="AP42" s="266" t="s">
        <v>166</v>
      </c>
      <c r="AQ42" s="266" t="s">
        <v>166</v>
      </c>
      <c r="AR42" s="48" t="s">
        <v>5039</v>
      </c>
      <c r="AS42" s="266" t="s">
        <v>166</v>
      </c>
      <c r="AT42" s="266">
        <v>3.0</v>
      </c>
      <c r="AU42" s="266">
        <v>1.0</v>
      </c>
      <c r="AV42" s="266">
        <v>1.0</v>
      </c>
      <c r="AW42" s="266">
        <v>1.0</v>
      </c>
      <c r="AX42" s="266" t="s">
        <v>166</v>
      </c>
      <c r="AY42" s="266">
        <v>1.0</v>
      </c>
      <c r="AZ42" s="266">
        <v>3.0</v>
      </c>
      <c r="BA42" s="266">
        <v>1.0</v>
      </c>
      <c r="BB42" s="266">
        <v>1.0</v>
      </c>
      <c r="BC42" s="266" t="s">
        <v>174</v>
      </c>
      <c r="BD42" s="266" t="s">
        <v>166</v>
      </c>
      <c r="BE42" s="48" t="s">
        <v>5495</v>
      </c>
      <c r="BF42" s="48" t="s">
        <v>4962</v>
      </c>
      <c r="BG42" s="48" t="s">
        <v>4963</v>
      </c>
      <c r="BH42" s="48">
        <v>4.0</v>
      </c>
      <c r="BI42" s="698" t="s">
        <v>5496</v>
      </c>
      <c r="BJ42" s="698"/>
      <c r="BK42" s="394"/>
      <c r="BL42" s="394"/>
      <c r="BM42" s="394"/>
      <c r="BN42" s="394"/>
      <c r="BO42" s="394"/>
      <c r="BP42" s="394"/>
    </row>
    <row r="43">
      <c r="A43" s="266" t="s">
        <v>1664</v>
      </c>
      <c r="B43" s="266" t="s">
        <v>4946</v>
      </c>
      <c r="C43" s="266" t="s">
        <v>5004</v>
      </c>
      <c r="D43" s="452" t="str">
        <f t="shared" si="9"/>
        <v>MSI</v>
      </c>
      <c r="E43" s="174" t="s">
        <v>5499</v>
      </c>
      <c r="F43" s="266">
        <v>236.0</v>
      </c>
      <c r="G43" s="266">
        <v>200.0</v>
      </c>
      <c r="H43" s="266">
        <v>3.0</v>
      </c>
      <c r="I43" s="266" t="s">
        <v>166</v>
      </c>
      <c r="J43" s="266">
        <v>1.0</v>
      </c>
      <c r="K43" s="266" t="s">
        <v>166</v>
      </c>
      <c r="L43" s="266" t="s">
        <v>166</v>
      </c>
      <c r="M43" s="266">
        <v>1.0</v>
      </c>
      <c r="N43" s="266" t="s">
        <v>166</v>
      </c>
      <c r="O43" s="266" t="s">
        <v>174</v>
      </c>
      <c r="P43" s="266" t="s">
        <v>166</v>
      </c>
      <c r="Q43" s="266" t="s">
        <v>166</v>
      </c>
      <c r="R43" s="266">
        <v>2.0</v>
      </c>
      <c r="S43" s="266" t="s">
        <v>3149</v>
      </c>
      <c r="T43" s="266">
        <v>64.0</v>
      </c>
      <c r="U43" s="266" t="s">
        <v>5047</v>
      </c>
      <c r="V43" s="266">
        <v>4.0</v>
      </c>
      <c r="W43" s="710" t="s">
        <v>4950</v>
      </c>
      <c r="X43" s="266">
        <v>2.0</v>
      </c>
      <c r="Y43" s="266">
        <v>4.0</v>
      </c>
      <c r="Z43" s="266" t="s">
        <v>166</v>
      </c>
      <c r="AA43" s="266" t="s">
        <v>166</v>
      </c>
      <c r="AB43" s="266" t="s">
        <v>166</v>
      </c>
      <c r="AC43" s="266" t="s">
        <v>166</v>
      </c>
      <c r="AD43" s="266" t="s">
        <v>166</v>
      </c>
      <c r="AE43" s="266" t="s">
        <v>166</v>
      </c>
      <c r="AF43" s="266">
        <f t="shared" si="1"/>
        <v>6</v>
      </c>
      <c r="AG43" s="266">
        <v>2.0</v>
      </c>
      <c r="AH43" s="266">
        <v>1.0</v>
      </c>
      <c r="AI43" s="266" t="s">
        <v>166</v>
      </c>
      <c r="AJ43" s="266">
        <v>1.0</v>
      </c>
      <c r="AK43" s="48" t="s">
        <v>4959</v>
      </c>
      <c r="AL43" s="48">
        <v>1.0</v>
      </c>
      <c r="AM43" s="48" t="s">
        <v>166</v>
      </c>
      <c r="AN43" s="48" t="s">
        <v>166</v>
      </c>
      <c r="AO43" s="48" t="s">
        <v>166</v>
      </c>
      <c r="AP43" s="266" t="s">
        <v>166</v>
      </c>
      <c r="AQ43" s="266" t="s">
        <v>166</v>
      </c>
      <c r="AR43" s="48" t="s">
        <v>5039</v>
      </c>
      <c r="AS43" s="266" t="s">
        <v>166</v>
      </c>
      <c r="AT43" s="266">
        <v>3.0</v>
      </c>
      <c r="AU43" s="266">
        <v>2.0</v>
      </c>
      <c r="AV43" s="266" t="s">
        <v>166</v>
      </c>
      <c r="AW43" s="266">
        <v>1.0</v>
      </c>
      <c r="AX43" s="266" t="s">
        <v>166</v>
      </c>
      <c r="AY43" s="266">
        <v>1.0</v>
      </c>
      <c r="AZ43" s="266">
        <v>2.0</v>
      </c>
      <c r="BA43" s="266" t="s">
        <v>166</v>
      </c>
      <c r="BB43" s="266" t="s">
        <v>166</v>
      </c>
      <c r="BC43" s="266" t="s">
        <v>174</v>
      </c>
      <c r="BD43" s="266" t="s">
        <v>166</v>
      </c>
      <c r="BE43" s="48" t="s">
        <v>5495</v>
      </c>
      <c r="BF43" s="48" t="s">
        <v>4962</v>
      </c>
      <c r="BG43" s="48" t="s">
        <v>4963</v>
      </c>
      <c r="BH43" s="48">
        <v>4.0</v>
      </c>
      <c r="BI43" s="698" t="s">
        <v>5496</v>
      </c>
      <c r="BJ43" s="698"/>
      <c r="BK43" s="394"/>
      <c r="BL43" s="394"/>
      <c r="BM43" s="394"/>
      <c r="BN43" s="394"/>
      <c r="BO43" s="394"/>
      <c r="BP43" s="394"/>
    </row>
    <row r="44">
      <c r="A44" s="266" t="s">
        <v>1664</v>
      </c>
      <c r="B44" s="266" t="s">
        <v>4946</v>
      </c>
      <c r="C44" s="266" t="s">
        <v>5004</v>
      </c>
      <c r="D44" s="452" t="str">
        <f t="shared" si="9"/>
        <v>MSI</v>
      </c>
      <c r="E44" s="174" t="s">
        <v>5500</v>
      </c>
      <c r="F44" s="266">
        <v>236.0</v>
      </c>
      <c r="G44" s="266">
        <v>200.0</v>
      </c>
      <c r="H44" s="266">
        <v>3.0</v>
      </c>
      <c r="I44" s="266" t="s">
        <v>166</v>
      </c>
      <c r="J44" s="266">
        <v>1.0</v>
      </c>
      <c r="K44" s="266" t="s">
        <v>166</v>
      </c>
      <c r="L44" s="266" t="s">
        <v>166</v>
      </c>
      <c r="M44" s="266">
        <v>1.0</v>
      </c>
      <c r="N44" s="266" t="s">
        <v>166</v>
      </c>
      <c r="O44" s="266" t="s">
        <v>174</v>
      </c>
      <c r="P44" s="266" t="s">
        <v>166</v>
      </c>
      <c r="Q44" s="266" t="s">
        <v>166</v>
      </c>
      <c r="R44" s="266">
        <v>2.0</v>
      </c>
      <c r="S44" s="266" t="s">
        <v>3149</v>
      </c>
      <c r="T44" s="266">
        <v>64.0</v>
      </c>
      <c r="U44" s="266" t="s">
        <v>5047</v>
      </c>
      <c r="V44" s="266">
        <v>4.0</v>
      </c>
      <c r="W44" s="710" t="s">
        <v>4950</v>
      </c>
      <c r="X44" s="266">
        <v>2.0</v>
      </c>
      <c r="Y44" s="266">
        <v>4.0</v>
      </c>
      <c r="Z44" s="266" t="s">
        <v>166</v>
      </c>
      <c r="AA44" s="266" t="s">
        <v>166</v>
      </c>
      <c r="AB44" s="266" t="s">
        <v>166</v>
      </c>
      <c r="AC44" s="266" t="s">
        <v>166</v>
      </c>
      <c r="AD44" s="266" t="s">
        <v>166</v>
      </c>
      <c r="AE44" s="266" t="s">
        <v>166</v>
      </c>
      <c r="AF44" s="266">
        <f t="shared" si="1"/>
        <v>6</v>
      </c>
      <c r="AG44" s="266">
        <v>2.0</v>
      </c>
      <c r="AH44" s="266">
        <v>1.0</v>
      </c>
      <c r="AI44" s="266" t="s">
        <v>166</v>
      </c>
      <c r="AJ44" s="266">
        <v>1.0</v>
      </c>
      <c r="AK44" s="48" t="s">
        <v>4959</v>
      </c>
      <c r="AL44" s="48">
        <v>1.0</v>
      </c>
      <c r="AM44" s="48" t="s">
        <v>166</v>
      </c>
      <c r="AN44" s="48" t="s">
        <v>166</v>
      </c>
      <c r="AO44" s="48" t="s">
        <v>166</v>
      </c>
      <c r="AP44" s="266" t="s">
        <v>166</v>
      </c>
      <c r="AQ44" s="266" t="s">
        <v>166</v>
      </c>
      <c r="AR44" s="48" t="s">
        <v>5039</v>
      </c>
      <c r="AS44" s="266" t="s">
        <v>166</v>
      </c>
      <c r="AT44" s="266">
        <v>3.0</v>
      </c>
      <c r="AU44" s="266">
        <v>2.0</v>
      </c>
      <c r="AV44" s="266" t="s">
        <v>166</v>
      </c>
      <c r="AW44" s="266">
        <v>1.0</v>
      </c>
      <c r="AX44" s="266">
        <v>1.0</v>
      </c>
      <c r="AY44" s="266" t="s">
        <v>166</v>
      </c>
      <c r="AZ44" s="266">
        <v>2.0</v>
      </c>
      <c r="BA44" s="266" t="s">
        <v>166</v>
      </c>
      <c r="BB44" s="266" t="s">
        <v>166</v>
      </c>
      <c r="BC44" s="266" t="s">
        <v>174</v>
      </c>
      <c r="BD44" s="266" t="s">
        <v>166</v>
      </c>
      <c r="BE44" s="48" t="s">
        <v>5495</v>
      </c>
      <c r="BF44" s="48" t="s">
        <v>4962</v>
      </c>
      <c r="BG44" s="48" t="s">
        <v>4963</v>
      </c>
      <c r="BH44" s="48">
        <v>4.0</v>
      </c>
      <c r="BI44" s="698" t="s">
        <v>5496</v>
      </c>
      <c r="BJ44" s="698"/>
      <c r="BK44" s="394"/>
      <c r="BL44" s="394"/>
      <c r="BM44" s="394"/>
      <c r="BN44" s="394"/>
      <c r="BO44" s="394"/>
      <c r="BP44" s="394"/>
    </row>
    <row r="45">
      <c r="A45" s="266" t="s">
        <v>1664</v>
      </c>
      <c r="B45" s="266" t="s">
        <v>4946</v>
      </c>
      <c r="C45" s="266" t="s">
        <v>5004</v>
      </c>
      <c r="D45" s="452" t="str">
        <f t="shared" si="9"/>
        <v>MSI</v>
      </c>
      <c r="E45" s="737" t="s">
        <v>5501</v>
      </c>
      <c r="F45" s="527">
        <v>244.0</v>
      </c>
      <c r="G45" s="527">
        <v>244.0</v>
      </c>
      <c r="H45" s="266">
        <v>3.0</v>
      </c>
      <c r="I45" s="266" t="s">
        <v>166</v>
      </c>
      <c r="J45" s="266">
        <v>2.0</v>
      </c>
      <c r="K45" s="266" t="s">
        <v>166</v>
      </c>
      <c r="L45" s="266" t="s">
        <v>166</v>
      </c>
      <c r="M45" s="266">
        <v>1.0</v>
      </c>
      <c r="N45" s="266" t="s">
        <v>166</v>
      </c>
      <c r="O45" s="266" t="s">
        <v>174</v>
      </c>
      <c r="P45" s="527" t="s">
        <v>174</v>
      </c>
      <c r="Q45" s="527" t="s">
        <v>166</v>
      </c>
      <c r="R45" s="527">
        <v>4.0</v>
      </c>
      <c r="S45" s="266" t="s">
        <v>3149</v>
      </c>
      <c r="T45" s="527">
        <v>128.0</v>
      </c>
      <c r="U45" s="266" t="s">
        <v>5213</v>
      </c>
      <c r="V45" s="266">
        <v>4.0</v>
      </c>
      <c r="W45" s="710" t="s">
        <v>4950</v>
      </c>
      <c r="X45" s="266">
        <v>2.0</v>
      </c>
      <c r="Y45" s="266">
        <v>4.0</v>
      </c>
      <c r="Z45" s="266" t="s">
        <v>166</v>
      </c>
      <c r="AA45" s="266" t="s">
        <v>166</v>
      </c>
      <c r="AB45" s="266" t="s">
        <v>166</v>
      </c>
      <c r="AC45" s="266" t="s">
        <v>166</v>
      </c>
      <c r="AD45" s="266" t="s">
        <v>166</v>
      </c>
      <c r="AE45" s="266" t="s">
        <v>166</v>
      </c>
      <c r="AF45" s="266">
        <f t="shared" si="1"/>
        <v>6</v>
      </c>
      <c r="AG45" s="527">
        <v>2.0</v>
      </c>
      <c r="AH45" s="527">
        <v>1.0</v>
      </c>
      <c r="AI45" s="527" t="s">
        <v>166</v>
      </c>
      <c r="AJ45" s="266">
        <v>1.0</v>
      </c>
      <c r="AK45" s="48" t="s">
        <v>4959</v>
      </c>
      <c r="AL45" s="48">
        <v>1.0</v>
      </c>
      <c r="AM45" s="705">
        <v>1.0</v>
      </c>
      <c r="AN45" s="48" t="s">
        <v>4966</v>
      </c>
      <c r="AO45" s="48" t="s">
        <v>4967</v>
      </c>
      <c r="AP45" s="507">
        <v>433.0</v>
      </c>
      <c r="AQ45" s="507">
        <v>4.2</v>
      </c>
      <c r="AR45" s="48" t="s">
        <v>5039</v>
      </c>
      <c r="AS45" s="527" t="s">
        <v>166</v>
      </c>
      <c r="AT45" s="527">
        <v>3.0</v>
      </c>
      <c r="AU45" s="527">
        <v>1.0</v>
      </c>
      <c r="AV45" s="266">
        <v>1.0</v>
      </c>
      <c r="AW45" s="266">
        <v>1.0</v>
      </c>
      <c r="AX45" s="527" t="s">
        <v>166</v>
      </c>
      <c r="AY45" s="527" t="s">
        <v>166</v>
      </c>
      <c r="AZ45" s="527">
        <v>3.0</v>
      </c>
      <c r="BA45" s="527">
        <v>1.0</v>
      </c>
      <c r="BB45" s="527">
        <v>1.0</v>
      </c>
      <c r="BC45" s="527" t="s">
        <v>174</v>
      </c>
      <c r="BD45" s="527" t="s">
        <v>166</v>
      </c>
      <c r="BE45" s="48" t="s">
        <v>5495</v>
      </c>
      <c r="BF45" s="48" t="s">
        <v>4962</v>
      </c>
      <c r="BG45" s="48" t="s">
        <v>4963</v>
      </c>
      <c r="BH45" s="48">
        <v>4.0</v>
      </c>
      <c r="BI45" s="698" t="s">
        <v>5496</v>
      </c>
      <c r="BJ45" s="725"/>
      <c r="BK45" s="394"/>
      <c r="BL45" s="394"/>
      <c r="BM45" s="394"/>
      <c r="BN45" s="394"/>
      <c r="BO45" s="394"/>
      <c r="BP45" s="394"/>
    </row>
    <row r="46">
      <c r="A46" s="501" t="s">
        <v>1664</v>
      </c>
      <c r="B46" s="501" t="s">
        <v>4946</v>
      </c>
      <c r="C46" s="501" t="s">
        <v>5004</v>
      </c>
      <c r="D46" s="500" t="str">
        <f t="shared" si="9"/>
        <v>MSI</v>
      </c>
      <c r="E46" s="291" t="s">
        <v>5502</v>
      </c>
      <c r="F46" s="501">
        <v>244.0</v>
      </c>
      <c r="G46" s="501">
        <v>210.0</v>
      </c>
      <c r="H46" s="501">
        <v>3.0</v>
      </c>
      <c r="I46" s="501" t="s">
        <v>166</v>
      </c>
      <c r="J46" s="501">
        <v>2.0</v>
      </c>
      <c r="K46" s="501" t="s">
        <v>166</v>
      </c>
      <c r="L46" s="501" t="s">
        <v>166</v>
      </c>
      <c r="M46" s="501">
        <v>1.0</v>
      </c>
      <c r="N46" s="501" t="s">
        <v>166</v>
      </c>
      <c r="O46" s="501" t="s">
        <v>174</v>
      </c>
      <c r="P46" s="501" t="s">
        <v>166</v>
      </c>
      <c r="Q46" s="501" t="s">
        <v>166</v>
      </c>
      <c r="R46" s="501">
        <v>2.0</v>
      </c>
      <c r="S46" s="501" t="s">
        <v>3149</v>
      </c>
      <c r="T46" s="501">
        <v>64.0</v>
      </c>
      <c r="U46" s="501" t="s">
        <v>5047</v>
      </c>
      <c r="V46" s="501">
        <v>4.0</v>
      </c>
      <c r="W46" s="701" t="s">
        <v>4950</v>
      </c>
      <c r="X46" s="501">
        <v>2.0</v>
      </c>
      <c r="Y46" s="501">
        <v>4.0</v>
      </c>
      <c r="Z46" s="501" t="s">
        <v>166</v>
      </c>
      <c r="AA46" s="501" t="s">
        <v>166</v>
      </c>
      <c r="AB46" s="501" t="s">
        <v>166</v>
      </c>
      <c r="AC46" s="501" t="s">
        <v>166</v>
      </c>
      <c r="AD46" s="501" t="s">
        <v>166</v>
      </c>
      <c r="AE46" s="501" t="s">
        <v>166</v>
      </c>
      <c r="AF46" s="501">
        <f t="shared" si="1"/>
        <v>6</v>
      </c>
      <c r="AG46" s="501">
        <v>2.0</v>
      </c>
      <c r="AH46" s="501">
        <v>1.0</v>
      </c>
      <c r="AI46" s="501" t="s">
        <v>166</v>
      </c>
      <c r="AJ46" s="501">
        <v>1.0</v>
      </c>
      <c r="AK46" s="700" t="s">
        <v>4959</v>
      </c>
      <c r="AL46" s="700">
        <v>1.0</v>
      </c>
      <c r="AM46" s="700">
        <v>1.0</v>
      </c>
      <c r="AN46" s="700" t="s">
        <v>4966</v>
      </c>
      <c r="AO46" s="700" t="s">
        <v>4967</v>
      </c>
      <c r="AP46" s="501">
        <v>433.0</v>
      </c>
      <c r="AQ46" s="501">
        <v>4.2</v>
      </c>
      <c r="AR46" s="700" t="s">
        <v>5039</v>
      </c>
      <c r="AS46" s="501" t="s">
        <v>166</v>
      </c>
      <c r="AT46" s="501">
        <v>3.0</v>
      </c>
      <c r="AU46" s="501">
        <v>1.0</v>
      </c>
      <c r="AV46" s="501">
        <v>1.0</v>
      </c>
      <c r="AW46" s="501">
        <v>1.0</v>
      </c>
      <c r="AX46" s="501" t="s">
        <v>166</v>
      </c>
      <c r="AY46" s="501" t="s">
        <v>166</v>
      </c>
      <c r="AZ46" s="501">
        <v>2.0</v>
      </c>
      <c r="BA46" s="501">
        <v>1.0</v>
      </c>
      <c r="BB46" s="501">
        <v>1.0</v>
      </c>
      <c r="BC46" s="501" t="s">
        <v>174</v>
      </c>
      <c r="BD46" s="501" t="s">
        <v>166</v>
      </c>
      <c r="BE46" s="700" t="s">
        <v>5495</v>
      </c>
      <c r="BF46" s="700" t="s">
        <v>4962</v>
      </c>
      <c r="BG46" s="700" t="s">
        <v>4963</v>
      </c>
      <c r="BH46" s="700">
        <v>4.0</v>
      </c>
      <c r="BI46" s="703" t="s">
        <v>5496</v>
      </c>
      <c r="BJ46" s="703"/>
      <c r="BK46" s="394"/>
      <c r="BL46" s="394"/>
      <c r="BM46" s="394"/>
      <c r="BN46" s="394"/>
      <c r="BO46" s="394"/>
      <c r="BP46" s="394"/>
    </row>
    <row r="47">
      <c r="A47" s="507" t="s">
        <v>1664</v>
      </c>
      <c r="B47" s="507" t="s">
        <v>4946</v>
      </c>
      <c r="C47" s="507" t="s">
        <v>5019</v>
      </c>
      <c r="D47" s="506" t="s">
        <v>169</v>
      </c>
      <c r="E47" s="734" t="s">
        <v>5503</v>
      </c>
      <c r="F47" s="507">
        <v>230.0</v>
      </c>
      <c r="G47" s="507">
        <v>201.0</v>
      </c>
      <c r="H47" s="507">
        <v>4.0</v>
      </c>
      <c r="I47" s="507" t="s">
        <v>166</v>
      </c>
      <c r="J47" s="507">
        <v>1.0</v>
      </c>
      <c r="K47" s="507" t="s">
        <v>166</v>
      </c>
      <c r="L47" s="507" t="s">
        <v>166</v>
      </c>
      <c r="M47" s="507">
        <v>1.0</v>
      </c>
      <c r="N47" s="507" t="s">
        <v>174</v>
      </c>
      <c r="O47" s="507" t="s">
        <v>174</v>
      </c>
      <c r="P47" s="507" t="s">
        <v>166</v>
      </c>
      <c r="Q47" s="507" t="s">
        <v>166</v>
      </c>
      <c r="R47" s="507">
        <v>2.0</v>
      </c>
      <c r="S47" s="507" t="s">
        <v>3149</v>
      </c>
      <c r="T47" s="507">
        <v>64.0</v>
      </c>
      <c r="U47" s="507" t="s">
        <v>5006</v>
      </c>
      <c r="V47" s="507">
        <v>4.0</v>
      </c>
      <c r="W47" s="710" t="s">
        <v>4950</v>
      </c>
      <c r="X47" s="507">
        <v>2.0</v>
      </c>
      <c r="Y47" s="507">
        <v>4.0</v>
      </c>
      <c r="Z47" s="507" t="s">
        <v>166</v>
      </c>
      <c r="AA47" s="507" t="s">
        <v>166</v>
      </c>
      <c r="AB47" s="507" t="s">
        <v>166</v>
      </c>
      <c r="AC47" s="507" t="s">
        <v>166</v>
      </c>
      <c r="AD47" s="507" t="s">
        <v>166</v>
      </c>
      <c r="AE47" s="507" t="s">
        <v>166</v>
      </c>
      <c r="AF47" s="507">
        <f t="shared" si="1"/>
        <v>6</v>
      </c>
      <c r="AG47" s="507">
        <v>2.0</v>
      </c>
      <c r="AH47" s="507">
        <v>1.0</v>
      </c>
      <c r="AI47" s="507" t="s">
        <v>166</v>
      </c>
      <c r="AJ47" s="507">
        <v>1.0</v>
      </c>
      <c r="AK47" s="705" t="s">
        <v>4959</v>
      </c>
      <c r="AL47" s="705">
        <v>1.0</v>
      </c>
      <c r="AM47" s="705" t="s">
        <v>166</v>
      </c>
      <c r="AN47" s="705" t="s">
        <v>166</v>
      </c>
      <c r="AO47" s="705" t="s">
        <v>166</v>
      </c>
      <c r="AP47" s="507" t="s">
        <v>166</v>
      </c>
      <c r="AQ47" s="507" t="s">
        <v>166</v>
      </c>
      <c r="AR47" s="705" t="s">
        <v>4960</v>
      </c>
      <c r="AS47" s="507" t="s">
        <v>166</v>
      </c>
      <c r="AT47" s="507">
        <v>3.0</v>
      </c>
      <c r="AU47" s="507">
        <v>1.0</v>
      </c>
      <c r="AV47" s="507" t="s">
        <v>166</v>
      </c>
      <c r="AW47" s="507">
        <v>1.0</v>
      </c>
      <c r="AX47" s="507">
        <v>1.0</v>
      </c>
      <c r="AY47" s="507">
        <v>1.0</v>
      </c>
      <c r="AZ47" s="507">
        <v>3.0</v>
      </c>
      <c r="BA47" s="507" t="s">
        <v>166</v>
      </c>
      <c r="BB47" s="507" t="s">
        <v>166</v>
      </c>
      <c r="BC47" s="507" t="s">
        <v>166</v>
      </c>
      <c r="BD47" s="507" t="s">
        <v>166</v>
      </c>
      <c r="BE47" s="705" t="s">
        <v>5466</v>
      </c>
      <c r="BF47" s="705" t="s">
        <v>4962</v>
      </c>
      <c r="BG47" s="705" t="s">
        <v>4963</v>
      </c>
      <c r="BH47" s="705">
        <v>4.0</v>
      </c>
      <c r="BI47" s="708" t="s">
        <v>5439</v>
      </c>
      <c r="BJ47" s="708"/>
      <c r="BK47" s="394"/>
      <c r="BL47" s="394"/>
      <c r="BM47" s="394"/>
      <c r="BN47" s="394"/>
      <c r="BO47" s="394"/>
      <c r="BP47" s="394"/>
    </row>
    <row r="48">
      <c r="A48" s="266" t="s">
        <v>1664</v>
      </c>
      <c r="B48" s="266" t="s">
        <v>4946</v>
      </c>
      <c r="C48" s="266" t="s">
        <v>5019</v>
      </c>
      <c r="D48" s="506" t="s">
        <v>169</v>
      </c>
      <c r="E48" s="282" t="s">
        <v>5504</v>
      </c>
      <c r="F48" s="507">
        <v>244.0</v>
      </c>
      <c r="G48" s="507">
        <v>244.0</v>
      </c>
      <c r="H48" s="507">
        <v>4.0</v>
      </c>
      <c r="I48" s="507" t="s">
        <v>166</v>
      </c>
      <c r="J48" s="507">
        <v>1.0</v>
      </c>
      <c r="K48" s="507" t="s">
        <v>166</v>
      </c>
      <c r="L48" s="507" t="s">
        <v>166</v>
      </c>
      <c r="M48" s="507">
        <v>2.0</v>
      </c>
      <c r="N48" s="507" t="s">
        <v>174</v>
      </c>
      <c r="O48" s="507" t="s">
        <v>174</v>
      </c>
      <c r="P48" s="507" t="s">
        <v>166</v>
      </c>
      <c r="Q48" s="507" t="s">
        <v>166</v>
      </c>
      <c r="R48" s="507">
        <v>4.0</v>
      </c>
      <c r="S48" s="266" t="s">
        <v>3149</v>
      </c>
      <c r="T48" s="507">
        <v>128.0</v>
      </c>
      <c r="U48" s="507" t="s">
        <v>5006</v>
      </c>
      <c r="V48" s="507">
        <v>4.0</v>
      </c>
      <c r="W48" s="711" t="s">
        <v>5062</v>
      </c>
      <c r="X48" s="507">
        <v>2.0</v>
      </c>
      <c r="Y48" s="507">
        <v>4.0</v>
      </c>
      <c r="Z48" s="507" t="s">
        <v>166</v>
      </c>
      <c r="AA48" s="507" t="s">
        <v>166</v>
      </c>
      <c r="AB48" s="507" t="s">
        <v>166</v>
      </c>
      <c r="AC48" s="507" t="s">
        <v>166</v>
      </c>
      <c r="AD48" s="507" t="s">
        <v>166</v>
      </c>
      <c r="AE48" s="507" t="s">
        <v>166</v>
      </c>
      <c r="AF48" s="266">
        <f t="shared" si="1"/>
        <v>6</v>
      </c>
      <c r="AG48" s="507">
        <v>2.0</v>
      </c>
      <c r="AH48" s="507">
        <v>2.0</v>
      </c>
      <c r="AI48" s="507" t="s">
        <v>166</v>
      </c>
      <c r="AJ48" s="507">
        <v>1.0</v>
      </c>
      <c r="AK48" s="705" t="s">
        <v>4959</v>
      </c>
      <c r="AL48" s="705">
        <v>1.0</v>
      </c>
      <c r="AM48" s="705">
        <v>1.0</v>
      </c>
      <c r="AN48" s="48" t="s">
        <v>4966</v>
      </c>
      <c r="AO48" s="705" t="s">
        <v>170</v>
      </c>
      <c r="AP48" s="507">
        <v>433.0</v>
      </c>
      <c r="AQ48" s="507">
        <v>4.2</v>
      </c>
      <c r="AR48" s="705" t="s">
        <v>5050</v>
      </c>
      <c r="AS48" s="507" t="s">
        <v>166</v>
      </c>
      <c r="AT48" s="507">
        <v>3.0</v>
      </c>
      <c r="AU48" s="507">
        <v>1.0</v>
      </c>
      <c r="AV48" s="507" t="s">
        <v>166</v>
      </c>
      <c r="AW48" s="266">
        <v>1.0</v>
      </c>
      <c r="AX48" s="507" t="s">
        <v>166</v>
      </c>
      <c r="AY48" s="507" t="s">
        <v>166</v>
      </c>
      <c r="AZ48" s="507">
        <v>4.0</v>
      </c>
      <c r="BA48" s="507">
        <v>2.0</v>
      </c>
      <c r="BB48" s="507">
        <v>2.0</v>
      </c>
      <c r="BC48" s="507" t="s">
        <v>174</v>
      </c>
      <c r="BD48" s="507" t="s">
        <v>166</v>
      </c>
      <c r="BE48" s="705" t="s">
        <v>5007</v>
      </c>
      <c r="BF48" s="705" t="s">
        <v>5034</v>
      </c>
      <c r="BG48" s="705" t="s">
        <v>4955</v>
      </c>
      <c r="BH48" s="705">
        <v>8.0</v>
      </c>
      <c r="BI48" s="708" t="s">
        <v>5009</v>
      </c>
      <c r="BJ48" s="708"/>
      <c r="BK48" s="394"/>
      <c r="BL48" s="394"/>
      <c r="BM48" s="394"/>
      <c r="BN48" s="394"/>
      <c r="BO48" s="394"/>
      <c r="BP48" s="394"/>
    </row>
    <row r="49">
      <c r="A49" s="266" t="s">
        <v>1664</v>
      </c>
      <c r="B49" s="266" t="s">
        <v>4946</v>
      </c>
      <c r="C49" s="266" t="s">
        <v>5019</v>
      </c>
      <c r="D49" s="506" t="s">
        <v>169</v>
      </c>
      <c r="E49" s="282" t="s">
        <v>5505</v>
      </c>
      <c r="F49" s="507">
        <v>244.0</v>
      </c>
      <c r="G49" s="507">
        <v>244.0</v>
      </c>
      <c r="H49" s="507">
        <v>4.0</v>
      </c>
      <c r="I49" s="507" t="s">
        <v>166</v>
      </c>
      <c r="J49" s="507">
        <v>1.0</v>
      </c>
      <c r="K49" s="507" t="s">
        <v>166</v>
      </c>
      <c r="L49" s="507" t="s">
        <v>166</v>
      </c>
      <c r="M49" s="507">
        <v>2.0</v>
      </c>
      <c r="N49" s="507" t="s">
        <v>174</v>
      </c>
      <c r="O49" s="507" t="s">
        <v>174</v>
      </c>
      <c r="P49" s="507" t="s">
        <v>166</v>
      </c>
      <c r="Q49" s="507" t="s">
        <v>166</v>
      </c>
      <c r="R49" s="507">
        <v>4.0</v>
      </c>
      <c r="S49" s="266" t="s">
        <v>3149</v>
      </c>
      <c r="T49" s="507">
        <v>128.0</v>
      </c>
      <c r="U49" s="507" t="s">
        <v>5006</v>
      </c>
      <c r="V49" s="507">
        <v>4.0</v>
      </c>
      <c r="W49" s="710" t="s">
        <v>5305</v>
      </c>
      <c r="X49" s="507">
        <v>2.0</v>
      </c>
      <c r="Y49" s="507">
        <v>4.0</v>
      </c>
      <c r="Z49" s="507" t="s">
        <v>166</v>
      </c>
      <c r="AA49" s="507" t="s">
        <v>166</v>
      </c>
      <c r="AB49" s="507" t="s">
        <v>166</v>
      </c>
      <c r="AC49" s="507" t="s">
        <v>166</v>
      </c>
      <c r="AD49" s="507" t="s">
        <v>166</v>
      </c>
      <c r="AE49" s="507" t="s">
        <v>166</v>
      </c>
      <c r="AF49" s="266">
        <f t="shared" si="1"/>
        <v>6</v>
      </c>
      <c r="AG49" s="507">
        <v>2.0</v>
      </c>
      <c r="AH49" s="507">
        <v>2.0</v>
      </c>
      <c r="AI49" s="507" t="s">
        <v>166</v>
      </c>
      <c r="AJ49" s="507">
        <v>1.0</v>
      </c>
      <c r="AK49" s="705" t="s">
        <v>4959</v>
      </c>
      <c r="AL49" s="705">
        <v>1.0</v>
      </c>
      <c r="AM49" s="705" t="s">
        <v>166</v>
      </c>
      <c r="AN49" s="705" t="s">
        <v>166</v>
      </c>
      <c r="AO49" s="705" t="s">
        <v>166</v>
      </c>
      <c r="AP49" s="507" t="s">
        <v>166</v>
      </c>
      <c r="AQ49" s="507" t="s">
        <v>166</v>
      </c>
      <c r="AR49" s="705" t="s">
        <v>5039</v>
      </c>
      <c r="AS49" s="507" t="s">
        <v>166</v>
      </c>
      <c r="AT49" s="507">
        <v>3.0</v>
      </c>
      <c r="AU49" s="507">
        <v>1.0</v>
      </c>
      <c r="AV49" s="507">
        <v>1.0</v>
      </c>
      <c r="AW49" s="266">
        <v>1.0</v>
      </c>
      <c r="AX49" s="507" t="s">
        <v>166</v>
      </c>
      <c r="AY49" s="507" t="s">
        <v>166</v>
      </c>
      <c r="AZ49" s="507">
        <v>4.0</v>
      </c>
      <c r="BA49" s="507">
        <v>2.0</v>
      </c>
      <c r="BB49" s="507">
        <v>2.0</v>
      </c>
      <c r="BC49" s="507" t="s">
        <v>166</v>
      </c>
      <c r="BD49" s="507" t="s">
        <v>166</v>
      </c>
      <c r="BE49" s="705" t="s">
        <v>5007</v>
      </c>
      <c r="BF49" s="705" t="s">
        <v>5034</v>
      </c>
      <c r="BG49" s="705" t="s">
        <v>4955</v>
      </c>
      <c r="BH49" s="705">
        <v>8.0</v>
      </c>
      <c r="BI49" s="708" t="s">
        <v>5009</v>
      </c>
      <c r="BJ49" s="708"/>
      <c r="BK49" s="394"/>
      <c r="BL49" s="394"/>
      <c r="BM49" s="394"/>
      <c r="BN49" s="394"/>
      <c r="BO49" s="394"/>
      <c r="BP49" s="394"/>
    </row>
    <row r="50">
      <c r="A50" s="266" t="s">
        <v>1664</v>
      </c>
      <c r="B50" s="266" t="s">
        <v>4946</v>
      </c>
      <c r="C50" s="266" t="s">
        <v>5019</v>
      </c>
      <c r="D50" s="506" t="s">
        <v>169</v>
      </c>
      <c r="E50" s="282" t="s">
        <v>5506</v>
      </c>
      <c r="F50" s="507">
        <v>244.0</v>
      </c>
      <c r="G50" s="507">
        <v>244.0</v>
      </c>
      <c r="H50" s="507">
        <v>4.0</v>
      </c>
      <c r="I50" s="507" t="s">
        <v>166</v>
      </c>
      <c r="J50" s="507">
        <v>1.0</v>
      </c>
      <c r="K50" s="507" t="s">
        <v>166</v>
      </c>
      <c r="L50" s="507" t="s">
        <v>166</v>
      </c>
      <c r="M50" s="507">
        <v>2.0</v>
      </c>
      <c r="N50" s="507" t="s">
        <v>174</v>
      </c>
      <c r="O50" s="507" t="s">
        <v>174</v>
      </c>
      <c r="P50" s="507" t="s">
        <v>166</v>
      </c>
      <c r="Q50" s="507" t="s">
        <v>166</v>
      </c>
      <c r="R50" s="507">
        <v>4.0</v>
      </c>
      <c r="S50" s="266" t="s">
        <v>3149</v>
      </c>
      <c r="T50" s="507">
        <v>128.0</v>
      </c>
      <c r="U50" s="507" t="s">
        <v>5006</v>
      </c>
      <c r="V50" s="507">
        <v>4.0</v>
      </c>
      <c r="W50" s="710" t="s">
        <v>5305</v>
      </c>
      <c r="X50" s="507">
        <v>2.0</v>
      </c>
      <c r="Y50" s="507">
        <v>4.0</v>
      </c>
      <c r="Z50" s="507" t="s">
        <v>166</v>
      </c>
      <c r="AA50" s="507">
        <v>1.0</v>
      </c>
      <c r="AB50" s="507">
        <v>1.0</v>
      </c>
      <c r="AC50" s="507" t="s">
        <v>166</v>
      </c>
      <c r="AD50" s="507" t="s">
        <v>166</v>
      </c>
      <c r="AE50" s="507" t="s">
        <v>166</v>
      </c>
      <c r="AF50" s="266">
        <f t="shared" si="1"/>
        <v>8</v>
      </c>
      <c r="AG50" s="507">
        <v>2.0</v>
      </c>
      <c r="AH50" s="507">
        <v>1.0</v>
      </c>
      <c r="AI50" s="507" t="s">
        <v>5049</v>
      </c>
      <c r="AJ50" s="507">
        <v>1.0</v>
      </c>
      <c r="AK50" s="705" t="s">
        <v>4959</v>
      </c>
      <c r="AL50" s="705">
        <v>1.0</v>
      </c>
      <c r="AM50" s="705">
        <v>1.0</v>
      </c>
      <c r="AN50" s="705" t="s">
        <v>166</v>
      </c>
      <c r="AO50" s="705" t="s">
        <v>232</v>
      </c>
      <c r="AP50" s="507" t="s">
        <v>166</v>
      </c>
      <c r="AQ50" s="507" t="s">
        <v>166</v>
      </c>
      <c r="AR50" s="705" t="s">
        <v>5039</v>
      </c>
      <c r="AS50" s="507" t="s">
        <v>166</v>
      </c>
      <c r="AT50" s="507">
        <v>3.0</v>
      </c>
      <c r="AU50" s="507">
        <v>1.0</v>
      </c>
      <c r="AV50" s="507">
        <v>1.0</v>
      </c>
      <c r="AW50" s="266">
        <v>1.0</v>
      </c>
      <c r="AX50" s="507" t="s">
        <v>166</v>
      </c>
      <c r="AY50" s="507" t="s">
        <v>166</v>
      </c>
      <c r="AZ50" s="507">
        <v>6.0</v>
      </c>
      <c r="BA50" s="507">
        <v>2.0</v>
      </c>
      <c r="BB50" s="507">
        <v>2.0</v>
      </c>
      <c r="BC50" s="507" t="s">
        <v>174</v>
      </c>
      <c r="BD50" s="507" t="s">
        <v>166</v>
      </c>
      <c r="BE50" s="705" t="s">
        <v>5443</v>
      </c>
      <c r="BF50" s="705" t="s">
        <v>5034</v>
      </c>
      <c r="BG50" s="705" t="s">
        <v>4955</v>
      </c>
      <c r="BH50" s="705">
        <v>8.0</v>
      </c>
      <c r="BI50" s="708" t="s">
        <v>5009</v>
      </c>
      <c r="BJ50" s="708"/>
      <c r="BK50" s="394"/>
      <c r="BL50" s="394"/>
      <c r="BM50" s="394"/>
      <c r="BN50" s="394"/>
      <c r="BO50" s="394"/>
      <c r="BP50" s="394"/>
    </row>
    <row r="51">
      <c r="A51" s="266" t="s">
        <v>1664</v>
      </c>
      <c r="B51" s="266" t="s">
        <v>4946</v>
      </c>
      <c r="C51" s="266" t="s">
        <v>5019</v>
      </c>
      <c r="D51" s="506" t="s">
        <v>169</v>
      </c>
      <c r="E51" s="282" t="s">
        <v>5507</v>
      </c>
      <c r="F51" s="507">
        <v>244.0</v>
      </c>
      <c r="G51" s="507">
        <v>244.0</v>
      </c>
      <c r="H51" s="507">
        <v>4.0</v>
      </c>
      <c r="I51" s="507" t="s">
        <v>166</v>
      </c>
      <c r="J51" s="507">
        <v>1.0</v>
      </c>
      <c r="K51" s="507" t="s">
        <v>166</v>
      </c>
      <c r="L51" s="507" t="s">
        <v>166</v>
      </c>
      <c r="M51" s="507">
        <v>2.0</v>
      </c>
      <c r="N51" s="507" t="s">
        <v>174</v>
      </c>
      <c r="O51" s="507" t="s">
        <v>174</v>
      </c>
      <c r="P51" s="507" t="s">
        <v>166</v>
      </c>
      <c r="Q51" s="507" t="s">
        <v>166</v>
      </c>
      <c r="R51" s="507">
        <v>4.0</v>
      </c>
      <c r="S51" s="266" t="s">
        <v>3149</v>
      </c>
      <c r="T51" s="507">
        <v>128.0</v>
      </c>
      <c r="U51" s="507" t="s">
        <v>5006</v>
      </c>
      <c r="V51" s="507">
        <v>6.0</v>
      </c>
      <c r="W51" s="710" t="s">
        <v>5305</v>
      </c>
      <c r="X51" s="507">
        <v>2.0</v>
      </c>
      <c r="Y51" s="507">
        <v>4.0</v>
      </c>
      <c r="Z51" s="507" t="s">
        <v>166</v>
      </c>
      <c r="AA51" s="507">
        <v>1.0</v>
      </c>
      <c r="AB51" s="507">
        <v>1.0</v>
      </c>
      <c r="AC51" s="507" t="s">
        <v>166</v>
      </c>
      <c r="AD51" s="507" t="s">
        <v>166</v>
      </c>
      <c r="AE51" s="507" t="s">
        <v>166</v>
      </c>
      <c r="AF51" s="266">
        <f t="shared" si="1"/>
        <v>8</v>
      </c>
      <c r="AG51" s="507">
        <v>2.0</v>
      </c>
      <c r="AH51" s="507">
        <v>2.0</v>
      </c>
      <c r="AI51" s="507" t="s">
        <v>166</v>
      </c>
      <c r="AJ51" s="266">
        <v>1.0</v>
      </c>
      <c r="AK51" s="48" t="s">
        <v>5038</v>
      </c>
      <c r="AL51" s="48">
        <v>2.5</v>
      </c>
      <c r="AM51" s="705">
        <v>1.0</v>
      </c>
      <c r="AN51" s="705" t="s">
        <v>166</v>
      </c>
      <c r="AO51" s="705" t="s">
        <v>232</v>
      </c>
      <c r="AP51" s="507" t="s">
        <v>166</v>
      </c>
      <c r="AQ51" s="507" t="s">
        <v>166</v>
      </c>
      <c r="AR51" s="705" t="s">
        <v>5050</v>
      </c>
      <c r="AS51" s="507" t="s">
        <v>166</v>
      </c>
      <c r="AT51" s="507">
        <v>3.0</v>
      </c>
      <c r="AU51" s="507">
        <v>1.0</v>
      </c>
      <c r="AV51" s="507">
        <v>1.0</v>
      </c>
      <c r="AW51" s="266">
        <v>1.0</v>
      </c>
      <c r="AX51" s="507" t="s">
        <v>166</v>
      </c>
      <c r="AY51" s="507">
        <v>1.0</v>
      </c>
      <c r="AZ51" s="507">
        <v>6.0</v>
      </c>
      <c r="BA51" s="507">
        <v>2.0</v>
      </c>
      <c r="BB51" s="507">
        <v>2.0</v>
      </c>
      <c r="BC51" s="507" t="s">
        <v>174</v>
      </c>
      <c r="BD51" s="507" t="s">
        <v>166</v>
      </c>
      <c r="BE51" s="705" t="s">
        <v>5443</v>
      </c>
      <c r="BF51" s="705" t="s">
        <v>4954</v>
      </c>
      <c r="BG51" s="705" t="s">
        <v>4955</v>
      </c>
      <c r="BH51" s="705">
        <v>6.0</v>
      </c>
      <c r="BI51" s="708" t="s">
        <v>5439</v>
      </c>
      <c r="BJ51" s="708"/>
      <c r="BK51" s="394"/>
      <c r="BL51" s="394"/>
      <c r="BM51" s="394"/>
      <c r="BN51" s="394"/>
      <c r="BO51" s="394"/>
      <c r="BP51" s="394"/>
    </row>
    <row r="52">
      <c r="A52" s="266" t="s">
        <v>1664</v>
      </c>
      <c r="B52" s="266" t="s">
        <v>4946</v>
      </c>
      <c r="C52" s="266" t="s">
        <v>5019</v>
      </c>
      <c r="D52" s="506" t="s">
        <v>169</v>
      </c>
      <c r="E52" s="282" t="s">
        <v>5508</v>
      </c>
      <c r="F52" s="507">
        <v>244.0</v>
      </c>
      <c r="G52" s="507">
        <v>244.0</v>
      </c>
      <c r="H52" s="507">
        <v>4.0</v>
      </c>
      <c r="I52" s="507" t="s">
        <v>166</v>
      </c>
      <c r="J52" s="507">
        <v>1.0</v>
      </c>
      <c r="K52" s="507" t="s">
        <v>166</v>
      </c>
      <c r="L52" s="507" t="s">
        <v>166</v>
      </c>
      <c r="M52" s="507">
        <v>2.0</v>
      </c>
      <c r="N52" s="507" t="s">
        <v>174</v>
      </c>
      <c r="O52" s="507" t="s">
        <v>174</v>
      </c>
      <c r="P52" s="507" t="s">
        <v>166</v>
      </c>
      <c r="Q52" s="507" t="s">
        <v>174</v>
      </c>
      <c r="R52" s="507">
        <v>4.0</v>
      </c>
      <c r="S52" s="266" t="s">
        <v>3149</v>
      </c>
      <c r="T52" s="507">
        <v>128.0</v>
      </c>
      <c r="U52" s="507" t="s">
        <v>5006</v>
      </c>
      <c r="V52" s="507">
        <v>6.0</v>
      </c>
      <c r="W52" s="710" t="s">
        <v>5305</v>
      </c>
      <c r="X52" s="507">
        <v>2.0</v>
      </c>
      <c r="Y52" s="507">
        <v>4.0</v>
      </c>
      <c r="Z52" s="507" t="s">
        <v>166</v>
      </c>
      <c r="AA52" s="507">
        <v>1.0</v>
      </c>
      <c r="AB52" s="507">
        <v>1.0</v>
      </c>
      <c r="AC52" s="507" t="s">
        <v>166</v>
      </c>
      <c r="AD52" s="507" t="s">
        <v>166</v>
      </c>
      <c r="AE52" s="507" t="s">
        <v>166</v>
      </c>
      <c r="AF52" s="266">
        <f t="shared" si="1"/>
        <v>8</v>
      </c>
      <c r="AG52" s="507">
        <v>2.0</v>
      </c>
      <c r="AH52" s="507">
        <v>2.0</v>
      </c>
      <c r="AI52" s="507" t="s">
        <v>166</v>
      </c>
      <c r="AJ52" s="266">
        <v>1.0</v>
      </c>
      <c r="AK52" s="48" t="s">
        <v>5038</v>
      </c>
      <c r="AL52" s="48">
        <v>2.5</v>
      </c>
      <c r="AM52" s="705">
        <v>1.0</v>
      </c>
      <c r="AN52" s="705" t="s">
        <v>166</v>
      </c>
      <c r="AO52" s="705" t="s">
        <v>232</v>
      </c>
      <c r="AP52" s="507" t="s">
        <v>166</v>
      </c>
      <c r="AQ52" s="507" t="s">
        <v>166</v>
      </c>
      <c r="AR52" s="705" t="s">
        <v>5050</v>
      </c>
      <c r="AS52" s="507" t="s">
        <v>174</v>
      </c>
      <c r="AT52" s="507">
        <v>5.0</v>
      </c>
      <c r="AU52" s="507">
        <v>1.0</v>
      </c>
      <c r="AV52" s="507">
        <v>1.0</v>
      </c>
      <c r="AW52" s="266">
        <v>1.0</v>
      </c>
      <c r="AX52" s="507" t="s">
        <v>166</v>
      </c>
      <c r="AY52" s="507" t="s">
        <v>166</v>
      </c>
      <c r="AZ52" s="507">
        <v>6.0</v>
      </c>
      <c r="BA52" s="507">
        <v>2.0</v>
      </c>
      <c r="BB52" s="507">
        <v>2.0</v>
      </c>
      <c r="BC52" s="507" t="s">
        <v>174</v>
      </c>
      <c r="BD52" s="507" t="s">
        <v>174</v>
      </c>
      <c r="BE52" s="705" t="s">
        <v>5007</v>
      </c>
      <c r="BF52" s="705" t="s">
        <v>5034</v>
      </c>
      <c r="BG52" s="705" t="s">
        <v>4955</v>
      </c>
      <c r="BH52" s="705">
        <v>8.0</v>
      </c>
      <c r="BI52" s="708" t="s">
        <v>5009</v>
      </c>
      <c r="BJ52" s="708"/>
      <c r="BK52" s="394"/>
      <c r="BL52" s="394"/>
      <c r="BM52" s="394"/>
      <c r="BN52" s="394"/>
      <c r="BO52" s="394"/>
      <c r="BP52" s="394"/>
    </row>
    <row r="53">
      <c r="A53" s="266" t="s">
        <v>1664</v>
      </c>
      <c r="B53" s="266" t="s">
        <v>4946</v>
      </c>
      <c r="C53" s="266" t="s">
        <v>5019</v>
      </c>
      <c r="D53" s="506" t="s">
        <v>5067</v>
      </c>
      <c r="E53" s="282" t="s">
        <v>5509</v>
      </c>
      <c r="F53" s="507">
        <v>170.0</v>
      </c>
      <c r="G53" s="507">
        <v>208.0</v>
      </c>
      <c r="H53" s="507">
        <v>4.0</v>
      </c>
      <c r="I53" s="507" t="s">
        <v>166</v>
      </c>
      <c r="J53" s="507" t="s">
        <v>166</v>
      </c>
      <c r="K53" s="507" t="s">
        <v>166</v>
      </c>
      <c r="L53" s="507" t="s">
        <v>166</v>
      </c>
      <c r="M53" s="507">
        <v>1.0</v>
      </c>
      <c r="N53" s="507" t="s">
        <v>174</v>
      </c>
      <c r="O53" s="507" t="s">
        <v>174</v>
      </c>
      <c r="P53" s="507" t="s">
        <v>166</v>
      </c>
      <c r="Q53" s="507" t="s">
        <v>166</v>
      </c>
      <c r="R53" s="507">
        <v>4.0</v>
      </c>
      <c r="S53" s="266" t="s">
        <v>3149</v>
      </c>
      <c r="T53" s="507">
        <v>128.0</v>
      </c>
      <c r="U53" s="507">
        <v>3200.0</v>
      </c>
      <c r="V53" s="507">
        <v>8.0</v>
      </c>
      <c r="W53" s="710" t="s">
        <v>5269</v>
      </c>
      <c r="X53" s="507" t="s">
        <v>166</v>
      </c>
      <c r="Y53" s="507">
        <v>2.0</v>
      </c>
      <c r="Z53" s="507" t="s">
        <v>166</v>
      </c>
      <c r="AA53" s="507" t="s">
        <v>166</v>
      </c>
      <c r="AB53" s="507" t="s">
        <v>166</v>
      </c>
      <c r="AC53" s="507" t="s">
        <v>166</v>
      </c>
      <c r="AD53" s="507" t="s">
        <v>166</v>
      </c>
      <c r="AE53" s="507" t="s">
        <v>166</v>
      </c>
      <c r="AF53" s="266">
        <f t="shared" si="1"/>
        <v>2</v>
      </c>
      <c r="AG53" s="507" t="s">
        <v>166</v>
      </c>
      <c r="AH53" s="507">
        <v>1.0</v>
      </c>
      <c r="AI53" s="507" t="s">
        <v>166</v>
      </c>
      <c r="AJ53" s="507">
        <v>4.0</v>
      </c>
      <c r="AK53" s="705" t="s">
        <v>5510</v>
      </c>
      <c r="AL53" s="705" t="s">
        <v>5511</v>
      </c>
      <c r="AM53" s="705" t="s">
        <v>166</v>
      </c>
      <c r="AN53" s="705" t="s">
        <v>166</v>
      </c>
      <c r="AO53" s="705" t="s">
        <v>166</v>
      </c>
      <c r="AP53" s="507" t="s">
        <v>166</v>
      </c>
      <c r="AQ53" s="507" t="s">
        <v>166</v>
      </c>
      <c r="AR53" s="705" t="s">
        <v>166</v>
      </c>
      <c r="AS53" s="507" t="s">
        <v>166</v>
      </c>
      <c r="AT53" s="507" t="s">
        <v>166</v>
      </c>
      <c r="AU53" s="507" t="s">
        <v>166</v>
      </c>
      <c r="AV53" s="507" t="s">
        <v>166</v>
      </c>
      <c r="AW53" s="507">
        <v>1.0</v>
      </c>
      <c r="AX53" s="507" t="s">
        <v>166</v>
      </c>
      <c r="AY53" s="507">
        <v>1.0</v>
      </c>
      <c r="AZ53" s="507">
        <v>3.0</v>
      </c>
      <c r="BA53" s="507" t="s">
        <v>166</v>
      </c>
      <c r="BB53" s="507" t="s">
        <v>166</v>
      </c>
      <c r="BC53" s="507" t="s">
        <v>166</v>
      </c>
      <c r="BD53" s="507" t="s">
        <v>166</v>
      </c>
      <c r="BE53" s="705" t="s">
        <v>170</v>
      </c>
      <c r="BF53" s="705" t="s">
        <v>170</v>
      </c>
      <c r="BG53" s="705" t="s">
        <v>170</v>
      </c>
      <c r="BH53" s="705" t="s">
        <v>170</v>
      </c>
      <c r="BI53" s="708" t="s">
        <v>170</v>
      </c>
      <c r="BJ53" s="708" t="s">
        <v>5070</v>
      </c>
      <c r="BK53" s="394"/>
      <c r="BL53" s="394"/>
      <c r="BM53" s="394"/>
      <c r="BN53" s="394"/>
      <c r="BO53" s="394"/>
      <c r="BP53" s="394"/>
    </row>
    <row r="54">
      <c r="A54" s="266" t="s">
        <v>1664</v>
      </c>
      <c r="B54" s="266" t="s">
        <v>4946</v>
      </c>
      <c r="C54" s="266" t="s">
        <v>5019</v>
      </c>
      <c r="D54" s="506" t="s">
        <v>5067</v>
      </c>
      <c r="E54" s="282" t="s">
        <v>5512</v>
      </c>
      <c r="F54" s="507">
        <v>244.0</v>
      </c>
      <c r="G54" s="507">
        <v>244.0</v>
      </c>
      <c r="H54" s="507">
        <v>4.0</v>
      </c>
      <c r="I54" s="507" t="s">
        <v>166</v>
      </c>
      <c r="J54" s="507" t="s">
        <v>166</v>
      </c>
      <c r="K54" s="507">
        <v>1.0</v>
      </c>
      <c r="L54" s="507" t="s">
        <v>166</v>
      </c>
      <c r="M54" s="507">
        <v>1.0</v>
      </c>
      <c r="N54" s="507" t="s">
        <v>174</v>
      </c>
      <c r="O54" s="507" t="s">
        <v>174</v>
      </c>
      <c r="P54" s="507" t="s">
        <v>166</v>
      </c>
      <c r="Q54" s="507" t="s">
        <v>166</v>
      </c>
      <c r="R54" s="507">
        <v>4.0</v>
      </c>
      <c r="S54" s="266" t="s">
        <v>3149</v>
      </c>
      <c r="T54" s="507">
        <v>128.0</v>
      </c>
      <c r="U54" s="507">
        <v>3200.0</v>
      </c>
      <c r="V54" s="507">
        <v>5.0</v>
      </c>
      <c r="W54" s="710" t="s">
        <v>5305</v>
      </c>
      <c r="X54" s="507" t="s">
        <v>166</v>
      </c>
      <c r="Y54" s="507" t="s">
        <v>166</v>
      </c>
      <c r="Z54" s="507" t="s">
        <v>166</v>
      </c>
      <c r="AA54" s="507">
        <v>2.0</v>
      </c>
      <c r="AB54" s="507" t="s">
        <v>166</v>
      </c>
      <c r="AC54" s="507" t="s">
        <v>166</v>
      </c>
      <c r="AD54" s="507" t="s">
        <v>166</v>
      </c>
      <c r="AE54" s="507" t="s">
        <v>166</v>
      </c>
      <c r="AF54" s="266">
        <f t="shared" si="1"/>
        <v>2</v>
      </c>
      <c r="AG54" s="507" t="s">
        <v>166</v>
      </c>
      <c r="AH54" s="507">
        <v>1.0</v>
      </c>
      <c r="AI54" s="507" t="s">
        <v>166</v>
      </c>
      <c r="AJ54" s="507">
        <v>2.0</v>
      </c>
      <c r="AK54" s="705" t="s">
        <v>5513</v>
      </c>
      <c r="AL54" s="705">
        <v>1.0</v>
      </c>
      <c r="AM54" s="705" t="s">
        <v>166</v>
      </c>
      <c r="AN54" s="705" t="s">
        <v>166</v>
      </c>
      <c r="AO54" s="705" t="s">
        <v>166</v>
      </c>
      <c r="AP54" s="507" t="s">
        <v>166</v>
      </c>
      <c r="AQ54" s="507" t="s">
        <v>166</v>
      </c>
      <c r="AR54" s="705" t="s">
        <v>166</v>
      </c>
      <c r="AS54" s="507" t="s">
        <v>166</v>
      </c>
      <c r="AT54" s="507" t="s">
        <v>166</v>
      </c>
      <c r="AU54" s="507" t="s">
        <v>166</v>
      </c>
      <c r="AV54" s="507" t="s">
        <v>166</v>
      </c>
      <c r="AW54" s="507">
        <v>1.0</v>
      </c>
      <c r="AX54" s="507" t="s">
        <v>166</v>
      </c>
      <c r="AY54" s="507">
        <v>1.0</v>
      </c>
      <c r="AZ54" s="507">
        <v>6.0</v>
      </c>
      <c r="BA54" s="507" t="s">
        <v>166</v>
      </c>
      <c r="BB54" s="507" t="s">
        <v>166</v>
      </c>
      <c r="BC54" s="507" t="s">
        <v>166</v>
      </c>
      <c r="BD54" s="507" t="s">
        <v>166</v>
      </c>
      <c r="BE54" s="705" t="s">
        <v>170</v>
      </c>
      <c r="BF54" s="705" t="s">
        <v>170</v>
      </c>
      <c r="BG54" s="705" t="s">
        <v>170</v>
      </c>
      <c r="BH54" s="705" t="s">
        <v>170</v>
      </c>
      <c r="BI54" s="708" t="s">
        <v>170</v>
      </c>
      <c r="BJ54" s="708" t="s">
        <v>5514</v>
      </c>
      <c r="BK54" s="394"/>
      <c r="BL54" s="394"/>
      <c r="BM54" s="394"/>
      <c r="BN54" s="394"/>
      <c r="BO54" s="394"/>
      <c r="BP54" s="394"/>
    </row>
    <row r="55">
      <c r="A55" s="266" t="s">
        <v>1664</v>
      </c>
      <c r="B55" s="266" t="s">
        <v>4946</v>
      </c>
      <c r="C55" s="266" t="s">
        <v>5019</v>
      </c>
      <c r="D55" s="506" t="s">
        <v>5067</v>
      </c>
      <c r="E55" s="282" t="s">
        <v>5515</v>
      </c>
      <c r="F55" s="507">
        <v>244.0</v>
      </c>
      <c r="G55" s="507">
        <v>244.0</v>
      </c>
      <c r="H55" s="507">
        <v>4.0</v>
      </c>
      <c r="I55" s="507" t="s">
        <v>166</v>
      </c>
      <c r="J55" s="507" t="s">
        <v>166</v>
      </c>
      <c r="K55" s="507">
        <v>1.0</v>
      </c>
      <c r="L55" s="507" t="s">
        <v>166</v>
      </c>
      <c r="M55" s="507">
        <v>1.0</v>
      </c>
      <c r="N55" s="507" t="s">
        <v>174</v>
      </c>
      <c r="O55" s="507" t="s">
        <v>174</v>
      </c>
      <c r="P55" s="507" t="s">
        <v>166</v>
      </c>
      <c r="Q55" s="507" t="s">
        <v>166</v>
      </c>
      <c r="R55" s="507">
        <v>4.0</v>
      </c>
      <c r="S55" s="266" t="s">
        <v>3149</v>
      </c>
      <c r="T55" s="507">
        <v>128.0</v>
      </c>
      <c r="U55" s="507">
        <v>3200.0</v>
      </c>
      <c r="V55" s="507">
        <v>5.0</v>
      </c>
      <c r="W55" s="710" t="s">
        <v>4950</v>
      </c>
      <c r="X55" s="507" t="s">
        <v>166</v>
      </c>
      <c r="Y55" s="507">
        <v>2.0</v>
      </c>
      <c r="Z55" s="507" t="s">
        <v>166</v>
      </c>
      <c r="AA55" s="507" t="s">
        <v>166</v>
      </c>
      <c r="AB55" s="507" t="s">
        <v>166</v>
      </c>
      <c r="AC55" s="507" t="s">
        <v>166</v>
      </c>
      <c r="AD55" s="507" t="s">
        <v>166</v>
      </c>
      <c r="AE55" s="507" t="s">
        <v>166</v>
      </c>
      <c r="AF55" s="266">
        <f t="shared" si="1"/>
        <v>2</v>
      </c>
      <c r="AG55" s="507" t="s">
        <v>166</v>
      </c>
      <c r="AH55" s="507">
        <v>1.0</v>
      </c>
      <c r="AI55" s="507" t="s">
        <v>166</v>
      </c>
      <c r="AJ55" s="507">
        <v>2.0</v>
      </c>
      <c r="AK55" s="705" t="s">
        <v>5516</v>
      </c>
      <c r="AL55" s="705">
        <v>10.0</v>
      </c>
      <c r="AM55" s="705" t="s">
        <v>166</v>
      </c>
      <c r="AN55" s="705" t="s">
        <v>166</v>
      </c>
      <c r="AO55" s="705" t="s">
        <v>166</v>
      </c>
      <c r="AP55" s="507" t="s">
        <v>166</v>
      </c>
      <c r="AQ55" s="507" t="s">
        <v>166</v>
      </c>
      <c r="AR55" s="705" t="s">
        <v>166</v>
      </c>
      <c r="AS55" s="507" t="s">
        <v>166</v>
      </c>
      <c r="AT55" s="507" t="s">
        <v>166</v>
      </c>
      <c r="AU55" s="507" t="s">
        <v>166</v>
      </c>
      <c r="AV55" s="507" t="s">
        <v>166</v>
      </c>
      <c r="AW55" s="507">
        <v>1.0</v>
      </c>
      <c r="AX55" s="507" t="s">
        <v>166</v>
      </c>
      <c r="AY55" s="507">
        <v>1.0</v>
      </c>
      <c r="AZ55" s="507">
        <v>6.0</v>
      </c>
      <c r="BA55" s="507" t="s">
        <v>166</v>
      </c>
      <c r="BB55" s="507" t="s">
        <v>166</v>
      </c>
      <c r="BC55" s="507" t="s">
        <v>166</v>
      </c>
      <c r="BD55" s="507" t="s">
        <v>166</v>
      </c>
      <c r="BE55" s="705" t="s">
        <v>170</v>
      </c>
      <c r="BF55" s="705" t="s">
        <v>170</v>
      </c>
      <c r="BG55" s="705" t="s">
        <v>170</v>
      </c>
      <c r="BH55" s="705" t="s">
        <v>170</v>
      </c>
      <c r="BI55" s="708" t="s">
        <v>170</v>
      </c>
      <c r="BJ55" s="708" t="s">
        <v>5514</v>
      </c>
      <c r="BK55" s="394"/>
      <c r="BL55" s="394"/>
      <c r="BM55" s="394"/>
      <c r="BN55" s="394"/>
      <c r="BO55" s="394"/>
      <c r="BP55" s="394"/>
    </row>
    <row r="56">
      <c r="A56" s="266" t="s">
        <v>1664</v>
      </c>
      <c r="B56" s="266" t="s">
        <v>4946</v>
      </c>
      <c r="C56" s="266" t="s">
        <v>5019</v>
      </c>
      <c r="D56" s="452" t="str">
        <f t="shared" ref="D56:D66" si="10">HYPERLINK("https://www.asus.com/","Asus")</f>
        <v>Asus</v>
      </c>
      <c r="E56" s="282" t="s">
        <v>5517</v>
      </c>
      <c r="F56" s="507">
        <v>244.0</v>
      </c>
      <c r="G56" s="507">
        <v>244.0</v>
      </c>
      <c r="H56" s="507">
        <v>4.0</v>
      </c>
      <c r="I56" s="507" t="s">
        <v>166</v>
      </c>
      <c r="J56" s="507">
        <v>2.0</v>
      </c>
      <c r="K56" s="507" t="s">
        <v>166</v>
      </c>
      <c r="L56" s="507" t="s">
        <v>166</v>
      </c>
      <c r="M56" s="507">
        <v>1.0</v>
      </c>
      <c r="N56" s="507" t="s">
        <v>174</v>
      </c>
      <c r="O56" s="507" t="s">
        <v>174</v>
      </c>
      <c r="P56" s="507" t="s">
        <v>166</v>
      </c>
      <c r="Q56" s="507" t="s">
        <v>166</v>
      </c>
      <c r="R56" s="507">
        <v>4.0</v>
      </c>
      <c r="S56" s="266" t="s">
        <v>3149</v>
      </c>
      <c r="T56" s="507">
        <v>128.0</v>
      </c>
      <c r="U56" s="507" t="s">
        <v>5476</v>
      </c>
      <c r="V56" s="507">
        <v>4.0</v>
      </c>
      <c r="W56" s="710" t="s">
        <v>5269</v>
      </c>
      <c r="X56" s="507" t="s">
        <v>166</v>
      </c>
      <c r="Y56" s="507">
        <v>4.0</v>
      </c>
      <c r="Z56" s="507" t="s">
        <v>166</v>
      </c>
      <c r="AA56" s="507">
        <v>2.0</v>
      </c>
      <c r="AB56" s="507" t="s">
        <v>166</v>
      </c>
      <c r="AC56" s="507" t="s">
        <v>166</v>
      </c>
      <c r="AD56" s="507" t="s">
        <v>166</v>
      </c>
      <c r="AE56" s="507" t="s">
        <v>166</v>
      </c>
      <c r="AF56" s="266">
        <f t="shared" si="1"/>
        <v>6</v>
      </c>
      <c r="AG56" s="507">
        <v>2.0</v>
      </c>
      <c r="AH56" s="507">
        <v>1.0</v>
      </c>
      <c r="AI56" s="507" t="s">
        <v>166</v>
      </c>
      <c r="AJ56" s="266">
        <v>1.0</v>
      </c>
      <c r="AK56" s="48" t="s">
        <v>4959</v>
      </c>
      <c r="AL56" s="48">
        <v>1.0</v>
      </c>
      <c r="AM56" s="705" t="s">
        <v>166</v>
      </c>
      <c r="AN56" s="705" t="s">
        <v>166</v>
      </c>
      <c r="AO56" s="705" t="s">
        <v>166</v>
      </c>
      <c r="AP56" s="507" t="s">
        <v>166</v>
      </c>
      <c r="AQ56" s="507" t="s">
        <v>166</v>
      </c>
      <c r="AR56" s="705" t="s">
        <v>5039</v>
      </c>
      <c r="AS56" s="507" t="s">
        <v>166</v>
      </c>
      <c r="AT56" s="507">
        <v>3.0</v>
      </c>
      <c r="AU56" s="507">
        <v>1.0</v>
      </c>
      <c r="AV56" s="507" t="s">
        <v>166</v>
      </c>
      <c r="AW56" s="266">
        <v>1.0</v>
      </c>
      <c r="AX56" s="507">
        <v>1.0</v>
      </c>
      <c r="AY56" s="507">
        <v>1.0</v>
      </c>
      <c r="AZ56" s="507">
        <v>4.0</v>
      </c>
      <c r="BA56" s="507">
        <v>2.0</v>
      </c>
      <c r="BB56" s="507">
        <v>1.0</v>
      </c>
      <c r="BC56" s="507" t="s">
        <v>166</v>
      </c>
      <c r="BD56" s="507" t="s">
        <v>166</v>
      </c>
      <c r="BE56" s="48" t="s">
        <v>4961</v>
      </c>
      <c r="BF56" s="705" t="s">
        <v>4962</v>
      </c>
      <c r="BG56" s="705" t="s">
        <v>4963</v>
      </c>
      <c r="BH56" s="705">
        <v>4.0</v>
      </c>
      <c r="BI56" s="698" t="s">
        <v>5477</v>
      </c>
      <c r="BJ56" s="708"/>
      <c r="BK56" s="394"/>
      <c r="BL56" s="394"/>
      <c r="BM56" s="394"/>
      <c r="BN56" s="394"/>
      <c r="BO56" s="394"/>
      <c r="BP56" s="394"/>
    </row>
    <row r="57">
      <c r="A57" s="266" t="s">
        <v>1664</v>
      </c>
      <c r="B57" s="266" t="s">
        <v>4946</v>
      </c>
      <c r="C57" s="266" t="s">
        <v>5019</v>
      </c>
      <c r="D57" s="452" t="str">
        <f t="shared" si="10"/>
        <v>Asus</v>
      </c>
      <c r="E57" s="282" t="s">
        <v>5518</v>
      </c>
      <c r="F57" s="507">
        <v>244.0</v>
      </c>
      <c r="G57" s="507">
        <v>244.0</v>
      </c>
      <c r="H57" s="507">
        <v>4.0</v>
      </c>
      <c r="I57" s="507" t="s">
        <v>166</v>
      </c>
      <c r="J57" s="507">
        <v>2.0</v>
      </c>
      <c r="K57" s="507" t="s">
        <v>166</v>
      </c>
      <c r="L57" s="507" t="s">
        <v>166</v>
      </c>
      <c r="M57" s="507">
        <v>1.0</v>
      </c>
      <c r="N57" s="507" t="s">
        <v>174</v>
      </c>
      <c r="O57" s="507" t="s">
        <v>174</v>
      </c>
      <c r="P57" s="507" t="s">
        <v>166</v>
      </c>
      <c r="Q57" s="507" t="s">
        <v>166</v>
      </c>
      <c r="R57" s="507">
        <v>4.0</v>
      </c>
      <c r="S57" s="266" t="s">
        <v>3149</v>
      </c>
      <c r="T57" s="507">
        <v>128.0</v>
      </c>
      <c r="U57" s="507" t="s">
        <v>5476</v>
      </c>
      <c r="V57" s="507">
        <v>4.0</v>
      </c>
      <c r="W57" s="710" t="s">
        <v>5269</v>
      </c>
      <c r="X57" s="507" t="s">
        <v>166</v>
      </c>
      <c r="Y57" s="507">
        <v>4.0</v>
      </c>
      <c r="Z57" s="507" t="s">
        <v>166</v>
      </c>
      <c r="AA57" s="507">
        <v>2.0</v>
      </c>
      <c r="AB57" s="507" t="s">
        <v>166</v>
      </c>
      <c r="AC57" s="507" t="s">
        <v>166</v>
      </c>
      <c r="AD57" s="507" t="s">
        <v>166</v>
      </c>
      <c r="AE57" s="507" t="s">
        <v>166</v>
      </c>
      <c r="AF57" s="266">
        <f t="shared" si="1"/>
        <v>6</v>
      </c>
      <c r="AG57" s="507">
        <v>2.0</v>
      </c>
      <c r="AH57" s="507">
        <v>1.0</v>
      </c>
      <c r="AI57" s="507" t="s">
        <v>166</v>
      </c>
      <c r="AJ57" s="266">
        <v>1.0</v>
      </c>
      <c r="AK57" s="48" t="s">
        <v>4959</v>
      </c>
      <c r="AL57" s="48">
        <v>1.0</v>
      </c>
      <c r="AM57" s="705">
        <v>1.0</v>
      </c>
      <c r="AN57" s="48" t="s">
        <v>5027</v>
      </c>
      <c r="AO57" s="705" t="s">
        <v>5028</v>
      </c>
      <c r="AP57" s="507">
        <v>2400.0</v>
      </c>
      <c r="AQ57" s="507">
        <v>5.2</v>
      </c>
      <c r="AR57" s="705" t="s">
        <v>5039</v>
      </c>
      <c r="AS57" s="507" t="s">
        <v>166</v>
      </c>
      <c r="AT57" s="507">
        <v>3.0</v>
      </c>
      <c r="AU57" s="507">
        <v>1.0</v>
      </c>
      <c r="AV57" s="507" t="s">
        <v>166</v>
      </c>
      <c r="AW57" s="266">
        <v>1.0</v>
      </c>
      <c r="AX57" s="507">
        <v>1.0</v>
      </c>
      <c r="AY57" s="507">
        <v>1.0</v>
      </c>
      <c r="AZ57" s="507">
        <v>4.0</v>
      </c>
      <c r="BA57" s="507">
        <v>2.0</v>
      </c>
      <c r="BB57" s="507">
        <v>1.0</v>
      </c>
      <c r="BC57" s="507" t="s">
        <v>166</v>
      </c>
      <c r="BD57" s="507" t="s">
        <v>166</v>
      </c>
      <c r="BE57" s="48" t="s">
        <v>4961</v>
      </c>
      <c r="BF57" s="705" t="s">
        <v>4962</v>
      </c>
      <c r="BG57" s="705" t="s">
        <v>4963</v>
      </c>
      <c r="BH57" s="705">
        <v>4.0</v>
      </c>
      <c r="BI57" s="698" t="s">
        <v>5477</v>
      </c>
      <c r="BJ57" s="708"/>
      <c r="BK57" s="394"/>
      <c r="BL57" s="394"/>
      <c r="BM57" s="394"/>
      <c r="BN57" s="394"/>
      <c r="BO57" s="394"/>
      <c r="BP57" s="394"/>
    </row>
    <row r="58">
      <c r="A58" s="266" t="s">
        <v>1664</v>
      </c>
      <c r="B58" s="266" t="s">
        <v>4946</v>
      </c>
      <c r="C58" s="266" t="s">
        <v>5019</v>
      </c>
      <c r="D58" s="452" t="str">
        <f t="shared" si="10"/>
        <v>Asus</v>
      </c>
      <c r="E58" s="282" t="s">
        <v>5519</v>
      </c>
      <c r="F58" s="507">
        <v>244.0</v>
      </c>
      <c r="G58" s="507">
        <v>244.0</v>
      </c>
      <c r="H58" s="507">
        <v>4.0</v>
      </c>
      <c r="I58" s="507" t="s">
        <v>166</v>
      </c>
      <c r="J58" s="507">
        <v>2.0</v>
      </c>
      <c r="K58" s="507" t="s">
        <v>166</v>
      </c>
      <c r="L58" s="507" t="s">
        <v>166</v>
      </c>
      <c r="M58" s="507">
        <v>1.0</v>
      </c>
      <c r="N58" s="507" t="s">
        <v>174</v>
      </c>
      <c r="O58" s="507" t="s">
        <v>174</v>
      </c>
      <c r="P58" s="507" t="s">
        <v>166</v>
      </c>
      <c r="Q58" s="507" t="s">
        <v>166</v>
      </c>
      <c r="R58" s="507">
        <v>4.0</v>
      </c>
      <c r="S58" s="266" t="s">
        <v>3149</v>
      </c>
      <c r="T58" s="507">
        <v>128.0</v>
      </c>
      <c r="U58" s="507" t="s">
        <v>5476</v>
      </c>
      <c r="V58" s="507">
        <v>4.0</v>
      </c>
      <c r="W58" s="710" t="s">
        <v>5269</v>
      </c>
      <c r="X58" s="507" t="s">
        <v>166</v>
      </c>
      <c r="Y58" s="507">
        <v>4.0</v>
      </c>
      <c r="Z58" s="507" t="s">
        <v>166</v>
      </c>
      <c r="AA58" s="507">
        <v>2.0</v>
      </c>
      <c r="AB58" s="507" t="s">
        <v>166</v>
      </c>
      <c r="AC58" s="507" t="s">
        <v>166</v>
      </c>
      <c r="AD58" s="507" t="s">
        <v>166</v>
      </c>
      <c r="AE58" s="507" t="s">
        <v>166</v>
      </c>
      <c r="AF58" s="266">
        <f t="shared" si="1"/>
        <v>6</v>
      </c>
      <c r="AG58" s="507">
        <v>2.0</v>
      </c>
      <c r="AH58" s="507">
        <v>1.0</v>
      </c>
      <c r="AI58" s="507" t="s">
        <v>166</v>
      </c>
      <c r="AJ58" s="266">
        <v>1.0</v>
      </c>
      <c r="AK58" s="48" t="s">
        <v>4959</v>
      </c>
      <c r="AL58" s="48">
        <v>1.0</v>
      </c>
      <c r="AM58" s="705">
        <v>1.0</v>
      </c>
      <c r="AN58" s="48" t="s">
        <v>4966</v>
      </c>
      <c r="AO58" s="705" t="s">
        <v>5485</v>
      </c>
      <c r="AP58" s="705" t="s">
        <v>170</v>
      </c>
      <c r="AQ58" s="705">
        <v>5.0</v>
      </c>
      <c r="AR58" s="705" t="s">
        <v>5039</v>
      </c>
      <c r="AS58" s="507" t="s">
        <v>166</v>
      </c>
      <c r="AT58" s="507">
        <v>3.0</v>
      </c>
      <c r="AU58" s="507">
        <v>1.0</v>
      </c>
      <c r="AV58" s="507" t="s">
        <v>166</v>
      </c>
      <c r="AW58" s="266">
        <v>1.0</v>
      </c>
      <c r="AX58" s="507">
        <v>1.0</v>
      </c>
      <c r="AY58" s="507">
        <v>1.0</v>
      </c>
      <c r="AZ58" s="507">
        <v>4.0</v>
      </c>
      <c r="BA58" s="507">
        <v>2.0</v>
      </c>
      <c r="BB58" s="507">
        <v>1.0</v>
      </c>
      <c r="BC58" s="507" t="s">
        <v>166</v>
      </c>
      <c r="BD58" s="507" t="s">
        <v>166</v>
      </c>
      <c r="BE58" s="48" t="s">
        <v>4961</v>
      </c>
      <c r="BF58" s="705" t="s">
        <v>4962</v>
      </c>
      <c r="BG58" s="705" t="s">
        <v>4963</v>
      </c>
      <c r="BH58" s="705">
        <v>4.0</v>
      </c>
      <c r="BI58" s="698" t="s">
        <v>5477</v>
      </c>
      <c r="BJ58" s="708"/>
      <c r="BK58" s="394"/>
      <c r="BL58" s="394"/>
      <c r="BM58" s="394"/>
      <c r="BN58" s="394"/>
      <c r="BO58" s="394"/>
      <c r="BP58" s="394"/>
    </row>
    <row r="59">
      <c r="A59" s="266" t="s">
        <v>1664</v>
      </c>
      <c r="B59" s="266" t="s">
        <v>4946</v>
      </c>
      <c r="C59" s="266" t="s">
        <v>5019</v>
      </c>
      <c r="D59" s="452" t="str">
        <f t="shared" si="10"/>
        <v>Asus</v>
      </c>
      <c r="E59" s="282" t="s">
        <v>5520</v>
      </c>
      <c r="F59" s="507">
        <v>244.0</v>
      </c>
      <c r="G59" s="507">
        <v>244.0</v>
      </c>
      <c r="H59" s="507">
        <v>4.0</v>
      </c>
      <c r="I59" s="507" t="s">
        <v>166</v>
      </c>
      <c r="J59" s="507">
        <v>2.0</v>
      </c>
      <c r="K59" s="507" t="s">
        <v>166</v>
      </c>
      <c r="L59" s="507" t="s">
        <v>166</v>
      </c>
      <c r="M59" s="507">
        <v>1.0</v>
      </c>
      <c r="N59" s="507" t="s">
        <v>174</v>
      </c>
      <c r="O59" s="507" t="s">
        <v>174</v>
      </c>
      <c r="P59" s="507" t="s">
        <v>166</v>
      </c>
      <c r="Q59" s="507" t="s">
        <v>166</v>
      </c>
      <c r="R59" s="507">
        <v>4.0</v>
      </c>
      <c r="S59" s="266" t="s">
        <v>3149</v>
      </c>
      <c r="T59" s="507">
        <v>128.0</v>
      </c>
      <c r="U59" s="507" t="s">
        <v>5476</v>
      </c>
      <c r="V59" s="507">
        <v>4.0</v>
      </c>
      <c r="W59" s="710" t="s">
        <v>5269</v>
      </c>
      <c r="X59" s="507" t="s">
        <v>166</v>
      </c>
      <c r="Y59" s="507">
        <v>4.0</v>
      </c>
      <c r="Z59" s="507" t="s">
        <v>166</v>
      </c>
      <c r="AA59" s="507">
        <v>2.0</v>
      </c>
      <c r="AB59" s="507" t="s">
        <v>166</v>
      </c>
      <c r="AC59" s="507" t="s">
        <v>166</v>
      </c>
      <c r="AD59" s="507" t="s">
        <v>166</v>
      </c>
      <c r="AE59" s="507" t="s">
        <v>166</v>
      </c>
      <c r="AF59" s="266">
        <f t="shared" si="1"/>
        <v>6</v>
      </c>
      <c r="AG59" s="507">
        <v>2.0</v>
      </c>
      <c r="AH59" s="507">
        <v>1.0</v>
      </c>
      <c r="AI59" s="507" t="s">
        <v>166</v>
      </c>
      <c r="AJ59" s="266">
        <v>1.0</v>
      </c>
      <c r="AK59" s="48" t="s">
        <v>4959</v>
      </c>
      <c r="AL59" s="48">
        <v>1.0</v>
      </c>
      <c r="AM59" s="705">
        <v>1.0</v>
      </c>
      <c r="AN59" s="48" t="s">
        <v>5027</v>
      </c>
      <c r="AO59" s="48" t="s">
        <v>5521</v>
      </c>
      <c r="AP59" s="48">
        <v>1200.0</v>
      </c>
      <c r="AQ59" s="48">
        <v>5.2</v>
      </c>
      <c r="AR59" s="705" t="s">
        <v>5039</v>
      </c>
      <c r="AS59" s="507" t="s">
        <v>166</v>
      </c>
      <c r="AT59" s="507">
        <v>3.0</v>
      </c>
      <c r="AU59" s="507">
        <v>1.0</v>
      </c>
      <c r="AV59" s="507" t="s">
        <v>166</v>
      </c>
      <c r="AW59" s="266">
        <v>1.0</v>
      </c>
      <c r="AX59" s="507">
        <v>1.0</v>
      </c>
      <c r="AY59" s="507">
        <v>1.0</v>
      </c>
      <c r="AZ59" s="507">
        <v>4.0</v>
      </c>
      <c r="BA59" s="507">
        <v>2.0</v>
      </c>
      <c r="BB59" s="507">
        <v>1.0</v>
      </c>
      <c r="BC59" s="507" t="s">
        <v>166</v>
      </c>
      <c r="BD59" s="507" t="s">
        <v>166</v>
      </c>
      <c r="BE59" s="705" t="s">
        <v>5443</v>
      </c>
      <c r="BF59" s="705" t="s">
        <v>4962</v>
      </c>
      <c r="BG59" s="705" t="s">
        <v>4963</v>
      </c>
      <c r="BH59" s="705">
        <v>4.0</v>
      </c>
      <c r="BI59" s="698" t="s">
        <v>5477</v>
      </c>
      <c r="BJ59" s="708"/>
      <c r="BK59" s="394"/>
      <c r="BL59" s="394"/>
      <c r="BM59" s="394"/>
      <c r="BN59" s="394"/>
      <c r="BO59" s="394"/>
      <c r="BP59" s="394"/>
    </row>
    <row r="60">
      <c r="A60" s="266" t="s">
        <v>1664</v>
      </c>
      <c r="B60" s="266" t="s">
        <v>4946</v>
      </c>
      <c r="C60" s="266" t="s">
        <v>5019</v>
      </c>
      <c r="D60" s="452" t="str">
        <f t="shared" si="10"/>
        <v>Asus</v>
      </c>
      <c r="E60" s="282" t="s">
        <v>5522</v>
      </c>
      <c r="F60" s="507">
        <v>244.0</v>
      </c>
      <c r="G60" s="507">
        <v>244.0</v>
      </c>
      <c r="H60" s="507">
        <v>4.0</v>
      </c>
      <c r="I60" s="507" t="s">
        <v>166</v>
      </c>
      <c r="J60" s="507">
        <v>2.0</v>
      </c>
      <c r="K60" s="507" t="s">
        <v>166</v>
      </c>
      <c r="L60" s="507" t="s">
        <v>166</v>
      </c>
      <c r="M60" s="507">
        <v>1.0</v>
      </c>
      <c r="N60" s="507" t="s">
        <v>174</v>
      </c>
      <c r="O60" s="507" t="s">
        <v>174</v>
      </c>
      <c r="P60" s="507" t="s">
        <v>166</v>
      </c>
      <c r="Q60" s="507" t="s">
        <v>166</v>
      </c>
      <c r="R60" s="507">
        <v>4.0</v>
      </c>
      <c r="S60" s="266" t="s">
        <v>3149</v>
      </c>
      <c r="T60" s="507">
        <v>128.0</v>
      </c>
      <c r="U60" s="507" t="s">
        <v>5476</v>
      </c>
      <c r="V60" s="507">
        <v>4.0</v>
      </c>
      <c r="W60" s="710" t="s">
        <v>5269</v>
      </c>
      <c r="X60" s="507" t="s">
        <v>166</v>
      </c>
      <c r="Y60" s="507">
        <v>4.0</v>
      </c>
      <c r="Z60" s="507" t="s">
        <v>166</v>
      </c>
      <c r="AA60" s="507">
        <v>2.0</v>
      </c>
      <c r="AB60" s="507" t="s">
        <v>166</v>
      </c>
      <c r="AC60" s="507" t="s">
        <v>166</v>
      </c>
      <c r="AD60" s="507" t="s">
        <v>166</v>
      </c>
      <c r="AE60" s="507" t="s">
        <v>166</v>
      </c>
      <c r="AF60" s="266">
        <f t="shared" si="1"/>
        <v>6</v>
      </c>
      <c r="AG60" s="507">
        <v>2.0</v>
      </c>
      <c r="AH60" s="507">
        <v>1.0</v>
      </c>
      <c r="AI60" s="507" t="s">
        <v>166</v>
      </c>
      <c r="AJ60" s="266">
        <v>1.0</v>
      </c>
      <c r="AK60" s="48" t="s">
        <v>4959</v>
      </c>
      <c r="AL60" s="48">
        <v>1.0</v>
      </c>
      <c r="AM60" s="705" t="s">
        <v>166</v>
      </c>
      <c r="AN60" s="705" t="s">
        <v>166</v>
      </c>
      <c r="AO60" s="705" t="s">
        <v>166</v>
      </c>
      <c r="AP60" s="507" t="s">
        <v>166</v>
      </c>
      <c r="AQ60" s="507" t="s">
        <v>166</v>
      </c>
      <c r="AR60" s="705" t="s">
        <v>5039</v>
      </c>
      <c r="AS60" s="507" t="s">
        <v>166</v>
      </c>
      <c r="AT60" s="507">
        <v>3.0</v>
      </c>
      <c r="AU60" s="507">
        <v>1.0</v>
      </c>
      <c r="AV60" s="507" t="s">
        <v>166</v>
      </c>
      <c r="AW60" s="266">
        <v>1.0</v>
      </c>
      <c r="AX60" s="507">
        <v>1.0</v>
      </c>
      <c r="AY60" s="507">
        <v>1.0</v>
      </c>
      <c r="AZ60" s="507">
        <v>3.0</v>
      </c>
      <c r="BA60" s="507" t="s">
        <v>166</v>
      </c>
      <c r="BB60" s="507" t="s">
        <v>166</v>
      </c>
      <c r="BC60" s="507" t="s">
        <v>166</v>
      </c>
      <c r="BD60" s="507" t="s">
        <v>166</v>
      </c>
      <c r="BE60" s="48" t="s">
        <v>4961</v>
      </c>
      <c r="BF60" s="705" t="s">
        <v>4962</v>
      </c>
      <c r="BG60" s="705" t="s">
        <v>4963</v>
      </c>
      <c r="BH60" s="705">
        <v>4.0</v>
      </c>
      <c r="BI60" s="698" t="s">
        <v>5477</v>
      </c>
      <c r="BJ60" s="708"/>
      <c r="BK60" s="394"/>
      <c r="BL60" s="394"/>
      <c r="BM60" s="394"/>
      <c r="BN60" s="394"/>
      <c r="BO60" s="394"/>
      <c r="BP60" s="394"/>
    </row>
    <row r="61">
      <c r="A61" s="266" t="s">
        <v>1664</v>
      </c>
      <c r="B61" s="266" t="s">
        <v>4946</v>
      </c>
      <c r="C61" s="266" t="s">
        <v>5019</v>
      </c>
      <c r="D61" s="452" t="str">
        <f t="shared" si="10"/>
        <v>Asus</v>
      </c>
      <c r="E61" s="282" t="s">
        <v>5523</v>
      </c>
      <c r="F61" s="507">
        <v>244.0</v>
      </c>
      <c r="G61" s="507">
        <v>244.0</v>
      </c>
      <c r="H61" s="507">
        <v>4.0</v>
      </c>
      <c r="I61" s="507" t="s">
        <v>166</v>
      </c>
      <c r="J61" s="507">
        <v>2.0</v>
      </c>
      <c r="K61" s="507" t="s">
        <v>166</v>
      </c>
      <c r="L61" s="507" t="s">
        <v>166</v>
      </c>
      <c r="M61" s="507">
        <v>1.0</v>
      </c>
      <c r="N61" s="507" t="s">
        <v>174</v>
      </c>
      <c r="O61" s="507" t="s">
        <v>174</v>
      </c>
      <c r="P61" s="507" t="s">
        <v>174</v>
      </c>
      <c r="Q61" s="507" t="s">
        <v>166</v>
      </c>
      <c r="R61" s="507">
        <v>4.0</v>
      </c>
      <c r="S61" s="266" t="s">
        <v>3149</v>
      </c>
      <c r="T61" s="507">
        <v>128.0</v>
      </c>
      <c r="U61" s="507" t="s">
        <v>5476</v>
      </c>
      <c r="V61" s="507">
        <v>4.0</v>
      </c>
      <c r="W61" s="710" t="s">
        <v>5269</v>
      </c>
      <c r="X61" s="507">
        <v>2.0</v>
      </c>
      <c r="Y61" s="507">
        <v>2.0</v>
      </c>
      <c r="Z61" s="507" t="s">
        <v>166</v>
      </c>
      <c r="AA61" s="507">
        <v>2.0</v>
      </c>
      <c r="AB61" s="507" t="s">
        <v>166</v>
      </c>
      <c r="AC61" s="507" t="s">
        <v>166</v>
      </c>
      <c r="AD61" s="507" t="s">
        <v>166</v>
      </c>
      <c r="AE61" s="507" t="s">
        <v>166</v>
      </c>
      <c r="AF61" s="266">
        <f t="shared" si="1"/>
        <v>6</v>
      </c>
      <c r="AG61" s="507">
        <v>2.0</v>
      </c>
      <c r="AH61" s="507">
        <v>1.0</v>
      </c>
      <c r="AI61" s="507" t="s">
        <v>5049</v>
      </c>
      <c r="AJ61" s="266">
        <v>1.0</v>
      </c>
      <c r="AK61" s="48" t="s">
        <v>4959</v>
      </c>
      <c r="AL61" s="48">
        <v>1.0</v>
      </c>
      <c r="AM61" s="705" t="s">
        <v>166</v>
      </c>
      <c r="AN61" s="705" t="s">
        <v>166</v>
      </c>
      <c r="AO61" s="705" t="s">
        <v>166</v>
      </c>
      <c r="AP61" s="507" t="s">
        <v>166</v>
      </c>
      <c r="AQ61" s="507" t="s">
        <v>166</v>
      </c>
      <c r="AR61" s="705" t="s">
        <v>5039</v>
      </c>
      <c r="AS61" s="507" t="s">
        <v>166</v>
      </c>
      <c r="AT61" s="507">
        <v>3.0</v>
      </c>
      <c r="AU61" s="507">
        <v>1.0</v>
      </c>
      <c r="AV61" s="507">
        <v>1.0</v>
      </c>
      <c r="AW61" s="266">
        <v>1.0</v>
      </c>
      <c r="AX61" s="507" t="s">
        <v>166</v>
      </c>
      <c r="AY61" s="507">
        <v>1.0</v>
      </c>
      <c r="AZ61" s="507">
        <v>4.0</v>
      </c>
      <c r="BA61" s="507">
        <v>2.0</v>
      </c>
      <c r="BB61" s="507">
        <v>2.0</v>
      </c>
      <c r="BC61" s="507" t="s">
        <v>166</v>
      </c>
      <c r="BD61" s="507" t="s">
        <v>166</v>
      </c>
      <c r="BE61" s="705" t="s">
        <v>170</v>
      </c>
      <c r="BF61" s="705" t="s">
        <v>170</v>
      </c>
      <c r="BG61" s="705" t="s">
        <v>170</v>
      </c>
      <c r="BH61" s="705" t="s">
        <v>170</v>
      </c>
      <c r="BI61" s="698" t="s">
        <v>5524</v>
      </c>
      <c r="BJ61" s="708"/>
      <c r="BK61" s="394"/>
      <c r="BL61" s="394"/>
      <c r="BM61" s="394"/>
      <c r="BN61" s="394"/>
      <c r="BO61" s="394"/>
      <c r="BP61" s="394"/>
    </row>
    <row r="62">
      <c r="A62" s="266" t="s">
        <v>1664</v>
      </c>
      <c r="B62" s="266" t="s">
        <v>4946</v>
      </c>
      <c r="C62" s="266" t="s">
        <v>5019</v>
      </c>
      <c r="D62" s="452" t="str">
        <f t="shared" si="10"/>
        <v>Asus</v>
      </c>
      <c r="E62" s="282" t="s">
        <v>5525</v>
      </c>
      <c r="F62" s="507">
        <v>244.0</v>
      </c>
      <c r="G62" s="507">
        <v>244.0</v>
      </c>
      <c r="H62" s="507">
        <v>4.0</v>
      </c>
      <c r="I62" s="507" t="s">
        <v>166</v>
      </c>
      <c r="J62" s="507">
        <v>2.0</v>
      </c>
      <c r="K62" s="507" t="s">
        <v>166</v>
      </c>
      <c r="L62" s="507" t="s">
        <v>166</v>
      </c>
      <c r="M62" s="507">
        <v>1.0</v>
      </c>
      <c r="N62" s="507" t="s">
        <v>174</v>
      </c>
      <c r="O62" s="507" t="s">
        <v>174</v>
      </c>
      <c r="P62" s="507" t="s">
        <v>174</v>
      </c>
      <c r="Q62" s="507" t="s">
        <v>166</v>
      </c>
      <c r="R62" s="507">
        <v>4.0</v>
      </c>
      <c r="S62" s="266" t="s">
        <v>3149</v>
      </c>
      <c r="T62" s="507">
        <v>128.0</v>
      </c>
      <c r="U62" s="507" t="s">
        <v>5476</v>
      </c>
      <c r="V62" s="507">
        <v>4.0</v>
      </c>
      <c r="W62" s="710" t="s">
        <v>5269</v>
      </c>
      <c r="X62" s="507">
        <v>2.0</v>
      </c>
      <c r="Y62" s="507">
        <v>2.0</v>
      </c>
      <c r="Z62" s="507" t="s">
        <v>166</v>
      </c>
      <c r="AA62" s="507">
        <v>2.0</v>
      </c>
      <c r="AB62" s="507" t="s">
        <v>166</v>
      </c>
      <c r="AC62" s="507" t="s">
        <v>166</v>
      </c>
      <c r="AD62" s="507" t="s">
        <v>166</v>
      </c>
      <c r="AE62" s="507" t="s">
        <v>166</v>
      </c>
      <c r="AF62" s="266">
        <f t="shared" si="1"/>
        <v>6</v>
      </c>
      <c r="AG62" s="507">
        <v>2.0</v>
      </c>
      <c r="AH62" s="507">
        <v>1.0</v>
      </c>
      <c r="AI62" s="507" t="s">
        <v>5049</v>
      </c>
      <c r="AJ62" s="266">
        <v>1.0</v>
      </c>
      <c r="AK62" s="48" t="s">
        <v>4959</v>
      </c>
      <c r="AL62" s="48">
        <v>1.0</v>
      </c>
      <c r="AM62" s="705">
        <v>1.0</v>
      </c>
      <c r="AN62" s="705" t="s">
        <v>5027</v>
      </c>
      <c r="AO62" s="705" t="s">
        <v>5028</v>
      </c>
      <c r="AP62" s="507">
        <v>2400.0</v>
      </c>
      <c r="AQ62" s="507">
        <v>5.2</v>
      </c>
      <c r="AR62" s="705" t="s">
        <v>5039</v>
      </c>
      <c r="AS62" s="507" t="s">
        <v>166</v>
      </c>
      <c r="AT62" s="507">
        <v>3.0</v>
      </c>
      <c r="AU62" s="507">
        <v>1.0</v>
      </c>
      <c r="AV62" s="507">
        <v>1.0</v>
      </c>
      <c r="AW62" s="266">
        <v>1.0</v>
      </c>
      <c r="AX62" s="507" t="s">
        <v>166</v>
      </c>
      <c r="AY62" s="507">
        <v>1.0</v>
      </c>
      <c r="AZ62" s="507">
        <v>4.0</v>
      </c>
      <c r="BA62" s="507">
        <v>2.0</v>
      </c>
      <c r="BB62" s="507">
        <v>2.0</v>
      </c>
      <c r="BC62" s="507" t="s">
        <v>166</v>
      </c>
      <c r="BD62" s="507" t="s">
        <v>166</v>
      </c>
      <c r="BE62" s="705" t="s">
        <v>170</v>
      </c>
      <c r="BF62" s="705" t="s">
        <v>170</v>
      </c>
      <c r="BG62" s="705" t="s">
        <v>170</v>
      </c>
      <c r="BH62" s="705" t="s">
        <v>170</v>
      </c>
      <c r="BI62" s="698" t="s">
        <v>5524</v>
      </c>
      <c r="BJ62" s="708"/>
      <c r="BK62" s="394"/>
      <c r="BL62" s="394"/>
      <c r="BM62" s="394"/>
      <c r="BN62" s="394"/>
      <c r="BO62" s="394"/>
      <c r="BP62" s="394"/>
    </row>
    <row r="63">
      <c r="A63" s="266" t="s">
        <v>1664</v>
      </c>
      <c r="B63" s="266" t="s">
        <v>4946</v>
      </c>
      <c r="C63" s="266" t="s">
        <v>5019</v>
      </c>
      <c r="D63" s="452" t="str">
        <f t="shared" si="10"/>
        <v>Asus</v>
      </c>
      <c r="E63" s="282" t="s">
        <v>5526</v>
      </c>
      <c r="F63" s="507">
        <v>244.0</v>
      </c>
      <c r="G63" s="507">
        <v>244.0</v>
      </c>
      <c r="H63" s="507">
        <v>4.0</v>
      </c>
      <c r="I63" s="507" t="s">
        <v>166</v>
      </c>
      <c r="J63" s="507">
        <v>1.0</v>
      </c>
      <c r="K63" s="507" t="s">
        <v>166</v>
      </c>
      <c r="L63" s="507" t="s">
        <v>166</v>
      </c>
      <c r="M63" s="507">
        <v>2.0</v>
      </c>
      <c r="N63" s="507" t="s">
        <v>174</v>
      </c>
      <c r="O63" s="507" t="s">
        <v>174</v>
      </c>
      <c r="P63" s="507" t="s">
        <v>174</v>
      </c>
      <c r="Q63" s="507" t="s">
        <v>166</v>
      </c>
      <c r="R63" s="507">
        <v>4.0</v>
      </c>
      <c r="S63" s="266" t="s">
        <v>3149</v>
      </c>
      <c r="T63" s="507">
        <v>128.0</v>
      </c>
      <c r="U63" s="507" t="s">
        <v>5476</v>
      </c>
      <c r="V63" s="507">
        <v>4.0</v>
      </c>
      <c r="W63" s="710" t="s">
        <v>5269</v>
      </c>
      <c r="X63" s="507">
        <v>2.0</v>
      </c>
      <c r="Y63" s="507">
        <v>4.0</v>
      </c>
      <c r="Z63" s="507" t="s">
        <v>166</v>
      </c>
      <c r="AA63" s="507">
        <v>1.0</v>
      </c>
      <c r="AB63" s="507">
        <v>1.0</v>
      </c>
      <c r="AC63" s="507" t="s">
        <v>166</v>
      </c>
      <c r="AD63" s="507" t="s">
        <v>166</v>
      </c>
      <c r="AE63" s="507" t="s">
        <v>166</v>
      </c>
      <c r="AF63" s="266">
        <f t="shared" si="1"/>
        <v>8</v>
      </c>
      <c r="AG63" s="507">
        <v>2.0</v>
      </c>
      <c r="AH63" s="507">
        <v>1.0</v>
      </c>
      <c r="AI63" s="507" t="s">
        <v>166</v>
      </c>
      <c r="AJ63" s="266">
        <v>1.0</v>
      </c>
      <c r="AK63" s="48" t="s">
        <v>5038</v>
      </c>
      <c r="AL63" s="48">
        <v>2.5</v>
      </c>
      <c r="AM63" s="705" t="s">
        <v>166</v>
      </c>
      <c r="AN63" s="705" t="s">
        <v>166</v>
      </c>
      <c r="AO63" s="705" t="s">
        <v>166</v>
      </c>
      <c r="AP63" s="507" t="s">
        <v>166</v>
      </c>
      <c r="AQ63" s="507" t="s">
        <v>166</v>
      </c>
      <c r="AR63" s="705" t="s">
        <v>5527</v>
      </c>
      <c r="AS63" s="507" t="s">
        <v>174</v>
      </c>
      <c r="AT63" s="507">
        <v>5.0</v>
      </c>
      <c r="AU63" s="507">
        <v>1.0</v>
      </c>
      <c r="AV63" s="507">
        <v>1.0</v>
      </c>
      <c r="AW63" s="266">
        <v>1.0</v>
      </c>
      <c r="AX63" s="507" t="s">
        <v>166</v>
      </c>
      <c r="AY63" s="507" t="s">
        <v>166</v>
      </c>
      <c r="AZ63" s="507">
        <v>4.0</v>
      </c>
      <c r="BA63" s="507">
        <v>2.0</v>
      </c>
      <c r="BB63" s="507">
        <v>1.0</v>
      </c>
      <c r="BC63" s="507" t="s">
        <v>174</v>
      </c>
      <c r="BD63" s="507" t="s">
        <v>166</v>
      </c>
      <c r="BE63" s="48" t="s">
        <v>4961</v>
      </c>
      <c r="BF63" s="705" t="s">
        <v>5034</v>
      </c>
      <c r="BG63" s="705" t="s">
        <v>4955</v>
      </c>
      <c r="BH63" s="705">
        <v>8.0</v>
      </c>
      <c r="BI63" s="708" t="s">
        <v>4964</v>
      </c>
      <c r="BJ63" s="708"/>
      <c r="BK63" s="394"/>
      <c r="BL63" s="394"/>
      <c r="BM63" s="394"/>
      <c r="BN63" s="394"/>
      <c r="BO63" s="394"/>
      <c r="BP63" s="394"/>
    </row>
    <row r="64">
      <c r="A64" s="266" t="s">
        <v>1664</v>
      </c>
      <c r="B64" s="266" t="s">
        <v>4946</v>
      </c>
      <c r="C64" s="266" t="s">
        <v>5019</v>
      </c>
      <c r="D64" s="452" t="str">
        <f t="shared" si="10"/>
        <v>Asus</v>
      </c>
      <c r="E64" s="282" t="s">
        <v>5528</v>
      </c>
      <c r="F64" s="507">
        <v>244.0</v>
      </c>
      <c r="G64" s="507">
        <v>244.0</v>
      </c>
      <c r="H64" s="507">
        <v>4.0</v>
      </c>
      <c r="I64" s="507" t="s">
        <v>166</v>
      </c>
      <c r="J64" s="507">
        <v>1.0</v>
      </c>
      <c r="K64" s="507" t="s">
        <v>166</v>
      </c>
      <c r="L64" s="507" t="s">
        <v>166</v>
      </c>
      <c r="M64" s="507">
        <v>2.0</v>
      </c>
      <c r="N64" s="507" t="s">
        <v>174</v>
      </c>
      <c r="O64" s="507" t="s">
        <v>174</v>
      </c>
      <c r="P64" s="507" t="s">
        <v>174</v>
      </c>
      <c r="Q64" s="507" t="s">
        <v>166</v>
      </c>
      <c r="R64" s="507">
        <v>4.0</v>
      </c>
      <c r="S64" s="266" t="s">
        <v>3149</v>
      </c>
      <c r="T64" s="507">
        <v>128.0</v>
      </c>
      <c r="U64" s="507" t="s">
        <v>5476</v>
      </c>
      <c r="V64" s="507">
        <v>4.0</v>
      </c>
      <c r="W64" s="710" t="s">
        <v>5269</v>
      </c>
      <c r="X64" s="507">
        <v>2.0</v>
      </c>
      <c r="Y64" s="507">
        <v>4.0</v>
      </c>
      <c r="Z64" s="507" t="s">
        <v>166</v>
      </c>
      <c r="AA64" s="507">
        <v>1.0</v>
      </c>
      <c r="AB64" s="507">
        <v>1.0</v>
      </c>
      <c r="AC64" s="507" t="s">
        <v>166</v>
      </c>
      <c r="AD64" s="507" t="s">
        <v>166</v>
      </c>
      <c r="AE64" s="507" t="s">
        <v>166</v>
      </c>
      <c r="AF64" s="266">
        <f t="shared" si="1"/>
        <v>8</v>
      </c>
      <c r="AG64" s="507">
        <v>2.0</v>
      </c>
      <c r="AH64" s="507">
        <v>1.0</v>
      </c>
      <c r="AI64" s="507" t="s">
        <v>166</v>
      </c>
      <c r="AJ64" s="266">
        <v>1.0</v>
      </c>
      <c r="AK64" s="48" t="s">
        <v>5038</v>
      </c>
      <c r="AL64" s="48">
        <v>2.5</v>
      </c>
      <c r="AM64" s="705">
        <v>1.0</v>
      </c>
      <c r="AN64" s="705" t="s">
        <v>5027</v>
      </c>
      <c r="AO64" s="705" t="s">
        <v>5028</v>
      </c>
      <c r="AP64" s="507">
        <v>2400.0</v>
      </c>
      <c r="AQ64" s="507">
        <v>5.2</v>
      </c>
      <c r="AR64" s="705" t="s">
        <v>5527</v>
      </c>
      <c r="AS64" s="507" t="s">
        <v>174</v>
      </c>
      <c r="AT64" s="507">
        <v>5.0</v>
      </c>
      <c r="AU64" s="507">
        <v>1.0</v>
      </c>
      <c r="AV64" s="507">
        <v>1.0</v>
      </c>
      <c r="AW64" s="266">
        <v>1.0</v>
      </c>
      <c r="AX64" s="507" t="s">
        <v>166</v>
      </c>
      <c r="AY64" s="507" t="s">
        <v>166</v>
      </c>
      <c r="AZ64" s="507">
        <v>4.0</v>
      </c>
      <c r="BA64" s="507">
        <v>2.0</v>
      </c>
      <c r="BB64" s="507">
        <v>1.0</v>
      </c>
      <c r="BC64" s="507" t="s">
        <v>174</v>
      </c>
      <c r="BD64" s="507" t="s">
        <v>166</v>
      </c>
      <c r="BE64" s="48" t="s">
        <v>4961</v>
      </c>
      <c r="BF64" s="705" t="s">
        <v>5034</v>
      </c>
      <c r="BG64" s="705" t="s">
        <v>4955</v>
      </c>
      <c r="BH64" s="705">
        <v>8.0</v>
      </c>
      <c r="BI64" s="708" t="s">
        <v>4964</v>
      </c>
      <c r="BJ64" s="708"/>
      <c r="BK64" s="394"/>
      <c r="BL64" s="394"/>
      <c r="BM64" s="394"/>
      <c r="BN64" s="394"/>
      <c r="BO64" s="394"/>
      <c r="BP64" s="394"/>
    </row>
    <row r="65">
      <c r="A65" s="266" t="s">
        <v>1664</v>
      </c>
      <c r="B65" s="266" t="s">
        <v>4946</v>
      </c>
      <c r="C65" s="266" t="s">
        <v>5019</v>
      </c>
      <c r="D65" s="452" t="str">
        <f t="shared" si="10"/>
        <v>Asus</v>
      </c>
      <c r="E65" s="282" t="s">
        <v>5529</v>
      </c>
      <c r="F65" s="507">
        <v>244.0</v>
      </c>
      <c r="G65" s="507">
        <v>244.0</v>
      </c>
      <c r="H65" s="507">
        <v>4.0</v>
      </c>
      <c r="I65" s="507" t="s">
        <v>166</v>
      </c>
      <c r="J65" s="507">
        <v>1.0</v>
      </c>
      <c r="K65" s="507" t="s">
        <v>166</v>
      </c>
      <c r="L65" s="507" t="s">
        <v>166</v>
      </c>
      <c r="M65" s="507">
        <v>2.0</v>
      </c>
      <c r="N65" s="507" t="s">
        <v>174</v>
      </c>
      <c r="O65" s="507" t="s">
        <v>174</v>
      </c>
      <c r="P65" s="507" t="s">
        <v>174</v>
      </c>
      <c r="Q65" s="507" t="s">
        <v>166</v>
      </c>
      <c r="R65" s="507">
        <v>4.0</v>
      </c>
      <c r="S65" s="266" t="s">
        <v>3149</v>
      </c>
      <c r="T65" s="507">
        <v>128.0</v>
      </c>
      <c r="U65" s="507" t="s">
        <v>5476</v>
      </c>
      <c r="V65" s="507">
        <v>4.0</v>
      </c>
      <c r="W65" s="710" t="s">
        <v>5269</v>
      </c>
      <c r="X65" s="507">
        <v>2.0</v>
      </c>
      <c r="Y65" s="507">
        <v>4.0</v>
      </c>
      <c r="Z65" s="507" t="s">
        <v>166</v>
      </c>
      <c r="AA65" s="507">
        <v>1.0</v>
      </c>
      <c r="AB65" s="507">
        <v>1.0</v>
      </c>
      <c r="AC65" s="507" t="s">
        <v>166</v>
      </c>
      <c r="AD65" s="507" t="s">
        <v>166</v>
      </c>
      <c r="AE65" s="507" t="s">
        <v>166</v>
      </c>
      <c r="AF65" s="266">
        <f t="shared" si="1"/>
        <v>8</v>
      </c>
      <c r="AG65" s="507">
        <v>2.0</v>
      </c>
      <c r="AH65" s="507">
        <v>1.0</v>
      </c>
      <c r="AI65" s="507" t="s">
        <v>166</v>
      </c>
      <c r="AJ65" s="266">
        <v>1.0</v>
      </c>
      <c r="AK65" s="48" t="s">
        <v>5038</v>
      </c>
      <c r="AL65" s="48">
        <v>2.5</v>
      </c>
      <c r="AM65" s="705">
        <v>1.0</v>
      </c>
      <c r="AN65" s="48" t="s">
        <v>5027</v>
      </c>
      <c r="AO65" s="48" t="s">
        <v>5521</v>
      </c>
      <c r="AP65" s="48">
        <v>1200.0</v>
      </c>
      <c r="AQ65" s="48">
        <v>5.2</v>
      </c>
      <c r="AR65" s="705" t="s">
        <v>5039</v>
      </c>
      <c r="AS65" s="507" t="s">
        <v>174</v>
      </c>
      <c r="AT65" s="507">
        <v>5.0</v>
      </c>
      <c r="AU65" s="507">
        <v>1.0</v>
      </c>
      <c r="AV65" s="507">
        <v>1.0</v>
      </c>
      <c r="AW65" s="266">
        <v>1.0</v>
      </c>
      <c r="AX65" s="507" t="s">
        <v>166</v>
      </c>
      <c r="AY65" s="507" t="s">
        <v>166</v>
      </c>
      <c r="AZ65" s="507">
        <v>4.0</v>
      </c>
      <c r="BA65" s="507">
        <v>2.0</v>
      </c>
      <c r="BB65" s="507">
        <v>1.0</v>
      </c>
      <c r="BC65" s="507" t="s">
        <v>174</v>
      </c>
      <c r="BD65" s="507" t="s">
        <v>166</v>
      </c>
      <c r="BE65" s="48" t="s">
        <v>4961</v>
      </c>
      <c r="BF65" s="705" t="s">
        <v>5034</v>
      </c>
      <c r="BG65" s="705" t="s">
        <v>4955</v>
      </c>
      <c r="BH65" s="705">
        <v>8.0</v>
      </c>
      <c r="BI65" s="708" t="s">
        <v>4964</v>
      </c>
      <c r="BJ65" s="708"/>
      <c r="BK65" s="394"/>
      <c r="BL65" s="394"/>
      <c r="BM65" s="394"/>
      <c r="BN65" s="394"/>
      <c r="BO65" s="394"/>
      <c r="BP65" s="394"/>
    </row>
    <row r="66">
      <c r="A66" s="266" t="s">
        <v>1664</v>
      </c>
      <c r="B66" s="266" t="s">
        <v>4946</v>
      </c>
      <c r="C66" s="266" t="s">
        <v>5019</v>
      </c>
      <c r="D66" s="452" t="str">
        <f t="shared" si="10"/>
        <v>Asus</v>
      </c>
      <c r="E66" s="282" t="s">
        <v>5530</v>
      </c>
      <c r="F66" s="507">
        <v>244.0</v>
      </c>
      <c r="G66" s="507">
        <v>244.0</v>
      </c>
      <c r="H66" s="507">
        <v>4.0</v>
      </c>
      <c r="I66" s="507" t="s">
        <v>166</v>
      </c>
      <c r="J66" s="507">
        <v>1.0</v>
      </c>
      <c r="K66" s="507" t="s">
        <v>166</v>
      </c>
      <c r="L66" s="507" t="s">
        <v>166</v>
      </c>
      <c r="M66" s="507">
        <v>2.0</v>
      </c>
      <c r="N66" s="507" t="s">
        <v>174</v>
      </c>
      <c r="O66" s="507" t="s">
        <v>174</v>
      </c>
      <c r="P66" s="507" t="s">
        <v>174</v>
      </c>
      <c r="Q66" s="507" t="s">
        <v>166</v>
      </c>
      <c r="R66" s="507">
        <v>4.0</v>
      </c>
      <c r="S66" s="266" t="s">
        <v>3149</v>
      </c>
      <c r="T66" s="507">
        <v>128.0</v>
      </c>
      <c r="U66" s="507" t="s">
        <v>5476</v>
      </c>
      <c r="V66" s="507">
        <v>4.0</v>
      </c>
      <c r="W66" s="710" t="s">
        <v>5269</v>
      </c>
      <c r="X66" s="507">
        <v>2.0</v>
      </c>
      <c r="Y66" s="507">
        <v>4.0</v>
      </c>
      <c r="Z66" s="507" t="s">
        <v>166</v>
      </c>
      <c r="AA66" s="507">
        <v>1.0</v>
      </c>
      <c r="AB66" s="507">
        <v>1.0</v>
      </c>
      <c r="AC66" s="507" t="s">
        <v>166</v>
      </c>
      <c r="AD66" s="507" t="s">
        <v>166</v>
      </c>
      <c r="AE66" s="507" t="s">
        <v>166</v>
      </c>
      <c r="AF66" s="266">
        <f t="shared" si="1"/>
        <v>8</v>
      </c>
      <c r="AG66" s="507">
        <v>2.0</v>
      </c>
      <c r="AH66" s="507">
        <v>1.0</v>
      </c>
      <c r="AI66" s="507" t="s">
        <v>166</v>
      </c>
      <c r="AJ66" s="266">
        <v>1.0</v>
      </c>
      <c r="AK66" s="48" t="s">
        <v>5038</v>
      </c>
      <c r="AL66" s="48">
        <v>2.5</v>
      </c>
      <c r="AM66" s="705">
        <v>1.0</v>
      </c>
      <c r="AN66" s="705" t="s">
        <v>5027</v>
      </c>
      <c r="AO66" s="705" t="s">
        <v>5028</v>
      </c>
      <c r="AP66" s="507">
        <v>2400.0</v>
      </c>
      <c r="AQ66" s="507">
        <v>5.2</v>
      </c>
      <c r="AR66" s="705" t="s">
        <v>5527</v>
      </c>
      <c r="AS66" s="507" t="s">
        <v>174</v>
      </c>
      <c r="AT66" s="507">
        <v>5.0</v>
      </c>
      <c r="AU66" s="507">
        <v>1.0</v>
      </c>
      <c r="AV66" s="507">
        <v>1.0</v>
      </c>
      <c r="AW66" s="266">
        <v>1.0</v>
      </c>
      <c r="AX66" s="507" t="s">
        <v>166</v>
      </c>
      <c r="AY66" s="507" t="s">
        <v>166</v>
      </c>
      <c r="AZ66" s="507">
        <v>4.0</v>
      </c>
      <c r="BA66" s="507">
        <v>2.0</v>
      </c>
      <c r="BB66" s="507">
        <v>1.0</v>
      </c>
      <c r="BC66" s="507" t="s">
        <v>174</v>
      </c>
      <c r="BD66" s="507" t="s">
        <v>166</v>
      </c>
      <c r="BE66" s="48" t="s">
        <v>4961</v>
      </c>
      <c r="BF66" s="705" t="s">
        <v>5034</v>
      </c>
      <c r="BG66" s="705" t="s">
        <v>4955</v>
      </c>
      <c r="BH66" s="705">
        <v>8.0</v>
      </c>
      <c r="BI66" s="708" t="s">
        <v>4964</v>
      </c>
      <c r="BJ66" s="708"/>
      <c r="BK66" s="394"/>
      <c r="BL66" s="394"/>
      <c r="BM66" s="394"/>
      <c r="BN66" s="394"/>
      <c r="BO66" s="394"/>
      <c r="BP66" s="394"/>
    </row>
    <row r="67">
      <c r="A67" s="266" t="s">
        <v>1664</v>
      </c>
      <c r="B67" s="266" t="s">
        <v>4946</v>
      </c>
      <c r="C67" s="266" t="s">
        <v>5019</v>
      </c>
      <c r="D67" s="452" t="str">
        <f t="shared" ref="D67:D70" si="11">HYPERLINK("https://www.biostar.com.tw/app/en/","Biostar")</f>
        <v>Biostar</v>
      </c>
      <c r="E67" s="282" t="s">
        <v>5531</v>
      </c>
      <c r="F67" s="507">
        <v>244.0</v>
      </c>
      <c r="G67" s="507">
        <v>244.0</v>
      </c>
      <c r="H67" s="507">
        <v>4.0</v>
      </c>
      <c r="I67" s="507" t="s">
        <v>166</v>
      </c>
      <c r="J67" s="507">
        <v>2.0</v>
      </c>
      <c r="K67" s="507" t="s">
        <v>166</v>
      </c>
      <c r="L67" s="507" t="s">
        <v>166</v>
      </c>
      <c r="M67" s="507">
        <v>2.0</v>
      </c>
      <c r="N67" s="507" t="s">
        <v>174</v>
      </c>
      <c r="O67" s="507" t="s">
        <v>174</v>
      </c>
      <c r="P67" s="507" t="s">
        <v>166</v>
      </c>
      <c r="Q67" s="507" t="s">
        <v>166</v>
      </c>
      <c r="R67" s="507">
        <v>4.0</v>
      </c>
      <c r="S67" s="266" t="s">
        <v>3149</v>
      </c>
      <c r="T67" s="507">
        <v>128.0</v>
      </c>
      <c r="U67" s="507" t="s">
        <v>5037</v>
      </c>
      <c r="V67" s="507">
        <v>6.0</v>
      </c>
      <c r="W67" s="710" t="s">
        <v>5269</v>
      </c>
      <c r="X67" s="507">
        <v>2.0</v>
      </c>
      <c r="Y67" s="507">
        <v>4.0</v>
      </c>
      <c r="Z67" s="507" t="s">
        <v>166</v>
      </c>
      <c r="AA67" s="507">
        <v>1.0</v>
      </c>
      <c r="AB67" s="507">
        <v>1.0</v>
      </c>
      <c r="AC67" s="507" t="s">
        <v>166</v>
      </c>
      <c r="AD67" s="507" t="s">
        <v>166</v>
      </c>
      <c r="AE67" s="507" t="s">
        <v>166</v>
      </c>
      <c r="AF67" s="266">
        <f t="shared" si="1"/>
        <v>8</v>
      </c>
      <c r="AG67" s="507">
        <v>2.0</v>
      </c>
      <c r="AH67" s="507">
        <v>1.0</v>
      </c>
      <c r="AI67" s="507" t="s">
        <v>166</v>
      </c>
      <c r="AJ67" s="266">
        <v>1.0</v>
      </c>
      <c r="AK67" s="48" t="s">
        <v>4976</v>
      </c>
      <c r="AL67" s="48">
        <v>1.0</v>
      </c>
      <c r="AM67" s="705" t="s">
        <v>166</v>
      </c>
      <c r="AN67" s="705" t="s">
        <v>166</v>
      </c>
      <c r="AO67" s="705" t="s">
        <v>166</v>
      </c>
      <c r="AP67" s="507" t="s">
        <v>166</v>
      </c>
      <c r="AQ67" s="507" t="s">
        <v>166</v>
      </c>
      <c r="AR67" s="705" t="s">
        <v>5139</v>
      </c>
      <c r="AS67" s="507" t="s">
        <v>166</v>
      </c>
      <c r="AT67" s="507">
        <v>3.0</v>
      </c>
      <c r="AU67" s="507">
        <v>1.0</v>
      </c>
      <c r="AV67" s="507">
        <v>1.0</v>
      </c>
      <c r="AW67" s="266">
        <v>1.0</v>
      </c>
      <c r="AX67" s="507">
        <v>1.0</v>
      </c>
      <c r="AY67" s="507">
        <v>1.0</v>
      </c>
      <c r="AZ67" s="507">
        <v>4.0</v>
      </c>
      <c r="BA67" s="507">
        <v>1.0</v>
      </c>
      <c r="BB67" s="507">
        <v>2.0</v>
      </c>
      <c r="BC67" s="507" t="s">
        <v>166</v>
      </c>
      <c r="BD67" s="507" t="s">
        <v>174</v>
      </c>
      <c r="BE67" s="48" t="s">
        <v>5012</v>
      </c>
      <c r="BF67" s="705" t="s">
        <v>4954</v>
      </c>
      <c r="BG67" s="705" t="s">
        <v>4963</v>
      </c>
      <c r="BH67" s="705">
        <v>6.0</v>
      </c>
      <c r="BI67" s="708" t="s">
        <v>5029</v>
      </c>
      <c r="BJ67" s="708"/>
      <c r="BK67" s="394"/>
      <c r="BL67" s="394"/>
      <c r="BM67" s="394"/>
      <c r="BN67" s="394"/>
      <c r="BO67" s="394"/>
      <c r="BP67" s="394"/>
    </row>
    <row r="68">
      <c r="A68" s="266" t="s">
        <v>1664</v>
      </c>
      <c r="B68" s="266" t="s">
        <v>4946</v>
      </c>
      <c r="C68" s="266" t="s">
        <v>5019</v>
      </c>
      <c r="D68" s="452" t="str">
        <f t="shared" si="11"/>
        <v>Biostar</v>
      </c>
      <c r="E68" s="174" t="s">
        <v>5532</v>
      </c>
      <c r="F68" s="266">
        <v>244.0</v>
      </c>
      <c r="G68" s="266">
        <v>208.0</v>
      </c>
      <c r="H68" s="266">
        <v>4.0</v>
      </c>
      <c r="I68" s="266" t="s">
        <v>166</v>
      </c>
      <c r="J68" s="266">
        <v>2.0</v>
      </c>
      <c r="K68" s="266" t="s">
        <v>166</v>
      </c>
      <c r="L68" s="266" t="s">
        <v>166</v>
      </c>
      <c r="M68" s="266">
        <v>1.0</v>
      </c>
      <c r="N68" s="266" t="s">
        <v>174</v>
      </c>
      <c r="O68" s="266" t="s">
        <v>174</v>
      </c>
      <c r="P68" s="266" t="s">
        <v>166</v>
      </c>
      <c r="Q68" s="266" t="s">
        <v>166</v>
      </c>
      <c r="R68" s="266">
        <v>2.0</v>
      </c>
      <c r="S68" s="266" t="s">
        <v>3149</v>
      </c>
      <c r="T68" s="266">
        <v>64.0</v>
      </c>
      <c r="U68" s="266" t="s">
        <v>5213</v>
      </c>
      <c r="V68" s="266">
        <v>4.0</v>
      </c>
      <c r="W68" s="710" t="s">
        <v>4950</v>
      </c>
      <c r="X68" s="266">
        <v>2.0</v>
      </c>
      <c r="Y68" s="266">
        <v>4.0</v>
      </c>
      <c r="Z68" s="266" t="s">
        <v>166</v>
      </c>
      <c r="AA68" s="266" t="s">
        <v>166</v>
      </c>
      <c r="AB68" s="266" t="s">
        <v>166</v>
      </c>
      <c r="AC68" s="266" t="s">
        <v>166</v>
      </c>
      <c r="AD68" s="266" t="s">
        <v>166</v>
      </c>
      <c r="AE68" s="266" t="s">
        <v>166</v>
      </c>
      <c r="AF68" s="266">
        <f t="shared" si="1"/>
        <v>6</v>
      </c>
      <c r="AG68" s="266">
        <v>2.0</v>
      </c>
      <c r="AH68" s="266">
        <v>2.0</v>
      </c>
      <c r="AI68" s="266" t="s">
        <v>166</v>
      </c>
      <c r="AJ68" s="266">
        <v>1.0</v>
      </c>
      <c r="AK68" s="48" t="s">
        <v>4959</v>
      </c>
      <c r="AL68" s="48">
        <v>1.0</v>
      </c>
      <c r="AM68" s="48" t="s">
        <v>166</v>
      </c>
      <c r="AN68" s="48" t="s">
        <v>166</v>
      </c>
      <c r="AO68" s="48" t="s">
        <v>166</v>
      </c>
      <c r="AP68" s="266" t="s">
        <v>166</v>
      </c>
      <c r="AQ68" s="266" t="s">
        <v>166</v>
      </c>
      <c r="AR68" s="48" t="s">
        <v>4960</v>
      </c>
      <c r="AS68" s="266" t="s">
        <v>166</v>
      </c>
      <c r="AT68" s="266">
        <v>3.0</v>
      </c>
      <c r="AU68" s="266">
        <v>2.0</v>
      </c>
      <c r="AV68" s="266" t="s">
        <v>166</v>
      </c>
      <c r="AW68" s="266">
        <v>1.0</v>
      </c>
      <c r="AX68" s="266" t="s">
        <v>166</v>
      </c>
      <c r="AY68" s="266">
        <v>1.0</v>
      </c>
      <c r="AZ68" s="266">
        <v>2.0</v>
      </c>
      <c r="BA68" s="266" t="s">
        <v>166</v>
      </c>
      <c r="BB68" s="266" t="s">
        <v>166</v>
      </c>
      <c r="BC68" s="266" t="s">
        <v>166</v>
      </c>
      <c r="BD68" s="266" t="s">
        <v>166</v>
      </c>
      <c r="BE68" s="48" t="s">
        <v>5012</v>
      </c>
      <c r="BF68" s="48" t="s">
        <v>5489</v>
      </c>
      <c r="BG68" s="48" t="s">
        <v>4963</v>
      </c>
      <c r="BH68" s="48">
        <v>5.0</v>
      </c>
      <c r="BI68" s="698" t="s">
        <v>5487</v>
      </c>
      <c r="BJ68" s="698"/>
      <c r="BK68" s="394"/>
      <c r="BL68" s="394"/>
      <c r="BM68" s="394"/>
      <c r="BN68" s="394"/>
      <c r="BO68" s="394"/>
      <c r="BP68" s="394"/>
    </row>
    <row r="69">
      <c r="A69" s="266" t="s">
        <v>1664</v>
      </c>
      <c r="B69" s="266" t="s">
        <v>4946</v>
      </c>
      <c r="C69" s="266" t="s">
        <v>5019</v>
      </c>
      <c r="D69" s="452" t="str">
        <f t="shared" si="11"/>
        <v>Biostar</v>
      </c>
      <c r="E69" s="174" t="s">
        <v>5533</v>
      </c>
      <c r="F69" s="266">
        <v>244.0</v>
      </c>
      <c r="G69" s="266">
        <v>244.0</v>
      </c>
      <c r="H69" s="266">
        <v>4.0</v>
      </c>
      <c r="I69" s="266" t="s">
        <v>166</v>
      </c>
      <c r="J69" s="266">
        <v>1.0</v>
      </c>
      <c r="K69" s="266" t="s">
        <v>166</v>
      </c>
      <c r="L69" s="507" t="s">
        <v>166</v>
      </c>
      <c r="M69" s="507">
        <v>2.0</v>
      </c>
      <c r="N69" s="266" t="s">
        <v>174</v>
      </c>
      <c r="O69" s="266" t="s">
        <v>174</v>
      </c>
      <c r="P69" s="266" t="s">
        <v>166</v>
      </c>
      <c r="Q69" s="266" t="s">
        <v>166</v>
      </c>
      <c r="R69" s="266">
        <v>4.0</v>
      </c>
      <c r="S69" s="266" t="s">
        <v>3149</v>
      </c>
      <c r="T69" s="266">
        <v>128.0</v>
      </c>
      <c r="U69" s="507" t="s">
        <v>5037</v>
      </c>
      <c r="V69" s="266">
        <v>4.0</v>
      </c>
      <c r="W69" s="710" t="s">
        <v>5269</v>
      </c>
      <c r="X69" s="266">
        <v>2.0</v>
      </c>
      <c r="Y69" s="266">
        <v>4.0</v>
      </c>
      <c r="Z69" s="266" t="s">
        <v>166</v>
      </c>
      <c r="AA69" s="266" t="s">
        <v>166</v>
      </c>
      <c r="AB69" s="266" t="s">
        <v>166</v>
      </c>
      <c r="AC69" s="266" t="s">
        <v>166</v>
      </c>
      <c r="AD69" s="266" t="s">
        <v>166</v>
      </c>
      <c r="AE69" s="266" t="s">
        <v>166</v>
      </c>
      <c r="AF69" s="266">
        <f t="shared" si="1"/>
        <v>6</v>
      </c>
      <c r="AG69" s="266">
        <v>2.0</v>
      </c>
      <c r="AH69" s="266">
        <v>1.0</v>
      </c>
      <c r="AI69" s="507" t="s">
        <v>166</v>
      </c>
      <c r="AJ69" s="266">
        <v>1.0</v>
      </c>
      <c r="AK69" s="48" t="s">
        <v>4959</v>
      </c>
      <c r="AL69" s="48">
        <v>1.0</v>
      </c>
      <c r="AM69" s="48">
        <v>1.0</v>
      </c>
      <c r="AN69" s="48" t="s">
        <v>166</v>
      </c>
      <c r="AO69" s="48" t="s">
        <v>232</v>
      </c>
      <c r="AP69" s="48" t="s">
        <v>166</v>
      </c>
      <c r="AQ69" s="48" t="s">
        <v>166</v>
      </c>
      <c r="AR69" s="705" t="s">
        <v>5039</v>
      </c>
      <c r="AS69" s="266" t="s">
        <v>166</v>
      </c>
      <c r="AT69" s="266">
        <v>3.0</v>
      </c>
      <c r="AU69" s="266">
        <v>1.0</v>
      </c>
      <c r="AV69" s="507" t="s">
        <v>166</v>
      </c>
      <c r="AW69" s="266">
        <v>1.0</v>
      </c>
      <c r="AX69" s="266">
        <v>1.0</v>
      </c>
      <c r="AY69" s="266">
        <v>1.0</v>
      </c>
      <c r="AZ69" s="266">
        <v>3.0</v>
      </c>
      <c r="BA69" s="266" t="s">
        <v>166</v>
      </c>
      <c r="BB69" s="266" t="s">
        <v>166</v>
      </c>
      <c r="BC69" s="266" t="s">
        <v>174</v>
      </c>
      <c r="BD69" s="266" t="s">
        <v>166</v>
      </c>
      <c r="BE69" s="48" t="s">
        <v>170</v>
      </c>
      <c r="BF69" s="48" t="s">
        <v>170</v>
      </c>
      <c r="BG69" s="48" t="s">
        <v>170</v>
      </c>
      <c r="BH69" s="48" t="s">
        <v>170</v>
      </c>
      <c r="BI69" s="698" t="s">
        <v>170</v>
      </c>
      <c r="BJ69" s="698"/>
      <c r="BK69" s="394"/>
      <c r="BL69" s="394"/>
      <c r="BM69" s="394"/>
      <c r="BN69" s="394"/>
      <c r="BO69" s="394"/>
      <c r="BP69" s="394"/>
    </row>
    <row r="70">
      <c r="A70" s="266" t="s">
        <v>1664</v>
      </c>
      <c r="B70" s="266" t="s">
        <v>4946</v>
      </c>
      <c r="C70" s="266" t="s">
        <v>5019</v>
      </c>
      <c r="D70" s="452" t="str">
        <f t="shared" si="11"/>
        <v>Biostar</v>
      </c>
      <c r="E70" s="174" t="s">
        <v>5534</v>
      </c>
      <c r="F70" s="266">
        <v>244.0</v>
      </c>
      <c r="G70" s="266">
        <v>244.0</v>
      </c>
      <c r="H70" s="266">
        <v>4.0</v>
      </c>
      <c r="I70" s="266" t="s">
        <v>166</v>
      </c>
      <c r="J70" s="266">
        <v>1.0</v>
      </c>
      <c r="K70" s="266" t="s">
        <v>166</v>
      </c>
      <c r="L70" s="507" t="s">
        <v>166</v>
      </c>
      <c r="M70" s="507">
        <v>2.0</v>
      </c>
      <c r="N70" s="266" t="s">
        <v>174</v>
      </c>
      <c r="O70" s="266" t="s">
        <v>174</v>
      </c>
      <c r="P70" s="266" t="s">
        <v>166</v>
      </c>
      <c r="Q70" s="266" t="s">
        <v>166</v>
      </c>
      <c r="R70" s="266">
        <v>4.0</v>
      </c>
      <c r="S70" s="266" t="s">
        <v>3149</v>
      </c>
      <c r="T70" s="266">
        <v>128.0</v>
      </c>
      <c r="U70" s="507" t="s">
        <v>5037</v>
      </c>
      <c r="V70" s="266">
        <v>6.0</v>
      </c>
      <c r="W70" s="710" t="s">
        <v>5269</v>
      </c>
      <c r="X70" s="266">
        <v>2.0</v>
      </c>
      <c r="Y70" s="266">
        <v>4.0</v>
      </c>
      <c r="Z70" s="266" t="s">
        <v>166</v>
      </c>
      <c r="AA70" s="266">
        <v>1.0</v>
      </c>
      <c r="AB70" s="266">
        <v>1.0</v>
      </c>
      <c r="AC70" s="266" t="s">
        <v>166</v>
      </c>
      <c r="AD70" s="266" t="s">
        <v>166</v>
      </c>
      <c r="AE70" s="266" t="s">
        <v>166</v>
      </c>
      <c r="AF70" s="266">
        <f t="shared" si="1"/>
        <v>8</v>
      </c>
      <c r="AG70" s="266">
        <v>2.0</v>
      </c>
      <c r="AH70" s="266">
        <v>1.0</v>
      </c>
      <c r="AI70" s="507" t="s">
        <v>166</v>
      </c>
      <c r="AJ70" s="266">
        <v>1.0</v>
      </c>
      <c r="AK70" s="48" t="s">
        <v>5038</v>
      </c>
      <c r="AL70" s="48">
        <v>2.5</v>
      </c>
      <c r="AM70" s="48">
        <v>1.0</v>
      </c>
      <c r="AN70" s="48" t="s">
        <v>166</v>
      </c>
      <c r="AO70" s="48" t="s">
        <v>232</v>
      </c>
      <c r="AP70" s="48" t="s">
        <v>166</v>
      </c>
      <c r="AQ70" s="48" t="s">
        <v>166</v>
      </c>
      <c r="AR70" s="705" t="s">
        <v>5139</v>
      </c>
      <c r="AS70" s="266" t="s">
        <v>166</v>
      </c>
      <c r="AT70" s="266">
        <v>3.0</v>
      </c>
      <c r="AU70" s="266">
        <v>1.0</v>
      </c>
      <c r="AV70" s="507">
        <v>1.0</v>
      </c>
      <c r="AW70" s="266">
        <v>1.0</v>
      </c>
      <c r="AX70" s="266">
        <v>1.0</v>
      </c>
      <c r="AY70" s="266" t="s">
        <v>166</v>
      </c>
      <c r="AZ70" s="266">
        <v>4.0</v>
      </c>
      <c r="BA70" s="266">
        <v>1.0</v>
      </c>
      <c r="BB70" s="266">
        <v>2.0</v>
      </c>
      <c r="BC70" s="266" t="s">
        <v>174</v>
      </c>
      <c r="BD70" s="266" t="s">
        <v>166</v>
      </c>
      <c r="BE70" s="48" t="s">
        <v>170</v>
      </c>
      <c r="BF70" s="48" t="s">
        <v>170</v>
      </c>
      <c r="BG70" s="48" t="s">
        <v>170</v>
      </c>
      <c r="BH70" s="48" t="s">
        <v>170</v>
      </c>
      <c r="BI70" s="698" t="s">
        <v>170</v>
      </c>
      <c r="BJ70" s="698"/>
      <c r="BK70" s="394"/>
      <c r="BL70" s="394"/>
      <c r="BM70" s="394"/>
      <c r="BN70" s="394"/>
      <c r="BO70" s="394"/>
      <c r="BP70" s="394"/>
    </row>
    <row r="71">
      <c r="A71" s="266" t="s">
        <v>1664</v>
      </c>
      <c r="B71" s="266" t="s">
        <v>4946</v>
      </c>
      <c r="C71" s="266" t="s">
        <v>5019</v>
      </c>
      <c r="D71" s="452" t="str">
        <f t="shared" ref="D71:D79" si="12">HYPERLINK("https://www.gigabyte.com/","Gigabyte")</f>
        <v>Gigabyte</v>
      </c>
      <c r="E71" s="174" t="s">
        <v>5535</v>
      </c>
      <c r="F71" s="266">
        <v>244.0</v>
      </c>
      <c r="G71" s="266">
        <v>244.0</v>
      </c>
      <c r="H71" s="266">
        <v>4.0</v>
      </c>
      <c r="I71" s="266" t="s">
        <v>166</v>
      </c>
      <c r="J71" s="266">
        <v>1.0</v>
      </c>
      <c r="K71" s="266" t="s">
        <v>166</v>
      </c>
      <c r="L71" s="507" t="s">
        <v>166</v>
      </c>
      <c r="M71" s="507">
        <v>2.0</v>
      </c>
      <c r="N71" s="266" t="s">
        <v>174</v>
      </c>
      <c r="O71" s="266" t="s">
        <v>174</v>
      </c>
      <c r="P71" s="266" t="s">
        <v>174</v>
      </c>
      <c r="Q71" s="266" t="s">
        <v>166</v>
      </c>
      <c r="R71" s="266">
        <v>4.0</v>
      </c>
      <c r="S71" s="266" t="s">
        <v>3149</v>
      </c>
      <c r="T71" s="266">
        <v>128.0</v>
      </c>
      <c r="U71" s="507" t="s">
        <v>5006</v>
      </c>
      <c r="V71" s="266">
        <v>4.0</v>
      </c>
      <c r="W71" s="710" t="s">
        <v>5269</v>
      </c>
      <c r="X71" s="266">
        <v>4.0</v>
      </c>
      <c r="Y71" s="266">
        <v>4.0</v>
      </c>
      <c r="Z71" s="266" t="s">
        <v>166</v>
      </c>
      <c r="AA71" s="266" t="s">
        <v>166</v>
      </c>
      <c r="AB71" s="266" t="s">
        <v>166</v>
      </c>
      <c r="AC71" s="266" t="s">
        <v>166</v>
      </c>
      <c r="AD71" s="266" t="s">
        <v>166</v>
      </c>
      <c r="AE71" s="266" t="s">
        <v>166</v>
      </c>
      <c r="AF71" s="266">
        <f t="shared" si="1"/>
        <v>8</v>
      </c>
      <c r="AG71" s="266">
        <v>1.0</v>
      </c>
      <c r="AH71" s="266">
        <v>1.0</v>
      </c>
      <c r="AI71" s="507" t="s">
        <v>166</v>
      </c>
      <c r="AJ71" s="266">
        <v>1.0</v>
      </c>
      <c r="AK71" s="48" t="s">
        <v>5536</v>
      </c>
      <c r="AL71" s="48">
        <v>1.0</v>
      </c>
      <c r="AM71" s="48" t="s">
        <v>166</v>
      </c>
      <c r="AN71" s="48" t="s">
        <v>166</v>
      </c>
      <c r="AO71" s="48" t="s">
        <v>166</v>
      </c>
      <c r="AP71" s="48" t="s">
        <v>166</v>
      </c>
      <c r="AQ71" s="48" t="s">
        <v>166</v>
      </c>
      <c r="AR71" s="48" t="s">
        <v>4960</v>
      </c>
      <c r="AS71" s="266" t="s">
        <v>166</v>
      </c>
      <c r="AT71" s="266">
        <v>3.0</v>
      </c>
      <c r="AU71" s="266">
        <v>1.0</v>
      </c>
      <c r="AV71" s="507" t="s">
        <v>166</v>
      </c>
      <c r="AW71" s="266">
        <v>1.0</v>
      </c>
      <c r="AX71" s="266">
        <v>1.0</v>
      </c>
      <c r="AY71" s="266" t="s">
        <v>166</v>
      </c>
      <c r="AZ71" s="266">
        <v>3.0</v>
      </c>
      <c r="BA71" s="266">
        <v>2.0</v>
      </c>
      <c r="BB71" s="266">
        <v>2.0</v>
      </c>
      <c r="BC71" s="266" t="s">
        <v>166</v>
      </c>
      <c r="BD71" s="266" t="s">
        <v>174</v>
      </c>
      <c r="BE71" s="48" t="s">
        <v>5012</v>
      </c>
      <c r="BF71" s="48" t="s">
        <v>5489</v>
      </c>
      <c r="BG71" s="48" t="s">
        <v>4963</v>
      </c>
      <c r="BH71" s="48">
        <v>5.0</v>
      </c>
      <c r="BI71" s="698" t="s">
        <v>5205</v>
      </c>
      <c r="BJ71" s="698"/>
      <c r="BK71" s="394"/>
      <c r="BL71" s="394"/>
      <c r="BM71" s="394"/>
      <c r="BN71" s="394"/>
      <c r="BO71" s="394"/>
      <c r="BP71" s="394"/>
    </row>
    <row r="72">
      <c r="A72" s="266" t="s">
        <v>1664</v>
      </c>
      <c r="B72" s="266" t="s">
        <v>4946</v>
      </c>
      <c r="C72" s="266" t="s">
        <v>5019</v>
      </c>
      <c r="D72" s="452" t="str">
        <f t="shared" si="12"/>
        <v>Gigabyte</v>
      </c>
      <c r="E72" s="174" t="s">
        <v>5537</v>
      </c>
      <c r="F72" s="266">
        <v>244.0</v>
      </c>
      <c r="G72" s="266">
        <v>244.0</v>
      </c>
      <c r="H72" s="266">
        <v>4.0</v>
      </c>
      <c r="I72" s="266" t="s">
        <v>166</v>
      </c>
      <c r="J72" s="266">
        <v>1.0</v>
      </c>
      <c r="K72" s="266" t="s">
        <v>166</v>
      </c>
      <c r="L72" s="507" t="s">
        <v>166</v>
      </c>
      <c r="M72" s="507">
        <v>2.0</v>
      </c>
      <c r="N72" s="266" t="s">
        <v>174</v>
      </c>
      <c r="O72" s="266" t="s">
        <v>174</v>
      </c>
      <c r="P72" s="266" t="s">
        <v>174</v>
      </c>
      <c r="Q72" s="266" t="s">
        <v>166</v>
      </c>
      <c r="R72" s="266">
        <v>4.0</v>
      </c>
      <c r="S72" s="266" t="s">
        <v>3149</v>
      </c>
      <c r="T72" s="266">
        <v>128.0</v>
      </c>
      <c r="U72" s="507" t="s">
        <v>5006</v>
      </c>
      <c r="V72" s="266">
        <v>4.0</v>
      </c>
      <c r="W72" s="710" t="s">
        <v>5269</v>
      </c>
      <c r="X72" s="266">
        <v>4.0</v>
      </c>
      <c r="Y72" s="266">
        <v>4.0</v>
      </c>
      <c r="Z72" s="266" t="s">
        <v>166</v>
      </c>
      <c r="AA72" s="266">
        <v>1.0</v>
      </c>
      <c r="AB72" s="266">
        <v>1.0</v>
      </c>
      <c r="AC72" s="266" t="s">
        <v>166</v>
      </c>
      <c r="AD72" s="266" t="s">
        <v>166</v>
      </c>
      <c r="AE72" s="266" t="s">
        <v>166</v>
      </c>
      <c r="AF72" s="266">
        <f t="shared" si="1"/>
        <v>10</v>
      </c>
      <c r="AG72" s="266">
        <v>2.0</v>
      </c>
      <c r="AH72" s="266">
        <v>1.0</v>
      </c>
      <c r="AI72" s="507" t="s">
        <v>166</v>
      </c>
      <c r="AJ72" s="266">
        <v>1.0</v>
      </c>
      <c r="AK72" s="48" t="s">
        <v>5536</v>
      </c>
      <c r="AL72" s="48">
        <v>1.0</v>
      </c>
      <c r="AM72" s="48" t="s">
        <v>166</v>
      </c>
      <c r="AN72" s="48" t="s">
        <v>166</v>
      </c>
      <c r="AO72" s="48" t="s">
        <v>166</v>
      </c>
      <c r="AP72" s="48" t="s">
        <v>166</v>
      </c>
      <c r="AQ72" s="48" t="s">
        <v>166</v>
      </c>
      <c r="AR72" s="705" t="s">
        <v>5050</v>
      </c>
      <c r="AS72" s="266" t="s">
        <v>174</v>
      </c>
      <c r="AT72" s="266">
        <v>5.0</v>
      </c>
      <c r="AU72" s="266" t="s">
        <v>166</v>
      </c>
      <c r="AV72" s="507">
        <v>1.0</v>
      </c>
      <c r="AW72" s="266">
        <v>1.0</v>
      </c>
      <c r="AX72" s="266" t="s">
        <v>166</v>
      </c>
      <c r="AY72" s="266" t="s">
        <v>166</v>
      </c>
      <c r="AZ72" s="266">
        <v>5.0</v>
      </c>
      <c r="BA72" s="266">
        <v>2.0</v>
      </c>
      <c r="BB72" s="266">
        <v>2.0</v>
      </c>
      <c r="BC72" s="266" t="s">
        <v>166</v>
      </c>
      <c r="BD72" s="266" t="s">
        <v>174</v>
      </c>
      <c r="BE72" s="48" t="s">
        <v>5012</v>
      </c>
      <c r="BF72" s="48" t="s">
        <v>5538</v>
      </c>
      <c r="BG72" s="48" t="s">
        <v>4955</v>
      </c>
      <c r="BH72" s="48">
        <v>10.0</v>
      </c>
      <c r="BI72" s="698" t="s">
        <v>5205</v>
      </c>
      <c r="BJ72" s="698"/>
      <c r="BK72" s="394"/>
      <c r="BL72" s="394"/>
      <c r="BM72" s="394"/>
      <c r="BN72" s="394"/>
      <c r="BO72" s="394"/>
      <c r="BP72" s="394"/>
    </row>
    <row r="73">
      <c r="A73" s="266" t="s">
        <v>1664</v>
      </c>
      <c r="B73" s="266" t="s">
        <v>4946</v>
      </c>
      <c r="C73" s="266" t="s">
        <v>5019</v>
      </c>
      <c r="D73" s="452" t="str">
        <f t="shared" si="12"/>
        <v>Gigabyte</v>
      </c>
      <c r="E73" s="174" t="s">
        <v>5539</v>
      </c>
      <c r="F73" s="266">
        <v>244.0</v>
      </c>
      <c r="G73" s="266">
        <v>244.0</v>
      </c>
      <c r="H73" s="266">
        <v>4.0</v>
      </c>
      <c r="I73" s="266" t="s">
        <v>166</v>
      </c>
      <c r="J73" s="266">
        <v>1.0</v>
      </c>
      <c r="K73" s="266" t="s">
        <v>166</v>
      </c>
      <c r="L73" s="507" t="s">
        <v>166</v>
      </c>
      <c r="M73" s="507">
        <v>2.0</v>
      </c>
      <c r="N73" s="266" t="s">
        <v>174</v>
      </c>
      <c r="O73" s="266" t="s">
        <v>174</v>
      </c>
      <c r="P73" s="266" t="s">
        <v>174</v>
      </c>
      <c r="Q73" s="266" t="s">
        <v>166</v>
      </c>
      <c r="R73" s="266">
        <v>4.0</v>
      </c>
      <c r="S73" s="266" t="s">
        <v>3149</v>
      </c>
      <c r="T73" s="266">
        <v>128.0</v>
      </c>
      <c r="U73" s="507" t="s">
        <v>5006</v>
      </c>
      <c r="V73" s="266">
        <v>4.0</v>
      </c>
      <c r="W73" s="710" t="s">
        <v>5269</v>
      </c>
      <c r="X73" s="266">
        <v>4.0</v>
      </c>
      <c r="Y73" s="266">
        <v>4.0</v>
      </c>
      <c r="Z73" s="266" t="s">
        <v>166</v>
      </c>
      <c r="AA73" s="266">
        <v>1.0</v>
      </c>
      <c r="AB73" s="266">
        <v>1.0</v>
      </c>
      <c r="AC73" s="266" t="s">
        <v>166</v>
      </c>
      <c r="AD73" s="266" t="s">
        <v>166</v>
      </c>
      <c r="AE73" s="266" t="s">
        <v>166</v>
      </c>
      <c r="AF73" s="266">
        <f t="shared" si="1"/>
        <v>10</v>
      </c>
      <c r="AG73" s="266">
        <v>2.0</v>
      </c>
      <c r="AH73" s="266">
        <v>1.0</v>
      </c>
      <c r="AI73" s="507" t="s">
        <v>166</v>
      </c>
      <c r="AJ73" s="266">
        <v>1.0</v>
      </c>
      <c r="AK73" s="48" t="s">
        <v>5038</v>
      </c>
      <c r="AL73" s="48">
        <v>2.5</v>
      </c>
      <c r="AM73" s="48" t="s">
        <v>166</v>
      </c>
      <c r="AN73" s="48" t="s">
        <v>166</v>
      </c>
      <c r="AO73" s="48" t="s">
        <v>166</v>
      </c>
      <c r="AP73" s="48" t="s">
        <v>166</v>
      </c>
      <c r="AQ73" s="48" t="s">
        <v>166</v>
      </c>
      <c r="AR73" s="705" t="s">
        <v>5050</v>
      </c>
      <c r="AS73" s="266" t="s">
        <v>174</v>
      </c>
      <c r="AT73" s="266">
        <v>5.0</v>
      </c>
      <c r="AU73" s="266" t="s">
        <v>166</v>
      </c>
      <c r="AV73" s="507">
        <v>1.0</v>
      </c>
      <c r="AW73" s="266">
        <v>1.0</v>
      </c>
      <c r="AX73" s="266" t="s">
        <v>166</v>
      </c>
      <c r="AY73" s="266" t="s">
        <v>166</v>
      </c>
      <c r="AZ73" s="266">
        <v>5.0</v>
      </c>
      <c r="BA73" s="266">
        <v>2.0</v>
      </c>
      <c r="BB73" s="266">
        <v>2.0</v>
      </c>
      <c r="BC73" s="266" t="s">
        <v>166</v>
      </c>
      <c r="BD73" s="266" t="s">
        <v>174</v>
      </c>
      <c r="BE73" s="48" t="s">
        <v>5012</v>
      </c>
      <c r="BF73" s="48" t="s">
        <v>5117</v>
      </c>
      <c r="BG73" s="48" t="s">
        <v>4955</v>
      </c>
      <c r="BH73" s="48">
        <v>10.0</v>
      </c>
      <c r="BI73" s="698" t="s">
        <v>5262</v>
      </c>
      <c r="BJ73" s="698"/>
      <c r="BK73" s="394"/>
      <c r="BL73" s="394"/>
      <c r="BM73" s="394"/>
      <c r="BN73" s="394"/>
      <c r="BO73" s="394"/>
      <c r="BP73" s="394"/>
    </row>
    <row r="74">
      <c r="A74" s="266" t="s">
        <v>1664</v>
      </c>
      <c r="B74" s="266" t="s">
        <v>4946</v>
      </c>
      <c r="C74" s="266" t="s">
        <v>5019</v>
      </c>
      <c r="D74" s="452" t="str">
        <f t="shared" si="12"/>
        <v>Gigabyte</v>
      </c>
      <c r="E74" s="174" t="s">
        <v>5540</v>
      </c>
      <c r="F74" s="266">
        <v>244.0</v>
      </c>
      <c r="G74" s="266">
        <v>244.0</v>
      </c>
      <c r="H74" s="266">
        <v>4.0</v>
      </c>
      <c r="I74" s="266" t="s">
        <v>166</v>
      </c>
      <c r="J74" s="266">
        <v>1.0</v>
      </c>
      <c r="K74" s="266" t="s">
        <v>166</v>
      </c>
      <c r="L74" s="507" t="s">
        <v>166</v>
      </c>
      <c r="M74" s="507">
        <v>2.0</v>
      </c>
      <c r="N74" s="266" t="s">
        <v>174</v>
      </c>
      <c r="O74" s="266" t="s">
        <v>174</v>
      </c>
      <c r="P74" s="266" t="s">
        <v>174</v>
      </c>
      <c r="Q74" s="266" t="s">
        <v>166</v>
      </c>
      <c r="R74" s="266">
        <v>4.0</v>
      </c>
      <c r="S74" s="266" t="s">
        <v>3149</v>
      </c>
      <c r="T74" s="266">
        <v>128.0</v>
      </c>
      <c r="U74" s="266" t="s">
        <v>5032</v>
      </c>
      <c r="V74" s="266">
        <v>4.0</v>
      </c>
      <c r="W74" s="710" t="s">
        <v>5269</v>
      </c>
      <c r="X74" s="266">
        <v>4.0</v>
      </c>
      <c r="Y74" s="266">
        <v>3.0</v>
      </c>
      <c r="Z74" s="266" t="s">
        <v>166</v>
      </c>
      <c r="AA74" s="266">
        <v>1.0</v>
      </c>
      <c r="AB74" s="266">
        <v>1.0</v>
      </c>
      <c r="AC74" s="266" t="s">
        <v>166</v>
      </c>
      <c r="AD74" s="266" t="s">
        <v>166</v>
      </c>
      <c r="AE74" s="266" t="s">
        <v>166</v>
      </c>
      <c r="AF74" s="266">
        <f t="shared" si="1"/>
        <v>9</v>
      </c>
      <c r="AG74" s="266">
        <v>2.0</v>
      </c>
      <c r="AH74" s="266">
        <v>1.0</v>
      </c>
      <c r="AI74" s="507" t="s">
        <v>5049</v>
      </c>
      <c r="AJ74" s="266">
        <v>1.0</v>
      </c>
      <c r="AK74" s="48" t="s">
        <v>5038</v>
      </c>
      <c r="AL74" s="48">
        <v>2.5</v>
      </c>
      <c r="AM74" s="48">
        <v>1.0</v>
      </c>
      <c r="AN74" s="48" t="s">
        <v>5044</v>
      </c>
      <c r="AO74" s="48" t="s">
        <v>5045</v>
      </c>
      <c r="AP74" s="48">
        <v>1200.0</v>
      </c>
      <c r="AQ74" s="48">
        <v>5.2</v>
      </c>
      <c r="AR74" s="705" t="s">
        <v>5050</v>
      </c>
      <c r="AS74" s="266" t="s">
        <v>174</v>
      </c>
      <c r="AT74" s="266">
        <v>5.0</v>
      </c>
      <c r="AU74" s="266" t="s">
        <v>166</v>
      </c>
      <c r="AV74" s="507">
        <v>1.0</v>
      </c>
      <c r="AW74" s="266">
        <v>1.0</v>
      </c>
      <c r="AX74" s="266" t="s">
        <v>166</v>
      </c>
      <c r="AY74" s="266" t="s">
        <v>166</v>
      </c>
      <c r="AZ74" s="266">
        <v>5.0</v>
      </c>
      <c r="BA74" s="266">
        <v>2.0</v>
      </c>
      <c r="BB74" s="266">
        <v>2.0</v>
      </c>
      <c r="BC74" s="266" t="s">
        <v>166</v>
      </c>
      <c r="BD74" s="266" t="s">
        <v>174</v>
      </c>
      <c r="BE74" s="48" t="s">
        <v>5012</v>
      </c>
      <c r="BF74" s="48" t="s">
        <v>5117</v>
      </c>
      <c r="BG74" s="48" t="s">
        <v>4955</v>
      </c>
      <c r="BH74" s="48">
        <v>10.0</v>
      </c>
      <c r="BI74" s="698" t="s">
        <v>5262</v>
      </c>
      <c r="BJ74" s="698"/>
      <c r="BK74" s="394"/>
      <c r="BL74" s="394"/>
      <c r="BM74" s="394"/>
      <c r="BN74" s="394"/>
      <c r="BO74" s="394"/>
      <c r="BP74" s="394"/>
    </row>
    <row r="75">
      <c r="A75" s="266" t="s">
        <v>1664</v>
      </c>
      <c r="B75" s="266" t="s">
        <v>4946</v>
      </c>
      <c r="C75" s="266" t="s">
        <v>5019</v>
      </c>
      <c r="D75" s="452" t="str">
        <f t="shared" si="12"/>
        <v>Gigabyte</v>
      </c>
      <c r="E75" s="174" t="s">
        <v>5541</v>
      </c>
      <c r="F75" s="266">
        <v>244.0</v>
      </c>
      <c r="G75" s="266">
        <v>244.0</v>
      </c>
      <c r="H75" s="266">
        <v>4.0</v>
      </c>
      <c r="I75" s="266" t="s">
        <v>166</v>
      </c>
      <c r="J75" s="266">
        <v>1.0</v>
      </c>
      <c r="K75" s="266" t="s">
        <v>166</v>
      </c>
      <c r="L75" s="507" t="s">
        <v>166</v>
      </c>
      <c r="M75" s="507">
        <v>2.0</v>
      </c>
      <c r="N75" s="266" t="s">
        <v>174</v>
      </c>
      <c r="O75" s="266" t="s">
        <v>174</v>
      </c>
      <c r="P75" s="266" t="s">
        <v>174</v>
      </c>
      <c r="Q75" s="266" t="s">
        <v>166</v>
      </c>
      <c r="R75" s="266">
        <v>4.0</v>
      </c>
      <c r="S75" s="266" t="s">
        <v>3149</v>
      </c>
      <c r="T75" s="266">
        <v>128.0</v>
      </c>
      <c r="U75" s="507" t="s">
        <v>5006</v>
      </c>
      <c r="V75" s="266">
        <v>4.0</v>
      </c>
      <c r="W75" s="710" t="s">
        <v>5269</v>
      </c>
      <c r="X75" s="266">
        <v>4.0</v>
      </c>
      <c r="Y75" s="266">
        <v>4.0</v>
      </c>
      <c r="Z75" s="266" t="s">
        <v>166</v>
      </c>
      <c r="AA75" s="266" t="s">
        <v>166</v>
      </c>
      <c r="AB75" s="266" t="s">
        <v>166</v>
      </c>
      <c r="AC75" s="266" t="s">
        <v>166</v>
      </c>
      <c r="AD75" s="266" t="s">
        <v>166</v>
      </c>
      <c r="AE75" s="266" t="s">
        <v>166</v>
      </c>
      <c r="AF75" s="266">
        <f t="shared" si="1"/>
        <v>8</v>
      </c>
      <c r="AG75" s="266">
        <v>1.0</v>
      </c>
      <c r="AH75" s="266">
        <v>1.0</v>
      </c>
      <c r="AI75" s="507" t="s">
        <v>166</v>
      </c>
      <c r="AJ75" s="266">
        <v>1.0</v>
      </c>
      <c r="AK75" s="48" t="s">
        <v>5536</v>
      </c>
      <c r="AL75" s="48">
        <v>1.0</v>
      </c>
      <c r="AM75" s="48" t="s">
        <v>166</v>
      </c>
      <c r="AN75" s="48" t="s">
        <v>166</v>
      </c>
      <c r="AO75" s="48" t="s">
        <v>166</v>
      </c>
      <c r="AP75" s="266" t="s">
        <v>166</v>
      </c>
      <c r="AQ75" s="266" t="s">
        <v>166</v>
      </c>
      <c r="AR75" s="48" t="s">
        <v>4960</v>
      </c>
      <c r="AS75" s="266" t="s">
        <v>166</v>
      </c>
      <c r="AT75" s="266">
        <v>3.0</v>
      </c>
      <c r="AU75" s="266">
        <v>1.0</v>
      </c>
      <c r="AV75" s="507" t="s">
        <v>166</v>
      </c>
      <c r="AW75" s="266">
        <v>1.0</v>
      </c>
      <c r="AX75" s="266">
        <v>1.0</v>
      </c>
      <c r="AY75" s="266" t="s">
        <v>166</v>
      </c>
      <c r="AZ75" s="266">
        <v>3.0</v>
      </c>
      <c r="BA75" s="266">
        <v>2.0</v>
      </c>
      <c r="BB75" s="266">
        <v>2.0</v>
      </c>
      <c r="BC75" s="266" t="s">
        <v>166</v>
      </c>
      <c r="BD75" s="266" t="s">
        <v>166</v>
      </c>
      <c r="BE75" s="48" t="s">
        <v>5012</v>
      </c>
      <c r="BF75" s="48" t="s">
        <v>5489</v>
      </c>
      <c r="BG75" s="48" t="s">
        <v>4963</v>
      </c>
      <c r="BH75" s="48">
        <v>5.0</v>
      </c>
      <c r="BI75" s="698" t="s">
        <v>5205</v>
      </c>
      <c r="BJ75" s="698"/>
      <c r="BK75" s="394"/>
      <c r="BL75" s="394"/>
      <c r="BM75" s="394"/>
      <c r="BN75" s="394"/>
      <c r="BO75" s="394"/>
      <c r="BP75" s="394"/>
    </row>
    <row r="76">
      <c r="A76" s="266" t="s">
        <v>1664</v>
      </c>
      <c r="B76" s="266" t="s">
        <v>4946</v>
      </c>
      <c r="C76" s="266" t="s">
        <v>5019</v>
      </c>
      <c r="D76" s="452" t="str">
        <f t="shared" si="12"/>
        <v>Gigabyte</v>
      </c>
      <c r="E76" s="174" t="s">
        <v>5542</v>
      </c>
      <c r="F76" s="266">
        <v>244.0</v>
      </c>
      <c r="G76" s="266">
        <v>244.0</v>
      </c>
      <c r="H76" s="266">
        <v>4.0</v>
      </c>
      <c r="I76" s="266" t="s">
        <v>166</v>
      </c>
      <c r="J76" s="266">
        <v>1.0</v>
      </c>
      <c r="K76" s="266" t="s">
        <v>166</v>
      </c>
      <c r="L76" s="507" t="s">
        <v>166</v>
      </c>
      <c r="M76" s="507">
        <v>2.0</v>
      </c>
      <c r="N76" s="266" t="s">
        <v>174</v>
      </c>
      <c r="O76" s="266" t="s">
        <v>174</v>
      </c>
      <c r="P76" s="266" t="s">
        <v>174</v>
      </c>
      <c r="Q76" s="266" t="s">
        <v>166</v>
      </c>
      <c r="R76" s="266">
        <v>4.0</v>
      </c>
      <c r="S76" s="266" t="s">
        <v>3149</v>
      </c>
      <c r="T76" s="266">
        <v>128.0</v>
      </c>
      <c r="U76" s="507" t="s">
        <v>5006</v>
      </c>
      <c r="V76" s="266">
        <v>4.0</v>
      </c>
      <c r="W76" s="710" t="s">
        <v>5269</v>
      </c>
      <c r="X76" s="266">
        <v>4.0</v>
      </c>
      <c r="Y76" s="266">
        <v>4.0</v>
      </c>
      <c r="Z76" s="266" t="s">
        <v>166</v>
      </c>
      <c r="AA76" s="266" t="s">
        <v>166</v>
      </c>
      <c r="AB76" s="266" t="s">
        <v>166</v>
      </c>
      <c r="AC76" s="266" t="s">
        <v>166</v>
      </c>
      <c r="AD76" s="266" t="s">
        <v>166</v>
      </c>
      <c r="AE76" s="266" t="s">
        <v>166</v>
      </c>
      <c r="AF76" s="266">
        <f t="shared" si="1"/>
        <v>8</v>
      </c>
      <c r="AG76" s="266">
        <v>1.0</v>
      </c>
      <c r="AH76" s="266">
        <v>1.0</v>
      </c>
      <c r="AI76" s="507" t="s">
        <v>166</v>
      </c>
      <c r="AJ76" s="266">
        <v>1.0</v>
      </c>
      <c r="AK76" s="48" t="s">
        <v>5536</v>
      </c>
      <c r="AL76" s="48">
        <v>1.0</v>
      </c>
      <c r="AM76" s="48">
        <v>1.0</v>
      </c>
      <c r="AN76" s="48" t="s">
        <v>4966</v>
      </c>
      <c r="AO76" s="48" t="s">
        <v>4967</v>
      </c>
      <c r="AP76" s="266">
        <v>433.0</v>
      </c>
      <c r="AQ76" s="266">
        <v>4.2</v>
      </c>
      <c r="AR76" s="48" t="s">
        <v>4960</v>
      </c>
      <c r="AS76" s="266" t="s">
        <v>166</v>
      </c>
      <c r="AT76" s="266">
        <v>3.0</v>
      </c>
      <c r="AU76" s="266">
        <v>1.0</v>
      </c>
      <c r="AV76" s="507" t="s">
        <v>166</v>
      </c>
      <c r="AW76" s="266">
        <v>1.0</v>
      </c>
      <c r="AX76" s="266">
        <v>1.0</v>
      </c>
      <c r="AY76" s="266" t="s">
        <v>166</v>
      </c>
      <c r="AZ76" s="266">
        <v>3.0</v>
      </c>
      <c r="BA76" s="266">
        <v>2.0</v>
      </c>
      <c r="BB76" s="266">
        <v>2.0</v>
      </c>
      <c r="BC76" s="266" t="s">
        <v>166</v>
      </c>
      <c r="BD76" s="266" t="s">
        <v>166</v>
      </c>
      <c r="BE76" s="48" t="s">
        <v>5012</v>
      </c>
      <c r="BF76" s="48" t="s">
        <v>5489</v>
      </c>
      <c r="BG76" s="48" t="s">
        <v>4963</v>
      </c>
      <c r="BH76" s="48">
        <v>5.0</v>
      </c>
      <c r="BI76" s="698" t="s">
        <v>5205</v>
      </c>
      <c r="BJ76" s="698"/>
      <c r="BK76" s="394"/>
      <c r="BL76" s="394"/>
      <c r="BM76" s="394"/>
      <c r="BN76" s="394"/>
      <c r="BO76" s="394"/>
      <c r="BP76" s="394"/>
    </row>
    <row r="77">
      <c r="A77" s="266" t="s">
        <v>1664</v>
      </c>
      <c r="B77" s="266" t="s">
        <v>4946</v>
      </c>
      <c r="C77" s="266" t="s">
        <v>5019</v>
      </c>
      <c r="D77" s="452" t="str">
        <f t="shared" si="12"/>
        <v>Gigabyte</v>
      </c>
      <c r="E77" s="174" t="s">
        <v>5543</v>
      </c>
      <c r="F77" s="266">
        <v>244.0</v>
      </c>
      <c r="G77" s="266">
        <v>205.0</v>
      </c>
      <c r="H77" s="266">
        <v>4.0</v>
      </c>
      <c r="I77" s="266" t="s">
        <v>166</v>
      </c>
      <c r="J77" s="266">
        <v>2.0</v>
      </c>
      <c r="K77" s="266" t="s">
        <v>166</v>
      </c>
      <c r="L77" s="266" t="s">
        <v>166</v>
      </c>
      <c r="M77" s="266">
        <v>1.0</v>
      </c>
      <c r="N77" s="266" t="s">
        <v>174</v>
      </c>
      <c r="O77" s="266" t="s">
        <v>174</v>
      </c>
      <c r="P77" s="266" t="s">
        <v>166</v>
      </c>
      <c r="Q77" s="266" t="s">
        <v>166</v>
      </c>
      <c r="R77" s="266">
        <v>2.0</v>
      </c>
      <c r="S77" s="266" t="s">
        <v>3149</v>
      </c>
      <c r="T77" s="266">
        <v>64.0</v>
      </c>
      <c r="U77" s="266" t="s">
        <v>5032</v>
      </c>
      <c r="V77" s="266">
        <v>4.0</v>
      </c>
      <c r="W77" s="710" t="s">
        <v>4950</v>
      </c>
      <c r="X77" s="266">
        <v>2.0</v>
      </c>
      <c r="Y77" s="266">
        <v>4.0</v>
      </c>
      <c r="Z77" s="266" t="s">
        <v>166</v>
      </c>
      <c r="AA77" s="266" t="s">
        <v>166</v>
      </c>
      <c r="AB77" s="266" t="s">
        <v>166</v>
      </c>
      <c r="AC77" s="266" t="s">
        <v>166</v>
      </c>
      <c r="AD77" s="266" t="s">
        <v>166</v>
      </c>
      <c r="AE77" s="266" t="s">
        <v>166</v>
      </c>
      <c r="AF77" s="266">
        <f t="shared" si="1"/>
        <v>6</v>
      </c>
      <c r="AG77" s="266">
        <v>1.0</v>
      </c>
      <c r="AH77" s="266">
        <v>1.0</v>
      </c>
      <c r="AI77" s="266" t="s">
        <v>166</v>
      </c>
      <c r="AJ77" s="266">
        <v>1.0</v>
      </c>
      <c r="AK77" s="48" t="s">
        <v>5536</v>
      </c>
      <c r="AL77" s="48">
        <v>1.0</v>
      </c>
      <c r="AM77" s="48" t="s">
        <v>166</v>
      </c>
      <c r="AN77" s="48" t="s">
        <v>166</v>
      </c>
      <c r="AO77" s="48" t="s">
        <v>166</v>
      </c>
      <c r="AP77" s="266" t="s">
        <v>166</v>
      </c>
      <c r="AQ77" s="266" t="s">
        <v>166</v>
      </c>
      <c r="AR77" s="48" t="s">
        <v>4960</v>
      </c>
      <c r="AS77" s="266" t="s">
        <v>166</v>
      </c>
      <c r="AT77" s="266">
        <v>3.0</v>
      </c>
      <c r="AU77" s="266">
        <v>1.0</v>
      </c>
      <c r="AV77" s="266" t="s">
        <v>166</v>
      </c>
      <c r="AW77" s="266">
        <v>1.0</v>
      </c>
      <c r="AX77" s="266">
        <v>1.0</v>
      </c>
      <c r="AY77" s="266">
        <v>1.0</v>
      </c>
      <c r="AZ77" s="266">
        <v>3.0</v>
      </c>
      <c r="BA77" s="266">
        <v>1.0</v>
      </c>
      <c r="BB77" s="266">
        <v>1.0</v>
      </c>
      <c r="BC77" s="266" t="s">
        <v>166</v>
      </c>
      <c r="BD77" s="266" t="s">
        <v>166</v>
      </c>
      <c r="BE77" s="48" t="s">
        <v>5012</v>
      </c>
      <c r="BF77" s="48" t="s">
        <v>5489</v>
      </c>
      <c r="BG77" s="48" t="s">
        <v>4963</v>
      </c>
      <c r="BH77" s="48">
        <v>5.0</v>
      </c>
      <c r="BI77" s="698" t="s">
        <v>5205</v>
      </c>
      <c r="BJ77" s="698"/>
      <c r="BK77" s="394"/>
      <c r="BL77" s="394"/>
      <c r="BM77" s="394"/>
      <c r="BN77" s="394"/>
      <c r="BO77" s="394"/>
      <c r="BP77" s="394"/>
    </row>
    <row r="78">
      <c r="A78" s="266" t="s">
        <v>1664</v>
      </c>
      <c r="B78" s="266" t="s">
        <v>4946</v>
      </c>
      <c r="C78" s="266" t="s">
        <v>5019</v>
      </c>
      <c r="D78" s="452" t="str">
        <f t="shared" si="12"/>
        <v>Gigabyte</v>
      </c>
      <c r="E78" s="174" t="s">
        <v>5544</v>
      </c>
      <c r="F78" s="266">
        <v>244.0</v>
      </c>
      <c r="G78" s="266">
        <v>205.0</v>
      </c>
      <c r="H78" s="266">
        <v>4.0</v>
      </c>
      <c r="I78" s="266" t="s">
        <v>166</v>
      </c>
      <c r="J78" s="266">
        <v>2.0</v>
      </c>
      <c r="K78" s="266" t="s">
        <v>166</v>
      </c>
      <c r="L78" s="266" t="s">
        <v>166</v>
      </c>
      <c r="M78" s="266">
        <v>1.0</v>
      </c>
      <c r="N78" s="266" t="s">
        <v>174</v>
      </c>
      <c r="O78" s="266" t="s">
        <v>174</v>
      </c>
      <c r="P78" s="266" t="s">
        <v>174</v>
      </c>
      <c r="Q78" s="266" t="s">
        <v>166</v>
      </c>
      <c r="R78" s="266">
        <v>2.0</v>
      </c>
      <c r="S78" s="266" t="s">
        <v>3149</v>
      </c>
      <c r="T78" s="266">
        <v>64.0</v>
      </c>
      <c r="U78" s="266" t="s">
        <v>5032</v>
      </c>
      <c r="V78" s="266">
        <v>4.0</v>
      </c>
      <c r="W78" s="710" t="s">
        <v>4950</v>
      </c>
      <c r="X78" s="266">
        <v>2.0</v>
      </c>
      <c r="Y78" s="266">
        <v>4.0</v>
      </c>
      <c r="Z78" s="266" t="s">
        <v>166</v>
      </c>
      <c r="AA78" s="266" t="s">
        <v>166</v>
      </c>
      <c r="AB78" s="266" t="s">
        <v>166</v>
      </c>
      <c r="AC78" s="266" t="s">
        <v>166</v>
      </c>
      <c r="AD78" s="266" t="s">
        <v>166</v>
      </c>
      <c r="AE78" s="266" t="s">
        <v>166</v>
      </c>
      <c r="AF78" s="266">
        <f t="shared" si="1"/>
        <v>6</v>
      </c>
      <c r="AG78" s="266">
        <v>2.0</v>
      </c>
      <c r="AH78" s="266">
        <v>1.0</v>
      </c>
      <c r="AI78" s="266" t="s">
        <v>166</v>
      </c>
      <c r="AJ78" s="266">
        <v>1.0</v>
      </c>
      <c r="AK78" s="48" t="s">
        <v>5536</v>
      </c>
      <c r="AL78" s="48">
        <v>1.0</v>
      </c>
      <c r="AM78" s="48" t="s">
        <v>166</v>
      </c>
      <c r="AN78" s="48" t="s">
        <v>166</v>
      </c>
      <c r="AO78" s="48" t="s">
        <v>166</v>
      </c>
      <c r="AP78" s="266" t="s">
        <v>166</v>
      </c>
      <c r="AQ78" s="266" t="s">
        <v>166</v>
      </c>
      <c r="AR78" s="48" t="s">
        <v>4960</v>
      </c>
      <c r="AS78" s="266" t="s">
        <v>166</v>
      </c>
      <c r="AT78" s="266">
        <v>3.0</v>
      </c>
      <c r="AU78" s="266">
        <v>1.0</v>
      </c>
      <c r="AV78" s="266" t="s">
        <v>166</v>
      </c>
      <c r="AW78" s="266">
        <v>1.0</v>
      </c>
      <c r="AX78" s="266" t="s">
        <v>166</v>
      </c>
      <c r="AY78" s="266">
        <v>1.0</v>
      </c>
      <c r="AZ78" s="266">
        <v>3.0</v>
      </c>
      <c r="BA78" s="266">
        <v>1.0</v>
      </c>
      <c r="BB78" s="266">
        <v>1.0</v>
      </c>
      <c r="BC78" s="266" t="s">
        <v>166</v>
      </c>
      <c r="BD78" s="266" t="s">
        <v>166</v>
      </c>
      <c r="BE78" s="48" t="s">
        <v>5012</v>
      </c>
      <c r="BF78" s="48" t="s">
        <v>4978</v>
      </c>
      <c r="BG78" s="48" t="s">
        <v>4963</v>
      </c>
      <c r="BH78" s="48">
        <v>4.0</v>
      </c>
      <c r="BI78" s="698" t="s">
        <v>5205</v>
      </c>
      <c r="BJ78" s="698"/>
      <c r="BK78" s="394"/>
      <c r="BL78" s="394"/>
      <c r="BM78" s="394"/>
      <c r="BN78" s="394"/>
      <c r="BO78" s="394"/>
      <c r="BP78" s="394"/>
    </row>
    <row r="79">
      <c r="A79" s="266" t="s">
        <v>1664</v>
      </c>
      <c r="B79" s="266" t="s">
        <v>4946</v>
      </c>
      <c r="C79" s="266" t="s">
        <v>5019</v>
      </c>
      <c r="D79" s="452" t="str">
        <f t="shared" si="12"/>
        <v>Gigabyte</v>
      </c>
      <c r="E79" s="174" t="s">
        <v>5545</v>
      </c>
      <c r="F79" s="266">
        <v>244.0</v>
      </c>
      <c r="G79" s="266">
        <v>205.0</v>
      </c>
      <c r="H79" s="266">
        <v>4.0</v>
      </c>
      <c r="I79" s="266" t="s">
        <v>166</v>
      </c>
      <c r="J79" s="266">
        <v>2.0</v>
      </c>
      <c r="K79" s="266" t="s">
        <v>166</v>
      </c>
      <c r="L79" s="266" t="s">
        <v>166</v>
      </c>
      <c r="M79" s="266">
        <v>1.0</v>
      </c>
      <c r="N79" s="266" t="s">
        <v>174</v>
      </c>
      <c r="O79" s="266" t="s">
        <v>174</v>
      </c>
      <c r="P79" s="266" t="s">
        <v>166</v>
      </c>
      <c r="Q79" s="266" t="s">
        <v>166</v>
      </c>
      <c r="R79" s="266">
        <v>2.0</v>
      </c>
      <c r="S79" s="266" t="s">
        <v>3149</v>
      </c>
      <c r="T79" s="266">
        <v>64.0</v>
      </c>
      <c r="U79" s="266" t="s">
        <v>5032</v>
      </c>
      <c r="V79" s="266">
        <v>4.0</v>
      </c>
      <c r="W79" s="710" t="s">
        <v>4950</v>
      </c>
      <c r="X79" s="266">
        <v>2.0</v>
      </c>
      <c r="Y79" s="266">
        <v>4.0</v>
      </c>
      <c r="Z79" s="266" t="s">
        <v>166</v>
      </c>
      <c r="AA79" s="266" t="s">
        <v>166</v>
      </c>
      <c r="AB79" s="266" t="s">
        <v>166</v>
      </c>
      <c r="AC79" s="266" t="s">
        <v>166</v>
      </c>
      <c r="AD79" s="266" t="s">
        <v>166</v>
      </c>
      <c r="AE79" s="266" t="s">
        <v>166</v>
      </c>
      <c r="AF79" s="266">
        <f t="shared" si="1"/>
        <v>6</v>
      </c>
      <c r="AG79" s="266">
        <v>1.0</v>
      </c>
      <c r="AH79" s="266">
        <v>1.0</v>
      </c>
      <c r="AI79" s="266" t="s">
        <v>166</v>
      </c>
      <c r="AJ79" s="266">
        <v>1.0</v>
      </c>
      <c r="AK79" s="48" t="s">
        <v>5536</v>
      </c>
      <c r="AL79" s="48">
        <v>1.0</v>
      </c>
      <c r="AM79" s="48" t="s">
        <v>166</v>
      </c>
      <c r="AN79" s="48" t="s">
        <v>166</v>
      </c>
      <c r="AO79" s="48" t="s">
        <v>166</v>
      </c>
      <c r="AP79" s="266" t="s">
        <v>166</v>
      </c>
      <c r="AQ79" s="266" t="s">
        <v>166</v>
      </c>
      <c r="AR79" s="48" t="s">
        <v>4960</v>
      </c>
      <c r="AS79" s="266" t="s">
        <v>166</v>
      </c>
      <c r="AT79" s="266">
        <v>3.0</v>
      </c>
      <c r="AU79" s="266">
        <v>1.0</v>
      </c>
      <c r="AV79" s="266" t="s">
        <v>166</v>
      </c>
      <c r="AW79" s="266">
        <v>1.0</v>
      </c>
      <c r="AX79" s="266">
        <v>1.0</v>
      </c>
      <c r="AY79" s="266">
        <v>1.0</v>
      </c>
      <c r="AZ79" s="266">
        <v>3.0</v>
      </c>
      <c r="BA79" s="266">
        <v>1.0</v>
      </c>
      <c r="BB79" s="266">
        <v>1.0</v>
      </c>
      <c r="BC79" s="266" t="s">
        <v>166</v>
      </c>
      <c r="BD79" s="266" t="s">
        <v>166</v>
      </c>
      <c r="BE79" s="48" t="s">
        <v>5012</v>
      </c>
      <c r="BF79" s="48" t="s">
        <v>5489</v>
      </c>
      <c r="BG79" s="48" t="s">
        <v>4963</v>
      </c>
      <c r="BH79" s="48">
        <v>5.0</v>
      </c>
      <c r="BI79" s="698" t="s">
        <v>5205</v>
      </c>
      <c r="BJ79" s="698"/>
      <c r="BK79" s="394"/>
      <c r="BL79" s="394"/>
      <c r="BM79" s="394"/>
      <c r="BN79" s="394"/>
      <c r="BO79" s="394"/>
      <c r="BP79" s="394"/>
    </row>
    <row r="80">
      <c r="A80" s="266" t="s">
        <v>1664</v>
      </c>
      <c r="B80" s="266" t="s">
        <v>4946</v>
      </c>
      <c r="C80" s="266" t="s">
        <v>5019</v>
      </c>
      <c r="D80" s="452" t="str">
        <f t="shared" ref="D80:D91" si="13">HYPERLINK("https://www.msi.com/index.php","MSI")</f>
        <v>MSI</v>
      </c>
      <c r="E80" s="174" t="s">
        <v>5546</v>
      </c>
      <c r="F80" s="266">
        <v>236.0</v>
      </c>
      <c r="G80" s="266">
        <v>200.0</v>
      </c>
      <c r="H80" s="266">
        <v>4.0</v>
      </c>
      <c r="I80" s="266" t="s">
        <v>166</v>
      </c>
      <c r="J80" s="266">
        <v>1.0</v>
      </c>
      <c r="K80" s="266" t="s">
        <v>166</v>
      </c>
      <c r="L80" s="266" t="s">
        <v>166</v>
      </c>
      <c r="M80" s="266">
        <v>1.0</v>
      </c>
      <c r="N80" s="266" t="s">
        <v>174</v>
      </c>
      <c r="O80" s="266" t="s">
        <v>174</v>
      </c>
      <c r="P80" s="266" t="s">
        <v>166</v>
      </c>
      <c r="Q80" s="266" t="s">
        <v>166</v>
      </c>
      <c r="R80" s="266">
        <v>2.0</v>
      </c>
      <c r="S80" s="266" t="s">
        <v>3149</v>
      </c>
      <c r="T80" s="266">
        <v>64.0</v>
      </c>
      <c r="U80" s="266" t="s">
        <v>5047</v>
      </c>
      <c r="V80" s="266">
        <v>4.0</v>
      </c>
      <c r="W80" s="710" t="s">
        <v>4950</v>
      </c>
      <c r="X80" s="266">
        <v>2.0</v>
      </c>
      <c r="Y80" s="266">
        <v>4.0</v>
      </c>
      <c r="Z80" s="266" t="s">
        <v>166</v>
      </c>
      <c r="AA80" s="266" t="s">
        <v>166</v>
      </c>
      <c r="AB80" s="266" t="s">
        <v>166</v>
      </c>
      <c r="AC80" s="266" t="s">
        <v>166</v>
      </c>
      <c r="AD80" s="266" t="s">
        <v>166</v>
      </c>
      <c r="AE80" s="266" t="s">
        <v>166</v>
      </c>
      <c r="AF80" s="266">
        <f t="shared" si="1"/>
        <v>6</v>
      </c>
      <c r="AG80" s="266">
        <v>2.0</v>
      </c>
      <c r="AH80" s="266">
        <v>1.0</v>
      </c>
      <c r="AI80" s="266" t="s">
        <v>166</v>
      </c>
      <c r="AJ80" s="266">
        <v>1.0</v>
      </c>
      <c r="AK80" s="48" t="s">
        <v>4959</v>
      </c>
      <c r="AL80" s="48">
        <v>1.0</v>
      </c>
      <c r="AM80" s="48" t="s">
        <v>166</v>
      </c>
      <c r="AN80" s="48" t="s">
        <v>166</v>
      </c>
      <c r="AO80" s="48" t="s">
        <v>166</v>
      </c>
      <c r="AP80" s="266" t="s">
        <v>166</v>
      </c>
      <c r="AQ80" s="266" t="s">
        <v>166</v>
      </c>
      <c r="AR80" s="48" t="s">
        <v>5039</v>
      </c>
      <c r="AS80" s="266" t="s">
        <v>166</v>
      </c>
      <c r="AT80" s="266">
        <v>3.0</v>
      </c>
      <c r="AU80" s="266">
        <v>2.0</v>
      </c>
      <c r="AV80" s="266" t="s">
        <v>166</v>
      </c>
      <c r="AW80" s="266">
        <v>1.0</v>
      </c>
      <c r="AX80" s="266">
        <v>1.0</v>
      </c>
      <c r="AY80" s="266" t="s">
        <v>166</v>
      </c>
      <c r="AZ80" s="266">
        <v>2.0</v>
      </c>
      <c r="BA80" s="266" t="s">
        <v>166</v>
      </c>
      <c r="BB80" s="266" t="s">
        <v>166</v>
      </c>
      <c r="BC80" s="266" t="s">
        <v>174</v>
      </c>
      <c r="BD80" s="266" t="s">
        <v>166</v>
      </c>
      <c r="BE80" s="48" t="s">
        <v>5495</v>
      </c>
      <c r="BF80" s="48" t="s">
        <v>4962</v>
      </c>
      <c r="BG80" s="48" t="s">
        <v>4963</v>
      </c>
      <c r="BH80" s="48">
        <v>4.0</v>
      </c>
      <c r="BI80" s="698" t="s">
        <v>5496</v>
      </c>
      <c r="BJ80" s="698"/>
      <c r="BK80" s="394"/>
      <c r="BL80" s="394"/>
      <c r="BM80" s="394"/>
      <c r="BN80" s="394"/>
      <c r="BO80" s="394"/>
      <c r="BP80" s="394"/>
    </row>
    <row r="81">
      <c r="A81" s="266" t="s">
        <v>1664</v>
      </c>
      <c r="B81" s="266" t="s">
        <v>4946</v>
      </c>
      <c r="C81" s="266" t="s">
        <v>5019</v>
      </c>
      <c r="D81" s="452" t="str">
        <f t="shared" si="13"/>
        <v>MSI</v>
      </c>
      <c r="E81" s="174" t="s">
        <v>5547</v>
      </c>
      <c r="F81" s="266">
        <v>244.0</v>
      </c>
      <c r="G81" s="266">
        <v>210.0</v>
      </c>
      <c r="H81" s="266">
        <v>4.0</v>
      </c>
      <c r="I81" s="266" t="s">
        <v>166</v>
      </c>
      <c r="J81" s="266">
        <v>2.0</v>
      </c>
      <c r="K81" s="266" t="s">
        <v>166</v>
      </c>
      <c r="L81" s="266" t="s">
        <v>166</v>
      </c>
      <c r="M81" s="266">
        <v>1.0</v>
      </c>
      <c r="N81" s="266" t="s">
        <v>174</v>
      </c>
      <c r="O81" s="266" t="s">
        <v>174</v>
      </c>
      <c r="P81" s="266" t="s">
        <v>166</v>
      </c>
      <c r="Q81" s="266" t="s">
        <v>166</v>
      </c>
      <c r="R81" s="266">
        <v>2.0</v>
      </c>
      <c r="S81" s="266" t="s">
        <v>3149</v>
      </c>
      <c r="T81" s="266">
        <v>64.0</v>
      </c>
      <c r="U81" s="266" t="s">
        <v>5047</v>
      </c>
      <c r="V81" s="266">
        <v>4.0</v>
      </c>
      <c r="W81" s="710" t="s">
        <v>4950</v>
      </c>
      <c r="X81" s="266">
        <v>2.0</v>
      </c>
      <c r="Y81" s="266">
        <v>4.0</v>
      </c>
      <c r="Z81" s="266" t="s">
        <v>166</v>
      </c>
      <c r="AA81" s="266" t="s">
        <v>166</v>
      </c>
      <c r="AB81" s="266" t="s">
        <v>166</v>
      </c>
      <c r="AC81" s="266" t="s">
        <v>166</v>
      </c>
      <c r="AD81" s="266" t="s">
        <v>166</v>
      </c>
      <c r="AE81" s="266" t="s">
        <v>166</v>
      </c>
      <c r="AF81" s="266">
        <f t="shared" si="1"/>
        <v>6</v>
      </c>
      <c r="AG81" s="266">
        <v>2.0</v>
      </c>
      <c r="AH81" s="266">
        <v>1.0</v>
      </c>
      <c r="AI81" s="266" t="s">
        <v>166</v>
      </c>
      <c r="AJ81" s="266">
        <v>1.0</v>
      </c>
      <c r="AK81" s="48" t="s">
        <v>4959</v>
      </c>
      <c r="AL81" s="48">
        <v>1.0</v>
      </c>
      <c r="AM81" s="48" t="s">
        <v>166</v>
      </c>
      <c r="AN81" s="48" t="s">
        <v>166</v>
      </c>
      <c r="AO81" s="48" t="s">
        <v>166</v>
      </c>
      <c r="AP81" s="266" t="s">
        <v>166</v>
      </c>
      <c r="AQ81" s="266" t="s">
        <v>166</v>
      </c>
      <c r="AR81" s="48" t="s">
        <v>5039</v>
      </c>
      <c r="AS81" s="266" t="s">
        <v>166</v>
      </c>
      <c r="AT81" s="266">
        <v>3.0</v>
      </c>
      <c r="AU81" s="266">
        <v>1.0</v>
      </c>
      <c r="AV81" s="266">
        <v>1.0</v>
      </c>
      <c r="AW81" s="266">
        <v>1.0</v>
      </c>
      <c r="AX81" s="266" t="s">
        <v>166</v>
      </c>
      <c r="AY81" s="266">
        <v>1.0</v>
      </c>
      <c r="AZ81" s="266">
        <v>2.0</v>
      </c>
      <c r="BA81" s="266">
        <v>1.0</v>
      </c>
      <c r="BB81" s="266">
        <v>1.0</v>
      </c>
      <c r="BC81" s="266" t="s">
        <v>174</v>
      </c>
      <c r="BD81" s="266" t="s">
        <v>166</v>
      </c>
      <c r="BE81" s="48" t="s">
        <v>5495</v>
      </c>
      <c r="BF81" s="48" t="s">
        <v>4962</v>
      </c>
      <c r="BG81" s="48" t="s">
        <v>4963</v>
      </c>
      <c r="BH81" s="48">
        <v>4.0</v>
      </c>
      <c r="BI81" s="698" t="s">
        <v>5496</v>
      </c>
      <c r="BJ81" s="698"/>
      <c r="BK81" s="394"/>
      <c r="BL81" s="394"/>
      <c r="BM81" s="394"/>
      <c r="BN81" s="394"/>
      <c r="BO81" s="394"/>
      <c r="BP81" s="394"/>
    </row>
    <row r="82">
      <c r="A82" s="266" t="s">
        <v>1664</v>
      </c>
      <c r="B82" s="266" t="s">
        <v>4946</v>
      </c>
      <c r="C82" s="266" t="s">
        <v>5019</v>
      </c>
      <c r="D82" s="452" t="str">
        <f t="shared" si="13"/>
        <v>MSI</v>
      </c>
      <c r="E82" s="174" t="s">
        <v>5548</v>
      </c>
      <c r="F82" s="266">
        <v>244.0</v>
      </c>
      <c r="G82" s="266">
        <v>244.0</v>
      </c>
      <c r="H82" s="266">
        <v>4.0</v>
      </c>
      <c r="I82" s="266" t="s">
        <v>166</v>
      </c>
      <c r="J82" s="266">
        <v>2.0</v>
      </c>
      <c r="K82" s="266" t="s">
        <v>166</v>
      </c>
      <c r="L82" s="507" t="s">
        <v>166</v>
      </c>
      <c r="M82" s="507">
        <v>1.0</v>
      </c>
      <c r="N82" s="266" t="s">
        <v>174</v>
      </c>
      <c r="O82" s="266" t="s">
        <v>174</v>
      </c>
      <c r="P82" s="266" t="s">
        <v>174</v>
      </c>
      <c r="Q82" s="266" t="s">
        <v>166</v>
      </c>
      <c r="R82" s="266">
        <v>4.0</v>
      </c>
      <c r="S82" s="266" t="s">
        <v>3149</v>
      </c>
      <c r="T82" s="266">
        <v>128.0</v>
      </c>
      <c r="U82" s="266" t="s">
        <v>5549</v>
      </c>
      <c r="V82" s="266">
        <v>4.0</v>
      </c>
      <c r="W82" s="710" t="s">
        <v>5251</v>
      </c>
      <c r="X82" s="266">
        <v>2.0</v>
      </c>
      <c r="Y82" s="266">
        <v>4.0</v>
      </c>
      <c r="Z82" s="266" t="s">
        <v>166</v>
      </c>
      <c r="AA82" s="266" t="s">
        <v>166</v>
      </c>
      <c r="AB82" s="266" t="s">
        <v>166</v>
      </c>
      <c r="AC82" s="266" t="s">
        <v>166</v>
      </c>
      <c r="AD82" s="266" t="s">
        <v>166</v>
      </c>
      <c r="AE82" s="266" t="s">
        <v>166</v>
      </c>
      <c r="AF82" s="266">
        <f t="shared" si="1"/>
        <v>6</v>
      </c>
      <c r="AG82" s="266">
        <v>2.0</v>
      </c>
      <c r="AH82" s="266">
        <v>1.0</v>
      </c>
      <c r="AI82" s="507" t="s">
        <v>5049</v>
      </c>
      <c r="AJ82" s="266">
        <v>1.0</v>
      </c>
      <c r="AK82" s="48" t="s">
        <v>5471</v>
      </c>
      <c r="AL82" s="48">
        <v>1.0</v>
      </c>
      <c r="AM82" s="48" t="s">
        <v>166</v>
      </c>
      <c r="AN82" s="48" t="s">
        <v>166</v>
      </c>
      <c r="AO82" s="48" t="s">
        <v>166</v>
      </c>
      <c r="AP82" s="48" t="s">
        <v>166</v>
      </c>
      <c r="AQ82" s="48" t="s">
        <v>166</v>
      </c>
      <c r="AR82" s="48" t="s">
        <v>5039</v>
      </c>
      <c r="AS82" s="266" t="s">
        <v>166</v>
      </c>
      <c r="AT82" s="266">
        <v>3.0</v>
      </c>
      <c r="AU82" s="266">
        <v>1.0</v>
      </c>
      <c r="AV82" s="507">
        <v>1.0</v>
      </c>
      <c r="AW82" s="266">
        <v>1.0</v>
      </c>
      <c r="AX82" s="266" t="s">
        <v>166</v>
      </c>
      <c r="AY82" s="266">
        <v>1.0</v>
      </c>
      <c r="AZ82" s="266">
        <v>5.0</v>
      </c>
      <c r="BA82" s="266">
        <v>2.0</v>
      </c>
      <c r="BB82" s="266">
        <v>2.0</v>
      </c>
      <c r="BC82" s="266" t="s">
        <v>174</v>
      </c>
      <c r="BD82" s="266" t="s">
        <v>166</v>
      </c>
      <c r="BE82" s="48" t="s">
        <v>5550</v>
      </c>
      <c r="BF82" s="48" t="s">
        <v>5034</v>
      </c>
      <c r="BG82" s="48" t="s">
        <v>4955</v>
      </c>
      <c r="BH82" s="48">
        <v>8.0</v>
      </c>
      <c r="BI82" s="698" t="s">
        <v>5454</v>
      </c>
      <c r="BJ82" s="698"/>
      <c r="BK82" s="394"/>
      <c r="BL82" s="394"/>
      <c r="BM82" s="394"/>
      <c r="BN82" s="394"/>
      <c r="BO82" s="394"/>
      <c r="BP82" s="394"/>
    </row>
    <row r="83">
      <c r="A83" s="266" t="s">
        <v>1664</v>
      </c>
      <c r="B83" s="266" t="s">
        <v>4946</v>
      </c>
      <c r="C83" s="266" t="s">
        <v>5019</v>
      </c>
      <c r="D83" s="452" t="str">
        <f t="shared" si="13"/>
        <v>MSI</v>
      </c>
      <c r="E83" s="174" t="s">
        <v>5551</v>
      </c>
      <c r="F83" s="266">
        <v>244.0</v>
      </c>
      <c r="G83" s="266">
        <v>244.0</v>
      </c>
      <c r="H83" s="266">
        <v>4.0</v>
      </c>
      <c r="I83" s="266" t="s">
        <v>166</v>
      </c>
      <c r="J83" s="266">
        <v>2.0</v>
      </c>
      <c r="K83" s="266" t="s">
        <v>166</v>
      </c>
      <c r="L83" s="507" t="s">
        <v>166</v>
      </c>
      <c r="M83" s="507">
        <v>1.0</v>
      </c>
      <c r="N83" s="266" t="s">
        <v>174</v>
      </c>
      <c r="O83" s="266" t="s">
        <v>174</v>
      </c>
      <c r="P83" s="266" t="s">
        <v>174</v>
      </c>
      <c r="Q83" s="266" t="s">
        <v>166</v>
      </c>
      <c r="R83" s="266">
        <v>4.0</v>
      </c>
      <c r="S83" s="266" t="s">
        <v>3149</v>
      </c>
      <c r="T83" s="266">
        <v>128.0</v>
      </c>
      <c r="U83" s="266" t="s">
        <v>5213</v>
      </c>
      <c r="V83" s="266">
        <v>4.0</v>
      </c>
      <c r="W83" s="710" t="s">
        <v>5251</v>
      </c>
      <c r="X83" s="266">
        <v>2.0</v>
      </c>
      <c r="Y83" s="266">
        <v>4.0</v>
      </c>
      <c r="Z83" s="266" t="s">
        <v>166</v>
      </c>
      <c r="AA83" s="266" t="s">
        <v>166</v>
      </c>
      <c r="AB83" s="266" t="s">
        <v>166</v>
      </c>
      <c r="AC83" s="266" t="s">
        <v>166</v>
      </c>
      <c r="AD83" s="266" t="s">
        <v>166</v>
      </c>
      <c r="AE83" s="266" t="s">
        <v>166</v>
      </c>
      <c r="AF83" s="266">
        <f t="shared" si="1"/>
        <v>6</v>
      </c>
      <c r="AG83" s="266">
        <v>2.0</v>
      </c>
      <c r="AH83" s="266">
        <v>1.0</v>
      </c>
      <c r="AI83" s="507" t="s">
        <v>5049</v>
      </c>
      <c r="AJ83" s="266">
        <v>1.0</v>
      </c>
      <c r="AK83" s="48" t="s">
        <v>5552</v>
      </c>
      <c r="AL83" s="48">
        <v>1.0</v>
      </c>
      <c r="AM83" s="48" t="s">
        <v>166</v>
      </c>
      <c r="AN83" s="48" t="s">
        <v>166</v>
      </c>
      <c r="AO83" s="48" t="s">
        <v>166</v>
      </c>
      <c r="AP83" s="48" t="s">
        <v>166</v>
      </c>
      <c r="AQ83" s="48" t="s">
        <v>166</v>
      </c>
      <c r="AR83" s="48" t="s">
        <v>5039</v>
      </c>
      <c r="AS83" s="266" t="s">
        <v>166</v>
      </c>
      <c r="AT83" s="266">
        <v>3.0</v>
      </c>
      <c r="AU83" s="266">
        <v>1.0</v>
      </c>
      <c r="AV83" s="507">
        <v>1.0</v>
      </c>
      <c r="AW83" s="266">
        <v>1.0</v>
      </c>
      <c r="AX83" s="266" t="s">
        <v>166</v>
      </c>
      <c r="AY83" s="266">
        <v>1.0</v>
      </c>
      <c r="AZ83" s="266">
        <v>5.0</v>
      </c>
      <c r="BA83" s="266">
        <v>2.0</v>
      </c>
      <c r="BB83" s="266">
        <v>2.0</v>
      </c>
      <c r="BC83" s="266" t="s">
        <v>174</v>
      </c>
      <c r="BD83" s="266" t="s">
        <v>166</v>
      </c>
      <c r="BE83" s="48" t="s">
        <v>5550</v>
      </c>
      <c r="BF83" s="48" t="s">
        <v>5034</v>
      </c>
      <c r="BG83" s="48" t="s">
        <v>4955</v>
      </c>
      <c r="BH83" s="48">
        <v>8.0</v>
      </c>
      <c r="BI83" s="698" t="s">
        <v>5454</v>
      </c>
      <c r="BJ83" s="698"/>
      <c r="BK83" s="394"/>
      <c r="BL83" s="394"/>
      <c r="BM83" s="394"/>
      <c r="BN83" s="394"/>
      <c r="BO83" s="394"/>
      <c r="BP83" s="394"/>
    </row>
    <row r="84">
      <c r="A84" s="266" t="s">
        <v>1664</v>
      </c>
      <c r="B84" s="266" t="s">
        <v>4946</v>
      </c>
      <c r="C84" s="266" t="s">
        <v>5019</v>
      </c>
      <c r="D84" s="452" t="str">
        <f t="shared" si="13"/>
        <v>MSI</v>
      </c>
      <c r="E84" s="174" t="s">
        <v>5553</v>
      </c>
      <c r="F84" s="266">
        <v>244.0</v>
      </c>
      <c r="G84" s="266">
        <v>244.0</v>
      </c>
      <c r="H84" s="266">
        <v>4.0</v>
      </c>
      <c r="I84" s="266" t="s">
        <v>166</v>
      </c>
      <c r="J84" s="266">
        <v>2.0</v>
      </c>
      <c r="K84" s="266" t="s">
        <v>166</v>
      </c>
      <c r="L84" s="507" t="s">
        <v>166</v>
      </c>
      <c r="M84" s="507">
        <v>1.0</v>
      </c>
      <c r="N84" s="266" t="s">
        <v>174</v>
      </c>
      <c r="O84" s="266" t="s">
        <v>174</v>
      </c>
      <c r="P84" s="266" t="s">
        <v>174</v>
      </c>
      <c r="Q84" s="266" t="s">
        <v>166</v>
      </c>
      <c r="R84" s="266">
        <v>4.0</v>
      </c>
      <c r="S84" s="266" t="s">
        <v>3149</v>
      </c>
      <c r="T84" s="266">
        <v>128.0</v>
      </c>
      <c r="U84" s="266" t="s">
        <v>5213</v>
      </c>
      <c r="V84" s="266">
        <v>4.0</v>
      </c>
      <c r="W84" s="710" t="s">
        <v>5251</v>
      </c>
      <c r="X84" s="266">
        <v>2.0</v>
      </c>
      <c r="Y84" s="266">
        <v>4.0</v>
      </c>
      <c r="Z84" s="266" t="s">
        <v>166</v>
      </c>
      <c r="AA84" s="266" t="s">
        <v>166</v>
      </c>
      <c r="AB84" s="266" t="s">
        <v>166</v>
      </c>
      <c r="AC84" s="266" t="s">
        <v>166</v>
      </c>
      <c r="AD84" s="266" t="s">
        <v>166</v>
      </c>
      <c r="AE84" s="266" t="s">
        <v>166</v>
      </c>
      <c r="AF84" s="266">
        <f t="shared" si="1"/>
        <v>6</v>
      </c>
      <c r="AG84" s="266">
        <v>2.0</v>
      </c>
      <c r="AH84" s="266">
        <v>1.0</v>
      </c>
      <c r="AI84" s="507" t="s">
        <v>5049</v>
      </c>
      <c r="AJ84" s="266">
        <v>1.0</v>
      </c>
      <c r="AK84" s="48" t="s">
        <v>5552</v>
      </c>
      <c r="AL84" s="48">
        <v>1.0</v>
      </c>
      <c r="AM84" s="48">
        <v>1.0</v>
      </c>
      <c r="AN84" s="48" t="s">
        <v>4966</v>
      </c>
      <c r="AO84" s="48" t="s">
        <v>4967</v>
      </c>
      <c r="AP84" s="266">
        <v>433.0</v>
      </c>
      <c r="AQ84" s="266">
        <v>4.2</v>
      </c>
      <c r="AR84" s="48" t="s">
        <v>5039</v>
      </c>
      <c r="AS84" s="266" t="s">
        <v>166</v>
      </c>
      <c r="AT84" s="266">
        <v>3.0</v>
      </c>
      <c r="AU84" s="266">
        <v>1.0</v>
      </c>
      <c r="AV84" s="507">
        <v>1.0</v>
      </c>
      <c r="AW84" s="266">
        <v>1.0</v>
      </c>
      <c r="AX84" s="266" t="s">
        <v>166</v>
      </c>
      <c r="AY84" s="266">
        <v>1.0</v>
      </c>
      <c r="AZ84" s="266">
        <v>5.0</v>
      </c>
      <c r="BA84" s="266">
        <v>2.0</v>
      </c>
      <c r="BB84" s="266">
        <v>2.0</v>
      </c>
      <c r="BC84" s="266" t="s">
        <v>174</v>
      </c>
      <c r="BD84" s="266" t="s">
        <v>166</v>
      </c>
      <c r="BE84" s="48" t="s">
        <v>5550</v>
      </c>
      <c r="BF84" s="48" t="s">
        <v>5034</v>
      </c>
      <c r="BG84" s="48" t="s">
        <v>4955</v>
      </c>
      <c r="BH84" s="48">
        <v>8.0</v>
      </c>
      <c r="BI84" s="698" t="s">
        <v>5454</v>
      </c>
      <c r="BJ84" s="698"/>
      <c r="BK84" s="394"/>
      <c r="BL84" s="394"/>
      <c r="BM84" s="394"/>
      <c r="BN84" s="394"/>
      <c r="BO84" s="394"/>
      <c r="BP84" s="394"/>
    </row>
    <row r="85">
      <c r="A85" s="266" t="s">
        <v>1664</v>
      </c>
      <c r="B85" s="266" t="s">
        <v>4946</v>
      </c>
      <c r="C85" s="266" t="s">
        <v>5019</v>
      </c>
      <c r="D85" s="452" t="str">
        <f t="shared" si="13"/>
        <v>MSI</v>
      </c>
      <c r="E85" s="174" t="s">
        <v>5554</v>
      </c>
      <c r="F85" s="266">
        <v>244.0</v>
      </c>
      <c r="G85" s="266">
        <v>244.0</v>
      </c>
      <c r="H85" s="266">
        <v>4.0</v>
      </c>
      <c r="I85" s="266" t="s">
        <v>166</v>
      </c>
      <c r="J85" s="266" t="s">
        <v>166</v>
      </c>
      <c r="K85" s="266" t="s">
        <v>166</v>
      </c>
      <c r="L85" s="507" t="s">
        <v>166</v>
      </c>
      <c r="M85" s="507">
        <v>4.0</v>
      </c>
      <c r="N85" s="266" t="s">
        <v>174</v>
      </c>
      <c r="O85" s="266" t="s">
        <v>174</v>
      </c>
      <c r="P85" s="266" t="s">
        <v>174</v>
      </c>
      <c r="Q85" s="266" t="s">
        <v>166</v>
      </c>
      <c r="R85" s="266">
        <v>4.0</v>
      </c>
      <c r="S85" s="266" t="s">
        <v>3149</v>
      </c>
      <c r="T85" s="266">
        <v>128.0</v>
      </c>
      <c r="U85" s="266" t="s">
        <v>5213</v>
      </c>
      <c r="V85" s="266">
        <v>8.0</v>
      </c>
      <c r="W85" s="710" t="s">
        <v>5251</v>
      </c>
      <c r="X85" s="266">
        <v>2.0</v>
      </c>
      <c r="Y85" s="266">
        <v>2.0</v>
      </c>
      <c r="Z85" s="266" t="s">
        <v>166</v>
      </c>
      <c r="AA85" s="266">
        <v>2.0</v>
      </c>
      <c r="AB85" s="266" t="s">
        <v>166</v>
      </c>
      <c r="AC85" s="266" t="s">
        <v>166</v>
      </c>
      <c r="AD85" s="266" t="s">
        <v>166</v>
      </c>
      <c r="AE85" s="266" t="s">
        <v>166</v>
      </c>
      <c r="AF85" s="266">
        <f t="shared" si="1"/>
        <v>6</v>
      </c>
      <c r="AG85" s="266">
        <v>2.0</v>
      </c>
      <c r="AH85" s="266">
        <v>1.0</v>
      </c>
      <c r="AI85" s="507" t="s">
        <v>5049</v>
      </c>
      <c r="AJ85" s="266">
        <v>1.0</v>
      </c>
      <c r="AK85" s="48" t="s">
        <v>5552</v>
      </c>
      <c r="AL85" s="48">
        <v>1.0</v>
      </c>
      <c r="AM85" s="48">
        <v>1.0</v>
      </c>
      <c r="AN85" s="48" t="s">
        <v>5044</v>
      </c>
      <c r="AO85" s="705" t="s">
        <v>5300</v>
      </c>
      <c r="AP85" s="48">
        <v>2400.0</v>
      </c>
      <c r="AQ85" s="48">
        <v>5.2</v>
      </c>
      <c r="AR85" s="48" t="s">
        <v>5039</v>
      </c>
      <c r="AS85" s="266" t="s">
        <v>166</v>
      </c>
      <c r="AT85" s="266">
        <v>3.0</v>
      </c>
      <c r="AU85" s="266">
        <v>1.0</v>
      </c>
      <c r="AV85" s="507">
        <v>1.0</v>
      </c>
      <c r="AW85" s="266">
        <v>1.0</v>
      </c>
      <c r="AX85" s="266" t="s">
        <v>166</v>
      </c>
      <c r="AY85" s="266">
        <v>1.0</v>
      </c>
      <c r="AZ85" s="266">
        <v>5.0</v>
      </c>
      <c r="BA85" s="266">
        <v>1.0</v>
      </c>
      <c r="BB85" s="266">
        <v>1.0</v>
      </c>
      <c r="BC85" s="266" t="s">
        <v>174</v>
      </c>
      <c r="BD85" s="266" t="s">
        <v>166</v>
      </c>
      <c r="BE85" s="48" t="s">
        <v>5550</v>
      </c>
      <c r="BF85" s="48" t="s">
        <v>5034</v>
      </c>
      <c r="BG85" s="48" t="s">
        <v>4955</v>
      </c>
      <c r="BH85" s="48">
        <v>8.0</v>
      </c>
      <c r="BI85" s="698" t="s">
        <v>5454</v>
      </c>
      <c r="BJ85" s="698"/>
      <c r="BK85" s="394"/>
      <c r="BL85" s="394"/>
      <c r="BM85" s="394"/>
      <c r="BN85" s="394"/>
      <c r="BO85" s="394"/>
      <c r="BP85" s="394"/>
    </row>
    <row r="86">
      <c r="A86" s="266" t="s">
        <v>1664</v>
      </c>
      <c r="B86" s="266" t="s">
        <v>4946</v>
      </c>
      <c r="C86" s="266" t="s">
        <v>5019</v>
      </c>
      <c r="D86" s="452" t="str">
        <f t="shared" si="13"/>
        <v>MSI</v>
      </c>
      <c r="E86" s="174" t="s">
        <v>5555</v>
      </c>
      <c r="F86" s="266">
        <v>244.0</v>
      </c>
      <c r="G86" s="266">
        <v>244.0</v>
      </c>
      <c r="H86" s="266">
        <v>4.0</v>
      </c>
      <c r="I86" s="266" t="s">
        <v>166</v>
      </c>
      <c r="J86" s="266">
        <v>2.0</v>
      </c>
      <c r="K86" s="266" t="s">
        <v>166</v>
      </c>
      <c r="L86" s="507" t="s">
        <v>166</v>
      </c>
      <c r="M86" s="507">
        <v>1.0</v>
      </c>
      <c r="N86" s="266" t="s">
        <v>174</v>
      </c>
      <c r="O86" s="266" t="s">
        <v>174</v>
      </c>
      <c r="P86" s="266" t="s">
        <v>174</v>
      </c>
      <c r="Q86" s="266" t="s">
        <v>166</v>
      </c>
      <c r="R86" s="266">
        <v>4.0</v>
      </c>
      <c r="S86" s="266" t="s">
        <v>3149</v>
      </c>
      <c r="T86" s="266">
        <v>128.0</v>
      </c>
      <c r="U86" s="266" t="s">
        <v>5213</v>
      </c>
      <c r="V86" s="266">
        <v>4.0</v>
      </c>
      <c r="W86" s="710" t="s">
        <v>5251</v>
      </c>
      <c r="X86" s="266">
        <v>2.0</v>
      </c>
      <c r="Y86" s="266">
        <v>4.0</v>
      </c>
      <c r="Z86" s="266" t="s">
        <v>166</v>
      </c>
      <c r="AA86" s="266" t="s">
        <v>166</v>
      </c>
      <c r="AB86" s="266" t="s">
        <v>166</v>
      </c>
      <c r="AC86" s="266" t="s">
        <v>166</v>
      </c>
      <c r="AD86" s="266" t="s">
        <v>166</v>
      </c>
      <c r="AE86" s="266" t="s">
        <v>166</v>
      </c>
      <c r="AF86" s="266">
        <f t="shared" si="1"/>
        <v>6</v>
      </c>
      <c r="AG86" s="266">
        <v>2.0</v>
      </c>
      <c r="AH86" s="266">
        <v>1.0</v>
      </c>
      <c r="AI86" s="507" t="s">
        <v>5049</v>
      </c>
      <c r="AJ86" s="266">
        <v>1.0</v>
      </c>
      <c r="AK86" s="48" t="s">
        <v>4959</v>
      </c>
      <c r="AL86" s="48">
        <v>1.0</v>
      </c>
      <c r="AM86" s="48" t="s">
        <v>166</v>
      </c>
      <c r="AN86" s="48" t="s">
        <v>166</v>
      </c>
      <c r="AO86" s="48" t="s">
        <v>166</v>
      </c>
      <c r="AP86" s="48" t="s">
        <v>166</v>
      </c>
      <c r="AQ86" s="48" t="s">
        <v>166</v>
      </c>
      <c r="AR86" s="48" t="s">
        <v>5039</v>
      </c>
      <c r="AS86" s="266" t="s">
        <v>166</v>
      </c>
      <c r="AT86" s="266">
        <v>3.0</v>
      </c>
      <c r="AU86" s="266">
        <v>1.0</v>
      </c>
      <c r="AV86" s="507">
        <v>1.0</v>
      </c>
      <c r="AW86" s="266">
        <v>1.0</v>
      </c>
      <c r="AX86" s="266" t="s">
        <v>166</v>
      </c>
      <c r="AY86" s="266" t="s">
        <v>166</v>
      </c>
      <c r="AZ86" s="266">
        <v>5.0</v>
      </c>
      <c r="BA86" s="266">
        <v>2.0</v>
      </c>
      <c r="BB86" s="266">
        <v>2.0</v>
      </c>
      <c r="BC86" s="266" t="s">
        <v>174</v>
      </c>
      <c r="BD86" s="266" t="s">
        <v>166</v>
      </c>
      <c r="BE86" s="48" t="s">
        <v>5550</v>
      </c>
      <c r="BF86" s="48" t="s">
        <v>5034</v>
      </c>
      <c r="BG86" s="48" t="s">
        <v>4955</v>
      </c>
      <c r="BH86" s="48">
        <v>8.0</v>
      </c>
      <c r="BI86" s="698" t="s">
        <v>5454</v>
      </c>
      <c r="BJ86" s="698"/>
      <c r="BK86" s="394"/>
      <c r="BL86" s="394"/>
      <c r="BM86" s="394"/>
      <c r="BN86" s="394"/>
      <c r="BO86" s="394"/>
      <c r="BP86" s="394"/>
    </row>
    <row r="87">
      <c r="A87" s="266" t="s">
        <v>1664</v>
      </c>
      <c r="B87" s="266" t="s">
        <v>4946</v>
      </c>
      <c r="C87" s="266" t="s">
        <v>5019</v>
      </c>
      <c r="D87" s="452" t="str">
        <f t="shared" si="13"/>
        <v>MSI</v>
      </c>
      <c r="E87" s="174" t="s">
        <v>5556</v>
      </c>
      <c r="F87" s="266">
        <v>244.0</v>
      </c>
      <c r="G87" s="266">
        <v>244.0</v>
      </c>
      <c r="H87" s="266">
        <v>4.0</v>
      </c>
      <c r="I87" s="266" t="s">
        <v>166</v>
      </c>
      <c r="J87" s="266">
        <v>2.0</v>
      </c>
      <c r="K87" s="266" t="s">
        <v>166</v>
      </c>
      <c r="L87" s="507" t="s">
        <v>166</v>
      </c>
      <c r="M87" s="507">
        <v>2.0</v>
      </c>
      <c r="N87" s="266" t="s">
        <v>174</v>
      </c>
      <c r="O87" s="266" t="s">
        <v>174</v>
      </c>
      <c r="P87" s="266" t="s">
        <v>174</v>
      </c>
      <c r="Q87" s="266" t="s">
        <v>166</v>
      </c>
      <c r="R87" s="266">
        <v>4.0</v>
      </c>
      <c r="S87" s="266" t="s">
        <v>3149</v>
      </c>
      <c r="T87" s="266">
        <v>128.0</v>
      </c>
      <c r="U87" s="266" t="s">
        <v>5213</v>
      </c>
      <c r="V87" s="266">
        <v>6.0</v>
      </c>
      <c r="W87" s="710" t="s">
        <v>5251</v>
      </c>
      <c r="X87" s="266">
        <v>2.0</v>
      </c>
      <c r="Y87" s="266">
        <v>2.0</v>
      </c>
      <c r="Z87" s="266" t="s">
        <v>166</v>
      </c>
      <c r="AA87" s="266">
        <v>1.0</v>
      </c>
      <c r="AB87" s="266">
        <v>1.0</v>
      </c>
      <c r="AC87" s="266" t="s">
        <v>166</v>
      </c>
      <c r="AD87" s="266" t="s">
        <v>166</v>
      </c>
      <c r="AE87" s="266" t="s">
        <v>166</v>
      </c>
      <c r="AF87" s="266">
        <f t="shared" si="1"/>
        <v>6</v>
      </c>
      <c r="AG87" s="266">
        <v>2.0</v>
      </c>
      <c r="AH87" s="266">
        <v>1.0</v>
      </c>
      <c r="AI87" s="507" t="s">
        <v>5049</v>
      </c>
      <c r="AJ87" s="266">
        <v>1.0</v>
      </c>
      <c r="AK87" s="48" t="s">
        <v>5038</v>
      </c>
      <c r="AL87" s="48">
        <v>2.5</v>
      </c>
      <c r="AM87" s="48" t="s">
        <v>166</v>
      </c>
      <c r="AN87" s="48" t="s">
        <v>166</v>
      </c>
      <c r="AO87" s="48" t="s">
        <v>166</v>
      </c>
      <c r="AP87" s="48" t="s">
        <v>166</v>
      </c>
      <c r="AQ87" s="48" t="s">
        <v>166</v>
      </c>
      <c r="AR87" s="705" t="s">
        <v>5325</v>
      </c>
      <c r="AS87" s="266" t="s">
        <v>174</v>
      </c>
      <c r="AT87" s="266">
        <v>5.0</v>
      </c>
      <c r="AU87" s="266">
        <v>1.0</v>
      </c>
      <c r="AV87" s="507">
        <v>1.0</v>
      </c>
      <c r="AW87" s="266">
        <v>1.0</v>
      </c>
      <c r="AX87" s="266" t="s">
        <v>166</v>
      </c>
      <c r="AY87" s="266" t="s">
        <v>166</v>
      </c>
      <c r="AZ87" s="266">
        <v>5.0</v>
      </c>
      <c r="BA87" s="266">
        <v>1.0</v>
      </c>
      <c r="BB87" s="266">
        <v>2.0</v>
      </c>
      <c r="BC87" s="266" t="s">
        <v>174</v>
      </c>
      <c r="BD87" s="266" t="s">
        <v>174</v>
      </c>
      <c r="BE87" s="48" t="s">
        <v>5012</v>
      </c>
      <c r="BF87" s="48" t="s">
        <v>5034</v>
      </c>
      <c r="BG87" s="48" t="s">
        <v>4955</v>
      </c>
      <c r="BH87" s="48">
        <v>8.0</v>
      </c>
      <c r="BI87" s="698" t="s">
        <v>5343</v>
      </c>
      <c r="BJ87" s="698"/>
      <c r="BK87" s="394"/>
      <c r="BL87" s="394"/>
      <c r="BM87" s="394"/>
      <c r="BN87" s="394"/>
      <c r="BO87" s="394"/>
      <c r="BP87" s="394"/>
    </row>
    <row r="88">
      <c r="A88" s="266" t="s">
        <v>1664</v>
      </c>
      <c r="B88" s="266" t="s">
        <v>4946</v>
      </c>
      <c r="C88" s="266" t="s">
        <v>5019</v>
      </c>
      <c r="D88" s="452" t="str">
        <f t="shared" si="13"/>
        <v>MSI</v>
      </c>
      <c r="E88" s="174" t="s">
        <v>5557</v>
      </c>
      <c r="F88" s="266">
        <v>244.0</v>
      </c>
      <c r="G88" s="266">
        <v>244.0</v>
      </c>
      <c r="H88" s="266">
        <v>4.0</v>
      </c>
      <c r="I88" s="266" t="s">
        <v>166</v>
      </c>
      <c r="J88" s="266">
        <v>2.0</v>
      </c>
      <c r="K88" s="266" t="s">
        <v>166</v>
      </c>
      <c r="L88" s="507" t="s">
        <v>166</v>
      </c>
      <c r="M88" s="507">
        <v>2.0</v>
      </c>
      <c r="N88" s="266" t="s">
        <v>174</v>
      </c>
      <c r="O88" s="266" t="s">
        <v>174</v>
      </c>
      <c r="P88" s="266" t="s">
        <v>174</v>
      </c>
      <c r="Q88" s="266" t="s">
        <v>166</v>
      </c>
      <c r="R88" s="266">
        <v>4.0</v>
      </c>
      <c r="S88" s="266" t="s">
        <v>3149</v>
      </c>
      <c r="T88" s="266">
        <v>128.0</v>
      </c>
      <c r="U88" s="266" t="s">
        <v>5213</v>
      </c>
      <c r="V88" s="266">
        <v>6.0</v>
      </c>
      <c r="W88" s="710" t="s">
        <v>5251</v>
      </c>
      <c r="X88" s="266">
        <v>2.0</v>
      </c>
      <c r="Y88" s="266">
        <v>2.0</v>
      </c>
      <c r="Z88" s="266" t="s">
        <v>166</v>
      </c>
      <c r="AA88" s="266">
        <v>1.0</v>
      </c>
      <c r="AB88" s="266">
        <v>1.0</v>
      </c>
      <c r="AC88" s="266" t="s">
        <v>166</v>
      </c>
      <c r="AD88" s="266" t="s">
        <v>166</v>
      </c>
      <c r="AE88" s="266" t="s">
        <v>166</v>
      </c>
      <c r="AF88" s="266">
        <f t="shared" si="1"/>
        <v>6</v>
      </c>
      <c r="AG88" s="266">
        <v>2.0</v>
      </c>
      <c r="AH88" s="266">
        <v>1.0</v>
      </c>
      <c r="AI88" s="507" t="s">
        <v>5049</v>
      </c>
      <c r="AJ88" s="266">
        <v>1.0</v>
      </c>
      <c r="AK88" s="48" t="s">
        <v>5038</v>
      </c>
      <c r="AL88" s="48">
        <v>2.5</v>
      </c>
      <c r="AM88" s="48">
        <v>1.0</v>
      </c>
      <c r="AN88" s="48" t="s">
        <v>5044</v>
      </c>
      <c r="AO88" s="705" t="s">
        <v>5300</v>
      </c>
      <c r="AP88" s="48">
        <v>2400.0</v>
      </c>
      <c r="AQ88" s="48">
        <v>5.2</v>
      </c>
      <c r="AR88" s="705" t="s">
        <v>5325</v>
      </c>
      <c r="AS88" s="266" t="s">
        <v>174</v>
      </c>
      <c r="AT88" s="266">
        <v>5.0</v>
      </c>
      <c r="AU88" s="266">
        <v>1.0</v>
      </c>
      <c r="AV88" s="507">
        <v>1.0</v>
      </c>
      <c r="AW88" s="266">
        <v>1.0</v>
      </c>
      <c r="AX88" s="266" t="s">
        <v>166</v>
      </c>
      <c r="AY88" s="266" t="s">
        <v>166</v>
      </c>
      <c r="AZ88" s="266">
        <v>5.0</v>
      </c>
      <c r="BA88" s="266">
        <v>1.0</v>
      </c>
      <c r="BB88" s="266">
        <v>2.0</v>
      </c>
      <c r="BC88" s="266" t="s">
        <v>174</v>
      </c>
      <c r="BD88" s="266" t="s">
        <v>174</v>
      </c>
      <c r="BE88" s="48" t="s">
        <v>5012</v>
      </c>
      <c r="BF88" s="48" t="s">
        <v>5034</v>
      </c>
      <c r="BG88" s="48" t="s">
        <v>4955</v>
      </c>
      <c r="BH88" s="48">
        <v>8.0</v>
      </c>
      <c r="BI88" s="698" t="s">
        <v>5343</v>
      </c>
      <c r="BJ88" s="698"/>
      <c r="BK88" s="394"/>
      <c r="BL88" s="394"/>
      <c r="BM88" s="394"/>
      <c r="BN88" s="394"/>
      <c r="BO88" s="394"/>
      <c r="BP88" s="394"/>
    </row>
    <row r="89">
      <c r="A89" s="266" t="s">
        <v>1664</v>
      </c>
      <c r="B89" s="266" t="s">
        <v>4946</v>
      </c>
      <c r="C89" s="266" t="s">
        <v>5019</v>
      </c>
      <c r="D89" s="452" t="str">
        <f t="shared" si="13"/>
        <v>MSI</v>
      </c>
      <c r="E89" s="174" t="s">
        <v>5558</v>
      </c>
      <c r="F89" s="266">
        <v>244.0</v>
      </c>
      <c r="G89" s="266">
        <v>244.0</v>
      </c>
      <c r="H89" s="266">
        <v>4.0</v>
      </c>
      <c r="I89" s="266" t="s">
        <v>166</v>
      </c>
      <c r="J89" s="266">
        <v>2.0</v>
      </c>
      <c r="K89" s="266" t="s">
        <v>166</v>
      </c>
      <c r="L89" s="507" t="s">
        <v>166</v>
      </c>
      <c r="M89" s="507">
        <v>2.0</v>
      </c>
      <c r="N89" s="266" t="s">
        <v>174</v>
      </c>
      <c r="O89" s="266" t="s">
        <v>174</v>
      </c>
      <c r="P89" s="266" t="s">
        <v>174</v>
      </c>
      <c r="Q89" s="266" t="s">
        <v>166</v>
      </c>
      <c r="R89" s="266">
        <v>4.0</v>
      </c>
      <c r="S89" s="266" t="s">
        <v>3149</v>
      </c>
      <c r="T89" s="266">
        <v>128.0</v>
      </c>
      <c r="U89" s="266" t="s">
        <v>5213</v>
      </c>
      <c r="V89" s="266">
        <v>6.0</v>
      </c>
      <c r="W89" s="710" t="s">
        <v>5251</v>
      </c>
      <c r="X89" s="266">
        <v>2.0</v>
      </c>
      <c r="Y89" s="266">
        <v>2.0</v>
      </c>
      <c r="Z89" s="266" t="s">
        <v>166</v>
      </c>
      <c r="AA89" s="266">
        <v>1.0</v>
      </c>
      <c r="AB89" s="266">
        <v>1.0</v>
      </c>
      <c r="AC89" s="266" t="s">
        <v>166</v>
      </c>
      <c r="AD89" s="266" t="s">
        <v>166</v>
      </c>
      <c r="AE89" s="266" t="s">
        <v>166</v>
      </c>
      <c r="AF89" s="266">
        <f t="shared" si="1"/>
        <v>6</v>
      </c>
      <c r="AG89" s="266">
        <v>2.0</v>
      </c>
      <c r="AH89" s="266">
        <v>1.0</v>
      </c>
      <c r="AI89" s="507" t="s">
        <v>5049</v>
      </c>
      <c r="AJ89" s="266">
        <v>1.0</v>
      </c>
      <c r="AK89" s="48" t="s">
        <v>5038</v>
      </c>
      <c r="AL89" s="48">
        <v>2.5</v>
      </c>
      <c r="AM89" s="48">
        <v>1.0</v>
      </c>
      <c r="AN89" s="48" t="s">
        <v>5044</v>
      </c>
      <c r="AO89" s="48" t="s">
        <v>5045</v>
      </c>
      <c r="AP89" s="48">
        <v>1200.0</v>
      </c>
      <c r="AQ89" s="48">
        <v>5.2</v>
      </c>
      <c r="AR89" s="705" t="s">
        <v>5325</v>
      </c>
      <c r="AS89" s="266" t="s">
        <v>174</v>
      </c>
      <c r="AT89" s="266">
        <v>5.0</v>
      </c>
      <c r="AU89" s="266">
        <v>1.0</v>
      </c>
      <c r="AV89" s="507">
        <v>1.0</v>
      </c>
      <c r="AW89" s="266">
        <v>1.0</v>
      </c>
      <c r="AX89" s="266" t="s">
        <v>166</v>
      </c>
      <c r="AY89" s="266" t="s">
        <v>166</v>
      </c>
      <c r="AZ89" s="266">
        <v>5.0</v>
      </c>
      <c r="BA89" s="266">
        <v>1.0</v>
      </c>
      <c r="BB89" s="266">
        <v>2.0</v>
      </c>
      <c r="BC89" s="266" t="s">
        <v>174</v>
      </c>
      <c r="BD89" s="266" t="s">
        <v>174</v>
      </c>
      <c r="BE89" s="48" t="s">
        <v>5012</v>
      </c>
      <c r="BF89" s="48" t="s">
        <v>5034</v>
      </c>
      <c r="BG89" s="48" t="s">
        <v>4955</v>
      </c>
      <c r="BH89" s="48">
        <v>8.0</v>
      </c>
      <c r="BI89" s="698" t="s">
        <v>5343</v>
      </c>
      <c r="BJ89" s="698"/>
      <c r="BK89" s="394"/>
      <c r="BL89" s="394"/>
      <c r="BM89" s="394"/>
      <c r="BN89" s="394"/>
      <c r="BO89" s="394"/>
      <c r="BP89" s="394"/>
    </row>
    <row r="90">
      <c r="A90" s="266" t="s">
        <v>1664</v>
      </c>
      <c r="B90" s="266" t="s">
        <v>4946</v>
      </c>
      <c r="C90" s="266" t="s">
        <v>5019</v>
      </c>
      <c r="D90" s="452" t="str">
        <f t="shared" si="13"/>
        <v>MSI</v>
      </c>
      <c r="E90" s="174" t="s">
        <v>5559</v>
      </c>
      <c r="F90" s="266">
        <v>244.0</v>
      </c>
      <c r="G90" s="266">
        <v>210.0</v>
      </c>
      <c r="H90" s="266">
        <v>4.0</v>
      </c>
      <c r="I90" s="266" t="s">
        <v>166</v>
      </c>
      <c r="J90" s="266">
        <v>2.0</v>
      </c>
      <c r="K90" s="266" t="s">
        <v>166</v>
      </c>
      <c r="L90" s="507" t="s">
        <v>166</v>
      </c>
      <c r="M90" s="507">
        <v>1.0</v>
      </c>
      <c r="N90" s="266" t="s">
        <v>174</v>
      </c>
      <c r="O90" s="266" t="s">
        <v>174</v>
      </c>
      <c r="P90" s="266" t="s">
        <v>166</v>
      </c>
      <c r="Q90" s="266" t="s">
        <v>166</v>
      </c>
      <c r="R90" s="266">
        <v>2.0</v>
      </c>
      <c r="S90" s="266" t="s">
        <v>3149</v>
      </c>
      <c r="T90" s="266">
        <v>64.0</v>
      </c>
      <c r="U90" s="266" t="s">
        <v>5047</v>
      </c>
      <c r="V90" s="266">
        <v>4.0</v>
      </c>
      <c r="W90" s="710" t="s">
        <v>4950</v>
      </c>
      <c r="X90" s="266">
        <v>2.0</v>
      </c>
      <c r="Y90" s="266">
        <v>4.0</v>
      </c>
      <c r="Z90" s="266" t="s">
        <v>166</v>
      </c>
      <c r="AA90" s="266" t="s">
        <v>166</v>
      </c>
      <c r="AB90" s="266" t="s">
        <v>166</v>
      </c>
      <c r="AC90" s="266" t="s">
        <v>166</v>
      </c>
      <c r="AD90" s="266" t="s">
        <v>166</v>
      </c>
      <c r="AE90" s="266" t="s">
        <v>166</v>
      </c>
      <c r="AF90" s="266">
        <f t="shared" si="1"/>
        <v>6</v>
      </c>
      <c r="AG90" s="266">
        <v>2.0</v>
      </c>
      <c r="AH90" s="266">
        <v>1.0</v>
      </c>
      <c r="AI90" s="507" t="s">
        <v>166</v>
      </c>
      <c r="AJ90" s="266">
        <v>1.0</v>
      </c>
      <c r="AK90" s="48" t="s">
        <v>4959</v>
      </c>
      <c r="AL90" s="48">
        <v>1.0</v>
      </c>
      <c r="AM90" s="48">
        <v>1.0</v>
      </c>
      <c r="AN90" s="48" t="s">
        <v>4966</v>
      </c>
      <c r="AO90" s="48" t="s">
        <v>4967</v>
      </c>
      <c r="AP90" s="48">
        <v>433.0</v>
      </c>
      <c r="AQ90" s="48">
        <v>4.2</v>
      </c>
      <c r="AR90" s="705" t="s">
        <v>5039</v>
      </c>
      <c r="AS90" s="266" t="s">
        <v>166</v>
      </c>
      <c r="AT90" s="266">
        <v>3.0</v>
      </c>
      <c r="AU90" s="266">
        <v>1.0</v>
      </c>
      <c r="AV90" s="507">
        <v>1.0</v>
      </c>
      <c r="AW90" s="266">
        <v>1.0</v>
      </c>
      <c r="AX90" s="266" t="s">
        <v>166</v>
      </c>
      <c r="AY90" s="266" t="s">
        <v>166</v>
      </c>
      <c r="AZ90" s="266">
        <v>2.0</v>
      </c>
      <c r="BA90" s="266">
        <v>1.0</v>
      </c>
      <c r="BB90" s="266">
        <v>1.0</v>
      </c>
      <c r="BC90" s="266" t="s">
        <v>174</v>
      </c>
      <c r="BD90" s="266" t="s">
        <v>166</v>
      </c>
      <c r="BE90" s="48" t="s">
        <v>5495</v>
      </c>
      <c r="BF90" s="48" t="s">
        <v>4962</v>
      </c>
      <c r="BG90" s="48" t="s">
        <v>4963</v>
      </c>
      <c r="BH90" s="48">
        <v>4.0</v>
      </c>
      <c r="BI90" s="698" t="s">
        <v>5496</v>
      </c>
      <c r="BJ90" s="698"/>
      <c r="BK90" s="394"/>
      <c r="BL90" s="394"/>
      <c r="BM90" s="394"/>
      <c r="BN90" s="394"/>
      <c r="BO90" s="394"/>
      <c r="BP90" s="394"/>
    </row>
    <row r="91">
      <c r="A91" s="501" t="s">
        <v>1664</v>
      </c>
      <c r="B91" s="501" t="s">
        <v>4946</v>
      </c>
      <c r="C91" s="501" t="s">
        <v>5019</v>
      </c>
      <c r="D91" s="500" t="str">
        <f t="shared" si="13"/>
        <v>MSI</v>
      </c>
      <c r="E91" s="291" t="s">
        <v>5560</v>
      </c>
      <c r="F91" s="501">
        <v>244.0</v>
      </c>
      <c r="G91" s="501">
        <v>244.0</v>
      </c>
      <c r="H91" s="501">
        <v>3.0</v>
      </c>
      <c r="I91" s="501" t="s">
        <v>166</v>
      </c>
      <c r="J91" s="501">
        <v>2.0</v>
      </c>
      <c r="K91" s="501" t="s">
        <v>166</v>
      </c>
      <c r="L91" s="519" t="s">
        <v>166</v>
      </c>
      <c r="M91" s="519">
        <v>1.0</v>
      </c>
      <c r="N91" s="501" t="s">
        <v>174</v>
      </c>
      <c r="O91" s="501" t="s">
        <v>174</v>
      </c>
      <c r="P91" s="501" t="s">
        <v>166</v>
      </c>
      <c r="Q91" s="501" t="s">
        <v>166</v>
      </c>
      <c r="R91" s="501">
        <v>4.0</v>
      </c>
      <c r="S91" s="501" t="s">
        <v>3149</v>
      </c>
      <c r="T91" s="519">
        <v>128.0</v>
      </c>
      <c r="U91" s="501" t="s">
        <v>5213</v>
      </c>
      <c r="V91" s="501">
        <v>4.0</v>
      </c>
      <c r="W91" s="701" t="s">
        <v>4950</v>
      </c>
      <c r="X91" s="501">
        <v>4.0</v>
      </c>
      <c r="Y91" s="501">
        <v>4.0</v>
      </c>
      <c r="Z91" s="501" t="s">
        <v>166</v>
      </c>
      <c r="AA91" s="501" t="s">
        <v>166</v>
      </c>
      <c r="AB91" s="501" t="s">
        <v>166</v>
      </c>
      <c r="AC91" s="501" t="s">
        <v>166</v>
      </c>
      <c r="AD91" s="501" t="s">
        <v>166</v>
      </c>
      <c r="AE91" s="501" t="s">
        <v>166</v>
      </c>
      <c r="AF91" s="501">
        <f t="shared" si="1"/>
        <v>8</v>
      </c>
      <c r="AG91" s="501">
        <v>2.0</v>
      </c>
      <c r="AH91" s="501">
        <v>1.0</v>
      </c>
      <c r="AI91" s="519" t="s">
        <v>166</v>
      </c>
      <c r="AJ91" s="501">
        <v>1.0</v>
      </c>
      <c r="AK91" s="700" t="s">
        <v>4959</v>
      </c>
      <c r="AL91" s="700">
        <v>1.0</v>
      </c>
      <c r="AM91" s="700" t="s">
        <v>166</v>
      </c>
      <c r="AN91" s="700" t="s">
        <v>166</v>
      </c>
      <c r="AO91" s="700" t="s">
        <v>166</v>
      </c>
      <c r="AP91" s="700" t="s">
        <v>166</v>
      </c>
      <c r="AQ91" s="700" t="s">
        <v>166</v>
      </c>
      <c r="AR91" s="712" t="s">
        <v>5039</v>
      </c>
      <c r="AS91" s="501" t="s">
        <v>166</v>
      </c>
      <c r="AT91" s="501">
        <v>3.0</v>
      </c>
      <c r="AU91" s="501">
        <v>1.0</v>
      </c>
      <c r="AV91" s="519" t="s">
        <v>166</v>
      </c>
      <c r="AW91" s="501">
        <v>1.0</v>
      </c>
      <c r="AX91" s="501">
        <v>1.0</v>
      </c>
      <c r="AY91" s="501">
        <v>1.0</v>
      </c>
      <c r="AZ91" s="501">
        <v>3.0</v>
      </c>
      <c r="BA91" s="501">
        <v>1.0</v>
      </c>
      <c r="BB91" s="501" t="s">
        <v>166</v>
      </c>
      <c r="BC91" s="501" t="s">
        <v>174</v>
      </c>
      <c r="BD91" s="501" t="s">
        <v>166</v>
      </c>
      <c r="BE91" s="700" t="s">
        <v>170</v>
      </c>
      <c r="BF91" s="700" t="s">
        <v>170</v>
      </c>
      <c r="BG91" s="700" t="s">
        <v>170</v>
      </c>
      <c r="BH91" s="700" t="s">
        <v>170</v>
      </c>
      <c r="BI91" s="703" t="s">
        <v>170</v>
      </c>
      <c r="BJ91" s="703"/>
      <c r="BK91" s="394"/>
      <c r="BL91" s="394"/>
      <c r="BM91" s="394"/>
      <c r="BN91" s="394"/>
      <c r="BO91" s="394"/>
      <c r="BP91" s="394"/>
    </row>
    <row r="92">
      <c r="A92" s="507" t="s">
        <v>1664</v>
      </c>
      <c r="B92" s="507" t="s">
        <v>4946</v>
      </c>
      <c r="C92" s="507" t="s">
        <v>5060</v>
      </c>
      <c r="D92" s="506" t="s">
        <v>169</v>
      </c>
      <c r="E92" s="282" t="s">
        <v>5561</v>
      </c>
      <c r="F92" s="507">
        <v>244.0</v>
      </c>
      <c r="G92" s="507">
        <v>244.0</v>
      </c>
      <c r="H92" s="507">
        <v>4.0</v>
      </c>
      <c r="I92" s="507" t="s">
        <v>166</v>
      </c>
      <c r="J92" s="507">
        <v>1.0</v>
      </c>
      <c r="K92" s="507" t="s">
        <v>166</v>
      </c>
      <c r="L92" s="507" t="s">
        <v>166</v>
      </c>
      <c r="M92" s="507">
        <v>2.0</v>
      </c>
      <c r="N92" s="507" t="s">
        <v>174</v>
      </c>
      <c r="O92" s="507" t="s">
        <v>174</v>
      </c>
      <c r="P92" s="507" t="s">
        <v>166</v>
      </c>
      <c r="Q92" s="507" t="s">
        <v>166</v>
      </c>
      <c r="R92" s="507">
        <v>4.0</v>
      </c>
      <c r="S92" s="507" t="s">
        <v>3149</v>
      </c>
      <c r="T92" s="507">
        <v>128.0</v>
      </c>
      <c r="U92" s="507" t="s">
        <v>5264</v>
      </c>
      <c r="V92" s="507">
        <v>8.0</v>
      </c>
      <c r="W92" s="711" t="s">
        <v>5305</v>
      </c>
      <c r="X92" s="507" t="s">
        <v>166</v>
      </c>
      <c r="Y92" s="507">
        <v>6.0</v>
      </c>
      <c r="Z92" s="507" t="s">
        <v>166</v>
      </c>
      <c r="AA92" s="507">
        <v>1.0</v>
      </c>
      <c r="AB92" s="507">
        <v>1.0</v>
      </c>
      <c r="AC92" s="507" t="s">
        <v>166</v>
      </c>
      <c r="AD92" s="507" t="s">
        <v>166</v>
      </c>
      <c r="AE92" s="507" t="s">
        <v>166</v>
      </c>
      <c r="AF92" s="507">
        <f t="shared" si="1"/>
        <v>8</v>
      </c>
      <c r="AG92" s="507">
        <v>2.0</v>
      </c>
      <c r="AH92" s="507">
        <v>1.0</v>
      </c>
      <c r="AI92" s="507" t="s">
        <v>166</v>
      </c>
      <c r="AJ92" s="507">
        <v>1.0</v>
      </c>
      <c r="AK92" s="705" t="s">
        <v>4951</v>
      </c>
      <c r="AL92" s="705">
        <v>1.0</v>
      </c>
      <c r="AM92" s="705">
        <v>1.0</v>
      </c>
      <c r="AN92" s="705" t="s">
        <v>166</v>
      </c>
      <c r="AO92" s="705" t="s">
        <v>232</v>
      </c>
      <c r="AP92" s="507" t="s">
        <v>166</v>
      </c>
      <c r="AQ92" s="507" t="s">
        <v>166</v>
      </c>
      <c r="AR92" s="705" t="s">
        <v>5050</v>
      </c>
      <c r="AS92" s="507" t="s">
        <v>166</v>
      </c>
      <c r="AT92" s="507">
        <v>3.0</v>
      </c>
      <c r="AU92" s="507">
        <v>1.0</v>
      </c>
      <c r="AV92" s="507">
        <v>1.0</v>
      </c>
      <c r="AW92" s="507">
        <v>1.0</v>
      </c>
      <c r="AX92" s="507" t="s">
        <v>166</v>
      </c>
      <c r="AY92" s="507" t="s">
        <v>166</v>
      </c>
      <c r="AZ92" s="507">
        <v>5.0</v>
      </c>
      <c r="BA92" s="507">
        <v>2.0</v>
      </c>
      <c r="BB92" s="507">
        <v>1.0</v>
      </c>
      <c r="BC92" s="507" t="s">
        <v>174</v>
      </c>
      <c r="BD92" s="507" t="s">
        <v>166</v>
      </c>
      <c r="BE92" s="705" t="s">
        <v>5443</v>
      </c>
      <c r="BF92" s="705" t="s">
        <v>5034</v>
      </c>
      <c r="BG92" s="705" t="s">
        <v>4955</v>
      </c>
      <c r="BH92" s="705">
        <v>8.0</v>
      </c>
      <c r="BI92" s="708" t="s">
        <v>5439</v>
      </c>
      <c r="BJ92" s="708"/>
      <c r="BK92" s="394"/>
      <c r="BL92" s="394"/>
      <c r="BM92" s="394"/>
      <c r="BN92" s="394"/>
      <c r="BO92" s="394"/>
      <c r="BP92" s="394"/>
    </row>
    <row r="93">
      <c r="A93" s="266" t="s">
        <v>1664</v>
      </c>
      <c r="B93" s="507" t="s">
        <v>4946</v>
      </c>
      <c r="C93" s="507" t="s">
        <v>5060</v>
      </c>
      <c r="D93" s="506" t="s">
        <v>5067</v>
      </c>
      <c r="E93" s="282" t="s">
        <v>5562</v>
      </c>
      <c r="F93" s="507">
        <v>244.0</v>
      </c>
      <c r="G93" s="507">
        <v>244.0</v>
      </c>
      <c r="H93" s="507">
        <v>4.0</v>
      </c>
      <c r="I93" s="507" t="s">
        <v>166</v>
      </c>
      <c r="J93" s="507">
        <v>1.0</v>
      </c>
      <c r="K93" s="507" t="s">
        <v>166</v>
      </c>
      <c r="L93" s="507">
        <v>1.0</v>
      </c>
      <c r="M93" s="507">
        <v>1.0</v>
      </c>
      <c r="N93" s="507" t="s">
        <v>174</v>
      </c>
      <c r="O93" s="507" t="s">
        <v>174</v>
      </c>
      <c r="P93" s="507" t="s">
        <v>166</v>
      </c>
      <c r="Q93" s="507" t="s">
        <v>166</v>
      </c>
      <c r="R93" s="507">
        <v>4.0</v>
      </c>
      <c r="S93" s="507" t="s">
        <v>3149</v>
      </c>
      <c r="T93" s="507">
        <v>128.0</v>
      </c>
      <c r="U93" s="507">
        <v>3200.0</v>
      </c>
      <c r="V93" s="507">
        <v>8.0</v>
      </c>
      <c r="W93" s="710" t="s">
        <v>5269</v>
      </c>
      <c r="X93" s="507" t="s">
        <v>166</v>
      </c>
      <c r="Y93" s="507" t="s">
        <v>166</v>
      </c>
      <c r="Z93" s="507" t="s">
        <v>166</v>
      </c>
      <c r="AA93" s="507">
        <v>2.0</v>
      </c>
      <c r="AB93" s="507" t="s">
        <v>166</v>
      </c>
      <c r="AC93" s="507" t="s">
        <v>166</v>
      </c>
      <c r="AD93" s="507" t="s">
        <v>166</v>
      </c>
      <c r="AE93" s="507" t="s">
        <v>166</v>
      </c>
      <c r="AF93" s="507">
        <f t="shared" si="1"/>
        <v>2</v>
      </c>
      <c r="AG93" s="507" t="s">
        <v>166</v>
      </c>
      <c r="AH93" s="507">
        <v>1.0</v>
      </c>
      <c r="AI93" s="507" t="s">
        <v>166</v>
      </c>
      <c r="AJ93" s="507">
        <v>4.0</v>
      </c>
      <c r="AK93" s="705" t="s">
        <v>5563</v>
      </c>
      <c r="AL93" s="705" t="s">
        <v>5511</v>
      </c>
      <c r="AM93" s="705" t="s">
        <v>166</v>
      </c>
      <c r="AN93" s="705" t="s">
        <v>166</v>
      </c>
      <c r="AO93" s="705" t="s">
        <v>166</v>
      </c>
      <c r="AP93" s="507" t="s">
        <v>166</v>
      </c>
      <c r="AQ93" s="507" t="s">
        <v>166</v>
      </c>
      <c r="AR93" s="705" t="s">
        <v>166</v>
      </c>
      <c r="AS93" s="507" t="s">
        <v>166</v>
      </c>
      <c r="AT93" s="507" t="s">
        <v>166</v>
      </c>
      <c r="AU93" s="507" t="s">
        <v>166</v>
      </c>
      <c r="AV93" s="507" t="s">
        <v>166</v>
      </c>
      <c r="AW93" s="507">
        <v>1.0</v>
      </c>
      <c r="AX93" s="507" t="s">
        <v>166</v>
      </c>
      <c r="AY93" s="507">
        <v>1.0</v>
      </c>
      <c r="AZ93" s="507">
        <v>6.0</v>
      </c>
      <c r="BA93" s="507" t="s">
        <v>166</v>
      </c>
      <c r="BB93" s="507" t="s">
        <v>166</v>
      </c>
      <c r="BC93" s="507" t="s">
        <v>166</v>
      </c>
      <c r="BD93" s="507" t="s">
        <v>166</v>
      </c>
      <c r="BE93" s="705" t="s">
        <v>170</v>
      </c>
      <c r="BF93" s="705" t="s">
        <v>170</v>
      </c>
      <c r="BG93" s="705" t="s">
        <v>170</v>
      </c>
      <c r="BH93" s="705" t="s">
        <v>170</v>
      </c>
      <c r="BI93" s="708" t="s">
        <v>170</v>
      </c>
      <c r="BJ93" s="708" t="s">
        <v>5514</v>
      </c>
      <c r="BK93" s="394"/>
      <c r="BL93" s="394"/>
      <c r="BM93" s="394"/>
      <c r="BN93" s="394"/>
      <c r="BO93" s="394"/>
      <c r="BP93" s="394"/>
    </row>
    <row r="94">
      <c r="A94" s="519" t="s">
        <v>1664</v>
      </c>
      <c r="B94" s="519" t="s">
        <v>4946</v>
      </c>
      <c r="C94" s="519" t="s">
        <v>5060</v>
      </c>
      <c r="D94" s="391" t="str">
        <f>HYPERLINK("https://www.asus.com/","Asus")</f>
        <v>Asus</v>
      </c>
      <c r="E94" s="290" t="s">
        <v>5564</v>
      </c>
      <c r="F94" s="519">
        <v>203.0</v>
      </c>
      <c r="G94" s="519">
        <v>170.0</v>
      </c>
      <c r="H94" s="519">
        <v>4.0</v>
      </c>
      <c r="I94" s="519" t="s">
        <v>166</v>
      </c>
      <c r="J94" s="519" t="s">
        <v>166</v>
      </c>
      <c r="K94" s="519" t="s">
        <v>166</v>
      </c>
      <c r="L94" s="519" t="s">
        <v>166</v>
      </c>
      <c r="M94" s="519">
        <v>1.0</v>
      </c>
      <c r="N94" s="519" t="s">
        <v>174</v>
      </c>
      <c r="O94" s="519" t="s">
        <v>174</v>
      </c>
      <c r="P94" s="519" t="s">
        <v>174</v>
      </c>
      <c r="Q94" s="519" t="s">
        <v>174</v>
      </c>
      <c r="R94" s="519">
        <v>2.0</v>
      </c>
      <c r="S94" s="519" t="s">
        <v>3149</v>
      </c>
      <c r="T94" s="519">
        <v>64.0</v>
      </c>
      <c r="U94" s="519" t="s">
        <v>5223</v>
      </c>
      <c r="V94" s="519">
        <v>4.0</v>
      </c>
      <c r="W94" s="719" t="s">
        <v>5269</v>
      </c>
      <c r="X94" s="519" t="s">
        <v>166</v>
      </c>
      <c r="Y94" s="519">
        <v>2.0</v>
      </c>
      <c r="Z94" s="519" t="s">
        <v>166</v>
      </c>
      <c r="AA94" s="519">
        <v>5.0</v>
      </c>
      <c r="AB94" s="519">
        <v>1.0</v>
      </c>
      <c r="AC94" s="519" t="s">
        <v>166</v>
      </c>
      <c r="AD94" s="519" t="s">
        <v>166</v>
      </c>
      <c r="AE94" s="519" t="s">
        <v>166</v>
      </c>
      <c r="AF94" s="519">
        <f t="shared" si="1"/>
        <v>8</v>
      </c>
      <c r="AG94" s="519">
        <v>1.0</v>
      </c>
      <c r="AH94" s="519">
        <v>1.0</v>
      </c>
      <c r="AI94" s="519" t="s">
        <v>5025</v>
      </c>
      <c r="AJ94" s="519">
        <v>1.0</v>
      </c>
      <c r="AK94" s="712" t="s">
        <v>4951</v>
      </c>
      <c r="AL94" s="712">
        <v>1.0</v>
      </c>
      <c r="AM94" s="712">
        <v>1.0</v>
      </c>
      <c r="AN94" s="712" t="s">
        <v>5027</v>
      </c>
      <c r="AO94" s="712" t="s">
        <v>5028</v>
      </c>
      <c r="AP94" s="519">
        <v>2400.0</v>
      </c>
      <c r="AQ94" s="519">
        <v>5.2</v>
      </c>
      <c r="AR94" s="712" t="s">
        <v>5565</v>
      </c>
      <c r="AS94" s="519" t="s">
        <v>174</v>
      </c>
      <c r="AT94" s="519">
        <v>3.0</v>
      </c>
      <c r="AU94" s="519" t="s">
        <v>166</v>
      </c>
      <c r="AV94" s="519" t="s">
        <v>166</v>
      </c>
      <c r="AW94" s="519" t="s">
        <v>166</v>
      </c>
      <c r="AX94" s="519" t="s">
        <v>166</v>
      </c>
      <c r="AY94" s="519" t="s">
        <v>166</v>
      </c>
      <c r="AZ94" s="519">
        <v>3.0</v>
      </c>
      <c r="BA94" s="519">
        <v>1.0</v>
      </c>
      <c r="BB94" s="519">
        <v>2.0</v>
      </c>
      <c r="BC94" s="519" t="s">
        <v>174</v>
      </c>
      <c r="BD94" s="519" t="s">
        <v>174</v>
      </c>
      <c r="BE94" s="712" t="s">
        <v>4972</v>
      </c>
      <c r="BF94" s="712" t="s">
        <v>5034</v>
      </c>
      <c r="BG94" s="712" t="s">
        <v>4955</v>
      </c>
      <c r="BH94" s="712">
        <v>8.0</v>
      </c>
      <c r="BI94" s="717" t="s">
        <v>5075</v>
      </c>
      <c r="BJ94" s="717"/>
      <c r="BK94" s="394"/>
      <c r="BL94" s="394"/>
      <c r="BM94" s="394"/>
      <c r="BN94" s="394"/>
      <c r="BO94" s="394"/>
      <c r="BP94" s="394"/>
    </row>
    <row r="95">
      <c r="A95" s="507" t="s">
        <v>1664</v>
      </c>
      <c r="B95" s="507" t="s">
        <v>5081</v>
      </c>
      <c r="C95" s="507" t="s">
        <v>5566</v>
      </c>
      <c r="D95" s="506" t="s">
        <v>5067</v>
      </c>
      <c r="E95" s="715" t="s">
        <v>5567</v>
      </c>
      <c r="F95" s="507">
        <v>170.0</v>
      </c>
      <c r="G95" s="507">
        <v>208.0</v>
      </c>
      <c r="H95" s="507">
        <v>5.0</v>
      </c>
      <c r="I95" s="507" t="s">
        <v>166</v>
      </c>
      <c r="J95" s="507" t="s">
        <v>166</v>
      </c>
      <c r="K95" s="507" t="s">
        <v>166</v>
      </c>
      <c r="L95" s="507" t="s">
        <v>166</v>
      </c>
      <c r="M95" s="507">
        <v>1.0</v>
      </c>
      <c r="N95" s="507" t="s">
        <v>174</v>
      </c>
      <c r="O95" s="507" t="s">
        <v>174</v>
      </c>
      <c r="P95" s="507" t="s">
        <v>166</v>
      </c>
      <c r="Q95" s="507" t="s">
        <v>166</v>
      </c>
      <c r="R95" s="507">
        <v>4.0</v>
      </c>
      <c r="S95" s="507" t="s">
        <v>3151</v>
      </c>
      <c r="T95" s="507">
        <v>128.0</v>
      </c>
      <c r="U95" s="507">
        <v>5200.0</v>
      </c>
      <c r="V95" s="507" t="s">
        <v>166</v>
      </c>
      <c r="W95" s="711" t="s">
        <v>5062</v>
      </c>
      <c r="X95" s="507" t="s">
        <v>166</v>
      </c>
      <c r="Y95" s="507">
        <v>2.0</v>
      </c>
      <c r="Z95" s="507" t="s">
        <v>166</v>
      </c>
      <c r="AA95" s="507" t="s">
        <v>166</v>
      </c>
      <c r="AB95" s="507" t="s">
        <v>166</v>
      </c>
      <c r="AC95" s="507" t="s">
        <v>166</v>
      </c>
      <c r="AD95" s="507" t="s">
        <v>166</v>
      </c>
      <c r="AE95" s="507" t="s">
        <v>166</v>
      </c>
      <c r="AF95" s="507">
        <f t="shared" si="1"/>
        <v>2</v>
      </c>
      <c r="AG95" s="507" t="s">
        <v>166</v>
      </c>
      <c r="AH95" s="507">
        <v>1.0</v>
      </c>
      <c r="AI95" s="507" t="s">
        <v>166</v>
      </c>
      <c r="AJ95" s="507">
        <v>3.0</v>
      </c>
      <c r="AK95" s="48" t="s">
        <v>5568</v>
      </c>
      <c r="AL95" s="48">
        <v>1.0</v>
      </c>
      <c r="AM95" s="705" t="s">
        <v>166</v>
      </c>
      <c r="AN95" s="705" t="s">
        <v>166</v>
      </c>
      <c r="AO95" s="705" t="s">
        <v>166</v>
      </c>
      <c r="AP95" s="507" t="s">
        <v>166</v>
      </c>
      <c r="AQ95" s="507" t="s">
        <v>166</v>
      </c>
      <c r="AR95" s="705" t="s">
        <v>166</v>
      </c>
      <c r="AS95" s="507" t="s">
        <v>166</v>
      </c>
      <c r="AT95" s="507" t="s">
        <v>166</v>
      </c>
      <c r="AU95" s="507" t="s">
        <v>166</v>
      </c>
      <c r="AV95" s="266" t="s">
        <v>166</v>
      </c>
      <c r="AW95" s="507">
        <v>1.0</v>
      </c>
      <c r="AX95" s="507" t="s">
        <v>166</v>
      </c>
      <c r="AY95" s="507">
        <v>1.0</v>
      </c>
      <c r="AZ95" s="507">
        <v>3.0</v>
      </c>
      <c r="BA95" s="507" t="s">
        <v>166</v>
      </c>
      <c r="BB95" s="507" t="s">
        <v>166</v>
      </c>
      <c r="BC95" s="507" t="s">
        <v>166</v>
      </c>
      <c r="BD95" s="507" t="s">
        <v>166</v>
      </c>
      <c r="BE95" s="705" t="s">
        <v>170</v>
      </c>
      <c r="BF95" s="705" t="s">
        <v>170</v>
      </c>
      <c r="BG95" s="705" t="s">
        <v>170</v>
      </c>
      <c r="BH95" s="705" t="s">
        <v>170</v>
      </c>
      <c r="BI95" s="708" t="s">
        <v>170</v>
      </c>
      <c r="BJ95" s="708" t="s">
        <v>5514</v>
      </c>
      <c r="BK95" s="394"/>
      <c r="BL95" s="394"/>
      <c r="BM95" s="394"/>
      <c r="BN95" s="394"/>
      <c r="BO95" s="394"/>
      <c r="BP95" s="394"/>
    </row>
    <row r="96">
      <c r="A96" s="519" t="s">
        <v>1664</v>
      </c>
      <c r="B96" s="519" t="s">
        <v>5081</v>
      </c>
      <c r="C96" s="519" t="s">
        <v>5566</v>
      </c>
      <c r="D96" s="391" t="s">
        <v>5067</v>
      </c>
      <c r="E96" s="716" t="s">
        <v>5569</v>
      </c>
      <c r="F96" s="519">
        <v>170.0</v>
      </c>
      <c r="G96" s="519">
        <v>208.0</v>
      </c>
      <c r="H96" s="519">
        <v>5.0</v>
      </c>
      <c r="I96" s="519" t="s">
        <v>166</v>
      </c>
      <c r="J96" s="519" t="s">
        <v>166</v>
      </c>
      <c r="K96" s="519" t="s">
        <v>166</v>
      </c>
      <c r="L96" s="519" t="s">
        <v>166</v>
      </c>
      <c r="M96" s="519">
        <v>1.0</v>
      </c>
      <c r="N96" s="519" t="s">
        <v>174</v>
      </c>
      <c r="O96" s="519" t="s">
        <v>174</v>
      </c>
      <c r="P96" s="519" t="s">
        <v>166</v>
      </c>
      <c r="Q96" s="519" t="s">
        <v>166</v>
      </c>
      <c r="R96" s="519">
        <v>4.0</v>
      </c>
      <c r="S96" s="519" t="s">
        <v>3151</v>
      </c>
      <c r="T96" s="519">
        <v>128.0</v>
      </c>
      <c r="U96" s="519">
        <v>5200.0</v>
      </c>
      <c r="V96" s="519" t="s">
        <v>166</v>
      </c>
      <c r="W96" s="719" t="s">
        <v>5062</v>
      </c>
      <c r="X96" s="519" t="s">
        <v>166</v>
      </c>
      <c r="Y96" s="519">
        <v>2.0</v>
      </c>
      <c r="Z96" s="519" t="s">
        <v>166</v>
      </c>
      <c r="AA96" s="519" t="s">
        <v>166</v>
      </c>
      <c r="AB96" s="519" t="s">
        <v>166</v>
      </c>
      <c r="AC96" s="519" t="s">
        <v>166</v>
      </c>
      <c r="AD96" s="519" t="s">
        <v>166</v>
      </c>
      <c r="AE96" s="519" t="s">
        <v>166</v>
      </c>
      <c r="AF96" s="519">
        <f t="shared" si="1"/>
        <v>2</v>
      </c>
      <c r="AG96" s="519" t="s">
        <v>166</v>
      </c>
      <c r="AH96" s="519">
        <v>1.0</v>
      </c>
      <c r="AI96" s="519" t="s">
        <v>166</v>
      </c>
      <c r="AJ96" s="519">
        <v>3.0</v>
      </c>
      <c r="AK96" s="712" t="s">
        <v>5570</v>
      </c>
      <c r="AL96" s="700" t="s">
        <v>5571</v>
      </c>
      <c r="AM96" s="712" t="s">
        <v>166</v>
      </c>
      <c r="AN96" s="712" t="s">
        <v>166</v>
      </c>
      <c r="AO96" s="712" t="s">
        <v>166</v>
      </c>
      <c r="AP96" s="519" t="s">
        <v>166</v>
      </c>
      <c r="AQ96" s="519" t="s">
        <v>166</v>
      </c>
      <c r="AR96" s="712" t="s">
        <v>166</v>
      </c>
      <c r="AS96" s="519" t="s">
        <v>166</v>
      </c>
      <c r="AT96" s="519" t="s">
        <v>166</v>
      </c>
      <c r="AU96" s="519" t="s">
        <v>166</v>
      </c>
      <c r="AV96" s="501" t="s">
        <v>166</v>
      </c>
      <c r="AW96" s="519">
        <v>1.0</v>
      </c>
      <c r="AX96" s="519" t="s">
        <v>166</v>
      </c>
      <c r="AY96" s="519">
        <v>1.0</v>
      </c>
      <c r="AZ96" s="519">
        <v>3.0</v>
      </c>
      <c r="BA96" s="519" t="s">
        <v>166</v>
      </c>
      <c r="BB96" s="519" t="s">
        <v>166</v>
      </c>
      <c r="BC96" s="519" t="s">
        <v>166</v>
      </c>
      <c r="BD96" s="519" t="s">
        <v>166</v>
      </c>
      <c r="BE96" s="712" t="s">
        <v>170</v>
      </c>
      <c r="BF96" s="712" t="s">
        <v>170</v>
      </c>
      <c r="BG96" s="712" t="s">
        <v>170</v>
      </c>
      <c r="BH96" s="712" t="s">
        <v>170</v>
      </c>
      <c r="BI96" s="717" t="s">
        <v>170</v>
      </c>
      <c r="BJ96" s="717" t="s">
        <v>5514</v>
      </c>
      <c r="BK96" s="394"/>
      <c r="BL96" s="394"/>
      <c r="BM96" s="394"/>
      <c r="BN96" s="394"/>
      <c r="BO96" s="394"/>
      <c r="BP96" s="394"/>
    </row>
    <row r="97">
      <c r="A97" s="507" t="s">
        <v>1664</v>
      </c>
      <c r="B97" s="507" t="s">
        <v>5081</v>
      </c>
      <c r="C97" s="507" t="s">
        <v>5082</v>
      </c>
      <c r="D97" s="506" t="s">
        <v>169</v>
      </c>
      <c r="E97" s="715" t="s">
        <v>5572</v>
      </c>
      <c r="F97" s="507">
        <v>244.0</v>
      </c>
      <c r="G97" s="507">
        <v>226.0</v>
      </c>
      <c r="H97" s="507">
        <v>4.0</v>
      </c>
      <c r="I97" s="507" t="s">
        <v>166</v>
      </c>
      <c r="J97" s="507">
        <v>2.0</v>
      </c>
      <c r="K97" s="507" t="s">
        <v>166</v>
      </c>
      <c r="L97" s="507" t="s">
        <v>166</v>
      </c>
      <c r="M97" s="507">
        <v>1.0</v>
      </c>
      <c r="N97" s="507" t="s">
        <v>166</v>
      </c>
      <c r="O97" s="507" t="s">
        <v>174</v>
      </c>
      <c r="P97" s="507" t="s">
        <v>174</v>
      </c>
      <c r="Q97" s="507" t="s">
        <v>166</v>
      </c>
      <c r="R97" s="507">
        <v>2.0</v>
      </c>
      <c r="S97" s="507" t="s">
        <v>3151</v>
      </c>
      <c r="T97" s="507">
        <v>96.0</v>
      </c>
      <c r="U97" s="507" t="s">
        <v>5323</v>
      </c>
      <c r="V97" s="507">
        <v>2.0</v>
      </c>
      <c r="W97" s="711" t="s">
        <v>5305</v>
      </c>
      <c r="X97" s="507">
        <v>2.0</v>
      </c>
      <c r="Y97" s="507">
        <v>2.0</v>
      </c>
      <c r="Z97" s="507">
        <v>1.0</v>
      </c>
      <c r="AA97" s="507" t="s">
        <v>166</v>
      </c>
      <c r="AB97" s="507" t="s">
        <v>166</v>
      </c>
      <c r="AC97" s="507" t="s">
        <v>166</v>
      </c>
      <c r="AD97" s="507" t="s">
        <v>166</v>
      </c>
      <c r="AE97" s="507" t="s">
        <v>166</v>
      </c>
      <c r="AF97" s="507">
        <f t="shared" si="1"/>
        <v>5</v>
      </c>
      <c r="AG97" s="507">
        <v>2.0</v>
      </c>
      <c r="AH97" s="507">
        <v>1.0</v>
      </c>
      <c r="AI97" s="507" t="s">
        <v>166</v>
      </c>
      <c r="AJ97" s="507">
        <v>1.0</v>
      </c>
      <c r="AK97" s="705" t="s">
        <v>4959</v>
      </c>
      <c r="AL97" s="705">
        <v>1.0</v>
      </c>
      <c r="AM97" s="705">
        <v>1.0</v>
      </c>
      <c r="AN97" s="705" t="s">
        <v>166</v>
      </c>
      <c r="AO97" s="705" t="s">
        <v>232</v>
      </c>
      <c r="AP97" s="507" t="s">
        <v>166</v>
      </c>
      <c r="AQ97" s="507" t="s">
        <v>166</v>
      </c>
      <c r="AR97" s="705" t="s">
        <v>5039</v>
      </c>
      <c r="AS97" s="507" t="s">
        <v>166</v>
      </c>
      <c r="AT97" s="507">
        <v>3.0</v>
      </c>
      <c r="AU97" s="507" t="s">
        <v>166</v>
      </c>
      <c r="AV97" s="507">
        <v>1.0</v>
      </c>
      <c r="AW97" s="507">
        <v>1.0</v>
      </c>
      <c r="AX97" s="507" t="s">
        <v>166</v>
      </c>
      <c r="AY97" s="507" t="s">
        <v>166</v>
      </c>
      <c r="AZ97" s="507">
        <v>4.0</v>
      </c>
      <c r="BA97" s="507" t="s">
        <v>166</v>
      </c>
      <c r="BB97" s="507" t="s">
        <v>166</v>
      </c>
      <c r="BC97" s="507" t="s">
        <v>174</v>
      </c>
      <c r="BD97" s="507" t="s">
        <v>166</v>
      </c>
      <c r="BE97" s="705" t="s">
        <v>170</v>
      </c>
      <c r="BF97" s="705" t="s">
        <v>5017</v>
      </c>
      <c r="BG97" s="705" t="s">
        <v>4963</v>
      </c>
      <c r="BH97" s="705">
        <v>4.0</v>
      </c>
      <c r="BI97" s="708" t="s">
        <v>5573</v>
      </c>
      <c r="BJ97" s="708"/>
      <c r="BK97" s="394"/>
      <c r="BL97" s="394"/>
      <c r="BM97" s="394"/>
      <c r="BN97" s="394"/>
      <c r="BO97" s="394"/>
      <c r="BP97" s="394"/>
    </row>
    <row r="98">
      <c r="A98" s="507" t="s">
        <v>1664</v>
      </c>
      <c r="B98" s="507" t="s">
        <v>5081</v>
      </c>
      <c r="C98" s="507" t="s">
        <v>5082</v>
      </c>
      <c r="D98" s="506" t="s">
        <v>169</v>
      </c>
      <c r="E98" s="715" t="s">
        <v>5574</v>
      </c>
      <c r="F98" s="507">
        <v>244.0</v>
      </c>
      <c r="G98" s="507">
        <v>226.0</v>
      </c>
      <c r="H98" s="507">
        <v>4.0</v>
      </c>
      <c r="I98" s="507" t="s">
        <v>166</v>
      </c>
      <c r="J98" s="507">
        <v>2.0</v>
      </c>
      <c r="K98" s="507" t="s">
        <v>166</v>
      </c>
      <c r="L98" s="507" t="s">
        <v>166</v>
      </c>
      <c r="M98" s="507">
        <v>1.0</v>
      </c>
      <c r="N98" s="507" t="s">
        <v>166</v>
      </c>
      <c r="O98" s="507" t="s">
        <v>174</v>
      </c>
      <c r="P98" s="507" t="s">
        <v>174</v>
      </c>
      <c r="Q98" s="507" t="s">
        <v>166</v>
      </c>
      <c r="R98" s="507">
        <v>2.0</v>
      </c>
      <c r="S98" s="507" t="s">
        <v>3151</v>
      </c>
      <c r="T98" s="507">
        <v>96.0</v>
      </c>
      <c r="U98" s="507" t="s">
        <v>5089</v>
      </c>
      <c r="V98" s="507">
        <v>4.0</v>
      </c>
      <c r="W98" s="711" t="s">
        <v>5126</v>
      </c>
      <c r="X98" s="507">
        <v>2.0</v>
      </c>
      <c r="Y98" s="507">
        <v>3.0</v>
      </c>
      <c r="Z98" s="507">
        <v>1.0</v>
      </c>
      <c r="AA98" s="507" t="s">
        <v>166</v>
      </c>
      <c r="AB98" s="507" t="s">
        <v>166</v>
      </c>
      <c r="AC98" s="507" t="s">
        <v>166</v>
      </c>
      <c r="AD98" s="507" t="s">
        <v>166</v>
      </c>
      <c r="AE98" s="507" t="s">
        <v>166</v>
      </c>
      <c r="AF98" s="507">
        <f t="shared" si="1"/>
        <v>6</v>
      </c>
      <c r="AG98" s="507">
        <v>2.0</v>
      </c>
      <c r="AH98" s="507">
        <v>1.0</v>
      </c>
      <c r="AI98" s="507" t="s">
        <v>166</v>
      </c>
      <c r="AJ98" s="507">
        <v>1.0</v>
      </c>
      <c r="AK98" s="48" t="s">
        <v>4959</v>
      </c>
      <c r="AL98" s="48">
        <v>1.0</v>
      </c>
      <c r="AM98" s="705">
        <v>1.0</v>
      </c>
      <c r="AN98" s="705" t="s">
        <v>166</v>
      </c>
      <c r="AO98" s="705" t="s">
        <v>232</v>
      </c>
      <c r="AP98" s="507" t="s">
        <v>166</v>
      </c>
      <c r="AQ98" s="507" t="s">
        <v>166</v>
      </c>
      <c r="AR98" s="705" t="s">
        <v>5039</v>
      </c>
      <c r="AS98" s="507" t="s">
        <v>166</v>
      </c>
      <c r="AT98" s="507">
        <v>3.0</v>
      </c>
      <c r="AU98" s="507" t="s">
        <v>166</v>
      </c>
      <c r="AV98" s="266">
        <v>1.0</v>
      </c>
      <c r="AW98" s="507">
        <v>1.0</v>
      </c>
      <c r="AX98" s="507" t="s">
        <v>166</v>
      </c>
      <c r="AY98" s="507" t="s">
        <v>166</v>
      </c>
      <c r="AZ98" s="507">
        <v>4.0</v>
      </c>
      <c r="BA98" s="507" t="s">
        <v>166</v>
      </c>
      <c r="BB98" s="507" t="s">
        <v>166</v>
      </c>
      <c r="BC98" s="507" t="s">
        <v>174</v>
      </c>
      <c r="BD98" s="507" t="s">
        <v>166</v>
      </c>
      <c r="BE98" s="705" t="s">
        <v>170</v>
      </c>
      <c r="BF98" s="705" t="s">
        <v>4973</v>
      </c>
      <c r="BG98" s="705" t="s">
        <v>4963</v>
      </c>
      <c r="BH98" s="705">
        <v>6.0</v>
      </c>
      <c r="BI98" s="708" t="s">
        <v>5573</v>
      </c>
      <c r="BJ98" s="708"/>
      <c r="BK98" s="394"/>
      <c r="BL98" s="394"/>
      <c r="BM98" s="394"/>
      <c r="BN98" s="394"/>
      <c r="BO98" s="394"/>
      <c r="BP98" s="394"/>
    </row>
    <row r="99">
      <c r="A99" s="507" t="s">
        <v>1664</v>
      </c>
      <c r="B99" s="507" t="s">
        <v>5081</v>
      </c>
      <c r="C99" s="507" t="s">
        <v>5082</v>
      </c>
      <c r="D99" s="506" t="s">
        <v>169</v>
      </c>
      <c r="E99" s="715" t="s">
        <v>5575</v>
      </c>
      <c r="F99" s="507">
        <v>244.0</v>
      </c>
      <c r="G99" s="507">
        <v>244.0</v>
      </c>
      <c r="H99" s="507">
        <v>4.0</v>
      </c>
      <c r="I99" s="507" t="s">
        <v>166</v>
      </c>
      <c r="J99" s="507" t="s">
        <v>166</v>
      </c>
      <c r="K99" s="507" t="s">
        <v>166</v>
      </c>
      <c r="L99" s="507" t="s">
        <v>166</v>
      </c>
      <c r="M99" s="507">
        <v>1.0</v>
      </c>
      <c r="N99" s="507" t="s">
        <v>166</v>
      </c>
      <c r="O99" s="507" t="s">
        <v>174</v>
      </c>
      <c r="P99" s="507" t="s">
        <v>174</v>
      </c>
      <c r="Q99" s="507" t="s">
        <v>166</v>
      </c>
      <c r="R99" s="507">
        <v>4.0</v>
      </c>
      <c r="S99" s="507" t="s">
        <v>3151</v>
      </c>
      <c r="T99" s="507">
        <v>192.0</v>
      </c>
      <c r="U99" s="507" t="s">
        <v>5368</v>
      </c>
      <c r="V99" s="507">
        <v>4.0</v>
      </c>
      <c r="W99" s="711" t="s">
        <v>5576</v>
      </c>
      <c r="X99" s="507">
        <v>4.0</v>
      </c>
      <c r="Y99" s="507">
        <v>3.0</v>
      </c>
      <c r="Z99" s="507">
        <v>1.0</v>
      </c>
      <c r="AA99" s="507" t="s">
        <v>166</v>
      </c>
      <c r="AB99" s="507" t="s">
        <v>166</v>
      </c>
      <c r="AC99" s="507" t="s">
        <v>166</v>
      </c>
      <c r="AD99" s="507" t="s">
        <v>166</v>
      </c>
      <c r="AE99" s="507" t="s">
        <v>166</v>
      </c>
      <c r="AF99" s="507">
        <f t="shared" si="1"/>
        <v>8</v>
      </c>
      <c r="AG99" s="507">
        <v>2.0</v>
      </c>
      <c r="AH99" s="507">
        <v>1.0</v>
      </c>
      <c r="AI99" s="507" t="s">
        <v>5049</v>
      </c>
      <c r="AJ99" s="507">
        <v>1.0</v>
      </c>
      <c r="AK99" s="48" t="s">
        <v>4959</v>
      </c>
      <c r="AL99" s="48">
        <v>1.0</v>
      </c>
      <c r="AM99" s="705">
        <v>1.0</v>
      </c>
      <c r="AN99" s="705" t="s">
        <v>166</v>
      </c>
      <c r="AO99" s="705" t="s">
        <v>232</v>
      </c>
      <c r="AP99" s="507" t="s">
        <v>166</v>
      </c>
      <c r="AQ99" s="507" t="s">
        <v>166</v>
      </c>
      <c r="AR99" s="705" t="s">
        <v>5039</v>
      </c>
      <c r="AS99" s="507" t="s">
        <v>166</v>
      </c>
      <c r="AT99" s="507">
        <v>3.0</v>
      </c>
      <c r="AU99" s="507" t="s">
        <v>166</v>
      </c>
      <c r="AV99" s="266">
        <v>1.0</v>
      </c>
      <c r="AW99" s="507">
        <v>1.0</v>
      </c>
      <c r="AX99" s="507" t="s">
        <v>166</v>
      </c>
      <c r="AY99" s="507" t="s">
        <v>166</v>
      </c>
      <c r="AZ99" s="507">
        <v>5.0</v>
      </c>
      <c r="BA99" s="507">
        <v>1.0</v>
      </c>
      <c r="BB99" s="507">
        <v>3.0</v>
      </c>
      <c r="BC99" s="507" t="s">
        <v>174</v>
      </c>
      <c r="BD99" s="507" t="s">
        <v>174</v>
      </c>
      <c r="BE99" s="705" t="s">
        <v>170</v>
      </c>
      <c r="BF99" s="705" t="s">
        <v>4954</v>
      </c>
      <c r="BG99" s="705" t="s">
        <v>4963</v>
      </c>
      <c r="BH99" s="705">
        <v>6.0</v>
      </c>
      <c r="BI99" s="708" t="s">
        <v>5573</v>
      </c>
      <c r="BJ99" s="708"/>
      <c r="BK99" s="394"/>
      <c r="BL99" s="394"/>
      <c r="BM99" s="394"/>
      <c r="BN99" s="394"/>
      <c r="BO99" s="394"/>
      <c r="BP99" s="394"/>
    </row>
    <row r="100">
      <c r="A100" s="507" t="s">
        <v>1664</v>
      </c>
      <c r="B100" s="507" t="s">
        <v>5081</v>
      </c>
      <c r="C100" s="507" t="s">
        <v>5082</v>
      </c>
      <c r="D100" s="506" t="s">
        <v>169</v>
      </c>
      <c r="E100" s="715" t="s">
        <v>5577</v>
      </c>
      <c r="F100" s="507">
        <v>244.0</v>
      </c>
      <c r="G100" s="507">
        <v>244.0</v>
      </c>
      <c r="H100" s="507">
        <v>4.0</v>
      </c>
      <c r="I100" s="507" t="s">
        <v>166</v>
      </c>
      <c r="J100" s="507" t="s">
        <v>166</v>
      </c>
      <c r="K100" s="507" t="s">
        <v>166</v>
      </c>
      <c r="L100" s="507" t="s">
        <v>166</v>
      </c>
      <c r="M100" s="507">
        <v>1.0</v>
      </c>
      <c r="N100" s="507" t="s">
        <v>166</v>
      </c>
      <c r="O100" s="507" t="s">
        <v>174</v>
      </c>
      <c r="P100" s="507" t="s">
        <v>174</v>
      </c>
      <c r="Q100" s="507" t="s">
        <v>166</v>
      </c>
      <c r="R100" s="507">
        <v>4.0</v>
      </c>
      <c r="S100" s="507" t="s">
        <v>3151</v>
      </c>
      <c r="T100" s="507">
        <v>192.0</v>
      </c>
      <c r="U100" s="507" t="s">
        <v>5368</v>
      </c>
      <c r="V100" s="507">
        <v>4.0</v>
      </c>
      <c r="W100" s="711" t="s">
        <v>5576</v>
      </c>
      <c r="X100" s="507">
        <v>4.0</v>
      </c>
      <c r="Y100" s="507">
        <v>3.0</v>
      </c>
      <c r="Z100" s="507">
        <v>1.0</v>
      </c>
      <c r="AA100" s="507" t="s">
        <v>166</v>
      </c>
      <c r="AB100" s="507" t="s">
        <v>166</v>
      </c>
      <c r="AC100" s="507" t="s">
        <v>166</v>
      </c>
      <c r="AD100" s="507" t="s">
        <v>166</v>
      </c>
      <c r="AE100" s="507" t="s">
        <v>166</v>
      </c>
      <c r="AF100" s="507">
        <f t="shared" si="1"/>
        <v>8</v>
      </c>
      <c r="AG100" s="507">
        <v>2.0</v>
      </c>
      <c r="AH100" s="507">
        <v>1.0</v>
      </c>
      <c r="AI100" s="507" t="s">
        <v>5049</v>
      </c>
      <c r="AJ100" s="507">
        <v>1.0</v>
      </c>
      <c r="AK100" s="48" t="s">
        <v>4959</v>
      </c>
      <c r="AL100" s="48">
        <v>1.0</v>
      </c>
      <c r="AM100" s="705">
        <v>1.0</v>
      </c>
      <c r="AN100" s="705" t="s">
        <v>5044</v>
      </c>
      <c r="AO100" s="48" t="s">
        <v>5098</v>
      </c>
      <c r="AP100" s="507">
        <v>2400.0</v>
      </c>
      <c r="AQ100" s="507">
        <v>5.2</v>
      </c>
      <c r="AR100" s="705" t="s">
        <v>5039</v>
      </c>
      <c r="AS100" s="507" t="s">
        <v>166</v>
      </c>
      <c r="AT100" s="507">
        <v>3.0</v>
      </c>
      <c r="AU100" s="507" t="s">
        <v>166</v>
      </c>
      <c r="AV100" s="266">
        <v>1.0</v>
      </c>
      <c r="AW100" s="507">
        <v>1.0</v>
      </c>
      <c r="AX100" s="507" t="s">
        <v>166</v>
      </c>
      <c r="AY100" s="507" t="s">
        <v>166</v>
      </c>
      <c r="AZ100" s="507">
        <v>5.0</v>
      </c>
      <c r="BA100" s="507">
        <v>1.0</v>
      </c>
      <c r="BB100" s="507">
        <v>3.0</v>
      </c>
      <c r="BC100" s="507" t="s">
        <v>174</v>
      </c>
      <c r="BD100" s="507" t="s">
        <v>174</v>
      </c>
      <c r="BE100" s="705" t="s">
        <v>170</v>
      </c>
      <c r="BF100" s="705" t="s">
        <v>4954</v>
      </c>
      <c r="BG100" s="705" t="s">
        <v>4963</v>
      </c>
      <c r="BH100" s="705">
        <v>6.0</v>
      </c>
      <c r="BI100" s="708" t="s">
        <v>5573</v>
      </c>
      <c r="BJ100" s="708"/>
      <c r="BK100" s="394"/>
      <c r="BL100" s="394"/>
      <c r="BM100" s="394"/>
      <c r="BN100" s="394"/>
      <c r="BO100" s="394"/>
      <c r="BP100" s="394"/>
    </row>
    <row r="101">
      <c r="A101" s="507" t="s">
        <v>1664</v>
      </c>
      <c r="B101" s="507" t="s">
        <v>5081</v>
      </c>
      <c r="C101" s="507" t="s">
        <v>5082</v>
      </c>
      <c r="D101" s="452" t="str">
        <f t="shared" ref="D101:D105" si="14">HYPERLINK("https://www.asus.com/","Asus")</f>
        <v>Asus</v>
      </c>
      <c r="E101" s="715" t="s">
        <v>5578</v>
      </c>
      <c r="F101" s="507">
        <v>244.0</v>
      </c>
      <c r="G101" s="507">
        <v>244.0</v>
      </c>
      <c r="H101" s="507">
        <v>4.0</v>
      </c>
      <c r="I101" s="507" t="s">
        <v>166</v>
      </c>
      <c r="J101" s="507">
        <v>2.0</v>
      </c>
      <c r="K101" s="507" t="s">
        <v>166</v>
      </c>
      <c r="L101" s="507" t="s">
        <v>166</v>
      </c>
      <c r="M101" s="507">
        <v>1.0</v>
      </c>
      <c r="N101" s="507" t="s">
        <v>166</v>
      </c>
      <c r="O101" s="507" t="s">
        <v>174</v>
      </c>
      <c r="P101" s="507" t="s">
        <v>174</v>
      </c>
      <c r="Q101" s="507" t="s">
        <v>166</v>
      </c>
      <c r="R101" s="507">
        <v>4.0</v>
      </c>
      <c r="S101" s="507" t="s">
        <v>3151</v>
      </c>
      <c r="T101" s="507">
        <v>192.0</v>
      </c>
      <c r="U101" s="507" t="s">
        <v>5089</v>
      </c>
      <c r="V101" s="507">
        <v>4.0</v>
      </c>
      <c r="W101" s="711" t="s">
        <v>5126</v>
      </c>
      <c r="X101" s="507">
        <v>4.0</v>
      </c>
      <c r="Y101" s="507">
        <v>2.0</v>
      </c>
      <c r="Z101" s="507" t="s">
        <v>166</v>
      </c>
      <c r="AA101" s="507" t="s">
        <v>166</v>
      </c>
      <c r="AB101" s="507" t="s">
        <v>166</v>
      </c>
      <c r="AC101" s="507" t="s">
        <v>166</v>
      </c>
      <c r="AD101" s="507" t="s">
        <v>166</v>
      </c>
      <c r="AE101" s="507" t="s">
        <v>166</v>
      </c>
      <c r="AF101" s="507">
        <f t="shared" si="1"/>
        <v>6</v>
      </c>
      <c r="AG101" s="507">
        <v>2.0</v>
      </c>
      <c r="AH101" s="507">
        <v>1.0</v>
      </c>
      <c r="AI101" s="507" t="s">
        <v>5049</v>
      </c>
      <c r="AJ101" s="507">
        <v>1.0</v>
      </c>
      <c r="AK101" s="48" t="s">
        <v>4959</v>
      </c>
      <c r="AL101" s="48">
        <v>1.0</v>
      </c>
      <c r="AM101" s="705" t="s">
        <v>166</v>
      </c>
      <c r="AN101" s="705" t="s">
        <v>166</v>
      </c>
      <c r="AO101" s="705" t="s">
        <v>166</v>
      </c>
      <c r="AP101" s="507" t="s">
        <v>166</v>
      </c>
      <c r="AQ101" s="507" t="s">
        <v>166</v>
      </c>
      <c r="AR101" s="705" t="s">
        <v>5039</v>
      </c>
      <c r="AS101" s="507" t="s">
        <v>166</v>
      </c>
      <c r="AT101" s="507">
        <v>3.0</v>
      </c>
      <c r="AU101" s="507">
        <v>1.0</v>
      </c>
      <c r="AV101" s="266">
        <v>1.0</v>
      </c>
      <c r="AW101" s="507">
        <v>1.0</v>
      </c>
      <c r="AX101" s="507" t="s">
        <v>166</v>
      </c>
      <c r="AY101" s="507">
        <v>1.0</v>
      </c>
      <c r="AZ101" s="507">
        <v>3.0</v>
      </c>
      <c r="BA101" s="507">
        <v>1.0</v>
      </c>
      <c r="BB101" s="507">
        <v>3.0</v>
      </c>
      <c r="BC101" s="507" t="s">
        <v>166</v>
      </c>
      <c r="BD101" s="507" t="s">
        <v>166</v>
      </c>
      <c r="BE101" s="705" t="s">
        <v>170</v>
      </c>
      <c r="BF101" s="705" t="s">
        <v>170</v>
      </c>
      <c r="BG101" s="705" t="s">
        <v>170</v>
      </c>
      <c r="BH101" s="705" t="s">
        <v>170</v>
      </c>
      <c r="BI101" s="708" t="s">
        <v>170</v>
      </c>
      <c r="BJ101" s="708"/>
      <c r="BK101" s="394"/>
      <c r="BL101" s="394"/>
      <c r="BM101" s="394"/>
      <c r="BN101" s="394"/>
      <c r="BO101" s="394"/>
      <c r="BP101" s="394"/>
    </row>
    <row r="102">
      <c r="A102" s="507" t="s">
        <v>1664</v>
      </c>
      <c r="B102" s="507" t="s">
        <v>5081</v>
      </c>
      <c r="C102" s="507" t="s">
        <v>5082</v>
      </c>
      <c r="D102" s="452" t="str">
        <f t="shared" si="14"/>
        <v>Asus</v>
      </c>
      <c r="E102" s="715" t="s">
        <v>5579</v>
      </c>
      <c r="F102" s="507">
        <v>226.0</v>
      </c>
      <c r="G102" s="507">
        <v>221.0</v>
      </c>
      <c r="H102" s="507">
        <v>4.0</v>
      </c>
      <c r="I102" s="507" t="s">
        <v>166</v>
      </c>
      <c r="J102" s="507">
        <v>2.0</v>
      </c>
      <c r="K102" s="507" t="s">
        <v>166</v>
      </c>
      <c r="L102" s="507" t="s">
        <v>166</v>
      </c>
      <c r="M102" s="507">
        <v>1.0</v>
      </c>
      <c r="N102" s="507" t="s">
        <v>166</v>
      </c>
      <c r="O102" s="507" t="s">
        <v>174</v>
      </c>
      <c r="P102" s="507" t="s">
        <v>166</v>
      </c>
      <c r="Q102" s="507" t="s">
        <v>166</v>
      </c>
      <c r="R102" s="507">
        <v>2.0</v>
      </c>
      <c r="S102" s="507" t="s">
        <v>3151</v>
      </c>
      <c r="T102" s="507">
        <v>96.0</v>
      </c>
      <c r="U102" s="507" t="s">
        <v>5089</v>
      </c>
      <c r="V102" s="507">
        <v>4.0</v>
      </c>
      <c r="W102" s="711" t="s">
        <v>5062</v>
      </c>
      <c r="X102" s="507">
        <v>4.0</v>
      </c>
      <c r="Y102" s="507">
        <v>4.0</v>
      </c>
      <c r="Z102" s="507" t="s">
        <v>166</v>
      </c>
      <c r="AA102" s="507" t="s">
        <v>166</v>
      </c>
      <c r="AB102" s="507" t="s">
        <v>166</v>
      </c>
      <c r="AC102" s="507" t="s">
        <v>166</v>
      </c>
      <c r="AD102" s="507" t="s">
        <v>166</v>
      </c>
      <c r="AE102" s="507" t="s">
        <v>166</v>
      </c>
      <c r="AF102" s="507">
        <f t="shared" si="1"/>
        <v>8</v>
      </c>
      <c r="AG102" s="507">
        <v>2.0</v>
      </c>
      <c r="AH102" s="507">
        <v>1.0</v>
      </c>
      <c r="AI102" s="507" t="s">
        <v>166</v>
      </c>
      <c r="AJ102" s="507">
        <v>1.0</v>
      </c>
      <c r="AK102" s="48" t="s">
        <v>4959</v>
      </c>
      <c r="AL102" s="48">
        <v>1.0</v>
      </c>
      <c r="AM102" s="705" t="s">
        <v>166</v>
      </c>
      <c r="AN102" s="705" t="s">
        <v>166</v>
      </c>
      <c r="AO102" s="705" t="s">
        <v>166</v>
      </c>
      <c r="AP102" s="507" t="s">
        <v>166</v>
      </c>
      <c r="AQ102" s="507" t="s">
        <v>166</v>
      </c>
      <c r="AR102" s="705" t="s">
        <v>5039</v>
      </c>
      <c r="AS102" s="507" t="s">
        <v>166</v>
      </c>
      <c r="AT102" s="507">
        <v>3.0</v>
      </c>
      <c r="AU102" s="507">
        <v>1.0</v>
      </c>
      <c r="AV102" s="266">
        <v>1.0</v>
      </c>
      <c r="AW102" s="507">
        <v>1.0</v>
      </c>
      <c r="AX102" s="507" t="s">
        <v>166</v>
      </c>
      <c r="AY102" s="507">
        <v>1.0</v>
      </c>
      <c r="AZ102" s="507">
        <v>3.0</v>
      </c>
      <c r="BA102" s="507">
        <v>1.0</v>
      </c>
      <c r="BB102" s="507">
        <v>2.0</v>
      </c>
      <c r="BC102" s="507" t="s">
        <v>166</v>
      </c>
      <c r="BD102" s="507" t="s">
        <v>166</v>
      </c>
      <c r="BE102" s="705" t="s">
        <v>170</v>
      </c>
      <c r="BF102" s="705" t="s">
        <v>170</v>
      </c>
      <c r="BG102" s="705" t="s">
        <v>170</v>
      </c>
      <c r="BH102" s="705" t="s">
        <v>170</v>
      </c>
      <c r="BI102" s="708" t="s">
        <v>170</v>
      </c>
      <c r="BJ102" s="708"/>
      <c r="BK102" s="394"/>
      <c r="BL102" s="394"/>
      <c r="BM102" s="394"/>
      <c r="BN102" s="394"/>
      <c r="BO102" s="394"/>
      <c r="BP102" s="394"/>
    </row>
    <row r="103">
      <c r="A103" s="507" t="s">
        <v>1664</v>
      </c>
      <c r="B103" s="507" t="s">
        <v>5081</v>
      </c>
      <c r="C103" s="507" t="s">
        <v>5082</v>
      </c>
      <c r="D103" s="452" t="str">
        <f t="shared" si="14"/>
        <v>Asus</v>
      </c>
      <c r="E103" s="715" t="s">
        <v>5580</v>
      </c>
      <c r="F103" s="507">
        <v>226.0</v>
      </c>
      <c r="G103" s="507">
        <v>221.0</v>
      </c>
      <c r="H103" s="507">
        <v>4.0</v>
      </c>
      <c r="I103" s="507" t="s">
        <v>166</v>
      </c>
      <c r="J103" s="507">
        <v>1.0</v>
      </c>
      <c r="K103" s="507" t="s">
        <v>166</v>
      </c>
      <c r="L103" s="507" t="s">
        <v>166</v>
      </c>
      <c r="M103" s="507">
        <v>1.0</v>
      </c>
      <c r="N103" s="507" t="s">
        <v>166</v>
      </c>
      <c r="O103" s="507" t="s">
        <v>174</v>
      </c>
      <c r="P103" s="507" t="s">
        <v>166</v>
      </c>
      <c r="Q103" s="507" t="s">
        <v>166</v>
      </c>
      <c r="R103" s="507">
        <v>2.0</v>
      </c>
      <c r="S103" s="507" t="s">
        <v>3151</v>
      </c>
      <c r="T103" s="507">
        <v>96.0</v>
      </c>
      <c r="U103" s="507" t="s">
        <v>5089</v>
      </c>
      <c r="V103" s="507">
        <v>4.0</v>
      </c>
      <c r="W103" s="711" t="s">
        <v>5062</v>
      </c>
      <c r="X103" s="507">
        <v>2.0</v>
      </c>
      <c r="Y103" s="507">
        <v>4.0</v>
      </c>
      <c r="Z103" s="507" t="s">
        <v>166</v>
      </c>
      <c r="AA103" s="507" t="s">
        <v>166</v>
      </c>
      <c r="AB103" s="507" t="s">
        <v>166</v>
      </c>
      <c r="AC103" s="507" t="s">
        <v>166</v>
      </c>
      <c r="AD103" s="507" t="s">
        <v>166</v>
      </c>
      <c r="AE103" s="507" t="s">
        <v>166</v>
      </c>
      <c r="AF103" s="507">
        <f t="shared" si="1"/>
        <v>6</v>
      </c>
      <c r="AG103" s="507">
        <v>2.0</v>
      </c>
      <c r="AH103" s="507">
        <v>1.0</v>
      </c>
      <c r="AI103" s="507" t="s">
        <v>166</v>
      </c>
      <c r="AJ103" s="507">
        <v>1.0</v>
      </c>
      <c r="AK103" s="48" t="s">
        <v>4959</v>
      </c>
      <c r="AL103" s="48">
        <v>1.0</v>
      </c>
      <c r="AM103" s="705" t="s">
        <v>166</v>
      </c>
      <c r="AN103" s="705" t="s">
        <v>166</v>
      </c>
      <c r="AO103" s="705" t="s">
        <v>166</v>
      </c>
      <c r="AP103" s="507" t="s">
        <v>166</v>
      </c>
      <c r="AQ103" s="507" t="s">
        <v>166</v>
      </c>
      <c r="AR103" s="705" t="s">
        <v>5039</v>
      </c>
      <c r="AS103" s="507" t="s">
        <v>166</v>
      </c>
      <c r="AT103" s="507">
        <v>3.0</v>
      </c>
      <c r="AU103" s="507">
        <v>1.0</v>
      </c>
      <c r="AV103" s="266" t="s">
        <v>166</v>
      </c>
      <c r="AW103" s="507">
        <v>1.0</v>
      </c>
      <c r="AX103" s="507" t="s">
        <v>166</v>
      </c>
      <c r="AY103" s="507">
        <v>1.0</v>
      </c>
      <c r="AZ103" s="507">
        <v>2.0</v>
      </c>
      <c r="BA103" s="507">
        <v>1.0</v>
      </c>
      <c r="BB103" s="507">
        <v>2.0</v>
      </c>
      <c r="BC103" s="507" t="s">
        <v>166</v>
      </c>
      <c r="BD103" s="507" t="s">
        <v>166</v>
      </c>
      <c r="BE103" s="705" t="s">
        <v>170</v>
      </c>
      <c r="BF103" s="705" t="s">
        <v>170</v>
      </c>
      <c r="BG103" s="705" t="s">
        <v>170</v>
      </c>
      <c r="BH103" s="705" t="s">
        <v>170</v>
      </c>
      <c r="BI103" s="708" t="s">
        <v>170</v>
      </c>
      <c r="BJ103" s="708"/>
      <c r="BK103" s="394"/>
      <c r="BL103" s="394"/>
      <c r="BM103" s="394"/>
      <c r="BN103" s="394"/>
      <c r="BO103" s="394"/>
      <c r="BP103" s="394"/>
    </row>
    <row r="104">
      <c r="A104" s="507" t="s">
        <v>1664</v>
      </c>
      <c r="B104" s="507" t="s">
        <v>5081</v>
      </c>
      <c r="C104" s="507" t="s">
        <v>5082</v>
      </c>
      <c r="D104" s="452" t="str">
        <f t="shared" si="14"/>
        <v>Asus</v>
      </c>
      <c r="E104" s="715" t="s">
        <v>5581</v>
      </c>
      <c r="F104" s="507">
        <v>244.0</v>
      </c>
      <c r="G104" s="507">
        <v>244.0</v>
      </c>
      <c r="H104" s="507">
        <v>4.0</v>
      </c>
      <c r="I104" s="507" t="s">
        <v>166</v>
      </c>
      <c r="J104" s="507">
        <v>2.0</v>
      </c>
      <c r="K104" s="507" t="s">
        <v>166</v>
      </c>
      <c r="L104" s="507" t="s">
        <v>166</v>
      </c>
      <c r="M104" s="507">
        <v>1.0</v>
      </c>
      <c r="N104" s="507" t="s">
        <v>166</v>
      </c>
      <c r="O104" s="507" t="s">
        <v>174</v>
      </c>
      <c r="P104" s="507" t="s">
        <v>174</v>
      </c>
      <c r="Q104" s="507" t="s">
        <v>166</v>
      </c>
      <c r="R104" s="507">
        <v>4.0</v>
      </c>
      <c r="S104" s="507" t="s">
        <v>3151</v>
      </c>
      <c r="T104" s="507">
        <v>192.0</v>
      </c>
      <c r="U104" s="507" t="s">
        <v>5089</v>
      </c>
      <c r="V104" s="507">
        <v>4.0</v>
      </c>
      <c r="W104" s="711" t="s">
        <v>5126</v>
      </c>
      <c r="X104" s="507">
        <v>4.0</v>
      </c>
      <c r="Y104" s="507">
        <v>2.0</v>
      </c>
      <c r="Z104" s="507" t="s">
        <v>166</v>
      </c>
      <c r="AA104" s="507" t="s">
        <v>166</v>
      </c>
      <c r="AB104" s="507" t="s">
        <v>166</v>
      </c>
      <c r="AC104" s="507" t="s">
        <v>166</v>
      </c>
      <c r="AD104" s="507" t="s">
        <v>166</v>
      </c>
      <c r="AE104" s="507" t="s">
        <v>166</v>
      </c>
      <c r="AF104" s="507">
        <f t="shared" si="1"/>
        <v>6</v>
      </c>
      <c r="AG104" s="507">
        <v>2.0</v>
      </c>
      <c r="AH104" s="507">
        <v>1.0</v>
      </c>
      <c r="AI104" s="507" t="s">
        <v>5049</v>
      </c>
      <c r="AJ104" s="507">
        <v>1.0</v>
      </c>
      <c r="AK104" s="48" t="s">
        <v>5038</v>
      </c>
      <c r="AL104" s="705">
        <v>2.5</v>
      </c>
      <c r="AM104" s="705" t="s">
        <v>166</v>
      </c>
      <c r="AN104" s="705" t="s">
        <v>166</v>
      </c>
      <c r="AO104" s="705" t="s">
        <v>166</v>
      </c>
      <c r="AP104" s="507" t="s">
        <v>166</v>
      </c>
      <c r="AQ104" s="507" t="s">
        <v>166</v>
      </c>
      <c r="AR104" s="705" t="s">
        <v>5039</v>
      </c>
      <c r="AS104" s="507" t="s">
        <v>166</v>
      </c>
      <c r="AT104" s="507">
        <v>3.0</v>
      </c>
      <c r="AU104" s="507">
        <v>1.0</v>
      </c>
      <c r="AV104" s="266">
        <v>2.0</v>
      </c>
      <c r="AW104" s="507">
        <v>1.0</v>
      </c>
      <c r="AX104" s="507" t="s">
        <v>166</v>
      </c>
      <c r="AY104" s="507" t="s">
        <v>166</v>
      </c>
      <c r="AZ104" s="507">
        <v>3.0</v>
      </c>
      <c r="BA104" s="507">
        <v>1.0</v>
      </c>
      <c r="BB104" s="507">
        <v>3.0</v>
      </c>
      <c r="BC104" s="507" t="s">
        <v>166</v>
      </c>
      <c r="BD104" s="507" t="s">
        <v>166</v>
      </c>
      <c r="BE104" s="705" t="s">
        <v>170</v>
      </c>
      <c r="BF104" s="705" t="s">
        <v>170</v>
      </c>
      <c r="BG104" s="705" t="s">
        <v>170</v>
      </c>
      <c r="BH104" s="705" t="s">
        <v>170</v>
      </c>
      <c r="BI104" s="708" t="s">
        <v>170</v>
      </c>
      <c r="BJ104" s="708"/>
      <c r="BK104" s="394"/>
      <c r="BL104" s="394"/>
      <c r="BM104" s="394"/>
      <c r="BN104" s="394"/>
      <c r="BO104" s="394"/>
      <c r="BP104" s="394"/>
    </row>
    <row r="105">
      <c r="A105" s="507" t="s">
        <v>1664</v>
      </c>
      <c r="B105" s="507" t="s">
        <v>5081</v>
      </c>
      <c r="C105" s="507" t="s">
        <v>5082</v>
      </c>
      <c r="D105" s="452" t="str">
        <f t="shared" si="14"/>
        <v>Asus</v>
      </c>
      <c r="E105" s="715" t="s">
        <v>5582</v>
      </c>
      <c r="F105" s="507">
        <v>244.0</v>
      </c>
      <c r="G105" s="507">
        <v>244.0</v>
      </c>
      <c r="H105" s="507">
        <v>4.0</v>
      </c>
      <c r="I105" s="507" t="s">
        <v>166</v>
      </c>
      <c r="J105" s="507">
        <v>2.0</v>
      </c>
      <c r="K105" s="507" t="s">
        <v>166</v>
      </c>
      <c r="L105" s="507" t="s">
        <v>166</v>
      </c>
      <c r="M105" s="507">
        <v>1.0</v>
      </c>
      <c r="N105" s="507" t="s">
        <v>166</v>
      </c>
      <c r="O105" s="507" t="s">
        <v>174</v>
      </c>
      <c r="P105" s="507" t="s">
        <v>174</v>
      </c>
      <c r="Q105" s="507" t="s">
        <v>166</v>
      </c>
      <c r="R105" s="507">
        <v>4.0</v>
      </c>
      <c r="S105" s="507" t="s">
        <v>3151</v>
      </c>
      <c r="T105" s="507">
        <v>192.0</v>
      </c>
      <c r="U105" s="507" t="s">
        <v>5089</v>
      </c>
      <c r="V105" s="507">
        <v>4.0</v>
      </c>
      <c r="W105" s="711" t="s">
        <v>5126</v>
      </c>
      <c r="X105" s="507">
        <v>4.0</v>
      </c>
      <c r="Y105" s="507">
        <v>2.0</v>
      </c>
      <c r="Z105" s="507" t="s">
        <v>166</v>
      </c>
      <c r="AA105" s="507" t="s">
        <v>166</v>
      </c>
      <c r="AB105" s="507" t="s">
        <v>166</v>
      </c>
      <c r="AC105" s="507" t="s">
        <v>166</v>
      </c>
      <c r="AD105" s="507" t="s">
        <v>166</v>
      </c>
      <c r="AE105" s="507" t="s">
        <v>166</v>
      </c>
      <c r="AF105" s="507">
        <f t="shared" si="1"/>
        <v>6</v>
      </c>
      <c r="AG105" s="507">
        <v>2.0</v>
      </c>
      <c r="AH105" s="507">
        <v>1.0</v>
      </c>
      <c r="AI105" s="507" t="s">
        <v>5049</v>
      </c>
      <c r="AJ105" s="507">
        <v>1.0</v>
      </c>
      <c r="AK105" s="48" t="s">
        <v>5038</v>
      </c>
      <c r="AL105" s="705">
        <v>2.5</v>
      </c>
      <c r="AM105" s="705">
        <v>1.0</v>
      </c>
      <c r="AN105" s="705" t="s">
        <v>5027</v>
      </c>
      <c r="AO105" s="705" t="s">
        <v>5583</v>
      </c>
      <c r="AP105" s="507">
        <v>1200.0</v>
      </c>
      <c r="AQ105" s="507">
        <v>5.3</v>
      </c>
      <c r="AR105" s="705" t="s">
        <v>5039</v>
      </c>
      <c r="AS105" s="507" t="s">
        <v>166</v>
      </c>
      <c r="AT105" s="507">
        <v>3.0</v>
      </c>
      <c r="AU105" s="507">
        <v>1.0</v>
      </c>
      <c r="AV105" s="266">
        <v>2.0</v>
      </c>
      <c r="AW105" s="507">
        <v>1.0</v>
      </c>
      <c r="AX105" s="507" t="s">
        <v>166</v>
      </c>
      <c r="AY105" s="507" t="s">
        <v>166</v>
      </c>
      <c r="AZ105" s="507">
        <v>3.0</v>
      </c>
      <c r="BA105" s="507">
        <v>1.0</v>
      </c>
      <c r="BB105" s="507">
        <v>3.0</v>
      </c>
      <c r="BC105" s="507" t="s">
        <v>166</v>
      </c>
      <c r="BD105" s="507" t="s">
        <v>166</v>
      </c>
      <c r="BE105" s="705" t="s">
        <v>170</v>
      </c>
      <c r="BF105" s="705" t="s">
        <v>170</v>
      </c>
      <c r="BG105" s="705" t="s">
        <v>170</v>
      </c>
      <c r="BH105" s="705" t="s">
        <v>170</v>
      </c>
      <c r="BI105" s="708" t="s">
        <v>170</v>
      </c>
      <c r="BJ105" s="708"/>
      <c r="BK105" s="394"/>
      <c r="BL105" s="394"/>
      <c r="BM105" s="394"/>
      <c r="BN105" s="394"/>
      <c r="BO105" s="394"/>
      <c r="BP105" s="394"/>
    </row>
    <row r="106">
      <c r="A106" s="507" t="s">
        <v>1664</v>
      </c>
      <c r="B106" s="507" t="s">
        <v>5081</v>
      </c>
      <c r="C106" s="507" t="s">
        <v>5082</v>
      </c>
      <c r="D106" s="452" t="str">
        <f>HYPERLINK("https://www.biostar.com.tw/app/en/","Biostar")</f>
        <v>Biostar</v>
      </c>
      <c r="E106" s="715" t="s">
        <v>5584</v>
      </c>
      <c r="F106" s="507">
        <v>244.0</v>
      </c>
      <c r="G106" s="507">
        <v>244.0</v>
      </c>
      <c r="H106" s="507">
        <v>4.0</v>
      </c>
      <c r="I106" s="507" t="s">
        <v>166</v>
      </c>
      <c r="J106" s="507">
        <v>3.0</v>
      </c>
      <c r="K106" s="507" t="s">
        <v>166</v>
      </c>
      <c r="L106" s="507" t="s">
        <v>166</v>
      </c>
      <c r="M106" s="507">
        <v>1.0</v>
      </c>
      <c r="N106" s="507" t="s">
        <v>166</v>
      </c>
      <c r="O106" s="507" t="s">
        <v>174</v>
      </c>
      <c r="P106" s="507" t="s">
        <v>174</v>
      </c>
      <c r="Q106" s="507" t="s">
        <v>166</v>
      </c>
      <c r="R106" s="507">
        <v>4.0</v>
      </c>
      <c r="S106" s="507" t="s">
        <v>3151</v>
      </c>
      <c r="T106" s="507">
        <v>192.0</v>
      </c>
      <c r="U106" s="507" t="s">
        <v>5368</v>
      </c>
      <c r="V106" s="507">
        <v>4.0</v>
      </c>
      <c r="W106" s="711" t="s">
        <v>5062</v>
      </c>
      <c r="X106" s="507">
        <v>2.0</v>
      </c>
      <c r="Y106" s="507">
        <v>4.0</v>
      </c>
      <c r="Z106" s="507" t="s">
        <v>166</v>
      </c>
      <c r="AA106" s="507" t="s">
        <v>166</v>
      </c>
      <c r="AB106" s="507" t="s">
        <v>166</v>
      </c>
      <c r="AC106" s="507" t="s">
        <v>166</v>
      </c>
      <c r="AD106" s="507" t="s">
        <v>166</v>
      </c>
      <c r="AE106" s="507" t="s">
        <v>166</v>
      </c>
      <c r="AF106" s="507">
        <f t="shared" si="1"/>
        <v>6</v>
      </c>
      <c r="AG106" s="507">
        <v>2.0</v>
      </c>
      <c r="AH106" s="507">
        <v>1.0</v>
      </c>
      <c r="AI106" s="507" t="s">
        <v>5025</v>
      </c>
      <c r="AJ106" s="507">
        <v>1.0</v>
      </c>
      <c r="AK106" s="48" t="s">
        <v>5038</v>
      </c>
      <c r="AL106" s="705">
        <v>2.5</v>
      </c>
      <c r="AM106" s="705">
        <v>1.0</v>
      </c>
      <c r="AN106" s="705" t="s">
        <v>166</v>
      </c>
      <c r="AO106" s="705" t="s">
        <v>232</v>
      </c>
      <c r="AP106" s="507" t="s">
        <v>166</v>
      </c>
      <c r="AQ106" s="507" t="s">
        <v>166</v>
      </c>
      <c r="AR106" s="705" t="s">
        <v>5039</v>
      </c>
      <c r="AS106" s="507" t="s">
        <v>166</v>
      </c>
      <c r="AT106" s="507">
        <v>3.0</v>
      </c>
      <c r="AU106" s="507">
        <v>1.0</v>
      </c>
      <c r="AV106" s="266">
        <v>1.0</v>
      </c>
      <c r="AW106" s="507">
        <v>1.0</v>
      </c>
      <c r="AX106" s="507" t="s">
        <v>166</v>
      </c>
      <c r="AY106" s="507" t="s">
        <v>166</v>
      </c>
      <c r="AZ106" s="507">
        <v>3.0</v>
      </c>
      <c r="BA106" s="507">
        <v>1.0</v>
      </c>
      <c r="BB106" s="507">
        <v>2.0</v>
      </c>
      <c r="BC106" s="507" t="s">
        <v>174</v>
      </c>
      <c r="BD106" s="507" t="s">
        <v>166</v>
      </c>
      <c r="BE106" s="705" t="s">
        <v>170</v>
      </c>
      <c r="BF106" s="705" t="s">
        <v>170</v>
      </c>
      <c r="BG106" s="705" t="s">
        <v>170</v>
      </c>
      <c r="BH106" s="705" t="s">
        <v>170</v>
      </c>
      <c r="BI106" s="708" t="s">
        <v>170</v>
      </c>
      <c r="BJ106" s="708"/>
      <c r="BK106" s="394"/>
      <c r="BL106" s="394"/>
      <c r="BM106" s="394"/>
      <c r="BN106" s="394"/>
      <c r="BO106" s="394"/>
      <c r="BP106" s="394"/>
    </row>
    <row r="107">
      <c r="A107" s="507" t="s">
        <v>1664</v>
      </c>
      <c r="B107" s="507" t="s">
        <v>5081</v>
      </c>
      <c r="C107" s="507" t="s">
        <v>5082</v>
      </c>
      <c r="D107" s="506" t="str">
        <f t="shared" ref="D107:D111" si="15">HYPERLINK("https://www.gigabyte.com/","Gigabyte")</f>
        <v>Gigabyte</v>
      </c>
      <c r="E107" s="715" t="s">
        <v>5585</v>
      </c>
      <c r="F107" s="507">
        <v>244.0</v>
      </c>
      <c r="G107" s="507">
        <v>244.0</v>
      </c>
      <c r="H107" s="507">
        <v>4.0</v>
      </c>
      <c r="I107" s="507" t="s">
        <v>166</v>
      </c>
      <c r="J107" s="507">
        <v>1.0</v>
      </c>
      <c r="K107" s="507" t="s">
        <v>166</v>
      </c>
      <c r="L107" s="507" t="s">
        <v>166</v>
      </c>
      <c r="M107" s="507">
        <v>1.0</v>
      </c>
      <c r="N107" s="507" t="s">
        <v>166</v>
      </c>
      <c r="O107" s="507" t="s">
        <v>174</v>
      </c>
      <c r="P107" s="507" t="s">
        <v>166</v>
      </c>
      <c r="Q107" s="507" t="s">
        <v>166</v>
      </c>
      <c r="R107" s="507">
        <v>4.0</v>
      </c>
      <c r="S107" s="507" t="s">
        <v>3151</v>
      </c>
      <c r="T107" s="507">
        <v>192.0</v>
      </c>
      <c r="U107" s="507" t="s">
        <v>5089</v>
      </c>
      <c r="V107" s="507">
        <v>4.0</v>
      </c>
      <c r="W107" s="711" t="s">
        <v>5062</v>
      </c>
      <c r="X107" s="507">
        <v>4.0</v>
      </c>
      <c r="Y107" s="507">
        <v>1.0</v>
      </c>
      <c r="Z107" s="507">
        <v>1.0</v>
      </c>
      <c r="AA107" s="507" t="s">
        <v>166</v>
      </c>
      <c r="AB107" s="507" t="s">
        <v>166</v>
      </c>
      <c r="AC107" s="507" t="s">
        <v>166</v>
      </c>
      <c r="AD107" s="507" t="s">
        <v>166</v>
      </c>
      <c r="AE107" s="507" t="s">
        <v>166</v>
      </c>
      <c r="AF107" s="507">
        <f t="shared" si="1"/>
        <v>6</v>
      </c>
      <c r="AG107" s="507">
        <v>1.0</v>
      </c>
      <c r="AH107" s="507">
        <v>1.0</v>
      </c>
      <c r="AI107" s="507" t="s">
        <v>166</v>
      </c>
      <c r="AJ107" s="507">
        <v>1.0</v>
      </c>
      <c r="AK107" s="48" t="s">
        <v>4959</v>
      </c>
      <c r="AL107" s="48">
        <v>1.0</v>
      </c>
      <c r="AM107" s="705" t="s">
        <v>166</v>
      </c>
      <c r="AN107" s="705" t="s">
        <v>166</v>
      </c>
      <c r="AO107" s="705" t="s">
        <v>166</v>
      </c>
      <c r="AP107" s="507" t="s">
        <v>166</v>
      </c>
      <c r="AQ107" s="507" t="s">
        <v>166</v>
      </c>
      <c r="AR107" s="705" t="s">
        <v>5039</v>
      </c>
      <c r="AS107" s="507" t="s">
        <v>166</v>
      </c>
      <c r="AT107" s="507">
        <v>3.0</v>
      </c>
      <c r="AU107" s="507">
        <v>1.0</v>
      </c>
      <c r="AV107" s="266">
        <v>1.0</v>
      </c>
      <c r="AW107" s="507">
        <v>1.0</v>
      </c>
      <c r="AX107" s="507" t="s">
        <v>166</v>
      </c>
      <c r="AY107" s="507">
        <v>1.0</v>
      </c>
      <c r="AZ107" s="507">
        <v>3.0</v>
      </c>
      <c r="BA107" s="507">
        <v>1.0</v>
      </c>
      <c r="BB107" s="507">
        <v>1.0</v>
      </c>
      <c r="BC107" s="507" t="s">
        <v>166</v>
      </c>
      <c r="BD107" s="507" t="s">
        <v>166</v>
      </c>
      <c r="BE107" s="705" t="s">
        <v>170</v>
      </c>
      <c r="BF107" s="705" t="s">
        <v>5091</v>
      </c>
      <c r="BG107" s="705" t="s">
        <v>4955</v>
      </c>
      <c r="BH107" s="705">
        <v>5.0</v>
      </c>
      <c r="BI107" s="708" t="s">
        <v>170</v>
      </c>
      <c r="BJ107" s="708"/>
      <c r="BK107" s="394"/>
      <c r="BL107" s="394"/>
      <c r="BM107" s="394"/>
      <c r="BN107" s="394"/>
      <c r="BO107" s="394"/>
      <c r="BP107" s="394"/>
    </row>
    <row r="108">
      <c r="A108" s="507" t="s">
        <v>1664</v>
      </c>
      <c r="B108" s="507" t="s">
        <v>5081</v>
      </c>
      <c r="C108" s="507" t="s">
        <v>5082</v>
      </c>
      <c r="D108" s="506" t="str">
        <f t="shared" si="15"/>
        <v>Gigabyte</v>
      </c>
      <c r="E108" s="715" t="s">
        <v>5586</v>
      </c>
      <c r="F108" s="507">
        <v>244.0</v>
      </c>
      <c r="G108" s="507">
        <v>244.0</v>
      </c>
      <c r="H108" s="507">
        <v>4.0</v>
      </c>
      <c r="I108" s="507" t="s">
        <v>166</v>
      </c>
      <c r="J108" s="507">
        <v>1.0</v>
      </c>
      <c r="K108" s="507" t="s">
        <v>166</v>
      </c>
      <c r="L108" s="507" t="s">
        <v>166</v>
      </c>
      <c r="M108" s="507">
        <v>1.0</v>
      </c>
      <c r="N108" s="507" t="s">
        <v>166</v>
      </c>
      <c r="O108" s="507" t="s">
        <v>174</v>
      </c>
      <c r="P108" s="507" t="s">
        <v>174</v>
      </c>
      <c r="Q108" s="507" t="s">
        <v>166</v>
      </c>
      <c r="R108" s="507">
        <v>4.0</v>
      </c>
      <c r="S108" s="507" t="s">
        <v>3151</v>
      </c>
      <c r="T108" s="507">
        <v>192.0</v>
      </c>
      <c r="U108" s="507" t="s">
        <v>5089</v>
      </c>
      <c r="V108" s="507">
        <v>4.0</v>
      </c>
      <c r="W108" s="711" t="s">
        <v>5062</v>
      </c>
      <c r="X108" s="507">
        <v>2.0</v>
      </c>
      <c r="Y108" s="507">
        <v>2.0</v>
      </c>
      <c r="Z108" s="507">
        <v>1.0</v>
      </c>
      <c r="AA108" s="507">
        <v>1.0</v>
      </c>
      <c r="AB108" s="507" t="s">
        <v>166</v>
      </c>
      <c r="AC108" s="507" t="s">
        <v>166</v>
      </c>
      <c r="AD108" s="507" t="s">
        <v>166</v>
      </c>
      <c r="AE108" s="507" t="s">
        <v>166</v>
      </c>
      <c r="AF108" s="507">
        <f t="shared" si="1"/>
        <v>6</v>
      </c>
      <c r="AG108" s="507">
        <v>1.0</v>
      </c>
      <c r="AH108" s="507">
        <v>1.0</v>
      </c>
      <c r="AI108" s="507" t="s">
        <v>5049</v>
      </c>
      <c r="AJ108" s="507">
        <v>1.0</v>
      </c>
      <c r="AK108" s="48" t="s">
        <v>4959</v>
      </c>
      <c r="AL108" s="48">
        <v>1.0</v>
      </c>
      <c r="AM108" s="705" t="s">
        <v>166</v>
      </c>
      <c r="AN108" s="705" t="s">
        <v>166</v>
      </c>
      <c r="AO108" s="705" t="s">
        <v>166</v>
      </c>
      <c r="AP108" s="507" t="s">
        <v>166</v>
      </c>
      <c r="AQ108" s="507" t="s">
        <v>166</v>
      </c>
      <c r="AR108" s="705" t="s">
        <v>5039</v>
      </c>
      <c r="AS108" s="507" t="s">
        <v>166</v>
      </c>
      <c r="AT108" s="507">
        <v>3.0</v>
      </c>
      <c r="AU108" s="507">
        <v>1.0</v>
      </c>
      <c r="AV108" s="266">
        <v>1.0</v>
      </c>
      <c r="AW108" s="507">
        <v>1.0</v>
      </c>
      <c r="AX108" s="507" t="s">
        <v>166</v>
      </c>
      <c r="AY108" s="507" t="s">
        <v>166</v>
      </c>
      <c r="AZ108" s="507">
        <v>3.0</v>
      </c>
      <c r="BA108" s="507">
        <v>1.0</v>
      </c>
      <c r="BB108" s="507">
        <v>1.0</v>
      </c>
      <c r="BC108" s="507" t="s">
        <v>166</v>
      </c>
      <c r="BD108" s="507" t="s">
        <v>166</v>
      </c>
      <c r="BE108" s="705" t="s">
        <v>170</v>
      </c>
      <c r="BF108" s="705" t="s">
        <v>5034</v>
      </c>
      <c r="BG108" s="705" t="s">
        <v>4955</v>
      </c>
      <c r="BH108" s="705">
        <v>8.0</v>
      </c>
      <c r="BI108" s="708" t="s">
        <v>170</v>
      </c>
      <c r="BJ108" s="708"/>
      <c r="BK108" s="394"/>
      <c r="BL108" s="394"/>
      <c r="BM108" s="394"/>
      <c r="BN108" s="394"/>
      <c r="BO108" s="394"/>
      <c r="BP108" s="394"/>
    </row>
    <row r="109">
      <c r="A109" s="507" t="s">
        <v>1664</v>
      </c>
      <c r="B109" s="507" t="s">
        <v>5081</v>
      </c>
      <c r="C109" s="507" t="s">
        <v>5082</v>
      </c>
      <c r="D109" s="506" t="str">
        <f t="shared" si="15"/>
        <v>Gigabyte</v>
      </c>
      <c r="E109" s="715" t="s">
        <v>5587</v>
      </c>
      <c r="F109" s="507">
        <v>244.0</v>
      </c>
      <c r="G109" s="507">
        <v>244.0</v>
      </c>
      <c r="H109" s="507">
        <v>4.0</v>
      </c>
      <c r="I109" s="507" t="s">
        <v>166</v>
      </c>
      <c r="J109" s="507">
        <v>1.0</v>
      </c>
      <c r="K109" s="507" t="s">
        <v>166</v>
      </c>
      <c r="L109" s="507" t="s">
        <v>166</v>
      </c>
      <c r="M109" s="507">
        <v>1.0</v>
      </c>
      <c r="N109" s="507" t="s">
        <v>166</v>
      </c>
      <c r="O109" s="507" t="s">
        <v>174</v>
      </c>
      <c r="P109" s="507" t="s">
        <v>174</v>
      </c>
      <c r="Q109" s="507" t="s">
        <v>166</v>
      </c>
      <c r="R109" s="507">
        <v>4.0</v>
      </c>
      <c r="S109" s="507" t="s">
        <v>3151</v>
      </c>
      <c r="T109" s="507">
        <v>192.0</v>
      </c>
      <c r="U109" s="507" t="s">
        <v>5089</v>
      </c>
      <c r="V109" s="507">
        <v>4.0</v>
      </c>
      <c r="W109" s="711" t="s">
        <v>5062</v>
      </c>
      <c r="X109" s="507">
        <v>2.0</v>
      </c>
      <c r="Y109" s="507">
        <v>2.0</v>
      </c>
      <c r="Z109" s="507">
        <v>1.0</v>
      </c>
      <c r="AA109" s="507">
        <v>1.0</v>
      </c>
      <c r="AB109" s="507" t="s">
        <v>166</v>
      </c>
      <c r="AC109" s="507" t="s">
        <v>166</v>
      </c>
      <c r="AD109" s="507" t="s">
        <v>166</v>
      </c>
      <c r="AE109" s="507" t="s">
        <v>166</v>
      </c>
      <c r="AF109" s="507">
        <f t="shared" si="1"/>
        <v>6</v>
      </c>
      <c r="AG109" s="507">
        <v>1.0</v>
      </c>
      <c r="AH109" s="507">
        <v>1.0</v>
      </c>
      <c r="AI109" s="507" t="s">
        <v>5049</v>
      </c>
      <c r="AJ109" s="507">
        <v>1.0</v>
      </c>
      <c r="AK109" s="48" t="s">
        <v>4959</v>
      </c>
      <c r="AL109" s="48">
        <v>1.0</v>
      </c>
      <c r="AM109" s="705">
        <v>1.0</v>
      </c>
      <c r="AN109" s="705" t="s">
        <v>5044</v>
      </c>
      <c r="AO109" s="705" t="s">
        <v>5485</v>
      </c>
      <c r="AP109" s="507">
        <v>2400.0</v>
      </c>
      <c r="AQ109" s="507">
        <v>5.2</v>
      </c>
      <c r="AR109" s="705" t="s">
        <v>5039</v>
      </c>
      <c r="AS109" s="507" t="s">
        <v>166</v>
      </c>
      <c r="AT109" s="507">
        <v>3.0</v>
      </c>
      <c r="AU109" s="507">
        <v>1.0</v>
      </c>
      <c r="AV109" s="266">
        <v>1.0</v>
      </c>
      <c r="AW109" s="507">
        <v>1.0</v>
      </c>
      <c r="AX109" s="507" t="s">
        <v>166</v>
      </c>
      <c r="AY109" s="507" t="s">
        <v>166</v>
      </c>
      <c r="AZ109" s="507">
        <v>3.0</v>
      </c>
      <c r="BA109" s="507">
        <v>1.0</v>
      </c>
      <c r="BB109" s="507">
        <v>1.0</v>
      </c>
      <c r="BC109" s="507" t="s">
        <v>166</v>
      </c>
      <c r="BD109" s="507" t="s">
        <v>166</v>
      </c>
      <c r="BE109" s="705" t="s">
        <v>170</v>
      </c>
      <c r="BF109" s="705" t="s">
        <v>5034</v>
      </c>
      <c r="BG109" s="705" t="s">
        <v>4955</v>
      </c>
      <c r="BH109" s="705">
        <v>8.0</v>
      </c>
      <c r="BI109" s="708" t="s">
        <v>170</v>
      </c>
      <c r="BJ109" s="708"/>
      <c r="BK109" s="394"/>
      <c r="BL109" s="394"/>
      <c r="BM109" s="394"/>
      <c r="BN109" s="394"/>
      <c r="BO109" s="394"/>
      <c r="BP109" s="394"/>
    </row>
    <row r="110">
      <c r="A110" s="507" t="s">
        <v>1664</v>
      </c>
      <c r="B110" s="507" t="s">
        <v>5081</v>
      </c>
      <c r="C110" s="507" t="s">
        <v>5082</v>
      </c>
      <c r="D110" s="506" t="str">
        <f t="shared" si="15"/>
        <v>Gigabyte</v>
      </c>
      <c r="E110" s="715" t="s">
        <v>5588</v>
      </c>
      <c r="F110" s="507">
        <v>230.0</v>
      </c>
      <c r="G110" s="507">
        <v>225.0</v>
      </c>
      <c r="H110" s="507">
        <v>4.0</v>
      </c>
      <c r="I110" s="507" t="s">
        <v>166</v>
      </c>
      <c r="J110" s="507">
        <v>1.0</v>
      </c>
      <c r="K110" s="507" t="s">
        <v>166</v>
      </c>
      <c r="L110" s="507" t="s">
        <v>166</v>
      </c>
      <c r="M110" s="507">
        <v>1.0</v>
      </c>
      <c r="N110" s="507" t="s">
        <v>166</v>
      </c>
      <c r="O110" s="507" t="s">
        <v>174</v>
      </c>
      <c r="P110" s="507" t="s">
        <v>174</v>
      </c>
      <c r="Q110" s="507" t="s">
        <v>166</v>
      </c>
      <c r="R110" s="507">
        <v>2.0</v>
      </c>
      <c r="S110" s="507" t="s">
        <v>3151</v>
      </c>
      <c r="T110" s="507">
        <v>96.0</v>
      </c>
      <c r="U110" s="507" t="s">
        <v>5089</v>
      </c>
      <c r="V110" s="507">
        <v>4.0</v>
      </c>
      <c r="W110" s="711" t="s">
        <v>5062</v>
      </c>
      <c r="X110" s="507">
        <v>4.0</v>
      </c>
      <c r="Y110" s="507">
        <v>2.0</v>
      </c>
      <c r="Z110" s="507" t="s">
        <v>166</v>
      </c>
      <c r="AA110" s="507" t="s">
        <v>166</v>
      </c>
      <c r="AB110" s="507" t="s">
        <v>166</v>
      </c>
      <c r="AC110" s="507" t="s">
        <v>166</v>
      </c>
      <c r="AD110" s="507" t="s">
        <v>166</v>
      </c>
      <c r="AE110" s="507" t="s">
        <v>166</v>
      </c>
      <c r="AF110" s="507">
        <f t="shared" si="1"/>
        <v>6</v>
      </c>
      <c r="AG110" s="507">
        <v>2.0</v>
      </c>
      <c r="AH110" s="507">
        <v>1.0</v>
      </c>
      <c r="AI110" s="507" t="s">
        <v>166</v>
      </c>
      <c r="AJ110" s="507">
        <v>1.0</v>
      </c>
      <c r="AK110" s="48" t="s">
        <v>4959</v>
      </c>
      <c r="AL110" s="48">
        <v>1.0</v>
      </c>
      <c r="AM110" s="705" t="s">
        <v>166</v>
      </c>
      <c r="AN110" s="705" t="s">
        <v>166</v>
      </c>
      <c r="AO110" s="705" t="s">
        <v>166</v>
      </c>
      <c r="AP110" s="507" t="s">
        <v>166</v>
      </c>
      <c r="AQ110" s="507" t="s">
        <v>166</v>
      </c>
      <c r="AR110" s="705" t="s">
        <v>5039</v>
      </c>
      <c r="AS110" s="507" t="s">
        <v>166</v>
      </c>
      <c r="AT110" s="507">
        <v>3.0</v>
      </c>
      <c r="AU110" s="507">
        <v>1.0</v>
      </c>
      <c r="AV110" s="266">
        <v>1.0</v>
      </c>
      <c r="AW110" s="507">
        <v>1.0</v>
      </c>
      <c r="AX110" s="507" t="s">
        <v>166</v>
      </c>
      <c r="AY110" s="507" t="s">
        <v>166</v>
      </c>
      <c r="AZ110" s="507">
        <v>3.0</v>
      </c>
      <c r="BA110" s="507">
        <v>1.0</v>
      </c>
      <c r="BB110" s="507">
        <v>1.0</v>
      </c>
      <c r="BC110" s="507" t="s">
        <v>166</v>
      </c>
      <c r="BD110" s="507" t="s">
        <v>166</v>
      </c>
      <c r="BE110" s="705" t="s">
        <v>170</v>
      </c>
      <c r="BF110" s="705" t="s">
        <v>5091</v>
      </c>
      <c r="BG110" s="705" t="s">
        <v>4955</v>
      </c>
      <c r="BH110" s="705">
        <v>5.0</v>
      </c>
      <c r="BI110" s="708" t="s">
        <v>170</v>
      </c>
      <c r="BJ110" s="708"/>
      <c r="BK110" s="394"/>
      <c r="BL110" s="394"/>
      <c r="BM110" s="394"/>
      <c r="BN110" s="394"/>
      <c r="BO110" s="394"/>
      <c r="BP110" s="394"/>
    </row>
    <row r="111">
      <c r="A111" s="507" t="s">
        <v>1664</v>
      </c>
      <c r="B111" s="507" t="s">
        <v>5081</v>
      </c>
      <c r="C111" s="507" t="s">
        <v>5082</v>
      </c>
      <c r="D111" s="506" t="str">
        <f t="shared" si="15"/>
        <v>Gigabyte</v>
      </c>
      <c r="E111" s="715" t="s">
        <v>5589</v>
      </c>
      <c r="F111" s="507">
        <v>230.0</v>
      </c>
      <c r="G111" s="507">
        <v>225.0</v>
      </c>
      <c r="H111" s="507">
        <v>4.0</v>
      </c>
      <c r="I111" s="507" t="s">
        <v>166</v>
      </c>
      <c r="J111" s="507">
        <v>1.0</v>
      </c>
      <c r="K111" s="507" t="s">
        <v>166</v>
      </c>
      <c r="L111" s="507" t="s">
        <v>166</v>
      </c>
      <c r="M111" s="507">
        <v>1.0</v>
      </c>
      <c r="N111" s="507" t="s">
        <v>166</v>
      </c>
      <c r="O111" s="507" t="s">
        <v>174</v>
      </c>
      <c r="P111" s="507" t="s">
        <v>174</v>
      </c>
      <c r="Q111" s="507" t="s">
        <v>166</v>
      </c>
      <c r="R111" s="507">
        <v>2.0</v>
      </c>
      <c r="S111" s="507" t="s">
        <v>3151</v>
      </c>
      <c r="T111" s="507">
        <v>96.0</v>
      </c>
      <c r="U111" s="507" t="s">
        <v>5089</v>
      </c>
      <c r="V111" s="507">
        <v>4.0</v>
      </c>
      <c r="W111" s="711" t="s">
        <v>5062</v>
      </c>
      <c r="X111" s="507">
        <v>4.0</v>
      </c>
      <c r="Y111" s="507">
        <v>2.0</v>
      </c>
      <c r="Z111" s="507" t="s">
        <v>166</v>
      </c>
      <c r="AA111" s="507" t="s">
        <v>166</v>
      </c>
      <c r="AB111" s="507" t="s">
        <v>166</v>
      </c>
      <c r="AC111" s="507" t="s">
        <v>166</v>
      </c>
      <c r="AD111" s="507" t="s">
        <v>166</v>
      </c>
      <c r="AE111" s="507" t="s">
        <v>166</v>
      </c>
      <c r="AF111" s="507">
        <f t="shared" si="1"/>
        <v>6</v>
      </c>
      <c r="AG111" s="507">
        <v>2.0</v>
      </c>
      <c r="AH111" s="507">
        <v>1.0</v>
      </c>
      <c r="AI111" s="507" t="s">
        <v>166</v>
      </c>
      <c r="AJ111" s="507">
        <v>1.0</v>
      </c>
      <c r="AK111" s="48" t="s">
        <v>4959</v>
      </c>
      <c r="AL111" s="48">
        <v>1.0</v>
      </c>
      <c r="AM111" s="705" t="s">
        <v>166</v>
      </c>
      <c r="AN111" s="705" t="s">
        <v>166</v>
      </c>
      <c r="AO111" s="705" t="s">
        <v>166</v>
      </c>
      <c r="AP111" s="507" t="s">
        <v>166</v>
      </c>
      <c r="AQ111" s="507" t="s">
        <v>166</v>
      </c>
      <c r="AR111" s="705" t="s">
        <v>5039</v>
      </c>
      <c r="AS111" s="507" t="s">
        <v>166</v>
      </c>
      <c r="AT111" s="507">
        <v>3.0</v>
      </c>
      <c r="AU111" s="507">
        <v>1.0</v>
      </c>
      <c r="AV111" s="266">
        <v>1.0</v>
      </c>
      <c r="AW111" s="507">
        <v>1.0</v>
      </c>
      <c r="AX111" s="507" t="s">
        <v>166</v>
      </c>
      <c r="AY111" s="507">
        <v>1.0</v>
      </c>
      <c r="AZ111" s="507">
        <v>3.0</v>
      </c>
      <c r="BA111" s="507">
        <v>1.0</v>
      </c>
      <c r="BB111" s="507">
        <v>1.0</v>
      </c>
      <c r="BC111" s="507" t="s">
        <v>166</v>
      </c>
      <c r="BD111" s="507" t="s">
        <v>166</v>
      </c>
      <c r="BE111" s="705" t="s">
        <v>170</v>
      </c>
      <c r="BF111" s="705" t="s">
        <v>5091</v>
      </c>
      <c r="BG111" s="705" t="s">
        <v>4955</v>
      </c>
      <c r="BH111" s="705">
        <v>5.0</v>
      </c>
      <c r="BI111" s="708" t="s">
        <v>170</v>
      </c>
      <c r="BJ111" s="708"/>
      <c r="BK111" s="394"/>
      <c r="BL111" s="394"/>
      <c r="BM111" s="394"/>
      <c r="BN111" s="394"/>
      <c r="BO111" s="394"/>
      <c r="BP111" s="394"/>
    </row>
    <row r="112">
      <c r="A112" s="519" t="s">
        <v>1664</v>
      </c>
      <c r="B112" s="519" t="s">
        <v>5081</v>
      </c>
      <c r="C112" s="519" t="s">
        <v>5082</v>
      </c>
      <c r="D112" s="500" t="str">
        <f>HYPERLINK("https://www.msi.com/index.php","MSI")</f>
        <v>MSI</v>
      </c>
      <c r="E112" s="716" t="s">
        <v>5590</v>
      </c>
      <c r="F112" s="519">
        <v>244.0</v>
      </c>
      <c r="G112" s="519">
        <v>211.0</v>
      </c>
      <c r="H112" s="519">
        <v>4.0</v>
      </c>
      <c r="I112" s="519" t="s">
        <v>166</v>
      </c>
      <c r="J112" s="519">
        <v>1.0</v>
      </c>
      <c r="K112" s="519" t="s">
        <v>166</v>
      </c>
      <c r="L112" s="519" t="s">
        <v>166</v>
      </c>
      <c r="M112" s="519">
        <v>1.0</v>
      </c>
      <c r="N112" s="519" t="s">
        <v>166</v>
      </c>
      <c r="O112" s="519" t="s">
        <v>174</v>
      </c>
      <c r="P112" s="519" t="s">
        <v>166</v>
      </c>
      <c r="Q112" s="519" t="s">
        <v>166</v>
      </c>
      <c r="R112" s="519">
        <v>2.0</v>
      </c>
      <c r="S112" s="519" t="s">
        <v>3151</v>
      </c>
      <c r="T112" s="519">
        <v>96.0</v>
      </c>
      <c r="U112" s="519" t="s">
        <v>5089</v>
      </c>
      <c r="V112" s="519">
        <v>4.0</v>
      </c>
      <c r="W112" s="719" t="s">
        <v>5062</v>
      </c>
      <c r="X112" s="519">
        <v>2.0</v>
      </c>
      <c r="Y112" s="519">
        <v>4.0</v>
      </c>
      <c r="Z112" s="519" t="s">
        <v>166</v>
      </c>
      <c r="AA112" s="519" t="s">
        <v>166</v>
      </c>
      <c r="AB112" s="519" t="s">
        <v>166</v>
      </c>
      <c r="AC112" s="519" t="s">
        <v>166</v>
      </c>
      <c r="AD112" s="519" t="s">
        <v>166</v>
      </c>
      <c r="AE112" s="519" t="s">
        <v>166</v>
      </c>
      <c r="AF112" s="519">
        <f t="shared" si="1"/>
        <v>6</v>
      </c>
      <c r="AG112" s="519">
        <v>2.0</v>
      </c>
      <c r="AH112" s="519">
        <v>1.0</v>
      </c>
      <c r="AI112" s="519" t="s">
        <v>166</v>
      </c>
      <c r="AJ112" s="519">
        <v>1.0</v>
      </c>
      <c r="AK112" s="700" t="s">
        <v>4959</v>
      </c>
      <c r="AL112" s="700">
        <v>1.0</v>
      </c>
      <c r="AM112" s="712" t="s">
        <v>166</v>
      </c>
      <c r="AN112" s="712" t="s">
        <v>166</v>
      </c>
      <c r="AO112" s="712" t="s">
        <v>166</v>
      </c>
      <c r="AP112" s="519" t="s">
        <v>166</v>
      </c>
      <c r="AQ112" s="519" t="s">
        <v>166</v>
      </c>
      <c r="AR112" s="712" t="s">
        <v>5039</v>
      </c>
      <c r="AS112" s="519" t="s">
        <v>166</v>
      </c>
      <c r="AT112" s="519">
        <v>3.0</v>
      </c>
      <c r="AU112" s="519">
        <v>2.0</v>
      </c>
      <c r="AV112" s="501" t="s">
        <v>166</v>
      </c>
      <c r="AW112" s="519">
        <v>1.0</v>
      </c>
      <c r="AX112" s="519" t="s">
        <v>166</v>
      </c>
      <c r="AY112" s="519">
        <v>1.0</v>
      </c>
      <c r="AZ112" s="519">
        <v>3.0</v>
      </c>
      <c r="BA112" s="519">
        <v>1.0</v>
      </c>
      <c r="BB112" s="519" t="s">
        <v>166</v>
      </c>
      <c r="BC112" s="519" t="s">
        <v>174</v>
      </c>
      <c r="BD112" s="519" t="s">
        <v>166</v>
      </c>
      <c r="BE112" s="712" t="s">
        <v>170</v>
      </c>
      <c r="BF112" s="712" t="s">
        <v>170</v>
      </c>
      <c r="BG112" s="712" t="s">
        <v>170</v>
      </c>
      <c r="BH112" s="712" t="s">
        <v>170</v>
      </c>
      <c r="BI112" s="717" t="s">
        <v>170</v>
      </c>
      <c r="BJ112" s="717"/>
      <c r="BK112" s="394"/>
      <c r="BL112" s="394"/>
      <c r="BM112" s="394"/>
      <c r="BN112" s="394"/>
      <c r="BO112" s="394"/>
      <c r="BP112" s="394"/>
    </row>
    <row r="113">
      <c r="A113" s="507" t="s">
        <v>1664</v>
      </c>
      <c r="B113" s="507" t="s">
        <v>5081</v>
      </c>
      <c r="C113" s="507" t="s">
        <v>5092</v>
      </c>
      <c r="D113" s="506" t="s">
        <v>169</v>
      </c>
      <c r="E113" s="715" t="s">
        <v>5591</v>
      </c>
      <c r="F113" s="507">
        <v>244.0</v>
      </c>
      <c r="G113" s="507">
        <v>226.0</v>
      </c>
      <c r="H113" s="507">
        <v>4.0</v>
      </c>
      <c r="I113" s="507" t="s">
        <v>166</v>
      </c>
      <c r="J113" s="507">
        <v>1.0</v>
      </c>
      <c r="K113" s="507" t="s">
        <v>166</v>
      </c>
      <c r="L113" s="507" t="s">
        <v>166</v>
      </c>
      <c r="M113" s="507">
        <v>2.0</v>
      </c>
      <c r="N113" s="507" t="s">
        <v>174</v>
      </c>
      <c r="O113" s="507" t="s">
        <v>174</v>
      </c>
      <c r="P113" s="507" t="s">
        <v>174</v>
      </c>
      <c r="Q113" s="507" t="s">
        <v>166</v>
      </c>
      <c r="R113" s="507">
        <v>2.0</v>
      </c>
      <c r="S113" s="507" t="s">
        <v>3151</v>
      </c>
      <c r="T113" s="507">
        <v>96.0</v>
      </c>
      <c r="U113" s="507" t="s">
        <v>5089</v>
      </c>
      <c r="V113" s="507">
        <v>4.0</v>
      </c>
      <c r="W113" s="711" t="s">
        <v>5126</v>
      </c>
      <c r="X113" s="507">
        <v>4.0</v>
      </c>
      <c r="Y113" s="507">
        <v>2.0</v>
      </c>
      <c r="Z113" s="507">
        <v>1.0</v>
      </c>
      <c r="AA113" s="507" t="s">
        <v>166</v>
      </c>
      <c r="AB113" s="507" t="s">
        <v>166</v>
      </c>
      <c r="AC113" s="507" t="s">
        <v>166</v>
      </c>
      <c r="AD113" s="507" t="s">
        <v>166</v>
      </c>
      <c r="AE113" s="507" t="s">
        <v>166</v>
      </c>
      <c r="AF113" s="507">
        <f t="shared" si="1"/>
        <v>7</v>
      </c>
      <c r="AG113" s="507">
        <v>2.0</v>
      </c>
      <c r="AH113" s="507">
        <v>2.0</v>
      </c>
      <c r="AI113" s="507" t="s">
        <v>5025</v>
      </c>
      <c r="AJ113" s="507">
        <v>1.0</v>
      </c>
      <c r="AK113" s="705" t="s">
        <v>5043</v>
      </c>
      <c r="AL113" s="705">
        <v>2.5</v>
      </c>
      <c r="AM113" s="705">
        <v>1.0</v>
      </c>
      <c r="AN113" s="705" t="s">
        <v>166</v>
      </c>
      <c r="AO113" s="705" t="s">
        <v>232</v>
      </c>
      <c r="AP113" s="507" t="s">
        <v>166</v>
      </c>
      <c r="AQ113" s="507" t="s">
        <v>166</v>
      </c>
      <c r="AR113" s="705" t="s">
        <v>5039</v>
      </c>
      <c r="AS113" s="507" t="s">
        <v>166</v>
      </c>
      <c r="AT113" s="507">
        <v>3.0</v>
      </c>
      <c r="AU113" s="507" t="s">
        <v>166</v>
      </c>
      <c r="AV113" s="507">
        <v>1.0</v>
      </c>
      <c r="AW113" s="507">
        <v>1.0</v>
      </c>
      <c r="AX113" s="507" t="s">
        <v>166</v>
      </c>
      <c r="AY113" s="507" t="s">
        <v>166</v>
      </c>
      <c r="AZ113" s="507">
        <v>4.0</v>
      </c>
      <c r="BA113" s="507" t="s">
        <v>166</v>
      </c>
      <c r="BB113" s="507" t="s">
        <v>166</v>
      </c>
      <c r="BC113" s="507" t="s">
        <v>174</v>
      </c>
      <c r="BD113" s="507" t="s">
        <v>174</v>
      </c>
      <c r="BE113" s="705" t="s">
        <v>170</v>
      </c>
      <c r="BF113" s="705" t="s">
        <v>5034</v>
      </c>
      <c r="BG113" s="705" t="s">
        <v>4963</v>
      </c>
      <c r="BH113" s="705">
        <v>8.0</v>
      </c>
      <c r="BI113" s="708" t="s">
        <v>5573</v>
      </c>
      <c r="BJ113" s="708"/>
      <c r="BK113" s="394"/>
      <c r="BL113" s="394"/>
      <c r="BM113" s="394"/>
      <c r="BN113" s="394"/>
      <c r="BO113" s="394"/>
      <c r="BP113" s="394"/>
    </row>
    <row r="114">
      <c r="A114" s="507" t="s">
        <v>1664</v>
      </c>
      <c r="B114" s="507" t="s">
        <v>5081</v>
      </c>
      <c r="C114" s="507" t="s">
        <v>5092</v>
      </c>
      <c r="D114" s="506" t="s">
        <v>169</v>
      </c>
      <c r="E114" s="715" t="s">
        <v>5592</v>
      </c>
      <c r="F114" s="507">
        <v>244.0</v>
      </c>
      <c r="G114" s="507">
        <v>244.0</v>
      </c>
      <c r="H114" s="507">
        <v>4.0</v>
      </c>
      <c r="I114" s="507" t="s">
        <v>166</v>
      </c>
      <c r="J114" s="507">
        <v>2.0</v>
      </c>
      <c r="K114" s="507" t="s">
        <v>166</v>
      </c>
      <c r="L114" s="507" t="s">
        <v>166</v>
      </c>
      <c r="M114" s="507">
        <v>2.0</v>
      </c>
      <c r="N114" s="507" t="s">
        <v>174</v>
      </c>
      <c r="O114" s="507" t="s">
        <v>174</v>
      </c>
      <c r="P114" s="507" t="s">
        <v>174</v>
      </c>
      <c r="Q114" s="507" t="s">
        <v>166</v>
      </c>
      <c r="R114" s="507">
        <v>4.0</v>
      </c>
      <c r="S114" s="507" t="s">
        <v>3151</v>
      </c>
      <c r="T114" s="507">
        <v>192.0</v>
      </c>
      <c r="U114" s="507" t="s">
        <v>5336</v>
      </c>
      <c r="V114" s="507">
        <v>4.0</v>
      </c>
      <c r="W114" s="711" t="s">
        <v>5126</v>
      </c>
      <c r="X114" s="507">
        <v>4.0</v>
      </c>
      <c r="Y114" s="507">
        <v>2.0</v>
      </c>
      <c r="Z114" s="507" t="s">
        <v>166</v>
      </c>
      <c r="AA114" s="507">
        <v>1.0</v>
      </c>
      <c r="AB114" s="507">
        <v>1.0</v>
      </c>
      <c r="AC114" s="507" t="s">
        <v>166</v>
      </c>
      <c r="AD114" s="507" t="s">
        <v>166</v>
      </c>
      <c r="AE114" s="507" t="s">
        <v>166</v>
      </c>
      <c r="AF114" s="507">
        <f t="shared" si="1"/>
        <v>8</v>
      </c>
      <c r="AG114" s="507">
        <v>2.0</v>
      </c>
      <c r="AH114" s="507">
        <v>2.0</v>
      </c>
      <c r="AI114" s="507" t="s">
        <v>5049</v>
      </c>
      <c r="AJ114" s="507">
        <v>1.0</v>
      </c>
      <c r="AK114" s="48" t="s">
        <v>5043</v>
      </c>
      <c r="AL114" s="705">
        <v>2.5</v>
      </c>
      <c r="AM114" s="705" t="s">
        <v>166</v>
      </c>
      <c r="AN114" s="705" t="s">
        <v>166</v>
      </c>
      <c r="AO114" s="705" t="s">
        <v>166</v>
      </c>
      <c r="AP114" s="507" t="s">
        <v>166</v>
      </c>
      <c r="AQ114" s="507" t="s">
        <v>166</v>
      </c>
      <c r="AR114" s="705" t="s">
        <v>5039</v>
      </c>
      <c r="AS114" s="507" t="s">
        <v>166</v>
      </c>
      <c r="AT114" s="507">
        <v>3.0</v>
      </c>
      <c r="AU114" s="507" t="s">
        <v>166</v>
      </c>
      <c r="AV114" s="266">
        <v>1.0</v>
      </c>
      <c r="AW114" s="507">
        <v>1.0</v>
      </c>
      <c r="AX114" s="507" t="s">
        <v>166</v>
      </c>
      <c r="AY114" s="507" t="s">
        <v>166</v>
      </c>
      <c r="AZ114" s="507">
        <v>5.0</v>
      </c>
      <c r="BA114" s="507">
        <v>1.0</v>
      </c>
      <c r="BB114" s="507">
        <v>3.0</v>
      </c>
      <c r="BC114" s="507" t="s">
        <v>174</v>
      </c>
      <c r="BD114" s="507" t="s">
        <v>174</v>
      </c>
      <c r="BE114" s="705" t="s">
        <v>170</v>
      </c>
      <c r="BF114" s="705" t="s">
        <v>5593</v>
      </c>
      <c r="BG114" s="705" t="s">
        <v>4963</v>
      </c>
      <c r="BH114" s="705">
        <v>12.0</v>
      </c>
      <c r="BI114" s="708" t="s">
        <v>5594</v>
      </c>
      <c r="BJ114" s="708"/>
      <c r="BK114" s="394"/>
      <c r="BL114" s="394"/>
      <c r="BM114" s="394"/>
      <c r="BN114" s="394"/>
      <c r="BO114" s="394"/>
      <c r="BP114" s="394"/>
    </row>
    <row r="115">
      <c r="A115" s="507" t="s">
        <v>1664</v>
      </c>
      <c r="B115" s="507" t="s">
        <v>5081</v>
      </c>
      <c r="C115" s="507" t="s">
        <v>5092</v>
      </c>
      <c r="D115" s="506" t="s">
        <v>169</v>
      </c>
      <c r="E115" s="715" t="s">
        <v>5595</v>
      </c>
      <c r="F115" s="507">
        <v>244.0</v>
      </c>
      <c r="G115" s="507">
        <v>244.0</v>
      </c>
      <c r="H115" s="507">
        <v>4.0</v>
      </c>
      <c r="I115" s="507" t="s">
        <v>166</v>
      </c>
      <c r="J115" s="507">
        <v>2.0</v>
      </c>
      <c r="K115" s="507" t="s">
        <v>166</v>
      </c>
      <c r="L115" s="507" t="s">
        <v>166</v>
      </c>
      <c r="M115" s="507">
        <v>2.0</v>
      </c>
      <c r="N115" s="507" t="s">
        <v>174</v>
      </c>
      <c r="O115" s="507" t="s">
        <v>174</v>
      </c>
      <c r="P115" s="507" t="s">
        <v>174</v>
      </c>
      <c r="Q115" s="507" t="s">
        <v>166</v>
      </c>
      <c r="R115" s="507">
        <v>4.0</v>
      </c>
      <c r="S115" s="507" t="s">
        <v>3151</v>
      </c>
      <c r="T115" s="507">
        <v>192.0</v>
      </c>
      <c r="U115" s="507" t="s">
        <v>5336</v>
      </c>
      <c r="V115" s="507">
        <v>4.0</v>
      </c>
      <c r="W115" s="711" t="s">
        <v>5126</v>
      </c>
      <c r="X115" s="507">
        <v>4.0</v>
      </c>
      <c r="Y115" s="507">
        <v>2.0</v>
      </c>
      <c r="Z115" s="507" t="s">
        <v>166</v>
      </c>
      <c r="AA115" s="507">
        <v>1.0</v>
      </c>
      <c r="AB115" s="507">
        <v>1.0</v>
      </c>
      <c r="AC115" s="507" t="s">
        <v>166</v>
      </c>
      <c r="AD115" s="507" t="s">
        <v>166</v>
      </c>
      <c r="AE115" s="507" t="s">
        <v>166</v>
      </c>
      <c r="AF115" s="507">
        <f t="shared" si="1"/>
        <v>8</v>
      </c>
      <c r="AG115" s="507">
        <v>2.0</v>
      </c>
      <c r="AH115" s="507">
        <v>2.0</v>
      </c>
      <c r="AI115" s="507" t="s">
        <v>5049</v>
      </c>
      <c r="AJ115" s="507">
        <v>1.0</v>
      </c>
      <c r="AK115" s="48" t="s">
        <v>5043</v>
      </c>
      <c r="AL115" s="705">
        <v>2.5</v>
      </c>
      <c r="AM115" s="705">
        <v>1.0</v>
      </c>
      <c r="AN115" s="705" t="s">
        <v>5044</v>
      </c>
      <c r="AO115" s="48" t="s">
        <v>5596</v>
      </c>
      <c r="AP115" s="507">
        <v>2400.0</v>
      </c>
      <c r="AQ115" s="507">
        <v>5.2</v>
      </c>
      <c r="AR115" s="705" t="s">
        <v>5039</v>
      </c>
      <c r="AS115" s="507" t="s">
        <v>166</v>
      </c>
      <c r="AT115" s="507">
        <v>3.0</v>
      </c>
      <c r="AU115" s="507" t="s">
        <v>166</v>
      </c>
      <c r="AV115" s="266">
        <v>1.0</v>
      </c>
      <c r="AW115" s="507">
        <v>1.0</v>
      </c>
      <c r="AX115" s="507" t="s">
        <v>166</v>
      </c>
      <c r="AY115" s="507" t="s">
        <v>166</v>
      </c>
      <c r="AZ115" s="507">
        <v>5.0</v>
      </c>
      <c r="BA115" s="507">
        <v>1.0</v>
      </c>
      <c r="BB115" s="507">
        <v>3.0</v>
      </c>
      <c r="BC115" s="507" t="s">
        <v>174</v>
      </c>
      <c r="BD115" s="507" t="s">
        <v>174</v>
      </c>
      <c r="BE115" s="705" t="s">
        <v>170</v>
      </c>
      <c r="BF115" s="705" t="s">
        <v>5593</v>
      </c>
      <c r="BG115" s="705" t="s">
        <v>4963</v>
      </c>
      <c r="BH115" s="705">
        <v>12.0</v>
      </c>
      <c r="BI115" s="708" t="s">
        <v>5594</v>
      </c>
      <c r="BJ115" s="708"/>
      <c r="BK115" s="394"/>
      <c r="BL115" s="394"/>
      <c r="BM115" s="394"/>
      <c r="BN115" s="394"/>
      <c r="BO115" s="394"/>
      <c r="BP115" s="394"/>
    </row>
    <row r="116">
      <c r="A116" s="507" t="s">
        <v>1664</v>
      </c>
      <c r="B116" s="507" t="s">
        <v>5081</v>
      </c>
      <c r="C116" s="507" t="s">
        <v>5092</v>
      </c>
      <c r="D116" s="506" t="s">
        <v>169</v>
      </c>
      <c r="E116" s="715" t="s">
        <v>5597</v>
      </c>
      <c r="F116" s="507">
        <v>244.0</v>
      </c>
      <c r="G116" s="507">
        <v>244.0</v>
      </c>
      <c r="H116" s="507">
        <v>4.0</v>
      </c>
      <c r="I116" s="507" t="s">
        <v>166</v>
      </c>
      <c r="J116" s="507" t="s">
        <v>166</v>
      </c>
      <c r="K116" s="507" t="s">
        <v>166</v>
      </c>
      <c r="L116" s="507" t="s">
        <v>166</v>
      </c>
      <c r="M116" s="507">
        <v>2.0</v>
      </c>
      <c r="N116" s="507" t="s">
        <v>174</v>
      </c>
      <c r="O116" s="507" t="s">
        <v>174</v>
      </c>
      <c r="P116" s="507" t="s">
        <v>174</v>
      </c>
      <c r="Q116" s="507" t="s">
        <v>166</v>
      </c>
      <c r="R116" s="507">
        <v>4.0</v>
      </c>
      <c r="S116" s="507" t="s">
        <v>3151</v>
      </c>
      <c r="T116" s="507">
        <v>192.0</v>
      </c>
      <c r="U116" s="507" t="s">
        <v>5368</v>
      </c>
      <c r="V116" s="507">
        <v>4.0</v>
      </c>
      <c r="W116" s="711" t="s">
        <v>5576</v>
      </c>
      <c r="X116" s="507">
        <v>4.0</v>
      </c>
      <c r="Y116" s="507">
        <v>2.0</v>
      </c>
      <c r="Z116" s="507" t="s">
        <v>166</v>
      </c>
      <c r="AA116" s="507">
        <v>1.0</v>
      </c>
      <c r="AB116" s="507">
        <v>1.0</v>
      </c>
      <c r="AC116" s="507" t="s">
        <v>166</v>
      </c>
      <c r="AD116" s="507" t="s">
        <v>166</v>
      </c>
      <c r="AE116" s="507" t="s">
        <v>166</v>
      </c>
      <c r="AF116" s="507">
        <f t="shared" si="1"/>
        <v>8</v>
      </c>
      <c r="AG116" s="507">
        <v>2.0</v>
      </c>
      <c r="AH116" s="507">
        <v>2.0</v>
      </c>
      <c r="AI116" s="507" t="s">
        <v>5049</v>
      </c>
      <c r="AJ116" s="507">
        <v>1.0</v>
      </c>
      <c r="AK116" s="48" t="s">
        <v>5043</v>
      </c>
      <c r="AL116" s="705">
        <v>2.5</v>
      </c>
      <c r="AM116" s="705">
        <v>1.0</v>
      </c>
      <c r="AN116" s="705" t="s">
        <v>166</v>
      </c>
      <c r="AO116" s="705" t="s">
        <v>232</v>
      </c>
      <c r="AP116" s="507" t="s">
        <v>166</v>
      </c>
      <c r="AQ116" s="507" t="s">
        <v>166</v>
      </c>
      <c r="AR116" s="705" t="s">
        <v>5039</v>
      </c>
      <c r="AS116" s="507" t="s">
        <v>166</v>
      </c>
      <c r="AT116" s="507">
        <v>3.0</v>
      </c>
      <c r="AU116" s="507" t="s">
        <v>166</v>
      </c>
      <c r="AV116" s="266">
        <v>1.0</v>
      </c>
      <c r="AW116" s="507">
        <v>1.0</v>
      </c>
      <c r="AX116" s="507" t="s">
        <v>166</v>
      </c>
      <c r="AY116" s="507" t="s">
        <v>166</v>
      </c>
      <c r="AZ116" s="507">
        <v>5.0</v>
      </c>
      <c r="BA116" s="507">
        <v>1.0</v>
      </c>
      <c r="BB116" s="507">
        <v>3.0</v>
      </c>
      <c r="BC116" s="507" t="s">
        <v>174</v>
      </c>
      <c r="BD116" s="507" t="s">
        <v>174</v>
      </c>
      <c r="BE116" s="705" t="s">
        <v>170</v>
      </c>
      <c r="BF116" s="705" t="s">
        <v>5034</v>
      </c>
      <c r="BG116" s="705" t="s">
        <v>4963</v>
      </c>
      <c r="BH116" s="705">
        <v>8.0</v>
      </c>
      <c r="BI116" s="708" t="s">
        <v>5573</v>
      </c>
      <c r="BJ116" s="708"/>
      <c r="BK116" s="394"/>
      <c r="BL116" s="394"/>
      <c r="BM116" s="394"/>
      <c r="BN116" s="394"/>
      <c r="BO116" s="394"/>
      <c r="BP116" s="394"/>
    </row>
    <row r="117">
      <c r="A117" s="507" t="s">
        <v>1664</v>
      </c>
      <c r="B117" s="507" t="s">
        <v>5081</v>
      </c>
      <c r="C117" s="507" t="s">
        <v>5092</v>
      </c>
      <c r="D117" s="506" t="s">
        <v>169</v>
      </c>
      <c r="E117" s="715" t="s">
        <v>5598</v>
      </c>
      <c r="F117" s="507">
        <v>244.0</v>
      </c>
      <c r="G117" s="507">
        <v>244.0</v>
      </c>
      <c r="H117" s="507">
        <v>4.0</v>
      </c>
      <c r="I117" s="507" t="s">
        <v>166</v>
      </c>
      <c r="J117" s="507" t="s">
        <v>166</v>
      </c>
      <c r="K117" s="507" t="s">
        <v>166</v>
      </c>
      <c r="L117" s="507" t="s">
        <v>166</v>
      </c>
      <c r="M117" s="507">
        <v>2.0</v>
      </c>
      <c r="N117" s="507" t="s">
        <v>174</v>
      </c>
      <c r="O117" s="507" t="s">
        <v>174</v>
      </c>
      <c r="P117" s="507" t="s">
        <v>174</v>
      </c>
      <c r="Q117" s="507" t="s">
        <v>166</v>
      </c>
      <c r="R117" s="507">
        <v>4.0</v>
      </c>
      <c r="S117" s="507" t="s">
        <v>3151</v>
      </c>
      <c r="T117" s="507">
        <v>192.0</v>
      </c>
      <c r="U117" s="507" t="s">
        <v>5368</v>
      </c>
      <c r="V117" s="507">
        <v>4.0</v>
      </c>
      <c r="W117" s="711" t="s">
        <v>5576</v>
      </c>
      <c r="X117" s="507">
        <v>4.0</v>
      </c>
      <c r="Y117" s="507">
        <v>2.0</v>
      </c>
      <c r="Z117" s="507" t="s">
        <v>166</v>
      </c>
      <c r="AA117" s="507">
        <v>1.0</v>
      </c>
      <c r="AB117" s="507">
        <v>1.0</v>
      </c>
      <c r="AC117" s="507" t="s">
        <v>166</v>
      </c>
      <c r="AD117" s="507" t="s">
        <v>166</v>
      </c>
      <c r="AE117" s="507" t="s">
        <v>166</v>
      </c>
      <c r="AF117" s="507">
        <f t="shared" si="1"/>
        <v>8</v>
      </c>
      <c r="AG117" s="507">
        <v>2.0</v>
      </c>
      <c r="AH117" s="507">
        <v>2.0</v>
      </c>
      <c r="AI117" s="507" t="s">
        <v>5049</v>
      </c>
      <c r="AJ117" s="507">
        <v>1.0</v>
      </c>
      <c r="AK117" s="48" t="s">
        <v>5043</v>
      </c>
      <c r="AL117" s="705">
        <v>2.5</v>
      </c>
      <c r="AM117" s="705">
        <v>1.0</v>
      </c>
      <c r="AN117" s="705" t="s">
        <v>5044</v>
      </c>
      <c r="AO117" s="705" t="s">
        <v>5098</v>
      </c>
      <c r="AP117" s="507">
        <v>2400.0</v>
      </c>
      <c r="AQ117" s="507">
        <v>5.2</v>
      </c>
      <c r="AR117" s="705" t="s">
        <v>5039</v>
      </c>
      <c r="AS117" s="507" t="s">
        <v>166</v>
      </c>
      <c r="AT117" s="507">
        <v>3.0</v>
      </c>
      <c r="AU117" s="507" t="s">
        <v>166</v>
      </c>
      <c r="AV117" s="266">
        <v>1.0</v>
      </c>
      <c r="AW117" s="507">
        <v>1.0</v>
      </c>
      <c r="AX117" s="507" t="s">
        <v>166</v>
      </c>
      <c r="AY117" s="507" t="s">
        <v>166</v>
      </c>
      <c r="AZ117" s="507">
        <v>5.0</v>
      </c>
      <c r="BA117" s="507">
        <v>1.0</v>
      </c>
      <c r="BB117" s="507">
        <v>3.0</v>
      </c>
      <c r="BC117" s="507" t="s">
        <v>174</v>
      </c>
      <c r="BD117" s="507" t="s">
        <v>174</v>
      </c>
      <c r="BE117" s="705" t="s">
        <v>170</v>
      </c>
      <c r="BF117" s="705" t="s">
        <v>5034</v>
      </c>
      <c r="BG117" s="705" t="s">
        <v>4963</v>
      </c>
      <c r="BH117" s="705">
        <v>8.0</v>
      </c>
      <c r="BI117" s="708" t="s">
        <v>5573</v>
      </c>
      <c r="BJ117" s="708"/>
      <c r="BK117" s="394"/>
      <c r="BL117" s="394"/>
      <c r="BM117" s="394"/>
      <c r="BN117" s="394"/>
      <c r="BO117" s="394"/>
      <c r="BP117" s="394"/>
    </row>
    <row r="118">
      <c r="A118" s="738" t="s">
        <v>1664</v>
      </c>
      <c r="B118" s="739" t="s">
        <v>5081</v>
      </c>
      <c r="C118" s="739" t="s">
        <v>5092</v>
      </c>
      <c r="D118" s="452" t="str">
        <f t="shared" ref="D118:D127" si="16">HYPERLINK("https://www.asus.com/","Asus")</f>
        <v>Asus</v>
      </c>
      <c r="E118" s="715" t="s">
        <v>5599</v>
      </c>
      <c r="F118" s="507">
        <v>244.0</v>
      </c>
      <c r="G118" s="507">
        <v>244.0</v>
      </c>
      <c r="H118" s="507">
        <v>4.0</v>
      </c>
      <c r="I118" s="507" t="s">
        <v>166</v>
      </c>
      <c r="J118" s="507" t="s">
        <v>166</v>
      </c>
      <c r="K118" s="507" t="s">
        <v>166</v>
      </c>
      <c r="L118" s="507" t="s">
        <v>166</v>
      </c>
      <c r="M118" s="507">
        <v>3.0</v>
      </c>
      <c r="N118" s="507" t="s">
        <v>174</v>
      </c>
      <c r="O118" s="507" t="s">
        <v>174</v>
      </c>
      <c r="P118" s="507" t="s">
        <v>174</v>
      </c>
      <c r="Q118" s="507" t="s">
        <v>166</v>
      </c>
      <c r="R118" s="507">
        <v>4.0</v>
      </c>
      <c r="S118" s="507" t="s">
        <v>3151</v>
      </c>
      <c r="T118" s="507">
        <v>192.0</v>
      </c>
      <c r="U118" s="507" t="s">
        <v>5323</v>
      </c>
      <c r="V118" s="507">
        <v>4.0</v>
      </c>
      <c r="W118" s="711" t="s">
        <v>5126</v>
      </c>
      <c r="X118" s="507">
        <v>4.0</v>
      </c>
      <c r="Y118" s="507">
        <v>2.0</v>
      </c>
      <c r="Z118" s="507" t="s">
        <v>166</v>
      </c>
      <c r="AA118" s="507">
        <v>2.0</v>
      </c>
      <c r="AB118" s="507" t="s">
        <v>166</v>
      </c>
      <c r="AC118" s="507" t="s">
        <v>166</v>
      </c>
      <c r="AD118" s="507" t="s">
        <v>166</v>
      </c>
      <c r="AE118" s="507" t="s">
        <v>166</v>
      </c>
      <c r="AF118" s="507">
        <f t="shared" si="1"/>
        <v>8</v>
      </c>
      <c r="AG118" s="507">
        <v>2.0</v>
      </c>
      <c r="AH118" s="507">
        <v>1.0</v>
      </c>
      <c r="AI118" s="507" t="s">
        <v>5049</v>
      </c>
      <c r="AJ118" s="507">
        <v>1.0</v>
      </c>
      <c r="AK118" s="48" t="s">
        <v>5038</v>
      </c>
      <c r="AL118" s="705">
        <v>2.5</v>
      </c>
      <c r="AM118" s="705" t="s">
        <v>166</v>
      </c>
      <c r="AN118" s="705" t="s">
        <v>166</v>
      </c>
      <c r="AO118" s="705" t="s">
        <v>166</v>
      </c>
      <c r="AP118" s="507" t="s">
        <v>166</v>
      </c>
      <c r="AQ118" s="507" t="s">
        <v>166</v>
      </c>
      <c r="AR118" s="705" t="s">
        <v>5039</v>
      </c>
      <c r="AS118" s="507" t="s">
        <v>166</v>
      </c>
      <c r="AT118" s="507">
        <v>3.0</v>
      </c>
      <c r="AU118" s="507">
        <v>1.0</v>
      </c>
      <c r="AV118" s="266">
        <v>1.0</v>
      </c>
      <c r="AW118" s="507">
        <v>1.0</v>
      </c>
      <c r="AX118" s="507" t="s">
        <v>166</v>
      </c>
      <c r="AY118" s="507">
        <v>1.0</v>
      </c>
      <c r="AZ118" s="507">
        <v>5.0</v>
      </c>
      <c r="BA118" s="507">
        <v>1.0</v>
      </c>
      <c r="BB118" s="507">
        <v>3.0</v>
      </c>
      <c r="BC118" s="507" t="s">
        <v>166</v>
      </c>
      <c r="BD118" s="507" t="s">
        <v>166</v>
      </c>
      <c r="BE118" s="705" t="s">
        <v>170</v>
      </c>
      <c r="BF118" s="705" t="s">
        <v>5017</v>
      </c>
      <c r="BG118" s="705" t="s">
        <v>4963</v>
      </c>
      <c r="BH118" s="705">
        <v>4.0</v>
      </c>
      <c r="BI118" s="698" t="s">
        <v>5205</v>
      </c>
      <c r="BJ118" s="708"/>
      <c r="BK118" s="394"/>
      <c r="BL118" s="394"/>
      <c r="BM118" s="394"/>
      <c r="BN118" s="394"/>
      <c r="BO118" s="394"/>
      <c r="BP118" s="394"/>
    </row>
    <row r="119">
      <c r="A119" s="738" t="s">
        <v>1664</v>
      </c>
      <c r="B119" s="739" t="s">
        <v>5081</v>
      </c>
      <c r="C119" s="739" t="s">
        <v>5092</v>
      </c>
      <c r="D119" s="452" t="str">
        <f t="shared" si="16"/>
        <v>Asus</v>
      </c>
      <c r="E119" s="715" t="s">
        <v>5600</v>
      </c>
      <c r="F119" s="507">
        <v>244.0</v>
      </c>
      <c r="G119" s="507">
        <v>244.0</v>
      </c>
      <c r="H119" s="507">
        <v>4.0</v>
      </c>
      <c r="I119" s="507" t="s">
        <v>166</v>
      </c>
      <c r="J119" s="507" t="s">
        <v>166</v>
      </c>
      <c r="K119" s="507" t="s">
        <v>166</v>
      </c>
      <c r="L119" s="507" t="s">
        <v>166</v>
      </c>
      <c r="M119" s="507">
        <v>3.0</v>
      </c>
      <c r="N119" s="507" t="s">
        <v>174</v>
      </c>
      <c r="O119" s="507" t="s">
        <v>174</v>
      </c>
      <c r="P119" s="507" t="s">
        <v>174</v>
      </c>
      <c r="Q119" s="507" t="s">
        <v>166</v>
      </c>
      <c r="R119" s="507">
        <v>4.0</v>
      </c>
      <c r="S119" s="507" t="s">
        <v>3151</v>
      </c>
      <c r="T119" s="507">
        <v>192.0</v>
      </c>
      <c r="U119" s="507" t="s">
        <v>5323</v>
      </c>
      <c r="V119" s="507">
        <v>4.0</v>
      </c>
      <c r="W119" s="711" t="s">
        <v>5126</v>
      </c>
      <c r="X119" s="507">
        <v>4.0</v>
      </c>
      <c r="Y119" s="507">
        <v>2.0</v>
      </c>
      <c r="Z119" s="507" t="s">
        <v>166</v>
      </c>
      <c r="AA119" s="507">
        <v>2.0</v>
      </c>
      <c r="AB119" s="507" t="s">
        <v>166</v>
      </c>
      <c r="AC119" s="507" t="s">
        <v>166</v>
      </c>
      <c r="AD119" s="507" t="s">
        <v>166</v>
      </c>
      <c r="AE119" s="507" t="s">
        <v>166</v>
      </c>
      <c r="AF119" s="507">
        <f t="shared" si="1"/>
        <v>8</v>
      </c>
      <c r="AG119" s="507">
        <v>2.0</v>
      </c>
      <c r="AH119" s="507">
        <v>1.0</v>
      </c>
      <c r="AI119" s="507" t="s">
        <v>5049</v>
      </c>
      <c r="AJ119" s="507">
        <v>1.0</v>
      </c>
      <c r="AK119" s="48" t="s">
        <v>5038</v>
      </c>
      <c r="AL119" s="705">
        <v>2.5</v>
      </c>
      <c r="AM119" s="705">
        <v>1.0</v>
      </c>
      <c r="AN119" s="705" t="s">
        <v>5027</v>
      </c>
      <c r="AO119" s="705" t="s">
        <v>5601</v>
      </c>
      <c r="AP119" s="507">
        <v>1800.0</v>
      </c>
      <c r="AQ119" s="507">
        <v>5.2</v>
      </c>
      <c r="AR119" s="705" t="s">
        <v>5039</v>
      </c>
      <c r="AS119" s="507" t="s">
        <v>166</v>
      </c>
      <c r="AT119" s="507">
        <v>3.0</v>
      </c>
      <c r="AU119" s="507">
        <v>1.0</v>
      </c>
      <c r="AV119" s="266">
        <v>1.0</v>
      </c>
      <c r="AW119" s="507">
        <v>1.0</v>
      </c>
      <c r="AX119" s="507" t="s">
        <v>166</v>
      </c>
      <c r="AY119" s="507">
        <v>1.0</v>
      </c>
      <c r="AZ119" s="507">
        <v>5.0</v>
      </c>
      <c r="BA119" s="507">
        <v>1.0</v>
      </c>
      <c r="BB119" s="507">
        <v>3.0</v>
      </c>
      <c r="BC119" s="507" t="s">
        <v>166</v>
      </c>
      <c r="BD119" s="507" t="s">
        <v>166</v>
      </c>
      <c r="BE119" s="705" t="s">
        <v>170</v>
      </c>
      <c r="BF119" s="705" t="s">
        <v>5017</v>
      </c>
      <c r="BG119" s="705" t="s">
        <v>4963</v>
      </c>
      <c r="BH119" s="705">
        <v>4.0</v>
      </c>
      <c r="BI119" s="698" t="s">
        <v>5205</v>
      </c>
      <c r="BJ119" s="708"/>
      <c r="BK119" s="394"/>
      <c r="BL119" s="394"/>
      <c r="BM119" s="394"/>
      <c r="BN119" s="394"/>
      <c r="BO119" s="394"/>
      <c r="BP119" s="394"/>
    </row>
    <row r="120">
      <c r="A120" s="738" t="s">
        <v>1664</v>
      </c>
      <c r="B120" s="739" t="s">
        <v>5081</v>
      </c>
      <c r="C120" s="739" t="s">
        <v>5092</v>
      </c>
      <c r="D120" s="452" t="str">
        <f t="shared" si="16"/>
        <v>Asus</v>
      </c>
      <c r="E120" s="715" t="s">
        <v>5602</v>
      </c>
      <c r="F120" s="507">
        <v>244.0</v>
      </c>
      <c r="G120" s="507">
        <v>244.0</v>
      </c>
      <c r="H120" s="507">
        <v>4.0</v>
      </c>
      <c r="I120" s="507" t="s">
        <v>166</v>
      </c>
      <c r="J120" s="507" t="s">
        <v>166</v>
      </c>
      <c r="K120" s="507" t="s">
        <v>166</v>
      </c>
      <c r="L120" s="507" t="s">
        <v>166</v>
      </c>
      <c r="M120" s="507">
        <v>3.0</v>
      </c>
      <c r="N120" s="507" t="s">
        <v>174</v>
      </c>
      <c r="O120" s="507" t="s">
        <v>174</v>
      </c>
      <c r="P120" s="507" t="s">
        <v>174</v>
      </c>
      <c r="Q120" s="507" t="s">
        <v>166</v>
      </c>
      <c r="R120" s="507">
        <v>4.0</v>
      </c>
      <c r="S120" s="507" t="s">
        <v>3151</v>
      </c>
      <c r="T120" s="507">
        <v>192.0</v>
      </c>
      <c r="U120" s="507" t="s">
        <v>5089</v>
      </c>
      <c r="V120" s="507">
        <v>4.0</v>
      </c>
      <c r="W120" s="711" t="s">
        <v>5126</v>
      </c>
      <c r="X120" s="507">
        <v>4.0</v>
      </c>
      <c r="Y120" s="507">
        <v>2.0</v>
      </c>
      <c r="Z120" s="507" t="s">
        <v>166</v>
      </c>
      <c r="AA120" s="507">
        <v>2.0</v>
      </c>
      <c r="AB120" s="507" t="s">
        <v>166</v>
      </c>
      <c r="AC120" s="507" t="s">
        <v>166</v>
      </c>
      <c r="AD120" s="507" t="s">
        <v>166</v>
      </c>
      <c r="AE120" s="507" t="s">
        <v>166</v>
      </c>
      <c r="AF120" s="507">
        <f t="shared" si="1"/>
        <v>8</v>
      </c>
      <c r="AG120" s="507">
        <v>2.0</v>
      </c>
      <c r="AH120" s="507">
        <v>1.0</v>
      </c>
      <c r="AI120" s="507" t="s">
        <v>5049</v>
      </c>
      <c r="AJ120" s="507">
        <v>1.0</v>
      </c>
      <c r="AK120" s="48" t="s">
        <v>5038</v>
      </c>
      <c r="AL120" s="705">
        <v>2.5</v>
      </c>
      <c r="AM120" s="705">
        <v>1.0</v>
      </c>
      <c r="AN120" s="705" t="s">
        <v>5027</v>
      </c>
      <c r="AO120" s="705" t="s">
        <v>5601</v>
      </c>
      <c r="AP120" s="507">
        <v>1800.0</v>
      </c>
      <c r="AQ120" s="507">
        <v>5.2</v>
      </c>
      <c r="AR120" s="705" t="s">
        <v>5039</v>
      </c>
      <c r="AS120" s="507" t="s">
        <v>166</v>
      </c>
      <c r="AT120" s="507">
        <v>3.0</v>
      </c>
      <c r="AU120" s="507">
        <v>1.0</v>
      </c>
      <c r="AV120" s="266">
        <v>1.0</v>
      </c>
      <c r="AW120" s="507">
        <v>1.0</v>
      </c>
      <c r="AX120" s="507" t="s">
        <v>166</v>
      </c>
      <c r="AY120" s="507">
        <v>1.0</v>
      </c>
      <c r="AZ120" s="507">
        <v>5.0</v>
      </c>
      <c r="BA120" s="507">
        <v>1.0</v>
      </c>
      <c r="BB120" s="507">
        <v>3.0</v>
      </c>
      <c r="BC120" s="507" t="s">
        <v>166</v>
      </c>
      <c r="BD120" s="507" t="s">
        <v>166</v>
      </c>
      <c r="BE120" s="705" t="s">
        <v>170</v>
      </c>
      <c r="BF120" s="705" t="s">
        <v>5017</v>
      </c>
      <c r="BG120" s="705" t="s">
        <v>4963</v>
      </c>
      <c r="BH120" s="705">
        <v>4.0</v>
      </c>
      <c r="BI120" s="698" t="s">
        <v>5205</v>
      </c>
      <c r="BJ120" s="708"/>
      <c r="BK120" s="394"/>
      <c r="BL120" s="394"/>
      <c r="BM120" s="394"/>
      <c r="BN120" s="394"/>
      <c r="BO120" s="394"/>
      <c r="BP120" s="394"/>
    </row>
    <row r="121">
      <c r="A121" s="738" t="s">
        <v>1664</v>
      </c>
      <c r="B121" s="739" t="s">
        <v>5081</v>
      </c>
      <c r="C121" s="739" t="s">
        <v>5092</v>
      </c>
      <c r="D121" s="452" t="str">
        <f t="shared" si="16"/>
        <v>Asus</v>
      </c>
      <c r="E121" s="715" t="s">
        <v>5603</v>
      </c>
      <c r="F121" s="507">
        <v>244.0</v>
      </c>
      <c r="G121" s="507">
        <v>244.0</v>
      </c>
      <c r="H121" s="507">
        <v>4.0</v>
      </c>
      <c r="I121" s="507" t="s">
        <v>166</v>
      </c>
      <c r="J121" s="507" t="s">
        <v>166</v>
      </c>
      <c r="K121" s="507" t="s">
        <v>166</v>
      </c>
      <c r="L121" s="507" t="s">
        <v>166</v>
      </c>
      <c r="M121" s="507">
        <v>4.0</v>
      </c>
      <c r="N121" s="507" t="s">
        <v>174</v>
      </c>
      <c r="O121" s="507" t="s">
        <v>174</v>
      </c>
      <c r="P121" s="507" t="s">
        <v>174</v>
      </c>
      <c r="Q121" s="507" t="s">
        <v>166</v>
      </c>
      <c r="R121" s="507">
        <v>4.0</v>
      </c>
      <c r="S121" s="507" t="s">
        <v>3151</v>
      </c>
      <c r="T121" s="507">
        <v>192.0</v>
      </c>
      <c r="U121" s="507" t="s">
        <v>5323</v>
      </c>
      <c r="V121" s="507">
        <v>8.0</v>
      </c>
      <c r="W121" s="711" t="s">
        <v>5126</v>
      </c>
      <c r="X121" s="507">
        <v>4.0</v>
      </c>
      <c r="Y121" s="507">
        <v>2.0</v>
      </c>
      <c r="Z121" s="507" t="s">
        <v>166</v>
      </c>
      <c r="AA121" s="507">
        <v>2.0</v>
      </c>
      <c r="AB121" s="507" t="s">
        <v>166</v>
      </c>
      <c r="AC121" s="507" t="s">
        <v>166</v>
      </c>
      <c r="AD121" s="507" t="s">
        <v>166</v>
      </c>
      <c r="AE121" s="507" t="s">
        <v>166</v>
      </c>
      <c r="AF121" s="507">
        <f t="shared" si="1"/>
        <v>8</v>
      </c>
      <c r="AG121" s="507">
        <v>2.0</v>
      </c>
      <c r="AH121" s="507">
        <v>1.0</v>
      </c>
      <c r="AI121" s="507" t="s">
        <v>5049</v>
      </c>
      <c r="AJ121" s="507">
        <v>1.0</v>
      </c>
      <c r="AK121" s="48" t="s">
        <v>5038</v>
      </c>
      <c r="AL121" s="705">
        <v>2.5</v>
      </c>
      <c r="AM121" s="705">
        <v>1.0</v>
      </c>
      <c r="AN121" s="705" t="s">
        <v>5027</v>
      </c>
      <c r="AO121" s="705" t="s">
        <v>5601</v>
      </c>
      <c r="AP121" s="507">
        <v>1800.0</v>
      </c>
      <c r="AQ121" s="507">
        <v>5.2</v>
      </c>
      <c r="AR121" s="705" t="s">
        <v>5039</v>
      </c>
      <c r="AS121" s="507" t="s">
        <v>166</v>
      </c>
      <c r="AT121" s="507">
        <v>3.0</v>
      </c>
      <c r="AU121" s="507">
        <v>1.0</v>
      </c>
      <c r="AV121" s="266">
        <v>1.0</v>
      </c>
      <c r="AW121" s="507">
        <v>1.0</v>
      </c>
      <c r="AX121" s="507" t="s">
        <v>166</v>
      </c>
      <c r="AY121" s="507">
        <v>1.0</v>
      </c>
      <c r="AZ121" s="507">
        <v>5.0</v>
      </c>
      <c r="BA121" s="507">
        <v>1.0</v>
      </c>
      <c r="BB121" s="507">
        <v>3.0</v>
      </c>
      <c r="BC121" s="507" t="s">
        <v>166</v>
      </c>
      <c r="BD121" s="507" t="s">
        <v>166</v>
      </c>
      <c r="BE121" s="705" t="s">
        <v>170</v>
      </c>
      <c r="BF121" s="705" t="s">
        <v>5017</v>
      </c>
      <c r="BG121" s="705" t="s">
        <v>4963</v>
      </c>
      <c r="BH121" s="705">
        <v>4.0</v>
      </c>
      <c r="BI121" s="698" t="s">
        <v>5205</v>
      </c>
      <c r="BJ121" s="708"/>
      <c r="BK121" s="394"/>
      <c r="BL121" s="394"/>
      <c r="BM121" s="394"/>
      <c r="BN121" s="394"/>
      <c r="BO121" s="394"/>
      <c r="BP121" s="394"/>
    </row>
    <row r="122">
      <c r="A122" s="738" t="s">
        <v>1664</v>
      </c>
      <c r="B122" s="739" t="s">
        <v>5081</v>
      </c>
      <c r="C122" s="739" t="s">
        <v>5092</v>
      </c>
      <c r="D122" s="452" t="str">
        <f t="shared" si="16"/>
        <v>Asus</v>
      </c>
      <c r="E122" s="715" t="s">
        <v>5604</v>
      </c>
      <c r="F122" s="507">
        <v>244.0</v>
      </c>
      <c r="G122" s="507">
        <v>244.0</v>
      </c>
      <c r="H122" s="507">
        <v>4.0</v>
      </c>
      <c r="I122" s="507" t="s">
        <v>166</v>
      </c>
      <c r="J122" s="507" t="s">
        <v>166</v>
      </c>
      <c r="K122" s="507" t="s">
        <v>166</v>
      </c>
      <c r="L122" s="507" t="s">
        <v>166</v>
      </c>
      <c r="M122" s="507">
        <v>4.0</v>
      </c>
      <c r="N122" s="507" t="s">
        <v>174</v>
      </c>
      <c r="O122" s="507" t="s">
        <v>174</v>
      </c>
      <c r="P122" s="507" t="s">
        <v>174</v>
      </c>
      <c r="Q122" s="507" t="s">
        <v>166</v>
      </c>
      <c r="R122" s="507">
        <v>4.0</v>
      </c>
      <c r="S122" s="507" t="s">
        <v>3151</v>
      </c>
      <c r="T122" s="507">
        <v>192.0</v>
      </c>
      <c r="U122" s="507" t="s">
        <v>5089</v>
      </c>
      <c r="V122" s="507">
        <v>8.0</v>
      </c>
      <c r="W122" s="711" t="s">
        <v>5126</v>
      </c>
      <c r="X122" s="507">
        <v>4.0</v>
      </c>
      <c r="Y122" s="507">
        <v>2.0</v>
      </c>
      <c r="Z122" s="507" t="s">
        <v>166</v>
      </c>
      <c r="AA122" s="507">
        <v>2.0</v>
      </c>
      <c r="AB122" s="507" t="s">
        <v>166</v>
      </c>
      <c r="AC122" s="507" t="s">
        <v>166</v>
      </c>
      <c r="AD122" s="507" t="s">
        <v>166</v>
      </c>
      <c r="AE122" s="507" t="s">
        <v>166</v>
      </c>
      <c r="AF122" s="507">
        <f t="shared" si="1"/>
        <v>8</v>
      </c>
      <c r="AG122" s="507">
        <v>2.0</v>
      </c>
      <c r="AH122" s="507">
        <v>1.0</v>
      </c>
      <c r="AI122" s="507" t="s">
        <v>5049</v>
      </c>
      <c r="AJ122" s="507">
        <v>1.0</v>
      </c>
      <c r="AK122" s="48" t="s">
        <v>5038</v>
      </c>
      <c r="AL122" s="705">
        <v>2.5</v>
      </c>
      <c r="AM122" s="705">
        <v>1.0</v>
      </c>
      <c r="AN122" s="705" t="s">
        <v>5027</v>
      </c>
      <c r="AO122" s="705" t="s">
        <v>5601</v>
      </c>
      <c r="AP122" s="507">
        <v>1800.0</v>
      </c>
      <c r="AQ122" s="507">
        <v>5.2</v>
      </c>
      <c r="AR122" s="705" t="s">
        <v>5039</v>
      </c>
      <c r="AS122" s="507" t="s">
        <v>166</v>
      </c>
      <c r="AT122" s="507">
        <v>3.0</v>
      </c>
      <c r="AU122" s="507">
        <v>1.0</v>
      </c>
      <c r="AV122" s="266">
        <v>1.0</v>
      </c>
      <c r="AW122" s="507">
        <v>1.0</v>
      </c>
      <c r="AX122" s="507" t="s">
        <v>166</v>
      </c>
      <c r="AY122" s="507">
        <v>1.0</v>
      </c>
      <c r="AZ122" s="507">
        <v>5.0</v>
      </c>
      <c r="BA122" s="507">
        <v>1.0</v>
      </c>
      <c r="BB122" s="507">
        <v>3.0</v>
      </c>
      <c r="BC122" s="507" t="s">
        <v>166</v>
      </c>
      <c r="BD122" s="507" t="s">
        <v>166</v>
      </c>
      <c r="BE122" s="705" t="s">
        <v>170</v>
      </c>
      <c r="BF122" s="705" t="s">
        <v>5017</v>
      </c>
      <c r="BG122" s="705" t="s">
        <v>4963</v>
      </c>
      <c r="BH122" s="705">
        <v>4.0</v>
      </c>
      <c r="BI122" s="698" t="s">
        <v>5205</v>
      </c>
      <c r="BJ122" s="708"/>
      <c r="BK122" s="394"/>
      <c r="BL122" s="394"/>
      <c r="BM122" s="394"/>
      <c r="BN122" s="394"/>
      <c r="BO122" s="394"/>
      <c r="BP122" s="394"/>
    </row>
    <row r="123">
      <c r="A123" s="738" t="s">
        <v>1664</v>
      </c>
      <c r="B123" s="739" t="s">
        <v>5081</v>
      </c>
      <c r="C123" s="739" t="s">
        <v>5092</v>
      </c>
      <c r="D123" s="452" t="str">
        <f t="shared" si="16"/>
        <v>Asus</v>
      </c>
      <c r="E123" s="715" t="s">
        <v>5605</v>
      </c>
      <c r="F123" s="507">
        <v>244.0</v>
      </c>
      <c r="G123" s="507">
        <v>221.0</v>
      </c>
      <c r="H123" s="507">
        <v>4.0</v>
      </c>
      <c r="I123" s="507" t="s">
        <v>166</v>
      </c>
      <c r="J123" s="507">
        <v>2.0</v>
      </c>
      <c r="K123" s="507" t="s">
        <v>166</v>
      </c>
      <c r="L123" s="507" t="s">
        <v>166</v>
      </c>
      <c r="M123" s="507">
        <v>1.0</v>
      </c>
      <c r="N123" s="507" t="s">
        <v>174</v>
      </c>
      <c r="O123" s="507" t="s">
        <v>174</v>
      </c>
      <c r="P123" s="507" t="s">
        <v>174</v>
      </c>
      <c r="Q123" s="507" t="s">
        <v>166</v>
      </c>
      <c r="R123" s="507">
        <v>2.0</v>
      </c>
      <c r="S123" s="507" t="s">
        <v>3151</v>
      </c>
      <c r="T123" s="507">
        <v>96.0</v>
      </c>
      <c r="U123" s="507" t="s">
        <v>5089</v>
      </c>
      <c r="V123" s="507">
        <v>4.0</v>
      </c>
      <c r="W123" s="711" t="s">
        <v>5126</v>
      </c>
      <c r="X123" s="507">
        <v>4.0</v>
      </c>
      <c r="Y123" s="507">
        <v>2.0</v>
      </c>
      <c r="Z123" s="507" t="s">
        <v>166</v>
      </c>
      <c r="AA123" s="507">
        <v>2.0</v>
      </c>
      <c r="AB123" s="507" t="s">
        <v>166</v>
      </c>
      <c r="AC123" s="507" t="s">
        <v>166</v>
      </c>
      <c r="AD123" s="507" t="s">
        <v>166</v>
      </c>
      <c r="AE123" s="507" t="s">
        <v>166</v>
      </c>
      <c r="AF123" s="507">
        <f t="shared" si="1"/>
        <v>8</v>
      </c>
      <c r="AG123" s="507">
        <v>2.0</v>
      </c>
      <c r="AH123" s="507">
        <v>1.0</v>
      </c>
      <c r="AI123" s="507" t="s">
        <v>5049</v>
      </c>
      <c r="AJ123" s="740">
        <v>1.0</v>
      </c>
      <c r="AK123" s="199" t="s">
        <v>5038</v>
      </c>
      <c r="AL123" s="199">
        <v>2.5</v>
      </c>
      <c r="AM123" s="705" t="s">
        <v>166</v>
      </c>
      <c r="AN123" s="705" t="s">
        <v>166</v>
      </c>
      <c r="AO123" s="705" t="s">
        <v>166</v>
      </c>
      <c r="AP123" s="507" t="s">
        <v>166</v>
      </c>
      <c r="AQ123" s="507" t="s">
        <v>166</v>
      </c>
      <c r="AR123" s="705" t="s">
        <v>5039</v>
      </c>
      <c r="AS123" s="507" t="s">
        <v>166</v>
      </c>
      <c r="AT123" s="507">
        <v>3.0</v>
      </c>
      <c r="AU123" s="507">
        <v>1.0</v>
      </c>
      <c r="AV123" s="266" t="s">
        <v>166</v>
      </c>
      <c r="AW123" s="507">
        <v>1.0</v>
      </c>
      <c r="AX123" s="507" t="s">
        <v>166</v>
      </c>
      <c r="AY123" s="507">
        <v>1.0</v>
      </c>
      <c r="AZ123" s="507">
        <v>3.0</v>
      </c>
      <c r="BA123" s="507">
        <v>1.0</v>
      </c>
      <c r="BB123" s="507">
        <v>2.0</v>
      </c>
      <c r="BC123" s="507" t="s">
        <v>166</v>
      </c>
      <c r="BD123" s="507" t="s">
        <v>166</v>
      </c>
      <c r="BE123" s="705" t="s">
        <v>170</v>
      </c>
      <c r="BF123" s="705" t="s">
        <v>170</v>
      </c>
      <c r="BG123" s="705" t="s">
        <v>170</v>
      </c>
      <c r="BH123" s="705" t="s">
        <v>170</v>
      </c>
      <c r="BI123" s="708" t="s">
        <v>170</v>
      </c>
      <c r="BJ123" s="708"/>
      <c r="BK123" s="394"/>
      <c r="BL123" s="394"/>
      <c r="BM123" s="394"/>
      <c r="BN123" s="394"/>
      <c r="BO123" s="394"/>
      <c r="BP123" s="394"/>
    </row>
    <row r="124">
      <c r="A124" s="507" t="s">
        <v>1664</v>
      </c>
      <c r="B124" s="507" t="s">
        <v>5081</v>
      </c>
      <c r="C124" s="507" t="s">
        <v>5092</v>
      </c>
      <c r="D124" s="452" t="str">
        <f t="shared" si="16"/>
        <v>Asus</v>
      </c>
      <c r="E124" s="715" t="s">
        <v>5606</v>
      </c>
      <c r="F124" s="507">
        <v>244.0</v>
      </c>
      <c r="G124" s="507">
        <v>244.0</v>
      </c>
      <c r="H124" s="507">
        <v>4.0</v>
      </c>
      <c r="I124" s="507" t="s">
        <v>166</v>
      </c>
      <c r="J124" s="507">
        <v>2.0</v>
      </c>
      <c r="K124" s="507" t="s">
        <v>166</v>
      </c>
      <c r="L124" s="507" t="s">
        <v>166</v>
      </c>
      <c r="M124" s="507">
        <v>1.0</v>
      </c>
      <c r="N124" s="507" t="s">
        <v>174</v>
      </c>
      <c r="O124" s="507" t="s">
        <v>174</v>
      </c>
      <c r="P124" s="507" t="s">
        <v>174</v>
      </c>
      <c r="Q124" s="507" t="s">
        <v>166</v>
      </c>
      <c r="R124" s="507">
        <v>4.0</v>
      </c>
      <c r="S124" s="507" t="s">
        <v>3151</v>
      </c>
      <c r="T124" s="507">
        <v>192.0</v>
      </c>
      <c r="U124" s="507" t="s">
        <v>5089</v>
      </c>
      <c r="V124" s="507">
        <v>4.0</v>
      </c>
      <c r="W124" s="711" t="s">
        <v>5126</v>
      </c>
      <c r="X124" s="507">
        <v>4.0</v>
      </c>
      <c r="Y124" s="507">
        <v>2.0</v>
      </c>
      <c r="Z124" s="507" t="s">
        <v>166</v>
      </c>
      <c r="AA124" s="507">
        <v>1.0</v>
      </c>
      <c r="AB124" s="507">
        <v>1.0</v>
      </c>
      <c r="AC124" s="507" t="s">
        <v>166</v>
      </c>
      <c r="AD124" s="507" t="s">
        <v>166</v>
      </c>
      <c r="AE124" s="507" t="s">
        <v>166</v>
      </c>
      <c r="AF124" s="507">
        <f t="shared" si="1"/>
        <v>8</v>
      </c>
      <c r="AG124" s="507">
        <v>2.0</v>
      </c>
      <c r="AH124" s="507">
        <v>1.0</v>
      </c>
      <c r="AI124" s="507" t="s">
        <v>5049</v>
      </c>
      <c r="AJ124" s="507">
        <v>1.0</v>
      </c>
      <c r="AK124" s="48" t="s">
        <v>5038</v>
      </c>
      <c r="AL124" s="705">
        <v>2.5</v>
      </c>
      <c r="AM124" s="705" t="s">
        <v>166</v>
      </c>
      <c r="AN124" s="705" t="s">
        <v>166</v>
      </c>
      <c r="AO124" s="705" t="s">
        <v>166</v>
      </c>
      <c r="AP124" s="507" t="s">
        <v>166</v>
      </c>
      <c r="AQ124" s="507" t="s">
        <v>166</v>
      </c>
      <c r="AR124" s="705" t="s">
        <v>5039</v>
      </c>
      <c r="AS124" s="507" t="s">
        <v>166</v>
      </c>
      <c r="AT124" s="507">
        <v>3.0</v>
      </c>
      <c r="AU124" s="507">
        <v>1.0</v>
      </c>
      <c r="AV124" s="266">
        <v>2.0</v>
      </c>
      <c r="AW124" s="507">
        <v>1.0</v>
      </c>
      <c r="AX124" s="507" t="s">
        <v>166</v>
      </c>
      <c r="AY124" s="507" t="s">
        <v>166</v>
      </c>
      <c r="AZ124" s="507">
        <v>5.0</v>
      </c>
      <c r="BA124" s="507">
        <v>1.0</v>
      </c>
      <c r="BB124" s="507">
        <v>3.0</v>
      </c>
      <c r="BC124" s="507" t="s">
        <v>174</v>
      </c>
      <c r="BD124" s="507" t="s">
        <v>166</v>
      </c>
      <c r="BE124" s="705" t="s">
        <v>170</v>
      </c>
      <c r="BF124" s="705" t="s">
        <v>5034</v>
      </c>
      <c r="BG124" s="705" t="s">
        <v>4955</v>
      </c>
      <c r="BH124" s="705">
        <v>8.0</v>
      </c>
      <c r="BI124" s="708" t="s">
        <v>5087</v>
      </c>
      <c r="BJ124" s="708"/>
      <c r="BK124" s="394"/>
      <c r="BL124" s="394"/>
      <c r="BM124" s="394"/>
      <c r="BN124" s="394"/>
      <c r="BO124" s="394"/>
      <c r="BP124" s="394"/>
    </row>
    <row r="125">
      <c r="A125" s="507" t="s">
        <v>1664</v>
      </c>
      <c r="B125" s="507" t="s">
        <v>5081</v>
      </c>
      <c r="C125" s="507" t="s">
        <v>5092</v>
      </c>
      <c r="D125" s="452" t="str">
        <f t="shared" si="16"/>
        <v>Asus</v>
      </c>
      <c r="E125" s="715" t="s">
        <v>5607</v>
      </c>
      <c r="F125" s="507">
        <v>244.0</v>
      </c>
      <c r="G125" s="507">
        <v>244.0</v>
      </c>
      <c r="H125" s="507">
        <v>4.0</v>
      </c>
      <c r="I125" s="507" t="s">
        <v>166</v>
      </c>
      <c r="J125" s="507">
        <v>2.0</v>
      </c>
      <c r="K125" s="507" t="s">
        <v>166</v>
      </c>
      <c r="L125" s="507" t="s">
        <v>166</v>
      </c>
      <c r="M125" s="507">
        <v>1.0</v>
      </c>
      <c r="N125" s="507" t="s">
        <v>174</v>
      </c>
      <c r="O125" s="507" t="s">
        <v>174</v>
      </c>
      <c r="P125" s="507" t="s">
        <v>174</v>
      </c>
      <c r="Q125" s="507" t="s">
        <v>166</v>
      </c>
      <c r="R125" s="507">
        <v>4.0</v>
      </c>
      <c r="S125" s="507" t="s">
        <v>3151</v>
      </c>
      <c r="T125" s="507">
        <v>192.0</v>
      </c>
      <c r="U125" s="507" t="s">
        <v>5089</v>
      </c>
      <c r="V125" s="507">
        <v>4.0</v>
      </c>
      <c r="W125" s="711" t="s">
        <v>5126</v>
      </c>
      <c r="X125" s="507">
        <v>4.0</v>
      </c>
      <c r="Y125" s="507">
        <v>2.0</v>
      </c>
      <c r="Z125" s="507" t="s">
        <v>166</v>
      </c>
      <c r="AA125" s="507">
        <v>1.0</v>
      </c>
      <c r="AB125" s="507">
        <v>1.0</v>
      </c>
      <c r="AC125" s="507" t="s">
        <v>166</v>
      </c>
      <c r="AD125" s="507" t="s">
        <v>166</v>
      </c>
      <c r="AE125" s="507" t="s">
        <v>166</v>
      </c>
      <c r="AF125" s="507">
        <f t="shared" si="1"/>
        <v>8</v>
      </c>
      <c r="AG125" s="507">
        <v>2.0</v>
      </c>
      <c r="AH125" s="507">
        <v>1.0</v>
      </c>
      <c r="AI125" s="507" t="s">
        <v>5049</v>
      </c>
      <c r="AJ125" s="507">
        <v>1.0</v>
      </c>
      <c r="AK125" s="48" t="s">
        <v>5038</v>
      </c>
      <c r="AL125" s="705">
        <v>2.5</v>
      </c>
      <c r="AM125" s="705">
        <v>1.0</v>
      </c>
      <c r="AN125" s="705" t="s">
        <v>5027</v>
      </c>
      <c r="AO125" s="705" t="s">
        <v>5583</v>
      </c>
      <c r="AP125" s="507">
        <v>1200.0</v>
      </c>
      <c r="AQ125" s="507">
        <v>5.2</v>
      </c>
      <c r="AR125" s="705" t="s">
        <v>5039</v>
      </c>
      <c r="AS125" s="740" t="s">
        <v>166</v>
      </c>
      <c r="AT125" s="741">
        <v>3.0</v>
      </c>
      <c r="AU125" s="741">
        <v>1.0</v>
      </c>
      <c r="AV125" s="741">
        <v>2.0</v>
      </c>
      <c r="AW125" s="741">
        <v>1.0</v>
      </c>
      <c r="AX125" s="741" t="s">
        <v>166</v>
      </c>
      <c r="AY125" s="741" t="s">
        <v>166</v>
      </c>
      <c r="AZ125" s="741">
        <v>5.0</v>
      </c>
      <c r="BA125" s="741">
        <v>1.0</v>
      </c>
      <c r="BB125" s="741">
        <v>3.0</v>
      </c>
      <c r="BC125" s="742" t="s">
        <v>174</v>
      </c>
      <c r="BD125" s="507" t="s">
        <v>174</v>
      </c>
      <c r="BE125" s="705" t="s">
        <v>170</v>
      </c>
      <c r="BF125" s="705" t="s">
        <v>5034</v>
      </c>
      <c r="BG125" s="705" t="s">
        <v>4955</v>
      </c>
      <c r="BH125" s="705">
        <v>8.0</v>
      </c>
      <c r="BI125" s="708" t="s">
        <v>5087</v>
      </c>
      <c r="BJ125" s="708"/>
      <c r="BK125" s="394"/>
      <c r="BL125" s="394"/>
      <c r="BM125" s="394"/>
      <c r="BN125" s="394"/>
      <c r="BO125" s="394"/>
      <c r="BP125" s="394"/>
    </row>
    <row r="126">
      <c r="A126" s="507" t="s">
        <v>1664</v>
      </c>
      <c r="B126" s="507" t="s">
        <v>5081</v>
      </c>
      <c r="C126" s="507" t="s">
        <v>5092</v>
      </c>
      <c r="D126" s="452" t="str">
        <f t="shared" si="16"/>
        <v>Asus</v>
      </c>
      <c r="E126" s="715" t="s">
        <v>5608</v>
      </c>
      <c r="F126" s="507">
        <v>244.0</v>
      </c>
      <c r="G126" s="507">
        <v>244.0</v>
      </c>
      <c r="H126" s="507">
        <v>4.0</v>
      </c>
      <c r="I126" s="507" t="s">
        <v>166</v>
      </c>
      <c r="J126" s="507">
        <v>1.0</v>
      </c>
      <c r="K126" s="507" t="s">
        <v>166</v>
      </c>
      <c r="L126" s="507" t="s">
        <v>166</v>
      </c>
      <c r="M126" s="507">
        <v>2.0</v>
      </c>
      <c r="N126" s="507" t="s">
        <v>174</v>
      </c>
      <c r="O126" s="507" t="s">
        <v>174</v>
      </c>
      <c r="P126" s="507" t="s">
        <v>174</v>
      </c>
      <c r="Q126" s="507" t="s">
        <v>166</v>
      </c>
      <c r="R126" s="507">
        <v>4.0</v>
      </c>
      <c r="S126" s="507" t="s">
        <v>3151</v>
      </c>
      <c r="T126" s="507">
        <v>192.0</v>
      </c>
      <c r="U126" s="507" t="s">
        <v>5089</v>
      </c>
      <c r="V126" s="507">
        <v>4.0</v>
      </c>
      <c r="W126" s="711" t="s">
        <v>5126</v>
      </c>
      <c r="X126" s="507">
        <v>4.0</v>
      </c>
      <c r="Y126" s="507">
        <v>1.0</v>
      </c>
      <c r="Z126" s="507" t="s">
        <v>166</v>
      </c>
      <c r="AA126" s="507">
        <v>2.0</v>
      </c>
      <c r="AB126" s="507" t="s">
        <v>166</v>
      </c>
      <c r="AC126" s="507">
        <v>1.0</v>
      </c>
      <c r="AD126" s="507" t="s">
        <v>166</v>
      </c>
      <c r="AE126" s="507" t="s">
        <v>166</v>
      </c>
      <c r="AF126" s="507">
        <f t="shared" si="1"/>
        <v>8</v>
      </c>
      <c r="AG126" s="507">
        <v>2.0</v>
      </c>
      <c r="AH126" s="507">
        <v>1.0</v>
      </c>
      <c r="AI126" s="507" t="s">
        <v>5049</v>
      </c>
      <c r="AJ126" s="507">
        <v>1.0</v>
      </c>
      <c r="AK126" s="48" t="s">
        <v>5038</v>
      </c>
      <c r="AL126" s="705">
        <v>2.5</v>
      </c>
      <c r="AM126" s="705" t="s">
        <v>166</v>
      </c>
      <c r="AN126" s="705" t="s">
        <v>166</v>
      </c>
      <c r="AO126" s="705" t="s">
        <v>166</v>
      </c>
      <c r="AP126" s="507" t="s">
        <v>166</v>
      </c>
      <c r="AQ126" s="507" t="s">
        <v>166</v>
      </c>
      <c r="AR126" s="705" t="s">
        <v>5039</v>
      </c>
      <c r="AS126" s="507" t="s">
        <v>166</v>
      </c>
      <c r="AT126" s="507">
        <v>5.0</v>
      </c>
      <c r="AU126" s="507" t="s">
        <v>166</v>
      </c>
      <c r="AV126" s="266">
        <v>1.0</v>
      </c>
      <c r="AW126" s="507">
        <v>1.0</v>
      </c>
      <c r="AX126" s="507" t="s">
        <v>166</v>
      </c>
      <c r="AY126" s="507" t="s">
        <v>166</v>
      </c>
      <c r="AZ126" s="507">
        <v>6.0</v>
      </c>
      <c r="BA126" s="507">
        <v>1.0</v>
      </c>
      <c r="BB126" s="507">
        <v>3.0</v>
      </c>
      <c r="BC126" s="507" t="s">
        <v>174</v>
      </c>
      <c r="BD126" s="507" t="s">
        <v>174</v>
      </c>
      <c r="BE126" s="705" t="s">
        <v>5609</v>
      </c>
      <c r="BF126" s="705" t="s">
        <v>5593</v>
      </c>
      <c r="BG126" s="705" t="s">
        <v>4955</v>
      </c>
      <c r="BH126" s="705">
        <v>12.0</v>
      </c>
      <c r="BI126" s="708" t="s">
        <v>5087</v>
      </c>
      <c r="BJ126" s="708"/>
      <c r="BK126" s="394"/>
      <c r="BL126" s="394"/>
      <c r="BM126" s="394"/>
      <c r="BN126" s="394"/>
      <c r="BO126" s="394"/>
      <c r="BP126" s="394"/>
    </row>
    <row r="127">
      <c r="A127" s="507" t="s">
        <v>1664</v>
      </c>
      <c r="B127" s="507" t="s">
        <v>5081</v>
      </c>
      <c r="C127" s="507" t="s">
        <v>5092</v>
      </c>
      <c r="D127" s="452" t="str">
        <f t="shared" si="16"/>
        <v>Asus</v>
      </c>
      <c r="E127" s="715" t="s">
        <v>5610</v>
      </c>
      <c r="F127" s="507">
        <v>244.0</v>
      </c>
      <c r="G127" s="507">
        <v>244.0</v>
      </c>
      <c r="H127" s="507">
        <v>4.0</v>
      </c>
      <c r="I127" s="507" t="s">
        <v>166</v>
      </c>
      <c r="J127" s="507">
        <v>1.0</v>
      </c>
      <c r="K127" s="507" t="s">
        <v>166</v>
      </c>
      <c r="L127" s="507" t="s">
        <v>166</v>
      </c>
      <c r="M127" s="507">
        <v>2.0</v>
      </c>
      <c r="N127" s="507" t="s">
        <v>174</v>
      </c>
      <c r="O127" s="507" t="s">
        <v>174</v>
      </c>
      <c r="P127" s="507" t="s">
        <v>174</v>
      </c>
      <c r="Q127" s="507" t="s">
        <v>166</v>
      </c>
      <c r="R127" s="507">
        <v>4.0</v>
      </c>
      <c r="S127" s="507" t="s">
        <v>3151</v>
      </c>
      <c r="T127" s="507">
        <v>192.0</v>
      </c>
      <c r="U127" s="507" t="s">
        <v>5089</v>
      </c>
      <c r="V127" s="507">
        <v>4.0</v>
      </c>
      <c r="W127" s="711" t="s">
        <v>5126</v>
      </c>
      <c r="X127" s="507">
        <v>4.0</v>
      </c>
      <c r="Y127" s="507">
        <v>1.0</v>
      </c>
      <c r="Z127" s="507" t="s">
        <v>166</v>
      </c>
      <c r="AA127" s="507">
        <v>2.0</v>
      </c>
      <c r="AB127" s="507" t="s">
        <v>166</v>
      </c>
      <c r="AC127" s="507">
        <v>1.0</v>
      </c>
      <c r="AD127" s="507" t="s">
        <v>166</v>
      </c>
      <c r="AE127" s="507" t="s">
        <v>166</v>
      </c>
      <c r="AF127" s="507">
        <f t="shared" si="1"/>
        <v>8</v>
      </c>
      <c r="AG127" s="507">
        <v>2.0</v>
      </c>
      <c r="AH127" s="507">
        <v>1.0</v>
      </c>
      <c r="AI127" s="507" t="s">
        <v>5049</v>
      </c>
      <c r="AJ127" s="507">
        <v>1.0</v>
      </c>
      <c r="AK127" s="48" t="s">
        <v>5038</v>
      </c>
      <c r="AL127" s="705">
        <v>2.5</v>
      </c>
      <c r="AM127" s="705">
        <v>1.0</v>
      </c>
      <c r="AN127" s="705" t="s">
        <v>5027</v>
      </c>
      <c r="AO127" s="705" t="s">
        <v>5611</v>
      </c>
      <c r="AP127" s="507">
        <v>1800.0</v>
      </c>
      <c r="AQ127" s="507">
        <v>5.2</v>
      </c>
      <c r="AR127" s="705" t="s">
        <v>5039</v>
      </c>
      <c r="AS127" s="507" t="s">
        <v>166</v>
      </c>
      <c r="AT127" s="507">
        <v>5.0</v>
      </c>
      <c r="AU127" s="507" t="s">
        <v>166</v>
      </c>
      <c r="AV127" s="266">
        <v>1.0</v>
      </c>
      <c r="AW127" s="507">
        <v>1.0</v>
      </c>
      <c r="AX127" s="507" t="s">
        <v>166</v>
      </c>
      <c r="AY127" s="507" t="s">
        <v>166</v>
      </c>
      <c r="AZ127" s="507">
        <v>6.0</v>
      </c>
      <c r="BA127" s="507">
        <v>1.0</v>
      </c>
      <c r="BB127" s="507">
        <v>3.0</v>
      </c>
      <c r="BC127" s="507" t="s">
        <v>174</v>
      </c>
      <c r="BD127" s="507" t="s">
        <v>174</v>
      </c>
      <c r="BE127" s="705" t="s">
        <v>5609</v>
      </c>
      <c r="BF127" s="705" t="s">
        <v>5593</v>
      </c>
      <c r="BG127" s="705" t="s">
        <v>4955</v>
      </c>
      <c r="BH127" s="705">
        <v>12.0</v>
      </c>
      <c r="BI127" s="708" t="s">
        <v>5087</v>
      </c>
      <c r="BJ127" s="708"/>
      <c r="BK127" s="394"/>
      <c r="BL127" s="394"/>
      <c r="BM127" s="394"/>
      <c r="BN127" s="394"/>
      <c r="BO127" s="394"/>
      <c r="BP127" s="394"/>
    </row>
    <row r="128">
      <c r="A128" s="507" t="s">
        <v>1664</v>
      </c>
      <c r="B128" s="507" t="s">
        <v>5081</v>
      </c>
      <c r="C128" s="507" t="s">
        <v>5092</v>
      </c>
      <c r="D128" s="452" t="str">
        <f t="shared" ref="D128:D130" si="17">HYPERLINK("https://www.biostar.com.tw/app/en/","Biostar")</f>
        <v>Biostar</v>
      </c>
      <c r="E128" s="715" t="s">
        <v>5612</v>
      </c>
      <c r="F128" s="507">
        <v>244.0</v>
      </c>
      <c r="G128" s="507">
        <v>244.0</v>
      </c>
      <c r="H128" s="507">
        <v>4.0</v>
      </c>
      <c r="I128" s="507" t="s">
        <v>166</v>
      </c>
      <c r="J128" s="507">
        <v>1.0</v>
      </c>
      <c r="K128" s="507" t="s">
        <v>166</v>
      </c>
      <c r="L128" s="507" t="s">
        <v>166</v>
      </c>
      <c r="M128" s="507">
        <v>2.0</v>
      </c>
      <c r="N128" s="507" t="s">
        <v>174</v>
      </c>
      <c r="O128" s="507" t="s">
        <v>174</v>
      </c>
      <c r="P128" s="507" t="s">
        <v>174</v>
      </c>
      <c r="Q128" s="507" t="s">
        <v>166</v>
      </c>
      <c r="R128" s="507">
        <v>4.0</v>
      </c>
      <c r="S128" s="507" t="s">
        <v>3151</v>
      </c>
      <c r="T128" s="507">
        <v>192.0</v>
      </c>
      <c r="U128" s="507" t="s">
        <v>5368</v>
      </c>
      <c r="V128" s="507">
        <v>4.0</v>
      </c>
      <c r="W128" s="711" t="s">
        <v>5126</v>
      </c>
      <c r="X128" s="507">
        <v>2.0</v>
      </c>
      <c r="Y128" s="507">
        <v>2.0</v>
      </c>
      <c r="Z128" s="507" t="s">
        <v>166</v>
      </c>
      <c r="AA128" s="507">
        <v>1.0</v>
      </c>
      <c r="AB128" s="507" t="s">
        <v>166</v>
      </c>
      <c r="AC128" s="507">
        <v>1.0</v>
      </c>
      <c r="AD128" s="507" t="s">
        <v>166</v>
      </c>
      <c r="AE128" s="507" t="s">
        <v>166</v>
      </c>
      <c r="AF128" s="507">
        <f t="shared" si="1"/>
        <v>6</v>
      </c>
      <c r="AG128" s="507">
        <v>2.0</v>
      </c>
      <c r="AH128" s="507">
        <v>1.0</v>
      </c>
      <c r="AI128" s="507" t="s">
        <v>166</v>
      </c>
      <c r="AJ128" s="507">
        <v>1.0</v>
      </c>
      <c r="AK128" s="48" t="s">
        <v>5038</v>
      </c>
      <c r="AL128" s="705">
        <v>2.5</v>
      </c>
      <c r="AM128" s="705">
        <v>1.0</v>
      </c>
      <c r="AN128" s="705" t="s">
        <v>166</v>
      </c>
      <c r="AO128" s="705" t="s">
        <v>232</v>
      </c>
      <c r="AP128" s="507" t="s">
        <v>166</v>
      </c>
      <c r="AQ128" s="507" t="s">
        <v>166</v>
      </c>
      <c r="AR128" s="705" t="s">
        <v>4952</v>
      </c>
      <c r="AS128" s="507" t="s">
        <v>166</v>
      </c>
      <c r="AT128" s="507">
        <v>3.0</v>
      </c>
      <c r="AU128" s="507">
        <v>1.0</v>
      </c>
      <c r="AV128" s="266">
        <v>1.0</v>
      </c>
      <c r="AW128" s="507">
        <v>1.0</v>
      </c>
      <c r="AX128" s="507" t="s">
        <v>166</v>
      </c>
      <c r="AY128" s="507" t="s">
        <v>166</v>
      </c>
      <c r="AZ128" s="507">
        <v>5.0</v>
      </c>
      <c r="BA128" s="507">
        <v>1.0</v>
      </c>
      <c r="BB128" s="507">
        <v>2.0</v>
      </c>
      <c r="BC128" s="507" t="s">
        <v>174</v>
      </c>
      <c r="BD128" s="507" t="s">
        <v>166</v>
      </c>
      <c r="BE128" s="705" t="s">
        <v>170</v>
      </c>
      <c r="BF128" s="705" t="s">
        <v>5613</v>
      </c>
      <c r="BG128" s="705" t="s">
        <v>166</v>
      </c>
      <c r="BH128" s="705" t="s">
        <v>5614</v>
      </c>
      <c r="BI128" s="708" t="s">
        <v>5394</v>
      </c>
      <c r="BJ128" s="708"/>
      <c r="BK128" s="394"/>
      <c r="BL128" s="394"/>
      <c r="BM128" s="394"/>
      <c r="BN128" s="394"/>
      <c r="BO128" s="394"/>
      <c r="BP128" s="394"/>
    </row>
    <row r="129">
      <c r="A129" s="507" t="s">
        <v>1664</v>
      </c>
      <c r="B129" s="507" t="s">
        <v>5081</v>
      </c>
      <c r="C129" s="507" t="s">
        <v>5092</v>
      </c>
      <c r="D129" s="452" t="str">
        <f t="shared" si="17"/>
        <v>Biostar</v>
      </c>
      <c r="E129" s="715" t="s">
        <v>5615</v>
      </c>
      <c r="F129" s="507">
        <v>244.0</v>
      </c>
      <c r="G129" s="507">
        <v>244.0</v>
      </c>
      <c r="H129" s="507">
        <v>4.0</v>
      </c>
      <c r="I129" s="507" t="s">
        <v>166</v>
      </c>
      <c r="J129" s="507">
        <v>3.0</v>
      </c>
      <c r="K129" s="507" t="s">
        <v>166</v>
      </c>
      <c r="L129" s="507" t="s">
        <v>166</v>
      </c>
      <c r="M129" s="507">
        <v>1.0</v>
      </c>
      <c r="N129" s="507" t="s">
        <v>174</v>
      </c>
      <c r="O129" s="507" t="s">
        <v>174</v>
      </c>
      <c r="P129" s="507" t="s">
        <v>174</v>
      </c>
      <c r="Q129" s="507" t="s">
        <v>166</v>
      </c>
      <c r="R129" s="507">
        <v>4.0</v>
      </c>
      <c r="S129" s="507" t="s">
        <v>3151</v>
      </c>
      <c r="T129" s="507">
        <v>192.0</v>
      </c>
      <c r="U129" s="507" t="s">
        <v>5368</v>
      </c>
      <c r="V129" s="507">
        <v>4.0</v>
      </c>
      <c r="W129" s="711" t="s">
        <v>5126</v>
      </c>
      <c r="X129" s="507">
        <v>2.0</v>
      </c>
      <c r="Y129" s="507">
        <v>4.0</v>
      </c>
      <c r="Z129" s="507" t="s">
        <v>166</v>
      </c>
      <c r="AA129" s="507">
        <v>1.0</v>
      </c>
      <c r="AB129" s="507">
        <v>1.0</v>
      </c>
      <c r="AC129" s="507" t="s">
        <v>166</v>
      </c>
      <c r="AD129" s="507" t="s">
        <v>166</v>
      </c>
      <c r="AE129" s="507" t="s">
        <v>166</v>
      </c>
      <c r="AF129" s="507">
        <f t="shared" si="1"/>
        <v>8</v>
      </c>
      <c r="AG129" s="507">
        <v>2.0</v>
      </c>
      <c r="AH129" s="507">
        <v>1.0</v>
      </c>
      <c r="AI129" s="507" t="s">
        <v>5025</v>
      </c>
      <c r="AJ129" s="507">
        <v>1.0</v>
      </c>
      <c r="AK129" s="48" t="s">
        <v>5038</v>
      </c>
      <c r="AL129" s="705">
        <v>2.5</v>
      </c>
      <c r="AM129" s="705">
        <v>1.0</v>
      </c>
      <c r="AN129" s="705" t="s">
        <v>166</v>
      </c>
      <c r="AO129" s="705" t="s">
        <v>232</v>
      </c>
      <c r="AP129" s="507" t="s">
        <v>166</v>
      </c>
      <c r="AQ129" s="507" t="s">
        <v>166</v>
      </c>
      <c r="AR129" s="705" t="s">
        <v>5039</v>
      </c>
      <c r="AS129" s="507" t="s">
        <v>166</v>
      </c>
      <c r="AT129" s="507">
        <v>3.0</v>
      </c>
      <c r="AU129" s="507">
        <v>1.0</v>
      </c>
      <c r="AV129" s="266">
        <v>1.0</v>
      </c>
      <c r="AW129" s="507">
        <v>1.0</v>
      </c>
      <c r="AX129" s="507" t="s">
        <v>166</v>
      </c>
      <c r="AY129" s="507" t="s">
        <v>166</v>
      </c>
      <c r="AZ129" s="507">
        <v>3.0</v>
      </c>
      <c r="BA129" s="507">
        <v>1.0</v>
      </c>
      <c r="BB129" s="507">
        <v>2.0</v>
      </c>
      <c r="BC129" s="507" t="s">
        <v>174</v>
      </c>
      <c r="BD129" s="507" t="s">
        <v>166</v>
      </c>
      <c r="BE129" s="705" t="s">
        <v>170</v>
      </c>
      <c r="BF129" s="705" t="s">
        <v>170</v>
      </c>
      <c r="BG129" s="705" t="s">
        <v>170</v>
      </c>
      <c r="BH129" s="705" t="s">
        <v>170</v>
      </c>
      <c r="BI129" s="708" t="s">
        <v>170</v>
      </c>
      <c r="BJ129" s="708"/>
      <c r="BK129" s="394"/>
      <c r="BL129" s="394"/>
      <c r="BM129" s="394"/>
      <c r="BN129" s="394"/>
      <c r="BO129" s="394"/>
      <c r="BP129" s="394"/>
    </row>
    <row r="130">
      <c r="A130" s="507" t="s">
        <v>1664</v>
      </c>
      <c r="B130" s="507" t="s">
        <v>5081</v>
      </c>
      <c r="C130" s="507" t="s">
        <v>5092</v>
      </c>
      <c r="D130" s="452" t="str">
        <f t="shared" si="17"/>
        <v>Biostar</v>
      </c>
      <c r="E130" s="715" t="s">
        <v>5616</v>
      </c>
      <c r="F130" s="507">
        <v>244.0</v>
      </c>
      <c r="G130" s="507">
        <v>244.0</v>
      </c>
      <c r="H130" s="507">
        <v>4.0</v>
      </c>
      <c r="I130" s="507" t="s">
        <v>166</v>
      </c>
      <c r="J130" s="507">
        <v>3.0</v>
      </c>
      <c r="K130" s="507" t="s">
        <v>166</v>
      </c>
      <c r="L130" s="507" t="s">
        <v>166</v>
      </c>
      <c r="M130" s="507">
        <v>1.0</v>
      </c>
      <c r="N130" s="507" t="s">
        <v>174</v>
      </c>
      <c r="O130" s="507" t="s">
        <v>174</v>
      </c>
      <c r="P130" s="507" t="s">
        <v>174</v>
      </c>
      <c r="Q130" s="507" t="s">
        <v>166</v>
      </c>
      <c r="R130" s="507">
        <v>4.0</v>
      </c>
      <c r="S130" s="507" t="s">
        <v>3151</v>
      </c>
      <c r="T130" s="507">
        <v>192.0</v>
      </c>
      <c r="U130" s="507" t="s">
        <v>5368</v>
      </c>
      <c r="V130" s="507">
        <v>8.0</v>
      </c>
      <c r="W130" s="711" t="s">
        <v>5126</v>
      </c>
      <c r="X130" s="507">
        <v>2.0</v>
      </c>
      <c r="Y130" s="507">
        <v>4.0</v>
      </c>
      <c r="Z130" s="507" t="s">
        <v>166</v>
      </c>
      <c r="AA130" s="507">
        <v>1.0</v>
      </c>
      <c r="AB130" s="507">
        <v>1.0</v>
      </c>
      <c r="AC130" s="507" t="s">
        <v>166</v>
      </c>
      <c r="AD130" s="507" t="s">
        <v>166</v>
      </c>
      <c r="AE130" s="507" t="s">
        <v>166</v>
      </c>
      <c r="AF130" s="507">
        <f t="shared" si="1"/>
        <v>8</v>
      </c>
      <c r="AG130" s="507">
        <v>2.0</v>
      </c>
      <c r="AH130" s="507">
        <v>1.0</v>
      </c>
      <c r="AI130" s="507" t="s">
        <v>5025</v>
      </c>
      <c r="AJ130" s="507">
        <v>1.0</v>
      </c>
      <c r="AK130" s="48" t="s">
        <v>5038</v>
      </c>
      <c r="AL130" s="705">
        <v>2.5</v>
      </c>
      <c r="AM130" s="705">
        <v>1.0</v>
      </c>
      <c r="AN130" s="705" t="s">
        <v>166</v>
      </c>
      <c r="AO130" s="705" t="s">
        <v>232</v>
      </c>
      <c r="AP130" s="507" t="s">
        <v>166</v>
      </c>
      <c r="AQ130" s="507" t="s">
        <v>166</v>
      </c>
      <c r="AR130" s="705" t="s">
        <v>5039</v>
      </c>
      <c r="AS130" s="507" t="s">
        <v>166</v>
      </c>
      <c r="AT130" s="507">
        <v>3.0</v>
      </c>
      <c r="AU130" s="507">
        <v>1.0</v>
      </c>
      <c r="AV130" s="266">
        <v>1.0</v>
      </c>
      <c r="AW130" s="507">
        <v>1.0</v>
      </c>
      <c r="AX130" s="507" t="s">
        <v>166</v>
      </c>
      <c r="AY130" s="507" t="s">
        <v>166</v>
      </c>
      <c r="AZ130" s="507">
        <v>3.0</v>
      </c>
      <c r="BA130" s="507">
        <v>1.0</v>
      </c>
      <c r="BB130" s="507">
        <v>2.0</v>
      </c>
      <c r="BC130" s="507" t="s">
        <v>174</v>
      </c>
      <c r="BD130" s="507" t="s">
        <v>166</v>
      </c>
      <c r="BE130" s="705" t="s">
        <v>170</v>
      </c>
      <c r="BF130" s="705" t="s">
        <v>170</v>
      </c>
      <c r="BG130" s="705" t="s">
        <v>170</v>
      </c>
      <c r="BH130" s="705" t="s">
        <v>170</v>
      </c>
      <c r="BI130" s="708" t="s">
        <v>170</v>
      </c>
      <c r="BJ130" s="708"/>
      <c r="BK130" s="394"/>
      <c r="BL130" s="394"/>
      <c r="BM130" s="394"/>
      <c r="BN130" s="394"/>
      <c r="BO130" s="394"/>
      <c r="BP130" s="394"/>
    </row>
    <row r="131">
      <c r="A131" s="507" t="s">
        <v>1664</v>
      </c>
      <c r="B131" s="507" t="s">
        <v>5081</v>
      </c>
      <c r="C131" s="507" t="s">
        <v>5092</v>
      </c>
      <c r="D131" s="506" t="str">
        <f t="shared" ref="D131:D137" si="18">HYPERLINK("https://www.gigabyte.com/","Gigabyte")</f>
        <v>Gigabyte</v>
      </c>
      <c r="E131" s="715" t="s">
        <v>5617</v>
      </c>
      <c r="F131" s="507">
        <v>244.0</v>
      </c>
      <c r="G131" s="507">
        <v>244.0</v>
      </c>
      <c r="H131" s="507">
        <v>4.0</v>
      </c>
      <c r="I131" s="507" t="s">
        <v>166</v>
      </c>
      <c r="J131" s="507" t="s">
        <v>166</v>
      </c>
      <c r="K131" s="507" t="s">
        <v>166</v>
      </c>
      <c r="L131" s="507" t="s">
        <v>166</v>
      </c>
      <c r="M131" s="507">
        <v>2.0</v>
      </c>
      <c r="N131" s="507" t="s">
        <v>174</v>
      </c>
      <c r="O131" s="507" t="s">
        <v>174</v>
      </c>
      <c r="P131" s="507" t="s">
        <v>174</v>
      </c>
      <c r="Q131" s="507" t="s">
        <v>166</v>
      </c>
      <c r="R131" s="507">
        <v>4.0</v>
      </c>
      <c r="S131" s="507" t="s">
        <v>3151</v>
      </c>
      <c r="T131" s="507">
        <v>192.0</v>
      </c>
      <c r="U131" s="507" t="s">
        <v>5618</v>
      </c>
      <c r="V131" s="507">
        <v>4.0</v>
      </c>
      <c r="W131" s="711" t="s">
        <v>5126</v>
      </c>
      <c r="X131" s="507">
        <v>4.0</v>
      </c>
      <c r="Y131" s="507">
        <v>5.0</v>
      </c>
      <c r="Z131" s="507" t="s">
        <v>166</v>
      </c>
      <c r="AA131" s="507">
        <v>2.0</v>
      </c>
      <c r="AB131" s="507">
        <v>1.0</v>
      </c>
      <c r="AC131" s="507" t="s">
        <v>166</v>
      </c>
      <c r="AD131" s="507" t="s">
        <v>166</v>
      </c>
      <c r="AE131" s="507" t="s">
        <v>166</v>
      </c>
      <c r="AF131" s="507">
        <f t="shared" si="1"/>
        <v>12</v>
      </c>
      <c r="AG131" s="507">
        <v>2.0</v>
      </c>
      <c r="AH131" s="507">
        <v>1.0</v>
      </c>
      <c r="AI131" s="507" t="s">
        <v>5097</v>
      </c>
      <c r="AJ131" s="507">
        <v>1.0</v>
      </c>
      <c r="AK131" s="48" t="s">
        <v>5038</v>
      </c>
      <c r="AL131" s="705">
        <v>2.5</v>
      </c>
      <c r="AM131" s="705" t="s">
        <v>166</v>
      </c>
      <c r="AN131" s="705" t="s">
        <v>166</v>
      </c>
      <c r="AO131" s="48" t="s">
        <v>166</v>
      </c>
      <c r="AP131" s="507" t="s">
        <v>166</v>
      </c>
      <c r="AQ131" s="507" t="s">
        <v>166</v>
      </c>
      <c r="AR131" s="705" t="s">
        <v>5039</v>
      </c>
      <c r="AS131" s="507" t="s">
        <v>174</v>
      </c>
      <c r="AT131" s="507">
        <v>2.0</v>
      </c>
      <c r="AU131" s="507" t="s">
        <v>166</v>
      </c>
      <c r="AV131" s="266">
        <v>1.0</v>
      </c>
      <c r="AW131" s="507">
        <v>1.0</v>
      </c>
      <c r="AX131" s="507" t="s">
        <v>166</v>
      </c>
      <c r="AY131" s="507" t="s">
        <v>166</v>
      </c>
      <c r="AZ131" s="507">
        <v>6.0</v>
      </c>
      <c r="BA131" s="507">
        <v>2.0</v>
      </c>
      <c r="BB131" s="507">
        <v>2.0</v>
      </c>
      <c r="BC131" s="507" t="s">
        <v>166</v>
      </c>
      <c r="BD131" s="507" t="s">
        <v>174</v>
      </c>
      <c r="BE131" s="705" t="s">
        <v>5100</v>
      </c>
      <c r="BF131" s="705" t="s">
        <v>5593</v>
      </c>
      <c r="BG131" s="705" t="s">
        <v>4955</v>
      </c>
      <c r="BH131" s="705">
        <v>12.0</v>
      </c>
      <c r="BI131" s="708" t="s">
        <v>5619</v>
      </c>
      <c r="BJ131" s="708"/>
      <c r="BK131" s="394"/>
      <c r="BL131" s="394"/>
      <c r="BM131" s="394"/>
      <c r="BN131" s="394"/>
      <c r="BO131" s="394"/>
      <c r="BP131" s="394"/>
    </row>
    <row r="132">
      <c r="A132" s="507" t="s">
        <v>1664</v>
      </c>
      <c r="B132" s="507" t="s">
        <v>5081</v>
      </c>
      <c r="C132" s="507" t="s">
        <v>5092</v>
      </c>
      <c r="D132" s="506" t="str">
        <f t="shared" si="18"/>
        <v>Gigabyte</v>
      </c>
      <c r="E132" s="715" t="s">
        <v>5620</v>
      </c>
      <c r="F132" s="507">
        <v>244.0</v>
      </c>
      <c r="G132" s="507">
        <v>244.0</v>
      </c>
      <c r="H132" s="507">
        <v>4.0</v>
      </c>
      <c r="I132" s="507" t="s">
        <v>166</v>
      </c>
      <c r="J132" s="507" t="s">
        <v>166</v>
      </c>
      <c r="K132" s="507" t="s">
        <v>166</v>
      </c>
      <c r="L132" s="507" t="s">
        <v>166</v>
      </c>
      <c r="M132" s="507">
        <v>2.0</v>
      </c>
      <c r="N132" s="507" t="s">
        <v>174</v>
      </c>
      <c r="O132" s="507" t="s">
        <v>174</v>
      </c>
      <c r="P132" s="507" t="s">
        <v>174</v>
      </c>
      <c r="Q132" s="507" t="s">
        <v>166</v>
      </c>
      <c r="R132" s="507">
        <v>4.0</v>
      </c>
      <c r="S132" s="507" t="s">
        <v>3151</v>
      </c>
      <c r="T132" s="507">
        <v>192.0</v>
      </c>
      <c r="U132" s="507" t="s">
        <v>5618</v>
      </c>
      <c r="V132" s="507">
        <v>4.0</v>
      </c>
      <c r="W132" s="711" t="s">
        <v>5126</v>
      </c>
      <c r="X132" s="507">
        <v>4.0</v>
      </c>
      <c r="Y132" s="507">
        <v>5.0</v>
      </c>
      <c r="Z132" s="507" t="s">
        <v>166</v>
      </c>
      <c r="AA132" s="507">
        <v>2.0</v>
      </c>
      <c r="AB132" s="507">
        <v>1.0</v>
      </c>
      <c r="AC132" s="507" t="s">
        <v>166</v>
      </c>
      <c r="AD132" s="507" t="s">
        <v>166</v>
      </c>
      <c r="AE132" s="507" t="s">
        <v>166</v>
      </c>
      <c r="AF132" s="507">
        <f t="shared" si="1"/>
        <v>12</v>
      </c>
      <c r="AG132" s="507">
        <v>2.0</v>
      </c>
      <c r="AH132" s="507">
        <v>1.0</v>
      </c>
      <c r="AI132" s="507" t="s">
        <v>5097</v>
      </c>
      <c r="AJ132" s="507">
        <v>1.0</v>
      </c>
      <c r="AK132" s="48" t="s">
        <v>5038</v>
      </c>
      <c r="AL132" s="705">
        <v>2.5</v>
      </c>
      <c r="AM132" s="705">
        <v>1.0</v>
      </c>
      <c r="AN132" s="705" t="s">
        <v>5044</v>
      </c>
      <c r="AO132" s="48" t="s">
        <v>5621</v>
      </c>
      <c r="AP132" s="507">
        <v>2400.0</v>
      </c>
      <c r="AQ132" s="507">
        <v>5.2</v>
      </c>
      <c r="AR132" s="705" t="s">
        <v>5039</v>
      </c>
      <c r="AS132" s="507" t="s">
        <v>174</v>
      </c>
      <c r="AT132" s="507">
        <v>2.0</v>
      </c>
      <c r="AU132" s="507" t="s">
        <v>166</v>
      </c>
      <c r="AV132" s="266">
        <v>1.0</v>
      </c>
      <c r="AW132" s="507">
        <v>1.0</v>
      </c>
      <c r="AX132" s="507" t="s">
        <v>166</v>
      </c>
      <c r="AY132" s="507" t="s">
        <v>166</v>
      </c>
      <c r="AZ132" s="507">
        <v>6.0</v>
      </c>
      <c r="BA132" s="507">
        <v>2.0</v>
      </c>
      <c r="BB132" s="507">
        <v>2.0</v>
      </c>
      <c r="BC132" s="507" t="s">
        <v>166</v>
      </c>
      <c r="BD132" s="507" t="s">
        <v>174</v>
      </c>
      <c r="BE132" s="705" t="s">
        <v>5100</v>
      </c>
      <c r="BF132" s="705" t="s">
        <v>5593</v>
      </c>
      <c r="BG132" s="705" t="s">
        <v>4955</v>
      </c>
      <c r="BH132" s="705">
        <v>12.0</v>
      </c>
      <c r="BI132" s="708" t="s">
        <v>5619</v>
      </c>
      <c r="BJ132" s="708"/>
      <c r="BK132" s="394"/>
      <c r="BL132" s="394"/>
      <c r="BM132" s="394"/>
      <c r="BN132" s="394"/>
      <c r="BO132" s="394"/>
      <c r="BP132" s="394"/>
    </row>
    <row r="133">
      <c r="A133" s="507" t="s">
        <v>1664</v>
      </c>
      <c r="B133" s="507" t="s">
        <v>5081</v>
      </c>
      <c r="C133" s="507" t="s">
        <v>5092</v>
      </c>
      <c r="D133" s="506" t="str">
        <f t="shared" si="18"/>
        <v>Gigabyte</v>
      </c>
      <c r="E133" s="715" t="s">
        <v>5622</v>
      </c>
      <c r="F133" s="507">
        <v>244.0</v>
      </c>
      <c r="G133" s="507">
        <v>244.0</v>
      </c>
      <c r="H133" s="507">
        <v>4.0</v>
      </c>
      <c r="I133" s="507" t="s">
        <v>166</v>
      </c>
      <c r="J133" s="507" t="s">
        <v>166</v>
      </c>
      <c r="K133" s="507" t="s">
        <v>166</v>
      </c>
      <c r="L133" s="507" t="s">
        <v>166</v>
      </c>
      <c r="M133" s="507">
        <v>2.0</v>
      </c>
      <c r="N133" s="507" t="s">
        <v>174</v>
      </c>
      <c r="O133" s="507" t="s">
        <v>174</v>
      </c>
      <c r="P133" s="507" t="s">
        <v>174</v>
      </c>
      <c r="Q133" s="507" t="s">
        <v>166</v>
      </c>
      <c r="R133" s="507">
        <v>4.0</v>
      </c>
      <c r="S133" s="507" t="s">
        <v>3151</v>
      </c>
      <c r="T133" s="507">
        <v>192.0</v>
      </c>
      <c r="U133" s="507" t="s">
        <v>5618</v>
      </c>
      <c r="V133" s="507">
        <v>4.0</v>
      </c>
      <c r="W133" s="711" t="s">
        <v>5126</v>
      </c>
      <c r="X133" s="507">
        <v>4.0</v>
      </c>
      <c r="Y133" s="507">
        <v>5.0</v>
      </c>
      <c r="Z133" s="507" t="s">
        <v>166</v>
      </c>
      <c r="AA133" s="507">
        <v>2.0</v>
      </c>
      <c r="AB133" s="507">
        <v>1.0</v>
      </c>
      <c r="AC133" s="507" t="s">
        <v>166</v>
      </c>
      <c r="AD133" s="507" t="s">
        <v>166</v>
      </c>
      <c r="AE133" s="507" t="s">
        <v>166</v>
      </c>
      <c r="AF133" s="507">
        <f t="shared" si="1"/>
        <v>12</v>
      </c>
      <c r="AG133" s="507">
        <v>2.0</v>
      </c>
      <c r="AH133" s="507">
        <v>1.0</v>
      </c>
      <c r="AI133" s="507" t="s">
        <v>5097</v>
      </c>
      <c r="AJ133" s="507">
        <v>1.0</v>
      </c>
      <c r="AK133" s="48" t="s">
        <v>5038</v>
      </c>
      <c r="AL133" s="705">
        <v>2.5</v>
      </c>
      <c r="AM133" s="705">
        <v>1.0</v>
      </c>
      <c r="AN133" s="705" t="s">
        <v>5044</v>
      </c>
      <c r="AO133" s="48" t="s">
        <v>5621</v>
      </c>
      <c r="AP133" s="507">
        <v>2400.0</v>
      </c>
      <c r="AQ133" s="507">
        <v>5.2</v>
      </c>
      <c r="AR133" s="705" t="s">
        <v>5039</v>
      </c>
      <c r="AS133" s="507" t="s">
        <v>174</v>
      </c>
      <c r="AT133" s="507">
        <v>2.0</v>
      </c>
      <c r="AU133" s="507" t="s">
        <v>166</v>
      </c>
      <c r="AV133" s="266">
        <v>1.0</v>
      </c>
      <c r="AW133" s="507">
        <v>1.0</v>
      </c>
      <c r="AX133" s="507" t="s">
        <v>166</v>
      </c>
      <c r="AY133" s="507" t="s">
        <v>166</v>
      </c>
      <c r="AZ133" s="507">
        <v>6.0</v>
      </c>
      <c r="BA133" s="507">
        <v>2.0</v>
      </c>
      <c r="BB133" s="507">
        <v>2.0</v>
      </c>
      <c r="BC133" s="507" t="s">
        <v>166</v>
      </c>
      <c r="BD133" s="507" t="s">
        <v>174</v>
      </c>
      <c r="BE133" s="705" t="s">
        <v>5100</v>
      </c>
      <c r="BF133" s="705" t="s">
        <v>5593</v>
      </c>
      <c r="BG133" s="705" t="s">
        <v>4955</v>
      </c>
      <c r="BH133" s="705">
        <v>12.0</v>
      </c>
      <c r="BI133" s="708" t="s">
        <v>5623</v>
      </c>
      <c r="BJ133" s="708"/>
      <c r="BK133" s="394"/>
      <c r="BL133" s="394"/>
      <c r="BM133" s="394"/>
      <c r="BN133" s="394"/>
      <c r="BO133" s="394"/>
      <c r="BP133" s="394"/>
    </row>
    <row r="134">
      <c r="A134" s="507" t="s">
        <v>1664</v>
      </c>
      <c r="B134" s="507" t="s">
        <v>5081</v>
      </c>
      <c r="C134" s="507" t="s">
        <v>5092</v>
      </c>
      <c r="D134" s="506" t="str">
        <f t="shared" si="18"/>
        <v>Gigabyte</v>
      </c>
      <c r="E134" s="715" t="s">
        <v>5624</v>
      </c>
      <c r="F134" s="507">
        <v>244.0</v>
      </c>
      <c r="G134" s="507">
        <v>244.0</v>
      </c>
      <c r="H134" s="507">
        <v>4.0</v>
      </c>
      <c r="I134" s="507" t="s">
        <v>166</v>
      </c>
      <c r="J134" s="507" t="s">
        <v>166</v>
      </c>
      <c r="K134" s="507" t="s">
        <v>166</v>
      </c>
      <c r="L134" s="507" t="s">
        <v>166</v>
      </c>
      <c r="M134" s="507">
        <v>4.0</v>
      </c>
      <c r="N134" s="507" t="s">
        <v>174</v>
      </c>
      <c r="O134" s="507" t="s">
        <v>174</v>
      </c>
      <c r="P134" s="507" t="s">
        <v>174</v>
      </c>
      <c r="Q134" s="507" t="s">
        <v>166</v>
      </c>
      <c r="R134" s="507">
        <v>4.0</v>
      </c>
      <c r="S134" s="507" t="s">
        <v>3151</v>
      </c>
      <c r="T134" s="507">
        <v>192.0</v>
      </c>
      <c r="U134" s="507" t="s">
        <v>5089</v>
      </c>
      <c r="V134" s="507">
        <v>4.0</v>
      </c>
      <c r="W134" s="711" t="s">
        <v>5576</v>
      </c>
      <c r="X134" s="507">
        <v>1.0</v>
      </c>
      <c r="Y134" s="507">
        <v>4.0</v>
      </c>
      <c r="Z134" s="507">
        <v>1.0</v>
      </c>
      <c r="AA134" s="507">
        <v>1.0</v>
      </c>
      <c r="AB134" s="507" t="s">
        <v>166</v>
      </c>
      <c r="AC134" s="507" t="s">
        <v>166</v>
      </c>
      <c r="AD134" s="507" t="s">
        <v>166</v>
      </c>
      <c r="AE134" s="507" t="s">
        <v>166</v>
      </c>
      <c r="AF134" s="507">
        <f t="shared" si="1"/>
        <v>7</v>
      </c>
      <c r="AG134" s="507">
        <v>4.0</v>
      </c>
      <c r="AH134" s="507">
        <v>1.0</v>
      </c>
      <c r="AI134" s="507" t="s">
        <v>5025</v>
      </c>
      <c r="AJ134" s="507">
        <v>1.0</v>
      </c>
      <c r="AK134" s="48" t="s">
        <v>4959</v>
      </c>
      <c r="AL134" s="705">
        <v>1.0</v>
      </c>
      <c r="AM134" s="705">
        <v>1.0</v>
      </c>
      <c r="AN134" s="705" t="s">
        <v>4966</v>
      </c>
      <c r="AO134" s="705" t="s">
        <v>5485</v>
      </c>
      <c r="AP134" s="507">
        <v>433.0</v>
      </c>
      <c r="AQ134" s="507">
        <v>4.2</v>
      </c>
      <c r="AR134" s="705" t="s">
        <v>5039</v>
      </c>
      <c r="AS134" s="507" t="s">
        <v>166</v>
      </c>
      <c r="AT134" s="507">
        <v>3.0</v>
      </c>
      <c r="AU134" s="507">
        <v>1.0</v>
      </c>
      <c r="AV134" s="266" t="s">
        <v>166</v>
      </c>
      <c r="AW134" s="507">
        <v>1.0</v>
      </c>
      <c r="AX134" s="507" t="s">
        <v>166</v>
      </c>
      <c r="AY134" s="507" t="s">
        <v>166</v>
      </c>
      <c r="AZ134" s="507">
        <v>4.0</v>
      </c>
      <c r="BA134" s="507">
        <v>1.0</v>
      </c>
      <c r="BB134" s="507">
        <v>1.0</v>
      </c>
      <c r="BC134" s="507" t="s">
        <v>166</v>
      </c>
      <c r="BD134" s="507" t="s">
        <v>166</v>
      </c>
      <c r="BE134" s="705" t="s">
        <v>170</v>
      </c>
      <c r="BF134" s="705" t="s">
        <v>4954</v>
      </c>
      <c r="BG134" s="705" t="s">
        <v>4963</v>
      </c>
      <c r="BH134" s="705">
        <v>6.0</v>
      </c>
      <c r="BI134" s="708" t="s">
        <v>5087</v>
      </c>
      <c r="BJ134" s="708"/>
      <c r="BK134" s="394"/>
      <c r="BL134" s="394"/>
      <c r="BM134" s="394"/>
      <c r="BN134" s="394"/>
      <c r="BO134" s="394"/>
      <c r="BP134" s="394"/>
    </row>
    <row r="135">
      <c r="A135" s="507" t="s">
        <v>1664</v>
      </c>
      <c r="B135" s="507" t="s">
        <v>5081</v>
      </c>
      <c r="C135" s="507" t="s">
        <v>5092</v>
      </c>
      <c r="D135" s="506" t="str">
        <f t="shared" si="18"/>
        <v>Gigabyte</v>
      </c>
      <c r="E135" s="715" t="s">
        <v>5625</v>
      </c>
      <c r="F135" s="507">
        <v>244.0</v>
      </c>
      <c r="G135" s="507">
        <v>244.0</v>
      </c>
      <c r="H135" s="507">
        <v>4.0</v>
      </c>
      <c r="I135" s="507" t="s">
        <v>166</v>
      </c>
      <c r="J135" s="507">
        <v>1.0</v>
      </c>
      <c r="K135" s="507" t="s">
        <v>166</v>
      </c>
      <c r="L135" s="507" t="s">
        <v>166</v>
      </c>
      <c r="M135" s="507">
        <v>1.0</v>
      </c>
      <c r="N135" s="507" t="s">
        <v>174</v>
      </c>
      <c r="O135" s="507" t="s">
        <v>174</v>
      </c>
      <c r="P135" s="507" t="s">
        <v>174</v>
      </c>
      <c r="Q135" s="507" t="s">
        <v>166</v>
      </c>
      <c r="R135" s="507">
        <v>4.0</v>
      </c>
      <c r="S135" s="507" t="s">
        <v>3151</v>
      </c>
      <c r="T135" s="507">
        <v>192.0</v>
      </c>
      <c r="U135" s="507" t="s">
        <v>5089</v>
      </c>
      <c r="V135" s="507">
        <v>4.0</v>
      </c>
      <c r="W135" s="711" t="s">
        <v>5126</v>
      </c>
      <c r="X135" s="507">
        <v>4.0</v>
      </c>
      <c r="Y135" s="507">
        <v>2.0</v>
      </c>
      <c r="Z135" s="507" t="s">
        <v>166</v>
      </c>
      <c r="AA135" s="507">
        <v>1.0</v>
      </c>
      <c r="AB135" s="507">
        <v>1.0</v>
      </c>
      <c r="AC135" s="507" t="s">
        <v>166</v>
      </c>
      <c r="AD135" s="507" t="s">
        <v>166</v>
      </c>
      <c r="AE135" s="507" t="s">
        <v>166</v>
      </c>
      <c r="AF135" s="507">
        <f t="shared" si="1"/>
        <v>8</v>
      </c>
      <c r="AG135" s="507">
        <v>2.0</v>
      </c>
      <c r="AH135" s="507">
        <v>1.0</v>
      </c>
      <c r="AI135" s="507" t="s">
        <v>5025</v>
      </c>
      <c r="AJ135" s="507">
        <v>1.0</v>
      </c>
      <c r="AK135" s="48" t="s">
        <v>5038</v>
      </c>
      <c r="AL135" s="705">
        <v>2.5</v>
      </c>
      <c r="AM135" s="705" t="s">
        <v>166</v>
      </c>
      <c r="AN135" s="705" t="s">
        <v>166</v>
      </c>
      <c r="AO135" s="705" t="s">
        <v>166</v>
      </c>
      <c r="AP135" s="507" t="s">
        <v>166</v>
      </c>
      <c r="AQ135" s="507" t="s">
        <v>166</v>
      </c>
      <c r="AR135" s="705" t="s">
        <v>5039</v>
      </c>
      <c r="AS135" s="507" t="s">
        <v>166</v>
      </c>
      <c r="AT135" s="507">
        <v>3.0</v>
      </c>
      <c r="AU135" s="507">
        <v>1.0</v>
      </c>
      <c r="AV135" s="266">
        <v>2.0</v>
      </c>
      <c r="AW135" s="507">
        <v>1.0</v>
      </c>
      <c r="AX135" s="507" t="s">
        <v>166</v>
      </c>
      <c r="AY135" s="507" t="s">
        <v>166</v>
      </c>
      <c r="AZ135" s="507">
        <v>4.0</v>
      </c>
      <c r="BA135" s="507">
        <v>1.0</v>
      </c>
      <c r="BB135" s="507">
        <v>1.0</v>
      </c>
      <c r="BC135" s="507" t="s">
        <v>166</v>
      </c>
      <c r="BD135" s="507" t="s">
        <v>166</v>
      </c>
      <c r="BE135" s="705" t="s">
        <v>5100</v>
      </c>
      <c r="BF135" s="705" t="s">
        <v>4954</v>
      </c>
      <c r="BG135" s="705" t="s">
        <v>4963</v>
      </c>
      <c r="BH135" s="705">
        <v>6.0</v>
      </c>
      <c r="BI135" s="708" t="s">
        <v>5619</v>
      </c>
      <c r="BJ135" s="708"/>
      <c r="BK135" s="394"/>
      <c r="BL135" s="394"/>
      <c r="BM135" s="394"/>
      <c r="BN135" s="394"/>
      <c r="BO135" s="394"/>
      <c r="BP135" s="394"/>
    </row>
    <row r="136">
      <c r="A136" s="507" t="s">
        <v>1664</v>
      </c>
      <c r="B136" s="507" t="s">
        <v>5081</v>
      </c>
      <c r="C136" s="507" t="s">
        <v>5092</v>
      </c>
      <c r="D136" s="506" t="str">
        <f t="shared" si="18"/>
        <v>Gigabyte</v>
      </c>
      <c r="E136" s="715" t="s">
        <v>5626</v>
      </c>
      <c r="F136" s="507">
        <v>244.0</v>
      </c>
      <c r="G136" s="507">
        <v>244.0</v>
      </c>
      <c r="H136" s="507">
        <v>4.0</v>
      </c>
      <c r="I136" s="507" t="s">
        <v>166</v>
      </c>
      <c r="J136" s="507">
        <v>1.0</v>
      </c>
      <c r="K136" s="507" t="s">
        <v>166</v>
      </c>
      <c r="L136" s="507" t="s">
        <v>166</v>
      </c>
      <c r="M136" s="507">
        <v>1.0</v>
      </c>
      <c r="N136" s="507" t="s">
        <v>174</v>
      </c>
      <c r="O136" s="507" t="s">
        <v>174</v>
      </c>
      <c r="P136" s="507" t="s">
        <v>174</v>
      </c>
      <c r="Q136" s="507" t="s">
        <v>166</v>
      </c>
      <c r="R136" s="507">
        <v>4.0</v>
      </c>
      <c r="S136" s="507" t="s">
        <v>3151</v>
      </c>
      <c r="T136" s="507">
        <v>192.0</v>
      </c>
      <c r="U136" s="507" t="s">
        <v>5089</v>
      </c>
      <c r="V136" s="507">
        <v>4.0</v>
      </c>
      <c r="W136" s="711" t="s">
        <v>5126</v>
      </c>
      <c r="X136" s="507">
        <v>4.0</v>
      </c>
      <c r="Y136" s="507">
        <v>2.0</v>
      </c>
      <c r="Z136" s="507" t="s">
        <v>166</v>
      </c>
      <c r="AA136" s="507">
        <v>1.0</v>
      </c>
      <c r="AB136" s="507">
        <v>1.0</v>
      </c>
      <c r="AC136" s="507" t="s">
        <v>166</v>
      </c>
      <c r="AD136" s="507" t="s">
        <v>166</v>
      </c>
      <c r="AE136" s="507" t="s">
        <v>166</v>
      </c>
      <c r="AF136" s="507">
        <f t="shared" si="1"/>
        <v>8</v>
      </c>
      <c r="AG136" s="507">
        <v>2.0</v>
      </c>
      <c r="AH136" s="507">
        <v>1.0</v>
      </c>
      <c r="AI136" s="507" t="s">
        <v>5025</v>
      </c>
      <c r="AJ136" s="507">
        <v>1.0</v>
      </c>
      <c r="AK136" s="48" t="s">
        <v>5038</v>
      </c>
      <c r="AL136" s="705">
        <v>2.5</v>
      </c>
      <c r="AM136" s="705">
        <v>1.0</v>
      </c>
      <c r="AN136" s="705" t="s">
        <v>5044</v>
      </c>
      <c r="AO136" s="48" t="s">
        <v>5621</v>
      </c>
      <c r="AP136" s="507">
        <v>2400.0</v>
      </c>
      <c r="AQ136" s="507">
        <v>5.2</v>
      </c>
      <c r="AR136" s="705" t="s">
        <v>5039</v>
      </c>
      <c r="AS136" s="507" t="s">
        <v>166</v>
      </c>
      <c r="AT136" s="507">
        <v>3.0</v>
      </c>
      <c r="AU136" s="507">
        <v>1.0</v>
      </c>
      <c r="AV136" s="266">
        <v>2.0</v>
      </c>
      <c r="AW136" s="507">
        <v>1.0</v>
      </c>
      <c r="AX136" s="507" t="s">
        <v>166</v>
      </c>
      <c r="AY136" s="507" t="s">
        <v>166</v>
      </c>
      <c r="AZ136" s="507">
        <v>4.0</v>
      </c>
      <c r="BA136" s="507">
        <v>1.0</v>
      </c>
      <c r="BB136" s="507">
        <v>1.0</v>
      </c>
      <c r="BC136" s="507" t="s">
        <v>166</v>
      </c>
      <c r="BD136" s="507" t="s">
        <v>174</v>
      </c>
      <c r="BE136" s="705" t="s">
        <v>5100</v>
      </c>
      <c r="BF136" s="705" t="s">
        <v>4954</v>
      </c>
      <c r="BG136" s="705" t="s">
        <v>4963</v>
      </c>
      <c r="BH136" s="705">
        <v>6.0</v>
      </c>
      <c r="BI136" s="708" t="s">
        <v>5619</v>
      </c>
      <c r="BJ136" s="708"/>
      <c r="BK136" s="394"/>
      <c r="BL136" s="394"/>
      <c r="BM136" s="394"/>
      <c r="BN136" s="394"/>
      <c r="BO136" s="394"/>
      <c r="BP136" s="394"/>
    </row>
    <row r="137">
      <c r="A137" s="507" t="s">
        <v>1664</v>
      </c>
      <c r="B137" s="507" t="s">
        <v>5081</v>
      </c>
      <c r="C137" s="507" t="s">
        <v>5092</v>
      </c>
      <c r="D137" s="506" t="str">
        <f t="shared" si="18"/>
        <v>Gigabyte</v>
      </c>
      <c r="E137" s="715" t="s">
        <v>5627</v>
      </c>
      <c r="F137" s="507">
        <v>244.0</v>
      </c>
      <c r="G137" s="507">
        <v>244.0</v>
      </c>
      <c r="H137" s="507">
        <v>4.0</v>
      </c>
      <c r="I137" s="507" t="s">
        <v>166</v>
      </c>
      <c r="J137" s="507">
        <v>1.0</v>
      </c>
      <c r="K137" s="507" t="s">
        <v>166</v>
      </c>
      <c r="L137" s="507" t="s">
        <v>166</v>
      </c>
      <c r="M137" s="507">
        <v>1.0</v>
      </c>
      <c r="N137" s="507" t="s">
        <v>174</v>
      </c>
      <c r="O137" s="507" t="s">
        <v>174</v>
      </c>
      <c r="P137" s="507" t="s">
        <v>174</v>
      </c>
      <c r="Q137" s="507" t="s">
        <v>166</v>
      </c>
      <c r="R137" s="507">
        <v>4.0</v>
      </c>
      <c r="S137" s="507" t="s">
        <v>3151</v>
      </c>
      <c r="T137" s="507">
        <v>192.0</v>
      </c>
      <c r="U137" s="507" t="s">
        <v>5089</v>
      </c>
      <c r="V137" s="507">
        <v>4.0</v>
      </c>
      <c r="W137" s="711" t="s">
        <v>5126</v>
      </c>
      <c r="X137" s="507">
        <v>4.0</v>
      </c>
      <c r="Y137" s="507">
        <v>2.0</v>
      </c>
      <c r="Z137" s="507" t="s">
        <v>166</v>
      </c>
      <c r="AA137" s="507">
        <v>1.0</v>
      </c>
      <c r="AB137" s="507">
        <v>1.0</v>
      </c>
      <c r="AC137" s="507" t="s">
        <v>166</v>
      </c>
      <c r="AD137" s="507" t="s">
        <v>166</v>
      </c>
      <c r="AE137" s="507" t="s">
        <v>166</v>
      </c>
      <c r="AF137" s="507">
        <f t="shared" si="1"/>
        <v>8</v>
      </c>
      <c r="AG137" s="507">
        <v>1.0</v>
      </c>
      <c r="AH137" s="507">
        <v>1.0</v>
      </c>
      <c r="AI137" s="507" t="s">
        <v>5049</v>
      </c>
      <c r="AJ137" s="507">
        <v>1.0</v>
      </c>
      <c r="AK137" s="48" t="s">
        <v>5038</v>
      </c>
      <c r="AL137" s="705">
        <v>2.5</v>
      </c>
      <c r="AM137" s="705" t="s">
        <v>166</v>
      </c>
      <c r="AN137" s="705" t="s">
        <v>166</v>
      </c>
      <c r="AO137" s="705" t="s">
        <v>166</v>
      </c>
      <c r="AP137" s="507" t="s">
        <v>166</v>
      </c>
      <c r="AQ137" s="507" t="s">
        <v>166</v>
      </c>
      <c r="AR137" s="705" t="s">
        <v>5039</v>
      </c>
      <c r="AS137" s="507" t="s">
        <v>166</v>
      </c>
      <c r="AT137" s="507">
        <v>3.0</v>
      </c>
      <c r="AU137" s="507">
        <v>1.0</v>
      </c>
      <c r="AV137" s="266">
        <v>1.0</v>
      </c>
      <c r="AW137" s="507">
        <v>1.0</v>
      </c>
      <c r="AX137" s="507" t="s">
        <v>166</v>
      </c>
      <c r="AY137" s="507" t="s">
        <v>166</v>
      </c>
      <c r="AZ137" s="507">
        <v>3.0</v>
      </c>
      <c r="BA137" s="507">
        <v>1.0</v>
      </c>
      <c r="BB137" s="507">
        <v>1.0</v>
      </c>
      <c r="BC137" s="507" t="s">
        <v>166</v>
      </c>
      <c r="BD137" s="507" t="s">
        <v>166</v>
      </c>
      <c r="BE137" s="705" t="s">
        <v>170</v>
      </c>
      <c r="BF137" s="705" t="s">
        <v>5034</v>
      </c>
      <c r="BG137" s="705" t="s">
        <v>4955</v>
      </c>
      <c r="BH137" s="705">
        <v>8.0</v>
      </c>
      <c r="BI137" s="708" t="s">
        <v>170</v>
      </c>
      <c r="BJ137" s="708"/>
      <c r="BK137" s="394"/>
      <c r="BL137" s="394"/>
      <c r="BM137" s="394"/>
      <c r="BN137" s="394"/>
      <c r="BO137" s="394"/>
      <c r="BP137" s="394"/>
    </row>
    <row r="138">
      <c r="A138" s="507" t="s">
        <v>1664</v>
      </c>
      <c r="B138" s="507" t="s">
        <v>5081</v>
      </c>
      <c r="C138" s="507" t="s">
        <v>5092</v>
      </c>
      <c r="D138" s="452" t="str">
        <f t="shared" ref="D138:D142" si="19">HYPERLINK("https://www.msi.com/index.php","MSI")</f>
        <v>MSI</v>
      </c>
      <c r="E138" s="715" t="s">
        <v>5628</v>
      </c>
      <c r="F138" s="507">
        <v>244.0</v>
      </c>
      <c r="G138" s="507">
        <v>244.0</v>
      </c>
      <c r="H138" s="507">
        <v>4.0</v>
      </c>
      <c r="I138" s="507" t="s">
        <v>166</v>
      </c>
      <c r="J138" s="507">
        <v>1.0</v>
      </c>
      <c r="K138" s="507" t="s">
        <v>166</v>
      </c>
      <c r="L138" s="507" t="s">
        <v>166</v>
      </c>
      <c r="M138" s="507">
        <v>2.0</v>
      </c>
      <c r="N138" s="507" t="s">
        <v>174</v>
      </c>
      <c r="O138" s="507" t="s">
        <v>174</v>
      </c>
      <c r="P138" s="507" t="s">
        <v>174</v>
      </c>
      <c r="Q138" s="507" t="s">
        <v>166</v>
      </c>
      <c r="R138" s="507">
        <v>4.0</v>
      </c>
      <c r="S138" s="507" t="s">
        <v>3151</v>
      </c>
      <c r="T138" s="507">
        <v>192.0</v>
      </c>
      <c r="U138" s="507" t="s">
        <v>5368</v>
      </c>
      <c r="V138" s="507">
        <v>6.0</v>
      </c>
      <c r="W138" s="711" t="s">
        <v>5126</v>
      </c>
      <c r="X138" s="507" t="s">
        <v>166</v>
      </c>
      <c r="Y138" s="507">
        <v>4.0</v>
      </c>
      <c r="Z138" s="507" t="s">
        <v>166</v>
      </c>
      <c r="AA138" s="507">
        <v>3.0</v>
      </c>
      <c r="AB138" s="507" t="s">
        <v>166</v>
      </c>
      <c r="AC138" s="507">
        <v>1.0</v>
      </c>
      <c r="AD138" s="507" t="s">
        <v>166</v>
      </c>
      <c r="AE138" s="507" t="s">
        <v>166</v>
      </c>
      <c r="AF138" s="507">
        <f t="shared" si="1"/>
        <v>8</v>
      </c>
      <c r="AG138" s="507">
        <v>2.0</v>
      </c>
      <c r="AH138" s="507">
        <v>1.0</v>
      </c>
      <c r="AI138" s="507" t="s">
        <v>5025</v>
      </c>
      <c r="AJ138" s="507">
        <v>1.0</v>
      </c>
      <c r="AK138" s="48" t="s">
        <v>5038</v>
      </c>
      <c r="AL138" s="705">
        <v>2.5</v>
      </c>
      <c r="AM138" s="705" t="s">
        <v>166</v>
      </c>
      <c r="AN138" s="705" t="s">
        <v>166</v>
      </c>
      <c r="AO138" s="705" t="s">
        <v>166</v>
      </c>
      <c r="AP138" s="507" t="s">
        <v>166</v>
      </c>
      <c r="AQ138" s="507" t="s">
        <v>166</v>
      </c>
      <c r="AR138" s="705" t="s">
        <v>5099</v>
      </c>
      <c r="AS138" s="507" t="s">
        <v>174</v>
      </c>
      <c r="AT138" s="507">
        <v>5.0</v>
      </c>
      <c r="AU138" s="507" t="s">
        <v>166</v>
      </c>
      <c r="AV138" s="266">
        <v>1.0</v>
      </c>
      <c r="AW138" s="507">
        <v>1.0</v>
      </c>
      <c r="AX138" s="507" t="s">
        <v>166</v>
      </c>
      <c r="AY138" s="507" t="s">
        <v>166</v>
      </c>
      <c r="AZ138" s="507">
        <v>5.0</v>
      </c>
      <c r="BA138" s="507">
        <v>2.0</v>
      </c>
      <c r="BB138" s="507">
        <v>2.0</v>
      </c>
      <c r="BC138" s="507" t="s">
        <v>174</v>
      </c>
      <c r="BD138" s="507" t="s">
        <v>174</v>
      </c>
      <c r="BE138" s="705" t="s">
        <v>5106</v>
      </c>
      <c r="BF138" s="705" t="s">
        <v>5593</v>
      </c>
      <c r="BG138" s="705" t="s">
        <v>4955</v>
      </c>
      <c r="BH138" s="705">
        <v>12.0</v>
      </c>
      <c r="BI138" s="708" t="s">
        <v>5107</v>
      </c>
      <c r="BJ138" s="708"/>
      <c r="BK138" s="394"/>
      <c r="BL138" s="394"/>
      <c r="BM138" s="394"/>
      <c r="BN138" s="394"/>
      <c r="BO138" s="394"/>
      <c r="BP138" s="394"/>
    </row>
    <row r="139">
      <c r="A139" s="507" t="s">
        <v>1664</v>
      </c>
      <c r="B139" s="507" t="s">
        <v>5081</v>
      </c>
      <c r="C139" s="507" t="s">
        <v>5092</v>
      </c>
      <c r="D139" s="452" t="str">
        <f t="shared" si="19"/>
        <v>MSI</v>
      </c>
      <c r="E139" s="715" t="s">
        <v>5629</v>
      </c>
      <c r="F139" s="507">
        <v>244.0</v>
      </c>
      <c r="G139" s="507">
        <v>244.0</v>
      </c>
      <c r="H139" s="507">
        <v>4.0</v>
      </c>
      <c r="I139" s="507" t="s">
        <v>166</v>
      </c>
      <c r="J139" s="507">
        <v>1.0</v>
      </c>
      <c r="K139" s="507" t="s">
        <v>166</v>
      </c>
      <c r="L139" s="507" t="s">
        <v>166</v>
      </c>
      <c r="M139" s="507">
        <v>2.0</v>
      </c>
      <c r="N139" s="507" t="s">
        <v>174</v>
      </c>
      <c r="O139" s="507" t="s">
        <v>174</v>
      </c>
      <c r="P139" s="507" t="s">
        <v>174</v>
      </c>
      <c r="Q139" s="507" t="s">
        <v>166</v>
      </c>
      <c r="R139" s="507">
        <v>4.0</v>
      </c>
      <c r="S139" s="507" t="s">
        <v>3151</v>
      </c>
      <c r="T139" s="507">
        <v>192.0</v>
      </c>
      <c r="U139" s="507" t="s">
        <v>5368</v>
      </c>
      <c r="V139" s="507">
        <v>6.0</v>
      </c>
      <c r="W139" s="711" t="s">
        <v>5126</v>
      </c>
      <c r="X139" s="507" t="s">
        <v>166</v>
      </c>
      <c r="Y139" s="507">
        <v>4.0</v>
      </c>
      <c r="Z139" s="507" t="s">
        <v>166</v>
      </c>
      <c r="AA139" s="507">
        <v>3.0</v>
      </c>
      <c r="AB139" s="507" t="s">
        <v>166</v>
      </c>
      <c r="AC139" s="507">
        <v>1.0</v>
      </c>
      <c r="AD139" s="507" t="s">
        <v>166</v>
      </c>
      <c r="AE139" s="507" t="s">
        <v>166</v>
      </c>
      <c r="AF139" s="507">
        <f t="shared" si="1"/>
        <v>8</v>
      </c>
      <c r="AG139" s="507">
        <v>2.0</v>
      </c>
      <c r="AH139" s="507">
        <v>1.0</v>
      </c>
      <c r="AI139" s="507" t="s">
        <v>5025</v>
      </c>
      <c r="AJ139" s="507">
        <v>1.0</v>
      </c>
      <c r="AK139" s="48" t="s">
        <v>5038</v>
      </c>
      <c r="AL139" s="705">
        <v>2.5</v>
      </c>
      <c r="AM139" s="705">
        <v>1.0</v>
      </c>
      <c r="AN139" s="705" t="s">
        <v>5044</v>
      </c>
      <c r="AO139" s="705" t="s">
        <v>5098</v>
      </c>
      <c r="AP139" s="507">
        <v>2400.0</v>
      </c>
      <c r="AQ139" s="507">
        <v>5.2</v>
      </c>
      <c r="AR139" s="705" t="s">
        <v>5099</v>
      </c>
      <c r="AS139" s="507" t="s">
        <v>174</v>
      </c>
      <c r="AT139" s="507">
        <v>5.0</v>
      </c>
      <c r="AU139" s="507" t="s">
        <v>166</v>
      </c>
      <c r="AV139" s="266">
        <v>1.0</v>
      </c>
      <c r="AW139" s="507">
        <v>1.0</v>
      </c>
      <c r="AX139" s="507" t="s">
        <v>166</v>
      </c>
      <c r="AY139" s="507" t="s">
        <v>166</v>
      </c>
      <c r="AZ139" s="507">
        <v>5.0</v>
      </c>
      <c r="BA139" s="507">
        <v>2.0</v>
      </c>
      <c r="BB139" s="507">
        <v>2.0</v>
      </c>
      <c r="BC139" s="507" t="s">
        <v>174</v>
      </c>
      <c r="BD139" s="507" t="s">
        <v>174</v>
      </c>
      <c r="BE139" s="705" t="s">
        <v>5106</v>
      </c>
      <c r="BF139" s="705" t="s">
        <v>5593</v>
      </c>
      <c r="BG139" s="705" t="s">
        <v>4955</v>
      </c>
      <c r="BH139" s="705">
        <v>12.0</v>
      </c>
      <c r="BI139" s="708" t="s">
        <v>5107</v>
      </c>
      <c r="BJ139" s="708"/>
      <c r="BK139" s="394"/>
      <c r="BL139" s="394"/>
      <c r="BM139" s="394"/>
      <c r="BN139" s="394"/>
      <c r="BO139" s="394"/>
      <c r="BP139" s="394"/>
    </row>
    <row r="140">
      <c r="A140" s="507" t="s">
        <v>1664</v>
      </c>
      <c r="B140" s="507" t="s">
        <v>5081</v>
      </c>
      <c r="C140" s="507" t="s">
        <v>5092</v>
      </c>
      <c r="D140" s="452" t="str">
        <f t="shared" si="19"/>
        <v>MSI</v>
      </c>
      <c r="E140" s="715" t="s">
        <v>5630</v>
      </c>
      <c r="F140" s="507">
        <v>244.0</v>
      </c>
      <c r="G140" s="507">
        <v>244.0</v>
      </c>
      <c r="H140" s="507">
        <v>4.0</v>
      </c>
      <c r="I140" s="507" t="s">
        <v>166</v>
      </c>
      <c r="J140" s="507">
        <v>1.0</v>
      </c>
      <c r="K140" s="507" t="s">
        <v>166</v>
      </c>
      <c r="L140" s="507" t="s">
        <v>166</v>
      </c>
      <c r="M140" s="507">
        <v>2.0</v>
      </c>
      <c r="N140" s="507" t="s">
        <v>174</v>
      </c>
      <c r="O140" s="507" t="s">
        <v>174</v>
      </c>
      <c r="P140" s="507" t="s">
        <v>174</v>
      </c>
      <c r="Q140" s="507" t="s">
        <v>166</v>
      </c>
      <c r="R140" s="507">
        <v>4.0</v>
      </c>
      <c r="S140" s="507" t="s">
        <v>3151</v>
      </c>
      <c r="T140" s="507">
        <v>192.0</v>
      </c>
      <c r="U140" s="507" t="s">
        <v>5368</v>
      </c>
      <c r="V140" s="507">
        <v>4.0</v>
      </c>
      <c r="W140" s="711" t="s">
        <v>5126</v>
      </c>
      <c r="X140" s="507" t="s">
        <v>166</v>
      </c>
      <c r="Y140" s="507">
        <v>4.0</v>
      </c>
      <c r="Z140" s="507" t="s">
        <v>166</v>
      </c>
      <c r="AA140" s="507">
        <v>4.0</v>
      </c>
      <c r="AB140" s="507" t="s">
        <v>166</v>
      </c>
      <c r="AC140" s="507" t="s">
        <v>166</v>
      </c>
      <c r="AD140" s="507" t="s">
        <v>166</v>
      </c>
      <c r="AE140" s="507" t="s">
        <v>166</v>
      </c>
      <c r="AF140" s="507">
        <f t="shared" si="1"/>
        <v>8</v>
      </c>
      <c r="AG140" s="507">
        <v>2.0</v>
      </c>
      <c r="AH140" s="507">
        <v>1.0</v>
      </c>
      <c r="AI140" s="507" t="s">
        <v>5025</v>
      </c>
      <c r="AJ140" s="507">
        <v>1.0</v>
      </c>
      <c r="AK140" s="48" t="s">
        <v>5043</v>
      </c>
      <c r="AL140" s="705">
        <v>2.5</v>
      </c>
      <c r="AM140" s="705" t="s">
        <v>166</v>
      </c>
      <c r="AN140" s="705" t="s">
        <v>166</v>
      </c>
      <c r="AO140" s="705" t="s">
        <v>166</v>
      </c>
      <c r="AP140" s="507" t="s">
        <v>166</v>
      </c>
      <c r="AQ140" s="507" t="s">
        <v>166</v>
      </c>
      <c r="AR140" s="705" t="s">
        <v>5039</v>
      </c>
      <c r="AS140" s="507" t="s">
        <v>166</v>
      </c>
      <c r="AT140" s="507">
        <v>3.0</v>
      </c>
      <c r="AU140" s="507" t="s">
        <v>166</v>
      </c>
      <c r="AV140" s="266">
        <v>1.0</v>
      </c>
      <c r="AW140" s="507">
        <v>1.0</v>
      </c>
      <c r="AX140" s="507" t="s">
        <v>166</v>
      </c>
      <c r="AY140" s="507" t="s">
        <v>166</v>
      </c>
      <c r="AZ140" s="507">
        <v>5.0</v>
      </c>
      <c r="BA140" s="507">
        <v>2.0</v>
      </c>
      <c r="BB140" s="507">
        <v>2.0</v>
      </c>
      <c r="BC140" s="507" t="s">
        <v>174</v>
      </c>
      <c r="BD140" s="507" t="s">
        <v>166</v>
      </c>
      <c r="BE140" s="705" t="s">
        <v>5106</v>
      </c>
      <c r="BF140" s="705" t="s">
        <v>5034</v>
      </c>
      <c r="BG140" s="705" t="s">
        <v>4963</v>
      </c>
      <c r="BH140" s="705">
        <v>8.0</v>
      </c>
      <c r="BI140" s="708" t="s">
        <v>5631</v>
      </c>
      <c r="BJ140" s="708"/>
      <c r="BK140" s="394"/>
      <c r="BL140" s="394"/>
      <c r="BM140" s="394"/>
      <c r="BN140" s="394"/>
      <c r="BO140" s="394"/>
      <c r="BP140" s="394"/>
    </row>
    <row r="141">
      <c r="A141" s="507" t="s">
        <v>1664</v>
      </c>
      <c r="B141" s="507" t="s">
        <v>5081</v>
      </c>
      <c r="C141" s="507" t="s">
        <v>5092</v>
      </c>
      <c r="D141" s="452" t="str">
        <f t="shared" si="19"/>
        <v>MSI</v>
      </c>
      <c r="E141" s="715" t="s">
        <v>5632</v>
      </c>
      <c r="F141" s="507">
        <v>244.0</v>
      </c>
      <c r="G141" s="507">
        <v>244.0</v>
      </c>
      <c r="H141" s="507">
        <v>4.0</v>
      </c>
      <c r="I141" s="507" t="s">
        <v>166</v>
      </c>
      <c r="J141" s="507">
        <v>1.0</v>
      </c>
      <c r="K141" s="507" t="s">
        <v>166</v>
      </c>
      <c r="L141" s="507" t="s">
        <v>166</v>
      </c>
      <c r="M141" s="507">
        <v>2.0</v>
      </c>
      <c r="N141" s="507" t="s">
        <v>174</v>
      </c>
      <c r="O141" s="507" t="s">
        <v>174</v>
      </c>
      <c r="P141" s="507" t="s">
        <v>174</v>
      </c>
      <c r="Q141" s="507" t="s">
        <v>166</v>
      </c>
      <c r="R141" s="507">
        <v>4.0</v>
      </c>
      <c r="S141" s="507" t="s">
        <v>3151</v>
      </c>
      <c r="T141" s="507">
        <v>192.0</v>
      </c>
      <c r="U141" s="507" t="s">
        <v>5368</v>
      </c>
      <c r="V141" s="507">
        <v>4.0</v>
      </c>
      <c r="W141" s="711" t="s">
        <v>5126</v>
      </c>
      <c r="X141" s="507" t="s">
        <v>166</v>
      </c>
      <c r="Y141" s="507">
        <v>4.0</v>
      </c>
      <c r="Z141" s="507" t="s">
        <v>166</v>
      </c>
      <c r="AA141" s="507">
        <v>4.0</v>
      </c>
      <c r="AB141" s="507" t="s">
        <v>166</v>
      </c>
      <c r="AC141" s="507" t="s">
        <v>166</v>
      </c>
      <c r="AD141" s="507" t="s">
        <v>166</v>
      </c>
      <c r="AE141" s="507" t="s">
        <v>166</v>
      </c>
      <c r="AF141" s="507">
        <f t="shared" si="1"/>
        <v>8</v>
      </c>
      <c r="AG141" s="507">
        <v>2.0</v>
      </c>
      <c r="AH141" s="507">
        <v>1.0</v>
      </c>
      <c r="AI141" s="507" t="s">
        <v>5025</v>
      </c>
      <c r="AJ141" s="507">
        <v>1.0</v>
      </c>
      <c r="AK141" s="48" t="s">
        <v>5043</v>
      </c>
      <c r="AL141" s="705">
        <v>2.5</v>
      </c>
      <c r="AM141" s="705">
        <v>1.0</v>
      </c>
      <c r="AN141" s="705" t="s">
        <v>5044</v>
      </c>
      <c r="AO141" s="705" t="s">
        <v>5098</v>
      </c>
      <c r="AP141" s="507">
        <v>2400.0</v>
      </c>
      <c r="AQ141" s="507">
        <v>5.2</v>
      </c>
      <c r="AR141" s="705" t="s">
        <v>5039</v>
      </c>
      <c r="AS141" s="507" t="s">
        <v>166</v>
      </c>
      <c r="AT141" s="507">
        <v>3.0</v>
      </c>
      <c r="AU141" s="507" t="s">
        <v>166</v>
      </c>
      <c r="AV141" s="266">
        <v>1.0</v>
      </c>
      <c r="AW141" s="507">
        <v>1.0</v>
      </c>
      <c r="AX141" s="507" t="s">
        <v>166</v>
      </c>
      <c r="AY141" s="507" t="s">
        <v>166</v>
      </c>
      <c r="AZ141" s="507">
        <v>5.0</v>
      </c>
      <c r="BA141" s="507">
        <v>2.0</v>
      </c>
      <c r="BB141" s="507">
        <v>2.0</v>
      </c>
      <c r="BC141" s="507" t="s">
        <v>174</v>
      </c>
      <c r="BD141" s="507" t="s">
        <v>166</v>
      </c>
      <c r="BE141" s="705" t="s">
        <v>5106</v>
      </c>
      <c r="BF141" s="705" t="s">
        <v>5034</v>
      </c>
      <c r="BG141" s="705" t="s">
        <v>4963</v>
      </c>
      <c r="BH141" s="705">
        <v>8.0</v>
      </c>
      <c r="BI141" s="708" t="s">
        <v>5631</v>
      </c>
      <c r="BJ141" s="708"/>
      <c r="BK141" s="394"/>
      <c r="BL141" s="394"/>
      <c r="BM141" s="394"/>
      <c r="BN141" s="394"/>
      <c r="BO141" s="394"/>
      <c r="BP141" s="394"/>
    </row>
    <row r="142">
      <c r="A142" s="519" t="s">
        <v>1664</v>
      </c>
      <c r="B142" s="519" t="s">
        <v>5081</v>
      </c>
      <c r="C142" s="519" t="s">
        <v>5092</v>
      </c>
      <c r="D142" s="500" t="str">
        <f t="shared" si="19"/>
        <v>MSI</v>
      </c>
      <c r="E142" s="716" t="s">
        <v>5633</v>
      </c>
      <c r="F142" s="519">
        <v>244.0</v>
      </c>
      <c r="G142" s="519">
        <v>244.0</v>
      </c>
      <c r="H142" s="519">
        <v>4.0</v>
      </c>
      <c r="I142" s="519" t="s">
        <v>166</v>
      </c>
      <c r="J142" s="519">
        <v>2.0</v>
      </c>
      <c r="K142" s="519" t="s">
        <v>166</v>
      </c>
      <c r="L142" s="519" t="s">
        <v>166</v>
      </c>
      <c r="M142" s="519">
        <v>1.0</v>
      </c>
      <c r="N142" s="519" t="s">
        <v>174</v>
      </c>
      <c r="O142" s="519" t="s">
        <v>174</v>
      </c>
      <c r="P142" s="519" t="s">
        <v>174</v>
      </c>
      <c r="Q142" s="519" t="s">
        <v>166</v>
      </c>
      <c r="R142" s="519">
        <v>4.0</v>
      </c>
      <c r="S142" s="519" t="s">
        <v>3151</v>
      </c>
      <c r="T142" s="519">
        <v>192.0</v>
      </c>
      <c r="U142" s="519" t="s">
        <v>5368</v>
      </c>
      <c r="V142" s="519">
        <v>4.0</v>
      </c>
      <c r="W142" s="719" t="s">
        <v>5126</v>
      </c>
      <c r="X142" s="519">
        <v>4.0</v>
      </c>
      <c r="Y142" s="519">
        <v>2.0</v>
      </c>
      <c r="Z142" s="519" t="s">
        <v>166</v>
      </c>
      <c r="AA142" s="519">
        <v>2.0</v>
      </c>
      <c r="AB142" s="519" t="s">
        <v>166</v>
      </c>
      <c r="AC142" s="519" t="s">
        <v>166</v>
      </c>
      <c r="AD142" s="519" t="s">
        <v>166</v>
      </c>
      <c r="AE142" s="519" t="s">
        <v>166</v>
      </c>
      <c r="AF142" s="519">
        <f t="shared" si="1"/>
        <v>8</v>
      </c>
      <c r="AG142" s="519">
        <v>2.0</v>
      </c>
      <c r="AH142" s="519">
        <v>1.0</v>
      </c>
      <c r="AI142" s="519" t="s">
        <v>5025</v>
      </c>
      <c r="AJ142" s="519">
        <v>1.0</v>
      </c>
      <c r="AK142" s="700" t="s">
        <v>5043</v>
      </c>
      <c r="AL142" s="712">
        <v>2.5</v>
      </c>
      <c r="AM142" s="712" t="s">
        <v>166</v>
      </c>
      <c r="AN142" s="712" t="s">
        <v>166</v>
      </c>
      <c r="AO142" s="712" t="s">
        <v>166</v>
      </c>
      <c r="AP142" s="519" t="s">
        <v>166</v>
      </c>
      <c r="AQ142" s="519" t="s">
        <v>166</v>
      </c>
      <c r="AR142" s="712" t="s">
        <v>5039</v>
      </c>
      <c r="AS142" s="519" t="s">
        <v>166</v>
      </c>
      <c r="AT142" s="519">
        <v>3.0</v>
      </c>
      <c r="AU142" s="519">
        <v>1.0</v>
      </c>
      <c r="AV142" s="501">
        <v>1.0</v>
      </c>
      <c r="AW142" s="519">
        <v>1.0</v>
      </c>
      <c r="AX142" s="519" t="s">
        <v>166</v>
      </c>
      <c r="AY142" s="519">
        <v>1.0</v>
      </c>
      <c r="AZ142" s="519">
        <v>5.0</v>
      </c>
      <c r="BA142" s="519">
        <v>2.0</v>
      </c>
      <c r="BB142" s="519">
        <v>2.0</v>
      </c>
      <c r="BC142" s="519" t="s">
        <v>174</v>
      </c>
      <c r="BD142" s="519" t="s">
        <v>166</v>
      </c>
      <c r="BE142" s="712" t="s">
        <v>170</v>
      </c>
      <c r="BF142" s="712" t="s">
        <v>170</v>
      </c>
      <c r="BG142" s="712" t="s">
        <v>170</v>
      </c>
      <c r="BH142" s="712" t="s">
        <v>170</v>
      </c>
      <c r="BI142" s="717" t="s">
        <v>170</v>
      </c>
      <c r="BJ142" s="717"/>
      <c r="BK142" s="394"/>
      <c r="BL142" s="394"/>
      <c r="BM142" s="394"/>
      <c r="BN142" s="394"/>
      <c r="BO142" s="394"/>
      <c r="BP142" s="394"/>
    </row>
    <row r="143">
      <c r="A143" s="743" t="s">
        <v>1664</v>
      </c>
      <c r="B143" s="744" t="s">
        <v>5081</v>
      </c>
      <c r="C143" s="745" t="s">
        <v>5109</v>
      </c>
      <c r="D143" s="506" t="s">
        <v>5067</v>
      </c>
      <c r="E143" s="715" t="s">
        <v>5634</v>
      </c>
      <c r="F143" s="507">
        <v>244.0</v>
      </c>
      <c r="G143" s="507">
        <v>244.0</v>
      </c>
      <c r="H143" s="507">
        <v>5.0</v>
      </c>
      <c r="I143" s="507" t="s">
        <v>166</v>
      </c>
      <c r="J143" s="507">
        <v>1.0</v>
      </c>
      <c r="K143" s="507">
        <v>1.0</v>
      </c>
      <c r="L143" s="507" t="s">
        <v>166</v>
      </c>
      <c r="M143" s="507">
        <v>1.0</v>
      </c>
      <c r="N143" s="507" t="s">
        <v>174</v>
      </c>
      <c r="O143" s="507" t="s">
        <v>174</v>
      </c>
      <c r="P143" s="507" t="s">
        <v>166</v>
      </c>
      <c r="Q143" s="507" t="s">
        <v>166</v>
      </c>
      <c r="R143" s="507">
        <v>4.0</v>
      </c>
      <c r="S143" s="507" t="s">
        <v>3151</v>
      </c>
      <c r="T143" s="507">
        <v>128.0</v>
      </c>
      <c r="U143" s="507">
        <v>5200.0</v>
      </c>
      <c r="V143" s="507">
        <v>4.0</v>
      </c>
      <c r="W143" s="711" t="s">
        <v>5062</v>
      </c>
      <c r="X143" s="507" t="s">
        <v>166</v>
      </c>
      <c r="Y143" s="507">
        <v>4.0</v>
      </c>
      <c r="Z143" s="507" t="s">
        <v>166</v>
      </c>
      <c r="AA143" s="507" t="s">
        <v>166</v>
      </c>
      <c r="AB143" s="507" t="s">
        <v>166</v>
      </c>
      <c r="AC143" s="507" t="s">
        <v>166</v>
      </c>
      <c r="AD143" s="507" t="s">
        <v>166</v>
      </c>
      <c r="AE143" s="507" t="s">
        <v>166</v>
      </c>
      <c r="AF143" s="507">
        <f t="shared" si="1"/>
        <v>4</v>
      </c>
      <c r="AG143" s="507" t="s">
        <v>166</v>
      </c>
      <c r="AH143" s="507" t="s">
        <v>166</v>
      </c>
      <c r="AI143" s="507" t="s">
        <v>166</v>
      </c>
      <c r="AJ143" s="507">
        <v>5.0</v>
      </c>
      <c r="AK143" s="705" t="s">
        <v>5635</v>
      </c>
      <c r="AL143" s="705" t="s">
        <v>5636</v>
      </c>
      <c r="AM143" s="705" t="s">
        <v>166</v>
      </c>
      <c r="AN143" s="705" t="s">
        <v>166</v>
      </c>
      <c r="AO143" s="705" t="s">
        <v>166</v>
      </c>
      <c r="AP143" s="507" t="s">
        <v>166</v>
      </c>
      <c r="AQ143" s="507" t="s">
        <v>166</v>
      </c>
      <c r="AR143" s="705" t="s">
        <v>166</v>
      </c>
      <c r="AS143" s="507" t="s">
        <v>166</v>
      </c>
      <c r="AT143" s="507" t="s">
        <v>166</v>
      </c>
      <c r="AU143" s="507" t="s">
        <v>166</v>
      </c>
      <c r="AV143" s="507">
        <v>1.0</v>
      </c>
      <c r="AW143" s="507">
        <v>1.0</v>
      </c>
      <c r="AX143" s="507" t="s">
        <v>166</v>
      </c>
      <c r="AY143" s="507">
        <v>1.0</v>
      </c>
      <c r="AZ143" s="507">
        <v>7.0</v>
      </c>
      <c r="BA143" s="507" t="s">
        <v>166</v>
      </c>
      <c r="BB143" s="507" t="s">
        <v>166</v>
      </c>
      <c r="BC143" s="507" t="s">
        <v>166</v>
      </c>
      <c r="BD143" s="507" t="s">
        <v>166</v>
      </c>
      <c r="BE143" s="705" t="s">
        <v>170</v>
      </c>
      <c r="BF143" s="705" t="s">
        <v>170</v>
      </c>
      <c r="BG143" s="705" t="s">
        <v>170</v>
      </c>
      <c r="BH143" s="705" t="s">
        <v>170</v>
      </c>
      <c r="BI143" s="708" t="s">
        <v>170</v>
      </c>
      <c r="BJ143" s="708" t="s">
        <v>5514</v>
      </c>
      <c r="BK143" s="394"/>
      <c r="BL143" s="394"/>
      <c r="BM143" s="394"/>
      <c r="BN143" s="394"/>
      <c r="BO143" s="394"/>
      <c r="BP143" s="394"/>
    </row>
    <row r="144">
      <c r="A144" s="738" t="s">
        <v>1664</v>
      </c>
      <c r="B144" s="739" t="s">
        <v>5081</v>
      </c>
      <c r="C144" s="746" t="s">
        <v>5109</v>
      </c>
      <c r="D144" s="506" t="s">
        <v>5067</v>
      </c>
      <c r="E144" s="715" t="s">
        <v>5637</v>
      </c>
      <c r="F144" s="507">
        <v>244.0</v>
      </c>
      <c r="G144" s="507">
        <v>244.0</v>
      </c>
      <c r="H144" s="507">
        <v>5.0</v>
      </c>
      <c r="I144" s="507" t="s">
        <v>166</v>
      </c>
      <c r="J144" s="507">
        <v>1.0</v>
      </c>
      <c r="K144" s="507">
        <v>1.0</v>
      </c>
      <c r="L144" s="507" t="s">
        <v>166</v>
      </c>
      <c r="M144" s="507">
        <v>1.0</v>
      </c>
      <c r="N144" s="507" t="s">
        <v>174</v>
      </c>
      <c r="O144" s="507" t="s">
        <v>174</v>
      </c>
      <c r="P144" s="507" t="s">
        <v>166</v>
      </c>
      <c r="Q144" s="507" t="s">
        <v>166</v>
      </c>
      <c r="R144" s="507">
        <v>4.0</v>
      </c>
      <c r="S144" s="507" t="s">
        <v>3151</v>
      </c>
      <c r="T144" s="507">
        <v>128.0</v>
      </c>
      <c r="U144" s="507">
        <v>5200.0</v>
      </c>
      <c r="V144" s="507">
        <v>4.0</v>
      </c>
      <c r="W144" s="711" t="s">
        <v>5062</v>
      </c>
      <c r="X144" s="507" t="s">
        <v>166</v>
      </c>
      <c r="Y144" s="507">
        <v>4.0</v>
      </c>
      <c r="Z144" s="507" t="s">
        <v>166</v>
      </c>
      <c r="AA144" s="507" t="s">
        <v>166</v>
      </c>
      <c r="AB144" s="507" t="s">
        <v>166</v>
      </c>
      <c r="AC144" s="507" t="s">
        <v>166</v>
      </c>
      <c r="AD144" s="507" t="s">
        <v>166</v>
      </c>
      <c r="AE144" s="507" t="s">
        <v>166</v>
      </c>
      <c r="AF144" s="507">
        <f t="shared" si="1"/>
        <v>4</v>
      </c>
      <c r="AG144" s="507" t="s">
        <v>166</v>
      </c>
      <c r="AH144" s="507" t="s">
        <v>166</v>
      </c>
      <c r="AI144" s="507" t="s">
        <v>166</v>
      </c>
      <c r="AJ144" s="507">
        <v>3.0</v>
      </c>
      <c r="AK144" s="48" t="s">
        <v>5570</v>
      </c>
      <c r="AL144" s="705" t="s">
        <v>5638</v>
      </c>
      <c r="AM144" s="705" t="s">
        <v>166</v>
      </c>
      <c r="AN144" s="705" t="s">
        <v>166</v>
      </c>
      <c r="AO144" s="705" t="s">
        <v>166</v>
      </c>
      <c r="AP144" s="507" t="s">
        <v>166</v>
      </c>
      <c r="AQ144" s="507" t="s">
        <v>166</v>
      </c>
      <c r="AR144" s="705" t="s">
        <v>166</v>
      </c>
      <c r="AS144" s="507" t="s">
        <v>166</v>
      </c>
      <c r="AT144" s="507" t="s">
        <v>166</v>
      </c>
      <c r="AU144" s="507" t="s">
        <v>166</v>
      </c>
      <c r="AV144" s="266">
        <v>1.0</v>
      </c>
      <c r="AW144" s="507">
        <v>1.0</v>
      </c>
      <c r="AX144" s="507" t="s">
        <v>166</v>
      </c>
      <c r="AY144" s="507">
        <v>1.0</v>
      </c>
      <c r="AZ144" s="507">
        <v>7.0</v>
      </c>
      <c r="BA144" s="507" t="s">
        <v>166</v>
      </c>
      <c r="BB144" s="507" t="s">
        <v>166</v>
      </c>
      <c r="BC144" s="507" t="s">
        <v>166</v>
      </c>
      <c r="BD144" s="507" t="s">
        <v>166</v>
      </c>
      <c r="BE144" s="705" t="s">
        <v>170</v>
      </c>
      <c r="BF144" s="705" t="s">
        <v>170</v>
      </c>
      <c r="BG144" s="705" t="s">
        <v>170</v>
      </c>
      <c r="BH144" s="705" t="s">
        <v>170</v>
      </c>
      <c r="BI144" s="708" t="s">
        <v>170</v>
      </c>
      <c r="BJ144" s="708" t="s">
        <v>5514</v>
      </c>
      <c r="BK144" s="394"/>
      <c r="BL144" s="394"/>
      <c r="BM144" s="394"/>
      <c r="BN144" s="394"/>
      <c r="BO144" s="394"/>
      <c r="BP144" s="394"/>
    </row>
    <row r="145">
      <c r="A145" s="519" t="s">
        <v>1664</v>
      </c>
      <c r="B145" s="712" t="s">
        <v>5081</v>
      </c>
      <c r="C145" s="519" t="s">
        <v>5109</v>
      </c>
      <c r="D145" s="391" t="str">
        <f>HYPERLINK("https://www.biostar.com.tw/app/en/","Biostar")</f>
        <v>Biostar</v>
      </c>
      <c r="E145" s="716" t="s">
        <v>5639</v>
      </c>
      <c r="F145" s="519">
        <v>244.0</v>
      </c>
      <c r="G145" s="519">
        <v>244.0</v>
      </c>
      <c r="H145" s="519">
        <v>5.0</v>
      </c>
      <c r="I145" s="519" t="s">
        <v>166</v>
      </c>
      <c r="J145" s="519">
        <v>1.0</v>
      </c>
      <c r="K145" s="519" t="s">
        <v>166</v>
      </c>
      <c r="L145" s="519" t="s">
        <v>166</v>
      </c>
      <c r="M145" s="519">
        <v>2.0</v>
      </c>
      <c r="N145" s="519" t="s">
        <v>174</v>
      </c>
      <c r="O145" s="519" t="s">
        <v>174</v>
      </c>
      <c r="P145" s="519" t="s">
        <v>174</v>
      </c>
      <c r="Q145" s="519" t="s">
        <v>166</v>
      </c>
      <c r="R145" s="519">
        <v>4.0</v>
      </c>
      <c r="S145" s="519" t="s">
        <v>3151</v>
      </c>
      <c r="T145" s="519">
        <v>128.0</v>
      </c>
      <c r="U145" s="519" t="s">
        <v>5368</v>
      </c>
      <c r="V145" s="519">
        <v>4.0</v>
      </c>
      <c r="W145" s="719" t="s">
        <v>5576</v>
      </c>
      <c r="X145" s="519">
        <v>2.0</v>
      </c>
      <c r="Y145" s="519">
        <v>2.0</v>
      </c>
      <c r="Z145" s="519" t="s">
        <v>166</v>
      </c>
      <c r="AA145" s="519">
        <v>3.0</v>
      </c>
      <c r="AB145" s="519" t="s">
        <v>166</v>
      </c>
      <c r="AC145" s="519">
        <v>1.0</v>
      </c>
      <c r="AD145" s="519" t="s">
        <v>166</v>
      </c>
      <c r="AE145" s="519" t="s">
        <v>166</v>
      </c>
      <c r="AF145" s="519">
        <f t="shared" si="1"/>
        <v>8</v>
      </c>
      <c r="AG145" s="519">
        <v>2.0</v>
      </c>
      <c r="AH145" s="519">
        <v>1.0</v>
      </c>
      <c r="AI145" s="519" t="s">
        <v>166</v>
      </c>
      <c r="AJ145" s="519">
        <v>1.0</v>
      </c>
      <c r="AK145" s="712" t="s">
        <v>5038</v>
      </c>
      <c r="AL145" s="712">
        <v>2.5</v>
      </c>
      <c r="AM145" s="712">
        <v>1.0</v>
      </c>
      <c r="AN145" s="712" t="s">
        <v>166</v>
      </c>
      <c r="AO145" s="519" t="s">
        <v>232</v>
      </c>
      <c r="AP145" s="519" t="s">
        <v>166</v>
      </c>
      <c r="AQ145" s="519" t="s">
        <v>166</v>
      </c>
      <c r="AR145" s="712" t="s">
        <v>4952</v>
      </c>
      <c r="AS145" s="519" t="s">
        <v>166</v>
      </c>
      <c r="AT145" s="519">
        <v>3.0</v>
      </c>
      <c r="AU145" s="519">
        <v>1.0</v>
      </c>
      <c r="AV145" s="519">
        <v>1.0</v>
      </c>
      <c r="AW145" s="519">
        <v>1.0</v>
      </c>
      <c r="AX145" s="519" t="s">
        <v>166</v>
      </c>
      <c r="AY145" s="519" t="s">
        <v>166</v>
      </c>
      <c r="AZ145" s="519">
        <v>5.0</v>
      </c>
      <c r="BA145" s="519">
        <v>1.0</v>
      </c>
      <c r="BB145" s="519">
        <v>2.0</v>
      </c>
      <c r="BC145" s="519" t="s">
        <v>174</v>
      </c>
      <c r="BD145" s="519" t="s">
        <v>174</v>
      </c>
      <c r="BE145" s="712" t="s">
        <v>5116</v>
      </c>
      <c r="BF145" s="712" t="s">
        <v>5117</v>
      </c>
      <c r="BG145" s="712" t="s">
        <v>4963</v>
      </c>
      <c r="BH145" s="712">
        <v>10.0</v>
      </c>
      <c r="BI145" s="717" t="s">
        <v>5029</v>
      </c>
      <c r="BJ145" s="717"/>
      <c r="BK145" s="394"/>
      <c r="BL145" s="394"/>
      <c r="BM145" s="394"/>
      <c r="BN145" s="394"/>
      <c r="BO145" s="394"/>
      <c r="BP145" s="394"/>
    </row>
    <row r="146">
      <c r="A146" s="519" t="s">
        <v>1664</v>
      </c>
      <c r="B146" s="712" t="s">
        <v>5081</v>
      </c>
      <c r="C146" s="519" t="s">
        <v>5124</v>
      </c>
      <c r="D146" s="391" t="str">
        <f>HYPERLINK("https://www.asus.com/","Asus")</f>
        <v>Asus</v>
      </c>
      <c r="E146" s="716" t="s">
        <v>5640</v>
      </c>
      <c r="F146" s="519">
        <v>244.0</v>
      </c>
      <c r="G146" s="519">
        <v>244.0</v>
      </c>
      <c r="H146" s="519">
        <v>5.0</v>
      </c>
      <c r="I146" s="519" t="s">
        <v>166</v>
      </c>
      <c r="J146" s="519">
        <v>1.0</v>
      </c>
      <c r="K146" s="519" t="s">
        <v>166</v>
      </c>
      <c r="L146" s="519" t="s">
        <v>166</v>
      </c>
      <c r="M146" s="519">
        <v>1.0</v>
      </c>
      <c r="N146" s="519" t="s">
        <v>174</v>
      </c>
      <c r="O146" s="519" t="s">
        <v>174</v>
      </c>
      <c r="P146" s="519" t="s">
        <v>174</v>
      </c>
      <c r="Q146" s="519" t="s">
        <v>174</v>
      </c>
      <c r="R146" s="519">
        <v>2.0</v>
      </c>
      <c r="S146" s="519" t="s">
        <v>3151</v>
      </c>
      <c r="T146" s="519">
        <v>96.0</v>
      </c>
      <c r="U146" s="519" t="s">
        <v>5089</v>
      </c>
      <c r="V146" s="519">
        <v>4.0</v>
      </c>
      <c r="W146" s="719" t="s">
        <v>5576</v>
      </c>
      <c r="X146" s="519">
        <v>2.0</v>
      </c>
      <c r="Y146" s="519" t="s">
        <v>166</v>
      </c>
      <c r="Z146" s="519" t="s">
        <v>166</v>
      </c>
      <c r="AA146" s="519">
        <v>5.0</v>
      </c>
      <c r="AB146" s="519">
        <v>1.0</v>
      </c>
      <c r="AC146" s="519" t="s">
        <v>166</v>
      </c>
      <c r="AD146" s="519">
        <v>2.0</v>
      </c>
      <c r="AE146" s="519" t="s">
        <v>166</v>
      </c>
      <c r="AF146" s="519">
        <f t="shared" si="1"/>
        <v>10</v>
      </c>
      <c r="AG146" s="519">
        <v>2.0</v>
      </c>
      <c r="AH146" s="519">
        <v>1.0</v>
      </c>
      <c r="AI146" s="519" t="s">
        <v>5097</v>
      </c>
      <c r="AJ146" s="519">
        <v>1.0</v>
      </c>
      <c r="AK146" s="712" t="s">
        <v>5026</v>
      </c>
      <c r="AL146" s="712">
        <v>2.5</v>
      </c>
      <c r="AM146" s="712">
        <v>1.0</v>
      </c>
      <c r="AN146" s="712" t="s">
        <v>5044</v>
      </c>
      <c r="AO146" s="519" t="s">
        <v>5300</v>
      </c>
      <c r="AP146" s="519">
        <v>2400.0</v>
      </c>
      <c r="AQ146" s="519">
        <v>5.2</v>
      </c>
      <c r="AR146" s="712" t="s">
        <v>5121</v>
      </c>
      <c r="AS146" s="519" t="s">
        <v>174</v>
      </c>
      <c r="AT146" s="519">
        <v>5.0</v>
      </c>
      <c r="AU146" s="519">
        <v>1.0</v>
      </c>
      <c r="AV146" s="519">
        <v>2.0</v>
      </c>
      <c r="AW146" s="519" t="s">
        <v>166</v>
      </c>
      <c r="AX146" s="519" t="s">
        <v>166</v>
      </c>
      <c r="AY146" s="519" t="s">
        <v>166</v>
      </c>
      <c r="AZ146" s="519">
        <v>5.0</v>
      </c>
      <c r="BA146" s="519">
        <v>1.0</v>
      </c>
      <c r="BB146" s="519">
        <v>2.0</v>
      </c>
      <c r="BC146" s="519" t="s">
        <v>174</v>
      </c>
      <c r="BD146" s="519" t="s">
        <v>174</v>
      </c>
      <c r="BE146" s="712" t="s">
        <v>5122</v>
      </c>
      <c r="BF146" s="712" t="s">
        <v>5641</v>
      </c>
      <c r="BG146" s="712" t="s">
        <v>4955</v>
      </c>
      <c r="BH146" s="712">
        <v>16.0</v>
      </c>
      <c r="BI146" s="717" t="s">
        <v>5129</v>
      </c>
      <c r="BJ146" s="717"/>
      <c r="BK146" s="394"/>
      <c r="BL146" s="394"/>
      <c r="BM146" s="394"/>
      <c r="BN146" s="394"/>
      <c r="BO146" s="394"/>
      <c r="BP146" s="394"/>
    </row>
    <row r="147">
      <c r="A147" s="519" t="s">
        <v>1664</v>
      </c>
      <c r="B147" s="712" t="s">
        <v>5642</v>
      </c>
      <c r="C147" s="519" t="s">
        <v>166</v>
      </c>
      <c r="D147" s="391" t="s">
        <v>5067</v>
      </c>
      <c r="E147" s="290" t="s">
        <v>5643</v>
      </c>
      <c r="F147" s="519">
        <v>170.0</v>
      </c>
      <c r="G147" s="519">
        <v>208.0</v>
      </c>
      <c r="H147" s="519">
        <v>4.0</v>
      </c>
      <c r="I147" s="519" t="s">
        <v>166</v>
      </c>
      <c r="J147" s="519" t="s">
        <v>166</v>
      </c>
      <c r="K147" s="519" t="s">
        <v>166</v>
      </c>
      <c r="L147" s="519" t="s">
        <v>166</v>
      </c>
      <c r="M147" s="519">
        <v>1.0</v>
      </c>
      <c r="N147" s="519" t="s">
        <v>166</v>
      </c>
      <c r="O147" s="519" t="s">
        <v>166</v>
      </c>
      <c r="P147" s="519" t="s">
        <v>166</v>
      </c>
      <c r="Q147" s="519" t="s">
        <v>166</v>
      </c>
      <c r="R147" s="519">
        <v>4.0</v>
      </c>
      <c r="S147" s="519" t="s">
        <v>3149</v>
      </c>
      <c r="T147" s="519">
        <v>256.0</v>
      </c>
      <c r="U147" s="519">
        <v>3200.0</v>
      </c>
      <c r="V147" s="519">
        <v>16.0</v>
      </c>
      <c r="W147" s="719" t="s">
        <v>4950</v>
      </c>
      <c r="X147" s="519" t="s">
        <v>166</v>
      </c>
      <c r="Y147" s="519">
        <v>2.0</v>
      </c>
      <c r="Z147" s="519" t="s">
        <v>166</v>
      </c>
      <c r="AA147" s="519" t="s">
        <v>166</v>
      </c>
      <c r="AB147" s="519" t="s">
        <v>166</v>
      </c>
      <c r="AC147" s="519" t="s">
        <v>166</v>
      </c>
      <c r="AD147" s="519" t="s">
        <v>166</v>
      </c>
      <c r="AE147" s="519" t="s">
        <v>166</v>
      </c>
      <c r="AF147" s="519">
        <f t="shared" si="1"/>
        <v>2</v>
      </c>
      <c r="AG147" s="519">
        <v>1.0</v>
      </c>
      <c r="AH147" s="519" t="s">
        <v>166</v>
      </c>
      <c r="AI147" s="519" t="s">
        <v>166</v>
      </c>
      <c r="AJ147" s="519">
        <v>2.0</v>
      </c>
      <c r="AK147" s="712" t="s">
        <v>5069</v>
      </c>
      <c r="AL147" s="712">
        <v>10.0</v>
      </c>
      <c r="AM147" s="712" t="s">
        <v>166</v>
      </c>
      <c r="AN147" s="712" t="s">
        <v>166</v>
      </c>
      <c r="AO147" s="519" t="s">
        <v>166</v>
      </c>
      <c r="AP147" s="519" t="s">
        <v>166</v>
      </c>
      <c r="AQ147" s="519" t="s">
        <v>166</v>
      </c>
      <c r="AR147" s="712" t="s">
        <v>166</v>
      </c>
      <c r="AS147" s="519" t="s">
        <v>166</v>
      </c>
      <c r="AT147" s="519" t="s">
        <v>166</v>
      </c>
      <c r="AU147" s="519" t="s">
        <v>166</v>
      </c>
      <c r="AV147" s="519" t="s">
        <v>166</v>
      </c>
      <c r="AW147" s="519" t="s">
        <v>166</v>
      </c>
      <c r="AX147" s="519" t="s">
        <v>166</v>
      </c>
      <c r="AY147" s="519">
        <v>1.0</v>
      </c>
      <c r="AZ147" s="519">
        <v>3.0</v>
      </c>
      <c r="BA147" s="519" t="s">
        <v>166</v>
      </c>
      <c r="BB147" s="519" t="s">
        <v>166</v>
      </c>
      <c r="BC147" s="519" t="s">
        <v>166</v>
      </c>
      <c r="BD147" s="519" t="s">
        <v>166</v>
      </c>
      <c r="BE147" s="712" t="s">
        <v>170</v>
      </c>
      <c r="BF147" s="712" t="s">
        <v>170</v>
      </c>
      <c r="BG147" s="712" t="s">
        <v>170</v>
      </c>
      <c r="BH147" s="712" t="s">
        <v>170</v>
      </c>
      <c r="BI147" s="717" t="s">
        <v>170</v>
      </c>
      <c r="BJ147" s="717" t="s">
        <v>5514</v>
      </c>
      <c r="BK147" s="394"/>
      <c r="BL147" s="394"/>
      <c r="BM147" s="394"/>
      <c r="BN147" s="394"/>
      <c r="BO147" s="394"/>
      <c r="BP147" s="394"/>
    </row>
    <row r="148">
      <c r="A148" s="507" t="s">
        <v>1688</v>
      </c>
      <c r="B148" s="705" t="s">
        <v>5184</v>
      </c>
      <c r="C148" s="507" t="s">
        <v>5185</v>
      </c>
      <c r="D148" s="506" t="s">
        <v>169</v>
      </c>
      <c r="E148" s="188" t="s">
        <v>5644</v>
      </c>
      <c r="F148" s="507">
        <v>191.0</v>
      </c>
      <c r="G148" s="507">
        <v>188.0</v>
      </c>
      <c r="H148" s="507">
        <v>3.0</v>
      </c>
      <c r="I148" s="507" t="s">
        <v>166</v>
      </c>
      <c r="J148" s="507">
        <v>1.0</v>
      </c>
      <c r="K148" s="507" t="s">
        <v>166</v>
      </c>
      <c r="L148" s="507" t="s">
        <v>166</v>
      </c>
      <c r="M148" s="507">
        <v>1.0</v>
      </c>
      <c r="N148" s="507" t="s">
        <v>166</v>
      </c>
      <c r="O148" s="507" t="s">
        <v>166</v>
      </c>
      <c r="P148" s="507" t="s">
        <v>166</v>
      </c>
      <c r="Q148" s="507" t="s">
        <v>166</v>
      </c>
      <c r="R148" s="507">
        <v>2.0</v>
      </c>
      <c r="S148" s="507" t="s">
        <v>3149</v>
      </c>
      <c r="T148" s="507">
        <v>32.0</v>
      </c>
      <c r="U148" s="507">
        <v>2666.0</v>
      </c>
      <c r="V148" s="507">
        <v>4.0</v>
      </c>
      <c r="W148" s="708" t="s">
        <v>166</v>
      </c>
      <c r="X148" s="507">
        <v>4.0</v>
      </c>
      <c r="Y148" s="507">
        <v>2.0</v>
      </c>
      <c r="Z148" s="507" t="s">
        <v>166</v>
      </c>
      <c r="AA148" s="507" t="s">
        <v>166</v>
      </c>
      <c r="AB148" s="507" t="s">
        <v>166</v>
      </c>
      <c r="AC148" s="507" t="s">
        <v>166</v>
      </c>
      <c r="AD148" s="507" t="s">
        <v>166</v>
      </c>
      <c r="AE148" s="507" t="s">
        <v>166</v>
      </c>
      <c r="AF148" s="507">
        <f t="shared" si="1"/>
        <v>6</v>
      </c>
      <c r="AG148" s="507">
        <v>1.0</v>
      </c>
      <c r="AH148" s="507">
        <v>1.0</v>
      </c>
      <c r="AI148" s="507" t="s">
        <v>166</v>
      </c>
      <c r="AJ148" s="507">
        <v>1.0</v>
      </c>
      <c r="AK148" s="705" t="s">
        <v>4959</v>
      </c>
      <c r="AL148" s="705">
        <v>1.0</v>
      </c>
      <c r="AM148" s="705" t="s">
        <v>166</v>
      </c>
      <c r="AN148" s="705" t="s">
        <v>166</v>
      </c>
      <c r="AO148" s="507" t="s">
        <v>166</v>
      </c>
      <c r="AP148" s="507" t="s">
        <v>166</v>
      </c>
      <c r="AQ148" s="507" t="s">
        <v>166</v>
      </c>
      <c r="AR148" s="705" t="s">
        <v>4960</v>
      </c>
      <c r="AS148" s="507" t="s">
        <v>166</v>
      </c>
      <c r="AT148" s="507">
        <v>3.0</v>
      </c>
      <c r="AU148" s="507" t="s">
        <v>174</v>
      </c>
      <c r="AV148" s="507" t="s">
        <v>166</v>
      </c>
      <c r="AW148" s="507" t="s">
        <v>166</v>
      </c>
      <c r="AX148" s="507">
        <v>1.0</v>
      </c>
      <c r="AY148" s="507">
        <v>1.0</v>
      </c>
      <c r="AZ148" s="507">
        <v>2.0</v>
      </c>
      <c r="BA148" s="507" t="s">
        <v>166</v>
      </c>
      <c r="BB148" s="507" t="s">
        <v>166</v>
      </c>
      <c r="BC148" s="507" t="s">
        <v>166</v>
      </c>
      <c r="BD148" s="507" t="s">
        <v>166</v>
      </c>
      <c r="BE148" s="705" t="s">
        <v>5645</v>
      </c>
      <c r="BF148" s="705" t="s">
        <v>5135</v>
      </c>
      <c r="BG148" s="705" t="s">
        <v>4963</v>
      </c>
      <c r="BH148" s="705">
        <v>3.0</v>
      </c>
      <c r="BI148" s="708" t="s">
        <v>170</v>
      </c>
      <c r="BJ148" s="509"/>
      <c r="BK148" s="394"/>
      <c r="BL148" s="394"/>
      <c r="BM148" s="394"/>
      <c r="BN148" s="394"/>
      <c r="BO148" s="394"/>
      <c r="BP148" s="394"/>
    </row>
    <row r="149">
      <c r="A149" s="266" t="s">
        <v>1688</v>
      </c>
      <c r="B149" s="48" t="s">
        <v>5184</v>
      </c>
      <c r="C149" s="266" t="s">
        <v>5185</v>
      </c>
      <c r="D149" s="452" t="s">
        <v>169</v>
      </c>
      <c r="E149" s="747" t="s">
        <v>5646</v>
      </c>
      <c r="F149" s="266">
        <v>191.0</v>
      </c>
      <c r="G149" s="266">
        <v>188.0</v>
      </c>
      <c r="H149" s="266">
        <v>3.0</v>
      </c>
      <c r="I149" s="266" t="s">
        <v>166</v>
      </c>
      <c r="J149" s="266">
        <v>1.0</v>
      </c>
      <c r="K149" s="266" t="s">
        <v>166</v>
      </c>
      <c r="L149" s="266" t="s">
        <v>166</v>
      </c>
      <c r="M149" s="266">
        <v>1.0</v>
      </c>
      <c r="N149" s="266" t="s">
        <v>166</v>
      </c>
      <c r="O149" s="266" t="s">
        <v>166</v>
      </c>
      <c r="P149" s="266" t="s">
        <v>166</v>
      </c>
      <c r="Q149" s="266" t="s">
        <v>166</v>
      </c>
      <c r="R149" s="266">
        <v>2.0</v>
      </c>
      <c r="S149" s="266" t="s">
        <v>3149</v>
      </c>
      <c r="T149" s="266">
        <v>32.0</v>
      </c>
      <c r="U149" s="266">
        <v>2666.0</v>
      </c>
      <c r="V149" s="266">
        <v>4.0</v>
      </c>
      <c r="W149" s="698" t="s">
        <v>166</v>
      </c>
      <c r="X149" s="266">
        <v>4.0</v>
      </c>
      <c r="Y149" s="266">
        <v>2.0</v>
      </c>
      <c r="Z149" s="266" t="s">
        <v>166</v>
      </c>
      <c r="AA149" s="266" t="s">
        <v>166</v>
      </c>
      <c r="AB149" s="266" t="s">
        <v>166</v>
      </c>
      <c r="AC149" s="266" t="s">
        <v>166</v>
      </c>
      <c r="AD149" s="266" t="s">
        <v>166</v>
      </c>
      <c r="AE149" s="266" t="s">
        <v>166</v>
      </c>
      <c r="AF149" s="266">
        <f t="shared" si="1"/>
        <v>6</v>
      </c>
      <c r="AG149" s="266">
        <v>1.0</v>
      </c>
      <c r="AH149" s="266">
        <v>1.0</v>
      </c>
      <c r="AI149" s="266" t="s">
        <v>166</v>
      </c>
      <c r="AJ149" s="266">
        <v>1.0</v>
      </c>
      <c r="AK149" s="48" t="s">
        <v>4959</v>
      </c>
      <c r="AL149" s="48">
        <v>1.0</v>
      </c>
      <c r="AM149" s="48" t="s">
        <v>166</v>
      </c>
      <c r="AN149" s="48" t="s">
        <v>166</v>
      </c>
      <c r="AO149" s="266" t="s">
        <v>166</v>
      </c>
      <c r="AP149" s="266" t="s">
        <v>166</v>
      </c>
      <c r="AQ149" s="266" t="s">
        <v>166</v>
      </c>
      <c r="AR149" s="48" t="s">
        <v>4960</v>
      </c>
      <c r="AS149" s="266" t="s">
        <v>166</v>
      </c>
      <c r="AT149" s="266">
        <v>3.0</v>
      </c>
      <c r="AU149" s="266" t="s">
        <v>174</v>
      </c>
      <c r="AV149" s="266" t="s">
        <v>166</v>
      </c>
      <c r="AW149" s="266">
        <v>1.0</v>
      </c>
      <c r="AX149" s="266">
        <v>1.0</v>
      </c>
      <c r="AY149" s="266">
        <v>1.0</v>
      </c>
      <c r="AZ149" s="266">
        <v>2.0</v>
      </c>
      <c r="BA149" s="266" t="s">
        <v>166</v>
      </c>
      <c r="BB149" s="266" t="s">
        <v>166</v>
      </c>
      <c r="BC149" s="266" t="s">
        <v>166</v>
      </c>
      <c r="BD149" s="266" t="s">
        <v>166</v>
      </c>
      <c r="BE149" s="705" t="s">
        <v>5645</v>
      </c>
      <c r="BF149" s="705" t="s">
        <v>5135</v>
      </c>
      <c r="BG149" s="48" t="s">
        <v>4963</v>
      </c>
      <c r="BH149" s="48">
        <v>3.0</v>
      </c>
      <c r="BI149" s="698" t="s">
        <v>170</v>
      </c>
      <c r="BJ149" s="496"/>
      <c r="BK149" s="394"/>
      <c r="BL149" s="394"/>
      <c r="BM149" s="394"/>
      <c r="BN149" s="394"/>
      <c r="BO149" s="394"/>
      <c r="BP149" s="394"/>
    </row>
    <row r="150">
      <c r="A150" s="266" t="s">
        <v>1688</v>
      </c>
      <c r="B150" s="48" t="s">
        <v>5184</v>
      </c>
      <c r="C150" s="266" t="s">
        <v>5185</v>
      </c>
      <c r="D150" s="452" t="s">
        <v>169</v>
      </c>
      <c r="E150" s="747" t="s">
        <v>5647</v>
      </c>
      <c r="F150" s="266">
        <v>191.0</v>
      </c>
      <c r="G150" s="266">
        <v>188.0</v>
      </c>
      <c r="H150" s="266">
        <v>3.0</v>
      </c>
      <c r="I150" s="266" t="s">
        <v>166</v>
      </c>
      <c r="J150" s="266">
        <v>1.0</v>
      </c>
      <c r="K150" s="266" t="s">
        <v>166</v>
      </c>
      <c r="L150" s="266" t="s">
        <v>166</v>
      </c>
      <c r="M150" s="266">
        <v>1.0</v>
      </c>
      <c r="N150" s="266" t="s">
        <v>166</v>
      </c>
      <c r="O150" s="266" t="s">
        <v>166</v>
      </c>
      <c r="P150" s="266" t="s">
        <v>166</v>
      </c>
      <c r="Q150" s="266" t="s">
        <v>166</v>
      </c>
      <c r="R150" s="266">
        <v>2.0</v>
      </c>
      <c r="S150" s="266" t="s">
        <v>3149</v>
      </c>
      <c r="T150" s="266">
        <v>64.0</v>
      </c>
      <c r="U150" s="266">
        <v>2666.0</v>
      </c>
      <c r="V150" s="266">
        <v>4.0</v>
      </c>
      <c r="W150" s="698" t="s">
        <v>166</v>
      </c>
      <c r="X150" s="266">
        <v>4.0</v>
      </c>
      <c r="Y150" s="266">
        <v>2.0</v>
      </c>
      <c r="Z150" s="266" t="s">
        <v>166</v>
      </c>
      <c r="AA150" s="266" t="s">
        <v>166</v>
      </c>
      <c r="AB150" s="266" t="s">
        <v>166</v>
      </c>
      <c r="AC150" s="266" t="s">
        <v>166</v>
      </c>
      <c r="AD150" s="266" t="s">
        <v>166</v>
      </c>
      <c r="AE150" s="266" t="s">
        <v>166</v>
      </c>
      <c r="AF150" s="266">
        <f t="shared" si="1"/>
        <v>6</v>
      </c>
      <c r="AG150" s="266">
        <v>1.0</v>
      </c>
      <c r="AH150" s="266">
        <v>1.0</v>
      </c>
      <c r="AI150" s="266" t="s">
        <v>166</v>
      </c>
      <c r="AJ150" s="266">
        <v>1.0</v>
      </c>
      <c r="AK150" s="48" t="s">
        <v>4959</v>
      </c>
      <c r="AL150" s="48">
        <v>1.0</v>
      </c>
      <c r="AM150" s="48" t="s">
        <v>166</v>
      </c>
      <c r="AN150" s="48" t="s">
        <v>166</v>
      </c>
      <c r="AO150" s="266" t="s">
        <v>166</v>
      </c>
      <c r="AP150" s="266" t="s">
        <v>166</v>
      </c>
      <c r="AQ150" s="266" t="s">
        <v>166</v>
      </c>
      <c r="AR150" s="48" t="s">
        <v>4960</v>
      </c>
      <c r="AS150" s="266" t="s">
        <v>166</v>
      </c>
      <c r="AT150" s="266">
        <v>3.0</v>
      </c>
      <c r="AU150" s="266" t="s">
        <v>174</v>
      </c>
      <c r="AV150" s="266" t="s">
        <v>166</v>
      </c>
      <c r="AW150" s="266" t="s">
        <v>166</v>
      </c>
      <c r="AX150" s="266">
        <v>1.0</v>
      </c>
      <c r="AY150" s="266" t="s">
        <v>166</v>
      </c>
      <c r="AZ150" s="266">
        <v>2.0</v>
      </c>
      <c r="BA150" s="266" t="s">
        <v>166</v>
      </c>
      <c r="BB150" s="266" t="s">
        <v>166</v>
      </c>
      <c r="BC150" s="266" t="s">
        <v>166</v>
      </c>
      <c r="BD150" s="266" t="s">
        <v>166</v>
      </c>
      <c r="BE150" s="705" t="s">
        <v>5645</v>
      </c>
      <c r="BF150" s="48" t="s">
        <v>5017</v>
      </c>
      <c r="BG150" s="48" t="s">
        <v>4963</v>
      </c>
      <c r="BH150" s="48">
        <v>4.0</v>
      </c>
      <c r="BI150" s="698" t="s">
        <v>170</v>
      </c>
      <c r="BJ150" s="496"/>
      <c r="BK150" s="394"/>
      <c r="BL150" s="394"/>
      <c r="BM150" s="394"/>
      <c r="BN150" s="394"/>
      <c r="BO150" s="394"/>
      <c r="BP150" s="394"/>
    </row>
    <row r="151">
      <c r="A151" s="266" t="s">
        <v>1688</v>
      </c>
      <c r="B151" s="48" t="s">
        <v>5184</v>
      </c>
      <c r="C151" s="266" t="s">
        <v>5185</v>
      </c>
      <c r="D151" s="452" t="s">
        <v>169</v>
      </c>
      <c r="E151" s="747" t="s">
        <v>5648</v>
      </c>
      <c r="F151" s="266">
        <v>226.0</v>
      </c>
      <c r="G151" s="266">
        <v>188.0</v>
      </c>
      <c r="H151" s="266">
        <v>3.0</v>
      </c>
      <c r="I151" s="266" t="s">
        <v>166</v>
      </c>
      <c r="J151" s="266">
        <v>2.0</v>
      </c>
      <c r="K151" s="266" t="s">
        <v>166</v>
      </c>
      <c r="L151" s="266" t="s">
        <v>166</v>
      </c>
      <c r="M151" s="266">
        <v>1.0</v>
      </c>
      <c r="N151" s="266" t="s">
        <v>166</v>
      </c>
      <c r="O151" s="266" t="s">
        <v>166</v>
      </c>
      <c r="P151" s="266" t="s">
        <v>166</v>
      </c>
      <c r="Q151" s="266" t="s">
        <v>166</v>
      </c>
      <c r="R151" s="266">
        <v>2.0</v>
      </c>
      <c r="S151" s="266" t="s">
        <v>3149</v>
      </c>
      <c r="T151" s="266">
        <v>64.0</v>
      </c>
      <c r="U151" s="266">
        <v>2666.0</v>
      </c>
      <c r="V151" s="266">
        <v>4.0</v>
      </c>
      <c r="W151" s="710" t="s">
        <v>4950</v>
      </c>
      <c r="X151" s="266">
        <v>4.0</v>
      </c>
      <c r="Y151" s="266">
        <v>2.0</v>
      </c>
      <c r="Z151" s="266" t="s">
        <v>166</v>
      </c>
      <c r="AA151" s="266" t="s">
        <v>166</v>
      </c>
      <c r="AB151" s="266" t="s">
        <v>166</v>
      </c>
      <c r="AC151" s="266" t="s">
        <v>166</v>
      </c>
      <c r="AD151" s="266" t="s">
        <v>166</v>
      </c>
      <c r="AE151" s="266" t="s">
        <v>166</v>
      </c>
      <c r="AF151" s="266">
        <f t="shared" si="1"/>
        <v>6</v>
      </c>
      <c r="AG151" s="266">
        <v>2.0</v>
      </c>
      <c r="AH151" s="266">
        <v>1.0</v>
      </c>
      <c r="AI151" s="266" t="s">
        <v>166</v>
      </c>
      <c r="AJ151" s="266">
        <v>1.0</v>
      </c>
      <c r="AK151" s="48" t="s">
        <v>5133</v>
      </c>
      <c r="AL151" s="48">
        <v>1.0</v>
      </c>
      <c r="AM151" s="48" t="s">
        <v>166</v>
      </c>
      <c r="AN151" s="48" t="s">
        <v>166</v>
      </c>
      <c r="AO151" s="266" t="s">
        <v>166</v>
      </c>
      <c r="AP151" s="266" t="s">
        <v>166</v>
      </c>
      <c r="AQ151" s="266" t="s">
        <v>166</v>
      </c>
      <c r="AR151" s="48" t="s">
        <v>4960</v>
      </c>
      <c r="AS151" s="266" t="s">
        <v>166</v>
      </c>
      <c r="AT151" s="266">
        <v>3.0</v>
      </c>
      <c r="AU151" s="266" t="s">
        <v>174</v>
      </c>
      <c r="AV151" s="266" t="s">
        <v>166</v>
      </c>
      <c r="AW151" s="266">
        <v>1.0</v>
      </c>
      <c r="AX151" s="266">
        <v>1.0</v>
      </c>
      <c r="AY151" s="266">
        <v>1.0</v>
      </c>
      <c r="AZ151" s="266">
        <v>3.0</v>
      </c>
      <c r="BA151" s="266">
        <v>1.0</v>
      </c>
      <c r="BB151" s="266">
        <v>1.0</v>
      </c>
      <c r="BC151" s="266" t="s">
        <v>166</v>
      </c>
      <c r="BD151" s="266" t="s">
        <v>166</v>
      </c>
      <c r="BE151" s="705" t="s">
        <v>5645</v>
      </c>
      <c r="BF151" s="48" t="s">
        <v>5017</v>
      </c>
      <c r="BG151" s="48" t="s">
        <v>4963</v>
      </c>
      <c r="BH151" s="48">
        <v>4.0</v>
      </c>
      <c r="BI151" s="698" t="s">
        <v>170</v>
      </c>
      <c r="BJ151" s="496"/>
      <c r="BK151" s="394"/>
      <c r="BL151" s="394"/>
      <c r="BM151" s="394"/>
      <c r="BN151" s="394"/>
      <c r="BO151" s="394"/>
      <c r="BP151" s="394"/>
    </row>
    <row r="152">
      <c r="A152" s="266" t="s">
        <v>1688</v>
      </c>
      <c r="B152" s="48" t="s">
        <v>5184</v>
      </c>
      <c r="C152" s="266" t="s">
        <v>5185</v>
      </c>
      <c r="D152" s="452" t="s">
        <v>169</v>
      </c>
      <c r="E152" s="747" t="s">
        <v>5649</v>
      </c>
      <c r="F152" s="266">
        <v>191.0</v>
      </c>
      <c r="G152" s="266">
        <v>188.0</v>
      </c>
      <c r="H152" s="266">
        <v>3.0</v>
      </c>
      <c r="I152" s="266" t="s">
        <v>166</v>
      </c>
      <c r="J152" s="266">
        <v>1.0</v>
      </c>
      <c r="K152" s="266" t="s">
        <v>166</v>
      </c>
      <c r="L152" s="266" t="s">
        <v>166</v>
      </c>
      <c r="M152" s="266">
        <v>1.0</v>
      </c>
      <c r="N152" s="266" t="s">
        <v>166</v>
      </c>
      <c r="O152" s="266" t="s">
        <v>166</v>
      </c>
      <c r="P152" s="266" t="s">
        <v>166</v>
      </c>
      <c r="Q152" s="266" t="s">
        <v>166</v>
      </c>
      <c r="R152" s="266">
        <v>2.0</v>
      </c>
      <c r="S152" s="266" t="s">
        <v>3149</v>
      </c>
      <c r="T152" s="266">
        <v>64.0</v>
      </c>
      <c r="U152" s="266">
        <v>2666.0</v>
      </c>
      <c r="V152" s="266">
        <v>4.0</v>
      </c>
      <c r="W152" s="698" t="s">
        <v>166</v>
      </c>
      <c r="X152" s="266">
        <v>4.0</v>
      </c>
      <c r="Y152" s="266">
        <v>2.0</v>
      </c>
      <c r="Z152" s="266" t="s">
        <v>166</v>
      </c>
      <c r="AA152" s="266" t="s">
        <v>166</v>
      </c>
      <c r="AB152" s="266" t="s">
        <v>166</v>
      </c>
      <c r="AC152" s="266" t="s">
        <v>166</v>
      </c>
      <c r="AD152" s="266" t="s">
        <v>166</v>
      </c>
      <c r="AE152" s="266" t="s">
        <v>166</v>
      </c>
      <c r="AF152" s="266">
        <f t="shared" si="1"/>
        <v>6</v>
      </c>
      <c r="AG152" s="266">
        <v>1.0</v>
      </c>
      <c r="AH152" s="266">
        <v>1.0</v>
      </c>
      <c r="AI152" s="266" t="s">
        <v>166</v>
      </c>
      <c r="AJ152" s="266">
        <v>1.0</v>
      </c>
      <c r="AK152" s="48" t="s">
        <v>4959</v>
      </c>
      <c r="AL152" s="48">
        <v>1.0</v>
      </c>
      <c r="AM152" s="48" t="s">
        <v>166</v>
      </c>
      <c r="AN152" s="48" t="s">
        <v>166</v>
      </c>
      <c r="AO152" s="266" t="s">
        <v>166</v>
      </c>
      <c r="AP152" s="266" t="s">
        <v>166</v>
      </c>
      <c r="AQ152" s="266" t="s">
        <v>166</v>
      </c>
      <c r="AR152" s="48" t="s">
        <v>4960</v>
      </c>
      <c r="AS152" s="266" t="s">
        <v>166</v>
      </c>
      <c r="AT152" s="266">
        <v>3.0</v>
      </c>
      <c r="AU152" s="266" t="s">
        <v>174</v>
      </c>
      <c r="AV152" s="266" t="s">
        <v>166</v>
      </c>
      <c r="AW152" s="266">
        <v>1.0</v>
      </c>
      <c r="AX152" s="266">
        <v>1.0</v>
      </c>
      <c r="AY152" s="266">
        <v>1.0</v>
      </c>
      <c r="AZ152" s="266">
        <v>2.0</v>
      </c>
      <c r="BA152" s="266" t="s">
        <v>166</v>
      </c>
      <c r="BB152" s="266" t="s">
        <v>166</v>
      </c>
      <c r="BC152" s="266" t="s">
        <v>166</v>
      </c>
      <c r="BD152" s="266" t="s">
        <v>166</v>
      </c>
      <c r="BE152" s="705" t="s">
        <v>5645</v>
      </c>
      <c r="BF152" s="48" t="s">
        <v>5017</v>
      </c>
      <c r="BG152" s="48" t="s">
        <v>4963</v>
      </c>
      <c r="BH152" s="48">
        <v>4.0</v>
      </c>
      <c r="BI152" s="698" t="s">
        <v>170</v>
      </c>
      <c r="BJ152" s="496"/>
      <c r="BK152" s="394"/>
      <c r="BL152" s="394"/>
      <c r="BM152" s="394"/>
      <c r="BN152" s="394"/>
      <c r="BO152" s="394"/>
      <c r="BP152" s="394"/>
    </row>
    <row r="153">
      <c r="A153" s="266" t="s">
        <v>1688</v>
      </c>
      <c r="B153" s="48" t="s">
        <v>5184</v>
      </c>
      <c r="C153" s="266" t="s">
        <v>5185</v>
      </c>
      <c r="D153" s="452" t="s">
        <v>169</v>
      </c>
      <c r="E153" s="747" t="s">
        <v>5650</v>
      </c>
      <c r="F153" s="266">
        <v>226.0</v>
      </c>
      <c r="G153" s="266">
        <v>188.0</v>
      </c>
      <c r="H153" s="266">
        <v>3.0</v>
      </c>
      <c r="I153" s="266" t="s">
        <v>166</v>
      </c>
      <c r="J153" s="266">
        <v>2.0</v>
      </c>
      <c r="K153" s="266" t="s">
        <v>166</v>
      </c>
      <c r="L153" s="266" t="s">
        <v>166</v>
      </c>
      <c r="M153" s="266">
        <v>1.0</v>
      </c>
      <c r="N153" s="266" t="s">
        <v>166</v>
      </c>
      <c r="O153" s="266" t="s">
        <v>166</v>
      </c>
      <c r="P153" s="266" t="s">
        <v>166</v>
      </c>
      <c r="Q153" s="266" t="s">
        <v>166</v>
      </c>
      <c r="R153" s="266">
        <v>2.0</v>
      </c>
      <c r="S153" s="266" t="s">
        <v>3149</v>
      </c>
      <c r="T153" s="266">
        <v>64.0</v>
      </c>
      <c r="U153" s="266">
        <v>2666.0</v>
      </c>
      <c r="V153" s="266">
        <v>4.0</v>
      </c>
      <c r="W153" s="710" t="s">
        <v>4950</v>
      </c>
      <c r="X153" s="266">
        <v>4.0</v>
      </c>
      <c r="Y153" s="266">
        <v>2.0</v>
      </c>
      <c r="Z153" s="266" t="s">
        <v>166</v>
      </c>
      <c r="AA153" s="266" t="s">
        <v>166</v>
      </c>
      <c r="AB153" s="266" t="s">
        <v>166</v>
      </c>
      <c r="AC153" s="266" t="s">
        <v>166</v>
      </c>
      <c r="AD153" s="266" t="s">
        <v>166</v>
      </c>
      <c r="AE153" s="266" t="s">
        <v>166</v>
      </c>
      <c r="AF153" s="266">
        <f t="shared" si="1"/>
        <v>6</v>
      </c>
      <c r="AG153" s="266">
        <v>2.0</v>
      </c>
      <c r="AH153" s="266">
        <v>1.0</v>
      </c>
      <c r="AI153" s="266" t="s">
        <v>166</v>
      </c>
      <c r="AJ153" s="266">
        <v>1.0</v>
      </c>
      <c r="AK153" s="48" t="s">
        <v>5133</v>
      </c>
      <c r="AL153" s="48">
        <v>1.0</v>
      </c>
      <c r="AM153" s="48" t="s">
        <v>166</v>
      </c>
      <c r="AN153" s="48" t="s">
        <v>166</v>
      </c>
      <c r="AO153" s="266" t="s">
        <v>166</v>
      </c>
      <c r="AP153" s="266" t="s">
        <v>166</v>
      </c>
      <c r="AQ153" s="266" t="s">
        <v>166</v>
      </c>
      <c r="AR153" s="48" t="s">
        <v>4960</v>
      </c>
      <c r="AS153" s="266" t="s">
        <v>166</v>
      </c>
      <c r="AT153" s="266">
        <v>3.0</v>
      </c>
      <c r="AU153" s="266" t="s">
        <v>174</v>
      </c>
      <c r="AV153" s="266" t="s">
        <v>166</v>
      </c>
      <c r="AW153" s="266">
        <v>1.0</v>
      </c>
      <c r="AX153" s="266">
        <v>1.0</v>
      </c>
      <c r="AY153" s="266">
        <v>1.0</v>
      </c>
      <c r="AZ153" s="266">
        <v>3.0</v>
      </c>
      <c r="BA153" s="266" t="s">
        <v>166</v>
      </c>
      <c r="BB153" s="266" t="s">
        <v>166</v>
      </c>
      <c r="BC153" s="266" t="s">
        <v>166</v>
      </c>
      <c r="BD153" s="266" t="s">
        <v>166</v>
      </c>
      <c r="BE153" s="705" t="s">
        <v>5645</v>
      </c>
      <c r="BF153" s="48" t="s">
        <v>5017</v>
      </c>
      <c r="BG153" s="48" t="s">
        <v>4963</v>
      </c>
      <c r="BH153" s="48">
        <v>4.0</v>
      </c>
      <c r="BI153" s="698" t="s">
        <v>170</v>
      </c>
      <c r="BJ153" s="496"/>
      <c r="BK153" s="394"/>
      <c r="BL153" s="394"/>
      <c r="BM153" s="394"/>
      <c r="BN153" s="394"/>
      <c r="BO153" s="394"/>
      <c r="BP153" s="394"/>
    </row>
    <row r="154">
      <c r="A154" s="266" t="s">
        <v>1688</v>
      </c>
      <c r="B154" s="48" t="s">
        <v>5184</v>
      </c>
      <c r="C154" s="266" t="s">
        <v>5185</v>
      </c>
      <c r="D154" s="452" t="s">
        <v>169</v>
      </c>
      <c r="E154" s="747" t="s">
        <v>5651</v>
      </c>
      <c r="F154" s="266">
        <v>244.0</v>
      </c>
      <c r="G154" s="266">
        <v>188.0</v>
      </c>
      <c r="H154" s="266">
        <v>3.0</v>
      </c>
      <c r="I154" s="266">
        <v>1.0</v>
      </c>
      <c r="J154" s="266">
        <v>2.0</v>
      </c>
      <c r="K154" s="266" t="s">
        <v>166</v>
      </c>
      <c r="L154" s="266" t="s">
        <v>166</v>
      </c>
      <c r="M154" s="266">
        <v>1.0</v>
      </c>
      <c r="N154" s="266" t="s">
        <v>166</v>
      </c>
      <c r="O154" s="266" t="s">
        <v>166</v>
      </c>
      <c r="P154" s="266" t="s">
        <v>166</v>
      </c>
      <c r="Q154" s="266" t="s">
        <v>166</v>
      </c>
      <c r="R154" s="266">
        <v>2.0</v>
      </c>
      <c r="S154" s="266" t="s">
        <v>3149</v>
      </c>
      <c r="T154" s="266">
        <v>64.0</v>
      </c>
      <c r="U154" s="266">
        <v>2666.0</v>
      </c>
      <c r="V154" s="266">
        <v>4.0</v>
      </c>
      <c r="W154" s="710" t="s">
        <v>4950</v>
      </c>
      <c r="X154" s="266">
        <v>4.0</v>
      </c>
      <c r="Y154" s="266">
        <v>2.0</v>
      </c>
      <c r="Z154" s="266" t="s">
        <v>166</v>
      </c>
      <c r="AA154" s="266" t="s">
        <v>166</v>
      </c>
      <c r="AB154" s="266" t="s">
        <v>166</v>
      </c>
      <c r="AC154" s="266" t="s">
        <v>166</v>
      </c>
      <c r="AD154" s="266" t="s">
        <v>166</v>
      </c>
      <c r="AE154" s="266" t="s">
        <v>166</v>
      </c>
      <c r="AF154" s="266">
        <f t="shared" si="1"/>
        <v>6</v>
      </c>
      <c r="AG154" s="266">
        <v>2.0</v>
      </c>
      <c r="AH154" s="266">
        <v>1.0</v>
      </c>
      <c r="AI154" s="266" t="s">
        <v>166</v>
      </c>
      <c r="AJ154" s="266">
        <v>1.0</v>
      </c>
      <c r="AK154" s="48" t="s">
        <v>5469</v>
      </c>
      <c r="AL154" s="48">
        <v>1.0</v>
      </c>
      <c r="AM154" s="48" t="s">
        <v>166</v>
      </c>
      <c r="AN154" s="48" t="s">
        <v>166</v>
      </c>
      <c r="AO154" s="266" t="s">
        <v>166</v>
      </c>
      <c r="AP154" s="266" t="s">
        <v>166</v>
      </c>
      <c r="AQ154" s="266" t="s">
        <v>166</v>
      </c>
      <c r="AR154" s="48" t="s">
        <v>4960</v>
      </c>
      <c r="AS154" s="266" t="s">
        <v>166</v>
      </c>
      <c r="AT154" s="266">
        <v>3.0</v>
      </c>
      <c r="AU154" s="266" t="s">
        <v>174</v>
      </c>
      <c r="AV154" s="266" t="s">
        <v>166</v>
      </c>
      <c r="AW154" s="266">
        <v>1.0</v>
      </c>
      <c r="AX154" s="266">
        <v>1.0</v>
      </c>
      <c r="AY154" s="266">
        <v>1.0</v>
      </c>
      <c r="AZ154" s="266">
        <v>3.0</v>
      </c>
      <c r="BA154" s="266" t="s">
        <v>166</v>
      </c>
      <c r="BB154" s="266" t="s">
        <v>166</v>
      </c>
      <c r="BC154" s="266" t="s">
        <v>166</v>
      </c>
      <c r="BD154" s="266" t="s">
        <v>166</v>
      </c>
      <c r="BE154" s="705" t="s">
        <v>5645</v>
      </c>
      <c r="BF154" s="48" t="s">
        <v>5017</v>
      </c>
      <c r="BG154" s="48" t="s">
        <v>4963</v>
      </c>
      <c r="BH154" s="48">
        <v>4.0</v>
      </c>
      <c r="BI154" s="698" t="s">
        <v>170</v>
      </c>
      <c r="BJ154" s="496"/>
      <c r="BK154" s="394"/>
      <c r="BL154" s="394"/>
      <c r="BM154" s="394"/>
      <c r="BN154" s="394"/>
      <c r="BO154" s="394"/>
      <c r="BP154" s="394"/>
    </row>
    <row r="155">
      <c r="A155" s="266" t="s">
        <v>1688</v>
      </c>
      <c r="B155" s="48" t="s">
        <v>5184</v>
      </c>
      <c r="C155" s="266" t="s">
        <v>5185</v>
      </c>
      <c r="D155" s="452" t="str">
        <f t="shared" ref="D155:D164" si="20">HYPERLINK("https://www.asus.com/","Asus")</f>
        <v>Asus</v>
      </c>
      <c r="E155" s="452" t="s">
        <v>5652</v>
      </c>
      <c r="F155" s="266">
        <v>226.0</v>
      </c>
      <c r="G155" s="266">
        <v>185.0</v>
      </c>
      <c r="H155" s="266">
        <v>3.0</v>
      </c>
      <c r="I155" s="266" t="s">
        <v>166</v>
      </c>
      <c r="J155" s="266">
        <v>2.0</v>
      </c>
      <c r="K155" s="266" t="s">
        <v>166</v>
      </c>
      <c r="L155" s="266" t="s">
        <v>166</v>
      </c>
      <c r="M155" s="266">
        <v>1.0</v>
      </c>
      <c r="N155" s="266" t="s">
        <v>166</v>
      </c>
      <c r="O155" s="266" t="s">
        <v>166</v>
      </c>
      <c r="P155" s="266" t="s">
        <v>166</v>
      </c>
      <c r="Q155" s="266" t="s">
        <v>166</v>
      </c>
      <c r="R155" s="266">
        <v>2.0</v>
      </c>
      <c r="S155" s="266" t="s">
        <v>3149</v>
      </c>
      <c r="T155" s="266">
        <v>32.0</v>
      </c>
      <c r="U155" s="266">
        <v>2666.0</v>
      </c>
      <c r="V155" s="266">
        <v>4.0</v>
      </c>
      <c r="W155" s="710" t="s">
        <v>4950</v>
      </c>
      <c r="X155" s="266">
        <v>2.0</v>
      </c>
      <c r="Y155" s="266">
        <v>2.0</v>
      </c>
      <c r="Z155" s="266" t="s">
        <v>166</v>
      </c>
      <c r="AA155" s="266" t="s">
        <v>166</v>
      </c>
      <c r="AB155" s="266" t="s">
        <v>166</v>
      </c>
      <c r="AC155" s="266" t="s">
        <v>166</v>
      </c>
      <c r="AD155" s="266" t="s">
        <v>166</v>
      </c>
      <c r="AE155" s="266" t="s">
        <v>166</v>
      </c>
      <c r="AF155" s="266">
        <f t="shared" si="1"/>
        <v>4</v>
      </c>
      <c r="AG155" s="266">
        <v>2.0</v>
      </c>
      <c r="AH155" s="266">
        <v>1.0</v>
      </c>
      <c r="AI155" s="266" t="s">
        <v>166</v>
      </c>
      <c r="AJ155" s="266">
        <v>1.0</v>
      </c>
      <c r="AK155" s="48" t="s">
        <v>4959</v>
      </c>
      <c r="AL155" s="48">
        <v>1.0</v>
      </c>
      <c r="AM155" s="48" t="s">
        <v>166</v>
      </c>
      <c r="AN155" s="48" t="s">
        <v>166</v>
      </c>
      <c r="AO155" s="266" t="s">
        <v>166</v>
      </c>
      <c r="AP155" s="266" t="s">
        <v>166</v>
      </c>
      <c r="AQ155" s="266" t="s">
        <v>166</v>
      </c>
      <c r="AR155" s="48" t="s">
        <v>4960</v>
      </c>
      <c r="AS155" s="266" t="s">
        <v>166</v>
      </c>
      <c r="AT155" s="266">
        <v>3.0</v>
      </c>
      <c r="AU155" s="266" t="s">
        <v>174</v>
      </c>
      <c r="AV155" s="266" t="s">
        <v>166</v>
      </c>
      <c r="AW155" s="266">
        <v>1.0</v>
      </c>
      <c r="AX155" s="266">
        <v>1.0</v>
      </c>
      <c r="AY155" s="266">
        <v>1.0</v>
      </c>
      <c r="AZ155" s="266">
        <v>2.0</v>
      </c>
      <c r="BA155" s="266" t="s">
        <v>166</v>
      </c>
      <c r="BB155" s="266" t="s">
        <v>166</v>
      </c>
      <c r="BC155" s="266" t="s">
        <v>166</v>
      </c>
      <c r="BD155" s="266" t="s">
        <v>166</v>
      </c>
      <c r="BE155" s="48" t="s">
        <v>1554</v>
      </c>
      <c r="BF155" s="48" t="s">
        <v>5135</v>
      </c>
      <c r="BG155" s="48" t="s">
        <v>4963</v>
      </c>
      <c r="BH155" s="48">
        <v>3.0</v>
      </c>
      <c r="BI155" s="698" t="s">
        <v>170</v>
      </c>
      <c r="BJ155" s="496"/>
      <c r="BK155" s="394"/>
      <c r="BL155" s="394"/>
      <c r="BM155" s="394"/>
      <c r="BN155" s="394"/>
      <c r="BO155" s="394"/>
      <c r="BP155" s="394"/>
    </row>
    <row r="156">
      <c r="A156" s="266" t="s">
        <v>1688</v>
      </c>
      <c r="B156" s="48" t="s">
        <v>5184</v>
      </c>
      <c r="C156" s="266" t="s">
        <v>5185</v>
      </c>
      <c r="D156" s="452" t="str">
        <f t="shared" si="20"/>
        <v>Asus</v>
      </c>
      <c r="E156" s="452" t="s">
        <v>5653</v>
      </c>
      <c r="F156" s="266">
        <v>226.0</v>
      </c>
      <c r="G156" s="266">
        <v>185.0</v>
      </c>
      <c r="H156" s="266">
        <v>3.0</v>
      </c>
      <c r="I156" s="266" t="s">
        <v>166</v>
      </c>
      <c r="J156" s="266">
        <v>2.0</v>
      </c>
      <c r="K156" s="266" t="s">
        <v>166</v>
      </c>
      <c r="L156" s="266" t="s">
        <v>166</v>
      </c>
      <c r="M156" s="266">
        <v>1.0</v>
      </c>
      <c r="N156" s="266" t="s">
        <v>166</v>
      </c>
      <c r="O156" s="266" t="s">
        <v>166</v>
      </c>
      <c r="P156" s="266" t="s">
        <v>166</v>
      </c>
      <c r="Q156" s="266" t="s">
        <v>166</v>
      </c>
      <c r="R156" s="266">
        <v>2.0</v>
      </c>
      <c r="S156" s="266" t="s">
        <v>3149</v>
      </c>
      <c r="T156" s="266">
        <v>32.0</v>
      </c>
      <c r="U156" s="266">
        <v>2666.0</v>
      </c>
      <c r="V156" s="266">
        <v>4.0</v>
      </c>
      <c r="W156" s="710" t="s">
        <v>4950</v>
      </c>
      <c r="X156" s="266">
        <v>2.0</v>
      </c>
      <c r="Y156" s="266">
        <v>2.0</v>
      </c>
      <c r="Z156" s="266" t="s">
        <v>166</v>
      </c>
      <c r="AA156" s="266" t="s">
        <v>166</v>
      </c>
      <c r="AB156" s="266" t="s">
        <v>166</v>
      </c>
      <c r="AC156" s="266" t="s">
        <v>166</v>
      </c>
      <c r="AD156" s="266" t="s">
        <v>166</v>
      </c>
      <c r="AE156" s="266" t="s">
        <v>166</v>
      </c>
      <c r="AF156" s="266">
        <f t="shared" si="1"/>
        <v>4</v>
      </c>
      <c r="AG156" s="266">
        <v>2.0</v>
      </c>
      <c r="AH156" s="266">
        <v>1.0</v>
      </c>
      <c r="AI156" s="266" t="s">
        <v>166</v>
      </c>
      <c r="AJ156" s="266">
        <v>1.0</v>
      </c>
      <c r="AK156" s="48" t="s">
        <v>4959</v>
      </c>
      <c r="AL156" s="48">
        <v>1.0</v>
      </c>
      <c r="AM156" s="48" t="s">
        <v>166</v>
      </c>
      <c r="AN156" s="48" t="s">
        <v>166</v>
      </c>
      <c r="AO156" s="266" t="s">
        <v>166</v>
      </c>
      <c r="AP156" s="266" t="s">
        <v>166</v>
      </c>
      <c r="AQ156" s="266" t="s">
        <v>166</v>
      </c>
      <c r="AR156" s="48" t="s">
        <v>4960</v>
      </c>
      <c r="AS156" s="266" t="s">
        <v>166</v>
      </c>
      <c r="AT156" s="266">
        <v>3.0</v>
      </c>
      <c r="AU156" s="266" t="s">
        <v>174</v>
      </c>
      <c r="AV156" s="266" t="s">
        <v>166</v>
      </c>
      <c r="AW156" s="266">
        <v>1.0</v>
      </c>
      <c r="AX156" s="266">
        <v>1.0</v>
      </c>
      <c r="AY156" s="266">
        <v>1.0</v>
      </c>
      <c r="AZ156" s="266">
        <v>2.0</v>
      </c>
      <c r="BA156" s="266" t="s">
        <v>166</v>
      </c>
      <c r="BB156" s="266" t="s">
        <v>166</v>
      </c>
      <c r="BC156" s="266" t="s">
        <v>166</v>
      </c>
      <c r="BD156" s="266" t="s">
        <v>166</v>
      </c>
      <c r="BE156" s="48" t="s">
        <v>1554</v>
      </c>
      <c r="BF156" s="48" t="s">
        <v>5135</v>
      </c>
      <c r="BG156" s="48" t="s">
        <v>4963</v>
      </c>
      <c r="BH156" s="48">
        <v>3.0</v>
      </c>
      <c r="BI156" s="698" t="s">
        <v>170</v>
      </c>
      <c r="BJ156" s="496"/>
      <c r="BK156" s="394"/>
      <c r="BL156" s="394"/>
      <c r="BM156" s="394"/>
      <c r="BN156" s="394"/>
      <c r="BO156" s="394"/>
      <c r="BP156" s="394"/>
    </row>
    <row r="157">
      <c r="A157" s="266" t="s">
        <v>1688</v>
      </c>
      <c r="B157" s="48" t="s">
        <v>5184</v>
      </c>
      <c r="C157" s="266" t="s">
        <v>5185</v>
      </c>
      <c r="D157" s="452" t="str">
        <f t="shared" si="20"/>
        <v>Asus</v>
      </c>
      <c r="E157" s="452" t="s">
        <v>5654</v>
      </c>
      <c r="F157" s="266">
        <v>244.0</v>
      </c>
      <c r="G157" s="266">
        <v>193.0</v>
      </c>
      <c r="H157" s="266">
        <v>3.0</v>
      </c>
      <c r="I157" s="266">
        <v>1.0</v>
      </c>
      <c r="J157" s="266">
        <v>2.0</v>
      </c>
      <c r="K157" s="266" t="s">
        <v>166</v>
      </c>
      <c r="L157" s="266" t="s">
        <v>166</v>
      </c>
      <c r="M157" s="266">
        <v>1.0</v>
      </c>
      <c r="N157" s="266" t="s">
        <v>166</v>
      </c>
      <c r="O157" s="266" t="s">
        <v>166</v>
      </c>
      <c r="P157" s="266" t="s">
        <v>166</v>
      </c>
      <c r="Q157" s="266" t="s">
        <v>166</v>
      </c>
      <c r="R157" s="266">
        <v>2.0</v>
      </c>
      <c r="S157" s="266" t="s">
        <v>3149</v>
      </c>
      <c r="T157" s="266">
        <v>32.0</v>
      </c>
      <c r="U157" s="266">
        <v>2666.0</v>
      </c>
      <c r="V157" s="266">
        <v>4.0</v>
      </c>
      <c r="W157" s="710" t="s">
        <v>4950</v>
      </c>
      <c r="X157" s="266">
        <v>4.0</v>
      </c>
      <c r="Y157" s="266">
        <v>2.0</v>
      </c>
      <c r="Z157" s="266" t="s">
        <v>166</v>
      </c>
      <c r="AA157" s="266" t="s">
        <v>166</v>
      </c>
      <c r="AB157" s="266" t="s">
        <v>166</v>
      </c>
      <c r="AC157" s="266" t="s">
        <v>166</v>
      </c>
      <c r="AD157" s="266" t="s">
        <v>166</v>
      </c>
      <c r="AE157" s="266" t="s">
        <v>166</v>
      </c>
      <c r="AF157" s="266">
        <f t="shared" si="1"/>
        <v>6</v>
      </c>
      <c r="AG157" s="266">
        <v>1.0</v>
      </c>
      <c r="AH157" s="266">
        <v>1.0</v>
      </c>
      <c r="AI157" s="266" t="s">
        <v>166</v>
      </c>
      <c r="AJ157" s="266">
        <v>1.0</v>
      </c>
      <c r="AK157" s="48" t="s">
        <v>4959</v>
      </c>
      <c r="AL157" s="48">
        <v>1.0</v>
      </c>
      <c r="AM157" s="48" t="s">
        <v>166</v>
      </c>
      <c r="AN157" s="48" t="s">
        <v>166</v>
      </c>
      <c r="AO157" s="266" t="s">
        <v>166</v>
      </c>
      <c r="AP157" s="266" t="s">
        <v>166</v>
      </c>
      <c r="AQ157" s="266" t="s">
        <v>166</v>
      </c>
      <c r="AR157" s="48" t="s">
        <v>4960</v>
      </c>
      <c r="AS157" s="266" t="s">
        <v>166</v>
      </c>
      <c r="AT157" s="266">
        <v>3.0</v>
      </c>
      <c r="AU157" s="266" t="s">
        <v>174</v>
      </c>
      <c r="AV157" s="266" t="s">
        <v>166</v>
      </c>
      <c r="AW157" s="266" t="s">
        <v>166</v>
      </c>
      <c r="AX157" s="266">
        <v>1.0</v>
      </c>
      <c r="AY157" s="266">
        <v>1.0</v>
      </c>
      <c r="AZ157" s="266">
        <v>2.0</v>
      </c>
      <c r="BA157" s="266" t="s">
        <v>166</v>
      </c>
      <c r="BB157" s="266" t="s">
        <v>166</v>
      </c>
      <c r="BC157" s="266" t="s">
        <v>166</v>
      </c>
      <c r="BD157" s="266" t="s">
        <v>166</v>
      </c>
      <c r="BE157" s="48" t="s">
        <v>5225</v>
      </c>
      <c r="BF157" s="48" t="s">
        <v>5135</v>
      </c>
      <c r="BG157" s="48" t="s">
        <v>4963</v>
      </c>
      <c r="BH157" s="48">
        <v>3.0</v>
      </c>
      <c r="BI157" s="698" t="s">
        <v>5655</v>
      </c>
      <c r="BJ157" s="496"/>
      <c r="BK157" s="394"/>
      <c r="BL157" s="394"/>
      <c r="BM157" s="394"/>
      <c r="BN157" s="394"/>
      <c r="BO157" s="394"/>
      <c r="BP157" s="394"/>
    </row>
    <row r="158">
      <c r="A158" s="266" t="s">
        <v>1688</v>
      </c>
      <c r="B158" s="48" t="s">
        <v>5184</v>
      </c>
      <c r="C158" s="266" t="s">
        <v>5185</v>
      </c>
      <c r="D158" s="452" t="str">
        <f t="shared" si="20"/>
        <v>Asus</v>
      </c>
      <c r="E158" s="452" t="s">
        <v>5656</v>
      </c>
      <c r="F158" s="266">
        <v>244.0</v>
      </c>
      <c r="G158" s="266">
        <v>193.0</v>
      </c>
      <c r="H158" s="266">
        <v>3.0</v>
      </c>
      <c r="I158" s="266">
        <v>1.0</v>
      </c>
      <c r="J158" s="266">
        <v>2.0</v>
      </c>
      <c r="K158" s="266" t="s">
        <v>166</v>
      </c>
      <c r="L158" s="266" t="s">
        <v>166</v>
      </c>
      <c r="M158" s="266">
        <v>1.0</v>
      </c>
      <c r="N158" s="266" t="s">
        <v>166</v>
      </c>
      <c r="O158" s="266" t="s">
        <v>166</v>
      </c>
      <c r="P158" s="266" t="s">
        <v>166</v>
      </c>
      <c r="Q158" s="266" t="s">
        <v>166</v>
      </c>
      <c r="R158" s="266">
        <v>2.0</v>
      </c>
      <c r="S158" s="266" t="s">
        <v>3149</v>
      </c>
      <c r="T158" s="266">
        <v>32.0</v>
      </c>
      <c r="U158" s="266">
        <v>2666.0</v>
      </c>
      <c r="V158" s="266">
        <v>4.0</v>
      </c>
      <c r="W158" s="710" t="s">
        <v>4950</v>
      </c>
      <c r="X158" s="266">
        <v>4.0</v>
      </c>
      <c r="Y158" s="266">
        <v>2.0</v>
      </c>
      <c r="Z158" s="266" t="s">
        <v>166</v>
      </c>
      <c r="AA158" s="266" t="s">
        <v>166</v>
      </c>
      <c r="AB158" s="266" t="s">
        <v>166</v>
      </c>
      <c r="AC158" s="266" t="s">
        <v>166</v>
      </c>
      <c r="AD158" s="266" t="s">
        <v>166</v>
      </c>
      <c r="AE158" s="266" t="s">
        <v>166</v>
      </c>
      <c r="AF158" s="266">
        <f t="shared" si="1"/>
        <v>6</v>
      </c>
      <c r="AG158" s="266">
        <v>1.0</v>
      </c>
      <c r="AH158" s="266">
        <v>1.0</v>
      </c>
      <c r="AI158" s="266" t="s">
        <v>166</v>
      </c>
      <c r="AJ158" s="266">
        <v>1.0</v>
      </c>
      <c r="AK158" s="48" t="s">
        <v>4959</v>
      </c>
      <c r="AL158" s="48">
        <v>1.0</v>
      </c>
      <c r="AM158" s="48" t="s">
        <v>166</v>
      </c>
      <c r="AN158" s="48" t="s">
        <v>166</v>
      </c>
      <c r="AO158" s="266" t="s">
        <v>166</v>
      </c>
      <c r="AP158" s="266" t="s">
        <v>166</v>
      </c>
      <c r="AQ158" s="266" t="s">
        <v>166</v>
      </c>
      <c r="AR158" s="48" t="s">
        <v>4960</v>
      </c>
      <c r="AS158" s="266" t="s">
        <v>166</v>
      </c>
      <c r="AT158" s="266">
        <v>3.0</v>
      </c>
      <c r="AU158" s="266" t="s">
        <v>174</v>
      </c>
      <c r="AV158" s="266" t="s">
        <v>166</v>
      </c>
      <c r="AW158" s="266" t="s">
        <v>166</v>
      </c>
      <c r="AX158" s="266">
        <v>1.0</v>
      </c>
      <c r="AY158" s="266">
        <v>1.0</v>
      </c>
      <c r="AZ158" s="266">
        <v>2.0</v>
      </c>
      <c r="BA158" s="266" t="s">
        <v>166</v>
      </c>
      <c r="BB158" s="266" t="s">
        <v>166</v>
      </c>
      <c r="BC158" s="266" t="s">
        <v>166</v>
      </c>
      <c r="BD158" s="266" t="s">
        <v>166</v>
      </c>
      <c r="BE158" s="48" t="s">
        <v>5225</v>
      </c>
      <c r="BF158" s="48" t="s">
        <v>5135</v>
      </c>
      <c r="BG158" s="48" t="s">
        <v>4963</v>
      </c>
      <c r="BH158" s="48">
        <v>3.0</v>
      </c>
      <c r="BI158" s="698" t="s">
        <v>5655</v>
      </c>
      <c r="BJ158" s="496"/>
      <c r="BK158" s="394"/>
      <c r="BL158" s="394"/>
      <c r="BM158" s="394"/>
      <c r="BN158" s="394"/>
      <c r="BO158" s="394"/>
      <c r="BP158" s="394"/>
    </row>
    <row r="159">
      <c r="A159" s="266" t="s">
        <v>1688</v>
      </c>
      <c r="B159" s="48" t="s">
        <v>5184</v>
      </c>
      <c r="C159" s="266" t="s">
        <v>5185</v>
      </c>
      <c r="D159" s="452" t="str">
        <f t="shared" si="20"/>
        <v>Asus</v>
      </c>
      <c r="E159" s="452" t="s">
        <v>5657</v>
      </c>
      <c r="F159" s="266">
        <v>226.0</v>
      </c>
      <c r="G159" s="266">
        <v>185.0</v>
      </c>
      <c r="H159" s="266">
        <v>3.0</v>
      </c>
      <c r="I159" s="266" t="s">
        <v>166</v>
      </c>
      <c r="J159" s="266">
        <v>2.0</v>
      </c>
      <c r="K159" s="266" t="s">
        <v>166</v>
      </c>
      <c r="L159" s="266" t="s">
        <v>166</v>
      </c>
      <c r="M159" s="266">
        <v>1.0</v>
      </c>
      <c r="N159" s="266" t="s">
        <v>166</v>
      </c>
      <c r="O159" s="266" t="s">
        <v>166</v>
      </c>
      <c r="P159" s="266" t="s">
        <v>166</v>
      </c>
      <c r="Q159" s="266" t="s">
        <v>166</v>
      </c>
      <c r="R159" s="266">
        <v>2.0</v>
      </c>
      <c r="S159" s="266" t="s">
        <v>3149</v>
      </c>
      <c r="T159" s="266">
        <v>32.0</v>
      </c>
      <c r="U159" s="266">
        <v>2666.0</v>
      </c>
      <c r="V159" s="266">
        <v>4.0</v>
      </c>
      <c r="W159" s="710" t="s">
        <v>4950</v>
      </c>
      <c r="X159" s="266">
        <v>2.0</v>
      </c>
      <c r="Y159" s="266">
        <v>2.0</v>
      </c>
      <c r="Z159" s="266" t="s">
        <v>166</v>
      </c>
      <c r="AA159" s="266" t="s">
        <v>166</v>
      </c>
      <c r="AB159" s="266" t="s">
        <v>166</v>
      </c>
      <c r="AC159" s="266" t="s">
        <v>166</v>
      </c>
      <c r="AD159" s="266" t="s">
        <v>166</v>
      </c>
      <c r="AE159" s="266" t="s">
        <v>166</v>
      </c>
      <c r="AF159" s="266">
        <f t="shared" si="1"/>
        <v>4</v>
      </c>
      <c r="AG159" s="266">
        <v>2.0</v>
      </c>
      <c r="AH159" s="266">
        <v>1.0</v>
      </c>
      <c r="AI159" s="266" t="s">
        <v>166</v>
      </c>
      <c r="AJ159" s="266">
        <v>1.0</v>
      </c>
      <c r="AK159" s="48" t="s">
        <v>4959</v>
      </c>
      <c r="AL159" s="48">
        <v>1.0</v>
      </c>
      <c r="AM159" s="48" t="s">
        <v>166</v>
      </c>
      <c r="AN159" s="48" t="s">
        <v>166</v>
      </c>
      <c r="AO159" s="266" t="s">
        <v>166</v>
      </c>
      <c r="AP159" s="266" t="s">
        <v>166</v>
      </c>
      <c r="AQ159" s="266" t="s">
        <v>166</v>
      </c>
      <c r="AR159" s="48" t="s">
        <v>4960</v>
      </c>
      <c r="AS159" s="266" t="s">
        <v>166</v>
      </c>
      <c r="AT159" s="266">
        <v>3.0</v>
      </c>
      <c r="AU159" s="266" t="s">
        <v>174</v>
      </c>
      <c r="AV159" s="266" t="s">
        <v>166</v>
      </c>
      <c r="AW159" s="266">
        <v>1.0</v>
      </c>
      <c r="AX159" s="266" t="s">
        <v>166</v>
      </c>
      <c r="AY159" s="266">
        <v>1.0</v>
      </c>
      <c r="AZ159" s="266">
        <v>2.0</v>
      </c>
      <c r="BA159" s="266" t="s">
        <v>166</v>
      </c>
      <c r="BB159" s="266" t="s">
        <v>166</v>
      </c>
      <c r="BC159" s="266" t="s">
        <v>166</v>
      </c>
      <c r="BD159" s="266" t="s">
        <v>166</v>
      </c>
      <c r="BE159" s="48" t="s">
        <v>5225</v>
      </c>
      <c r="BF159" s="48" t="s">
        <v>5135</v>
      </c>
      <c r="BG159" s="48" t="s">
        <v>4963</v>
      </c>
      <c r="BH159" s="48">
        <v>3.0</v>
      </c>
      <c r="BI159" s="698" t="s">
        <v>5658</v>
      </c>
      <c r="BJ159" s="496"/>
      <c r="BK159" s="394"/>
      <c r="BL159" s="394"/>
      <c r="BM159" s="394"/>
      <c r="BN159" s="394"/>
      <c r="BO159" s="394"/>
      <c r="BP159" s="394"/>
    </row>
    <row r="160">
      <c r="A160" s="266" t="s">
        <v>1688</v>
      </c>
      <c r="B160" s="48" t="s">
        <v>5184</v>
      </c>
      <c r="C160" s="266" t="s">
        <v>5185</v>
      </c>
      <c r="D160" s="452" t="str">
        <f t="shared" si="20"/>
        <v>Asus</v>
      </c>
      <c r="E160" s="452" t="s">
        <v>5659</v>
      </c>
      <c r="F160" s="266">
        <v>226.0</v>
      </c>
      <c r="G160" s="266">
        <v>185.0</v>
      </c>
      <c r="H160" s="266">
        <v>3.0</v>
      </c>
      <c r="I160" s="266" t="s">
        <v>166</v>
      </c>
      <c r="J160" s="266">
        <v>2.0</v>
      </c>
      <c r="K160" s="266" t="s">
        <v>166</v>
      </c>
      <c r="L160" s="266" t="s">
        <v>166</v>
      </c>
      <c r="M160" s="266">
        <v>1.0</v>
      </c>
      <c r="N160" s="266" t="s">
        <v>166</v>
      </c>
      <c r="O160" s="266" t="s">
        <v>166</v>
      </c>
      <c r="P160" s="266" t="s">
        <v>166</v>
      </c>
      <c r="Q160" s="266" t="s">
        <v>166</v>
      </c>
      <c r="R160" s="266">
        <v>2.0</v>
      </c>
      <c r="S160" s="266" t="s">
        <v>3149</v>
      </c>
      <c r="T160" s="266">
        <v>32.0</v>
      </c>
      <c r="U160" s="266">
        <v>2666.0</v>
      </c>
      <c r="V160" s="266">
        <v>4.0</v>
      </c>
      <c r="W160" s="710" t="s">
        <v>4950</v>
      </c>
      <c r="X160" s="266">
        <v>2.0</v>
      </c>
      <c r="Y160" s="266">
        <v>2.0</v>
      </c>
      <c r="Z160" s="266" t="s">
        <v>166</v>
      </c>
      <c r="AA160" s="266" t="s">
        <v>166</v>
      </c>
      <c r="AB160" s="266" t="s">
        <v>166</v>
      </c>
      <c r="AC160" s="266" t="s">
        <v>166</v>
      </c>
      <c r="AD160" s="266" t="s">
        <v>166</v>
      </c>
      <c r="AE160" s="266" t="s">
        <v>166</v>
      </c>
      <c r="AF160" s="266">
        <f t="shared" si="1"/>
        <v>4</v>
      </c>
      <c r="AG160" s="266">
        <v>2.0</v>
      </c>
      <c r="AH160" s="266">
        <v>1.0</v>
      </c>
      <c r="AI160" s="266" t="s">
        <v>166</v>
      </c>
      <c r="AJ160" s="266">
        <v>1.0</v>
      </c>
      <c r="AK160" s="48" t="s">
        <v>4959</v>
      </c>
      <c r="AL160" s="48">
        <v>1.0</v>
      </c>
      <c r="AM160" s="48" t="s">
        <v>166</v>
      </c>
      <c r="AN160" s="48" t="s">
        <v>166</v>
      </c>
      <c r="AO160" s="266" t="s">
        <v>166</v>
      </c>
      <c r="AP160" s="266" t="s">
        <v>166</v>
      </c>
      <c r="AQ160" s="266" t="s">
        <v>166</v>
      </c>
      <c r="AR160" s="48" t="s">
        <v>4960</v>
      </c>
      <c r="AS160" s="266" t="s">
        <v>166</v>
      </c>
      <c r="AT160" s="266">
        <v>3.0</v>
      </c>
      <c r="AU160" s="266" t="s">
        <v>174</v>
      </c>
      <c r="AV160" s="266" t="s">
        <v>166</v>
      </c>
      <c r="AW160" s="266">
        <v>1.0</v>
      </c>
      <c r="AX160" s="266" t="s">
        <v>166</v>
      </c>
      <c r="AY160" s="266">
        <v>1.0</v>
      </c>
      <c r="AZ160" s="266">
        <v>2.0</v>
      </c>
      <c r="BA160" s="266" t="s">
        <v>166</v>
      </c>
      <c r="BB160" s="266" t="s">
        <v>166</v>
      </c>
      <c r="BC160" s="266" t="s">
        <v>166</v>
      </c>
      <c r="BD160" s="266" t="s">
        <v>166</v>
      </c>
      <c r="BE160" s="48" t="s">
        <v>1554</v>
      </c>
      <c r="BF160" s="48" t="s">
        <v>5135</v>
      </c>
      <c r="BG160" s="48" t="s">
        <v>4963</v>
      </c>
      <c r="BH160" s="48">
        <v>3.0</v>
      </c>
      <c r="BI160" s="698" t="s">
        <v>170</v>
      </c>
      <c r="BJ160" s="496"/>
      <c r="BK160" s="394"/>
      <c r="BL160" s="394"/>
      <c r="BM160" s="394"/>
      <c r="BN160" s="394"/>
      <c r="BO160" s="394"/>
      <c r="BP160" s="394"/>
    </row>
    <row r="161">
      <c r="A161" s="266" t="s">
        <v>1688</v>
      </c>
      <c r="B161" s="48" t="s">
        <v>5184</v>
      </c>
      <c r="C161" s="266" t="s">
        <v>5185</v>
      </c>
      <c r="D161" s="452" t="str">
        <f t="shared" si="20"/>
        <v>Asus</v>
      </c>
      <c r="E161" s="452" t="s">
        <v>5660</v>
      </c>
      <c r="F161" s="266">
        <v>226.0</v>
      </c>
      <c r="G161" s="266">
        <v>185.0</v>
      </c>
      <c r="H161" s="266">
        <v>3.0</v>
      </c>
      <c r="I161" s="266" t="s">
        <v>166</v>
      </c>
      <c r="J161" s="266">
        <v>2.0</v>
      </c>
      <c r="K161" s="266" t="s">
        <v>166</v>
      </c>
      <c r="L161" s="266" t="s">
        <v>166</v>
      </c>
      <c r="M161" s="266">
        <v>1.0</v>
      </c>
      <c r="N161" s="266" t="s">
        <v>166</v>
      </c>
      <c r="O161" s="266" t="s">
        <v>166</v>
      </c>
      <c r="P161" s="266" t="s">
        <v>166</v>
      </c>
      <c r="Q161" s="266" t="s">
        <v>166</v>
      </c>
      <c r="R161" s="266">
        <v>2.0</v>
      </c>
      <c r="S161" s="266" t="s">
        <v>3149</v>
      </c>
      <c r="T161" s="266">
        <v>32.0</v>
      </c>
      <c r="U161" s="266">
        <v>2666.0</v>
      </c>
      <c r="V161" s="266">
        <v>4.0</v>
      </c>
      <c r="W161" s="710" t="s">
        <v>4950</v>
      </c>
      <c r="X161" s="266">
        <v>2.0</v>
      </c>
      <c r="Y161" s="266">
        <v>2.0</v>
      </c>
      <c r="Z161" s="266" t="s">
        <v>166</v>
      </c>
      <c r="AA161" s="266" t="s">
        <v>166</v>
      </c>
      <c r="AB161" s="266" t="s">
        <v>166</v>
      </c>
      <c r="AC161" s="266" t="s">
        <v>166</v>
      </c>
      <c r="AD161" s="266" t="s">
        <v>166</v>
      </c>
      <c r="AE161" s="266" t="s">
        <v>166</v>
      </c>
      <c r="AF161" s="266">
        <f t="shared" si="1"/>
        <v>4</v>
      </c>
      <c r="AG161" s="266">
        <v>2.0</v>
      </c>
      <c r="AH161" s="266">
        <v>1.0</v>
      </c>
      <c r="AI161" s="266" t="s">
        <v>166</v>
      </c>
      <c r="AJ161" s="266">
        <v>1.0</v>
      </c>
      <c r="AK161" s="48" t="s">
        <v>4959</v>
      </c>
      <c r="AL161" s="48">
        <v>1.0</v>
      </c>
      <c r="AM161" s="48" t="s">
        <v>166</v>
      </c>
      <c r="AN161" s="48" t="s">
        <v>166</v>
      </c>
      <c r="AO161" s="266" t="s">
        <v>166</v>
      </c>
      <c r="AP161" s="266" t="s">
        <v>166</v>
      </c>
      <c r="AQ161" s="266" t="s">
        <v>166</v>
      </c>
      <c r="AR161" s="48" t="s">
        <v>4960</v>
      </c>
      <c r="AS161" s="266" t="s">
        <v>166</v>
      </c>
      <c r="AT161" s="266">
        <v>3.0</v>
      </c>
      <c r="AU161" s="266" t="s">
        <v>174</v>
      </c>
      <c r="AV161" s="266" t="s">
        <v>166</v>
      </c>
      <c r="AW161" s="266">
        <v>1.0</v>
      </c>
      <c r="AX161" s="266" t="s">
        <v>166</v>
      </c>
      <c r="AY161" s="266">
        <v>1.0</v>
      </c>
      <c r="AZ161" s="266">
        <v>2.0</v>
      </c>
      <c r="BA161" s="266" t="s">
        <v>166</v>
      </c>
      <c r="BB161" s="266" t="s">
        <v>166</v>
      </c>
      <c r="BC161" s="266" t="s">
        <v>166</v>
      </c>
      <c r="BD161" s="266" t="s">
        <v>166</v>
      </c>
      <c r="BE161" s="48" t="s">
        <v>1554</v>
      </c>
      <c r="BF161" s="48" t="s">
        <v>5135</v>
      </c>
      <c r="BG161" s="48" t="s">
        <v>4963</v>
      </c>
      <c r="BH161" s="48">
        <v>3.0</v>
      </c>
      <c r="BI161" s="698" t="s">
        <v>170</v>
      </c>
      <c r="BJ161" s="496"/>
      <c r="BK161" s="394"/>
      <c r="BL161" s="394"/>
      <c r="BM161" s="394"/>
      <c r="BN161" s="394"/>
      <c r="BO161" s="394"/>
      <c r="BP161" s="394"/>
    </row>
    <row r="162">
      <c r="A162" s="266" t="s">
        <v>1688</v>
      </c>
      <c r="B162" s="48" t="s">
        <v>5184</v>
      </c>
      <c r="C162" s="266" t="s">
        <v>5185</v>
      </c>
      <c r="D162" s="452" t="str">
        <f t="shared" si="20"/>
        <v>Asus</v>
      </c>
      <c r="E162" s="452" t="s">
        <v>5661</v>
      </c>
      <c r="F162" s="266">
        <v>226.0</v>
      </c>
      <c r="G162" s="266">
        <v>185.0</v>
      </c>
      <c r="H162" s="266">
        <v>3.0</v>
      </c>
      <c r="I162" s="266" t="s">
        <v>166</v>
      </c>
      <c r="J162" s="266">
        <v>2.0</v>
      </c>
      <c r="K162" s="266" t="s">
        <v>166</v>
      </c>
      <c r="L162" s="266" t="s">
        <v>166</v>
      </c>
      <c r="M162" s="266">
        <v>1.0</v>
      </c>
      <c r="N162" s="266" t="s">
        <v>166</v>
      </c>
      <c r="O162" s="266" t="s">
        <v>166</v>
      </c>
      <c r="P162" s="266" t="s">
        <v>166</v>
      </c>
      <c r="Q162" s="266" t="s">
        <v>166</v>
      </c>
      <c r="R162" s="266">
        <v>2.0</v>
      </c>
      <c r="S162" s="266" t="s">
        <v>3149</v>
      </c>
      <c r="T162" s="266">
        <v>32.0</v>
      </c>
      <c r="U162" s="266">
        <v>2666.0</v>
      </c>
      <c r="V162" s="266">
        <v>4.0</v>
      </c>
      <c r="W162" s="698" t="s">
        <v>166</v>
      </c>
      <c r="X162" s="266">
        <v>2.0</v>
      </c>
      <c r="Y162" s="266">
        <v>2.0</v>
      </c>
      <c r="Z162" s="266" t="s">
        <v>166</v>
      </c>
      <c r="AA162" s="266" t="s">
        <v>166</v>
      </c>
      <c r="AB162" s="266" t="s">
        <v>166</v>
      </c>
      <c r="AC162" s="266" t="s">
        <v>166</v>
      </c>
      <c r="AD162" s="266" t="s">
        <v>166</v>
      </c>
      <c r="AE162" s="266" t="s">
        <v>166</v>
      </c>
      <c r="AF162" s="266">
        <f t="shared" si="1"/>
        <v>4</v>
      </c>
      <c r="AG162" s="266">
        <v>2.0</v>
      </c>
      <c r="AH162" s="266">
        <v>1.0</v>
      </c>
      <c r="AI162" s="266" t="s">
        <v>166</v>
      </c>
      <c r="AJ162" s="266">
        <v>1.0</v>
      </c>
      <c r="AK162" s="48" t="s">
        <v>4959</v>
      </c>
      <c r="AL162" s="48">
        <v>1.0</v>
      </c>
      <c r="AM162" s="48" t="s">
        <v>166</v>
      </c>
      <c r="AN162" s="48" t="s">
        <v>166</v>
      </c>
      <c r="AO162" s="266" t="s">
        <v>166</v>
      </c>
      <c r="AP162" s="266" t="s">
        <v>166</v>
      </c>
      <c r="AQ162" s="266" t="s">
        <v>166</v>
      </c>
      <c r="AR162" s="48" t="s">
        <v>4960</v>
      </c>
      <c r="AS162" s="266" t="s">
        <v>166</v>
      </c>
      <c r="AT162" s="266">
        <v>3.0</v>
      </c>
      <c r="AU162" s="266" t="s">
        <v>174</v>
      </c>
      <c r="AV162" s="266" t="s">
        <v>166</v>
      </c>
      <c r="AW162" s="266" t="s">
        <v>166</v>
      </c>
      <c r="AX162" s="266">
        <v>1.0</v>
      </c>
      <c r="AY162" s="266">
        <v>1.0</v>
      </c>
      <c r="AZ162" s="266">
        <v>2.0</v>
      </c>
      <c r="BA162" s="266" t="s">
        <v>166</v>
      </c>
      <c r="BB162" s="266" t="s">
        <v>166</v>
      </c>
      <c r="BC162" s="266" t="s">
        <v>166</v>
      </c>
      <c r="BD162" s="266" t="s">
        <v>166</v>
      </c>
      <c r="BE162" s="48" t="s">
        <v>1554</v>
      </c>
      <c r="BF162" s="48" t="s">
        <v>5135</v>
      </c>
      <c r="BG162" s="48" t="s">
        <v>4963</v>
      </c>
      <c r="BH162" s="48">
        <v>3.0</v>
      </c>
      <c r="BI162" s="698" t="s">
        <v>170</v>
      </c>
      <c r="BJ162" s="496"/>
      <c r="BK162" s="394"/>
      <c r="BL162" s="394"/>
      <c r="BM162" s="394"/>
      <c r="BN162" s="394"/>
      <c r="BO162" s="394"/>
      <c r="BP162" s="394"/>
    </row>
    <row r="163">
      <c r="A163" s="266" t="s">
        <v>1688</v>
      </c>
      <c r="B163" s="48" t="s">
        <v>5184</v>
      </c>
      <c r="C163" s="266" t="s">
        <v>5185</v>
      </c>
      <c r="D163" s="452" t="str">
        <f t="shared" si="20"/>
        <v>Asus</v>
      </c>
      <c r="E163" s="452" t="s">
        <v>5662</v>
      </c>
      <c r="F163" s="266">
        <v>226.0</v>
      </c>
      <c r="G163" s="266">
        <v>185.0</v>
      </c>
      <c r="H163" s="266">
        <v>3.0</v>
      </c>
      <c r="I163" s="266" t="s">
        <v>166</v>
      </c>
      <c r="J163" s="266">
        <v>2.0</v>
      </c>
      <c r="K163" s="266" t="s">
        <v>166</v>
      </c>
      <c r="L163" s="266" t="s">
        <v>166</v>
      </c>
      <c r="M163" s="266">
        <v>1.0</v>
      </c>
      <c r="N163" s="266" t="s">
        <v>166</v>
      </c>
      <c r="O163" s="266" t="s">
        <v>166</v>
      </c>
      <c r="P163" s="266" t="s">
        <v>166</v>
      </c>
      <c r="Q163" s="266" t="s">
        <v>166</v>
      </c>
      <c r="R163" s="266">
        <v>2.0</v>
      </c>
      <c r="S163" s="266" t="s">
        <v>3149</v>
      </c>
      <c r="T163" s="266">
        <v>32.0</v>
      </c>
      <c r="U163" s="266">
        <v>2666.0</v>
      </c>
      <c r="V163" s="266">
        <v>4.0</v>
      </c>
      <c r="W163" s="698" t="s">
        <v>166</v>
      </c>
      <c r="X163" s="266">
        <v>2.0</v>
      </c>
      <c r="Y163" s="266">
        <v>2.0</v>
      </c>
      <c r="Z163" s="266" t="s">
        <v>166</v>
      </c>
      <c r="AA163" s="266" t="s">
        <v>166</v>
      </c>
      <c r="AB163" s="266" t="s">
        <v>166</v>
      </c>
      <c r="AC163" s="266" t="s">
        <v>166</v>
      </c>
      <c r="AD163" s="266" t="s">
        <v>166</v>
      </c>
      <c r="AE163" s="266" t="s">
        <v>166</v>
      </c>
      <c r="AF163" s="266">
        <f t="shared" si="1"/>
        <v>4</v>
      </c>
      <c r="AG163" s="266">
        <v>2.0</v>
      </c>
      <c r="AH163" s="266">
        <v>1.0</v>
      </c>
      <c r="AI163" s="266" t="s">
        <v>166</v>
      </c>
      <c r="AJ163" s="266">
        <v>1.0</v>
      </c>
      <c r="AK163" s="48" t="s">
        <v>4959</v>
      </c>
      <c r="AL163" s="48">
        <v>1.0</v>
      </c>
      <c r="AM163" s="48" t="s">
        <v>166</v>
      </c>
      <c r="AN163" s="48" t="s">
        <v>166</v>
      </c>
      <c r="AO163" s="266" t="s">
        <v>166</v>
      </c>
      <c r="AP163" s="266" t="s">
        <v>166</v>
      </c>
      <c r="AQ163" s="266" t="s">
        <v>166</v>
      </c>
      <c r="AR163" s="48" t="s">
        <v>4960</v>
      </c>
      <c r="AS163" s="266" t="s">
        <v>166</v>
      </c>
      <c r="AT163" s="266">
        <v>3.0</v>
      </c>
      <c r="AU163" s="266" t="s">
        <v>174</v>
      </c>
      <c r="AV163" s="266" t="s">
        <v>166</v>
      </c>
      <c r="AW163" s="266" t="s">
        <v>166</v>
      </c>
      <c r="AX163" s="266">
        <v>1.0</v>
      </c>
      <c r="AY163" s="266">
        <v>1.0</v>
      </c>
      <c r="AZ163" s="266">
        <v>2.0</v>
      </c>
      <c r="BA163" s="266" t="s">
        <v>166</v>
      </c>
      <c r="BB163" s="266" t="s">
        <v>166</v>
      </c>
      <c r="BC163" s="266" t="s">
        <v>166</v>
      </c>
      <c r="BD163" s="266" t="s">
        <v>166</v>
      </c>
      <c r="BE163" s="48" t="s">
        <v>1554</v>
      </c>
      <c r="BF163" s="48" t="s">
        <v>5135</v>
      </c>
      <c r="BG163" s="48" t="s">
        <v>4963</v>
      </c>
      <c r="BH163" s="48">
        <v>3.0</v>
      </c>
      <c r="BI163" s="698" t="s">
        <v>170</v>
      </c>
      <c r="BJ163" s="496"/>
      <c r="BK163" s="394"/>
      <c r="BL163" s="394"/>
      <c r="BM163" s="394"/>
      <c r="BN163" s="394"/>
      <c r="BO163" s="394"/>
      <c r="BP163" s="394"/>
    </row>
    <row r="164">
      <c r="A164" s="266" t="s">
        <v>1688</v>
      </c>
      <c r="B164" s="48" t="s">
        <v>5184</v>
      </c>
      <c r="C164" s="266" t="s">
        <v>5185</v>
      </c>
      <c r="D164" s="452" t="str">
        <f t="shared" si="20"/>
        <v>Asus</v>
      </c>
      <c r="E164" s="452" t="s">
        <v>5663</v>
      </c>
      <c r="F164" s="266">
        <v>226.0</v>
      </c>
      <c r="G164" s="266">
        <v>208.0</v>
      </c>
      <c r="H164" s="266">
        <v>3.0</v>
      </c>
      <c r="I164" s="266" t="s">
        <v>166</v>
      </c>
      <c r="J164" s="266">
        <v>2.0</v>
      </c>
      <c r="K164" s="266" t="s">
        <v>166</v>
      </c>
      <c r="L164" s="266" t="s">
        <v>166</v>
      </c>
      <c r="M164" s="266">
        <v>1.0</v>
      </c>
      <c r="N164" s="266" t="s">
        <v>166</v>
      </c>
      <c r="O164" s="266" t="s">
        <v>166</v>
      </c>
      <c r="P164" s="266" t="s">
        <v>166</v>
      </c>
      <c r="Q164" s="266" t="s">
        <v>166</v>
      </c>
      <c r="R164" s="266">
        <v>2.0</v>
      </c>
      <c r="S164" s="266" t="s">
        <v>3149</v>
      </c>
      <c r="T164" s="266">
        <v>32.0</v>
      </c>
      <c r="U164" s="266">
        <v>2666.0</v>
      </c>
      <c r="V164" s="266">
        <v>4.0</v>
      </c>
      <c r="W164" s="710" t="s">
        <v>4950</v>
      </c>
      <c r="X164" s="266">
        <v>4.0</v>
      </c>
      <c r="Y164" s="266">
        <v>2.0</v>
      </c>
      <c r="Z164" s="266" t="s">
        <v>166</v>
      </c>
      <c r="AA164" s="266" t="s">
        <v>166</v>
      </c>
      <c r="AB164" s="266" t="s">
        <v>166</v>
      </c>
      <c r="AC164" s="266" t="s">
        <v>166</v>
      </c>
      <c r="AD164" s="266" t="s">
        <v>166</v>
      </c>
      <c r="AE164" s="266" t="s">
        <v>166</v>
      </c>
      <c r="AF164" s="266">
        <f t="shared" si="1"/>
        <v>6</v>
      </c>
      <c r="AG164" s="266">
        <v>1.0</v>
      </c>
      <c r="AH164" s="266">
        <v>1.0</v>
      </c>
      <c r="AI164" s="266" t="s">
        <v>166</v>
      </c>
      <c r="AJ164" s="266">
        <v>1.0</v>
      </c>
      <c r="AK164" s="48" t="s">
        <v>5133</v>
      </c>
      <c r="AL164" s="48">
        <v>1.0</v>
      </c>
      <c r="AM164" s="48" t="s">
        <v>166</v>
      </c>
      <c r="AN164" s="48" t="s">
        <v>166</v>
      </c>
      <c r="AO164" s="266" t="s">
        <v>166</v>
      </c>
      <c r="AP164" s="266" t="s">
        <v>166</v>
      </c>
      <c r="AQ164" s="266" t="s">
        <v>166</v>
      </c>
      <c r="AR164" s="48" t="s">
        <v>4960</v>
      </c>
      <c r="AS164" s="266" t="s">
        <v>166</v>
      </c>
      <c r="AT164" s="266">
        <v>3.0</v>
      </c>
      <c r="AU164" s="266" t="s">
        <v>174</v>
      </c>
      <c r="AV164" s="266" t="s">
        <v>166</v>
      </c>
      <c r="AW164" s="266" t="s">
        <v>166</v>
      </c>
      <c r="AX164" s="266">
        <v>1.0</v>
      </c>
      <c r="AY164" s="266">
        <v>1.0</v>
      </c>
      <c r="AZ164" s="266">
        <v>2.0</v>
      </c>
      <c r="BA164" s="266">
        <v>1.0</v>
      </c>
      <c r="BB164" s="266" t="s">
        <v>166</v>
      </c>
      <c r="BC164" s="266" t="s">
        <v>166</v>
      </c>
      <c r="BD164" s="266" t="s">
        <v>166</v>
      </c>
      <c r="BE164" s="48" t="s">
        <v>5225</v>
      </c>
      <c r="BF164" s="48" t="s">
        <v>5135</v>
      </c>
      <c r="BG164" s="48" t="s">
        <v>4963</v>
      </c>
      <c r="BH164" s="48">
        <v>3.0</v>
      </c>
      <c r="BI164" s="698" t="s">
        <v>5658</v>
      </c>
      <c r="BJ164" s="496"/>
      <c r="BK164" s="394"/>
      <c r="BL164" s="394"/>
      <c r="BM164" s="394"/>
      <c r="BN164" s="394"/>
      <c r="BO164" s="394"/>
      <c r="BP164" s="394"/>
    </row>
    <row r="165">
      <c r="A165" s="266" t="s">
        <v>1688</v>
      </c>
      <c r="B165" s="48" t="s">
        <v>5184</v>
      </c>
      <c r="C165" s="266" t="s">
        <v>5185</v>
      </c>
      <c r="D165" s="452" t="str">
        <f t="shared" ref="D165:D166" si="21">HYPERLINK("https://www.biostar.com.tw/app/en/","Biostar")</f>
        <v>Biostar</v>
      </c>
      <c r="E165" s="747" t="s">
        <v>5664</v>
      </c>
      <c r="F165" s="266">
        <v>228.0</v>
      </c>
      <c r="G165" s="266">
        <v>177.0</v>
      </c>
      <c r="H165" s="266">
        <v>3.0</v>
      </c>
      <c r="I165" s="266" t="s">
        <v>166</v>
      </c>
      <c r="J165" s="266">
        <v>2.0</v>
      </c>
      <c r="K165" s="266" t="s">
        <v>166</v>
      </c>
      <c r="L165" s="266" t="s">
        <v>166</v>
      </c>
      <c r="M165" s="266">
        <v>1.0</v>
      </c>
      <c r="N165" s="266" t="s">
        <v>166</v>
      </c>
      <c r="O165" s="266" t="s">
        <v>166</v>
      </c>
      <c r="P165" s="266" t="s">
        <v>166</v>
      </c>
      <c r="Q165" s="266" t="s">
        <v>166</v>
      </c>
      <c r="R165" s="266">
        <v>2.0</v>
      </c>
      <c r="S165" s="266" t="s">
        <v>3149</v>
      </c>
      <c r="T165" s="266">
        <v>32.0</v>
      </c>
      <c r="U165" s="266">
        <v>2666.0</v>
      </c>
      <c r="V165" s="266">
        <v>4.0</v>
      </c>
      <c r="W165" s="698" t="s">
        <v>166</v>
      </c>
      <c r="X165" s="266">
        <v>4.0</v>
      </c>
      <c r="Y165" s="266">
        <v>2.0</v>
      </c>
      <c r="Z165" s="266" t="s">
        <v>166</v>
      </c>
      <c r="AA165" s="266" t="s">
        <v>166</v>
      </c>
      <c r="AB165" s="266" t="s">
        <v>166</v>
      </c>
      <c r="AC165" s="266" t="s">
        <v>166</v>
      </c>
      <c r="AD165" s="266" t="s">
        <v>166</v>
      </c>
      <c r="AE165" s="266" t="s">
        <v>166</v>
      </c>
      <c r="AF165" s="266">
        <f t="shared" si="1"/>
        <v>6</v>
      </c>
      <c r="AG165" s="266">
        <v>1.0</v>
      </c>
      <c r="AH165" s="266">
        <v>1.0</v>
      </c>
      <c r="AI165" s="266" t="s">
        <v>166</v>
      </c>
      <c r="AJ165" s="266">
        <v>1.0</v>
      </c>
      <c r="AK165" s="48" t="s">
        <v>4959</v>
      </c>
      <c r="AL165" s="48">
        <v>1.0</v>
      </c>
      <c r="AM165" s="48" t="s">
        <v>166</v>
      </c>
      <c r="AN165" s="48" t="s">
        <v>166</v>
      </c>
      <c r="AO165" s="266" t="s">
        <v>166</v>
      </c>
      <c r="AP165" s="266" t="s">
        <v>166</v>
      </c>
      <c r="AQ165" s="266" t="s">
        <v>166</v>
      </c>
      <c r="AR165" s="48" t="s">
        <v>4960</v>
      </c>
      <c r="AS165" s="266" t="s">
        <v>166</v>
      </c>
      <c r="AT165" s="266">
        <v>3.0</v>
      </c>
      <c r="AU165" s="266" t="s">
        <v>174</v>
      </c>
      <c r="AV165" s="266" t="s">
        <v>166</v>
      </c>
      <c r="AW165" s="266">
        <v>1.0</v>
      </c>
      <c r="AX165" s="266">
        <v>1.0</v>
      </c>
      <c r="AY165" s="266">
        <v>1.0</v>
      </c>
      <c r="AZ165" s="266">
        <v>2.0</v>
      </c>
      <c r="BA165" s="266" t="s">
        <v>166</v>
      </c>
      <c r="BB165" s="266" t="s">
        <v>166</v>
      </c>
      <c r="BC165" s="266" t="s">
        <v>166</v>
      </c>
      <c r="BD165" s="266" t="s">
        <v>166</v>
      </c>
      <c r="BE165" s="48" t="s">
        <v>5665</v>
      </c>
      <c r="BF165" s="48" t="s">
        <v>5461</v>
      </c>
      <c r="BG165" s="48" t="s">
        <v>4963</v>
      </c>
      <c r="BH165" s="48">
        <v>3.0</v>
      </c>
      <c r="BI165" s="698" t="s">
        <v>5158</v>
      </c>
      <c r="BJ165" s="496"/>
      <c r="BK165" s="394"/>
      <c r="BL165" s="394"/>
      <c r="BM165" s="394"/>
      <c r="BN165" s="394"/>
      <c r="BO165" s="394"/>
      <c r="BP165" s="394"/>
    </row>
    <row r="166">
      <c r="A166" s="266" t="s">
        <v>1688</v>
      </c>
      <c r="B166" s="48" t="s">
        <v>5184</v>
      </c>
      <c r="C166" s="266" t="s">
        <v>5185</v>
      </c>
      <c r="D166" s="452" t="str">
        <f t="shared" si="21"/>
        <v>Biostar</v>
      </c>
      <c r="E166" s="747" t="s">
        <v>5666</v>
      </c>
      <c r="F166" s="266">
        <v>226.0</v>
      </c>
      <c r="G166" s="266">
        <v>171.0</v>
      </c>
      <c r="H166" s="266">
        <v>3.0</v>
      </c>
      <c r="I166" s="266" t="s">
        <v>166</v>
      </c>
      <c r="J166" s="266">
        <v>2.0</v>
      </c>
      <c r="K166" s="266" t="s">
        <v>166</v>
      </c>
      <c r="L166" s="266" t="s">
        <v>166</v>
      </c>
      <c r="M166" s="266">
        <v>1.0</v>
      </c>
      <c r="N166" s="266" t="s">
        <v>166</v>
      </c>
      <c r="O166" s="266" t="s">
        <v>166</v>
      </c>
      <c r="P166" s="266" t="s">
        <v>166</v>
      </c>
      <c r="Q166" s="266" t="s">
        <v>166</v>
      </c>
      <c r="R166" s="266">
        <v>2.0</v>
      </c>
      <c r="S166" s="266" t="s">
        <v>3149</v>
      </c>
      <c r="T166" s="266">
        <v>32.0</v>
      </c>
      <c r="U166" s="266">
        <v>2666.0</v>
      </c>
      <c r="V166" s="266">
        <v>4.0</v>
      </c>
      <c r="W166" s="698" t="s">
        <v>166</v>
      </c>
      <c r="X166" s="266">
        <v>4.0</v>
      </c>
      <c r="Y166" s="266">
        <v>2.0</v>
      </c>
      <c r="Z166" s="266" t="s">
        <v>166</v>
      </c>
      <c r="AA166" s="266" t="s">
        <v>166</v>
      </c>
      <c r="AB166" s="266" t="s">
        <v>166</v>
      </c>
      <c r="AC166" s="266" t="s">
        <v>166</v>
      </c>
      <c r="AD166" s="266" t="s">
        <v>166</v>
      </c>
      <c r="AE166" s="266" t="s">
        <v>166</v>
      </c>
      <c r="AF166" s="266">
        <f t="shared" si="1"/>
        <v>6</v>
      </c>
      <c r="AG166" s="266">
        <v>1.0</v>
      </c>
      <c r="AH166" s="266">
        <v>1.0</v>
      </c>
      <c r="AI166" s="266" t="s">
        <v>166</v>
      </c>
      <c r="AJ166" s="266">
        <v>1.0</v>
      </c>
      <c r="AK166" s="48" t="s">
        <v>4959</v>
      </c>
      <c r="AL166" s="48">
        <v>1.0</v>
      </c>
      <c r="AM166" s="48" t="s">
        <v>166</v>
      </c>
      <c r="AN166" s="48" t="s">
        <v>166</v>
      </c>
      <c r="AO166" s="266" t="s">
        <v>166</v>
      </c>
      <c r="AP166" s="266" t="s">
        <v>166</v>
      </c>
      <c r="AQ166" s="266" t="s">
        <v>166</v>
      </c>
      <c r="AR166" s="48" t="s">
        <v>4960</v>
      </c>
      <c r="AS166" s="266" t="s">
        <v>166</v>
      </c>
      <c r="AT166" s="266">
        <v>3.0</v>
      </c>
      <c r="AU166" s="266" t="s">
        <v>174</v>
      </c>
      <c r="AV166" s="266" t="s">
        <v>166</v>
      </c>
      <c r="AW166" s="266">
        <v>1.0</v>
      </c>
      <c r="AX166" s="266" t="s">
        <v>166</v>
      </c>
      <c r="AY166" s="266">
        <v>1.0</v>
      </c>
      <c r="AZ166" s="266">
        <v>2.0</v>
      </c>
      <c r="BA166" s="266" t="s">
        <v>166</v>
      </c>
      <c r="BB166" s="266" t="s">
        <v>166</v>
      </c>
      <c r="BC166" s="266" t="s">
        <v>166</v>
      </c>
      <c r="BD166" s="266" t="s">
        <v>166</v>
      </c>
      <c r="BE166" s="48" t="s">
        <v>5667</v>
      </c>
      <c r="BF166" s="48" t="s">
        <v>5017</v>
      </c>
      <c r="BG166" s="48" t="s">
        <v>4963</v>
      </c>
      <c r="BH166" s="48">
        <v>4.0</v>
      </c>
      <c r="BI166" s="698" t="s">
        <v>170</v>
      </c>
      <c r="BJ166" s="496"/>
      <c r="BK166" s="394"/>
      <c r="BL166" s="394"/>
      <c r="BM166" s="394"/>
      <c r="BN166" s="394"/>
      <c r="BO166" s="394"/>
      <c r="BP166" s="394"/>
    </row>
    <row r="167">
      <c r="A167" s="266" t="s">
        <v>1688</v>
      </c>
      <c r="B167" s="48" t="s">
        <v>5184</v>
      </c>
      <c r="C167" s="266" t="s">
        <v>5185</v>
      </c>
      <c r="D167" s="452" t="str">
        <f t="shared" ref="D167:D175" si="22">HYPERLINK("https://www.gigabyte.com/","Gigabyte")</f>
        <v>Gigabyte</v>
      </c>
      <c r="E167" s="747" t="s">
        <v>5668</v>
      </c>
      <c r="F167" s="266">
        <v>226.0</v>
      </c>
      <c r="G167" s="266">
        <v>185.0</v>
      </c>
      <c r="H167" s="266">
        <v>3.0</v>
      </c>
      <c r="I167" s="266" t="s">
        <v>166</v>
      </c>
      <c r="J167" s="266">
        <v>2.0</v>
      </c>
      <c r="K167" s="266" t="s">
        <v>166</v>
      </c>
      <c r="L167" s="266" t="s">
        <v>166</v>
      </c>
      <c r="M167" s="266">
        <v>1.0</v>
      </c>
      <c r="N167" s="266" t="s">
        <v>166</v>
      </c>
      <c r="O167" s="266" t="s">
        <v>166</v>
      </c>
      <c r="P167" s="266" t="s">
        <v>166</v>
      </c>
      <c r="Q167" s="266" t="s">
        <v>166</v>
      </c>
      <c r="R167" s="266">
        <v>2.0</v>
      </c>
      <c r="S167" s="266" t="s">
        <v>3149</v>
      </c>
      <c r="T167" s="266">
        <v>32.0</v>
      </c>
      <c r="U167" s="266">
        <v>2666.0</v>
      </c>
      <c r="V167" s="266">
        <v>4.0</v>
      </c>
      <c r="W167" s="710" t="s">
        <v>4950</v>
      </c>
      <c r="X167" s="266">
        <v>4.0</v>
      </c>
      <c r="Y167" s="266">
        <v>2.0</v>
      </c>
      <c r="Z167" s="266" t="s">
        <v>166</v>
      </c>
      <c r="AA167" s="266" t="s">
        <v>166</v>
      </c>
      <c r="AB167" s="266" t="s">
        <v>166</v>
      </c>
      <c r="AC167" s="266" t="s">
        <v>166</v>
      </c>
      <c r="AD167" s="266" t="s">
        <v>166</v>
      </c>
      <c r="AE167" s="266" t="s">
        <v>166</v>
      </c>
      <c r="AF167" s="266">
        <f t="shared" si="1"/>
        <v>6</v>
      </c>
      <c r="AG167" s="266">
        <v>1.0</v>
      </c>
      <c r="AH167" s="266">
        <v>1.0</v>
      </c>
      <c r="AI167" s="266" t="s">
        <v>166</v>
      </c>
      <c r="AJ167" s="266">
        <v>1.0</v>
      </c>
      <c r="AK167" s="48" t="s">
        <v>5133</v>
      </c>
      <c r="AL167" s="48">
        <v>1.0</v>
      </c>
      <c r="AM167" s="48" t="s">
        <v>166</v>
      </c>
      <c r="AN167" s="48" t="s">
        <v>166</v>
      </c>
      <c r="AO167" s="266" t="s">
        <v>166</v>
      </c>
      <c r="AP167" s="266" t="s">
        <v>166</v>
      </c>
      <c r="AQ167" s="266" t="s">
        <v>166</v>
      </c>
      <c r="AR167" s="48" t="s">
        <v>4960</v>
      </c>
      <c r="AS167" s="266" t="s">
        <v>166</v>
      </c>
      <c r="AT167" s="266">
        <v>3.0</v>
      </c>
      <c r="AU167" s="266" t="s">
        <v>174</v>
      </c>
      <c r="AV167" s="266">
        <v>1.0</v>
      </c>
      <c r="AW167" s="266">
        <v>1.0</v>
      </c>
      <c r="AX167" s="266" t="s">
        <v>166</v>
      </c>
      <c r="AY167" s="266" t="s">
        <v>166</v>
      </c>
      <c r="AZ167" s="266">
        <v>2.0</v>
      </c>
      <c r="BA167" s="266">
        <v>1.0</v>
      </c>
      <c r="BB167" s="266" t="s">
        <v>166</v>
      </c>
      <c r="BC167" s="266" t="s">
        <v>166</v>
      </c>
      <c r="BD167" s="266" t="s">
        <v>166</v>
      </c>
      <c r="BE167" s="48" t="s">
        <v>170</v>
      </c>
      <c r="BF167" s="48" t="s">
        <v>5135</v>
      </c>
      <c r="BG167" s="48" t="s">
        <v>4963</v>
      </c>
      <c r="BH167" s="48">
        <v>3.0</v>
      </c>
      <c r="BI167" s="698" t="s">
        <v>170</v>
      </c>
      <c r="BJ167" s="496"/>
      <c r="BK167" s="394"/>
      <c r="BL167" s="394"/>
      <c r="BM167" s="394"/>
      <c r="BN167" s="394"/>
      <c r="BO167" s="394"/>
      <c r="BP167" s="394"/>
    </row>
    <row r="168">
      <c r="A168" s="266" t="s">
        <v>1688</v>
      </c>
      <c r="B168" s="48" t="s">
        <v>5184</v>
      </c>
      <c r="C168" s="266" t="s">
        <v>5185</v>
      </c>
      <c r="D168" s="452" t="str">
        <f t="shared" si="22"/>
        <v>Gigabyte</v>
      </c>
      <c r="E168" s="747" t="s">
        <v>5669</v>
      </c>
      <c r="F168" s="266">
        <v>226.0</v>
      </c>
      <c r="G168" s="266">
        <v>174.0</v>
      </c>
      <c r="H168" s="266">
        <v>3.0</v>
      </c>
      <c r="I168" s="266" t="s">
        <v>166</v>
      </c>
      <c r="J168" s="266">
        <v>2.0</v>
      </c>
      <c r="K168" s="266" t="s">
        <v>166</v>
      </c>
      <c r="L168" s="266" t="s">
        <v>166</v>
      </c>
      <c r="M168" s="266">
        <v>1.0</v>
      </c>
      <c r="N168" s="266" t="s">
        <v>166</v>
      </c>
      <c r="O168" s="266" t="s">
        <v>166</v>
      </c>
      <c r="P168" s="266" t="s">
        <v>166</v>
      </c>
      <c r="Q168" s="266" t="s">
        <v>166</v>
      </c>
      <c r="R168" s="266">
        <v>2.0</v>
      </c>
      <c r="S168" s="266" t="s">
        <v>3149</v>
      </c>
      <c r="T168" s="266">
        <v>32.0</v>
      </c>
      <c r="U168" s="266">
        <v>2666.0</v>
      </c>
      <c r="V168" s="266">
        <v>4.0</v>
      </c>
      <c r="W168" s="698" t="s">
        <v>166</v>
      </c>
      <c r="X168" s="266">
        <v>4.0</v>
      </c>
      <c r="Y168" s="266">
        <v>2.0</v>
      </c>
      <c r="Z168" s="266" t="s">
        <v>166</v>
      </c>
      <c r="AA168" s="266" t="s">
        <v>166</v>
      </c>
      <c r="AB168" s="266" t="s">
        <v>166</v>
      </c>
      <c r="AC168" s="266" t="s">
        <v>166</v>
      </c>
      <c r="AD168" s="266" t="s">
        <v>166</v>
      </c>
      <c r="AE168" s="266" t="s">
        <v>166</v>
      </c>
      <c r="AF168" s="266">
        <f t="shared" si="1"/>
        <v>6</v>
      </c>
      <c r="AG168" s="266">
        <v>1.0</v>
      </c>
      <c r="AH168" s="266">
        <v>1.0</v>
      </c>
      <c r="AI168" s="266" t="s">
        <v>166</v>
      </c>
      <c r="AJ168" s="266">
        <v>1.0</v>
      </c>
      <c r="AK168" s="48" t="s">
        <v>5536</v>
      </c>
      <c r="AL168" s="48">
        <v>1.0</v>
      </c>
      <c r="AM168" s="48" t="s">
        <v>166</v>
      </c>
      <c r="AN168" s="48" t="s">
        <v>166</v>
      </c>
      <c r="AO168" s="266" t="s">
        <v>166</v>
      </c>
      <c r="AP168" s="266" t="s">
        <v>166</v>
      </c>
      <c r="AQ168" s="266" t="s">
        <v>166</v>
      </c>
      <c r="AR168" s="48" t="s">
        <v>4960</v>
      </c>
      <c r="AS168" s="266" t="s">
        <v>166</v>
      </c>
      <c r="AT168" s="266">
        <v>3.0</v>
      </c>
      <c r="AU168" s="266" t="s">
        <v>174</v>
      </c>
      <c r="AV168" s="266" t="s">
        <v>166</v>
      </c>
      <c r="AW168" s="266" t="s">
        <v>166</v>
      </c>
      <c r="AX168" s="266" t="s">
        <v>166</v>
      </c>
      <c r="AY168" s="266">
        <v>1.0</v>
      </c>
      <c r="AZ168" s="266">
        <v>2.0</v>
      </c>
      <c r="BA168" s="266" t="s">
        <v>166</v>
      </c>
      <c r="BB168" s="266" t="s">
        <v>166</v>
      </c>
      <c r="BC168" s="266" t="s">
        <v>166</v>
      </c>
      <c r="BD168" s="266" t="s">
        <v>166</v>
      </c>
      <c r="BE168" s="48" t="s">
        <v>170</v>
      </c>
      <c r="BF168" s="48" t="s">
        <v>5135</v>
      </c>
      <c r="BG168" s="48" t="s">
        <v>4963</v>
      </c>
      <c r="BH168" s="48">
        <v>3.0</v>
      </c>
      <c r="BI168" s="698" t="s">
        <v>5146</v>
      </c>
      <c r="BJ168" s="496"/>
      <c r="BK168" s="394"/>
      <c r="BL168" s="394"/>
      <c r="BM168" s="394"/>
      <c r="BN168" s="394"/>
      <c r="BO168" s="394"/>
      <c r="BP168" s="394"/>
    </row>
    <row r="169">
      <c r="A169" s="266" t="s">
        <v>1688</v>
      </c>
      <c r="B169" s="48" t="s">
        <v>5184</v>
      </c>
      <c r="C169" s="266" t="s">
        <v>5185</v>
      </c>
      <c r="D169" s="452" t="str">
        <f t="shared" si="22"/>
        <v>Gigabyte</v>
      </c>
      <c r="E169" s="747" t="s">
        <v>5670</v>
      </c>
      <c r="F169" s="266">
        <v>226.0</v>
      </c>
      <c r="G169" s="266">
        <v>185.0</v>
      </c>
      <c r="H169" s="266">
        <v>3.0</v>
      </c>
      <c r="I169" s="266" t="s">
        <v>166</v>
      </c>
      <c r="J169" s="266">
        <v>2.0</v>
      </c>
      <c r="K169" s="266" t="s">
        <v>166</v>
      </c>
      <c r="L169" s="266" t="s">
        <v>166</v>
      </c>
      <c r="M169" s="266">
        <v>1.0</v>
      </c>
      <c r="N169" s="266" t="s">
        <v>166</v>
      </c>
      <c r="O169" s="266" t="s">
        <v>166</v>
      </c>
      <c r="P169" s="266" t="s">
        <v>166</v>
      </c>
      <c r="Q169" s="266" t="s">
        <v>166</v>
      </c>
      <c r="R169" s="266">
        <v>2.0</v>
      </c>
      <c r="S169" s="266" t="s">
        <v>3149</v>
      </c>
      <c r="T169" s="266">
        <v>32.0</v>
      </c>
      <c r="U169" s="266">
        <v>2666.0</v>
      </c>
      <c r="V169" s="266">
        <v>4.0</v>
      </c>
      <c r="W169" s="698" t="s">
        <v>166</v>
      </c>
      <c r="X169" s="266">
        <v>4.0</v>
      </c>
      <c r="Y169" s="266">
        <v>2.0</v>
      </c>
      <c r="Z169" s="266" t="s">
        <v>166</v>
      </c>
      <c r="AA169" s="266" t="s">
        <v>166</v>
      </c>
      <c r="AB169" s="266" t="s">
        <v>166</v>
      </c>
      <c r="AC169" s="266" t="s">
        <v>166</v>
      </c>
      <c r="AD169" s="266" t="s">
        <v>166</v>
      </c>
      <c r="AE169" s="266" t="s">
        <v>166</v>
      </c>
      <c r="AF169" s="266">
        <f t="shared" si="1"/>
        <v>6</v>
      </c>
      <c r="AG169" s="266">
        <v>1.0</v>
      </c>
      <c r="AH169" s="266">
        <v>1.0</v>
      </c>
      <c r="AI169" s="266" t="s">
        <v>166</v>
      </c>
      <c r="AJ169" s="266">
        <v>1.0</v>
      </c>
      <c r="AK169" s="48" t="s">
        <v>5536</v>
      </c>
      <c r="AL169" s="48">
        <v>1.0</v>
      </c>
      <c r="AM169" s="48" t="s">
        <v>166</v>
      </c>
      <c r="AN169" s="48" t="s">
        <v>166</v>
      </c>
      <c r="AO169" s="266" t="s">
        <v>166</v>
      </c>
      <c r="AP169" s="266" t="s">
        <v>166</v>
      </c>
      <c r="AQ169" s="266" t="s">
        <v>166</v>
      </c>
      <c r="AR169" s="48" t="s">
        <v>4960</v>
      </c>
      <c r="AS169" s="266" t="s">
        <v>166</v>
      </c>
      <c r="AT169" s="266">
        <v>3.0</v>
      </c>
      <c r="AU169" s="266" t="s">
        <v>174</v>
      </c>
      <c r="AV169" s="266" t="s">
        <v>166</v>
      </c>
      <c r="AW169" s="266" t="s">
        <v>166</v>
      </c>
      <c r="AX169" s="266">
        <v>1.0</v>
      </c>
      <c r="AY169" s="266">
        <v>1.0</v>
      </c>
      <c r="AZ169" s="266">
        <v>2.0</v>
      </c>
      <c r="BA169" s="266" t="s">
        <v>166</v>
      </c>
      <c r="BB169" s="266" t="s">
        <v>166</v>
      </c>
      <c r="BC169" s="266" t="s">
        <v>166</v>
      </c>
      <c r="BD169" s="266" t="s">
        <v>166</v>
      </c>
      <c r="BE169" s="48" t="s">
        <v>5667</v>
      </c>
      <c r="BF169" s="48" t="s">
        <v>5017</v>
      </c>
      <c r="BG169" s="48" t="s">
        <v>4963</v>
      </c>
      <c r="BH169" s="48">
        <v>4.0</v>
      </c>
      <c r="BI169" s="698" t="s">
        <v>5146</v>
      </c>
      <c r="BJ169" s="496"/>
      <c r="BK169" s="394"/>
      <c r="BL169" s="394"/>
      <c r="BM169" s="394"/>
      <c r="BN169" s="394"/>
      <c r="BO169" s="394"/>
      <c r="BP169" s="394"/>
    </row>
    <row r="170">
      <c r="A170" s="266" t="s">
        <v>1688</v>
      </c>
      <c r="B170" s="48" t="s">
        <v>5184</v>
      </c>
      <c r="C170" s="266" t="s">
        <v>5185</v>
      </c>
      <c r="D170" s="452" t="str">
        <f t="shared" si="22"/>
        <v>Gigabyte</v>
      </c>
      <c r="E170" s="747" t="s">
        <v>5671</v>
      </c>
      <c r="F170" s="266">
        <v>226.0</v>
      </c>
      <c r="G170" s="266">
        <v>174.0</v>
      </c>
      <c r="H170" s="266">
        <v>3.0</v>
      </c>
      <c r="I170" s="266" t="s">
        <v>166</v>
      </c>
      <c r="J170" s="266">
        <v>2.0</v>
      </c>
      <c r="K170" s="266" t="s">
        <v>166</v>
      </c>
      <c r="L170" s="266" t="s">
        <v>166</v>
      </c>
      <c r="M170" s="266">
        <v>1.0</v>
      </c>
      <c r="N170" s="266" t="s">
        <v>166</v>
      </c>
      <c r="O170" s="266" t="s">
        <v>166</v>
      </c>
      <c r="P170" s="266" t="s">
        <v>166</v>
      </c>
      <c r="Q170" s="266" t="s">
        <v>166</v>
      </c>
      <c r="R170" s="266">
        <v>2.0</v>
      </c>
      <c r="S170" s="266" t="s">
        <v>3149</v>
      </c>
      <c r="T170" s="266">
        <v>32.0</v>
      </c>
      <c r="U170" s="266">
        <v>2666.0</v>
      </c>
      <c r="V170" s="266">
        <v>4.0</v>
      </c>
      <c r="W170" s="698" t="s">
        <v>166</v>
      </c>
      <c r="X170" s="266">
        <v>4.0</v>
      </c>
      <c r="Y170" s="266">
        <v>2.0</v>
      </c>
      <c r="Z170" s="266" t="s">
        <v>166</v>
      </c>
      <c r="AA170" s="266" t="s">
        <v>166</v>
      </c>
      <c r="AB170" s="266" t="s">
        <v>166</v>
      </c>
      <c r="AC170" s="266" t="s">
        <v>166</v>
      </c>
      <c r="AD170" s="266" t="s">
        <v>166</v>
      </c>
      <c r="AE170" s="266" t="s">
        <v>166</v>
      </c>
      <c r="AF170" s="266">
        <f t="shared" si="1"/>
        <v>6</v>
      </c>
      <c r="AG170" s="266">
        <v>1.0</v>
      </c>
      <c r="AH170" s="266">
        <v>1.0</v>
      </c>
      <c r="AI170" s="266" t="s">
        <v>166</v>
      </c>
      <c r="AJ170" s="266">
        <v>1.0</v>
      </c>
      <c r="AK170" s="48" t="s">
        <v>5536</v>
      </c>
      <c r="AL170" s="48">
        <v>1.0</v>
      </c>
      <c r="AM170" s="48" t="s">
        <v>166</v>
      </c>
      <c r="AN170" s="48" t="s">
        <v>166</v>
      </c>
      <c r="AO170" s="266" t="s">
        <v>166</v>
      </c>
      <c r="AP170" s="266" t="s">
        <v>166</v>
      </c>
      <c r="AQ170" s="266" t="s">
        <v>166</v>
      </c>
      <c r="AR170" s="48" t="s">
        <v>4960</v>
      </c>
      <c r="AS170" s="266" t="s">
        <v>166</v>
      </c>
      <c r="AT170" s="266">
        <v>3.0</v>
      </c>
      <c r="AU170" s="266" t="s">
        <v>174</v>
      </c>
      <c r="AV170" s="266" t="s">
        <v>166</v>
      </c>
      <c r="AW170" s="266">
        <v>1.0</v>
      </c>
      <c r="AX170" s="266" t="s">
        <v>166</v>
      </c>
      <c r="AY170" s="266">
        <v>1.0</v>
      </c>
      <c r="AZ170" s="266">
        <v>2.0</v>
      </c>
      <c r="BA170" s="266" t="s">
        <v>166</v>
      </c>
      <c r="BB170" s="266" t="s">
        <v>166</v>
      </c>
      <c r="BC170" s="266" t="s">
        <v>166</v>
      </c>
      <c r="BD170" s="266" t="s">
        <v>166</v>
      </c>
      <c r="BE170" s="48" t="s">
        <v>170</v>
      </c>
      <c r="BF170" s="48" t="s">
        <v>5135</v>
      </c>
      <c r="BG170" s="48" t="s">
        <v>4963</v>
      </c>
      <c r="BH170" s="48">
        <v>3.0</v>
      </c>
      <c r="BI170" s="698" t="s">
        <v>5146</v>
      </c>
      <c r="BJ170" s="496"/>
      <c r="BK170" s="394"/>
      <c r="BL170" s="394"/>
      <c r="BM170" s="394"/>
      <c r="BN170" s="394"/>
      <c r="BO170" s="394"/>
      <c r="BP170" s="394"/>
    </row>
    <row r="171">
      <c r="A171" s="266" t="s">
        <v>1688</v>
      </c>
      <c r="B171" s="48" t="s">
        <v>5184</v>
      </c>
      <c r="C171" s="266" t="s">
        <v>5185</v>
      </c>
      <c r="D171" s="452" t="str">
        <f t="shared" si="22"/>
        <v>Gigabyte</v>
      </c>
      <c r="E171" s="747" t="s">
        <v>5672</v>
      </c>
      <c r="F171" s="266">
        <v>244.0</v>
      </c>
      <c r="G171" s="266">
        <v>185.0</v>
      </c>
      <c r="H171" s="266">
        <v>3.0</v>
      </c>
      <c r="I171" s="266">
        <v>1.0</v>
      </c>
      <c r="J171" s="266">
        <v>2.0</v>
      </c>
      <c r="K171" s="266" t="s">
        <v>166</v>
      </c>
      <c r="L171" s="266" t="s">
        <v>166</v>
      </c>
      <c r="M171" s="266">
        <v>1.0</v>
      </c>
      <c r="N171" s="266" t="s">
        <v>166</v>
      </c>
      <c r="O171" s="266" t="s">
        <v>166</v>
      </c>
      <c r="P171" s="266" t="s">
        <v>166</v>
      </c>
      <c r="Q171" s="266" t="s">
        <v>166</v>
      </c>
      <c r="R171" s="266">
        <v>2.0</v>
      </c>
      <c r="S171" s="266" t="s">
        <v>3149</v>
      </c>
      <c r="T171" s="266">
        <v>32.0</v>
      </c>
      <c r="U171" s="266">
        <v>2666.0</v>
      </c>
      <c r="V171" s="266">
        <v>4.0</v>
      </c>
      <c r="W171" s="698" t="s">
        <v>166</v>
      </c>
      <c r="X171" s="266">
        <v>4.0</v>
      </c>
      <c r="Y171" s="266">
        <v>2.0</v>
      </c>
      <c r="Z171" s="266" t="s">
        <v>166</v>
      </c>
      <c r="AA171" s="266" t="s">
        <v>166</v>
      </c>
      <c r="AB171" s="266" t="s">
        <v>166</v>
      </c>
      <c r="AC171" s="266" t="s">
        <v>166</v>
      </c>
      <c r="AD171" s="266" t="s">
        <v>166</v>
      </c>
      <c r="AE171" s="266" t="s">
        <v>166</v>
      </c>
      <c r="AF171" s="266">
        <f t="shared" si="1"/>
        <v>6</v>
      </c>
      <c r="AG171" s="266">
        <v>1.0</v>
      </c>
      <c r="AH171" s="266">
        <v>1.0</v>
      </c>
      <c r="AI171" s="266" t="s">
        <v>166</v>
      </c>
      <c r="AJ171" s="266">
        <v>1.0</v>
      </c>
      <c r="AK171" s="48" t="s">
        <v>5536</v>
      </c>
      <c r="AL171" s="48">
        <v>1.0</v>
      </c>
      <c r="AM171" s="48" t="s">
        <v>166</v>
      </c>
      <c r="AN171" s="48" t="s">
        <v>166</v>
      </c>
      <c r="AO171" s="266" t="s">
        <v>166</v>
      </c>
      <c r="AP171" s="266" t="s">
        <v>166</v>
      </c>
      <c r="AQ171" s="266" t="s">
        <v>166</v>
      </c>
      <c r="AR171" s="48" t="s">
        <v>4960</v>
      </c>
      <c r="AS171" s="266" t="s">
        <v>166</v>
      </c>
      <c r="AT171" s="266">
        <v>3.0</v>
      </c>
      <c r="AU171" s="266" t="s">
        <v>174</v>
      </c>
      <c r="AV171" s="266" t="s">
        <v>166</v>
      </c>
      <c r="AW171" s="266">
        <v>1.0</v>
      </c>
      <c r="AX171" s="266">
        <v>1.0</v>
      </c>
      <c r="AY171" s="266">
        <v>1.0</v>
      </c>
      <c r="AZ171" s="266">
        <v>2.0</v>
      </c>
      <c r="BA171" s="266" t="s">
        <v>166</v>
      </c>
      <c r="BB171" s="266" t="s">
        <v>166</v>
      </c>
      <c r="BC171" s="266" t="s">
        <v>166</v>
      </c>
      <c r="BD171" s="266" t="s">
        <v>166</v>
      </c>
      <c r="BE171" s="48" t="s">
        <v>5667</v>
      </c>
      <c r="BF171" s="48" t="s">
        <v>5017</v>
      </c>
      <c r="BG171" s="48" t="s">
        <v>4963</v>
      </c>
      <c r="BH171" s="48">
        <v>4.0</v>
      </c>
      <c r="BI171" s="698" t="s">
        <v>5146</v>
      </c>
      <c r="BJ171" s="496"/>
      <c r="BK171" s="394"/>
      <c r="BL171" s="394"/>
      <c r="BM171" s="394"/>
      <c r="BN171" s="394"/>
      <c r="BO171" s="394"/>
      <c r="BP171" s="394"/>
    </row>
    <row r="172">
      <c r="A172" s="266" t="s">
        <v>1688</v>
      </c>
      <c r="B172" s="48" t="s">
        <v>5184</v>
      </c>
      <c r="C172" s="266" t="s">
        <v>5185</v>
      </c>
      <c r="D172" s="452" t="str">
        <f t="shared" si="22"/>
        <v>Gigabyte</v>
      </c>
      <c r="E172" s="747" t="s">
        <v>5673</v>
      </c>
      <c r="F172" s="266">
        <v>226.0</v>
      </c>
      <c r="G172" s="266">
        <v>174.0</v>
      </c>
      <c r="H172" s="266">
        <v>3.0</v>
      </c>
      <c r="I172" s="266" t="s">
        <v>166</v>
      </c>
      <c r="J172" s="266">
        <v>2.0</v>
      </c>
      <c r="K172" s="266" t="s">
        <v>166</v>
      </c>
      <c r="L172" s="266" t="s">
        <v>166</v>
      </c>
      <c r="M172" s="266">
        <v>1.0</v>
      </c>
      <c r="N172" s="266" t="s">
        <v>166</v>
      </c>
      <c r="O172" s="266" t="s">
        <v>166</v>
      </c>
      <c r="P172" s="266" t="s">
        <v>166</v>
      </c>
      <c r="Q172" s="266" t="s">
        <v>166</v>
      </c>
      <c r="R172" s="266">
        <v>2.0</v>
      </c>
      <c r="S172" s="266" t="s">
        <v>3149</v>
      </c>
      <c r="T172" s="266">
        <v>32.0</v>
      </c>
      <c r="U172" s="266">
        <v>2666.0</v>
      </c>
      <c r="V172" s="266">
        <v>4.0</v>
      </c>
      <c r="W172" s="698" t="s">
        <v>166</v>
      </c>
      <c r="X172" s="266">
        <v>4.0</v>
      </c>
      <c r="Y172" s="266">
        <v>2.0</v>
      </c>
      <c r="Z172" s="266" t="s">
        <v>166</v>
      </c>
      <c r="AA172" s="266" t="s">
        <v>166</v>
      </c>
      <c r="AB172" s="266" t="s">
        <v>166</v>
      </c>
      <c r="AC172" s="266" t="s">
        <v>166</v>
      </c>
      <c r="AD172" s="266" t="s">
        <v>166</v>
      </c>
      <c r="AE172" s="266" t="s">
        <v>166</v>
      </c>
      <c r="AF172" s="266">
        <f t="shared" si="1"/>
        <v>6</v>
      </c>
      <c r="AG172" s="266">
        <v>1.0</v>
      </c>
      <c r="AH172" s="266">
        <v>1.0</v>
      </c>
      <c r="AI172" s="266" t="s">
        <v>166</v>
      </c>
      <c r="AJ172" s="266">
        <v>1.0</v>
      </c>
      <c r="AK172" s="48" t="s">
        <v>5536</v>
      </c>
      <c r="AL172" s="48">
        <v>1.0</v>
      </c>
      <c r="AM172" s="48" t="s">
        <v>166</v>
      </c>
      <c r="AN172" s="48" t="s">
        <v>166</v>
      </c>
      <c r="AO172" s="266" t="s">
        <v>166</v>
      </c>
      <c r="AP172" s="266" t="s">
        <v>166</v>
      </c>
      <c r="AQ172" s="266" t="s">
        <v>166</v>
      </c>
      <c r="AR172" s="48" t="s">
        <v>4960</v>
      </c>
      <c r="AS172" s="266" t="s">
        <v>166</v>
      </c>
      <c r="AT172" s="266">
        <v>3.0</v>
      </c>
      <c r="AU172" s="266" t="s">
        <v>174</v>
      </c>
      <c r="AV172" s="266" t="s">
        <v>166</v>
      </c>
      <c r="AW172" s="266" t="s">
        <v>166</v>
      </c>
      <c r="AX172" s="266" t="s">
        <v>166</v>
      </c>
      <c r="AY172" s="266">
        <v>1.0</v>
      </c>
      <c r="AZ172" s="266">
        <v>2.0</v>
      </c>
      <c r="BA172" s="266" t="s">
        <v>166</v>
      </c>
      <c r="BB172" s="266" t="s">
        <v>166</v>
      </c>
      <c r="BC172" s="266" t="s">
        <v>166</v>
      </c>
      <c r="BD172" s="266" t="s">
        <v>166</v>
      </c>
      <c r="BE172" s="48" t="s">
        <v>170</v>
      </c>
      <c r="BF172" s="48" t="s">
        <v>5135</v>
      </c>
      <c r="BG172" s="48" t="s">
        <v>4963</v>
      </c>
      <c r="BH172" s="48">
        <v>3.0</v>
      </c>
      <c r="BI172" s="698" t="s">
        <v>5146</v>
      </c>
      <c r="BJ172" s="496"/>
      <c r="BK172" s="394"/>
      <c r="BL172" s="394"/>
      <c r="BM172" s="394"/>
      <c r="BN172" s="394"/>
      <c r="BO172" s="394"/>
      <c r="BP172" s="394"/>
    </row>
    <row r="173">
      <c r="A173" s="266" t="s">
        <v>1688</v>
      </c>
      <c r="B173" s="48" t="s">
        <v>5184</v>
      </c>
      <c r="C173" s="266" t="s">
        <v>5185</v>
      </c>
      <c r="D173" s="452" t="str">
        <f t="shared" si="22"/>
        <v>Gigabyte</v>
      </c>
      <c r="E173" s="747" t="s">
        <v>5674</v>
      </c>
      <c r="F173" s="266">
        <v>226.0</v>
      </c>
      <c r="G173" s="266">
        <v>185.0</v>
      </c>
      <c r="H173" s="266">
        <v>3.0</v>
      </c>
      <c r="I173" s="266" t="s">
        <v>166</v>
      </c>
      <c r="J173" s="266">
        <v>2.0</v>
      </c>
      <c r="K173" s="266" t="s">
        <v>166</v>
      </c>
      <c r="L173" s="266" t="s">
        <v>166</v>
      </c>
      <c r="M173" s="266">
        <v>1.0</v>
      </c>
      <c r="N173" s="266" t="s">
        <v>166</v>
      </c>
      <c r="O173" s="266" t="s">
        <v>166</v>
      </c>
      <c r="P173" s="266" t="s">
        <v>166</v>
      </c>
      <c r="Q173" s="266" t="s">
        <v>166</v>
      </c>
      <c r="R173" s="266">
        <v>2.0</v>
      </c>
      <c r="S173" s="266" t="s">
        <v>3149</v>
      </c>
      <c r="T173" s="266">
        <v>32.0</v>
      </c>
      <c r="U173" s="266">
        <v>2666.0</v>
      </c>
      <c r="V173" s="266">
        <v>4.0</v>
      </c>
      <c r="W173" s="710" t="s">
        <v>4950</v>
      </c>
      <c r="X173" s="266">
        <v>4.0</v>
      </c>
      <c r="Y173" s="266">
        <v>2.0</v>
      </c>
      <c r="Z173" s="266" t="s">
        <v>166</v>
      </c>
      <c r="AA173" s="266" t="s">
        <v>166</v>
      </c>
      <c r="AB173" s="266" t="s">
        <v>166</v>
      </c>
      <c r="AC173" s="266" t="s">
        <v>166</v>
      </c>
      <c r="AD173" s="266" t="s">
        <v>166</v>
      </c>
      <c r="AE173" s="266" t="s">
        <v>166</v>
      </c>
      <c r="AF173" s="266">
        <f t="shared" si="1"/>
        <v>6</v>
      </c>
      <c r="AG173" s="266">
        <v>1.0</v>
      </c>
      <c r="AH173" s="266">
        <v>1.0</v>
      </c>
      <c r="AI173" s="266" t="s">
        <v>166</v>
      </c>
      <c r="AJ173" s="266">
        <v>1.0</v>
      </c>
      <c r="AK173" s="48" t="s">
        <v>5536</v>
      </c>
      <c r="AL173" s="48">
        <v>1.0</v>
      </c>
      <c r="AM173" s="48" t="s">
        <v>166</v>
      </c>
      <c r="AN173" s="48" t="s">
        <v>166</v>
      </c>
      <c r="AO173" s="266" t="s">
        <v>166</v>
      </c>
      <c r="AP173" s="266" t="s">
        <v>166</v>
      </c>
      <c r="AQ173" s="266" t="s">
        <v>166</v>
      </c>
      <c r="AR173" s="48" t="s">
        <v>4960</v>
      </c>
      <c r="AS173" s="266" t="s">
        <v>166</v>
      </c>
      <c r="AT173" s="266">
        <v>3.0</v>
      </c>
      <c r="AU173" s="266" t="s">
        <v>174</v>
      </c>
      <c r="AV173" s="266" t="s">
        <v>166</v>
      </c>
      <c r="AW173" s="266">
        <v>1.0</v>
      </c>
      <c r="AX173" s="266">
        <v>1.0</v>
      </c>
      <c r="AY173" s="266">
        <v>1.0</v>
      </c>
      <c r="AZ173" s="266">
        <v>2.0</v>
      </c>
      <c r="BA173" s="266" t="s">
        <v>166</v>
      </c>
      <c r="BB173" s="266" t="s">
        <v>166</v>
      </c>
      <c r="BC173" s="266" t="s">
        <v>166</v>
      </c>
      <c r="BD173" s="266" t="s">
        <v>166</v>
      </c>
      <c r="BE173" s="48" t="s">
        <v>5667</v>
      </c>
      <c r="BF173" s="48" t="s">
        <v>5017</v>
      </c>
      <c r="BG173" s="48" t="s">
        <v>4963</v>
      </c>
      <c r="BH173" s="48">
        <v>4.0</v>
      </c>
      <c r="BI173" s="698" t="s">
        <v>5146</v>
      </c>
      <c r="BJ173" s="496"/>
      <c r="BK173" s="394"/>
      <c r="BL173" s="394"/>
      <c r="BM173" s="394"/>
      <c r="BN173" s="394"/>
      <c r="BO173" s="394"/>
      <c r="BP173" s="394"/>
    </row>
    <row r="174">
      <c r="A174" s="266" t="s">
        <v>1688</v>
      </c>
      <c r="B174" s="48" t="s">
        <v>5184</v>
      </c>
      <c r="C174" s="266" t="s">
        <v>5185</v>
      </c>
      <c r="D174" s="452" t="str">
        <f t="shared" si="22"/>
        <v>Gigabyte</v>
      </c>
      <c r="E174" s="747" t="s">
        <v>5675</v>
      </c>
      <c r="F174" s="266">
        <v>244.0</v>
      </c>
      <c r="G174" s="266">
        <v>185.0</v>
      </c>
      <c r="H174" s="266">
        <v>3.0</v>
      </c>
      <c r="I174" s="266">
        <v>2.0</v>
      </c>
      <c r="J174" s="266">
        <v>1.0</v>
      </c>
      <c r="K174" s="266" t="s">
        <v>166</v>
      </c>
      <c r="L174" s="266" t="s">
        <v>166</v>
      </c>
      <c r="M174" s="266">
        <v>1.0</v>
      </c>
      <c r="N174" s="266" t="s">
        <v>166</v>
      </c>
      <c r="O174" s="266" t="s">
        <v>166</v>
      </c>
      <c r="P174" s="266" t="s">
        <v>166</v>
      </c>
      <c r="Q174" s="266" t="s">
        <v>166</v>
      </c>
      <c r="R174" s="266">
        <v>2.0</v>
      </c>
      <c r="S174" s="266" t="s">
        <v>3149</v>
      </c>
      <c r="T174" s="266">
        <v>32.0</v>
      </c>
      <c r="U174" s="266">
        <v>2666.0</v>
      </c>
      <c r="V174" s="266">
        <v>4.0</v>
      </c>
      <c r="W174" s="710" t="s">
        <v>4950</v>
      </c>
      <c r="X174" s="266">
        <v>4.0</v>
      </c>
      <c r="Y174" s="266">
        <v>2.0</v>
      </c>
      <c r="Z174" s="266" t="s">
        <v>166</v>
      </c>
      <c r="AA174" s="266" t="s">
        <v>166</v>
      </c>
      <c r="AB174" s="266" t="s">
        <v>166</v>
      </c>
      <c r="AC174" s="266" t="s">
        <v>166</v>
      </c>
      <c r="AD174" s="266" t="s">
        <v>166</v>
      </c>
      <c r="AE174" s="266" t="s">
        <v>166</v>
      </c>
      <c r="AF174" s="266">
        <f t="shared" si="1"/>
        <v>6</v>
      </c>
      <c r="AG174" s="266">
        <v>1.0</v>
      </c>
      <c r="AH174" s="266">
        <v>1.0</v>
      </c>
      <c r="AI174" s="266" t="s">
        <v>166</v>
      </c>
      <c r="AJ174" s="266">
        <v>1.0</v>
      </c>
      <c r="AK174" s="48" t="s">
        <v>5536</v>
      </c>
      <c r="AL174" s="48">
        <v>1.0</v>
      </c>
      <c r="AM174" s="48" t="s">
        <v>166</v>
      </c>
      <c r="AN174" s="48" t="s">
        <v>166</v>
      </c>
      <c r="AO174" s="266" t="s">
        <v>166</v>
      </c>
      <c r="AP174" s="266" t="s">
        <v>166</v>
      </c>
      <c r="AQ174" s="266" t="s">
        <v>166</v>
      </c>
      <c r="AR174" s="48" t="s">
        <v>4960</v>
      </c>
      <c r="AS174" s="266" t="s">
        <v>166</v>
      </c>
      <c r="AT174" s="266">
        <v>3.0</v>
      </c>
      <c r="AU174" s="266" t="s">
        <v>174</v>
      </c>
      <c r="AV174" s="266" t="s">
        <v>166</v>
      </c>
      <c r="AW174" s="266">
        <v>1.0</v>
      </c>
      <c r="AX174" s="266">
        <v>1.0</v>
      </c>
      <c r="AY174" s="266">
        <v>1.0</v>
      </c>
      <c r="AZ174" s="266">
        <v>2.0</v>
      </c>
      <c r="BA174" s="266" t="s">
        <v>166</v>
      </c>
      <c r="BB174" s="266" t="s">
        <v>166</v>
      </c>
      <c r="BC174" s="266" t="s">
        <v>166</v>
      </c>
      <c r="BD174" s="266" t="s">
        <v>166</v>
      </c>
      <c r="BE174" s="48" t="s">
        <v>5667</v>
      </c>
      <c r="BF174" s="48" t="s">
        <v>5017</v>
      </c>
      <c r="BG174" s="48" t="s">
        <v>4963</v>
      </c>
      <c r="BH174" s="48">
        <v>4.0</v>
      </c>
      <c r="BI174" s="698" t="s">
        <v>5146</v>
      </c>
      <c r="BJ174" s="496"/>
      <c r="BK174" s="394"/>
      <c r="BL174" s="394"/>
      <c r="BM174" s="394"/>
      <c r="BN174" s="394"/>
      <c r="BO174" s="394"/>
      <c r="BP174" s="394"/>
    </row>
    <row r="175">
      <c r="A175" s="266" t="s">
        <v>1688</v>
      </c>
      <c r="B175" s="48" t="s">
        <v>5184</v>
      </c>
      <c r="C175" s="266" t="s">
        <v>5185</v>
      </c>
      <c r="D175" s="452" t="str">
        <f t="shared" si="22"/>
        <v>Gigabyte</v>
      </c>
      <c r="E175" s="747" t="s">
        <v>5676</v>
      </c>
      <c r="F175" s="266">
        <v>190.0</v>
      </c>
      <c r="G175" s="266">
        <v>174.0</v>
      </c>
      <c r="H175" s="266">
        <v>3.0</v>
      </c>
      <c r="I175" s="266" t="s">
        <v>166</v>
      </c>
      <c r="J175" s="266">
        <v>1.0</v>
      </c>
      <c r="K175" s="266" t="s">
        <v>166</v>
      </c>
      <c r="L175" s="266" t="s">
        <v>166</v>
      </c>
      <c r="M175" s="266">
        <v>1.0</v>
      </c>
      <c r="N175" s="266" t="s">
        <v>166</v>
      </c>
      <c r="O175" s="266" t="s">
        <v>166</v>
      </c>
      <c r="P175" s="266" t="s">
        <v>166</v>
      </c>
      <c r="Q175" s="266" t="s">
        <v>166</v>
      </c>
      <c r="R175" s="266">
        <v>2.0</v>
      </c>
      <c r="S175" s="266" t="s">
        <v>3149</v>
      </c>
      <c r="T175" s="266">
        <v>32.0</v>
      </c>
      <c r="U175" s="266">
        <v>2666.0</v>
      </c>
      <c r="V175" s="266">
        <v>4.0</v>
      </c>
      <c r="W175" s="698" t="s">
        <v>166</v>
      </c>
      <c r="X175" s="266">
        <v>4.0</v>
      </c>
      <c r="Y175" s="266">
        <v>2.0</v>
      </c>
      <c r="Z175" s="266" t="s">
        <v>166</v>
      </c>
      <c r="AA175" s="266" t="s">
        <v>166</v>
      </c>
      <c r="AB175" s="266" t="s">
        <v>166</v>
      </c>
      <c r="AC175" s="266" t="s">
        <v>166</v>
      </c>
      <c r="AD175" s="266" t="s">
        <v>166</v>
      </c>
      <c r="AE175" s="266" t="s">
        <v>166</v>
      </c>
      <c r="AF175" s="266">
        <f t="shared" si="1"/>
        <v>6</v>
      </c>
      <c r="AG175" s="266">
        <v>1.0</v>
      </c>
      <c r="AH175" s="266">
        <v>1.0</v>
      </c>
      <c r="AI175" s="266" t="s">
        <v>166</v>
      </c>
      <c r="AJ175" s="266">
        <v>1.0</v>
      </c>
      <c r="AK175" s="48" t="s">
        <v>5536</v>
      </c>
      <c r="AL175" s="48">
        <v>1.0</v>
      </c>
      <c r="AM175" s="48" t="s">
        <v>166</v>
      </c>
      <c r="AN175" s="48" t="s">
        <v>166</v>
      </c>
      <c r="AO175" s="266" t="s">
        <v>166</v>
      </c>
      <c r="AP175" s="266" t="s">
        <v>166</v>
      </c>
      <c r="AQ175" s="266" t="s">
        <v>166</v>
      </c>
      <c r="AR175" s="48" t="s">
        <v>4960</v>
      </c>
      <c r="AS175" s="266" t="s">
        <v>166</v>
      </c>
      <c r="AT175" s="266">
        <v>3.0</v>
      </c>
      <c r="AU175" s="266" t="s">
        <v>174</v>
      </c>
      <c r="AV175" s="266" t="s">
        <v>166</v>
      </c>
      <c r="AW175" s="266" t="s">
        <v>166</v>
      </c>
      <c r="AX175" s="266">
        <v>1.0</v>
      </c>
      <c r="AY175" s="266">
        <v>1.0</v>
      </c>
      <c r="AZ175" s="266">
        <v>2.0</v>
      </c>
      <c r="BA175" s="266" t="s">
        <v>166</v>
      </c>
      <c r="BB175" s="266" t="s">
        <v>166</v>
      </c>
      <c r="BC175" s="266" t="s">
        <v>166</v>
      </c>
      <c r="BD175" s="266" t="s">
        <v>166</v>
      </c>
      <c r="BE175" s="48" t="s">
        <v>170</v>
      </c>
      <c r="BF175" s="48" t="s">
        <v>5135</v>
      </c>
      <c r="BG175" s="48" t="s">
        <v>4963</v>
      </c>
      <c r="BH175" s="48">
        <v>3.0</v>
      </c>
      <c r="BI175" s="698" t="s">
        <v>5146</v>
      </c>
      <c r="BJ175" s="496"/>
      <c r="BK175" s="394"/>
      <c r="BL175" s="394"/>
      <c r="BM175" s="394"/>
      <c r="BN175" s="394"/>
      <c r="BO175" s="394"/>
      <c r="BP175" s="394"/>
    </row>
    <row r="176">
      <c r="A176" s="266" t="s">
        <v>1688</v>
      </c>
      <c r="B176" s="48" t="s">
        <v>5184</v>
      </c>
      <c r="C176" s="266" t="s">
        <v>5185</v>
      </c>
      <c r="D176" s="452" t="str">
        <f t="shared" ref="D176:D186" si="23">HYPERLINK("https://www.msi.com/index.php","MSI")</f>
        <v>MSI</v>
      </c>
      <c r="E176" s="747" t="s">
        <v>5677</v>
      </c>
      <c r="F176" s="266">
        <v>230.0</v>
      </c>
      <c r="G176" s="266">
        <v>185.0</v>
      </c>
      <c r="H176" s="266">
        <v>3.0</v>
      </c>
      <c r="I176" s="266" t="s">
        <v>166</v>
      </c>
      <c r="J176" s="266">
        <v>2.0</v>
      </c>
      <c r="K176" s="266" t="s">
        <v>166</v>
      </c>
      <c r="L176" s="266" t="s">
        <v>166</v>
      </c>
      <c r="M176" s="266">
        <v>1.0</v>
      </c>
      <c r="N176" s="266" t="s">
        <v>166</v>
      </c>
      <c r="O176" s="266" t="s">
        <v>166</v>
      </c>
      <c r="P176" s="266" t="s">
        <v>166</v>
      </c>
      <c r="Q176" s="266" t="s">
        <v>166</v>
      </c>
      <c r="R176" s="266">
        <v>2.0</v>
      </c>
      <c r="S176" s="266" t="s">
        <v>3149</v>
      </c>
      <c r="T176" s="266">
        <v>32.0</v>
      </c>
      <c r="U176" s="266">
        <v>2666.0</v>
      </c>
      <c r="V176" s="266">
        <v>4.0</v>
      </c>
      <c r="W176" s="710" t="s">
        <v>4950</v>
      </c>
      <c r="X176" s="266">
        <v>4.0</v>
      </c>
      <c r="Y176" s="266">
        <v>2.0</v>
      </c>
      <c r="Z176" s="266" t="s">
        <v>166</v>
      </c>
      <c r="AA176" s="266" t="s">
        <v>166</v>
      </c>
      <c r="AB176" s="266" t="s">
        <v>166</v>
      </c>
      <c r="AC176" s="266" t="s">
        <v>166</v>
      </c>
      <c r="AD176" s="266" t="s">
        <v>166</v>
      </c>
      <c r="AE176" s="266" t="s">
        <v>166</v>
      </c>
      <c r="AF176" s="266">
        <f t="shared" si="1"/>
        <v>6</v>
      </c>
      <c r="AG176" s="266">
        <v>1.0</v>
      </c>
      <c r="AH176" s="266">
        <v>1.0</v>
      </c>
      <c r="AI176" s="266" t="s">
        <v>166</v>
      </c>
      <c r="AJ176" s="266">
        <v>1.0</v>
      </c>
      <c r="AK176" s="48" t="s">
        <v>5133</v>
      </c>
      <c r="AL176" s="48">
        <v>1.0</v>
      </c>
      <c r="AM176" s="48" t="s">
        <v>166</v>
      </c>
      <c r="AN176" s="48" t="s">
        <v>166</v>
      </c>
      <c r="AO176" s="266" t="s">
        <v>166</v>
      </c>
      <c r="AP176" s="266" t="s">
        <v>166</v>
      </c>
      <c r="AQ176" s="266" t="s">
        <v>166</v>
      </c>
      <c r="AR176" s="48" t="s">
        <v>4960</v>
      </c>
      <c r="AS176" s="266" t="s">
        <v>166</v>
      </c>
      <c r="AT176" s="266">
        <v>3.0</v>
      </c>
      <c r="AU176" s="266" t="s">
        <v>174</v>
      </c>
      <c r="AV176" s="266" t="s">
        <v>166</v>
      </c>
      <c r="AW176" s="266">
        <v>1.0</v>
      </c>
      <c r="AX176" s="266">
        <v>1.0</v>
      </c>
      <c r="AY176" s="266" t="s">
        <v>166</v>
      </c>
      <c r="AZ176" s="266">
        <v>2.0</v>
      </c>
      <c r="BA176" s="266">
        <v>1.0</v>
      </c>
      <c r="BB176" s="266" t="s">
        <v>166</v>
      </c>
      <c r="BC176" s="266" t="s">
        <v>174</v>
      </c>
      <c r="BD176" s="266" t="s">
        <v>166</v>
      </c>
      <c r="BE176" s="48" t="s">
        <v>5678</v>
      </c>
      <c r="BF176" s="48" t="s">
        <v>4962</v>
      </c>
      <c r="BG176" s="48" t="s">
        <v>4963</v>
      </c>
      <c r="BH176" s="48">
        <v>4.0</v>
      </c>
      <c r="BI176" s="698" t="s">
        <v>170</v>
      </c>
      <c r="BJ176" s="496"/>
      <c r="BK176" s="394"/>
      <c r="BL176" s="394"/>
      <c r="BM176" s="394"/>
      <c r="BN176" s="394"/>
      <c r="BO176" s="394"/>
      <c r="BP176" s="394"/>
    </row>
    <row r="177">
      <c r="A177" s="266" t="s">
        <v>1688</v>
      </c>
      <c r="B177" s="48" t="s">
        <v>5184</v>
      </c>
      <c r="C177" s="266" t="s">
        <v>5185</v>
      </c>
      <c r="D177" s="452" t="str">
        <f t="shared" si="23"/>
        <v>MSI</v>
      </c>
      <c r="E177" s="747" t="s">
        <v>5679</v>
      </c>
      <c r="F177" s="266">
        <v>230.0</v>
      </c>
      <c r="G177" s="266">
        <v>185.0</v>
      </c>
      <c r="H177" s="266">
        <v>3.0</v>
      </c>
      <c r="I177" s="266" t="s">
        <v>166</v>
      </c>
      <c r="J177" s="266">
        <v>2.0</v>
      </c>
      <c r="K177" s="266" t="s">
        <v>166</v>
      </c>
      <c r="L177" s="266" t="s">
        <v>166</v>
      </c>
      <c r="M177" s="266">
        <v>1.0</v>
      </c>
      <c r="N177" s="266" t="s">
        <v>166</v>
      </c>
      <c r="O177" s="266" t="s">
        <v>166</v>
      </c>
      <c r="P177" s="266" t="s">
        <v>166</v>
      </c>
      <c r="Q177" s="266" t="s">
        <v>166</v>
      </c>
      <c r="R177" s="266">
        <v>2.0</v>
      </c>
      <c r="S177" s="266" t="s">
        <v>3149</v>
      </c>
      <c r="T177" s="266">
        <v>32.0</v>
      </c>
      <c r="U177" s="266">
        <v>2666.0</v>
      </c>
      <c r="V177" s="266">
        <v>4.0</v>
      </c>
      <c r="W177" s="710" t="s">
        <v>4950</v>
      </c>
      <c r="X177" s="266">
        <v>4.0</v>
      </c>
      <c r="Y177" s="266">
        <v>2.0</v>
      </c>
      <c r="Z177" s="266" t="s">
        <v>166</v>
      </c>
      <c r="AA177" s="266" t="s">
        <v>166</v>
      </c>
      <c r="AB177" s="266" t="s">
        <v>166</v>
      </c>
      <c r="AC177" s="266" t="s">
        <v>166</v>
      </c>
      <c r="AD177" s="266" t="s">
        <v>166</v>
      </c>
      <c r="AE177" s="266" t="s">
        <v>166</v>
      </c>
      <c r="AF177" s="266">
        <f t="shared" si="1"/>
        <v>6</v>
      </c>
      <c r="AG177" s="266">
        <v>1.0</v>
      </c>
      <c r="AH177" s="266">
        <v>1.0</v>
      </c>
      <c r="AI177" s="266" t="s">
        <v>166</v>
      </c>
      <c r="AJ177" s="266">
        <v>1.0</v>
      </c>
      <c r="AK177" s="48" t="s">
        <v>5133</v>
      </c>
      <c r="AL177" s="48">
        <v>1.0</v>
      </c>
      <c r="AM177" s="48" t="s">
        <v>166</v>
      </c>
      <c r="AN177" s="48" t="s">
        <v>166</v>
      </c>
      <c r="AO177" s="266" t="s">
        <v>166</v>
      </c>
      <c r="AP177" s="266" t="s">
        <v>166</v>
      </c>
      <c r="AQ177" s="266" t="s">
        <v>166</v>
      </c>
      <c r="AR177" s="48" t="s">
        <v>4960</v>
      </c>
      <c r="AS177" s="266" t="s">
        <v>166</v>
      </c>
      <c r="AT177" s="266">
        <v>3.0</v>
      </c>
      <c r="AU177" s="266" t="s">
        <v>174</v>
      </c>
      <c r="AV177" s="266" t="s">
        <v>166</v>
      </c>
      <c r="AW177" s="266">
        <v>1.0</v>
      </c>
      <c r="AX177" s="266">
        <v>1.0</v>
      </c>
      <c r="AY177" s="266" t="s">
        <v>166</v>
      </c>
      <c r="AZ177" s="266">
        <v>2.0</v>
      </c>
      <c r="BA177" s="266">
        <v>1.0</v>
      </c>
      <c r="BB177" s="266" t="s">
        <v>166</v>
      </c>
      <c r="BC177" s="266" t="s">
        <v>174</v>
      </c>
      <c r="BD177" s="266" t="s">
        <v>166</v>
      </c>
      <c r="BE177" s="48" t="s">
        <v>5678</v>
      </c>
      <c r="BF177" s="48" t="s">
        <v>4962</v>
      </c>
      <c r="BG177" s="48" t="s">
        <v>4963</v>
      </c>
      <c r="BH177" s="48">
        <v>4.0</v>
      </c>
      <c r="BI177" s="698" t="s">
        <v>170</v>
      </c>
      <c r="BJ177" s="496"/>
      <c r="BK177" s="394"/>
      <c r="BL177" s="394"/>
      <c r="BM177" s="394"/>
      <c r="BN177" s="394"/>
      <c r="BO177" s="394"/>
      <c r="BP177" s="394"/>
    </row>
    <row r="178">
      <c r="A178" s="266" t="s">
        <v>1688</v>
      </c>
      <c r="B178" s="48" t="s">
        <v>5184</v>
      </c>
      <c r="C178" s="266" t="s">
        <v>5185</v>
      </c>
      <c r="D178" s="452" t="str">
        <f t="shared" si="23"/>
        <v>MSI</v>
      </c>
      <c r="E178" s="747" t="s">
        <v>5680</v>
      </c>
      <c r="F178" s="266">
        <v>226.0</v>
      </c>
      <c r="G178" s="266">
        <v>185.0</v>
      </c>
      <c r="H178" s="266">
        <v>3.0</v>
      </c>
      <c r="I178" s="266" t="s">
        <v>166</v>
      </c>
      <c r="J178" s="266">
        <v>2.0</v>
      </c>
      <c r="K178" s="266" t="s">
        <v>166</v>
      </c>
      <c r="L178" s="266" t="s">
        <v>166</v>
      </c>
      <c r="M178" s="266">
        <v>1.0</v>
      </c>
      <c r="N178" s="266" t="s">
        <v>166</v>
      </c>
      <c r="O178" s="266" t="s">
        <v>166</v>
      </c>
      <c r="P178" s="266" t="s">
        <v>166</v>
      </c>
      <c r="Q178" s="266" t="s">
        <v>166</v>
      </c>
      <c r="R178" s="266">
        <v>2.0</v>
      </c>
      <c r="S178" s="266" t="s">
        <v>3149</v>
      </c>
      <c r="T178" s="266">
        <v>32.0</v>
      </c>
      <c r="U178" s="266">
        <v>2666.0</v>
      </c>
      <c r="V178" s="266">
        <v>4.0</v>
      </c>
      <c r="W178" s="698" t="s">
        <v>166</v>
      </c>
      <c r="X178" s="266">
        <v>4.0</v>
      </c>
      <c r="Y178" s="266">
        <v>2.0</v>
      </c>
      <c r="Z178" s="266" t="s">
        <v>166</v>
      </c>
      <c r="AA178" s="266" t="s">
        <v>166</v>
      </c>
      <c r="AB178" s="266" t="s">
        <v>166</v>
      </c>
      <c r="AC178" s="266" t="s">
        <v>166</v>
      </c>
      <c r="AD178" s="266" t="s">
        <v>166</v>
      </c>
      <c r="AE178" s="266" t="s">
        <v>166</v>
      </c>
      <c r="AF178" s="266">
        <f t="shared" si="1"/>
        <v>6</v>
      </c>
      <c r="AG178" s="266">
        <v>1.0</v>
      </c>
      <c r="AH178" s="266">
        <v>1.0</v>
      </c>
      <c r="AI178" s="266" t="s">
        <v>166</v>
      </c>
      <c r="AJ178" s="266">
        <v>1.0</v>
      </c>
      <c r="AK178" s="48" t="s">
        <v>4959</v>
      </c>
      <c r="AL178" s="48">
        <v>1.0</v>
      </c>
      <c r="AM178" s="48" t="s">
        <v>166</v>
      </c>
      <c r="AN178" s="48" t="s">
        <v>166</v>
      </c>
      <c r="AO178" s="266" t="s">
        <v>166</v>
      </c>
      <c r="AP178" s="266" t="s">
        <v>166</v>
      </c>
      <c r="AQ178" s="266" t="s">
        <v>166</v>
      </c>
      <c r="AR178" s="48" t="s">
        <v>4960</v>
      </c>
      <c r="AS178" s="266" t="s">
        <v>166</v>
      </c>
      <c r="AT178" s="266">
        <v>3.0</v>
      </c>
      <c r="AU178" s="266" t="s">
        <v>174</v>
      </c>
      <c r="AV178" s="266" t="s">
        <v>166</v>
      </c>
      <c r="AW178" s="266" t="s">
        <v>166</v>
      </c>
      <c r="AX178" s="266">
        <v>1.0</v>
      </c>
      <c r="AY178" s="266" t="s">
        <v>166</v>
      </c>
      <c r="AZ178" s="266">
        <v>2.0</v>
      </c>
      <c r="BA178" s="266" t="s">
        <v>166</v>
      </c>
      <c r="BB178" s="266" t="s">
        <v>166</v>
      </c>
      <c r="BC178" s="266" t="s">
        <v>174</v>
      </c>
      <c r="BD178" s="266" t="s">
        <v>166</v>
      </c>
      <c r="BE178" s="48" t="s">
        <v>5678</v>
      </c>
      <c r="BF178" s="48" t="s">
        <v>4962</v>
      </c>
      <c r="BG178" s="48" t="s">
        <v>4963</v>
      </c>
      <c r="BH178" s="48">
        <v>4.0</v>
      </c>
      <c r="BI178" s="698" t="s">
        <v>170</v>
      </c>
      <c r="BJ178" s="496"/>
      <c r="BK178" s="394"/>
      <c r="BL178" s="394"/>
      <c r="BM178" s="394"/>
      <c r="BN178" s="394"/>
      <c r="BO178" s="394"/>
      <c r="BP178" s="394"/>
    </row>
    <row r="179">
      <c r="A179" s="266" t="s">
        <v>1688</v>
      </c>
      <c r="B179" s="48" t="s">
        <v>5184</v>
      </c>
      <c r="C179" s="266" t="s">
        <v>5185</v>
      </c>
      <c r="D179" s="452" t="str">
        <f t="shared" si="23"/>
        <v>MSI</v>
      </c>
      <c r="E179" s="747" t="s">
        <v>5681</v>
      </c>
      <c r="F179" s="266">
        <v>230.0</v>
      </c>
      <c r="G179" s="266">
        <v>185.0</v>
      </c>
      <c r="H179" s="266">
        <v>3.0</v>
      </c>
      <c r="I179" s="266" t="s">
        <v>166</v>
      </c>
      <c r="J179" s="266">
        <v>2.0</v>
      </c>
      <c r="K179" s="266" t="s">
        <v>166</v>
      </c>
      <c r="L179" s="266" t="s">
        <v>166</v>
      </c>
      <c r="M179" s="266">
        <v>1.0</v>
      </c>
      <c r="N179" s="266" t="s">
        <v>166</v>
      </c>
      <c r="O179" s="266" t="s">
        <v>166</v>
      </c>
      <c r="P179" s="266" t="s">
        <v>166</v>
      </c>
      <c r="Q179" s="266" t="s">
        <v>166</v>
      </c>
      <c r="R179" s="266">
        <v>2.0</v>
      </c>
      <c r="S179" s="266" t="s">
        <v>3149</v>
      </c>
      <c r="T179" s="266">
        <v>32.0</v>
      </c>
      <c r="U179" s="266">
        <v>2666.0</v>
      </c>
      <c r="V179" s="266">
        <v>4.0</v>
      </c>
      <c r="W179" s="710" t="s">
        <v>4950</v>
      </c>
      <c r="X179" s="266">
        <v>4.0</v>
      </c>
      <c r="Y179" s="266">
        <v>2.0</v>
      </c>
      <c r="Z179" s="266" t="s">
        <v>166</v>
      </c>
      <c r="AA179" s="266" t="s">
        <v>166</v>
      </c>
      <c r="AB179" s="266" t="s">
        <v>166</v>
      </c>
      <c r="AC179" s="266" t="s">
        <v>166</v>
      </c>
      <c r="AD179" s="266" t="s">
        <v>166</v>
      </c>
      <c r="AE179" s="266" t="s">
        <v>166</v>
      </c>
      <c r="AF179" s="266">
        <f t="shared" si="1"/>
        <v>6</v>
      </c>
      <c r="AG179" s="266">
        <v>1.0</v>
      </c>
      <c r="AH179" s="266">
        <v>1.0</v>
      </c>
      <c r="AI179" s="266" t="s">
        <v>166</v>
      </c>
      <c r="AJ179" s="266">
        <v>1.0</v>
      </c>
      <c r="AK179" s="48" t="s">
        <v>4959</v>
      </c>
      <c r="AL179" s="48">
        <v>1.0</v>
      </c>
      <c r="AM179" s="48" t="s">
        <v>166</v>
      </c>
      <c r="AN179" s="48" t="s">
        <v>166</v>
      </c>
      <c r="AO179" s="266" t="s">
        <v>166</v>
      </c>
      <c r="AP179" s="266" t="s">
        <v>166</v>
      </c>
      <c r="AQ179" s="266" t="s">
        <v>166</v>
      </c>
      <c r="AR179" s="48" t="s">
        <v>4960</v>
      </c>
      <c r="AS179" s="266" t="s">
        <v>166</v>
      </c>
      <c r="AT179" s="266">
        <v>3.0</v>
      </c>
      <c r="AU179" s="266" t="s">
        <v>174</v>
      </c>
      <c r="AV179" s="266" t="s">
        <v>166</v>
      </c>
      <c r="AW179" s="266">
        <v>1.0</v>
      </c>
      <c r="AX179" s="266">
        <v>1.0</v>
      </c>
      <c r="AY179" s="266">
        <v>1.0</v>
      </c>
      <c r="AZ179" s="266">
        <v>2.0</v>
      </c>
      <c r="BA179" s="266" t="s">
        <v>166</v>
      </c>
      <c r="BB179" s="266" t="s">
        <v>166</v>
      </c>
      <c r="BC179" s="266" t="s">
        <v>174</v>
      </c>
      <c r="BD179" s="266" t="s">
        <v>166</v>
      </c>
      <c r="BE179" s="48" t="s">
        <v>5678</v>
      </c>
      <c r="BF179" s="48" t="s">
        <v>4962</v>
      </c>
      <c r="BG179" s="48" t="s">
        <v>4963</v>
      </c>
      <c r="BH179" s="48">
        <v>4.0</v>
      </c>
      <c r="BI179" s="698" t="s">
        <v>170</v>
      </c>
      <c r="BJ179" s="496"/>
      <c r="BK179" s="394"/>
      <c r="BL179" s="394"/>
      <c r="BM179" s="394"/>
      <c r="BN179" s="394"/>
      <c r="BO179" s="394"/>
      <c r="BP179" s="394"/>
    </row>
    <row r="180">
      <c r="A180" s="266" t="s">
        <v>1688</v>
      </c>
      <c r="B180" s="48" t="s">
        <v>5184</v>
      </c>
      <c r="C180" s="266" t="s">
        <v>5185</v>
      </c>
      <c r="D180" s="452" t="str">
        <f t="shared" si="23"/>
        <v>MSI</v>
      </c>
      <c r="E180" s="747" t="s">
        <v>5682</v>
      </c>
      <c r="F180" s="266">
        <v>230.0</v>
      </c>
      <c r="G180" s="266">
        <v>185.0</v>
      </c>
      <c r="H180" s="266">
        <v>3.0</v>
      </c>
      <c r="I180" s="266" t="s">
        <v>166</v>
      </c>
      <c r="J180" s="266">
        <v>2.0</v>
      </c>
      <c r="K180" s="266" t="s">
        <v>166</v>
      </c>
      <c r="L180" s="266" t="s">
        <v>166</v>
      </c>
      <c r="M180" s="266">
        <v>1.0</v>
      </c>
      <c r="N180" s="266" t="s">
        <v>166</v>
      </c>
      <c r="O180" s="266" t="s">
        <v>166</v>
      </c>
      <c r="P180" s="266" t="s">
        <v>166</v>
      </c>
      <c r="Q180" s="266" t="s">
        <v>166</v>
      </c>
      <c r="R180" s="266">
        <v>2.0</v>
      </c>
      <c r="S180" s="266" t="s">
        <v>3149</v>
      </c>
      <c r="T180" s="266">
        <v>32.0</v>
      </c>
      <c r="U180" s="266">
        <v>2666.0</v>
      </c>
      <c r="V180" s="266">
        <v>4.0</v>
      </c>
      <c r="W180" s="710" t="s">
        <v>4950</v>
      </c>
      <c r="X180" s="266">
        <v>4.0</v>
      </c>
      <c r="Y180" s="266">
        <v>2.0</v>
      </c>
      <c r="Z180" s="266" t="s">
        <v>166</v>
      </c>
      <c r="AA180" s="266" t="s">
        <v>166</v>
      </c>
      <c r="AB180" s="266" t="s">
        <v>166</v>
      </c>
      <c r="AC180" s="266" t="s">
        <v>166</v>
      </c>
      <c r="AD180" s="266" t="s">
        <v>166</v>
      </c>
      <c r="AE180" s="266" t="s">
        <v>166</v>
      </c>
      <c r="AF180" s="266">
        <f t="shared" si="1"/>
        <v>6</v>
      </c>
      <c r="AG180" s="266">
        <v>1.0</v>
      </c>
      <c r="AH180" s="266">
        <v>1.0</v>
      </c>
      <c r="AI180" s="266" t="s">
        <v>166</v>
      </c>
      <c r="AJ180" s="266">
        <v>1.0</v>
      </c>
      <c r="AK180" s="48" t="s">
        <v>4959</v>
      </c>
      <c r="AL180" s="48">
        <v>1.0</v>
      </c>
      <c r="AM180" s="48" t="s">
        <v>166</v>
      </c>
      <c r="AN180" s="48" t="s">
        <v>166</v>
      </c>
      <c r="AO180" s="266" t="s">
        <v>166</v>
      </c>
      <c r="AP180" s="266" t="s">
        <v>166</v>
      </c>
      <c r="AQ180" s="266" t="s">
        <v>166</v>
      </c>
      <c r="AR180" s="48" t="s">
        <v>4960</v>
      </c>
      <c r="AS180" s="266" t="s">
        <v>166</v>
      </c>
      <c r="AT180" s="266">
        <v>3.0</v>
      </c>
      <c r="AU180" s="266" t="s">
        <v>174</v>
      </c>
      <c r="AV180" s="266" t="s">
        <v>166</v>
      </c>
      <c r="AW180" s="266">
        <v>1.0</v>
      </c>
      <c r="AX180" s="266">
        <v>1.0</v>
      </c>
      <c r="AY180" s="266">
        <v>1.0</v>
      </c>
      <c r="AZ180" s="266">
        <v>2.0</v>
      </c>
      <c r="BA180" s="266" t="s">
        <v>166</v>
      </c>
      <c r="BB180" s="266" t="s">
        <v>166</v>
      </c>
      <c r="BC180" s="266" t="s">
        <v>174</v>
      </c>
      <c r="BD180" s="266" t="s">
        <v>166</v>
      </c>
      <c r="BE180" s="48" t="s">
        <v>5678</v>
      </c>
      <c r="BF180" s="48" t="s">
        <v>4962</v>
      </c>
      <c r="BG180" s="48" t="s">
        <v>4963</v>
      </c>
      <c r="BH180" s="48">
        <v>4.0</v>
      </c>
      <c r="BI180" s="698" t="s">
        <v>170</v>
      </c>
      <c r="BJ180" s="496"/>
      <c r="BK180" s="394"/>
      <c r="BL180" s="394"/>
      <c r="BM180" s="394"/>
      <c r="BN180" s="394"/>
      <c r="BO180" s="394"/>
      <c r="BP180" s="394"/>
    </row>
    <row r="181">
      <c r="A181" s="266" t="s">
        <v>1688</v>
      </c>
      <c r="B181" s="48" t="s">
        <v>5184</v>
      </c>
      <c r="C181" s="266" t="s">
        <v>5185</v>
      </c>
      <c r="D181" s="452" t="str">
        <f t="shared" si="23"/>
        <v>MSI</v>
      </c>
      <c r="E181" s="747" t="s">
        <v>5683</v>
      </c>
      <c r="F181" s="266">
        <v>226.0</v>
      </c>
      <c r="G181" s="266">
        <v>185.0</v>
      </c>
      <c r="H181" s="266">
        <v>3.0</v>
      </c>
      <c r="I181" s="266" t="s">
        <v>166</v>
      </c>
      <c r="J181" s="266">
        <v>2.0</v>
      </c>
      <c r="K181" s="266" t="s">
        <v>166</v>
      </c>
      <c r="L181" s="266" t="s">
        <v>166</v>
      </c>
      <c r="M181" s="266">
        <v>1.0</v>
      </c>
      <c r="N181" s="266" t="s">
        <v>166</v>
      </c>
      <c r="O181" s="266" t="s">
        <v>166</v>
      </c>
      <c r="P181" s="266" t="s">
        <v>166</v>
      </c>
      <c r="Q181" s="266" t="s">
        <v>166</v>
      </c>
      <c r="R181" s="266">
        <v>2.0</v>
      </c>
      <c r="S181" s="266" t="s">
        <v>3149</v>
      </c>
      <c r="T181" s="266">
        <v>32.0</v>
      </c>
      <c r="U181" s="266">
        <v>2666.0</v>
      </c>
      <c r="V181" s="266">
        <v>4.0</v>
      </c>
      <c r="W181" s="698" t="s">
        <v>166</v>
      </c>
      <c r="X181" s="266">
        <v>4.0</v>
      </c>
      <c r="Y181" s="266">
        <v>2.0</v>
      </c>
      <c r="Z181" s="266" t="s">
        <v>166</v>
      </c>
      <c r="AA181" s="266" t="s">
        <v>166</v>
      </c>
      <c r="AB181" s="266" t="s">
        <v>166</v>
      </c>
      <c r="AC181" s="266" t="s">
        <v>166</v>
      </c>
      <c r="AD181" s="266" t="s">
        <v>166</v>
      </c>
      <c r="AE181" s="266" t="s">
        <v>166</v>
      </c>
      <c r="AF181" s="266">
        <f t="shared" si="1"/>
        <v>6</v>
      </c>
      <c r="AG181" s="266">
        <v>1.0</v>
      </c>
      <c r="AH181" s="266">
        <v>1.0</v>
      </c>
      <c r="AI181" s="266" t="s">
        <v>166</v>
      </c>
      <c r="AJ181" s="266">
        <v>1.0</v>
      </c>
      <c r="AK181" s="48" t="s">
        <v>4959</v>
      </c>
      <c r="AL181" s="48">
        <v>1.0</v>
      </c>
      <c r="AM181" s="48" t="s">
        <v>166</v>
      </c>
      <c r="AN181" s="48" t="s">
        <v>166</v>
      </c>
      <c r="AO181" s="266" t="s">
        <v>166</v>
      </c>
      <c r="AP181" s="266" t="s">
        <v>166</v>
      </c>
      <c r="AQ181" s="266" t="s">
        <v>166</v>
      </c>
      <c r="AR181" s="48" t="s">
        <v>4960</v>
      </c>
      <c r="AS181" s="266" t="s">
        <v>166</v>
      </c>
      <c r="AT181" s="266">
        <v>3.0</v>
      </c>
      <c r="AU181" s="266" t="s">
        <v>174</v>
      </c>
      <c r="AV181" s="266" t="s">
        <v>166</v>
      </c>
      <c r="AW181" s="266" t="s">
        <v>166</v>
      </c>
      <c r="AX181" s="266">
        <v>1.0</v>
      </c>
      <c r="AY181" s="266">
        <v>1.0</v>
      </c>
      <c r="AZ181" s="266">
        <v>2.0</v>
      </c>
      <c r="BA181" s="266" t="s">
        <v>166</v>
      </c>
      <c r="BB181" s="266" t="s">
        <v>166</v>
      </c>
      <c r="BC181" s="266" t="s">
        <v>174</v>
      </c>
      <c r="BD181" s="266" t="s">
        <v>166</v>
      </c>
      <c r="BE181" s="48" t="s">
        <v>5678</v>
      </c>
      <c r="BF181" s="48" t="s">
        <v>4962</v>
      </c>
      <c r="BG181" s="48" t="s">
        <v>4963</v>
      </c>
      <c r="BH181" s="48">
        <v>4.0</v>
      </c>
      <c r="BI181" s="698" t="s">
        <v>170</v>
      </c>
      <c r="BJ181" s="496"/>
      <c r="BK181" s="394"/>
      <c r="BL181" s="394"/>
      <c r="BM181" s="394"/>
      <c r="BN181" s="394"/>
      <c r="BO181" s="394"/>
      <c r="BP181" s="394"/>
    </row>
    <row r="182">
      <c r="A182" s="266" t="s">
        <v>1688</v>
      </c>
      <c r="B182" s="48" t="s">
        <v>5184</v>
      </c>
      <c r="C182" s="266" t="s">
        <v>5185</v>
      </c>
      <c r="D182" s="452" t="str">
        <f t="shared" si="23"/>
        <v>MSI</v>
      </c>
      <c r="E182" s="747" t="s">
        <v>5684</v>
      </c>
      <c r="F182" s="266">
        <v>226.0</v>
      </c>
      <c r="G182" s="266">
        <v>185.0</v>
      </c>
      <c r="H182" s="266">
        <v>3.0</v>
      </c>
      <c r="I182" s="266" t="s">
        <v>166</v>
      </c>
      <c r="J182" s="266">
        <v>2.0</v>
      </c>
      <c r="K182" s="266" t="s">
        <v>166</v>
      </c>
      <c r="L182" s="266" t="s">
        <v>166</v>
      </c>
      <c r="M182" s="266">
        <v>1.0</v>
      </c>
      <c r="N182" s="266" t="s">
        <v>166</v>
      </c>
      <c r="O182" s="266" t="s">
        <v>166</v>
      </c>
      <c r="P182" s="266" t="s">
        <v>166</v>
      </c>
      <c r="Q182" s="266" t="s">
        <v>166</v>
      </c>
      <c r="R182" s="266">
        <v>2.0</v>
      </c>
      <c r="S182" s="266" t="s">
        <v>3149</v>
      </c>
      <c r="T182" s="266">
        <v>32.0</v>
      </c>
      <c r="U182" s="266">
        <v>2666.0</v>
      </c>
      <c r="V182" s="266">
        <v>4.0</v>
      </c>
      <c r="W182" s="698" t="s">
        <v>166</v>
      </c>
      <c r="X182" s="266">
        <v>4.0</v>
      </c>
      <c r="Y182" s="266">
        <v>2.0</v>
      </c>
      <c r="Z182" s="266" t="s">
        <v>166</v>
      </c>
      <c r="AA182" s="266" t="s">
        <v>166</v>
      </c>
      <c r="AB182" s="266" t="s">
        <v>166</v>
      </c>
      <c r="AC182" s="266" t="s">
        <v>166</v>
      </c>
      <c r="AD182" s="266" t="s">
        <v>166</v>
      </c>
      <c r="AE182" s="266" t="s">
        <v>166</v>
      </c>
      <c r="AF182" s="266">
        <f t="shared" si="1"/>
        <v>6</v>
      </c>
      <c r="AG182" s="266">
        <v>1.0</v>
      </c>
      <c r="AH182" s="266">
        <v>1.0</v>
      </c>
      <c r="AI182" s="266" t="s">
        <v>166</v>
      </c>
      <c r="AJ182" s="266">
        <v>1.0</v>
      </c>
      <c r="AK182" s="48" t="s">
        <v>4959</v>
      </c>
      <c r="AL182" s="48">
        <v>1.0</v>
      </c>
      <c r="AM182" s="48" t="s">
        <v>166</v>
      </c>
      <c r="AN182" s="48" t="s">
        <v>166</v>
      </c>
      <c r="AO182" s="266" t="s">
        <v>166</v>
      </c>
      <c r="AP182" s="266" t="s">
        <v>166</v>
      </c>
      <c r="AQ182" s="266" t="s">
        <v>166</v>
      </c>
      <c r="AR182" s="48" t="s">
        <v>4960</v>
      </c>
      <c r="AS182" s="266" t="s">
        <v>166</v>
      </c>
      <c r="AT182" s="266">
        <v>3.0</v>
      </c>
      <c r="AU182" s="266" t="s">
        <v>174</v>
      </c>
      <c r="AV182" s="266" t="s">
        <v>166</v>
      </c>
      <c r="AW182" s="266">
        <v>1.0</v>
      </c>
      <c r="AX182" s="266">
        <v>1.0</v>
      </c>
      <c r="AY182" s="266">
        <v>1.0</v>
      </c>
      <c r="AZ182" s="266">
        <v>2.0</v>
      </c>
      <c r="BA182" s="266" t="s">
        <v>166</v>
      </c>
      <c r="BB182" s="266" t="s">
        <v>166</v>
      </c>
      <c r="BC182" s="266" t="s">
        <v>174</v>
      </c>
      <c r="BD182" s="266" t="s">
        <v>166</v>
      </c>
      <c r="BE182" s="48" t="s">
        <v>5678</v>
      </c>
      <c r="BF182" s="48" t="s">
        <v>4962</v>
      </c>
      <c r="BG182" s="48" t="s">
        <v>4963</v>
      </c>
      <c r="BH182" s="48">
        <v>4.0</v>
      </c>
      <c r="BI182" s="698" t="s">
        <v>170</v>
      </c>
      <c r="BJ182" s="496"/>
      <c r="BK182" s="394"/>
      <c r="BL182" s="394"/>
      <c r="BM182" s="394"/>
      <c r="BN182" s="394"/>
      <c r="BO182" s="394"/>
      <c r="BP182" s="394"/>
    </row>
    <row r="183">
      <c r="A183" s="266" t="s">
        <v>1688</v>
      </c>
      <c r="B183" s="48" t="s">
        <v>5184</v>
      </c>
      <c r="C183" s="266" t="s">
        <v>5185</v>
      </c>
      <c r="D183" s="452" t="str">
        <f t="shared" si="23"/>
        <v>MSI</v>
      </c>
      <c r="E183" s="747" t="s">
        <v>5685</v>
      </c>
      <c r="F183" s="266">
        <v>226.0</v>
      </c>
      <c r="G183" s="266">
        <v>185.0</v>
      </c>
      <c r="H183" s="266">
        <v>3.0</v>
      </c>
      <c r="I183" s="266" t="s">
        <v>166</v>
      </c>
      <c r="J183" s="266">
        <v>2.0</v>
      </c>
      <c r="K183" s="266" t="s">
        <v>166</v>
      </c>
      <c r="L183" s="266" t="s">
        <v>166</v>
      </c>
      <c r="M183" s="266">
        <v>1.0</v>
      </c>
      <c r="N183" s="266" t="s">
        <v>166</v>
      </c>
      <c r="O183" s="266" t="s">
        <v>166</v>
      </c>
      <c r="P183" s="266" t="s">
        <v>166</v>
      </c>
      <c r="Q183" s="266" t="s">
        <v>166</v>
      </c>
      <c r="R183" s="266">
        <v>2.0</v>
      </c>
      <c r="S183" s="266" t="s">
        <v>3149</v>
      </c>
      <c r="T183" s="266">
        <v>32.0</v>
      </c>
      <c r="U183" s="266">
        <v>2666.0</v>
      </c>
      <c r="V183" s="266">
        <v>4.0</v>
      </c>
      <c r="W183" s="698" t="s">
        <v>166</v>
      </c>
      <c r="X183" s="266">
        <v>4.0</v>
      </c>
      <c r="Y183" s="266">
        <v>2.0</v>
      </c>
      <c r="Z183" s="266" t="s">
        <v>166</v>
      </c>
      <c r="AA183" s="266" t="s">
        <v>166</v>
      </c>
      <c r="AB183" s="266" t="s">
        <v>166</v>
      </c>
      <c r="AC183" s="266" t="s">
        <v>166</v>
      </c>
      <c r="AD183" s="266" t="s">
        <v>166</v>
      </c>
      <c r="AE183" s="266" t="s">
        <v>166</v>
      </c>
      <c r="AF183" s="266">
        <f t="shared" si="1"/>
        <v>6</v>
      </c>
      <c r="AG183" s="266">
        <v>1.0</v>
      </c>
      <c r="AH183" s="266">
        <v>1.0</v>
      </c>
      <c r="AI183" s="266" t="s">
        <v>166</v>
      </c>
      <c r="AJ183" s="266">
        <v>1.0</v>
      </c>
      <c r="AK183" s="48" t="s">
        <v>4959</v>
      </c>
      <c r="AL183" s="48">
        <v>1.0</v>
      </c>
      <c r="AM183" s="48" t="s">
        <v>166</v>
      </c>
      <c r="AN183" s="48" t="s">
        <v>166</v>
      </c>
      <c r="AO183" s="266" t="s">
        <v>166</v>
      </c>
      <c r="AP183" s="266" t="s">
        <v>166</v>
      </c>
      <c r="AQ183" s="266" t="s">
        <v>166</v>
      </c>
      <c r="AR183" s="48" t="s">
        <v>4960</v>
      </c>
      <c r="AS183" s="266" t="s">
        <v>166</v>
      </c>
      <c r="AT183" s="266">
        <v>3.0</v>
      </c>
      <c r="AU183" s="266" t="s">
        <v>174</v>
      </c>
      <c r="AV183" s="266" t="s">
        <v>166</v>
      </c>
      <c r="AW183" s="266">
        <v>1.0</v>
      </c>
      <c r="AX183" s="266">
        <v>1.0</v>
      </c>
      <c r="AY183" s="266">
        <v>1.0</v>
      </c>
      <c r="AZ183" s="266">
        <v>2.0</v>
      </c>
      <c r="BA183" s="266" t="s">
        <v>166</v>
      </c>
      <c r="BB183" s="266" t="s">
        <v>166</v>
      </c>
      <c r="BC183" s="266" t="s">
        <v>174</v>
      </c>
      <c r="BD183" s="266" t="s">
        <v>166</v>
      </c>
      <c r="BE183" s="48" t="s">
        <v>5678</v>
      </c>
      <c r="BF183" s="48" t="s">
        <v>4962</v>
      </c>
      <c r="BG183" s="48" t="s">
        <v>4963</v>
      </c>
      <c r="BH183" s="48">
        <v>4.0</v>
      </c>
      <c r="BI183" s="698" t="s">
        <v>170</v>
      </c>
      <c r="BJ183" s="496"/>
      <c r="BK183" s="394"/>
      <c r="BL183" s="394"/>
      <c r="BM183" s="394"/>
      <c r="BN183" s="394"/>
      <c r="BO183" s="394"/>
      <c r="BP183" s="394"/>
    </row>
    <row r="184">
      <c r="A184" s="266" t="s">
        <v>1688</v>
      </c>
      <c r="B184" s="48" t="s">
        <v>5184</v>
      </c>
      <c r="C184" s="266" t="s">
        <v>5185</v>
      </c>
      <c r="D184" s="452" t="str">
        <f t="shared" si="23"/>
        <v>MSI</v>
      </c>
      <c r="E184" s="747" t="s">
        <v>5686</v>
      </c>
      <c r="F184" s="266">
        <v>226.0</v>
      </c>
      <c r="G184" s="266">
        <v>185.0</v>
      </c>
      <c r="H184" s="266">
        <v>3.0</v>
      </c>
      <c r="I184" s="266" t="s">
        <v>166</v>
      </c>
      <c r="J184" s="266">
        <v>2.0</v>
      </c>
      <c r="K184" s="266" t="s">
        <v>166</v>
      </c>
      <c r="L184" s="266" t="s">
        <v>166</v>
      </c>
      <c r="M184" s="266">
        <v>1.0</v>
      </c>
      <c r="N184" s="266" t="s">
        <v>166</v>
      </c>
      <c r="O184" s="266" t="s">
        <v>166</v>
      </c>
      <c r="P184" s="266" t="s">
        <v>166</v>
      </c>
      <c r="Q184" s="266" t="s">
        <v>166</v>
      </c>
      <c r="R184" s="266">
        <v>2.0</v>
      </c>
      <c r="S184" s="266" t="s">
        <v>3149</v>
      </c>
      <c r="T184" s="266">
        <v>32.0</v>
      </c>
      <c r="U184" s="266">
        <v>2666.0</v>
      </c>
      <c r="V184" s="266">
        <v>4.0</v>
      </c>
      <c r="W184" s="698" t="s">
        <v>166</v>
      </c>
      <c r="X184" s="266">
        <v>4.0</v>
      </c>
      <c r="Y184" s="266">
        <v>2.0</v>
      </c>
      <c r="Z184" s="266" t="s">
        <v>166</v>
      </c>
      <c r="AA184" s="266" t="s">
        <v>166</v>
      </c>
      <c r="AB184" s="266" t="s">
        <v>166</v>
      </c>
      <c r="AC184" s="266" t="s">
        <v>166</v>
      </c>
      <c r="AD184" s="266" t="s">
        <v>166</v>
      </c>
      <c r="AE184" s="266" t="s">
        <v>166</v>
      </c>
      <c r="AF184" s="266">
        <f t="shared" si="1"/>
        <v>6</v>
      </c>
      <c r="AG184" s="266">
        <v>1.0</v>
      </c>
      <c r="AH184" s="266">
        <v>1.0</v>
      </c>
      <c r="AI184" s="266" t="s">
        <v>166</v>
      </c>
      <c r="AJ184" s="266">
        <v>1.0</v>
      </c>
      <c r="AK184" s="48" t="s">
        <v>4959</v>
      </c>
      <c r="AL184" s="48">
        <v>1.0</v>
      </c>
      <c r="AM184" s="48" t="s">
        <v>166</v>
      </c>
      <c r="AN184" s="48" t="s">
        <v>166</v>
      </c>
      <c r="AO184" s="266" t="s">
        <v>166</v>
      </c>
      <c r="AP184" s="266" t="s">
        <v>166</v>
      </c>
      <c r="AQ184" s="266" t="s">
        <v>166</v>
      </c>
      <c r="AR184" s="48" t="s">
        <v>4960</v>
      </c>
      <c r="AS184" s="266" t="s">
        <v>166</v>
      </c>
      <c r="AT184" s="266">
        <v>3.0</v>
      </c>
      <c r="AU184" s="266" t="s">
        <v>174</v>
      </c>
      <c r="AV184" s="266" t="s">
        <v>166</v>
      </c>
      <c r="AW184" s="266">
        <v>1.0</v>
      </c>
      <c r="AX184" s="266" t="s">
        <v>166</v>
      </c>
      <c r="AY184" s="266">
        <v>1.0</v>
      </c>
      <c r="AZ184" s="266">
        <v>2.0</v>
      </c>
      <c r="BA184" s="266" t="s">
        <v>166</v>
      </c>
      <c r="BB184" s="266" t="s">
        <v>166</v>
      </c>
      <c r="BC184" s="266" t="s">
        <v>174</v>
      </c>
      <c r="BD184" s="266" t="s">
        <v>166</v>
      </c>
      <c r="BE184" s="48" t="s">
        <v>5678</v>
      </c>
      <c r="BF184" s="48" t="s">
        <v>4962</v>
      </c>
      <c r="BG184" s="48" t="s">
        <v>4963</v>
      </c>
      <c r="BH184" s="48">
        <v>4.0</v>
      </c>
      <c r="BI184" s="698" t="s">
        <v>170</v>
      </c>
      <c r="BJ184" s="496"/>
      <c r="BK184" s="394"/>
      <c r="BL184" s="394"/>
      <c r="BM184" s="394"/>
      <c r="BN184" s="394"/>
      <c r="BO184" s="394"/>
      <c r="BP184" s="394"/>
    </row>
    <row r="185">
      <c r="A185" s="266" t="s">
        <v>1688</v>
      </c>
      <c r="B185" s="48" t="s">
        <v>5184</v>
      </c>
      <c r="C185" s="266" t="s">
        <v>5185</v>
      </c>
      <c r="D185" s="452" t="str">
        <f t="shared" si="23"/>
        <v>MSI</v>
      </c>
      <c r="E185" s="747" t="s">
        <v>5687</v>
      </c>
      <c r="F185" s="266">
        <v>243.0</v>
      </c>
      <c r="G185" s="266">
        <v>205.0</v>
      </c>
      <c r="H185" s="266">
        <v>3.0</v>
      </c>
      <c r="I185" s="266">
        <v>2.0</v>
      </c>
      <c r="J185" s="266">
        <v>1.0</v>
      </c>
      <c r="K185" s="266" t="s">
        <v>166</v>
      </c>
      <c r="L185" s="266" t="s">
        <v>166</v>
      </c>
      <c r="M185" s="266">
        <v>1.0</v>
      </c>
      <c r="N185" s="266" t="s">
        <v>166</v>
      </c>
      <c r="O185" s="266" t="s">
        <v>166</v>
      </c>
      <c r="P185" s="266" t="s">
        <v>166</v>
      </c>
      <c r="Q185" s="266" t="s">
        <v>166</v>
      </c>
      <c r="R185" s="266">
        <v>2.0</v>
      </c>
      <c r="S185" s="266" t="s">
        <v>3149</v>
      </c>
      <c r="T185" s="266">
        <v>32.0</v>
      </c>
      <c r="U185" s="266">
        <v>2666.0</v>
      </c>
      <c r="V185" s="266">
        <v>4.0</v>
      </c>
      <c r="W185" s="698" t="s">
        <v>166</v>
      </c>
      <c r="X185" s="266">
        <v>4.0</v>
      </c>
      <c r="Y185" s="266">
        <v>2.0</v>
      </c>
      <c r="Z185" s="266" t="s">
        <v>166</v>
      </c>
      <c r="AA185" s="266" t="s">
        <v>166</v>
      </c>
      <c r="AB185" s="266" t="s">
        <v>166</v>
      </c>
      <c r="AC185" s="266" t="s">
        <v>166</v>
      </c>
      <c r="AD185" s="266" t="s">
        <v>166</v>
      </c>
      <c r="AE185" s="266" t="s">
        <v>166</v>
      </c>
      <c r="AF185" s="266">
        <f t="shared" si="1"/>
        <v>6</v>
      </c>
      <c r="AG185" s="266">
        <v>1.0</v>
      </c>
      <c r="AH185" s="266">
        <v>1.0</v>
      </c>
      <c r="AI185" s="266" t="s">
        <v>166</v>
      </c>
      <c r="AJ185" s="266">
        <v>1.0</v>
      </c>
      <c r="AK185" s="48" t="s">
        <v>4959</v>
      </c>
      <c r="AL185" s="48">
        <v>1.0</v>
      </c>
      <c r="AM185" s="48" t="s">
        <v>166</v>
      </c>
      <c r="AN185" s="48" t="s">
        <v>166</v>
      </c>
      <c r="AO185" s="266" t="s">
        <v>166</v>
      </c>
      <c r="AP185" s="266" t="s">
        <v>166</v>
      </c>
      <c r="AQ185" s="266" t="s">
        <v>166</v>
      </c>
      <c r="AR185" s="48" t="s">
        <v>4960</v>
      </c>
      <c r="AS185" s="266" t="s">
        <v>166</v>
      </c>
      <c r="AT185" s="266">
        <v>3.0</v>
      </c>
      <c r="AU185" s="266" t="s">
        <v>174</v>
      </c>
      <c r="AV185" s="266" t="s">
        <v>166</v>
      </c>
      <c r="AW185" s="266">
        <v>1.0</v>
      </c>
      <c r="AX185" s="266" t="s">
        <v>166</v>
      </c>
      <c r="AY185" s="266">
        <v>1.0</v>
      </c>
      <c r="AZ185" s="266">
        <v>2.0</v>
      </c>
      <c r="BA185" s="266" t="s">
        <v>166</v>
      </c>
      <c r="BB185" s="266" t="s">
        <v>166</v>
      </c>
      <c r="BC185" s="266" t="s">
        <v>174</v>
      </c>
      <c r="BD185" s="266" t="s">
        <v>166</v>
      </c>
      <c r="BE185" s="48" t="s">
        <v>5678</v>
      </c>
      <c r="BF185" s="48" t="s">
        <v>4962</v>
      </c>
      <c r="BG185" s="48" t="s">
        <v>4963</v>
      </c>
      <c r="BH185" s="48">
        <v>4.0</v>
      </c>
      <c r="BI185" s="698" t="s">
        <v>170</v>
      </c>
      <c r="BJ185" s="496"/>
      <c r="BK185" s="394"/>
      <c r="BL185" s="394"/>
      <c r="BM185" s="394"/>
      <c r="BN185" s="394"/>
      <c r="BO185" s="394"/>
      <c r="BP185" s="394"/>
    </row>
    <row r="186">
      <c r="A186" s="501" t="s">
        <v>1688</v>
      </c>
      <c r="B186" s="700" t="s">
        <v>5184</v>
      </c>
      <c r="C186" s="501" t="s">
        <v>5185</v>
      </c>
      <c r="D186" s="500" t="str">
        <f t="shared" si="23"/>
        <v>MSI</v>
      </c>
      <c r="E186" s="748" t="s">
        <v>5688</v>
      </c>
      <c r="F186" s="501">
        <v>236.0</v>
      </c>
      <c r="G186" s="501">
        <v>205.0</v>
      </c>
      <c r="H186" s="501">
        <v>3.0</v>
      </c>
      <c r="I186" s="501" t="s">
        <v>166</v>
      </c>
      <c r="J186" s="501">
        <v>2.0</v>
      </c>
      <c r="K186" s="501" t="s">
        <v>166</v>
      </c>
      <c r="L186" s="501" t="s">
        <v>166</v>
      </c>
      <c r="M186" s="501">
        <v>1.0</v>
      </c>
      <c r="N186" s="501" t="s">
        <v>166</v>
      </c>
      <c r="O186" s="501" t="s">
        <v>166</v>
      </c>
      <c r="P186" s="501" t="s">
        <v>166</v>
      </c>
      <c r="Q186" s="501" t="s">
        <v>166</v>
      </c>
      <c r="R186" s="501">
        <v>2.0</v>
      </c>
      <c r="S186" s="501" t="s">
        <v>3149</v>
      </c>
      <c r="T186" s="501">
        <v>32.0</v>
      </c>
      <c r="U186" s="501">
        <v>2666.0</v>
      </c>
      <c r="V186" s="501">
        <v>4.0</v>
      </c>
      <c r="W186" s="703" t="s">
        <v>166</v>
      </c>
      <c r="X186" s="501">
        <v>4.0</v>
      </c>
      <c r="Y186" s="501">
        <v>2.0</v>
      </c>
      <c r="Z186" s="501" t="s">
        <v>166</v>
      </c>
      <c r="AA186" s="501" t="s">
        <v>166</v>
      </c>
      <c r="AB186" s="501" t="s">
        <v>166</v>
      </c>
      <c r="AC186" s="501" t="s">
        <v>166</v>
      </c>
      <c r="AD186" s="501" t="s">
        <v>166</v>
      </c>
      <c r="AE186" s="501" t="s">
        <v>166</v>
      </c>
      <c r="AF186" s="501">
        <f t="shared" si="1"/>
        <v>6</v>
      </c>
      <c r="AG186" s="501">
        <v>1.0</v>
      </c>
      <c r="AH186" s="501">
        <v>1.0</v>
      </c>
      <c r="AI186" s="501" t="s">
        <v>166</v>
      </c>
      <c r="AJ186" s="501">
        <v>1.0</v>
      </c>
      <c r="AK186" s="700" t="s">
        <v>4959</v>
      </c>
      <c r="AL186" s="700">
        <v>1.0</v>
      </c>
      <c r="AM186" s="700" t="s">
        <v>166</v>
      </c>
      <c r="AN186" s="700" t="s">
        <v>166</v>
      </c>
      <c r="AO186" s="501" t="s">
        <v>166</v>
      </c>
      <c r="AP186" s="501" t="s">
        <v>166</v>
      </c>
      <c r="AQ186" s="501" t="s">
        <v>166</v>
      </c>
      <c r="AR186" s="700" t="s">
        <v>4960</v>
      </c>
      <c r="AS186" s="501" t="s">
        <v>166</v>
      </c>
      <c r="AT186" s="501">
        <v>3.0</v>
      </c>
      <c r="AU186" s="501" t="s">
        <v>174</v>
      </c>
      <c r="AV186" s="501" t="s">
        <v>166</v>
      </c>
      <c r="AW186" s="501" t="s">
        <v>166</v>
      </c>
      <c r="AX186" s="501" t="s">
        <v>166</v>
      </c>
      <c r="AY186" s="501">
        <v>1.0</v>
      </c>
      <c r="AZ186" s="501">
        <v>2.0</v>
      </c>
      <c r="BA186" s="501" t="s">
        <v>166</v>
      </c>
      <c r="BB186" s="501" t="s">
        <v>166</v>
      </c>
      <c r="BC186" s="501" t="s">
        <v>174</v>
      </c>
      <c r="BD186" s="501" t="s">
        <v>166</v>
      </c>
      <c r="BE186" s="700" t="s">
        <v>5678</v>
      </c>
      <c r="BF186" s="700" t="s">
        <v>4962</v>
      </c>
      <c r="BG186" s="700" t="s">
        <v>4963</v>
      </c>
      <c r="BH186" s="700">
        <v>4.0</v>
      </c>
      <c r="BI186" s="703" t="s">
        <v>170</v>
      </c>
      <c r="BJ186" s="503"/>
      <c r="BK186" s="394"/>
      <c r="BL186" s="394"/>
      <c r="BM186" s="394"/>
      <c r="BN186" s="394"/>
      <c r="BO186" s="394"/>
      <c r="BP186" s="394"/>
    </row>
    <row r="187">
      <c r="A187" s="507" t="s">
        <v>1688</v>
      </c>
      <c r="B187" s="705" t="s">
        <v>5184</v>
      </c>
      <c r="C187" s="507" t="s">
        <v>5189</v>
      </c>
      <c r="D187" s="506" t="s">
        <v>169</v>
      </c>
      <c r="E187" s="506" t="s">
        <v>5689</v>
      </c>
      <c r="F187" s="507">
        <v>226.0</v>
      </c>
      <c r="G187" s="507">
        <v>188.0</v>
      </c>
      <c r="H187" s="507">
        <v>3.0</v>
      </c>
      <c r="I187" s="507" t="s">
        <v>166</v>
      </c>
      <c r="J187" s="507">
        <v>2.0</v>
      </c>
      <c r="K187" s="507" t="s">
        <v>166</v>
      </c>
      <c r="L187" s="507" t="s">
        <v>166</v>
      </c>
      <c r="M187" s="507">
        <v>1.0</v>
      </c>
      <c r="N187" s="507" t="s">
        <v>166</v>
      </c>
      <c r="O187" s="507" t="s">
        <v>166</v>
      </c>
      <c r="P187" s="507" t="s">
        <v>166</v>
      </c>
      <c r="Q187" s="507" t="s">
        <v>166</v>
      </c>
      <c r="R187" s="507">
        <v>2.0</v>
      </c>
      <c r="S187" s="507" t="s">
        <v>3149</v>
      </c>
      <c r="T187" s="507">
        <v>32.0</v>
      </c>
      <c r="U187" s="507">
        <v>2666.0</v>
      </c>
      <c r="V187" s="507">
        <v>6.0</v>
      </c>
      <c r="W187" s="711" t="s">
        <v>4950</v>
      </c>
      <c r="X187" s="507">
        <v>2.0</v>
      </c>
      <c r="Y187" s="507" t="s">
        <v>166</v>
      </c>
      <c r="Z187" s="507" t="s">
        <v>166</v>
      </c>
      <c r="AA187" s="507">
        <v>4.0</v>
      </c>
      <c r="AB187" s="507" t="s">
        <v>166</v>
      </c>
      <c r="AC187" s="507" t="s">
        <v>166</v>
      </c>
      <c r="AD187" s="507" t="s">
        <v>166</v>
      </c>
      <c r="AE187" s="507" t="s">
        <v>166</v>
      </c>
      <c r="AF187" s="507">
        <f t="shared" si="1"/>
        <v>6</v>
      </c>
      <c r="AG187" s="507">
        <v>2.0</v>
      </c>
      <c r="AH187" s="507">
        <v>1.0</v>
      </c>
      <c r="AI187" s="507" t="s">
        <v>166</v>
      </c>
      <c r="AJ187" s="507">
        <v>1.0</v>
      </c>
      <c r="AK187" s="705" t="s">
        <v>5133</v>
      </c>
      <c r="AL187" s="705">
        <v>1.0</v>
      </c>
      <c r="AM187" s="705" t="s">
        <v>166</v>
      </c>
      <c r="AN187" s="705" t="s">
        <v>166</v>
      </c>
      <c r="AO187" s="507" t="s">
        <v>166</v>
      </c>
      <c r="AP187" s="507" t="s">
        <v>166</v>
      </c>
      <c r="AQ187" s="507" t="s">
        <v>166</v>
      </c>
      <c r="AR187" s="705" t="s">
        <v>4960</v>
      </c>
      <c r="AS187" s="507" t="s">
        <v>166</v>
      </c>
      <c r="AT187" s="507">
        <v>3.0</v>
      </c>
      <c r="AU187" s="507" t="s">
        <v>174</v>
      </c>
      <c r="AV187" s="507" t="s">
        <v>166</v>
      </c>
      <c r="AW187" s="507">
        <v>1.0</v>
      </c>
      <c r="AX187" s="507">
        <v>1.0</v>
      </c>
      <c r="AY187" s="507">
        <v>1.0</v>
      </c>
      <c r="AZ187" s="507">
        <v>3.0</v>
      </c>
      <c r="BA187" s="507" t="s">
        <v>166</v>
      </c>
      <c r="BB187" s="507" t="s">
        <v>166</v>
      </c>
      <c r="BC187" s="507" t="s">
        <v>166</v>
      </c>
      <c r="BD187" s="507" t="s">
        <v>166</v>
      </c>
      <c r="BE187" s="705" t="s">
        <v>5645</v>
      </c>
      <c r="BF187" s="705" t="s">
        <v>5017</v>
      </c>
      <c r="BG187" s="705" t="s">
        <v>4963</v>
      </c>
      <c r="BH187" s="705">
        <v>4.0</v>
      </c>
      <c r="BI187" s="708" t="s">
        <v>170</v>
      </c>
      <c r="BJ187" s="509"/>
      <c r="BK187" s="394"/>
      <c r="BL187" s="394"/>
      <c r="BM187" s="394"/>
      <c r="BN187" s="394"/>
      <c r="BO187" s="394"/>
      <c r="BP187" s="394"/>
    </row>
    <row r="188">
      <c r="A188" s="266" t="s">
        <v>1688</v>
      </c>
      <c r="B188" s="48" t="s">
        <v>5184</v>
      </c>
      <c r="C188" s="266" t="s">
        <v>5189</v>
      </c>
      <c r="D188" s="452" t="str">
        <f t="shared" ref="D188:D192" si="24">HYPERLINK("https://www.asus.com/","Asus")</f>
        <v>Asus</v>
      </c>
      <c r="E188" s="452" t="s">
        <v>5690</v>
      </c>
      <c r="F188" s="266">
        <v>226.0</v>
      </c>
      <c r="G188" s="266">
        <v>183.0</v>
      </c>
      <c r="H188" s="266">
        <v>3.0</v>
      </c>
      <c r="I188" s="266" t="s">
        <v>166</v>
      </c>
      <c r="J188" s="266">
        <v>1.0</v>
      </c>
      <c r="K188" s="266">
        <v>1.0</v>
      </c>
      <c r="L188" s="266" t="s">
        <v>166</v>
      </c>
      <c r="M188" s="266">
        <v>1.0</v>
      </c>
      <c r="N188" s="266" t="s">
        <v>166</v>
      </c>
      <c r="O188" s="266" t="s">
        <v>166</v>
      </c>
      <c r="P188" s="266" t="s">
        <v>166</v>
      </c>
      <c r="Q188" s="266" t="s">
        <v>166</v>
      </c>
      <c r="R188" s="266">
        <v>2.0</v>
      </c>
      <c r="S188" s="266" t="s">
        <v>3149</v>
      </c>
      <c r="T188" s="266">
        <v>32.0</v>
      </c>
      <c r="U188" s="266">
        <v>2666.0</v>
      </c>
      <c r="V188" s="266">
        <v>4.0</v>
      </c>
      <c r="W188" s="710" t="s">
        <v>5062</v>
      </c>
      <c r="X188" s="266">
        <v>2.0</v>
      </c>
      <c r="Y188" s="266">
        <v>4.0</v>
      </c>
      <c r="Z188" s="266" t="s">
        <v>166</v>
      </c>
      <c r="AA188" s="266" t="s">
        <v>166</v>
      </c>
      <c r="AB188" s="266" t="s">
        <v>166</v>
      </c>
      <c r="AC188" s="266" t="s">
        <v>166</v>
      </c>
      <c r="AD188" s="266" t="s">
        <v>166</v>
      </c>
      <c r="AE188" s="266" t="s">
        <v>166</v>
      </c>
      <c r="AF188" s="266">
        <f t="shared" si="1"/>
        <v>6</v>
      </c>
      <c r="AG188" s="266">
        <v>2.0</v>
      </c>
      <c r="AH188" s="266">
        <v>1.0</v>
      </c>
      <c r="AI188" s="266" t="s">
        <v>166</v>
      </c>
      <c r="AJ188" s="266">
        <v>1.0</v>
      </c>
      <c r="AK188" s="48" t="s">
        <v>4959</v>
      </c>
      <c r="AL188" s="48">
        <v>1.0</v>
      </c>
      <c r="AM188" s="48" t="s">
        <v>166</v>
      </c>
      <c r="AN188" s="48" t="s">
        <v>166</v>
      </c>
      <c r="AO188" s="266" t="s">
        <v>166</v>
      </c>
      <c r="AP188" s="266" t="s">
        <v>166</v>
      </c>
      <c r="AQ188" s="266" t="s">
        <v>166</v>
      </c>
      <c r="AR188" s="48" t="s">
        <v>4960</v>
      </c>
      <c r="AS188" s="266" t="s">
        <v>166</v>
      </c>
      <c r="AT188" s="266">
        <v>3.0</v>
      </c>
      <c r="AU188" s="266" t="s">
        <v>174</v>
      </c>
      <c r="AV188" s="266" t="s">
        <v>166</v>
      </c>
      <c r="AW188" s="266">
        <v>1.0</v>
      </c>
      <c r="AX188" s="266" t="s">
        <v>166</v>
      </c>
      <c r="AY188" s="266">
        <v>1.0</v>
      </c>
      <c r="AZ188" s="266">
        <v>2.0</v>
      </c>
      <c r="BA188" s="266">
        <v>1.0</v>
      </c>
      <c r="BB188" s="266" t="s">
        <v>166</v>
      </c>
      <c r="BC188" s="266" t="s">
        <v>166</v>
      </c>
      <c r="BD188" s="266" t="s">
        <v>166</v>
      </c>
      <c r="BE188" s="48" t="s">
        <v>1554</v>
      </c>
      <c r="BF188" s="48" t="s">
        <v>5017</v>
      </c>
      <c r="BG188" s="48" t="s">
        <v>4963</v>
      </c>
      <c r="BH188" s="48">
        <v>4.0</v>
      </c>
      <c r="BI188" s="698" t="s">
        <v>170</v>
      </c>
      <c r="BJ188" s="496"/>
      <c r="BK188" s="394"/>
      <c r="BL188" s="394"/>
      <c r="BM188" s="394"/>
      <c r="BN188" s="394"/>
      <c r="BO188" s="394"/>
      <c r="BP188" s="394"/>
    </row>
    <row r="189">
      <c r="A189" s="266" t="s">
        <v>1688</v>
      </c>
      <c r="B189" s="48" t="s">
        <v>5184</v>
      </c>
      <c r="C189" s="266" t="s">
        <v>5189</v>
      </c>
      <c r="D189" s="452" t="str">
        <f t="shared" si="24"/>
        <v>Asus</v>
      </c>
      <c r="E189" s="452" t="s">
        <v>5691</v>
      </c>
      <c r="F189" s="266">
        <v>244.0</v>
      </c>
      <c r="G189" s="266">
        <v>206.0</v>
      </c>
      <c r="H189" s="266">
        <v>3.0</v>
      </c>
      <c r="I189" s="266" t="s">
        <v>166</v>
      </c>
      <c r="J189" s="266">
        <v>2.0</v>
      </c>
      <c r="K189" s="266" t="s">
        <v>166</v>
      </c>
      <c r="L189" s="266" t="s">
        <v>166</v>
      </c>
      <c r="M189" s="266">
        <v>1.0</v>
      </c>
      <c r="N189" s="266" t="s">
        <v>166</v>
      </c>
      <c r="O189" s="266" t="s">
        <v>166</v>
      </c>
      <c r="P189" s="266" t="s">
        <v>166</v>
      </c>
      <c r="Q189" s="266" t="s">
        <v>166</v>
      </c>
      <c r="R189" s="266">
        <v>4.0</v>
      </c>
      <c r="S189" s="266" t="s">
        <v>3149</v>
      </c>
      <c r="T189" s="266">
        <v>64.0</v>
      </c>
      <c r="U189" s="266">
        <v>2666.0</v>
      </c>
      <c r="V189" s="266">
        <v>6.0</v>
      </c>
      <c r="W189" s="710" t="s">
        <v>5251</v>
      </c>
      <c r="X189" s="266">
        <v>2.0</v>
      </c>
      <c r="Y189" s="266" t="s">
        <v>166</v>
      </c>
      <c r="Z189" s="266">
        <v>1.0</v>
      </c>
      <c r="AA189" s="266">
        <v>2.0</v>
      </c>
      <c r="AB189" s="266" t="s">
        <v>166</v>
      </c>
      <c r="AC189" s="266" t="s">
        <v>166</v>
      </c>
      <c r="AD189" s="266" t="s">
        <v>166</v>
      </c>
      <c r="AE189" s="266" t="s">
        <v>166</v>
      </c>
      <c r="AF189" s="266">
        <f t="shared" si="1"/>
        <v>5</v>
      </c>
      <c r="AG189" s="266">
        <v>2.0</v>
      </c>
      <c r="AH189" s="266">
        <v>1.0</v>
      </c>
      <c r="AI189" s="266" t="s">
        <v>166</v>
      </c>
      <c r="AJ189" s="266">
        <v>1.0</v>
      </c>
      <c r="AK189" s="48" t="s">
        <v>4959</v>
      </c>
      <c r="AL189" s="48">
        <v>1.0</v>
      </c>
      <c r="AM189" s="48" t="s">
        <v>166</v>
      </c>
      <c r="AN189" s="48" t="s">
        <v>166</v>
      </c>
      <c r="AO189" s="266" t="s">
        <v>166</v>
      </c>
      <c r="AP189" s="266" t="s">
        <v>166</v>
      </c>
      <c r="AQ189" s="266" t="s">
        <v>166</v>
      </c>
      <c r="AR189" s="48" t="s">
        <v>4960</v>
      </c>
      <c r="AS189" s="266" t="s">
        <v>166</v>
      </c>
      <c r="AT189" s="266">
        <v>3.0</v>
      </c>
      <c r="AU189" s="266" t="s">
        <v>174</v>
      </c>
      <c r="AV189" s="266" t="s">
        <v>166</v>
      </c>
      <c r="AW189" s="266">
        <v>1.0</v>
      </c>
      <c r="AX189" s="266">
        <v>1.0</v>
      </c>
      <c r="AY189" s="266">
        <v>1.0</v>
      </c>
      <c r="AZ189" s="266">
        <v>3.0</v>
      </c>
      <c r="BA189" s="266">
        <v>1.0</v>
      </c>
      <c r="BB189" s="266" t="s">
        <v>166</v>
      </c>
      <c r="BC189" s="266" t="s">
        <v>166</v>
      </c>
      <c r="BD189" s="266" t="s">
        <v>166</v>
      </c>
      <c r="BE189" s="48" t="s">
        <v>5225</v>
      </c>
      <c r="BF189" s="48" t="s">
        <v>5135</v>
      </c>
      <c r="BG189" s="48" t="s">
        <v>4963</v>
      </c>
      <c r="BH189" s="48">
        <v>3.0</v>
      </c>
      <c r="BI189" s="698" t="s">
        <v>5658</v>
      </c>
      <c r="BJ189" s="496"/>
      <c r="BK189" s="394"/>
      <c r="BL189" s="394"/>
      <c r="BM189" s="394"/>
      <c r="BN189" s="394"/>
      <c r="BO189" s="394"/>
      <c r="BP189" s="394"/>
    </row>
    <row r="190">
      <c r="A190" s="266" t="s">
        <v>1688</v>
      </c>
      <c r="B190" s="48" t="s">
        <v>5184</v>
      </c>
      <c r="C190" s="266" t="s">
        <v>5189</v>
      </c>
      <c r="D190" s="452" t="str">
        <f t="shared" si="24"/>
        <v>Asus</v>
      </c>
      <c r="E190" s="452" t="s">
        <v>5692</v>
      </c>
      <c r="F190" s="266">
        <v>226.0</v>
      </c>
      <c r="G190" s="266">
        <v>185.0</v>
      </c>
      <c r="H190" s="266">
        <v>3.0</v>
      </c>
      <c r="I190" s="266" t="s">
        <v>166</v>
      </c>
      <c r="J190" s="266">
        <v>2.0</v>
      </c>
      <c r="K190" s="266" t="s">
        <v>166</v>
      </c>
      <c r="L190" s="266" t="s">
        <v>166</v>
      </c>
      <c r="M190" s="266">
        <v>1.0</v>
      </c>
      <c r="N190" s="266" t="s">
        <v>166</v>
      </c>
      <c r="O190" s="266" t="s">
        <v>166</v>
      </c>
      <c r="P190" s="266" t="s">
        <v>166</v>
      </c>
      <c r="Q190" s="266" t="s">
        <v>166</v>
      </c>
      <c r="R190" s="266">
        <v>2.0</v>
      </c>
      <c r="S190" s="266" t="s">
        <v>3149</v>
      </c>
      <c r="T190" s="266">
        <v>32.0</v>
      </c>
      <c r="U190" s="266">
        <v>2666.0</v>
      </c>
      <c r="V190" s="266">
        <v>6.0</v>
      </c>
      <c r="W190" s="710" t="s">
        <v>4950</v>
      </c>
      <c r="X190" s="266">
        <v>2.0</v>
      </c>
      <c r="Y190" s="266">
        <v>2.0</v>
      </c>
      <c r="Z190" s="266" t="s">
        <v>166</v>
      </c>
      <c r="AA190" s="266">
        <v>2.0</v>
      </c>
      <c r="AB190" s="266" t="s">
        <v>166</v>
      </c>
      <c r="AC190" s="266" t="s">
        <v>166</v>
      </c>
      <c r="AD190" s="266" t="s">
        <v>166</v>
      </c>
      <c r="AE190" s="266" t="s">
        <v>166</v>
      </c>
      <c r="AF190" s="266">
        <f t="shared" si="1"/>
        <v>6</v>
      </c>
      <c r="AG190" s="266">
        <v>2.0</v>
      </c>
      <c r="AH190" s="266">
        <v>1.0</v>
      </c>
      <c r="AI190" s="266" t="s">
        <v>166</v>
      </c>
      <c r="AJ190" s="266">
        <v>1.0</v>
      </c>
      <c r="AK190" s="48" t="s">
        <v>4959</v>
      </c>
      <c r="AL190" s="48">
        <v>1.0</v>
      </c>
      <c r="AM190" s="48" t="s">
        <v>166</v>
      </c>
      <c r="AN190" s="48" t="s">
        <v>166</v>
      </c>
      <c r="AO190" s="266" t="s">
        <v>166</v>
      </c>
      <c r="AP190" s="266" t="s">
        <v>166</v>
      </c>
      <c r="AQ190" s="266" t="s">
        <v>166</v>
      </c>
      <c r="AR190" s="48" t="s">
        <v>4960</v>
      </c>
      <c r="AS190" s="266" t="s">
        <v>166</v>
      </c>
      <c r="AT190" s="266">
        <v>3.0</v>
      </c>
      <c r="AU190" s="266" t="s">
        <v>174</v>
      </c>
      <c r="AV190" s="266" t="s">
        <v>166</v>
      </c>
      <c r="AW190" s="266" t="s">
        <v>166</v>
      </c>
      <c r="AX190" s="266">
        <v>1.0</v>
      </c>
      <c r="AY190" s="266">
        <v>1.0</v>
      </c>
      <c r="AZ190" s="266">
        <v>2.0</v>
      </c>
      <c r="BA190" s="266" t="s">
        <v>166</v>
      </c>
      <c r="BB190" s="266" t="s">
        <v>166</v>
      </c>
      <c r="BC190" s="266" t="s">
        <v>166</v>
      </c>
      <c r="BD190" s="266" t="s">
        <v>166</v>
      </c>
      <c r="BE190" s="48" t="s">
        <v>5225</v>
      </c>
      <c r="BF190" s="48" t="s">
        <v>5135</v>
      </c>
      <c r="BG190" s="48" t="s">
        <v>4963</v>
      </c>
      <c r="BH190" s="48">
        <v>3.0</v>
      </c>
      <c r="BI190" s="698" t="s">
        <v>5658</v>
      </c>
      <c r="BJ190" s="496"/>
      <c r="BK190" s="394"/>
      <c r="BL190" s="394"/>
      <c r="BM190" s="394"/>
      <c r="BN190" s="394"/>
      <c r="BO190" s="394"/>
      <c r="BP190" s="394"/>
    </row>
    <row r="191">
      <c r="A191" s="266" t="s">
        <v>1688</v>
      </c>
      <c r="B191" s="48" t="s">
        <v>5184</v>
      </c>
      <c r="C191" s="266" t="s">
        <v>5189</v>
      </c>
      <c r="D191" s="452" t="str">
        <f t="shared" si="24"/>
        <v>Asus</v>
      </c>
      <c r="E191" s="452" t="s">
        <v>5693</v>
      </c>
      <c r="F191" s="266">
        <v>226.0</v>
      </c>
      <c r="G191" s="266">
        <v>208.0</v>
      </c>
      <c r="H191" s="266">
        <v>3.0</v>
      </c>
      <c r="I191" s="266" t="s">
        <v>166</v>
      </c>
      <c r="J191" s="266">
        <v>2.0</v>
      </c>
      <c r="K191" s="266" t="s">
        <v>166</v>
      </c>
      <c r="L191" s="266" t="s">
        <v>166</v>
      </c>
      <c r="M191" s="266">
        <v>1.0</v>
      </c>
      <c r="N191" s="266" t="s">
        <v>166</v>
      </c>
      <c r="O191" s="266" t="s">
        <v>166</v>
      </c>
      <c r="P191" s="266" t="s">
        <v>166</v>
      </c>
      <c r="Q191" s="266" t="s">
        <v>166</v>
      </c>
      <c r="R191" s="266">
        <v>2.0</v>
      </c>
      <c r="S191" s="266" t="s">
        <v>3149</v>
      </c>
      <c r="T191" s="266">
        <v>32.0</v>
      </c>
      <c r="U191" s="266">
        <v>2666.0</v>
      </c>
      <c r="V191" s="266">
        <v>6.0</v>
      </c>
      <c r="W191" s="710" t="s">
        <v>4950</v>
      </c>
      <c r="X191" s="266">
        <v>2.0</v>
      </c>
      <c r="Y191" s="266">
        <v>2.0</v>
      </c>
      <c r="Z191" s="266" t="s">
        <v>166</v>
      </c>
      <c r="AA191" s="266">
        <v>2.0</v>
      </c>
      <c r="AB191" s="266" t="s">
        <v>166</v>
      </c>
      <c r="AC191" s="266" t="s">
        <v>166</v>
      </c>
      <c r="AD191" s="266" t="s">
        <v>166</v>
      </c>
      <c r="AE191" s="266" t="s">
        <v>166</v>
      </c>
      <c r="AF191" s="266">
        <f t="shared" si="1"/>
        <v>6</v>
      </c>
      <c r="AG191" s="266">
        <v>2.0</v>
      </c>
      <c r="AH191" s="266">
        <v>1.0</v>
      </c>
      <c r="AI191" s="266" t="s">
        <v>166</v>
      </c>
      <c r="AJ191" s="266">
        <v>1.0</v>
      </c>
      <c r="AK191" s="48" t="s">
        <v>5133</v>
      </c>
      <c r="AL191" s="48">
        <v>1.0</v>
      </c>
      <c r="AM191" s="48" t="s">
        <v>166</v>
      </c>
      <c r="AN191" s="48" t="s">
        <v>166</v>
      </c>
      <c r="AO191" s="266" t="s">
        <v>166</v>
      </c>
      <c r="AP191" s="266" t="s">
        <v>166</v>
      </c>
      <c r="AQ191" s="266" t="s">
        <v>166</v>
      </c>
      <c r="AR191" s="48" t="s">
        <v>4960</v>
      </c>
      <c r="AS191" s="266" t="s">
        <v>166</v>
      </c>
      <c r="AT191" s="266">
        <v>3.0</v>
      </c>
      <c r="AU191" s="266" t="s">
        <v>174</v>
      </c>
      <c r="AV191" s="266" t="s">
        <v>166</v>
      </c>
      <c r="AW191" s="266">
        <v>1.0</v>
      </c>
      <c r="AX191" s="266">
        <v>1.0</v>
      </c>
      <c r="AY191" s="266" t="s">
        <v>166</v>
      </c>
      <c r="AZ191" s="266">
        <v>2.0</v>
      </c>
      <c r="BA191" s="266">
        <v>1.0</v>
      </c>
      <c r="BB191" s="266" t="s">
        <v>166</v>
      </c>
      <c r="BC191" s="266" t="s">
        <v>166</v>
      </c>
      <c r="BD191" s="266" t="s">
        <v>166</v>
      </c>
      <c r="BE191" s="48" t="s">
        <v>5225</v>
      </c>
      <c r="BF191" s="48" t="s">
        <v>5135</v>
      </c>
      <c r="BG191" s="48" t="s">
        <v>4963</v>
      </c>
      <c r="BH191" s="48">
        <v>3.0</v>
      </c>
      <c r="BI191" s="698" t="s">
        <v>5658</v>
      </c>
      <c r="BJ191" s="496"/>
      <c r="BK191" s="394"/>
      <c r="BL191" s="394"/>
      <c r="BM191" s="394"/>
      <c r="BN191" s="394"/>
      <c r="BO191" s="394"/>
      <c r="BP191" s="394"/>
    </row>
    <row r="192">
      <c r="A192" s="266" t="s">
        <v>1688</v>
      </c>
      <c r="B192" s="48" t="s">
        <v>5184</v>
      </c>
      <c r="C192" s="266" t="s">
        <v>5189</v>
      </c>
      <c r="D192" s="452" t="str">
        <f t="shared" si="24"/>
        <v>Asus</v>
      </c>
      <c r="E192" s="452" t="s">
        <v>5694</v>
      </c>
      <c r="F192" s="266">
        <v>244.0</v>
      </c>
      <c r="G192" s="266">
        <v>231.0</v>
      </c>
      <c r="H192" s="266">
        <v>3.0</v>
      </c>
      <c r="I192" s="266" t="s">
        <v>166</v>
      </c>
      <c r="J192" s="266">
        <v>2.0</v>
      </c>
      <c r="K192" s="266" t="s">
        <v>166</v>
      </c>
      <c r="L192" s="266" t="s">
        <v>166</v>
      </c>
      <c r="M192" s="266">
        <v>1.0</v>
      </c>
      <c r="N192" s="266" t="s">
        <v>166</v>
      </c>
      <c r="O192" s="266" t="s">
        <v>166</v>
      </c>
      <c r="P192" s="266" t="s">
        <v>166</v>
      </c>
      <c r="Q192" s="266" t="s">
        <v>166</v>
      </c>
      <c r="R192" s="266">
        <v>4.0</v>
      </c>
      <c r="S192" s="266" t="s">
        <v>3149</v>
      </c>
      <c r="T192" s="266">
        <v>64.0</v>
      </c>
      <c r="U192" s="266">
        <v>2666.0</v>
      </c>
      <c r="V192" s="266">
        <v>6.0</v>
      </c>
      <c r="W192" s="710" t="s">
        <v>5251</v>
      </c>
      <c r="X192" s="266">
        <v>2.0</v>
      </c>
      <c r="Y192" s="266" t="s">
        <v>166</v>
      </c>
      <c r="Z192" s="266">
        <v>1.0</v>
      </c>
      <c r="AA192" s="266">
        <v>2.0</v>
      </c>
      <c r="AB192" s="266" t="s">
        <v>166</v>
      </c>
      <c r="AC192" s="266" t="s">
        <v>166</v>
      </c>
      <c r="AD192" s="266" t="s">
        <v>166</v>
      </c>
      <c r="AE192" s="266" t="s">
        <v>166</v>
      </c>
      <c r="AF192" s="266">
        <f t="shared" si="1"/>
        <v>5</v>
      </c>
      <c r="AG192" s="266">
        <v>2.0</v>
      </c>
      <c r="AH192" s="266">
        <v>1.0</v>
      </c>
      <c r="AI192" s="266" t="s">
        <v>166</v>
      </c>
      <c r="AJ192" s="266">
        <v>1.0</v>
      </c>
      <c r="AK192" s="48" t="s">
        <v>5133</v>
      </c>
      <c r="AL192" s="48">
        <v>1.0</v>
      </c>
      <c r="AM192" s="48" t="s">
        <v>166</v>
      </c>
      <c r="AN192" s="48" t="s">
        <v>166</v>
      </c>
      <c r="AO192" s="266" t="s">
        <v>166</v>
      </c>
      <c r="AP192" s="266" t="s">
        <v>166</v>
      </c>
      <c r="AQ192" s="266" t="s">
        <v>166</v>
      </c>
      <c r="AR192" s="48" t="s">
        <v>4960</v>
      </c>
      <c r="AS192" s="266" t="s">
        <v>166</v>
      </c>
      <c r="AT192" s="266">
        <v>3.0</v>
      </c>
      <c r="AU192" s="266" t="s">
        <v>174</v>
      </c>
      <c r="AV192" s="266" t="s">
        <v>166</v>
      </c>
      <c r="AW192" s="266">
        <v>1.0</v>
      </c>
      <c r="AX192" s="266">
        <v>1.0</v>
      </c>
      <c r="AY192" s="266" t="s">
        <v>166</v>
      </c>
      <c r="AZ192" s="266">
        <v>3.0</v>
      </c>
      <c r="BA192" s="266">
        <v>1.0</v>
      </c>
      <c r="BB192" s="266" t="s">
        <v>166</v>
      </c>
      <c r="BC192" s="266" t="s">
        <v>166</v>
      </c>
      <c r="BD192" s="266" t="s">
        <v>166</v>
      </c>
      <c r="BE192" s="48" t="s">
        <v>1554</v>
      </c>
      <c r="BF192" s="48" t="s">
        <v>170</v>
      </c>
      <c r="BG192" s="48" t="s">
        <v>170</v>
      </c>
      <c r="BH192" s="48" t="s">
        <v>170</v>
      </c>
      <c r="BI192" s="698" t="s">
        <v>170</v>
      </c>
      <c r="BJ192" s="496"/>
      <c r="BK192" s="394"/>
      <c r="BL192" s="394"/>
      <c r="BM192" s="394"/>
      <c r="BN192" s="394"/>
      <c r="BO192" s="394"/>
      <c r="BP192" s="394"/>
    </row>
    <row r="193">
      <c r="A193" s="266" t="s">
        <v>1688</v>
      </c>
      <c r="B193" s="48" t="s">
        <v>5184</v>
      </c>
      <c r="C193" s="266" t="s">
        <v>5189</v>
      </c>
      <c r="D193" s="452" t="str">
        <f t="shared" ref="D193:D194" si="25">HYPERLINK("https://www.biostar.com.tw/app/en/","Biostar")</f>
        <v>Biostar</v>
      </c>
      <c r="E193" s="747" t="s">
        <v>5695</v>
      </c>
      <c r="F193" s="266">
        <v>244.0</v>
      </c>
      <c r="G193" s="266">
        <v>230.0</v>
      </c>
      <c r="H193" s="266">
        <v>3.0</v>
      </c>
      <c r="I193" s="266" t="s">
        <v>166</v>
      </c>
      <c r="J193" s="266">
        <v>1.0</v>
      </c>
      <c r="K193" s="266" t="s">
        <v>166</v>
      </c>
      <c r="L193" s="266" t="s">
        <v>166</v>
      </c>
      <c r="M193" s="266">
        <v>2.0</v>
      </c>
      <c r="N193" s="266" t="s">
        <v>166</v>
      </c>
      <c r="O193" s="266" t="s">
        <v>166</v>
      </c>
      <c r="P193" s="266" t="s">
        <v>166</v>
      </c>
      <c r="Q193" s="266" t="s">
        <v>166</v>
      </c>
      <c r="R193" s="266">
        <v>4.0</v>
      </c>
      <c r="S193" s="266" t="s">
        <v>3149</v>
      </c>
      <c r="T193" s="266">
        <v>64.0</v>
      </c>
      <c r="U193" s="266">
        <v>2666.0</v>
      </c>
      <c r="V193" s="266">
        <v>6.0</v>
      </c>
      <c r="W193" s="710" t="s">
        <v>5251</v>
      </c>
      <c r="X193" s="266">
        <v>2.0</v>
      </c>
      <c r="Y193" s="266">
        <v>2.0</v>
      </c>
      <c r="Z193" s="266" t="s">
        <v>166</v>
      </c>
      <c r="AA193" s="266">
        <v>1.0</v>
      </c>
      <c r="AB193" s="266">
        <v>1.0</v>
      </c>
      <c r="AC193" s="266" t="s">
        <v>166</v>
      </c>
      <c r="AD193" s="266" t="s">
        <v>166</v>
      </c>
      <c r="AE193" s="266" t="s">
        <v>166</v>
      </c>
      <c r="AF193" s="266">
        <f t="shared" si="1"/>
        <v>6</v>
      </c>
      <c r="AG193" s="266">
        <v>1.0</v>
      </c>
      <c r="AH193" s="266">
        <v>1.0</v>
      </c>
      <c r="AI193" s="266" t="s">
        <v>166</v>
      </c>
      <c r="AJ193" s="266">
        <v>1.0</v>
      </c>
      <c r="AK193" s="48" t="s">
        <v>5133</v>
      </c>
      <c r="AL193" s="48">
        <v>1.0</v>
      </c>
      <c r="AM193" s="48" t="s">
        <v>166</v>
      </c>
      <c r="AN193" s="48" t="s">
        <v>166</v>
      </c>
      <c r="AO193" s="266" t="s">
        <v>166</v>
      </c>
      <c r="AP193" s="266" t="s">
        <v>166</v>
      </c>
      <c r="AQ193" s="266" t="s">
        <v>166</v>
      </c>
      <c r="AR193" s="48" t="s">
        <v>5139</v>
      </c>
      <c r="AS193" s="266" t="s">
        <v>166</v>
      </c>
      <c r="AT193" s="266">
        <v>6.0</v>
      </c>
      <c r="AU193" s="266" t="s">
        <v>174</v>
      </c>
      <c r="AV193" s="266" t="s">
        <v>166</v>
      </c>
      <c r="AW193" s="266">
        <v>1.0</v>
      </c>
      <c r="AX193" s="266">
        <v>1.0</v>
      </c>
      <c r="AY193" s="266">
        <v>1.0</v>
      </c>
      <c r="AZ193" s="266">
        <v>3.0</v>
      </c>
      <c r="BA193" s="266">
        <v>2.0</v>
      </c>
      <c r="BB193" s="266" t="s">
        <v>166</v>
      </c>
      <c r="BC193" s="266" t="s">
        <v>166</v>
      </c>
      <c r="BD193" s="266" t="s">
        <v>166</v>
      </c>
      <c r="BE193" s="48" t="s">
        <v>5204</v>
      </c>
      <c r="BF193" s="48" t="s">
        <v>4962</v>
      </c>
      <c r="BG193" s="48" t="s">
        <v>4963</v>
      </c>
      <c r="BH193" s="48">
        <v>4.0</v>
      </c>
      <c r="BI193" s="698" t="s">
        <v>5158</v>
      </c>
      <c r="BJ193" s="496"/>
      <c r="BK193" s="394"/>
      <c r="BL193" s="394"/>
      <c r="BM193" s="394"/>
      <c r="BN193" s="394"/>
      <c r="BO193" s="394"/>
      <c r="BP193" s="394"/>
    </row>
    <row r="194">
      <c r="A194" s="266" t="s">
        <v>1688</v>
      </c>
      <c r="B194" s="48" t="s">
        <v>5184</v>
      </c>
      <c r="C194" s="266" t="s">
        <v>5189</v>
      </c>
      <c r="D194" s="452" t="str">
        <f t="shared" si="25"/>
        <v>Biostar</v>
      </c>
      <c r="E194" s="747" t="s">
        <v>5696</v>
      </c>
      <c r="F194" s="266">
        <v>228.0</v>
      </c>
      <c r="G194" s="266">
        <v>177.0</v>
      </c>
      <c r="H194" s="266">
        <v>3.0</v>
      </c>
      <c r="I194" s="266" t="s">
        <v>166</v>
      </c>
      <c r="J194" s="266">
        <v>2.0</v>
      </c>
      <c r="K194" s="266" t="s">
        <v>166</v>
      </c>
      <c r="L194" s="266" t="s">
        <v>166</v>
      </c>
      <c r="M194" s="266">
        <v>1.0</v>
      </c>
      <c r="N194" s="266" t="s">
        <v>166</v>
      </c>
      <c r="O194" s="266" t="s">
        <v>166</v>
      </c>
      <c r="P194" s="266" t="s">
        <v>166</v>
      </c>
      <c r="Q194" s="266" t="s">
        <v>166</v>
      </c>
      <c r="R194" s="266">
        <v>2.0</v>
      </c>
      <c r="S194" s="266" t="s">
        <v>3149</v>
      </c>
      <c r="T194" s="266">
        <v>32.0</v>
      </c>
      <c r="U194" s="266">
        <v>2666.0</v>
      </c>
      <c r="V194" s="266">
        <v>4.0</v>
      </c>
      <c r="W194" s="698" t="s">
        <v>166</v>
      </c>
      <c r="X194" s="266">
        <v>2.0</v>
      </c>
      <c r="Y194" s="266">
        <v>4.0</v>
      </c>
      <c r="Z194" s="266" t="s">
        <v>166</v>
      </c>
      <c r="AA194" s="266" t="s">
        <v>166</v>
      </c>
      <c r="AB194" s="266" t="s">
        <v>166</v>
      </c>
      <c r="AC194" s="266" t="s">
        <v>166</v>
      </c>
      <c r="AD194" s="266" t="s">
        <v>166</v>
      </c>
      <c r="AE194" s="266" t="s">
        <v>166</v>
      </c>
      <c r="AF194" s="266">
        <f t="shared" si="1"/>
        <v>6</v>
      </c>
      <c r="AG194" s="266">
        <v>2.0</v>
      </c>
      <c r="AH194" s="266">
        <v>1.0</v>
      </c>
      <c r="AI194" s="266" t="s">
        <v>166</v>
      </c>
      <c r="AJ194" s="266">
        <v>1.0</v>
      </c>
      <c r="AK194" s="48" t="s">
        <v>4959</v>
      </c>
      <c r="AL194" s="48">
        <v>1.0</v>
      </c>
      <c r="AM194" s="48" t="s">
        <v>166</v>
      </c>
      <c r="AN194" s="48" t="s">
        <v>166</v>
      </c>
      <c r="AO194" s="266" t="s">
        <v>166</v>
      </c>
      <c r="AP194" s="266" t="s">
        <v>166</v>
      </c>
      <c r="AQ194" s="266" t="s">
        <v>166</v>
      </c>
      <c r="AR194" s="48" t="s">
        <v>4960</v>
      </c>
      <c r="AS194" s="266" t="s">
        <v>166</v>
      </c>
      <c r="AT194" s="266">
        <v>3.0</v>
      </c>
      <c r="AU194" s="266" t="s">
        <v>174</v>
      </c>
      <c r="AV194" s="266" t="s">
        <v>166</v>
      </c>
      <c r="AW194" s="266">
        <v>1.0</v>
      </c>
      <c r="AX194" s="266">
        <v>1.0</v>
      </c>
      <c r="AY194" s="266">
        <v>1.0</v>
      </c>
      <c r="AZ194" s="266">
        <v>2.0</v>
      </c>
      <c r="BA194" s="266" t="s">
        <v>166</v>
      </c>
      <c r="BB194" s="266" t="s">
        <v>166</v>
      </c>
      <c r="BC194" s="266" t="s">
        <v>166</v>
      </c>
      <c r="BD194" s="266" t="s">
        <v>166</v>
      </c>
      <c r="BE194" s="48" t="s">
        <v>170</v>
      </c>
      <c r="BF194" s="48" t="s">
        <v>5017</v>
      </c>
      <c r="BG194" s="48" t="s">
        <v>4963</v>
      </c>
      <c r="BH194" s="48">
        <v>4.0</v>
      </c>
      <c r="BI194" s="698" t="s">
        <v>170</v>
      </c>
      <c r="BJ194" s="496"/>
      <c r="BK194" s="394"/>
      <c r="BL194" s="394"/>
      <c r="BM194" s="394"/>
      <c r="BN194" s="394"/>
      <c r="BO194" s="394"/>
      <c r="BP194" s="394"/>
    </row>
    <row r="195">
      <c r="A195" s="266" t="s">
        <v>1688</v>
      </c>
      <c r="B195" s="48" t="s">
        <v>5184</v>
      </c>
      <c r="C195" s="266" t="s">
        <v>5189</v>
      </c>
      <c r="D195" s="452" t="str">
        <f>HYPERLINK("https://www.evga.com/","EVGA")</f>
        <v>EVGA</v>
      </c>
      <c r="E195" s="747" t="s">
        <v>5697</v>
      </c>
      <c r="F195" s="266">
        <v>244.0</v>
      </c>
      <c r="G195" s="266">
        <v>200.0</v>
      </c>
      <c r="H195" s="266">
        <v>3.0</v>
      </c>
      <c r="I195" s="266" t="s">
        <v>166</v>
      </c>
      <c r="J195" s="266">
        <v>1.0</v>
      </c>
      <c r="K195" s="266">
        <v>1.0</v>
      </c>
      <c r="L195" s="266" t="s">
        <v>166</v>
      </c>
      <c r="M195" s="266">
        <v>1.0</v>
      </c>
      <c r="N195" s="266" t="s">
        <v>166</v>
      </c>
      <c r="O195" s="266" t="s">
        <v>166</v>
      </c>
      <c r="P195" s="266" t="s">
        <v>166</v>
      </c>
      <c r="Q195" s="266" t="s">
        <v>166</v>
      </c>
      <c r="R195" s="266">
        <v>2.0</v>
      </c>
      <c r="S195" s="266" t="s">
        <v>3149</v>
      </c>
      <c r="T195" s="266">
        <v>32.0</v>
      </c>
      <c r="U195" s="266">
        <v>2666.0</v>
      </c>
      <c r="V195" s="266">
        <v>6.0</v>
      </c>
      <c r="W195" s="710" t="s">
        <v>4950</v>
      </c>
      <c r="X195" s="266">
        <v>4.0</v>
      </c>
      <c r="Y195" s="266" t="s">
        <v>166</v>
      </c>
      <c r="Z195" s="266" t="s">
        <v>166</v>
      </c>
      <c r="AA195" s="266">
        <v>4.0</v>
      </c>
      <c r="AB195" s="266" t="s">
        <v>166</v>
      </c>
      <c r="AC195" s="266" t="s">
        <v>166</v>
      </c>
      <c r="AD195" s="266" t="s">
        <v>166</v>
      </c>
      <c r="AE195" s="266" t="s">
        <v>166</v>
      </c>
      <c r="AF195" s="266">
        <f t="shared" si="1"/>
        <v>8</v>
      </c>
      <c r="AG195" s="266">
        <v>1.0</v>
      </c>
      <c r="AH195" s="266">
        <v>1.0</v>
      </c>
      <c r="AI195" s="266" t="s">
        <v>166</v>
      </c>
      <c r="AJ195" s="266">
        <v>1.0</v>
      </c>
      <c r="AK195" s="48" t="s">
        <v>5133</v>
      </c>
      <c r="AL195" s="48">
        <v>1.0</v>
      </c>
      <c r="AM195" s="48">
        <v>1.0</v>
      </c>
      <c r="AN195" s="48" t="s">
        <v>166</v>
      </c>
      <c r="AO195" s="266" t="s">
        <v>232</v>
      </c>
      <c r="AP195" s="266" t="s">
        <v>166</v>
      </c>
      <c r="AQ195" s="266" t="s">
        <v>166</v>
      </c>
      <c r="AR195" s="48" t="s">
        <v>5698</v>
      </c>
      <c r="AS195" s="266" t="s">
        <v>166</v>
      </c>
      <c r="AT195" s="266">
        <v>3.0</v>
      </c>
      <c r="AU195" s="266" t="s">
        <v>174</v>
      </c>
      <c r="AV195" s="266" t="s">
        <v>166</v>
      </c>
      <c r="AW195" s="266" t="s">
        <v>166</v>
      </c>
      <c r="AX195" s="266" t="s">
        <v>166</v>
      </c>
      <c r="AY195" s="266" t="s">
        <v>166</v>
      </c>
      <c r="AZ195" s="266">
        <v>3.0</v>
      </c>
      <c r="BA195" s="266" t="s">
        <v>166</v>
      </c>
      <c r="BB195" s="266" t="s">
        <v>166</v>
      </c>
      <c r="BC195" s="266" t="s">
        <v>166</v>
      </c>
      <c r="BD195" s="266" t="s">
        <v>166</v>
      </c>
      <c r="BE195" s="48" t="s">
        <v>170</v>
      </c>
      <c r="BF195" s="48" t="s">
        <v>170</v>
      </c>
      <c r="BG195" s="48" t="s">
        <v>170</v>
      </c>
      <c r="BH195" s="48" t="s">
        <v>170</v>
      </c>
      <c r="BI195" s="698" t="s">
        <v>170</v>
      </c>
      <c r="BJ195" s="496"/>
      <c r="BK195" s="394"/>
      <c r="BL195" s="394"/>
      <c r="BM195" s="394"/>
      <c r="BN195" s="394"/>
      <c r="BO195" s="394"/>
      <c r="BP195" s="394"/>
    </row>
    <row r="196">
      <c r="A196" s="266" t="s">
        <v>1688</v>
      </c>
      <c r="B196" s="48" t="s">
        <v>5184</v>
      </c>
      <c r="C196" s="266" t="s">
        <v>5189</v>
      </c>
      <c r="D196" s="452" t="str">
        <f t="shared" ref="D196:D205" si="26">HYPERLINK("https://www.gigabyte.com/","Gigabyte")</f>
        <v>Gigabyte</v>
      </c>
      <c r="E196" s="747" t="s">
        <v>5699</v>
      </c>
      <c r="F196" s="266">
        <v>244.0</v>
      </c>
      <c r="G196" s="266">
        <v>230.0</v>
      </c>
      <c r="H196" s="266">
        <v>3.0</v>
      </c>
      <c r="I196" s="266" t="s">
        <v>166</v>
      </c>
      <c r="J196" s="266">
        <v>1.0</v>
      </c>
      <c r="K196" s="266" t="s">
        <v>166</v>
      </c>
      <c r="L196" s="266" t="s">
        <v>166</v>
      </c>
      <c r="M196" s="266">
        <v>2.0</v>
      </c>
      <c r="N196" s="266" t="s">
        <v>166</v>
      </c>
      <c r="O196" s="266" t="s">
        <v>166</v>
      </c>
      <c r="P196" s="266" t="s">
        <v>166</v>
      </c>
      <c r="Q196" s="266" t="s">
        <v>166</v>
      </c>
      <c r="R196" s="266">
        <v>4.0</v>
      </c>
      <c r="S196" s="266" t="s">
        <v>3149</v>
      </c>
      <c r="T196" s="266">
        <v>64.0</v>
      </c>
      <c r="U196" s="266">
        <v>2666.0</v>
      </c>
      <c r="V196" s="266">
        <v>6.0</v>
      </c>
      <c r="W196" s="710" t="s">
        <v>5251</v>
      </c>
      <c r="X196" s="266">
        <v>2.0</v>
      </c>
      <c r="Y196" s="266">
        <v>3.0</v>
      </c>
      <c r="Z196" s="266" t="s">
        <v>166</v>
      </c>
      <c r="AA196" s="266">
        <v>1.0</v>
      </c>
      <c r="AB196" s="266" t="s">
        <v>166</v>
      </c>
      <c r="AC196" s="266" t="s">
        <v>166</v>
      </c>
      <c r="AD196" s="266" t="s">
        <v>166</v>
      </c>
      <c r="AE196" s="266" t="s">
        <v>166</v>
      </c>
      <c r="AF196" s="266">
        <f t="shared" si="1"/>
        <v>6</v>
      </c>
      <c r="AG196" s="266">
        <v>2.0</v>
      </c>
      <c r="AH196" s="266">
        <v>1.0</v>
      </c>
      <c r="AI196" s="266" t="s">
        <v>166</v>
      </c>
      <c r="AJ196" s="266">
        <v>1.0</v>
      </c>
      <c r="AK196" s="48" t="s">
        <v>5133</v>
      </c>
      <c r="AL196" s="48">
        <v>1.0</v>
      </c>
      <c r="AM196" s="48">
        <v>1.0</v>
      </c>
      <c r="AN196" s="48" t="s">
        <v>166</v>
      </c>
      <c r="AO196" s="266" t="s">
        <v>232</v>
      </c>
      <c r="AP196" s="266" t="s">
        <v>166</v>
      </c>
      <c r="AQ196" s="266" t="s">
        <v>166</v>
      </c>
      <c r="AR196" s="48" t="s">
        <v>4977</v>
      </c>
      <c r="AS196" s="266" t="s">
        <v>166</v>
      </c>
      <c r="AT196" s="266">
        <v>6.0</v>
      </c>
      <c r="AU196" s="266" t="s">
        <v>174</v>
      </c>
      <c r="AV196" s="266" t="s">
        <v>166</v>
      </c>
      <c r="AW196" s="266">
        <v>1.0</v>
      </c>
      <c r="AX196" s="266">
        <v>1.0</v>
      </c>
      <c r="AY196" s="266" t="s">
        <v>166</v>
      </c>
      <c r="AZ196" s="266">
        <v>4.0</v>
      </c>
      <c r="BA196" s="266">
        <v>2.0</v>
      </c>
      <c r="BB196" s="266">
        <v>2.0</v>
      </c>
      <c r="BC196" s="266" t="s">
        <v>166</v>
      </c>
      <c r="BD196" s="266" t="s">
        <v>166</v>
      </c>
      <c r="BE196" s="48" t="s">
        <v>5667</v>
      </c>
      <c r="BF196" s="48" t="s">
        <v>170</v>
      </c>
      <c r="BG196" s="48" t="s">
        <v>170</v>
      </c>
      <c r="BH196" s="48" t="s">
        <v>170</v>
      </c>
      <c r="BI196" s="698" t="s">
        <v>170</v>
      </c>
      <c r="BJ196" s="496"/>
      <c r="BK196" s="394"/>
      <c r="BL196" s="394"/>
      <c r="BM196" s="394"/>
      <c r="BN196" s="394"/>
      <c r="BO196" s="394"/>
      <c r="BP196" s="394"/>
    </row>
    <row r="197">
      <c r="A197" s="266" t="s">
        <v>1688</v>
      </c>
      <c r="B197" s="48" t="s">
        <v>5184</v>
      </c>
      <c r="C197" s="266" t="s">
        <v>5189</v>
      </c>
      <c r="D197" s="452" t="str">
        <f t="shared" si="26"/>
        <v>Gigabyte</v>
      </c>
      <c r="E197" s="747" t="s">
        <v>5700</v>
      </c>
      <c r="F197" s="266">
        <v>226.0</v>
      </c>
      <c r="G197" s="266">
        <v>185.0</v>
      </c>
      <c r="H197" s="266">
        <v>3.0</v>
      </c>
      <c r="I197" s="266" t="s">
        <v>166</v>
      </c>
      <c r="J197" s="266">
        <v>2.0</v>
      </c>
      <c r="K197" s="266" t="s">
        <v>166</v>
      </c>
      <c r="L197" s="266" t="s">
        <v>166</v>
      </c>
      <c r="M197" s="266">
        <v>1.0</v>
      </c>
      <c r="N197" s="266" t="s">
        <v>166</v>
      </c>
      <c r="O197" s="266" t="s">
        <v>166</v>
      </c>
      <c r="P197" s="266" t="s">
        <v>166</v>
      </c>
      <c r="Q197" s="266" t="s">
        <v>166</v>
      </c>
      <c r="R197" s="266">
        <v>2.0</v>
      </c>
      <c r="S197" s="266" t="s">
        <v>3149</v>
      </c>
      <c r="T197" s="266">
        <v>32.0</v>
      </c>
      <c r="U197" s="266">
        <v>2666.0</v>
      </c>
      <c r="V197" s="266">
        <v>6.0</v>
      </c>
      <c r="W197" s="710" t="s">
        <v>4950</v>
      </c>
      <c r="X197" s="266">
        <v>2.0</v>
      </c>
      <c r="Y197" s="266">
        <v>4.0</v>
      </c>
      <c r="Z197" s="266" t="s">
        <v>166</v>
      </c>
      <c r="AA197" s="266" t="s">
        <v>166</v>
      </c>
      <c r="AB197" s="266" t="s">
        <v>166</v>
      </c>
      <c r="AC197" s="266" t="s">
        <v>166</v>
      </c>
      <c r="AD197" s="266" t="s">
        <v>166</v>
      </c>
      <c r="AE197" s="266" t="s">
        <v>166</v>
      </c>
      <c r="AF197" s="266">
        <f t="shared" si="1"/>
        <v>6</v>
      </c>
      <c r="AG197" s="266">
        <v>2.0</v>
      </c>
      <c r="AH197" s="266">
        <v>1.0</v>
      </c>
      <c r="AI197" s="266" t="s">
        <v>166</v>
      </c>
      <c r="AJ197" s="266">
        <v>1.0</v>
      </c>
      <c r="AK197" s="48" t="s">
        <v>5536</v>
      </c>
      <c r="AL197" s="48">
        <v>1.0</v>
      </c>
      <c r="AM197" s="48" t="s">
        <v>166</v>
      </c>
      <c r="AN197" s="48" t="s">
        <v>166</v>
      </c>
      <c r="AO197" s="266" t="s">
        <v>166</v>
      </c>
      <c r="AP197" s="266" t="s">
        <v>166</v>
      </c>
      <c r="AQ197" s="266" t="s">
        <v>166</v>
      </c>
      <c r="AR197" s="48" t="s">
        <v>4960</v>
      </c>
      <c r="AS197" s="266" t="s">
        <v>166</v>
      </c>
      <c r="AT197" s="266">
        <v>3.0</v>
      </c>
      <c r="AU197" s="266" t="s">
        <v>174</v>
      </c>
      <c r="AV197" s="266" t="s">
        <v>166</v>
      </c>
      <c r="AW197" s="266" t="s">
        <v>166</v>
      </c>
      <c r="AX197" s="266">
        <v>1.0</v>
      </c>
      <c r="AY197" s="266">
        <v>1.0</v>
      </c>
      <c r="AZ197" s="266">
        <v>2.0</v>
      </c>
      <c r="BA197" s="266" t="s">
        <v>166</v>
      </c>
      <c r="BB197" s="266" t="s">
        <v>166</v>
      </c>
      <c r="BC197" s="266" t="s">
        <v>166</v>
      </c>
      <c r="BD197" s="266" t="s">
        <v>166</v>
      </c>
      <c r="BE197" s="48" t="s">
        <v>5204</v>
      </c>
      <c r="BF197" s="48" t="s">
        <v>4962</v>
      </c>
      <c r="BG197" s="48" t="s">
        <v>4963</v>
      </c>
      <c r="BH197" s="48">
        <v>4.0</v>
      </c>
      <c r="BI197" s="698" t="s">
        <v>5205</v>
      </c>
      <c r="BJ197" s="496"/>
      <c r="BK197" s="394"/>
      <c r="BL197" s="394"/>
      <c r="BM197" s="394"/>
      <c r="BN197" s="394"/>
      <c r="BO197" s="394"/>
      <c r="BP197" s="394"/>
    </row>
    <row r="198">
      <c r="A198" s="266" t="s">
        <v>1688</v>
      </c>
      <c r="B198" s="48" t="s">
        <v>5184</v>
      </c>
      <c r="C198" s="266" t="s">
        <v>5189</v>
      </c>
      <c r="D198" s="452" t="str">
        <f t="shared" si="26"/>
        <v>Gigabyte</v>
      </c>
      <c r="E198" s="452" t="str">
        <f>HYPERLINK("https://www.gigabyte.com/Motherboard/B360M-D3H-rev-10","B360M D3H")</f>
        <v>B360M D3H</v>
      </c>
      <c r="F198" s="266">
        <v>244.0</v>
      </c>
      <c r="G198" s="266">
        <v>230.0</v>
      </c>
      <c r="H198" s="266">
        <v>3.0</v>
      </c>
      <c r="I198" s="266">
        <v>1.0</v>
      </c>
      <c r="J198" s="266">
        <v>1.0</v>
      </c>
      <c r="K198" s="266" t="s">
        <v>166</v>
      </c>
      <c r="L198" s="266" t="s">
        <v>166</v>
      </c>
      <c r="M198" s="266">
        <v>2.0</v>
      </c>
      <c r="N198" s="266" t="s">
        <v>166</v>
      </c>
      <c r="O198" s="266" t="s">
        <v>166</v>
      </c>
      <c r="P198" s="266" t="s">
        <v>166</v>
      </c>
      <c r="Q198" s="266" t="s">
        <v>166</v>
      </c>
      <c r="R198" s="266">
        <v>4.0</v>
      </c>
      <c r="S198" s="266" t="s">
        <v>3149</v>
      </c>
      <c r="T198" s="266">
        <v>64.0</v>
      </c>
      <c r="U198" s="266">
        <v>2666.0</v>
      </c>
      <c r="V198" s="266">
        <v>6.0</v>
      </c>
      <c r="W198" s="710" t="s">
        <v>4950</v>
      </c>
      <c r="X198" s="266">
        <v>2.0</v>
      </c>
      <c r="Y198" s="266">
        <v>2.0</v>
      </c>
      <c r="Z198" s="266">
        <v>1.0</v>
      </c>
      <c r="AA198" s="266">
        <v>1.0</v>
      </c>
      <c r="AB198" s="266" t="s">
        <v>166</v>
      </c>
      <c r="AC198" s="266" t="s">
        <v>166</v>
      </c>
      <c r="AD198" s="266" t="s">
        <v>166</v>
      </c>
      <c r="AE198" s="266" t="s">
        <v>166</v>
      </c>
      <c r="AF198" s="266">
        <f t="shared" si="1"/>
        <v>6</v>
      </c>
      <c r="AG198" s="266">
        <v>2.0</v>
      </c>
      <c r="AH198" s="266">
        <v>1.0</v>
      </c>
      <c r="AI198" s="266" t="s">
        <v>166</v>
      </c>
      <c r="AJ198" s="266">
        <v>1.0</v>
      </c>
      <c r="AK198" s="48" t="s">
        <v>5133</v>
      </c>
      <c r="AL198" s="48">
        <v>1.0</v>
      </c>
      <c r="AM198" s="48" t="s">
        <v>166</v>
      </c>
      <c r="AN198" s="48" t="s">
        <v>166</v>
      </c>
      <c r="AO198" s="266" t="s">
        <v>166</v>
      </c>
      <c r="AP198" s="266" t="s">
        <v>166</v>
      </c>
      <c r="AQ198" s="266" t="s">
        <v>166</v>
      </c>
      <c r="AR198" s="48" t="s">
        <v>4977</v>
      </c>
      <c r="AS198" s="266" t="s">
        <v>166</v>
      </c>
      <c r="AT198" s="266">
        <v>6.0</v>
      </c>
      <c r="AU198" s="266" t="s">
        <v>174</v>
      </c>
      <c r="AV198" s="266">
        <v>1.0</v>
      </c>
      <c r="AW198" s="266">
        <v>1.0</v>
      </c>
      <c r="AX198" s="266">
        <v>1.0</v>
      </c>
      <c r="AY198" s="266">
        <v>1.0</v>
      </c>
      <c r="AZ198" s="266">
        <v>4.0</v>
      </c>
      <c r="BA198" s="266">
        <v>1.0</v>
      </c>
      <c r="BB198" s="266" t="s">
        <v>166</v>
      </c>
      <c r="BC198" s="266" t="s">
        <v>166</v>
      </c>
      <c r="BD198" s="266" t="s">
        <v>166</v>
      </c>
      <c r="BE198" s="48" t="s">
        <v>5667</v>
      </c>
      <c r="BF198" s="48" t="s">
        <v>170</v>
      </c>
      <c r="BG198" s="48" t="s">
        <v>170</v>
      </c>
      <c r="BH198" s="48" t="s">
        <v>170</v>
      </c>
      <c r="BI198" s="698" t="s">
        <v>170</v>
      </c>
      <c r="BJ198" s="496"/>
      <c r="BK198" s="394"/>
      <c r="BL198" s="394"/>
      <c r="BM198" s="394"/>
      <c r="BN198" s="394"/>
      <c r="BO198" s="394"/>
      <c r="BP198" s="394"/>
    </row>
    <row r="199">
      <c r="A199" s="266" t="s">
        <v>1688</v>
      </c>
      <c r="B199" s="48" t="s">
        <v>5184</v>
      </c>
      <c r="C199" s="266" t="s">
        <v>5189</v>
      </c>
      <c r="D199" s="452" t="str">
        <f t="shared" si="26"/>
        <v>Gigabyte</v>
      </c>
      <c r="E199" s="747" t="s">
        <v>5701</v>
      </c>
      <c r="F199" s="266">
        <v>244.0</v>
      </c>
      <c r="G199" s="266">
        <v>230.0</v>
      </c>
      <c r="H199" s="266">
        <v>3.0</v>
      </c>
      <c r="I199" s="266">
        <v>1.0</v>
      </c>
      <c r="J199" s="266">
        <v>1.0</v>
      </c>
      <c r="K199" s="266" t="s">
        <v>166</v>
      </c>
      <c r="L199" s="266" t="s">
        <v>166</v>
      </c>
      <c r="M199" s="266">
        <v>2.0</v>
      </c>
      <c r="N199" s="266" t="s">
        <v>166</v>
      </c>
      <c r="O199" s="266" t="s">
        <v>166</v>
      </c>
      <c r="P199" s="266" t="s">
        <v>166</v>
      </c>
      <c r="Q199" s="266" t="s">
        <v>166</v>
      </c>
      <c r="R199" s="266">
        <v>4.0</v>
      </c>
      <c r="S199" s="266" t="s">
        <v>3149</v>
      </c>
      <c r="T199" s="266">
        <v>64.0</v>
      </c>
      <c r="U199" s="266">
        <v>2666.0</v>
      </c>
      <c r="V199" s="266">
        <v>6.0</v>
      </c>
      <c r="W199" s="710" t="s">
        <v>4950</v>
      </c>
      <c r="X199" s="266">
        <v>2.0</v>
      </c>
      <c r="Y199" s="266">
        <v>2.0</v>
      </c>
      <c r="Z199" s="266">
        <v>1.0</v>
      </c>
      <c r="AA199" s="266">
        <v>1.0</v>
      </c>
      <c r="AB199" s="266" t="s">
        <v>166</v>
      </c>
      <c r="AC199" s="266" t="s">
        <v>166</v>
      </c>
      <c r="AD199" s="266" t="s">
        <v>166</v>
      </c>
      <c r="AE199" s="266" t="s">
        <v>166</v>
      </c>
      <c r="AF199" s="266">
        <f t="shared" si="1"/>
        <v>6</v>
      </c>
      <c r="AG199" s="266">
        <v>2.0</v>
      </c>
      <c r="AH199" s="266">
        <v>1.0</v>
      </c>
      <c r="AI199" s="266" t="s">
        <v>166</v>
      </c>
      <c r="AJ199" s="266">
        <v>1.0</v>
      </c>
      <c r="AK199" s="48" t="s">
        <v>5133</v>
      </c>
      <c r="AL199" s="48">
        <v>1.0</v>
      </c>
      <c r="AM199" s="48" t="s">
        <v>166</v>
      </c>
      <c r="AN199" s="48" t="s">
        <v>166</v>
      </c>
      <c r="AO199" s="266" t="s">
        <v>166</v>
      </c>
      <c r="AP199" s="266" t="s">
        <v>166</v>
      </c>
      <c r="AQ199" s="266" t="s">
        <v>166</v>
      </c>
      <c r="AR199" s="48" t="s">
        <v>4977</v>
      </c>
      <c r="AS199" s="266" t="s">
        <v>166</v>
      </c>
      <c r="AT199" s="266">
        <v>6.0</v>
      </c>
      <c r="AU199" s="266" t="s">
        <v>174</v>
      </c>
      <c r="AV199" s="266">
        <v>1.0</v>
      </c>
      <c r="AW199" s="266">
        <v>1.0</v>
      </c>
      <c r="AX199" s="266">
        <v>1.0</v>
      </c>
      <c r="AY199" s="266">
        <v>1.0</v>
      </c>
      <c r="AZ199" s="266">
        <v>4.0</v>
      </c>
      <c r="BA199" s="266">
        <v>1.0</v>
      </c>
      <c r="BB199" s="266" t="s">
        <v>166</v>
      </c>
      <c r="BC199" s="266" t="s">
        <v>166</v>
      </c>
      <c r="BD199" s="266" t="s">
        <v>166</v>
      </c>
      <c r="BE199" s="48" t="s">
        <v>5667</v>
      </c>
      <c r="BF199" s="48" t="s">
        <v>170</v>
      </c>
      <c r="BG199" s="48" t="s">
        <v>170</v>
      </c>
      <c r="BH199" s="48" t="s">
        <v>170</v>
      </c>
      <c r="BI199" s="698" t="s">
        <v>170</v>
      </c>
      <c r="BJ199" s="496"/>
      <c r="BK199" s="394"/>
      <c r="BL199" s="394"/>
      <c r="BM199" s="394"/>
      <c r="BN199" s="394"/>
      <c r="BO199" s="394"/>
      <c r="BP199" s="394"/>
    </row>
    <row r="200">
      <c r="A200" s="266" t="s">
        <v>1688</v>
      </c>
      <c r="B200" s="48" t="s">
        <v>5184</v>
      </c>
      <c r="C200" s="266" t="s">
        <v>5189</v>
      </c>
      <c r="D200" s="452" t="str">
        <f t="shared" si="26"/>
        <v>Gigabyte</v>
      </c>
      <c r="E200" s="747" t="s">
        <v>5702</v>
      </c>
      <c r="F200" s="266">
        <v>244.0</v>
      </c>
      <c r="G200" s="266">
        <v>230.0</v>
      </c>
      <c r="H200" s="266">
        <v>3.0</v>
      </c>
      <c r="I200" s="266" t="s">
        <v>166</v>
      </c>
      <c r="J200" s="266">
        <v>2.0</v>
      </c>
      <c r="K200" s="266" t="s">
        <v>166</v>
      </c>
      <c r="L200" s="266" t="s">
        <v>166</v>
      </c>
      <c r="M200" s="266">
        <v>2.0</v>
      </c>
      <c r="N200" s="266" t="s">
        <v>166</v>
      </c>
      <c r="O200" s="266" t="s">
        <v>166</v>
      </c>
      <c r="P200" s="266" t="s">
        <v>166</v>
      </c>
      <c r="Q200" s="266" t="s">
        <v>166</v>
      </c>
      <c r="R200" s="266">
        <v>4.0</v>
      </c>
      <c r="S200" s="266" t="s">
        <v>3149</v>
      </c>
      <c r="T200" s="266">
        <v>64.0</v>
      </c>
      <c r="U200" s="266">
        <v>2666.0</v>
      </c>
      <c r="V200" s="266">
        <v>6.0</v>
      </c>
      <c r="W200" s="710" t="s">
        <v>4950</v>
      </c>
      <c r="X200" s="266">
        <v>2.0</v>
      </c>
      <c r="Y200" s="266">
        <v>2.0</v>
      </c>
      <c r="Z200" s="266" t="s">
        <v>166</v>
      </c>
      <c r="AA200" s="266">
        <v>1.0</v>
      </c>
      <c r="AB200" s="266">
        <v>1.0</v>
      </c>
      <c r="AC200" s="266" t="s">
        <v>166</v>
      </c>
      <c r="AD200" s="266" t="s">
        <v>166</v>
      </c>
      <c r="AE200" s="266" t="s">
        <v>166</v>
      </c>
      <c r="AF200" s="266">
        <f t="shared" si="1"/>
        <v>6</v>
      </c>
      <c r="AG200" s="266">
        <v>2.0</v>
      </c>
      <c r="AH200" s="266">
        <v>1.0</v>
      </c>
      <c r="AI200" s="266" t="s">
        <v>166</v>
      </c>
      <c r="AJ200" s="266">
        <v>1.0</v>
      </c>
      <c r="AK200" s="48" t="s">
        <v>5133</v>
      </c>
      <c r="AL200" s="48">
        <v>1.0</v>
      </c>
      <c r="AM200" s="48">
        <v>1.0</v>
      </c>
      <c r="AN200" s="48" t="s">
        <v>166</v>
      </c>
      <c r="AO200" s="266" t="s">
        <v>232</v>
      </c>
      <c r="AP200" s="266" t="s">
        <v>166</v>
      </c>
      <c r="AQ200" s="266" t="s">
        <v>166</v>
      </c>
      <c r="AR200" s="48" t="s">
        <v>4977</v>
      </c>
      <c r="AS200" s="266" t="s">
        <v>166</v>
      </c>
      <c r="AT200" s="266">
        <v>6.0</v>
      </c>
      <c r="AU200" s="266" t="s">
        <v>174</v>
      </c>
      <c r="AV200" s="266">
        <v>2.0</v>
      </c>
      <c r="AW200" s="266" t="s">
        <v>166</v>
      </c>
      <c r="AX200" s="266">
        <v>1.0</v>
      </c>
      <c r="AY200" s="266" t="s">
        <v>166</v>
      </c>
      <c r="AZ200" s="266">
        <v>4.0</v>
      </c>
      <c r="BA200" s="266" t="s">
        <v>166</v>
      </c>
      <c r="BB200" s="266" t="s">
        <v>166</v>
      </c>
      <c r="BC200" s="266" t="s">
        <v>166</v>
      </c>
      <c r="BD200" s="266" t="s">
        <v>166</v>
      </c>
      <c r="BE200" s="48" t="s">
        <v>5667</v>
      </c>
      <c r="BF200" s="48" t="s">
        <v>4962</v>
      </c>
      <c r="BG200" s="48" t="s">
        <v>4963</v>
      </c>
      <c r="BH200" s="48">
        <v>4.0</v>
      </c>
      <c r="BI200" s="698" t="s">
        <v>170</v>
      </c>
      <c r="BJ200" s="496"/>
      <c r="BK200" s="394"/>
      <c r="BL200" s="394"/>
      <c r="BM200" s="394"/>
      <c r="BN200" s="394"/>
      <c r="BO200" s="394"/>
      <c r="BP200" s="394"/>
    </row>
    <row r="201">
      <c r="A201" s="266" t="s">
        <v>1688</v>
      </c>
      <c r="B201" s="48" t="s">
        <v>5184</v>
      </c>
      <c r="C201" s="266" t="s">
        <v>5189</v>
      </c>
      <c r="D201" s="452" t="str">
        <f t="shared" si="26"/>
        <v>Gigabyte</v>
      </c>
      <c r="E201" s="747" t="s">
        <v>5703</v>
      </c>
      <c r="F201" s="266">
        <v>244.0</v>
      </c>
      <c r="G201" s="266">
        <v>185.0</v>
      </c>
      <c r="H201" s="266">
        <v>3.0</v>
      </c>
      <c r="I201" s="266">
        <v>1.0</v>
      </c>
      <c r="J201" s="266">
        <v>2.0</v>
      </c>
      <c r="K201" s="266" t="s">
        <v>166</v>
      </c>
      <c r="L201" s="266" t="s">
        <v>166</v>
      </c>
      <c r="M201" s="266">
        <v>1.0</v>
      </c>
      <c r="N201" s="266" t="s">
        <v>166</v>
      </c>
      <c r="O201" s="266" t="s">
        <v>166</v>
      </c>
      <c r="P201" s="266" t="s">
        <v>166</v>
      </c>
      <c r="Q201" s="266" t="s">
        <v>166</v>
      </c>
      <c r="R201" s="266">
        <v>2.0</v>
      </c>
      <c r="S201" s="266" t="s">
        <v>3149</v>
      </c>
      <c r="T201" s="266">
        <v>32.0</v>
      </c>
      <c r="U201" s="266">
        <v>2666.0</v>
      </c>
      <c r="V201" s="266">
        <v>6.0</v>
      </c>
      <c r="W201" s="710" t="s">
        <v>4950</v>
      </c>
      <c r="X201" s="266">
        <v>2.0</v>
      </c>
      <c r="Y201" s="266">
        <v>4.0</v>
      </c>
      <c r="Z201" s="266" t="s">
        <v>166</v>
      </c>
      <c r="AA201" s="266" t="s">
        <v>166</v>
      </c>
      <c r="AB201" s="266" t="s">
        <v>166</v>
      </c>
      <c r="AC201" s="266" t="s">
        <v>166</v>
      </c>
      <c r="AD201" s="266" t="s">
        <v>166</v>
      </c>
      <c r="AE201" s="266" t="s">
        <v>166</v>
      </c>
      <c r="AF201" s="266">
        <f t="shared" si="1"/>
        <v>6</v>
      </c>
      <c r="AG201" s="266">
        <v>2.0</v>
      </c>
      <c r="AH201" s="266">
        <v>1.0</v>
      </c>
      <c r="AI201" s="266" t="s">
        <v>166</v>
      </c>
      <c r="AJ201" s="266">
        <v>1.0</v>
      </c>
      <c r="AK201" s="48" t="s">
        <v>5536</v>
      </c>
      <c r="AL201" s="48">
        <v>1.0</v>
      </c>
      <c r="AM201" s="48" t="s">
        <v>166</v>
      </c>
      <c r="AN201" s="48" t="s">
        <v>166</v>
      </c>
      <c r="AO201" s="266" t="s">
        <v>166</v>
      </c>
      <c r="AP201" s="266" t="s">
        <v>166</v>
      </c>
      <c r="AQ201" s="266" t="s">
        <v>166</v>
      </c>
      <c r="AR201" s="48" t="s">
        <v>4960</v>
      </c>
      <c r="AS201" s="266" t="s">
        <v>166</v>
      </c>
      <c r="AT201" s="266">
        <v>3.0</v>
      </c>
      <c r="AU201" s="266" t="s">
        <v>174</v>
      </c>
      <c r="AV201" s="266" t="s">
        <v>166</v>
      </c>
      <c r="AW201" s="266" t="s">
        <v>166</v>
      </c>
      <c r="AX201" s="266">
        <v>1.0</v>
      </c>
      <c r="AY201" s="266">
        <v>1.0</v>
      </c>
      <c r="AZ201" s="266">
        <v>2.0</v>
      </c>
      <c r="BA201" s="266" t="s">
        <v>166</v>
      </c>
      <c r="BB201" s="266" t="s">
        <v>166</v>
      </c>
      <c r="BC201" s="266" t="s">
        <v>166</v>
      </c>
      <c r="BD201" s="266" t="s">
        <v>166</v>
      </c>
      <c r="BE201" s="48" t="s">
        <v>5667</v>
      </c>
      <c r="BF201" s="48" t="s">
        <v>4962</v>
      </c>
      <c r="BG201" s="48" t="s">
        <v>4963</v>
      </c>
      <c r="BH201" s="48">
        <v>4.0</v>
      </c>
      <c r="BI201" s="698" t="s">
        <v>5146</v>
      </c>
      <c r="BJ201" s="496"/>
      <c r="BK201" s="394"/>
      <c r="BL201" s="394"/>
      <c r="BM201" s="394"/>
      <c r="BN201" s="394"/>
      <c r="BO201" s="394"/>
      <c r="BP201" s="394"/>
    </row>
    <row r="202">
      <c r="A202" s="266" t="s">
        <v>1688</v>
      </c>
      <c r="B202" s="48" t="s">
        <v>5184</v>
      </c>
      <c r="C202" s="266" t="s">
        <v>5189</v>
      </c>
      <c r="D202" s="452" t="str">
        <f t="shared" si="26"/>
        <v>Gigabyte</v>
      </c>
      <c r="E202" s="747" t="s">
        <v>5704</v>
      </c>
      <c r="F202" s="266">
        <v>226.0</v>
      </c>
      <c r="G202" s="266">
        <v>205.0</v>
      </c>
      <c r="H202" s="266">
        <v>3.0</v>
      </c>
      <c r="I202" s="266" t="s">
        <v>166</v>
      </c>
      <c r="J202" s="266">
        <v>1.0</v>
      </c>
      <c r="K202" s="266">
        <v>1.0</v>
      </c>
      <c r="L202" s="266" t="s">
        <v>166</v>
      </c>
      <c r="M202" s="266">
        <v>1.0</v>
      </c>
      <c r="N202" s="266" t="s">
        <v>166</v>
      </c>
      <c r="O202" s="266" t="s">
        <v>166</v>
      </c>
      <c r="P202" s="266" t="s">
        <v>166</v>
      </c>
      <c r="Q202" s="266" t="s">
        <v>166</v>
      </c>
      <c r="R202" s="266">
        <v>4.0</v>
      </c>
      <c r="S202" s="266" t="s">
        <v>3149</v>
      </c>
      <c r="T202" s="266">
        <v>64.0</v>
      </c>
      <c r="U202" s="266">
        <v>2666.0</v>
      </c>
      <c r="V202" s="266">
        <v>6.0</v>
      </c>
      <c r="W202" s="710" t="s">
        <v>4950</v>
      </c>
      <c r="X202" s="266">
        <v>2.0</v>
      </c>
      <c r="Y202" s="266">
        <v>4.0</v>
      </c>
      <c r="Z202" s="266" t="s">
        <v>166</v>
      </c>
      <c r="AA202" s="266" t="s">
        <v>166</v>
      </c>
      <c r="AB202" s="266" t="s">
        <v>166</v>
      </c>
      <c r="AC202" s="266" t="s">
        <v>166</v>
      </c>
      <c r="AD202" s="266" t="s">
        <v>166</v>
      </c>
      <c r="AE202" s="266" t="s">
        <v>166</v>
      </c>
      <c r="AF202" s="266">
        <f t="shared" si="1"/>
        <v>6</v>
      </c>
      <c r="AG202" s="266">
        <v>2.0</v>
      </c>
      <c r="AH202" s="266">
        <v>1.0</v>
      </c>
      <c r="AI202" s="266" t="s">
        <v>166</v>
      </c>
      <c r="AJ202" s="266">
        <v>1.0</v>
      </c>
      <c r="AK202" s="48" t="s">
        <v>5536</v>
      </c>
      <c r="AL202" s="48">
        <v>1.0</v>
      </c>
      <c r="AM202" s="48" t="s">
        <v>166</v>
      </c>
      <c r="AN202" s="48" t="s">
        <v>166</v>
      </c>
      <c r="AO202" s="266" t="s">
        <v>166</v>
      </c>
      <c r="AP202" s="266" t="s">
        <v>166</v>
      </c>
      <c r="AQ202" s="266" t="s">
        <v>166</v>
      </c>
      <c r="AR202" s="48" t="s">
        <v>4960</v>
      </c>
      <c r="AS202" s="266" t="s">
        <v>166</v>
      </c>
      <c r="AT202" s="266">
        <v>3.0</v>
      </c>
      <c r="AU202" s="266" t="s">
        <v>174</v>
      </c>
      <c r="AV202" s="266" t="s">
        <v>166</v>
      </c>
      <c r="AW202" s="266">
        <v>1.0</v>
      </c>
      <c r="AX202" s="266">
        <v>1.0</v>
      </c>
      <c r="AY202" s="266">
        <v>1.0</v>
      </c>
      <c r="AZ202" s="266">
        <v>3.0</v>
      </c>
      <c r="BA202" s="266">
        <v>1.0</v>
      </c>
      <c r="BB202" s="266" t="s">
        <v>166</v>
      </c>
      <c r="BC202" s="266" t="s">
        <v>166</v>
      </c>
      <c r="BD202" s="266" t="s">
        <v>166</v>
      </c>
      <c r="BE202" s="48" t="s">
        <v>5667</v>
      </c>
      <c r="BF202" s="48" t="s">
        <v>4962</v>
      </c>
      <c r="BG202" s="48" t="s">
        <v>4963</v>
      </c>
      <c r="BH202" s="48">
        <v>4.0</v>
      </c>
      <c r="BI202" s="698" t="s">
        <v>5146</v>
      </c>
      <c r="BJ202" s="496"/>
      <c r="BK202" s="394"/>
      <c r="BL202" s="394"/>
      <c r="BM202" s="394"/>
      <c r="BN202" s="394"/>
      <c r="BO202" s="394"/>
      <c r="BP202" s="394"/>
    </row>
    <row r="203">
      <c r="A203" s="266" t="s">
        <v>1688</v>
      </c>
      <c r="B203" s="48" t="s">
        <v>5184</v>
      </c>
      <c r="C203" s="266" t="s">
        <v>5189</v>
      </c>
      <c r="D203" s="452" t="str">
        <f t="shared" si="26"/>
        <v>Gigabyte</v>
      </c>
      <c r="E203" s="747" t="s">
        <v>5705</v>
      </c>
      <c r="F203" s="266">
        <v>226.0</v>
      </c>
      <c r="G203" s="266">
        <v>185.0</v>
      </c>
      <c r="H203" s="266">
        <v>3.0</v>
      </c>
      <c r="I203" s="266" t="s">
        <v>166</v>
      </c>
      <c r="J203" s="266">
        <v>1.0</v>
      </c>
      <c r="K203" s="266" t="s">
        <v>166</v>
      </c>
      <c r="L203" s="266" t="s">
        <v>166</v>
      </c>
      <c r="M203" s="266">
        <v>1.0</v>
      </c>
      <c r="N203" s="266" t="s">
        <v>166</v>
      </c>
      <c r="O203" s="266" t="s">
        <v>166</v>
      </c>
      <c r="P203" s="266" t="s">
        <v>166</v>
      </c>
      <c r="Q203" s="266" t="s">
        <v>166</v>
      </c>
      <c r="R203" s="266">
        <v>2.0</v>
      </c>
      <c r="S203" s="266" t="s">
        <v>3149</v>
      </c>
      <c r="T203" s="266">
        <v>32.0</v>
      </c>
      <c r="U203" s="266">
        <v>2666.0</v>
      </c>
      <c r="V203" s="266">
        <v>4.0</v>
      </c>
      <c r="W203" s="710" t="s">
        <v>4950</v>
      </c>
      <c r="X203" s="266">
        <v>2.0</v>
      </c>
      <c r="Y203" s="266">
        <v>4.0</v>
      </c>
      <c r="Z203" s="266" t="s">
        <v>166</v>
      </c>
      <c r="AA203" s="266" t="s">
        <v>166</v>
      </c>
      <c r="AB203" s="266" t="s">
        <v>166</v>
      </c>
      <c r="AC203" s="266" t="s">
        <v>166</v>
      </c>
      <c r="AD203" s="266" t="s">
        <v>166</v>
      </c>
      <c r="AE203" s="266" t="s">
        <v>166</v>
      </c>
      <c r="AF203" s="266">
        <f t="shared" si="1"/>
        <v>6</v>
      </c>
      <c r="AG203" s="266">
        <v>2.0</v>
      </c>
      <c r="AH203" s="266">
        <v>1.0</v>
      </c>
      <c r="AI203" s="266" t="s">
        <v>166</v>
      </c>
      <c r="AJ203" s="266">
        <v>1.0</v>
      </c>
      <c r="AK203" s="48" t="s">
        <v>5536</v>
      </c>
      <c r="AL203" s="48">
        <v>1.0</v>
      </c>
      <c r="AM203" s="48" t="s">
        <v>166</v>
      </c>
      <c r="AN203" s="48" t="s">
        <v>166</v>
      </c>
      <c r="AO203" s="266" t="s">
        <v>166</v>
      </c>
      <c r="AP203" s="266" t="s">
        <v>166</v>
      </c>
      <c r="AQ203" s="266" t="s">
        <v>166</v>
      </c>
      <c r="AR203" s="48" t="s">
        <v>4960</v>
      </c>
      <c r="AS203" s="266" t="s">
        <v>166</v>
      </c>
      <c r="AT203" s="266">
        <v>3.0</v>
      </c>
      <c r="AU203" s="266" t="s">
        <v>174</v>
      </c>
      <c r="AV203" s="266" t="s">
        <v>166</v>
      </c>
      <c r="AW203" s="266">
        <v>1.0</v>
      </c>
      <c r="AX203" s="266" t="s">
        <v>166</v>
      </c>
      <c r="AY203" s="266">
        <v>1.0</v>
      </c>
      <c r="AZ203" s="266">
        <v>2.0</v>
      </c>
      <c r="BA203" s="266" t="s">
        <v>166</v>
      </c>
      <c r="BB203" s="266" t="s">
        <v>166</v>
      </c>
      <c r="BC203" s="266" t="s">
        <v>166</v>
      </c>
      <c r="BD203" s="266" t="s">
        <v>166</v>
      </c>
      <c r="BE203" s="48" t="s">
        <v>5667</v>
      </c>
      <c r="BF203" s="48" t="s">
        <v>4962</v>
      </c>
      <c r="BG203" s="48" t="s">
        <v>4963</v>
      </c>
      <c r="BH203" s="48">
        <v>4.0</v>
      </c>
      <c r="BI203" s="698" t="s">
        <v>5146</v>
      </c>
      <c r="BJ203" s="496"/>
      <c r="BK203" s="394"/>
      <c r="BL203" s="394"/>
      <c r="BM203" s="394"/>
      <c r="BN203" s="394"/>
      <c r="BO203" s="394"/>
      <c r="BP203" s="394"/>
    </row>
    <row r="204">
      <c r="A204" s="266" t="s">
        <v>1688</v>
      </c>
      <c r="B204" s="48" t="s">
        <v>5184</v>
      </c>
      <c r="C204" s="266" t="s">
        <v>5189</v>
      </c>
      <c r="D204" s="452" t="str">
        <f t="shared" si="26"/>
        <v>Gigabyte</v>
      </c>
      <c r="E204" s="747" t="s">
        <v>5706</v>
      </c>
      <c r="F204" s="266">
        <v>226.0</v>
      </c>
      <c r="G204" s="266">
        <v>185.0</v>
      </c>
      <c r="H204" s="266">
        <v>3.0</v>
      </c>
      <c r="I204" s="266" t="s">
        <v>166</v>
      </c>
      <c r="J204" s="266">
        <v>1.0</v>
      </c>
      <c r="K204" s="266" t="s">
        <v>166</v>
      </c>
      <c r="L204" s="266" t="s">
        <v>166</v>
      </c>
      <c r="M204" s="266">
        <v>1.0</v>
      </c>
      <c r="N204" s="266" t="s">
        <v>166</v>
      </c>
      <c r="O204" s="266" t="s">
        <v>166</v>
      </c>
      <c r="P204" s="266" t="s">
        <v>166</v>
      </c>
      <c r="Q204" s="266" t="s">
        <v>166</v>
      </c>
      <c r="R204" s="266">
        <v>2.0</v>
      </c>
      <c r="S204" s="266" t="s">
        <v>3149</v>
      </c>
      <c r="T204" s="266">
        <v>32.0</v>
      </c>
      <c r="U204" s="266">
        <v>2666.0</v>
      </c>
      <c r="V204" s="266">
        <v>4.0</v>
      </c>
      <c r="W204" s="710" t="s">
        <v>4950</v>
      </c>
      <c r="X204" s="266">
        <v>2.0</v>
      </c>
      <c r="Y204" s="266">
        <v>4.0</v>
      </c>
      <c r="Z204" s="266" t="s">
        <v>166</v>
      </c>
      <c r="AA204" s="266" t="s">
        <v>166</v>
      </c>
      <c r="AB204" s="266" t="s">
        <v>166</v>
      </c>
      <c r="AC204" s="266" t="s">
        <v>166</v>
      </c>
      <c r="AD204" s="266" t="s">
        <v>166</v>
      </c>
      <c r="AE204" s="266" t="s">
        <v>166</v>
      </c>
      <c r="AF204" s="266">
        <f t="shared" si="1"/>
        <v>6</v>
      </c>
      <c r="AG204" s="266">
        <v>2.0</v>
      </c>
      <c r="AH204" s="266">
        <v>1.0</v>
      </c>
      <c r="AI204" s="266" t="s">
        <v>166</v>
      </c>
      <c r="AJ204" s="266">
        <v>1.0</v>
      </c>
      <c r="AK204" s="48" t="s">
        <v>5536</v>
      </c>
      <c r="AL204" s="48">
        <v>1.0</v>
      </c>
      <c r="AM204" s="48" t="s">
        <v>166</v>
      </c>
      <c r="AN204" s="48" t="s">
        <v>166</v>
      </c>
      <c r="AO204" s="266" t="s">
        <v>166</v>
      </c>
      <c r="AP204" s="266" t="s">
        <v>166</v>
      </c>
      <c r="AQ204" s="266" t="s">
        <v>166</v>
      </c>
      <c r="AR204" s="48" t="s">
        <v>4960</v>
      </c>
      <c r="AS204" s="266" t="s">
        <v>166</v>
      </c>
      <c r="AT204" s="266">
        <v>3.0</v>
      </c>
      <c r="AU204" s="266" t="s">
        <v>174</v>
      </c>
      <c r="AV204" s="266" t="s">
        <v>166</v>
      </c>
      <c r="AW204" s="266">
        <v>1.0</v>
      </c>
      <c r="AX204" s="266" t="s">
        <v>166</v>
      </c>
      <c r="AY204" s="266">
        <v>1.0</v>
      </c>
      <c r="AZ204" s="266">
        <v>2.0</v>
      </c>
      <c r="BA204" s="266" t="s">
        <v>166</v>
      </c>
      <c r="BB204" s="266" t="s">
        <v>166</v>
      </c>
      <c r="BC204" s="266" t="s">
        <v>166</v>
      </c>
      <c r="BD204" s="266" t="s">
        <v>166</v>
      </c>
      <c r="BE204" s="48" t="s">
        <v>5667</v>
      </c>
      <c r="BF204" s="48" t="s">
        <v>4962</v>
      </c>
      <c r="BG204" s="48" t="s">
        <v>4963</v>
      </c>
      <c r="BH204" s="48">
        <v>4.0</v>
      </c>
      <c r="BI204" s="698" t="s">
        <v>5146</v>
      </c>
      <c r="BJ204" s="496"/>
      <c r="BK204" s="394"/>
      <c r="BL204" s="394"/>
      <c r="BM204" s="394"/>
      <c r="BN204" s="394"/>
      <c r="BO204" s="394"/>
      <c r="BP204" s="394"/>
    </row>
    <row r="205">
      <c r="A205" s="266" t="s">
        <v>1688</v>
      </c>
      <c r="B205" s="48" t="s">
        <v>5184</v>
      </c>
      <c r="C205" s="266" t="s">
        <v>5189</v>
      </c>
      <c r="D205" s="452" t="str">
        <f t="shared" si="26"/>
        <v>Gigabyte</v>
      </c>
      <c r="E205" s="747" t="s">
        <v>5707</v>
      </c>
      <c r="F205" s="266">
        <v>244.0</v>
      </c>
      <c r="G205" s="266">
        <v>185.0</v>
      </c>
      <c r="H205" s="266">
        <v>3.0</v>
      </c>
      <c r="I205" s="266" t="s">
        <v>166</v>
      </c>
      <c r="J205" s="266">
        <v>2.0</v>
      </c>
      <c r="K205" s="266" t="s">
        <v>166</v>
      </c>
      <c r="L205" s="266" t="s">
        <v>166</v>
      </c>
      <c r="M205" s="266">
        <v>2.0</v>
      </c>
      <c r="N205" s="266" t="s">
        <v>166</v>
      </c>
      <c r="O205" s="266" t="s">
        <v>166</v>
      </c>
      <c r="P205" s="266" t="s">
        <v>166</v>
      </c>
      <c r="Q205" s="266" t="s">
        <v>166</v>
      </c>
      <c r="R205" s="266">
        <v>2.0</v>
      </c>
      <c r="S205" s="266" t="s">
        <v>3149</v>
      </c>
      <c r="T205" s="266">
        <v>32.0</v>
      </c>
      <c r="U205" s="266">
        <v>2666.0</v>
      </c>
      <c r="V205" s="266">
        <v>6.0</v>
      </c>
      <c r="W205" s="710" t="s">
        <v>4950</v>
      </c>
      <c r="X205" s="266">
        <v>2.0</v>
      </c>
      <c r="Y205" s="266">
        <v>4.0</v>
      </c>
      <c r="Z205" s="266" t="s">
        <v>166</v>
      </c>
      <c r="AA205" s="266" t="s">
        <v>166</v>
      </c>
      <c r="AB205" s="266" t="s">
        <v>166</v>
      </c>
      <c r="AC205" s="266" t="s">
        <v>166</v>
      </c>
      <c r="AD205" s="266" t="s">
        <v>166</v>
      </c>
      <c r="AE205" s="266" t="s">
        <v>166</v>
      </c>
      <c r="AF205" s="266">
        <f t="shared" si="1"/>
        <v>6</v>
      </c>
      <c r="AG205" s="266">
        <v>2.0</v>
      </c>
      <c r="AH205" s="266">
        <v>1.0</v>
      </c>
      <c r="AI205" s="266" t="s">
        <v>166</v>
      </c>
      <c r="AJ205" s="266">
        <v>1.0</v>
      </c>
      <c r="AK205" s="48" t="s">
        <v>5536</v>
      </c>
      <c r="AL205" s="48">
        <v>1.0</v>
      </c>
      <c r="AM205" s="48" t="s">
        <v>166</v>
      </c>
      <c r="AN205" s="48" t="s">
        <v>166</v>
      </c>
      <c r="AO205" s="266" t="s">
        <v>166</v>
      </c>
      <c r="AP205" s="266" t="s">
        <v>166</v>
      </c>
      <c r="AQ205" s="266" t="s">
        <v>166</v>
      </c>
      <c r="AR205" s="48" t="s">
        <v>4960</v>
      </c>
      <c r="AS205" s="266" t="s">
        <v>166</v>
      </c>
      <c r="AT205" s="266">
        <v>3.0</v>
      </c>
      <c r="AU205" s="266" t="s">
        <v>174</v>
      </c>
      <c r="AV205" s="266" t="s">
        <v>166</v>
      </c>
      <c r="AW205" s="266">
        <v>1.0</v>
      </c>
      <c r="AX205" s="266">
        <v>1.0</v>
      </c>
      <c r="AY205" s="266">
        <v>1.0</v>
      </c>
      <c r="AZ205" s="266">
        <v>2.0</v>
      </c>
      <c r="BA205" s="266" t="s">
        <v>166</v>
      </c>
      <c r="BB205" s="266" t="s">
        <v>166</v>
      </c>
      <c r="BC205" s="266" t="s">
        <v>166</v>
      </c>
      <c r="BD205" s="266" t="s">
        <v>166</v>
      </c>
      <c r="BE205" s="48" t="s">
        <v>5667</v>
      </c>
      <c r="BF205" s="48" t="s">
        <v>4962</v>
      </c>
      <c r="BG205" s="48" t="s">
        <v>4963</v>
      </c>
      <c r="BH205" s="48">
        <v>4.0</v>
      </c>
      <c r="BI205" s="698" t="s">
        <v>5146</v>
      </c>
      <c r="BJ205" s="496"/>
      <c r="BK205" s="394"/>
      <c r="BL205" s="394"/>
      <c r="BM205" s="394"/>
      <c r="BN205" s="394"/>
      <c r="BO205" s="394"/>
      <c r="BP205" s="394"/>
    </row>
    <row r="206">
      <c r="A206" s="266" t="s">
        <v>1688</v>
      </c>
      <c r="B206" s="48" t="s">
        <v>5184</v>
      </c>
      <c r="C206" s="266" t="s">
        <v>5189</v>
      </c>
      <c r="D206" s="452" t="str">
        <f t="shared" ref="D206:D208" si="27">HYPERLINK("https://www.msi.com/index.php","MSI")</f>
        <v>MSI</v>
      </c>
      <c r="E206" s="747" t="s">
        <v>5708</v>
      </c>
      <c r="F206" s="266">
        <v>243.0</v>
      </c>
      <c r="G206" s="266">
        <v>206.0</v>
      </c>
      <c r="H206" s="266">
        <v>3.0</v>
      </c>
      <c r="I206" s="266" t="s">
        <v>166</v>
      </c>
      <c r="J206" s="266">
        <v>2.0</v>
      </c>
      <c r="K206" s="266" t="s">
        <v>166</v>
      </c>
      <c r="L206" s="266" t="s">
        <v>166</v>
      </c>
      <c r="M206" s="266">
        <v>1.0</v>
      </c>
      <c r="N206" s="266" t="s">
        <v>166</v>
      </c>
      <c r="O206" s="266" t="s">
        <v>166</v>
      </c>
      <c r="P206" s="266" t="s">
        <v>166</v>
      </c>
      <c r="Q206" s="266" t="s">
        <v>166</v>
      </c>
      <c r="R206" s="266">
        <v>2.0</v>
      </c>
      <c r="S206" s="266" t="s">
        <v>3149</v>
      </c>
      <c r="T206" s="266">
        <v>32.0</v>
      </c>
      <c r="U206" s="266">
        <v>2666.0</v>
      </c>
      <c r="V206" s="266">
        <v>6.0</v>
      </c>
      <c r="W206" s="710" t="s">
        <v>4950</v>
      </c>
      <c r="X206" s="266">
        <v>2.0</v>
      </c>
      <c r="Y206" s="266">
        <v>3.0</v>
      </c>
      <c r="Z206" s="266">
        <v>1.0</v>
      </c>
      <c r="AA206" s="266" t="s">
        <v>166</v>
      </c>
      <c r="AB206" s="266" t="s">
        <v>166</v>
      </c>
      <c r="AC206" s="266" t="s">
        <v>166</v>
      </c>
      <c r="AD206" s="266" t="s">
        <v>166</v>
      </c>
      <c r="AE206" s="266" t="s">
        <v>166</v>
      </c>
      <c r="AF206" s="266">
        <f t="shared" si="1"/>
        <v>6</v>
      </c>
      <c r="AG206" s="266">
        <v>2.0</v>
      </c>
      <c r="AH206" s="266">
        <v>1.0</v>
      </c>
      <c r="AI206" s="266" t="s">
        <v>166</v>
      </c>
      <c r="AJ206" s="266">
        <v>1.0</v>
      </c>
      <c r="AK206" s="48" t="s">
        <v>5133</v>
      </c>
      <c r="AL206" s="48">
        <v>1.0</v>
      </c>
      <c r="AM206" s="48" t="s">
        <v>166</v>
      </c>
      <c r="AN206" s="48" t="s">
        <v>166</v>
      </c>
      <c r="AO206" s="266" t="s">
        <v>166</v>
      </c>
      <c r="AP206" s="266" t="s">
        <v>166</v>
      </c>
      <c r="AQ206" s="266" t="s">
        <v>166</v>
      </c>
      <c r="AR206" s="48" t="s">
        <v>4960</v>
      </c>
      <c r="AS206" s="266" t="s">
        <v>166</v>
      </c>
      <c r="AT206" s="266">
        <v>3.0</v>
      </c>
      <c r="AU206" s="266" t="s">
        <v>174</v>
      </c>
      <c r="AV206" s="266" t="s">
        <v>166</v>
      </c>
      <c r="AW206" s="266">
        <v>1.0</v>
      </c>
      <c r="AX206" s="266">
        <v>1.0</v>
      </c>
      <c r="AY206" s="266">
        <v>1.0</v>
      </c>
      <c r="AZ206" s="266">
        <v>3.0</v>
      </c>
      <c r="BA206" s="266">
        <v>1.0</v>
      </c>
      <c r="BB206" s="266" t="s">
        <v>166</v>
      </c>
      <c r="BC206" s="266" t="s">
        <v>174</v>
      </c>
      <c r="BD206" s="266" t="s">
        <v>166</v>
      </c>
      <c r="BE206" s="48" t="s">
        <v>5678</v>
      </c>
      <c r="BF206" s="48" t="s">
        <v>5143</v>
      </c>
      <c r="BG206" s="48" t="s">
        <v>4963</v>
      </c>
      <c r="BH206" s="48">
        <v>5.0</v>
      </c>
      <c r="BI206" s="698" t="s">
        <v>170</v>
      </c>
      <c r="BJ206" s="496"/>
      <c r="BK206" s="394"/>
      <c r="BL206" s="394"/>
      <c r="BM206" s="394"/>
      <c r="BN206" s="394"/>
      <c r="BO206" s="394"/>
      <c r="BP206" s="394"/>
    </row>
    <row r="207">
      <c r="A207" s="266" t="s">
        <v>1688</v>
      </c>
      <c r="B207" s="48" t="s">
        <v>5184</v>
      </c>
      <c r="C207" s="266" t="s">
        <v>5189</v>
      </c>
      <c r="D207" s="452" t="str">
        <f t="shared" si="27"/>
        <v>MSI</v>
      </c>
      <c r="E207" s="452" t="str">
        <f>HYPERLINK("https://www.msi.com/Motherboard/B360M-PRO-VD.html","B360M PRO-VD")</f>
        <v>B360M PRO-VD</v>
      </c>
      <c r="F207" s="266">
        <v>226.0</v>
      </c>
      <c r="G207" s="266">
        <v>185.0</v>
      </c>
      <c r="H207" s="266">
        <v>3.0</v>
      </c>
      <c r="I207" s="266" t="s">
        <v>166</v>
      </c>
      <c r="J207" s="266">
        <v>2.0</v>
      </c>
      <c r="K207" s="266" t="s">
        <v>166</v>
      </c>
      <c r="L207" s="266" t="s">
        <v>166</v>
      </c>
      <c r="M207" s="266">
        <v>1.0</v>
      </c>
      <c r="N207" s="266" t="s">
        <v>166</v>
      </c>
      <c r="O207" s="266" t="s">
        <v>166</v>
      </c>
      <c r="P207" s="266" t="s">
        <v>166</v>
      </c>
      <c r="Q207" s="266" t="s">
        <v>166</v>
      </c>
      <c r="R207" s="266">
        <v>2.0</v>
      </c>
      <c r="S207" s="266" t="s">
        <v>3149</v>
      </c>
      <c r="T207" s="266">
        <v>32.0</v>
      </c>
      <c r="U207" s="266">
        <v>2666.0</v>
      </c>
      <c r="V207" s="266">
        <v>6.0</v>
      </c>
      <c r="W207" s="710" t="s">
        <v>4950</v>
      </c>
      <c r="X207" s="266">
        <v>2.0</v>
      </c>
      <c r="Y207" s="266">
        <v>4.0</v>
      </c>
      <c r="Z207" s="266" t="s">
        <v>166</v>
      </c>
      <c r="AA207" s="266" t="s">
        <v>166</v>
      </c>
      <c r="AB207" s="266" t="s">
        <v>166</v>
      </c>
      <c r="AC207" s="266" t="s">
        <v>166</v>
      </c>
      <c r="AD207" s="266" t="s">
        <v>166</v>
      </c>
      <c r="AE207" s="266" t="s">
        <v>166</v>
      </c>
      <c r="AF207" s="266">
        <f t="shared" si="1"/>
        <v>6</v>
      </c>
      <c r="AG207" s="266">
        <v>2.0</v>
      </c>
      <c r="AH207" s="266">
        <v>1.0</v>
      </c>
      <c r="AI207" s="266" t="s">
        <v>166</v>
      </c>
      <c r="AJ207" s="266">
        <v>1.0</v>
      </c>
      <c r="AK207" s="48" t="s">
        <v>4959</v>
      </c>
      <c r="AL207" s="48">
        <v>1.0</v>
      </c>
      <c r="AM207" s="48" t="s">
        <v>166</v>
      </c>
      <c r="AN207" s="48" t="s">
        <v>166</v>
      </c>
      <c r="AO207" s="266" t="s">
        <v>166</v>
      </c>
      <c r="AP207" s="266" t="s">
        <v>166</v>
      </c>
      <c r="AQ207" s="266" t="s">
        <v>166</v>
      </c>
      <c r="AR207" s="48" t="s">
        <v>4960</v>
      </c>
      <c r="AS207" s="266" t="s">
        <v>166</v>
      </c>
      <c r="AT207" s="266">
        <v>3.0</v>
      </c>
      <c r="AU207" s="266" t="s">
        <v>174</v>
      </c>
      <c r="AV207" s="266" t="s">
        <v>166</v>
      </c>
      <c r="AW207" s="266" t="s">
        <v>166</v>
      </c>
      <c r="AX207" s="266">
        <v>1.0</v>
      </c>
      <c r="AY207" s="266">
        <v>1.0</v>
      </c>
      <c r="AZ207" s="266">
        <v>2.0</v>
      </c>
      <c r="BA207" s="266" t="s">
        <v>166</v>
      </c>
      <c r="BB207" s="266" t="s">
        <v>166</v>
      </c>
      <c r="BC207" s="266" t="s">
        <v>174</v>
      </c>
      <c r="BD207" s="266" t="s">
        <v>166</v>
      </c>
      <c r="BE207" s="48" t="s">
        <v>5678</v>
      </c>
      <c r="BF207" s="48" t="s">
        <v>4962</v>
      </c>
      <c r="BG207" s="48" t="s">
        <v>4963</v>
      </c>
      <c r="BH207" s="48">
        <v>4.0</v>
      </c>
      <c r="BI207" s="698" t="s">
        <v>170</v>
      </c>
      <c r="BJ207" s="496"/>
      <c r="BK207" s="394"/>
      <c r="BL207" s="394"/>
      <c r="BM207" s="394"/>
      <c r="BN207" s="394"/>
      <c r="BO207" s="394"/>
      <c r="BP207" s="394"/>
    </row>
    <row r="208">
      <c r="A208" s="501" t="s">
        <v>1688</v>
      </c>
      <c r="B208" s="700" t="s">
        <v>5184</v>
      </c>
      <c r="C208" s="501" t="s">
        <v>5189</v>
      </c>
      <c r="D208" s="500" t="str">
        <f t="shared" si="27"/>
        <v>MSI</v>
      </c>
      <c r="E208" s="500" t="s">
        <v>5709</v>
      </c>
      <c r="F208" s="501">
        <v>226.0</v>
      </c>
      <c r="G208" s="501">
        <v>185.0</v>
      </c>
      <c r="H208" s="501">
        <v>3.0</v>
      </c>
      <c r="I208" s="501" t="s">
        <v>166</v>
      </c>
      <c r="J208" s="501">
        <v>2.0</v>
      </c>
      <c r="K208" s="501" t="s">
        <v>166</v>
      </c>
      <c r="L208" s="501" t="s">
        <v>166</v>
      </c>
      <c r="M208" s="501">
        <v>1.0</v>
      </c>
      <c r="N208" s="501" t="s">
        <v>166</v>
      </c>
      <c r="O208" s="501" t="s">
        <v>166</v>
      </c>
      <c r="P208" s="501" t="s">
        <v>166</v>
      </c>
      <c r="Q208" s="501" t="s">
        <v>166</v>
      </c>
      <c r="R208" s="501">
        <v>2.0</v>
      </c>
      <c r="S208" s="501" t="s">
        <v>3149</v>
      </c>
      <c r="T208" s="501">
        <v>32.0</v>
      </c>
      <c r="U208" s="501">
        <v>2666.0</v>
      </c>
      <c r="V208" s="501">
        <v>6.0</v>
      </c>
      <c r="W208" s="701" t="s">
        <v>4950</v>
      </c>
      <c r="X208" s="501">
        <v>2.0</v>
      </c>
      <c r="Y208" s="501">
        <v>4.0</v>
      </c>
      <c r="Z208" s="501" t="s">
        <v>166</v>
      </c>
      <c r="AA208" s="501" t="s">
        <v>166</v>
      </c>
      <c r="AB208" s="501" t="s">
        <v>166</v>
      </c>
      <c r="AC208" s="501" t="s">
        <v>166</v>
      </c>
      <c r="AD208" s="501" t="s">
        <v>166</v>
      </c>
      <c r="AE208" s="501" t="s">
        <v>166</v>
      </c>
      <c r="AF208" s="501">
        <f t="shared" si="1"/>
        <v>6</v>
      </c>
      <c r="AG208" s="501">
        <v>2.0</v>
      </c>
      <c r="AH208" s="501">
        <v>1.0</v>
      </c>
      <c r="AI208" s="501" t="s">
        <v>166</v>
      </c>
      <c r="AJ208" s="501">
        <v>1.0</v>
      </c>
      <c r="AK208" s="700" t="s">
        <v>4959</v>
      </c>
      <c r="AL208" s="700">
        <v>1.0</v>
      </c>
      <c r="AM208" s="700" t="s">
        <v>166</v>
      </c>
      <c r="AN208" s="700" t="s">
        <v>166</v>
      </c>
      <c r="AO208" s="501" t="s">
        <v>166</v>
      </c>
      <c r="AP208" s="501" t="s">
        <v>166</v>
      </c>
      <c r="AQ208" s="501" t="s">
        <v>166</v>
      </c>
      <c r="AR208" s="700" t="s">
        <v>4960</v>
      </c>
      <c r="AS208" s="501" t="s">
        <v>166</v>
      </c>
      <c r="AT208" s="501">
        <v>3.0</v>
      </c>
      <c r="AU208" s="501" t="s">
        <v>174</v>
      </c>
      <c r="AV208" s="501" t="s">
        <v>166</v>
      </c>
      <c r="AW208" s="501">
        <v>1.0</v>
      </c>
      <c r="AX208" s="501" t="s">
        <v>166</v>
      </c>
      <c r="AY208" s="501">
        <v>1.0</v>
      </c>
      <c r="AZ208" s="501">
        <v>2.0</v>
      </c>
      <c r="BA208" s="501" t="s">
        <v>166</v>
      </c>
      <c r="BB208" s="501" t="s">
        <v>166</v>
      </c>
      <c r="BC208" s="501" t="s">
        <v>174</v>
      </c>
      <c r="BD208" s="501" t="s">
        <v>166</v>
      </c>
      <c r="BE208" s="700" t="s">
        <v>5678</v>
      </c>
      <c r="BF208" s="700" t="s">
        <v>4962</v>
      </c>
      <c r="BG208" s="700" t="s">
        <v>4963</v>
      </c>
      <c r="BH208" s="700">
        <v>4.0</v>
      </c>
      <c r="BI208" s="703" t="s">
        <v>170</v>
      </c>
      <c r="BJ208" s="503"/>
      <c r="BK208" s="394"/>
      <c r="BL208" s="394"/>
      <c r="BM208" s="394"/>
      <c r="BN208" s="394"/>
      <c r="BO208" s="394"/>
      <c r="BP208" s="394"/>
    </row>
    <row r="209">
      <c r="A209" s="507" t="s">
        <v>1688</v>
      </c>
      <c r="B209" s="705" t="s">
        <v>5184</v>
      </c>
      <c r="C209" s="507" t="s">
        <v>5196</v>
      </c>
      <c r="D209" s="506" t="s">
        <v>169</v>
      </c>
      <c r="E209" s="188" t="s">
        <v>5710</v>
      </c>
      <c r="F209" s="507">
        <v>226.0</v>
      </c>
      <c r="G209" s="507">
        <v>188.0</v>
      </c>
      <c r="H209" s="507">
        <v>3.0</v>
      </c>
      <c r="I209" s="507" t="s">
        <v>166</v>
      </c>
      <c r="J209" s="507">
        <v>2.0</v>
      </c>
      <c r="K209" s="507" t="s">
        <v>166</v>
      </c>
      <c r="L209" s="507" t="s">
        <v>166</v>
      </c>
      <c r="M209" s="507">
        <v>1.0</v>
      </c>
      <c r="N209" s="507" t="s">
        <v>166</v>
      </c>
      <c r="O209" s="507" t="s">
        <v>166</v>
      </c>
      <c r="P209" s="507" t="s">
        <v>166</v>
      </c>
      <c r="Q209" s="507" t="s">
        <v>166</v>
      </c>
      <c r="R209" s="507">
        <v>2.0</v>
      </c>
      <c r="S209" s="507" t="s">
        <v>3149</v>
      </c>
      <c r="T209" s="507">
        <v>32.0</v>
      </c>
      <c r="U209" s="507">
        <v>2666.0</v>
      </c>
      <c r="V209" s="507">
        <v>6.0</v>
      </c>
      <c r="W209" s="711" t="s">
        <v>4950</v>
      </c>
      <c r="X209" s="507">
        <v>2.0</v>
      </c>
      <c r="Y209" s="507">
        <v>4.0</v>
      </c>
      <c r="Z209" s="507" t="s">
        <v>166</v>
      </c>
      <c r="AA209" s="507" t="s">
        <v>166</v>
      </c>
      <c r="AB209" s="507" t="s">
        <v>166</v>
      </c>
      <c r="AC209" s="507" t="s">
        <v>166</v>
      </c>
      <c r="AD209" s="507" t="s">
        <v>166</v>
      </c>
      <c r="AE209" s="507" t="s">
        <v>166</v>
      </c>
      <c r="AF209" s="507">
        <f t="shared" si="1"/>
        <v>6</v>
      </c>
      <c r="AG209" s="507">
        <v>2.0</v>
      </c>
      <c r="AH209" s="507">
        <v>1.0</v>
      </c>
      <c r="AI209" s="507" t="s">
        <v>166</v>
      </c>
      <c r="AJ209" s="507">
        <v>1.0</v>
      </c>
      <c r="AK209" s="705" t="s">
        <v>5133</v>
      </c>
      <c r="AL209" s="705">
        <v>1.0</v>
      </c>
      <c r="AM209" s="705" t="s">
        <v>166</v>
      </c>
      <c r="AN209" s="705" t="s">
        <v>166</v>
      </c>
      <c r="AO209" s="507" t="s">
        <v>166</v>
      </c>
      <c r="AP209" s="507" t="s">
        <v>166</v>
      </c>
      <c r="AQ209" s="507" t="s">
        <v>166</v>
      </c>
      <c r="AR209" s="705" t="s">
        <v>4960</v>
      </c>
      <c r="AS209" s="507" t="s">
        <v>166</v>
      </c>
      <c r="AT209" s="507">
        <v>3.0</v>
      </c>
      <c r="AU209" s="507" t="s">
        <v>174</v>
      </c>
      <c r="AV209" s="507" t="s">
        <v>166</v>
      </c>
      <c r="AW209" s="507">
        <v>1.0</v>
      </c>
      <c r="AX209" s="507">
        <v>1.0</v>
      </c>
      <c r="AY209" s="507">
        <v>1.0</v>
      </c>
      <c r="AZ209" s="507">
        <v>3.0</v>
      </c>
      <c r="BA209" s="507" t="s">
        <v>166</v>
      </c>
      <c r="BB209" s="507" t="s">
        <v>166</v>
      </c>
      <c r="BC209" s="507" t="s">
        <v>166</v>
      </c>
      <c r="BD209" s="507" t="s">
        <v>166</v>
      </c>
      <c r="BE209" s="705" t="s">
        <v>5678</v>
      </c>
      <c r="BF209" s="705" t="s">
        <v>170</v>
      </c>
      <c r="BG209" s="705" t="s">
        <v>170</v>
      </c>
      <c r="BH209" s="705" t="s">
        <v>170</v>
      </c>
      <c r="BI209" s="708" t="s">
        <v>170</v>
      </c>
      <c r="BJ209" s="509"/>
      <c r="BK209" s="394"/>
      <c r="BL209" s="394"/>
      <c r="BM209" s="394"/>
      <c r="BN209" s="394"/>
      <c r="BO209" s="394"/>
      <c r="BP209" s="394"/>
    </row>
    <row r="210">
      <c r="A210" s="266" t="s">
        <v>1688</v>
      </c>
      <c r="B210" s="48" t="s">
        <v>5184</v>
      </c>
      <c r="C210" s="266" t="s">
        <v>5196</v>
      </c>
      <c r="D210" s="452" t="s">
        <v>169</v>
      </c>
      <c r="E210" s="747" t="s">
        <v>5711</v>
      </c>
      <c r="F210" s="266">
        <v>244.0</v>
      </c>
      <c r="G210" s="266">
        <v>229.0</v>
      </c>
      <c r="H210" s="266">
        <v>3.0</v>
      </c>
      <c r="I210" s="266" t="s">
        <v>166</v>
      </c>
      <c r="J210" s="266">
        <v>1.0</v>
      </c>
      <c r="K210" s="266" t="s">
        <v>166</v>
      </c>
      <c r="L210" s="266" t="s">
        <v>166</v>
      </c>
      <c r="M210" s="266">
        <v>2.0</v>
      </c>
      <c r="N210" s="266" t="s">
        <v>166</v>
      </c>
      <c r="O210" s="266" t="s">
        <v>166</v>
      </c>
      <c r="P210" s="266" t="s">
        <v>166</v>
      </c>
      <c r="Q210" s="266" t="s">
        <v>166</v>
      </c>
      <c r="R210" s="266">
        <v>4.0</v>
      </c>
      <c r="S210" s="266" t="s">
        <v>3149</v>
      </c>
      <c r="T210" s="266">
        <v>64.0</v>
      </c>
      <c r="U210" s="266">
        <v>2666.0</v>
      </c>
      <c r="V210" s="266">
        <v>6.0</v>
      </c>
      <c r="W210" s="710" t="s">
        <v>5251</v>
      </c>
      <c r="X210" s="266">
        <v>2.0</v>
      </c>
      <c r="Y210" s="266">
        <v>4.0</v>
      </c>
      <c r="Z210" s="266">
        <v>1.0</v>
      </c>
      <c r="AA210" s="266" t="s">
        <v>166</v>
      </c>
      <c r="AB210" s="266" t="s">
        <v>166</v>
      </c>
      <c r="AC210" s="266" t="s">
        <v>166</v>
      </c>
      <c r="AD210" s="266" t="s">
        <v>166</v>
      </c>
      <c r="AE210" s="266" t="s">
        <v>166</v>
      </c>
      <c r="AF210" s="266">
        <f t="shared" si="1"/>
        <v>7</v>
      </c>
      <c r="AG210" s="266">
        <v>2.0</v>
      </c>
      <c r="AH210" s="266">
        <v>1.0</v>
      </c>
      <c r="AI210" s="266" t="s">
        <v>166</v>
      </c>
      <c r="AJ210" s="266">
        <v>1.0</v>
      </c>
      <c r="AK210" s="48" t="s">
        <v>5133</v>
      </c>
      <c r="AL210" s="48">
        <v>1.0</v>
      </c>
      <c r="AM210" s="48">
        <v>1.0</v>
      </c>
      <c r="AN210" s="48" t="s">
        <v>166</v>
      </c>
      <c r="AO210" s="266" t="s">
        <v>232</v>
      </c>
      <c r="AP210" s="266" t="s">
        <v>166</v>
      </c>
      <c r="AQ210" s="266" t="s">
        <v>166</v>
      </c>
      <c r="AR210" s="48" t="s">
        <v>4977</v>
      </c>
      <c r="AS210" s="266" t="s">
        <v>166</v>
      </c>
      <c r="AT210" s="266">
        <v>3.0</v>
      </c>
      <c r="AU210" s="266" t="s">
        <v>174</v>
      </c>
      <c r="AV210" s="266" t="s">
        <v>166</v>
      </c>
      <c r="AW210" s="266">
        <v>1.0</v>
      </c>
      <c r="AX210" s="266">
        <v>1.0</v>
      </c>
      <c r="AY210" s="266">
        <v>1.0</v>
      </c>
      <c r="AZ210" s="266">
        <v>5.0</v>
      </c>
      <c r="BA210" s="266">
        <v>2.0</v>
      </c>
      <c r="BB210" s="266">
        <v>1.0</v>
      </c>
      <c r="BC210" s="266" t="s">
        <v>166</v>
      </c>
      <c r="BD210" s="266" t="s">
        <v>166</v>
      </c>
      <c r="BE210" s="48" t="s">
        <v>170</v>
      </c>
      <c r="BF210" s="48" t="s">
        <v>170</v>
      </c>
      <c r="BG210" s="48" t="s">
        <v>170</v>
      </c>
      <c r="BH210" s="48" t="s">
        <v>170</v>
      </c>
      <c r="BI210" s="698" t="s">
        <v>170</v>
      </c>
      <c r="BJ210" s="496"/>
      <c r="BK210" s="394"/>
      <c r="BL210" s="394"/>
      <c r="BM210" s="394"/>
      <c r="BN210" s="394"/>
      <c r="BO210" s="394"/>
      <c r="BP210" s="394"/>
    </row>
    <row r="211">
      <c r="A211" s="266" t="s">
        <v>1688</v>
      </c>
      <c r="B211" s="48" t="s">
        <v>5184</v>
      </c>
      <c r="C211" s="266" t="s">
        <v>5196</v>
      </c>
      <c r="D211" s="452" t="str">
        <f t="shared" ref="D211:D212" si="28">HYPERLINK("https://www.asus.com/","Asus")</f>
        <v>Asus</v>
      </c>
      <c r="E211" s="452" t="s">
        <v>5712</v>
      </c>
      <c r="F211" s="266">
        <v>244.0</v>
      </c>
      <c r="G211" s="266">
        <v>218.0</v>
      </c>
      <c r="H211" s="266">
        <v>3.0</v>
      </c>
      <c r="I211" s="266" t="s">
        <v>166</v>
      </c>
      <c r="J211" s="266">
        <v>2.0</v>
      </c>
      <c r="K211" s="266" t="s">
        <v>166</v>
      </c>
      <c r="L211" s="266" t="s">
        <v>166</v>
      </c>
      <c r="M211" s="266">
        <v>1.0</v>
      </c>
      <c r="N211" s="266" t="s">
        <v>166</v>
      </c>
      <c r="O211" s="266" t="s">
        <v>166</v>
      </c>
      <c r="P211" s="266" t="s">
        <v>166</v>
      </c>
      <c r="Q211" s="266" t="s">
        <v>166</v>
      </c>
      <c r="R211" s="266">
        <v>4.0</v>
      </c>
      <c r="S211" s="266" t="s">
        <v>3149</v>
      </c>
      <c r="T211" s="266">
        <v>64.0</v>
      </c>
      <c r="U211" s="266">
        <v>2666.0</v>
      </c>
      <c r="V211" s="266">
        <v>6.0</v>
      </c>
      <c r="W211" s="710" t="s">
        <v>5251</v>
      </c>
      <c r="X211" s="266" t="s">
        <v>166</v>
      </c>
      <c r="Y211" s="266">
        <v>4.0</v>
      </c>
      <c r="Z211" s="266">
        <v>1.0</v>
      </c>
      <c r="AA211" s="266" t="s">
        <v>166</v>
      </c>
      <c r="AB211" s="266" t="s">
        <v>166</v>
      </c>
      <c r="AC211" s="266" t="s">
        <v>166</v>
      </c>
      <c r="AD211" s="266" t="s">
        <v>166</v>
      </c>
      <c r="AE211" s="266" t="s">
        <v>166</v>
      </c>
      <c r="AF211" s="266">
        <f t="shared" si="1"/>
        <v>5</v>
      </c>
      <c r="AG211" s="266">
        <v>2.0</v>
      </c>
      <c r="AH211" s="266">
        <v>1.0</v>
      </c>
      <c r="AI211" s="266" t="s">
        <v>166</v>
      </c>
      <c r="AJ211" s="266">
        <v>1.0</v>
      </c>
      <c r="AK211" s="48" t="s">
        <v>4959</v>
      </c>
      <c r="AL211" s="48">
        <v>1.0</v>
      </c>
      <c r="AM211" s="48" t="s">
        <v>166</v>
      </c>
      <c r="AN211" s="48" t="s">
        <v>166</v>
      </c>
      <c r="AO211" s="266" t="s">
        <v>166</v>
      </c>
      <c r="AP211" s="266" t="s">
        <v>166</v>
      </c>
      <c r="AQ211" s="266" t="s">
        <v>166</v>
      </c>
      <c r="AR211" s="48" t="s">
        <v>4960</v>
      </c>
      <c r="AS211" s="266" t="s">
        <v>166</v>
      </c>
      <c r="AT211" s="266">
        <v>3.0</v>
      </c>
      <c r="AU211" s="266" t="s">
        <v>174</v>
      </c>
      <c r="AV211" s="266" t="s">
        <v>166</v>
      </c>
      <c r="AW211" s="266">
        <v>1.0</v>
      </c>
      <c r="AX211" s="266">
        <v>1.0</v>
      </c>
      <c r="AY211" s="266">
        <v>1.0</v>
      </c>
      <c r="AZ211" s="266">
        <v>3.0</v>
      </c>
      <c r="BA211" s="266">
        <v>1.0</v>
      </c>
      <c r="BB211" s="266" t="s">
        <v>166</v>
      </c>
      <c r="BC211" s="266" t="s">
        <v>166</v>
      </c>
      <c r="BD211" s="266" t="s">
        <v>166</v>
      </c>
      <c r="BE211" s="48" t="s">
        <v>170</v>
      </c>
      <c r="BF211" s="48" t="s">
        <v>170</v>
      </c>
      <c r="BG211" s="48" t="s">
        <v>170</v>
      </c>
      <c r="BH211" s="48" t="s">
        <v>170</v>
      </c>
      <c r="BI211" s="698" t="s">
        <v>170</v>
      </c>
      <c r="BJ211" s="496"/>
      <c r="BK211" s="394"/>
      <c r="BL211" s="394"/>
      <c r="BM211" s="394"/>
      <c r="BN211" s="394"/>
      <c r="BO211" s="394"/>
      <c r="BP211" s="394"/>
    </row>
    <row r="212">
      <c r="A212" s="266" t="s">
        <v>1688</v>
      </c>
      <c r="B212" s="48" t="s">
        <v>5184</v>
      </c>
      <c r="C212" s="266" t="s">
        <v>5196</v>
      </c>
      <c r="D212" s="452" t="str">
        <f t="shared" si="28"/>
        <v>Asus</v>
      </c>
      <c r="E212" s="452" t="s">
        <v>5713</v>
      </c>
      <c r="F212" s="266">
        <v>226.0</v>
      </c>
      <c r="G212" s="266">
        <v>185.0</v>
      </c>
      <c r="H212" s="266">
        <v>3.0</v>
      </c>
      <c r="I212" s="266" t="s">
        <v>166</v>
      </c>
      <c r="J212" s="266">
        <v>2.0</v>
      </c>
      <c r="K212" s="266" t="s">
        <v>166</v>
      </c>
      <c r="L212" s="266" t="s">
        <v>166</v>
      </c>
      <c r="M212" s="266">
        <v>1.0</v>
      </c>
      <c r="N212" s="266" t="s">
        <v>166</v>
      </c>
      <c r="O212" s="266" t="s">
        <v>166</v>
      </c>
      <c r="P212" s="266" t="s">
        <v>166</v>
      </c>
      <c r="Q212" s="266" t="s">
        <v>166</v>
      </c>
      <c r="R212" s="266">
        <v>2.0</v>
      </c>
      <c r="S212" s="266" t="s">
        <v>3149</v>
      </c>
      <c r="T212" s="266">
        <v>32.0</v>
      </c>
      <c r="U212" s="266">
        <v>2666.0</v>
      </c>
      <c r="V212" s="266">
        <v>6.0</v>
      </c>
      <c r="W212" s="710" t="s">
        <v>4950</v>
      </c>
      <c r="X212" s="266">
        <v>2.0</v>
      </c>
      <c r="Y212" s="266">
        <v>4.0</v>
      </c>
      <c r="Z212" s="266" t="s">
        <v>166</v>
      </c>
      <c r="AA212" s="266" t="s">
        <v>166</v>
      </c>
      <c r="AB212" s="266" t="s">
        <v>166</v>
      </c>
      <c r="AC212" s="266" t="s">
        <v>166</v>
      </c>
      <c r="AD212" s="266" t="s">
        <v>166</v>
      </c>
      <c r="AE212" s="266" t="s">
        <v>166</v>
      </c>
      <c r="AF212" s="266">
        <f t="shared" si="1"/>
        <v>6</v>
      </c>
      <c r="AG212" s="266">
        <v>2.0</v>
      </c>
      <c r="AH212" s="266">
        <v>1.0</v>
      </c>
      <c r="AI212" s="266" t="s">
        <v>166</v>
      </c>
      <c r="AJ212" s="266">
        <v>1.0</v>
      </c>
      <c r="AK212" s="48" t="s">
        <v>4959</v>
      </c>
      <c r="AL212" s="48">
        <v>1.0</v>
      </c>
      <c r="AM212" s="48" t="s">
        <v>166</v>
      </c>
      <c r="AN212" s="48" t="s">
        <v>166</v>
      </c>
      <c r="AO212" s="266" t="s">
        <v>166</v>
      </c>
      <c r="AP212" s="266" t="s">
        <v>166</v>
      </c>
      <c r="AQ212" s="266" t="s">
        <v>166</v>
      </c>
      <c r="AR212" s="48" t="s">
        <v>4960</v>
      </c>
      <c r="AS212" s="266" t="s">
        <v>166</v>
      </c>
      <c r="AT212" s="266">
        <v>3.0</v>
      </c>
      <c r="AU212" s="266" t="s">
        <v>174</v>
      </c>
      <c r="AV212" s="266" t="s">
        <v>166</v>
      </c>
      <c r="AW212" s="266" t="s">
        <v>166</v>
      </c>
      <c r="AX212" s="266">
        <v>1.0</v>
      </c>
      <c r="AY212" s="266">
        <v>1.0</v>
      </c>
      <c r="AZ212" s="266">
        <v>2.0</v>
      </c>
      <c r="BA212" s="266" t="s">
        <v>166</v>
      </c>
      <c r="BB212" s="266" t="s">
        <v>166</v>
      </c>
      <c r="BC212" s="266" t="s">
        <v>166</v>
      </c>
      <c r="BD212" s="266" t="s">
        <v>166</v>
      </c>
      <c r="BE212" s="48" t="s">
        <v>1554</v>
      </c>
      <c r="BF212" s="48" t="s">
        <v>170</v>
      </c>
      <c r="BG212" s="48" t="s">
        <v>170</v>
      </c>
      <c r="BH212" s="48" t="s">
        <v>170</v>
      </c>
      <c r="BI212" s="698" t="s">
        <v>170</v>
      </c>
      <c r="BJ212" s="496"/>
      <c r="BK212" s="394"/>
      <c r="BL212" s="394"/>
      <c r="BM212" s="394"/>
      <c r="BN212" s="394"/>
      <c r="BO212" s="394"/>
      <c r="BP212" s="394"/>
    </row>
    <row r="213">
      <c r="A213" s="266" t="s">
        <v>1688</v>
      </c>
      <c r="B213" s="48" t="s">
        <v>5184</v>
      </c>
      <c r="C213" s="266" t="s">
        <v>5196</v>
      </c>
      <c r="D213" s="452" t="str">
        <f>HYPERLINK("https://www.biostar.com.tw/app/en/","Biostar")</f>
        <v>Biostar</v>
      </c>
      <c r="E213" s="747" t="s">
        <v>5714</v>
      </c>
      <c r="F213" s="266">
        <v>228.0</v>
      </c>
      <c r="G213" s="266">
        <v>177.0</v>
      </c>
      <c r="H213" s="266">
        <v>3.0</v>
      </c>
      <c r="I213" s="266" t="s">
        <v>166</v>
      </c>
      <c r="J213" s="266">
        <v>2.0</v>
      </c>
      <c r="K213" s="266" t="s">
        <v>166</v>
      </c>
      <c r="L213" s="266" t="s">
        <v>166</v>
      </c>
      <c r="M213" s="266">
        <v>1.0</v>
      </c>
      <c r="N213" s="266" t="s">
        <v>166</v>
      </c>
      <c r="O213" s="266" t="s">
        <v>166</v>
      </c>
      <c r="P213" s="266" t="s">
        <v>166</v>
      </c>
      <c r="Q213" s="266" t="s">
        <v>166</v>
      </c>
      <c r="R213" s="266">
        <v>2.0</v>
      </c>
      <c r="S213" s="266" t="s">
        <v>3149</v>
      </c>
      <c r="T213" s="266">
        <v>32.0</v>
      </c>
      <c r="U213" s="266">
        <v>2666.0</v>
      </c>
      <c r="V213" s="266">
        <v>4.0</v>
      </c>
      <c r="W213" s="710" t="s">
        <v>4950</v>
      </c>
      <c r="X213" s="266">
        <v>2.0</v>
      </c>
      <c r="Y213" s="266">
        <v>4.0</v>
      </c>
      <c r="Z213" s="266" t="s">
        <v>166</v>
      </c>
      <c r="AA213" s="266" t="s">
        <v>166</v>
      </c>
      <c r="AB213" s="266" t="s">
        <v>166</v>
      </c>
      <c r="AC213" s="266" t="s">
        <v>166</v>
      </c>
      <c r="AD213" s="266" t="s">
        <v>166</v>
      </c>
      <c r="AE213" s="266" t="s">
        <v>166</v>
      </c>
      <c r="AF213" s="266">
        <f t="shared" si="1"/>
        <v>6</v>
      </c>
      <c r="AG213" s="266">
        <v>2.0</v>
      </c>
      <c r="AH213" s="266">
        <v>1.0</v>
      </c>
      <c r="AI213" s="266" t="s">
        <v>166</v>
      </c>
      <c r="AJ213" s="266">
        <v>1.0</v>
      </c>
      <c r="AK213" s="48" t="s">
        <v>4959</v>
      </c>
      <c r="AL213" s="48">
        <v>1.0</v>
      </c>
      <c r="AM213" s="48" t="s">
        <v>166</v>
      </c>
      <c r="AN213" s="48" t="s">
        <v>166</v>
      </c>
      <c r="AO213" s="266" t="s">
        <v>166</v>
      </c>
      <c r="AP213" s="266" t="s">
        <v>166</v>
      </c>
      <c r="AQ213" s="266" t="s">
        <v>166</v>
      </c>
      <c r="AR213" s="48" t="s">
        <v>4960</v>
      </c>
      <c r="AS213" s="266" t="s">
        <v>166</v>
      </c>
      <c r="AT213" s="266">
        <v>3.0</v>
      </c>
      <c r="AU213" s="266" t="s">
        <v>174</v>
      </c>
      <c r="AV213" s="266" t="s">
        <v>166</v>
      </c>
      <c r="AW213" s="266">
        <v>1.0</v>
      </c>
      <c r="AX213" s="266" t="s">
        <v>166</v>
      </c>
      <c r="AY213" s="266">
        <v>1.0</v>
      </c>
      <c r="AZ213" s="266">
        <v>2.0</v>
      </c>
      <c r="BA213" s="266" t="s">
        <v>166</v>
      </c>
      <c r="BB213" s="266" t="s">
        <v>166</v>
      </c>
      <c r="BC213" s="266" t="s">
        <v>166</v>
      </c>
      <c r="BD213" s="266" t="s">
        <v>166</v>
      </c>
      <c r="BE213" s="48" t="s">
        <v>5678</v>
      </c>
      <c r="BF213" s="48" t="s">
        <v>5135</v>
      </c>
      <c r="BG213" s="48" t="s">
        <v>4963</v>
      </c>
      <c r="BH213" s="48">
        <v>3.0</v>
      </c>
      <c r="BI213" s="698" t="s">
        <v>170</v>
      </c>
      <c r="BJ213" s="496"/>
      <c r="BK213" s="394"/>
      <c r="BL213" s="394"/>
      <c r="BM213" s="394"/>
      <c r="BN213" s="394"/>
      <c r="BO213" s="394"/>
      <c r="BP213" s="394"/>
    </row>
    <row r="214">
      <c r="A214" s="266" t="s">
        <v>1688</v>
      </c>
      <c r="B214" s="48" t="s">
        <v>5184</v>
      </c>
      <c r="C214" s="266" t="s">
        <v>5196</v>
      </c>
      <c r="D214" s="452" t="str">
        <f t="shared" ref="D214:D220" si="29">HYPERLINK("https://www.gigabyte.com/","Gigabyte")</f>
        <v>Gigabyte</v>
      </c>
      <c r="E214" s="747" t="s">
        <v>5715</v>
      </c>
      <c r="F214" s="266">
        <v>244.0</v>
      </c>
      <c r="G214" s="266">
        <v>230.0</v>
      </c>
      <c r="H214" s="266">
        <v>3.0</v>
      </c>
      <c r="I214" s="266">
        <v>1.0</v>
      </c>
      <c r="J214" s="266">
        <v>1.0</v>
      </c>
      <c r="K214" s="266" t="s">
        <v>166</v>
      </c>
      <c r="L214" s="266" t="s">
        <v>166</v>
      </c>
      <c r="M214" s="266">
        <v>2.0</v>
      </c>
      <c r="N214" s="266" t="s">
        <v>166</v>
      </c>
      <c r="O214" s="266" t="s">
        <v>166</v>
      </c>
      <c r="P214" s="266" t="s">
        <v>166</v>
      </c>
      <c r="Q214" s="266" t="s">
        <v>166</v>
      </c>
      <c r="R214" s="266">
        <v>4.0</v>
      </c>
      <c r="S214" s="266" t="s">
        <v>3149</v>
      </c>
      <c r="T214" s="266">
        <v>64.0</v>
      </c>
      <c r="U214" s="266">
        <v>2666.0</v>
      </c>
      <c r="V214" s="266">
        <v>6.0</v>
      </c>
      <c r="W214" s="710" t="s">
        <v>4950</v>
      </c>
      <c r="X214" s="266">
        <v>2.0</v>
      </c>
      <c r="Y214" s="266">
        <v>3.0</v>
      </c>
      <c r="Z214" s="266">
        <v>1.0</v>
      </c>
      <c r="AA214" s="266" t="s">
        <v>166</v>
      </c>
      <c r="AB214" s="266" t="s">
        <v>166</v>
      </c>
      <c r="AC214" s="266" t="s">
        <v>166</v>
      </c>
      <c r="AD214" s="266" t="s">
        <v>166</v>
      </c>
      <c r="AE214" s="266" t="s">
        <v>166</v>
      </c>
      <c r="AF214" s="266">
        <f t="shared" si="1"/>
        <v>6</v>
      </c>
      <c r="AG214" s="266">
        <v>2.0</v>
      </c>
      <c r="AH214" s="266">
        <v>1.0</v>
      </c>
      <c r="AI214" s="266" t="s">
        <v>166</v>
      </c>
      <c r="AJ214" s="266">
        <v>1.0</v>
      </c>
      <c r="AK214" s="48" t="s">
        <v>5133</v>
      </c>
      <c r="AL214" s="48">
        <v>1.0</v>
      </c>
      <c r="AM214" s="48">
        <v>1.0</v>
      </c>
      <c r="AN214" s="48" t="s">
        <v>166</v>
      </c>
      <c r="AO214" s="266" t="s">
        <v>232</v>
      </c>
      <c r="AP214" s="266" t="s">
        <v>166</v>
      </c>
      <c r="AQ214" s="266" t="s">
        <v>166</v>
      </c>
      <c r="AR214" s="48" t="s">
        <v>4977</v>
      </c>
      <c r="AS214" s="266" t="s">
        <v>166</v>
      </c>
      <c r="AT214" s="266">
        <v>6.0</v>
      </c>
      <c r="AU214" s="266" t="s">
        <v>174</v>
      </c>
      <c r="AV214" s="266">
        <v>1.0</v>
      </c>
      <c r="AW214" s="266">
        <v>1.0</v>
      </c>
      <c r="AX214" s="266">
        <v>1.0</v>
      </c>
      <c r="AY214" s="266">
        <v>1.0</v>
      </c>
      <c r="AZ214" s="266">
        <v>4.0</v>
      </c>
      <c r="BA214" s="266">
        <v>1.0</v>
      </c>
      <c r="BB214" s="266" t="s">
        <v>166</v>
      </c>
      <c r="BC214" s="266" t="s">
        <v>166</v>
      </c>
      <c r="BD214" s="266" t="s">
        <v>166</v>
      </c>
      <c r="BE214" s="48" t="s">
        <v>5667</v>
      </c>
      <c r="BF214" s="48" t="s">
        <v>170</v>
      </c>
      <c r="BG214" s="48" t="s">
        <v>170</v>
      </c>
      <c r="BH214" s="48" t="s">
        <v>170</v>
      </c>
      <c r="BI214" s="698" t="s">
        <v>170</v>
      </c>
      <c r="BJ214" s="496"/>
      <c r="BK214" s="394"/>
      <c r="BL214" s="394"/>
      <c r="BM214" s="394"/>
      <c r="BN214" s="394"/>
      <c r="BO214" s="394"/>
      <c r="BP214" s="394"/>
    </row>
    <row r="215">
      <c r="A215" s="266" t="s">
        <v>1688</v>
      </c>
      <c r="B215" s="48" t="s">
        <v>5184</v>
      </c>
      <c r="C215" s="266" t="s">
        <v>5196</v>
      </c>
      <c r="D215" s="452" t="str">
        <f t="shared" si="29"/>
        <v>Gigabyte</v>
      </c>
      <c r="E215" s="747" t="s">
        <v>5716</v>
      </c>
      <c r="F215" s="266">
        <v>226.0</v>
      </c>
      <c r="G215" s="266">
        <v>205.0</v>
      </c>
      <c r="H215" s="266">
        <v>3.0</v>
      </c>
      <c r="I215" s="266" t="s">
        <v>166</v>
      </c>
      <c r="J215" s="266">
        <v>1.0</v>
      </c>
      <c r="K215" s="266">
        <v>1.0</v>
      </c>
      <c r="L215" s="266" t="s">
        <v>166</v>
      </c>
      <c r="M215" s="266">
        <v>1.0</v>
      </c>
      <c r="N215" s="266" t="s">
        <v>166</v>
      </c>
      <c r="O215" s="266" t="s">
        <v>166</v>
      </c>
      <c r="P215" s="266" t="s">
        <v>166</v>
      </c>
      <c r="Q215" s="266" t="s">
        <v>166</v>
      </c>
      <c r="R215" s="266">
        <v>4.0</v>
      </c>
      <c r="S215" s="266" t="s">
        <v>3149</v>
      </c>
      <c r="T215" s="266">
        <v>64.0</v>
      </c>
      <c r="U215" s="266">
        <v>2666.0</v>
      </c>
      <c r="V215" s="266">
        <v>6.0</v>
      </c>
      <c r="W215" s="710" t="s">
        <v>4950</v>
      </c>
      <c r="X215" s="266">
        <v>2.0</v>
      </c>
      <c r="Y215" s="266">
        <v>4.0</v>
      </c>
      <c r="Z215" s="266" t="s">
        <v>166</v>
      </c>
      <c r="AA215" s="266" t="s">
        <v>166</v>
      </c>
      <c r="AB215" s="266" t="s">
        <v>166</v>
      </c>
      <c r="AC215" s="266" t="s">
        <v>166</v>
      </c>
      <c r="AD215" s="266" t="s">
        <v>166</v>
      </c>
      <c r="AE215" s="266" t="s">
        <v>166</v>
      </c>
      <c r="AF215" s="266">
        <f t="shared" si="1"/>
        <v>6</v>
      </c>
      <c r="AG215" s="266">
        <v>2.0</v>
      </c>
      <c r="AH215" s="266">
        <v>1.0</v>
      </c>
      <c r="AI215" s="266" t="s">
        <v>166</v>
      </c>
      <c r="AJ215" s="266">
        <v>1.0</v>
      </c>
      <c r="AK215" s="48" t="s">
        <v>5536</v>
      </c>
      <c r="AL215" s="48">
        <v>1.0</v>
      </c>
      <c r="AM215" s="48" t="s">
        <v>166</v>
      </c>
      <c r="AN215" s="48" t="s">
        <v>166</v>
      </c>
      <c r="AO215" s="266" t="s">
        <v>166</v>
      </c>
      <c r="AP215" s="266" t="s">
        <v>166</v>
      </c>
      <c r="AQ215" s="266" t="s">
        <v>166</v>
      </c>
      <c r="AR215" s="48" t="s">
        <v>4960</v>
      </c>
      <c r="AS215" s="266" t="s">
        <v>166</v>
      </c>
      <c r="AT215" s="266">
        <v>3.0</v>
      </c>
      <c r="AU215" s="266" t="s">
        <v>174</v>
      </c>
      <c r="AV215" s="266" t="s">
        <v>166</v>
      </c>
      <c r="AW215" s="266">
        <v>1.0</v>
      </c>
      <c r="AX215" s="266">
        <v>1.0</v>
      </c>
      <c r="AY215" s="266">
        <v>1.0</v>
      </c>
      <c r="AZ215" s="266">
        <v>3.0</v>
      </c>
      <c r="BA215" s="266">
        <v>1.0</v>
      </c>
      <c r="BB215" s="266" t="s">
        <v>166</v>
      </c>
      <c r="BC215" s="266" t="s">
        <v>166</v>
      </c>
      <c r="BD215" s="266" t="s">
        <v>166</v>
      </c>
      <c r="BE215" s="48" t="s">
        <v>5667</v>
      </c>
      <c r="BF215" s="48" t="s">
        <v>5143</v>
      </c>
      <c r="BG215" s="48" t="s">
        <v>4963</v>
      </c>
      <c r="BH215" s="48">
        <v>5.0</v>
      </c>
      <c r="BI215" s="698" t="s">
        <v>170</v>
      </c>
      <c r="BJ215" s="496"/>
      <c r="BK215" s="394"/>
      <c r="BL215" s="394"/>
      <c r="BM215" s="394"/>
      <c r="BN215" s="394"/>
      <c r="BO215" s="394"/>
      <c r="BP215" s="394"/>
    </row>
    <row r="216">
      <c r="A216" s="266" t="s">
        <v>1688</v>
      </c>
      <c r="B216" s="48" t="s">
        <v>5184</v>
      </c>
      <c r="C216" s="266" t="s">
        <v>5196</v>
      </c>
      <c r="D216" s="452" t="str">
        <f t="shared" si="29"/>
        <v>Gigabyte</v>
      </c>
      <c r="E216" s="747" t="s">
        <v>5717</v>
      </c>
      <c r="F216" s="266">
        <v>226.0</v>
      </c>
      <c r="G216" s="266">
        <v>185.0</v>
      </c>
      <c r="H216" s="266">
        <v>3.0</v>
      </c>
      <c r="I216" s="266" t="s">
        <v>166</v>
      </c>
      <c r="J216" s="266">
        <v>1.0</v>
      </c>
      <c r="K216" s="266" t="s">
        <v>166</v>
      </c>
      <c r="L216" s="266" t="s">
        <v>166</v>
      </c>
      <c r="M216" s="266">
        <v>1.0</v>
      </c>
      <c r="N216" s="266" t="s">
        <v>166</v>
      </c>
      <c r="O216" s="266" t="s">
        <v>166</v>
      </c>
      <c r="P216" s="266" t="s">
        <v>166</v>
      </c>
      <c r="Q216" s="266" t="s">
        <v>166</v>
      </c>
      <c r="R216" s="266">
        <v>2.0</v>
      </c>
      <c r="S216" s="266" t="s">
        <v>3149</v>
      </c>
      <c r="T216" s="266">
        <v>32.0</v>
      </c>
      <c r="U216" s="266">
        <v>2666.0</v>
      </c>
      <c r="V216" s="266">
        <v>4.0</v>
      </c>
      <c r="W216" s="710" t="s">
        <v>4950</v>
      </c>
      <c r="X216" s="266">
        <v>2.0</v>
      </c>
      <c r="Y216" s="266">
        <v>4.0</v>
      </c>
      <c r="Z216" s="266" t="s">
        <v>166</v>
      </c>
      <c r="AA216" s="266" t="s">
        <v>166</v>
      </c>
      <c r="AB216" s="266" t="s">
        <v>166</v>
      </c>
      <c r="AC216" s="266" t="s">
        <v>166</v>
      </c>
      <c r="AD216" s="266" t="s">
        <v>166</v>
      </c>
      <c r="AE216" s="266" t="s">
        <v>166</v>
      </c>
      <c r="AF216" s="266">
        <f t="shared" si="1"/>
        <v>6</v>
      </c>
      <c r="AG216" s="266">
        <v>2.0</v>
      </c>
      <c r="AH216" s="266">
        <v>1.0</v>
      </c>
      <c r="AI216" s="266" t="s">
        <v>166</v>
      </c>
      <c r="AJ216" s="266">
        <v>1.0</v>
      </c>
      <c r="AK216" s="48" t="s">
        <v>5536</v>
      </c>
      <c r="AL216" s="48">
        <v>1.0</v>
      </c>
      <c r="AM216" s="48" t="s">
        <v>166</v>
      </c>
      <c r="AN216" s="48" t="s">
        <v>166</v>
      </c>
      <c r="AO216" s="266" t="s">
        <v>166</v>
      </c>
      <c r="AP216" s="266" t="s">
        <v>166</v>
      </c>
      <c r="AQ216" s="266" t="s">
        <v>166</v>
      </c>
      <c r="AR216" s="48" t="s">
        <v>4960</v>
      </c>
      <c r="AS216" s="266" t="s">
        <v>166</v>
      </c>
      <c r="AT216" s="266">
        <v>3.0</v>
      </c>
      <c r="AU216" s="266" t="s">
        <v>174</v>
      </c>
      <c r="AV216" s="266" t="s">
        <v>166</v>
      </c>
      <c r="AW216" s="266">
        <v>1.0</v>
      </c>
      <c r="AX216" s="266" t="s">
        <v>166</v>
      </c>
      <c r="AY216" s="266">
        <v>1.0</v>
      </c>
      <c r="AZ216" s="266">
        <v>2.0</v>
      </c>
      <c r="BA216" s="266" t="s">
        <v>166</v>
      </c>
      <c r="BB216" s="266" t="s">
        <v>166</v>
      </c>
      <c r="BC216" s="266" t="s">
        <v>166</v>
      </c>
      <c r="BD216" s="266" t="s">
        <v>166</v>
      </c>
      <c r="BE216" s="48" t="s">
        <v>5667</v>
      </c>
      <c r="BF216" s="48" t="s">
        <v>4962</v>
      </c>
      <c r="BG216" s="48" t="s">
        <v>4963</v>
      </c>
      <c r="BH216" s="48">
        <v>4.0</v>
      </c>
      <c r="BI216" s="698" t="s">
        <v>170</v>
      </c>
      <c r="BJ216" s="496"/>
      <c r="BK216" s="394"/>
      <c r="BL216" s="394"/>
      <c r="BM216" s="394"/>
      <c r="BN216" s="394"/>
      <c r="BO216" s="394"/>
      <c r="BP216" s="394"/>
    </row>
    <row r="217">
      <c r="A217" s="501" t="s">
        <v>1688</v>
      </c>
      <c r="B217" s="700" t="s">
        <v>5184</v>
      </c>
      <c r="C217" s="501" t="s">
        <v>5196</v>
      </c>
      <c r="D217" s="500" t="str">
        <f t="shared" si="29"/>
        <v>Gigabyte</v>
      </c>
      <c r="E217" s="748" t="s">
        <v>5718</v>
      </c>
      <c r="F217" s="501">
        <v>244.0</v>
      </c>
      <c r="G217" s="501">
        <v>185.0</v>
      </c>
      <c r="H217" s="501">
        <v>3.0</v>
      </c>
      <c r="I217" s="501" t="s">
        <v>166</v>
      </c>
      <c r="J217" s="501">
        <v>2.0</v>
      </c>
      <c r="K217" s="501" t="s">
        <v>166</v>
      </c>
      <c r="L217" s="501" t="s">
        <v>166</v>
      </c>
      <c r="M217" s="501">
        <v>2.0</v>
      </c>
      <c r="N217" s="501" t="s">
        <v>166</v>
      </c>
      <c r="O217" s="501" t="s">
        <v>166</v>
      </c>
      <c r="P217" s="501" t="s">
        <v>166</v>
      </c>
      <c r="Q217" s="501" t="s">
        <v>166</v>
      </c>
      <c r="R217" s="501">
        <v>2.0</v>
      </c>
      <c r="S217" s="501" t="s">
        <v>3149</v>
      </c>
      <c r="T217" s="501">
        <v>32.0</v>
      </c>
      <c r="U217" s="501">
        <v>2666.0</v>
      </c>
      <c r="V217" s="501">
        <v>6.0</v>
      </c>
      <c r="W217" s="701" t="s">
        <v>4950</v>
      </c>
      <c r="X217" s="501">
        <v>2.0</v>
      </c>
      <c r="Y217" s="501">
        <v>4.0</v>
      </c>
      <c r="Z217" s="501" t="s">
        <v>166</v>
      </c>
      <c r="AA217" s="501" t="s">
        <v>166</v>
      </c>
      <c r="AB217" s="501" t="s">
        <v>166</v>
      </c>
      <c r="AC217" s="501" t="s">
        <v>166</v>
      </c>
      <c r="AD217" s="501" t="s">
        <v>166</v>
      </c>
      <c r="AE217" s="501" t="s">
        <v>166</v>
      </c>
      <c r="AF217" s="501">
        <f t="shared" si="1"/>
        <v>6</v>
      </c>
      <c r="AG217" s="501">
        <v>2.0</v>
      </c>
      <c r="AH217" s="501">
        <v>1.0</v>
      </c>
      <c r="AI217" s="501" t="s">
        <v>166</v>
      </c>
      <c r="AJ217" s="501">
        <v>1.0</v>
      </c>
      <c r="AK217" s="700" t="s">
        <v>5536</v>
      </c>
      <c r="AL217" s="700">
        <v>1.0</v>
      </c>
      <c r="AM217" s="700" t="s">
        <v>166</v>
      </c>
      <c r="AN217" s="700" t="s">
        <v>166</v>
      </c>
      <c r="AO217" s="501" t="s">
        <v>166</v>
      </c>
      <c r="AP217" s="501" t="s">
        <v>166</v>
      </c>
      <c r="AQ217" s="501" t="s">
        <v>166</v>
      </c>
      <c r="AR217" s="700" t="s">
        <v>4960</v>
      </c>
      <c r="AS217" s="501" t="s">
        <v>166</v>
      </c>
      <c r="AT217" s="501">
        <v>3.0</v>
      </c>
      <c r="AU217" s="501" t="s">
        <v>174</v>
      </c>
      <c r="AV217" s="501" t="s">
        <v>166</v>
      </c>
      <c r="AW217" s="501">
        <v>1.0</v>
      </c>
      <c r="AX217" s="501">
        <v>1.0</v>
      </c>
      <c r="AY217" s="501">
        <v>1.0</v>
      </c>
      <c r="AZ217" s="501">
        <v>2.0</v>
      </c>
      <c r="BA217" s="501" t="s">
        <v>166</v>
      </c>
      <c r="BB217" s="501" t="s">
        <v>166</v>
      </c>
      <c r="BC217" s="501" t="s">
        <v>166</v>
      </c>
      <c r="BD217" s="501" t="s">
        <v>166</v>
      </c>
      <c r="BE217" s="700" t="s">
        <v>5667</v>
      </c>
      <c r="BF217" s="700" t="s">
        <v>4962</v>
      </c>
      <c r="BG217" s="700" t="s">
        <v>4963</v>
      </c>
      <c r="BH217" s="700">
        <v>4.0</v>
      </c>
      <c r="BI217" s="703" t="s">
        <v>170</v>
      </c>
      <c r="BJ217" s="503"/>
      <c r="BK217" s="394"/>
      <c r="BL217" s="394"/>
      <c r="BM217" s="394"/>
      <c r="BN217" s="394"/>
      <c r="BO217" s="394"/>
      <c r="BP217" s="394"/>
    </row>
    <row r="218">
      <c r="A218" s="507" t="s">
        <v>1688</v>
      </c>
      <c r="B218" s="705" t="s">
        <v>5184</v>
      </c>
      <c r="C218" s="507" t="s">
        <v>5197</v>
      </c>
      <c r="D218" s="506" t="str">
        <f t="shared" si="29"/>
        <v>Gigabyte</v>
      </c>
      <c r="E218" s="506" t="s">
        <v>5719</v>
      </c>
      <c r="F218" s="507">
        <v>244.0</v>
      </c>
      <c r="G218" s="507">
        <v>230.0</v>
      </c>
      <c r="H218" s="507">
        <v>3.0</v>
      </c>
      <c r="I218" s="507" t="s">
        <v>166</v>
      </c>
      <c r="J218" s="507">
        <v>1.0</v>
      </c>
      <c r="K218" s="507" t="s">
        <v>166</v>
      </c>
      <c r="L218" s="507" t="s">
        <v>166</v>
      </c>
      <c r="M218" s="507">
        <v>2.0</v>
      </c>
      <c r="N218" s="507" t="s">
        <v>166</v>
      </c>
      <c r="O218" s="507" t="s">
        <v>166</v>
      </c>
      <c r="P218" s="507" t="s">
        <v>166</v>
      </c>
      <c r="Q218" s="507" t="s">
        <v>166</v>
      </c>
      <c r="R218" s="507">
        <v>4.0</v>
      </c>
      <c r="S218" s="507" t="s">
        <v>3149</v>
      </c>
      <c r="T218" s="507">
        <v>64.0</v>
      </c>
      <c r="U218" s="507">
        <v>2666.0</v>
      </c>
      <c r="V218" s="507">
        <v>6.0</v>
      </c>
      <c r="W218" s="711" t="s">
        <v>5251</v>
      </c>
      <c r="X218" s="507">
        <v>2.0</v>
      </c>
      <c r="Y218" s="507">
        <v>4.0</v>
      </c>
      <c r="Z218" s="507" t="s">
        <v>166</v>
      </c>
      <c r="AA218" s="507">
        <v>1.0</v>
      </c>
      <c r="AB218" s="507">
        <v>1.0</v>
      </c>
      <c r="AC218" s="507" t="s">
        <v>166</v>
      </c>
      <c r="AD218" s="507" t="s">
        <v>166</v>
      </c>
      <c r="AE218" s="507" t="s">
        <v>166</v>
      </c>
      <c r="AF218" s="507">
        <f t="shared" si="1"/>
        <v>8</v>
      </c>
      <c r="AG218" s="507">
        <v>2.0</v>
      </c>
      <c r="AH218" s="507">
        <v>1.0</v>
      </c>
      <c r="AI218" s="507" t="s">
        <v>166</v>
      </c>
      <c r="AJ218" s="507">
        <v>1.0</v>
      </c>
      <c r="AK218" s="705" t="s">
        <v>5133</v>
      </c>
      <c r="AL218" s="705">
        <v>1.0</v>
      </c>
      <c r="AM218" s="705">
        <v>1.0</v>
      </c>
      <c r="AN218" s="705" t="s">
        <v>166</v>
      </c>
      <c r="AO218" s="507" t="s">
        <v>232</v>
      </c>
      <c r="AP218" s="507" t="s">
        <v>166</v>
      </c>
      <c r="AQ218" s="507" t="s">
        <v>166</v>
      </c>
      <c r="AR218" s="705" t="s">
        <v>4977</v>
      </c>
      <c r="AS218" s="507" t="s">
        <v>166</v>
      </c>
      <c r="AT218" s="507">
        <v>6.0</v>
      </c>
      <c r="AU218" s="507" t="s">
        <v>174</v>
      </c>
      <c r="AV218" s="507" t="s">
        <v>166</v>
      </c>
      <c r="AW218" s="507">
        <v>1.0</v>
      </c>
      <c r="AX218" s="507">
        <v>1.0</v>
      </c>
      <c r="AY218" s="507">
        <v>1.0</v>
      </c>
      <c r="AZ218" s="507">
        <v>4.0</v>
      </c>
      <c r="BA218" s="507">
        <v>1.0</v>
      </c>
      <c r="BB218" s="507" t="s">
        <v>166</v>
      </c>
      <c r="BC218" s="507" t="s">
        <v>166</v>
      </c>
      <c r="BD218" s="507" t="s">
        <v>166</v>
      </c>
      <c r="BE218" s="705" t="s">
        <v>5667</v>
      </c>
      <c r="BF218" s="705" t="s">
        <v>170</v>
      </c>
      <c r="BG218" s="705" t="s">
        <v>170</v>
      </c>
      <c r="BH218" s="705" t="s">
        <v>170</v>
      </c>
      <c r="BI218" s="708" t="s">
        <v>170</v>
      </c>
      <c r="BJ218" s="509"/>
      <c r="BK218" s="394"/>
      <c r="BL218" s="394"/>
      <c r="BM218" s="394"/>
      <c r="BN218" s="394"/>
      <c r="BO218" s="394"/>
      <c r="BP218" s="394"/>
    </row>
    <row r="219">
      <c r="A219" s="501" t="s">
        <v>1688</v>
      </c>
      <c r="B219" s="700" t="s">
        <v>5184</v>
      </c>
      <c r="C219" s="501" t="s">
        <v>5197</v>
      </c>
      <c r="D219" s="500" t="str">
        <f t="shared" si="29"/>
        <v>Gigabyte</v>
      </c>
      <c r="E219" s="500" t="s">
        <v>5720</v>
      </c>
      <c r="F219" s="501">
        <v>244.0</v>
      </c>
      <c r="G219" s="501">
        <v>230.0</v>
      </c>
      <c r="H219" s="501">
        <v>3.0</v>
      </c>
      <c r="I219" s="501" t="s">
        <v>166</v>
      </c>
      <c r="J219" s="501">
        <v>1.0</v>
      </c>
      <c r="K219" s="501" t="s">
        <v>166</v>
      </c>
      <c r="L219" s="501" t="s">
        <v>166</v>
      </c>
      <c r="M219" s="501">
        <v>2.0</v>
      </c>
      <c r="N219" s="501" t="s">
        <v>166</v>
      </c>
      <c r="O219" s="501" t="s">
        <v>166</v>
      </c>
      <c r="P219" s="501" t="s">
        <v>166</v>
      </c>
      <c r="Q219" s="501" t="s">
        <v>166</v>
      </c>
      <c r="R219" s="501">
        <v>4.0</v>
      </c>
      <c r="S219" s="501" t="s">
        <v>3149</v>
      </c>
      <c r="T219" s="501">
        <v>64.0</v>
      </c>
      <c r="U219" s="501">
        <v>2666.0</v>
      </c>
      <c r="V219" s="501">
        <v>6.0</v>
      </c>
      <c r="W219" s="701" t="s">
        <v>5251</v>
      </c>
      <c r="X219" s="501">
        <v>2.0</v>
      </c>
      <c r="Y219" s="501">
        <v>4.0</v>
      </c>
      <c r="Z219" s="501" t="s">
        <v>166</v>
      </c>
      <c r="AA219" s="501">
        <v>1.0</v>
      </c>
      <c r="AB219" s="501">
        <v>1.0</v>
      </c>
      <c r="AC219" s="501" t="s">
        <v>166</v>
      </c>
      <c r="AD219" s="501" t="s">
        <v>166</v>
      </c>
      <c r="AE219" s="501" t="s">
        <v>166</v>
      </c>
      <c r="AF219" s="501">
        <f t="shared" si="1"/>
        <v>8</v>
      </c>
      <c r="AG219" s="501">
        <v>2.0</v>
      </c>
      <c r="AH219" s="501">
        <v>1.0</v>
      </c>
      <c r="AI219" s="501" t="s">
        <v>166</v>
      </c>
      <c r="AJ219" s="501">
        <v>1.0</v>
      </c>
      <c r="AK219" s="700" t="s">
        <v>5133</v>
      </c>
      <c r="AL219" s="700">
        <v>1.0</v>
      </c>
      <c r="AM219" s="700">
        <v>1.0</v>
      </c>
      <c r="AN219" s="700" t="s">
        <v>166</v>
      </c>
      <c r="AO219" s="501" t="s">
        <v>232</v>
      </c>
      <c r="AP219" s="501" t="s">
        <v>166</v>
      </c>
      <c r="AQ219" s="501" t="s">
        <v>166</v>
      </c>
      <c r="AR219" s="700" t="s">
        <v>4977</v>
      </c>
      <c r="AS219" s="501" t="s">
        <v>166</v>
      </c>
      <c r="AT219" s="501">
        <v>6.0</v>
      </c>
      <c r="AU219" s="501" t="s">
        <v>174</v>
      </c>
      <c r="AV219" s="501" t="s">
        <v>166</v>
      </c>
      <c r="AW219" s="501">
        <v>1.0</v>
      </c>
      <c r="AX219" s="501">
        <v>1.0</v>
      </c>
      <c r="AY219" s="501">
        <v>1.0</v>
      </c>
      <c r="AZ219" s="501">
        <v>4.0</v>
      </c>
      <c r="BA219" s="501">
        <v>1.0</v>
      </c>
      <c r="BB219" s="501" t="s">
        <v>166</v>
      </c>
      <c r="BC219" s="501" t="s">
        <v>166</v>
      </c>
      <c r="BD219" s="501" t="s">
        <v>166</v>
      </c>
      <c r="BE219" s="700" t="s">
        <v>5667</v>
      </c>
      <c r="BF219" s="700" t="s">
        <v>170</v>
      </c>
      <c r="BG219" s="700" t="s">
        <v>170</v>
      </c>
      <c r="BH219" s="700" t="s">
        <v>170</v>
      </c>
      <c r="BI219" s="703" t="s">
        <v>170</v>
      </c>
      <c r="BJ219" s="503"/>
      <c r="BK219" s="394"/>
      <c r="BL219" s="394"/>
      <c r="BM219" s="394"/>
      <c r="BN219" s="394"/>
      <c r="BO219" s="394"/>
      <c r="BP219" s="394"/>
    </row>
    <row r="220">
      <c r="A220" s="519" t="s">
        <v>1688</v>
      </c>
      <c r="B220" s="712" t="s">
        <v>5184</v>
      </c>
      <c r="C220" s="519" t="s">
        <v>5206</v>
      </c>
      <c r="D220" s="391" t="str">
        <f t="shared" si="29"/>
        <v>Gigabyte</v>
      </c>
      <c r="E220" s="391" t="s">
        <v>5721</v>
      </c>
      <c r="F220" s="519">
        <v>226.0</v>
      </c>
      <c r="G220" s="519">
        <v>193.0</v>
      </c>
      <c r="H220" s="519">
        <v>3.0</v>
      </c>
      <c r="I220" s="519" t="s">
        <v>166</v>
      </c>
      <c r="J220" s="519">
        <v>2.0</v>
      </c>
      <c r="K220" s="519" t="s">
        <v>166</v>
      </c>
      <c r="L220" s="519" t="s">
        <v>166</v>
      </c>
      <c r="M220" s="519">
        <v>1.0</v>
      </c>
      <c r="N220" s="519" t="s">
        <v>174</v>
      </c>
      <c r="O220" s="519" t="s">
        <v>174</v>
      </c>
      <c r="P220" s="519" t="s">
        <v>166</v>
      </c>
      <c r="Q220" s="519" t="s">
        <v>166</v>
      </c>
      <c r="R220" s="519">
        <v>4.0</v>
      </c>
      <c r="S220" s="519" t="s">
        <v>3149</v>
      </c>
      <c r="T220" s="519">
        <v>64.0</v>
      </c>
      <c r="U220" s="519" t="s">
        <v>5722</v>
      </c>
      <c r="V220" s="519">
        <v>6.0</v>
      </c>
      <c r="W220" s="719" t="s">
        <v>4950</v>
      </c>
      <c r="X220" s="519">
        <v>2.0</v>
      </c>
      <c r="Y220" s="519">
        <v>4.0</v>
      </c>
      <c r="Z220" s="519" t="s">
        <v>166</v>
      </c>
      <c r="AA220" s="519" t="s">
        <v>166</v>
      </c>
      <c r="AB220" s="519" t="s">
        <v>166</v>
      </c>
      <c r="AC220" s="519" t="s">
        <v>166</v>
      </c>
      <c r="AD220" s="519" t="s">
        <v>166</v>
      </c>
      <c r="AE220" s="519" t="s">
        <v>166</v>
      </c>
      <c r="AF220" s="519">
        <f t="shared" si="1"/>
        <v>6</v>
      </c>
      <c r="AG220" s="519">
        <v>2.0</v>
      </c>
      <c r="AH220" s="519">
        <v>1.0</v>
      </c>
      <c r="AI220" s="519" t="s">
        <v>166</v>
      </c>
      <c r="AJ220" s="519">
        <v>1.0</v>
      </c>
      <c r="AK220" s="712" t="s">
        <v>5016</v>
      </c>
      <c r="AL220" s="712">
        <v>1.0</v>
      </c>
      <c r="AM220" s="712" t="s">
        <v>166</v>
      </c>
      <c r="AN220" s="712" t="s">
        <v>166</v>
      </c>
      <c r="AO220" s="519" t="s">
        <v>166</v>
      </c>
      <c r="AP220" s="519" t="s">
        <v>166</v>
      </c>
      <c r="AQ220" s="519" t="s">
        <v>166</v>
      </c>
      <c r="AR220" s="712" t="s">
        <v>4960</v>
      </c>
      <c r="AS220" s="519" t="s">
        <v>166</v>
      </c>
      <c r="AT220" s="519">
        <v>3.0</v>
      </c>
      <c r="AU220" s="519" t="s">
        <v>174</v>
      </c>
      <c r="AV220" s="519" t="s">
        <v>166</v>
      </c>
      <c r="AW220" s="519">
        <v>1.0</v>
      </c>
      <c r="AX220" s="519">
        <v>1.0</v>
      </c>
      <c r="AY220" s="519" t="s">
        <v>166</v>
      </c>
      <c r="AZ220" s="519">
        <v>2.0</v>
      </c>
      <c r="BA220" s="519" t="s">
        <v>166</v>
      </c>
      <c r="BB220" s="519" t="s">
        <v>166</v>
      </c>
      <c r="BC220" s="519" t="s">
        <v>166</v>
      </c>
      <c r="BD220" s="519" t="s">
        <v>166</v>
      </c>
      <c r="BE220" s="712" t="s">
        <v>5667</v>
      </c>
      <c r="BF220" s="712" t="s">
        <v>5017</v>
      </c>
      <c r="BG220" s="712" t="s">
        <v>4963</v>
      </c>
      <c r="BH220" s="712">
        <v>4.0</v>
      </c>
      <c r="BI220" s="717" t="s">
        <v>170</v>
      </c>
      <c r="BJ220" s="541"/>
      <c r="BK220" s="394"/>
      <c r="BL220" s="394"/>
      <c r="BM220" s="394"/>
      <c r="BN220" s="394"/>
      <c r="BO220" s="394"/>
      <c r="BP220" s="394"/>
    </row>
    <row r="221">
      <c r="A221" s="519" t="s">
        <v>1688</v>
      </c>
      <c r="B221" s="712" t="s">
        <v>5184</v>
      </c>
      <c r="C221" s="519" t="s">
        <v>5219</v>
      </c>
      <c r="D221" s="391" t="str">
        <f>HYPERLINK("https://www.asus.com/","Asus")</f>
        <v>Asus</v>
      </c>
      <c r="E221" s="391" t="s">
        <v>5723</v>
      </c>
      <c r="F221" s="519">
        <v>226.0</v>
      </c>
      <c r="G221" s="519">
        <v>244.0</v>
      </c>
      <c r="H221" s="519">
        <v>3.0</v>
      </c>
      <c r="I221" s="519" t="s">
        <v>166</v>
      </c>
      <c r="J221" s="519" t="s">
        <v>166</v>
      </c>
      <c r="K221" s="519">
        <v>1.0</v>
      </c>
      <c r="L221" s="519" t="s">
        <v>166</v>
      </c>
      <c r="M221" s="519">
        <v>1.0</v>
      </c>
      <c r="N221" s="519" t="s">
        <v>174</v>
      </c>
      <c r="O221" s="519" t="s">
        <v>174</v>
      </c>
      <c r="P221" s="519" t="s">
        <v>174</v>
      </c>
      <c r="Q221" s="519" t="s">
        <v>174</v>
      </c>
      <c r="R221" s="519">
        <v>2.0</v>
      </c>
      <c r="S221" s="519" t="s">
        <v>3149</v>
      </c>
      <c r="T221" s="519">
        <v>64.0</v>
      </c>
      <c r="U221" s="519" t="s">
        <v>5223</v>
      </c>
      <c r="V221" s="519">
        <v>4.0</v>
      </c>
      <c r="W221" s="719" t="s">
        <v>5724</v>
      </c>
      <c r="X221" s="519">
        <v>2.0</v>
      </c>
      <c r="Y221" s="519">
        <v>6.0</v>
      </c>
      <c r="Z221" s="519" t="s">
        <v>166</v>
      </c>
      <c r="AA221" s="519">
        <v>3.0</v>
      </c>
      <c r="AB221" s="519">
        <v>1.0</v>
      </c>
      <c r="AC221" s="519" t="s">
        <v>166</v>
      </c>
      <c r="AD221" s="519" t="s">
        <v>166</v>
      </c>
      <c r="AE221" s="519" t="s">
        <v>166</v>
      </c>
      <c r="AF221" s="519">
        <f t="shared" si="1"/>
        <v>12</v>
      </c>
      <c r="AG221" s="519">
        <v>2.0</v>
      </c>
      <c r="AH221" s="519">
        <v>1.0</v>
      </c>
      <c r="AI221" s="519" t="s">
        <v>5025</v>
      </c>
      <c r="AJ221" s="519">
        <v>1.0</v>
      </c>
      <c r="AK221" s="712" t="s">
        <v>5133</v>
      </c>
      <c r="AL221" s="712">
        <v>1.0</v>
      </c>
      <c r="AM221" s="712">
        <v>1.0</v>
      </c>
      <c r="AN221" s="712" t="s">
        <v>4966</v>
      </c>
      <c r="AO221" s="712" t="s">
        <v>5192</v>
      </c>
      <c r="AP221" s="519">
        <v>1733.0</v>
      </c>
      <c r="AQ221" s="519">
        <v>5.0</v>
      </c>
      <c r="AR221" s="712" t="s">
        <v>4971</v>
      </c>
      <c r="AS221" s="519" t="s">
        <v>174</v>
      </c>
      <c r="AT221" s="519">
        <v>5.0</v>
      </c>
      <c r="AU221" s="519" t="s">
        <v>174</v>
      </c>
      <c r="AV221" s="519" t="s">
        <v>166</v>
      </c>
      <c r="AW221" s="519">
        <v>1.0</v>
      </c>
      <c r="AX221" s="519" t="s">
        <v>166</v>
      </c>
      <c r="AY221" s="519" t="s">
        <v>166</v>
      </c>
      <c r="AZ221" s="519">
        <v>7.0</v>
      </c>
      <c r="BA221" s="519">
        <v>2.0</v>
      </c>
      <c r="BB221" s="519" t="s">
        <v>166</v>
      </c>
      <c r="BC221" s="519" t="s">
        <v>174</v>
      </c>
      <c r="BD221" s="519" t="s">
        <v>174</v>
      </c>
      <c r="BE221" s="712" t="s">
        <v>4972</v>
      </c>
      <c r="BF221" s="712" t="s">
        <v>5117</v>
      </c>
      <c r="BG221" s="712" t="s">
        <v>4955</v>
      </c>
      <c r="BH221" s="712">
        <v>10.0</v>
      </c>
      <c r="BI221" s="717" t="s">
        <v>4984</v>
      </c>
      <c r="BJ221" s="538"/>
      <c r="BK221" s="394"/>
      <c r="BL221" s="394"/>
      <c r="BM221" s="394"/>
      <c r="BN221" s="394"/>
      <c r="BO221" s="394"/>
      <c r="BP221" s="394"/>
    </row>
    <row r="222">
      <c r="A222" s="507" t="s">
        <v>1688</v>
      </c>
      <c r="B222" s="705">
        <v>1200.0</v>
      </c>
      <c r="C222" s="507" t="s">
        <v>5231</v>
      </c>
      <c r="D222" s="506" t="s">
        <v>169</v>
      </c>
      <c r="E222" s="282" t="s">
        <v>5725</v>
      </c>
      <c r="F222" s="507">
        <v>226.0</v>
      </c>
      <c r="G222" s="507">
        <v>188.0</v>
      </c>
      <c r="H222" s="507">
        <v>3.0</v>
      </c>
      <c r="I222" s="507" t="s">
        <v>166</v>
      </c>
      <c r="J222" s="507">
        <v>1.0</v>
      </c>
      <c r="K222" s="507" t="s">
        <v>166</v>
      </c>
      <c r="L222" s="507" t="s">
        <v>166</v>
      </c>
      <c r="M222" s="507">
        <v>1.0</v>
      </c>
      <c r="N222" s="507" t="s">
        <v>166</v>
      </c>
      <c r="O222" s="507" t="s">
        <v>166</v>
      </c>
      <c r="P222" s="507" t="s">
        <v>166</v>
      </c>
      <c r="Q222" s="507" t="s">
        <v>166</v>
      </c>
      <c r="R222" s="507">
        <v>2.0</v>
      </c>
      <c r="S222" s="507" t="s">
        <v>3149</v>
      </c>
      <c r="T222" s="507">
        <v>64.0</v>
      </c>
      <c r="U222" s="507">
        <v>2933.0</v>
      </c>
      <c r="V222" s="507">
        <v>4.0</v>
      </c>
      <c r="W222" s="711" t="s">
        <v>4950</v>
      </c>
      <c r="X222" s="507">
        <v>4.0</v>
      </c>
      <c r="Y222" s="507">
        <v>2.0</v>
      </c>
      <c r="Z222" s="507" t="s">
        <v>166</v>
      </c>
      <c r="AA222" s="507" t="s">
        <v>166</v>
      </c>
      <c r="AB222" s="507" t="s">
        <v>166</v>
      </c>
      <c r="AC222" s="507" t="s">
        <v>166</v>
      </c>
      <c r="AD222" s="507" t="s">
        <v>166</v>
      </c>
      <c r="AE222" s="507" t="s">
        <v>166</v>
      </c>
      <c r="AF222" s="507">
        <f t="shared" si="1"/>
        <v>6</v>
      </c>
      <c r="AG222" s="507">
        <v>2.0</v>
      </c>
      <c r="AH222" s="507">
        <v>1.0</v>
      </c>
      <c r="AI222" s="507" t="s">
        <v>166</v>
      </c>
      <c r="AJ222" s="507">
        <v>1.0</v>
      </c>
      <c r="AK222" s="705" t="s">
        <v>5133</v>
      </c>
      <c r="AL222" s="705">
        <v>1.0</v>
      </c>
      <c r="AM222" s="705">
        <v>1.0</v>
      </c>
      <c r="AN222" s="48" t="s">
        <v>4966</v>
      </c>
      <c r="AO222" s="48" t="s">
        <v>4967</v>
      </c>
      <c r="AP222" s="507">
        <v>433.0</v>
      </c>
      <c r="AQ222" s="507">
        <v>4.2</v>
      </c>
      <c r="AR222" s="705" t="s">
        <v>4960</v>
      </c>
      <c r="AS222" s="507" t="s">
        <v>166</v>
      </c>
      <c r="AT222" s="507">
        <v>3.0</v>
      </c>
      <c r="AU222" s="507">
        <v>1.0</v>
      </c>
      <c r="AV222" s="507" t="s">
        <v>166</v>
      </c>
      <c r="AW222" s="507">
        <v>1.0</v>
      </c>
      <c r="AX222" s="507" t="s">
        <v>166</v>
      </c>
      <c r="AY222" s="507" t="s">
        <v>166</v>
      </c>
      <c r="AZ222" s="507">
        <v>4.0</v>
      </c>
      <c r="BA222" s="507" t="s">
        <v>166</v>
      </c>
      <c r="BB222" s="507" t="s">
        <v>166</v>
      </c>
      <c r="BC222" s="507" t="s">
        <v>166</v>
      </c>
      <c r="BD222" s="507" t="s">
        <v>166</v>
      </c>
      <c r="BE222" s="705" t="s">
        <v>5678</v>
      </c>
      <c r="BF222" s="705" t="s">
        <v>4973</v>
      </c>
      <c r="BG222" s="705" t="s">
        <v>4963</v>
      </c>
      <c r="BH222" s="705">
        <v>6.0</v>
      </c>
      <c r="BI222" s="708" t="s">
        <v>170</v>
      </c>
      <c r="BJ222" s="708"/>
      <c r="BK222" s="394"/>
      <c r="BL222" s="394"/>
      <c r="BM222" s="394"/>
      <c r="BN222" s="394"/>
      <c r="BO222" s="394"/>
      <c r="BP222" s="394"/>
    </row>
    <row r="223">
      <c r="A223" s="266" t="s">
        <v>1688</v>
      </c>
      <c r="B223" s="48">
        <v>1200.0</v>
      </c>
      <c r="C223" s="266" t="s">
        <v>5231</v>
      </c>
      <c r="D223" s="452" t="s">
        <v>169</v>
      </c>
      <c r="E223" s="174" t="str">
        <f>HYPERLINK("https://www.asrock.com/mb/Intel/H410M-HDV/index.asp","H410M-HDV")</f>
        <v>H410M-HDV</v>
      </c>
      <c r="F223" s="266">
        <v>197.0</v>
      </c>
      <c r="G223" s="266">
        <v>188.0</v>
      </c>
      <c r="H223" s="266">
        <v>3.0</v>
      </c>
      <c r="I223" s="266" t="s">
        <v>166</v>
      </c>
      <c r="J223" s="266">
        <v>1.0</v>
      </c>
      <c r="K223" s="266" t="s">
        <v>166</v>
      </c>
      <c r="L223" s="266" t="s">
        <v>166</v>
      </c>
      <c r="M223" s="266">
        <v>1.0</v>
      </c>
      <c r="N223" s="266" t="s">
        <v>166</v>
      </c>
      <c r="O223" s="266" t="s">
        <v>166</v>
      </c>
      <c r="P223" s="266" t="s">
        <v>166</v>
      </c>
      <c r="Q223" s="266" t="s">
        <v>166</v>
      </c>
      <c r="R223" s="266">
        <v>2.0</v>
      </c>
      <c r="S223" s="266" t="s">
        <v>3149</v>
      </c>
      <c r="T223" s="266">
        <v>64.0</v>
      </c>
      <c r="U223" s="266">
        <v>2933.0</v>
      </c>
      <c r="V223" s="266">
        <v>4.0</v>
      </c>
      <c r="W223" s="749" t="s">
        <v>166</v>
      </c>
      <c r="X223" s="266">
        <v>4.0</v>
      </c>
      <c r="Y223" s="266">
        <v>2.0</v>
      </c>
      <c r="Z223" s="266" t="s">
        <v>166</v>
      </c>
      <c r="AA223" s="266" t="s">
        <v>166</v>
      </c>
      <c r="AB223" s="266" t="s">
        <v>166</v>
      </c>
      <c r="AC223" s="266" t="s">
        <v>166</v>
      </c>
      <c r="AD223" s="266" t="s">
        <v>166</v>
      </c>
      <c r="AE223" s="266" t="s">
        <v>166</v>
      </c>
      <c r="AF223" s="266">
        <f t="shared" si="1"/>
        <v>6</v>
      </c>
      <c r="AG223" s="266">
        <v>1.0</v>
      </c>
      <c r="AH223" s="266">
        <v>1.0</v>
      </c>
      <c r="AI223" s="266" t="s">
        <v>166</v>
      </c>
      <c r="AJ223" s="266">
        <v>1.0</v>
      </c>
      <c r="AK223" s="48" t="s">
        <v>4959</v>
      </c>
      <c r="AL223" s="48">
        <v>1.0</v>
      </c>
      <c r="AM223" s="48" t="s">
        <v>166</v>
      </c>
      <c r="AN223" s="48" t="s">
        <v>166</v>
      </c>
      <c r="AO223" s="48" t="s">
        <v>166</v>
      </c>
      <c r="AP223" s="266" t="s">
        <v>166</v>
      </c>
      <c r="AQ223" s="266" t="s">
        <v>166</v>
      </c>
      <c r="AR223" s="48" t="s">
        <v>4960</v>
      </c>
      <c r="AS223" s="266" t="s">
        <v>166</v>
      </c>
      <c r="AT223" s="266">
        <v>3.0</v>
      </c>
      <c r="AU223" s="266">
        <v>1.0</v>
      </c>
      <c r="AV223" s="266" t="s">
        <v>166</v>
      </c>
      <c r="AW223" s="266">
        <v>1.0</v>
      </c>
      <c r="AX223" s="266">
        <v>1.0</v>
      </c>
      <c r="AY223" s="266">
        <v>1.0</v>
      </c>
      <c r="AZ223" s="266">
        <v>2.0</v>
      </c>
      <c r="BA223" s="266" t="s">
        <v>166</v>
      </c>
      <c r="BB223" s="266" t="s">
        <v>166</v>
      </c>
      <c r="BC223" s="266" t="s">
        <v>166</v>
      </c>
      <c r="BD223" s="266" t="s">
        <v>166</v>
      </c>
      <c r="BE223" s="48" t="s">
        <v>5726</v>
      </c>
      <c r="BF223" s="48" t="s">
        <v>5017</v>
      </c>
      <c r="BG223" s="48" t="s">
        <v>4963</v>
      </c>
      <c r="BH223" s="48">
        <v>4.0</v>
      </c>
      <c r="BI223" s="698" t="s">
        <v>5727</v>
      </c>
      <c r="BJ223" s="698"/>
      <c r="BK223" s="394"/>
      <c r="BL223" s="394"/>
      <c r="BM223" s="394"/>
      <c r="BN223" s="394"/>
      <c r="BO223" s="394"/>
      <c r="BP223" s="394"/>
    </row>
    <row r="224">
      <c r="A224" s="266" t="s">
        <v>1688</v>
      </c>
      <c r="B224" s="48">
        <v>1200.0</v>
      </c>
      <c r="C224" s="266" t="s">
        <v>5231</v>
      </c>
      <c r="D224" s="452" t="s">
        <v>169</v>
      </c>
      <c r="E224" s="174" t="str">
        <f>HYPERLINK("https://www.asrock.com/mb/Intel/H410M-HDVM.2/index.asp","H410M-HDV/M.2")</f>
        <v>H410M-HDV/M.2</v>
      </c>
      <c r="F224" s="266">
        <v>226.0</v>
      </c>
      <c r="G224" s="266">
        <v>188.0</v>
      </c>
      <c r="H224" s="266">
        <v>3.0</v>
      </c>
      <c r="I224" s="266" t="s">
        <v>166</v>
      </c>
      <c r="J224" s="266">
        <v>1.0</v>
      </c>
      <c r="K224" s="266" t="s">
        <v>166</v>
      </c>
      <c r="L224" s="266" t="s">
        <v>166</v>
      </c>
      <c r="M224" s="266">
        <v>1.0</v>
      </c>
      <c r="N224" s="266" t="s">
        <v>166</v>
      </c>
      <c r="O224" s="266" t="s">
        <v>166</v>
      </c>
      <c r="P224" s="266" t="s">
        <v>166</v>
      </c>
      <c r="Q224" s="266" t="s">
        <v>166</v>
      </c>
      <c r="R224" s="266">
        <v>2.0</v>
      </c>
      <c r="S224" s="266" t="s">
        <v>3149</v>
      </c>
      <c r="T224" s="266">
        <v>64.0</v>
      </c>
      <c r="U224" s="266">
        <v>2933.0</v>
      </c>
      <c r="V224" s="266">
        <v>4.0</v>
      </c>
      <c r="W224" s="710" t="s">
        <v>4950</v>
      </c>
      <c r="X224" s="266">
        <v>4.0</v>
      </c>
      <c r="Y224" s="266">
        <v>2.0</v>
      </c>
      <c r="Z224" s="266" t="s">
        <v>166</v>
      </c>
      <c r="AA224" s="266" t="s">
        <v>166</v>
      </c>
      <c r="AB224" s="266" t="s">
        <v>166</v>
      </c>
      <c r="AC224" s="266" t="s">
        <v>166</v>
      </c>
      <c r="AD224" s="266" t="s">
        <v>166</v>
      </c>
      <c r="AE224" s="266" t="s">
        <v>166</v>
      </c>
      <c r="AF224" s="266">
        <f t="shared" si="1"/>
        <v>6</v>
      </c>
      <c r="AG224" s="266">
        <v>2.0</v>
      </c>
      <c r="AH224" s="266">
        <v>1.0</v>
      </c>
      <c r="AI224" s="266" t="s">
        <v>166</v>
      </c>
      <c r="AJ224" s="266">
        <v>1.0</v>
      </c>
      <c r="AK224" s="48" t="s">
        <v>5133</v>
      </c>
      <c r="AL224" s="48">
        <v>1.0</v>
      </c>
      <c r="AM224" s="48">
        <v>1.0</v>
      </c>
      <c r="AN224" s="48" t="s">
        <v>166</v>
      </c>
      <c r="AO224" s="48" t="s">
        <v>232</v>
      </c>
      <c r="AP224" s="266" t="s">
        <v>166</v>
      </c>
      <c r="AQ224" s="266" t="s">
        <v>166</v>
      </c>
      <c r="AR224" s="48" t="s">
        <v>4960</v>
      </c>
      <c r="AS224" s="266" t="s">
        <v>166</v>
      </c>
      <c r="AT224" s="266">
        <v>3.0</v>
      </c>
      <c r="AU224" s="266">
        <v>1.0</v>
      </c>
      <c r="AV224" s="266" t="s">
        <v>166</v>
      </c>
      <c r="AW224" s="266">
        <v>1.0</v>
      </c>
      <c r="AX224" s="266">
        <v>1.0</v>
      </c>
      <c r="AY224" s="266">
        <v>1.0</v>
      </c>
      <c r="AZ224" s="266">
        <v>4.0</v>
      </c>
      <c r="BA224" s="266" t="s">
        <v>166</v>
      </c>
      <c r="BB224" s="266" t="s">
        <v>166</v>
      </c>
      <c r="BC224" s="266" t="s">
        <v>166</v>
      </c>
      <c r="BD224" s="266" t="s">
        <v>166</v>
      </c>
      <c r="BE224" s="48" t="s">
        <v>5726</v>
      </c>
      <c r="BF224" s="48" t="s">
        <v>4973</v>
      </c>
      <c r="BG224" s="48" t="s">
        <v>4963</v>
      </c>
      <c r="BH224" s="48">
        <v>6.0</v>
      </c>
      <c r="BI224" s="698" t="s">
        <v>5727</v>
      </c>
      <c r="BJ224" s="698"/>
      <c r="BK224" s="394"/>
      <c r="BL224" s="394"/>
      <c r="BM224" s="394"/>
      <c r="BN224" s="394"/>
      <c r="BO224" s="394"/>
      <c r="BP224" s="394"/>
    </row>
    <row r="225">
      <c r="A225" s="266" t="s">
        <v>1688</v>
      </c>
      <c r="B225" s="48">
        <v>1200.0</v>
      </c>
      <c r="C225" s="266" t="s">
        <v>5231</v>
      </c>
      <c r="D225" s="452" t="s">
        <v>169</v>
      </c>
      <c r="E225" s="174" t="str">
        <f>HYPERLINK("https://www.asrock.com/mb/Intel/H410M-HDVP/index.asp","H410M-HDVP")</f>
        <v>H410M-HDVP</v>
      </c>
      <c r="F225" s="266">
        <v>244.0</v>
      </c>
      <c r="G225" s="266">
        <v>188.0</v>
      </c>
      <c r="H225" s="266">
        <v>3.0</v>
      </c>
      <c r="I225" s="266">
        <v>1.0</v>
      </c>
      <c r="J225" s="266">
        <v>2.0</v>
      </c>
      <c r="K225" s="266" t="s">
        <v>166</v>
      </c>
      <c r="L225" s="266" t="s">
        <v>166</v>
      </c>
      <c r="M225" s="266">
        <v>1.0</v>
      </c>
      <c r="N225" s="266" t="s">
        <v>166</v>
      </c>
      <c r="O225" s="266" t="s">
        <v>166</v>
      </c>
      <c r="P225" s="266" t="s">
        <v>166</v>
      </c>
      <c r="Q225" s="266" t="s">
        <v>166</v>
      </c>
      <c r="R225" s="266">
        <v>2.0</v>
      </c>
      <c r="S225" s="266" t="s">
        <v>3149</v>
      </c>
      <c r="T225" s="266">
        <v>64.0</v>
      </c>
      <c r="U225" s="266">
        <v>2933.0</v>
      </c>
      <c r="V225" s="266">
        <v>4.0</v>
      </c>
      <c r="W225" s="710" t="s">
        <v>4950</v>
      </c>
      <c r="X225" s="266">
        <v>4.0</v>
      </c>
      <c r="Y225" s="266">
        <v>2.0</v>
      </c>
      <c r="Z225" s="266" t="s">
        <v>166</v>
      </c>
      <c r="AA225" s="266" t="s">
        <v>166</v>
      </c>
      <c r="AB225" s="266" t="s">
        <v>166</v>
      </c>
      <c r="AC225" s="266" t="s">
        <v>166</v>
      </c>
      <c r="AD225" s="266" t="s">
        <v>166</v>
      </c>
      <c r="AE225" s="266" t="s">
        <v>166</v>
      </c>
      <c r="AF225" s="266">
        <f t="shared" si="1"/>
        <v>6</v>
      </c>
      <c r="AG225" s="266">
        <v>1.0</v>
      </c>
      <c r="AH225" s="266">
        <v>1.0</v>
      </c>
      <c r="AI225" s="266" t="s">
        <v>166</v>
      </c>
      <c r="AJ225" s="266">
        <v>1.0</v>
      </c>
      <c r="AK225" s="48" t="s">
        <v>5469</v>
      </c>
      <c r="AL225" s="48">
        <v>1.0</v>
      </c>
      <c r="AM225" s="48" t="s">
        <v>166</v>
      </c>
      <c r="AN225" s="48" t="s">
        <v>166</v>
      </c>
      <c r="AO225" s="48" t="s">
        <v>166</v>
      </c>
      <c r="AP225" s="266" t="s">
        <v>166</v>
      </c>
      <c r="AQ225" s="266" t="s">
        <v>166</v>
      </c>
      <c r="AR225" s="48" t="s">
        <v>4960</v>
      </c>
      <c r="AS225" s="266" t="s">
        <v>166</v>
      </c>
      <c r="AT225" s="266">
        <v>3.0</v>
      </c>
      <c r="AU225" s="266">
        <v>2.0</v>
      </c>
      <c r="AV225" s="266" t="s">
        <v>166</v>
      </c>
      <c r="AW225" s="266">
        <v>1.0</v>
      </c>
      <c r="AX225" s="266">
        <v>1.0</v>
      </c>
      <c r="AY225" s="266">
        <v>1.0</v>
      </c>
      <c r="AZ225" s="266">
        <v>3.0</v>
      </c>
      <c r="BA225" s="266" t="s">
        <v>166</v>
      </c>
      <c r="BB225" s="266" t="s">
        <v>166</v>
      </c>
      <c r="BC225" s="266" t="s">
        <v>166</v>
      </c>
      <c r="BD225" s="266" t="s">
        <v>166</v>
      </c>
      <c r="BE225" s="48" t="s">
        <v>5726</v>
      </c>
      <c r="BF225" s="48" t="s">
        <v>4973</v>
      </c>
      <c r="BG225" s="48" t="s">
        <v>4963</v>
      </c>
      <c r="BH225" s="48">
        <v>6.0</v>
      </c>
      <c r="BI225" s="698" t="s">
        <v>5727</v>
      </c>
      <c r="BJ225" s="698"/>
      <c r="BK225" s="394"/>
      <c r="BL225" s="394"/>
      <c r="BM225" s="394"/>
      <c r="BN225" s="394"/>
      <c r="BO225" s="394"/>
      <c r="BP225" s="394"/>
    </row>
    <row r="226">
      <c r="A226" s="266" t="s">
        <v>1688</v>
      </c>
      <c r="B226" s="48">
        <v>1200.0</v>
      </c>
      <c r="C226" s="266" t="s">
        <v>5231</v>
      </c>
      <c r="D226" s="452" t="s">
        <v>169</v>
      </c>
      <c r="E226" s="174" t="str">
        <f>HYPERLINK("https://www.asrock.com/mb/Intel/H410M-HDVP2/index.asp","H410M-HDVP2")</f>
        <v>H410M-HDVP2</v>
      </c>
      <c r="F226" s="266">
        <v>244.0</v>
      </c>
      <c r="G226" s="266">
        <v>188.0</v>
      </c>
      <c r="H226" s="266">
        <v>3.0</v>
      </c>
      <c r="I226" s="266">
        <v>1.0</v>
      </c>
      <c r="J226" s="266">
        <v>2.0</v>
      </c>
      <c r="K226" s="266" t="s">
        <v>166</v>
      </c>
      <c r="L226" s="266" t="s">
        <v>166</v>
      </c>
      <c r="M226" s="266">
        <v>1.0</v>
      </c>
      <c r="N226" s="266" t="s">
        <v>166</v>
      </c>
      <c r="O226" s="266" t="s">
        <v>166</v>
      </c>
      <c r="P226" s="266" t="s">
        <v>166</v>
      </c>
      <c r="Q226" s="266" t="s">
        <v>166</v>
      </c>
      <c r="R226" s="266">
        <v>2.0</v>
      </c>
      <c r="S226" s="266" t="s">
        <v>3149</v>
      </c>
      <c r="T226" s="266">
        <v>64.0</v>
      </c>
      <c r="U226" s="266">
        <v>2933.0</v>
      </c>
      <c r="V226" s="266">
        <v>4.0</v>
      </c>
      <c r="W226" s="710" t="s">
        <v>4950</v>
      </c>
      <c r="X226" s="266">
        <v>2.0</v>
      </c>
      <c r="Y226" s="266">
        <v>2.0</v>
      </c>
      <c r="Z226" s="266" t="s">
        <v>166</v>
      </c>
      <c r="AA226" s="266" t="s">
        <v>166</v>
      </c>
      <c r="AB226" s="266" t="s">
        <v>166</v>
      </c>
      <c r="AC226" s="266" t="s">
        <v>166</v>
      </c>
      <c r="AD226" s="266" t="s">
        <v>166</v>
      </c>
      <c r="AE226" s="266" t="s">
        <v>166</v>
      </c>
      <c r="AF226" s="266">
        <f t="shared" si="1"/>
        <v>4</v>
      </c>
      <c r="AG226" s="266">
        <v>2.0</v>
      </c>
      <c r="AH226" s="266">
        <v>1.0</v>
      </c>
      <c r="AI226" s="266" t="s">
        <v>166</v>
      </c>
      <c r="AJ226" s="266">
        <v>1.0</v>
      </c>
      <c r="AK226" s="48" t="s">
        <v>5469</v>
      </c>
      <c r="AL226" s="48">
        <v>1.0</v>
      </c>
      <c r="AM226" s="48" t="s">
        <v>166</v>
      </c>
      <c r="AN226" s="48" t="s">
        <v>166</v>
      </c>
      <c r="AO226" s="48" t="s">
        <v>166</v>
      </c>
      <c r="AP226" s="266" t="s">
        <v>166</v>
      </c>
      <c r="AQ226" s="266" t="s">
        <v>166</v>
      </c>
      <c r="AR226" s="48" t="s">
        <v>4960</v>
      </c>
      <c r="AS226" s="266" t="s">
        <v>166</v>
      </c>
      <c r="AT226" s="266">
        <v>3.0</v>
      </c>
      <c r="AU226" s="266">
        <v>2.0</v>
      </c>
      <c r="AV226" s="266" t="s">
        <v>166</v>
      </c>
      <c r="AW226" s="266">
        <v>1.0</v>
      </c>
      <c r="AX226" s="266">
        <v>1.0</v>
      </c>
      <c r="AY226" s="266">
        <v>1.0</v>
      </c>
      <c r="AZ226" s="266">
        <v>3.0</v>
      </c>
      <c r="BA226" s="266" t="s">
        <v>166</v>
      </c>
      <c r="BB226" s="266" t="s">
        <v>166</v>
      </c>
      <c r="BC226" s="266" t="s">
        <v>166</v>
      </c>
      <c r="BD226" s="266" t="s">
        <v>166</v>
      </c>
      <c r="BE226" s="48" t="s">
        <v>5726</v>
      </c>
      <c r="BF226" s="48" t="s">
        <v>4973</v>
      </c>
      <c r="BG226" s="48" t="s">
        <v>4963</v>
      </c>
      <c r="BH226" s="48">
        <v>6.0</v>
      </c>
      <c r="BI226" s="698" t="s">
        <v>5727</v>
      </c>
      <c r="BJ226" s="698"/>
      <c r="BK226" s="394"/>
      <c r="BL226" s="394"/>
      <c r="BM226" s="394"/>
      <c r="BN226" s="394"/>
      <c r="BO226" s="394"/>
      <c r="BP226" s="394"/>
    </row>
    <row r="227">
      <c r="A227" s="266" t="s">
        <v>1688</v>
      </c>
      <c r="B227" s="48">
        <v>1200.0</v>
      </c>
      <c r="C227" s="266" t="s">
        <v>5231</v>
      </c>
      <c r="D227" s="452" t="s">
        <v>169</v>
      </c>
      <c r="E227" s="174" t="str">
        <f>HYPERLINK("https://www.asrock.com/mb/Intel/H410M-HVS/index.asp","H410M-HVS")</f>
        <v>H410M-HVS</v>
      </c>
      <c r="F227" s="266">
        <v>197.0</v>
      </c>
      <c r="G227" s="266">
        <v>188.0</v>
      </c>
      <c r="H227" s="266">
        <v>3.0</v>
      </c>
      <c r="I227" s="266" t="s">
        <v>166</v>
      </c>
      <c r="J227" s="266">
        <v>1.0</v>
      </c>
      <c r="K227" s="266" t="s">
        <v>166</v>
      </c>
      <c r="L227" s="266" t="s">
        <v>166</v>
      </c>
      <c r="M227" s="266">
        <v>1.0</v>
      </c>
      <c r="N227" s="266" t="s">
        <v>166</v>
      </c>
      <c r="O227" s="266" t="s">
        <v>166</v>
      </c>
      <c r="P227" s="266" t="s">
        <v>166</v>
      </c>
      <c r="Q227" s="266" t="s">
        <v>166</v>
      </c>
      <c r="R227" s="266">
        <v>2.0</v>
      </c>
      <c r="S227" s="266" t="s">
        <v>3149</v>
      </c>
      <c r="T227" s="266">
        <v>64.0</v>
      </c>
      <c r="U227" s="266">
        <v>2933.0</v>
      </c>
      <c r="V227" s="266">
        <v>4.0</v>
      </c>
      <c r="W227" s="749" t="s">
        <v>166</v>
      </c>
      <c r="X227" s="266">
        <v>4.0</v>
      </c>
      <c r="Y227" s="266">
        <v>2.0</v>
      </c>
      <c r="Z227" s="266" t="s">
        <v>166</v>
      </c>
      <c r="AA227" s="266" t="s">
        <v>166</v>
      </c>
      <c r="AB227" s="266" t="s">
        <v>166</v>
      </c>
      <c r="AC227" s="266" t="s">
        <v>166</v>
      </c>
      <c r="AD227" s="266" t="s">
        <v>166</v>
      </c>
      <c r="AE227" s="266" t="s">
        <v>166</v>
      </c>
      <c r="AF227" s="266">
        <f t="shared" si="1"/>
        <v>6</v>
      </c>
      <c r="AG227" s="266">
        <v>1.0</v>
      </c>
      <c r="AH227" s="266">
        <v>1.0</v>
      </c>
      <c r="AI227" s="266" t="s">
        <v>166</v>
      </c>
      <c r="AJ227" s="266">
        <v>1.0</v>
      </c>
      <c r="AK227" s="48" t="s">
        <v>4959</v>
      </c>
      <c r="AL227" s="48">
        <v>1.0</v>
      </c>
      <c r="AM227" s="48" t="s">
        <v>166</v>
      </c>
      <c r="AN227" s="48" t="s">
        <v>166</v>
      </c>
      <c r="AO227" s="48" t="s">
        <v>166</v>
      </c>
      <c r="AP227" s="266" t="s">
        <v>166</v>
      </c>
      <c r="AQ227" s="266" t="s">
        <v>166</v>
      </c>
      <c r="AR227" s="48" t="s">
        <v>4960</v>
      </c>
      <c r="AS227" s="266" t="s">
        <v>166</v>
      </c>
      <c r="AT227" s="266">
        <v>3.0</v>
      </c>
      <c r="AU227" s="266">
        <v>1.0</v>
      </c>
      <c r="AV227" s="266" t="s">
        <v>166</v>
      </c>
      <c r="AW227" s="266">
        <v>1.0</v>
      </c>
      <c r="AX227" s="266" t="s">
        <v>166</v>
      </c>
      <c r="AY227" s="266">
        <v>1.0</v>
      </c>
      <c r="AZ227" s="266">
        <v>2.0</v>
      </c>
      <c r="BA227" s="266" t="s">
        <v>166</v>
      </c>
      <c r="BB227" s="266" t="s">
        <v>166</v>
      </c>
      <c r="BC227" s="266" t="s">
        <v>166</v>
      </c>
      <c r="BD227" s="266" t="s">
        <v>166</v>
      </c>
      <c r="BE227" s="48" t="s">
        <v>5726</v>
      </c>
      <c r="BF227" s="48" t="s">
        <v>5017</v>
      </c>
      <c r="BG227" s="48" t="s">
        <v>4963</v>
      </c>
      <c r="BH227" s="48">
        <v>4.0</v>
      </c>
      <c r="BI227" s="698" t="s">
        <v>5727</v>
      </c>
      <c r="BJ227" s="698"/>
      <c r="BK227" s="394"/>
      <c r="BL227" s="394"/>
      <c r="BM227" s="394"/>
      <c r="BN227" s="394"/>
      <c r="BO227" s="394"/>
      <c r="BP227" s="394"/>
    </row>
    <row r="228">
      <c r="A228" s="266" t="s">
        <v>1688</v>
      </c>
      <c r="B228" s="48">
        <v>1200.0</v>
      </c>
      <c r="C228" s="266" t="s">
        <v>5231</v>
      </c>
      <c r="D228" s="452" t="str">
        <f t="shared" ref="D228:D232" si="30">HYPERLINK("https://www.asus.com/","Asus")</f>
        <v>Asus</v>
      </c>
      <c r="E228" s="174" t="s">
        <v>5728</v>
      </c>
      <c r="F228" s="266">
        <v>226.0</v>
      </c>
      <c r="G228" s="266">
        <v>203.0</v>
      </c>
      <c r="H228" s="266">
        <v>3.0</v>
      </c>
      <c r="I228" s="266" t="s">
        <v>166</v>
      </c>
      <c r="J228" s="266">
        <v>2.0</v>
      </c>
      <c r="K228" s="266" t="s">
        <v>166</v>
      </c>
      <c r="L228" s="266" t="s">
        <v>166</v>
      </c>
      <c r="M228" s="266">
        <v>1.0</v>
      </c>
      <c r="N228" s="266" t="s">
        <v>166</v>
      </c>
      <c r="O228" s="266" t="s">
        <v>166</v>
      </c>
      <c r="P228" s="266" t="s">
        <v>166</v>
      </c>
      <c r="Q228" s="266" t="s">
        <v>166</v>
      </c>
      <c r="R228" s="266">
        <v>2.0</v>
      </c>
      <c r="S228" s="266" t="s">
        <v>3149</v>
      </c>
      <c r="T228" s="266">
        <v>64.0</v>
      </c>
      <c r="U228" s="266">
        <v>2933.0</v>
      </c>
      <c r="V228" s="266">
        <v>4.0</v>
      </c>
      <c r="W228" s="710" t="s">
        <v>4950</v>
      </c>
      <c r="X228" s="266">
        <v>2.0</v>
      </c>
      <c r="Y228" s="266">
        <v>2.0</v>
      </c>
      <c r="Z228" s="266" t="s">
        <v>166</v>
      </c>
      <c r="AA228" s="266" t="s">
        <v>166</v>
      </c>
      <c r="AB228" s="266" t="s">
        <v>166</v>
      </c>
      <c r="AC228" s="266" t="s">
        <v>166</v>
      </c>
      <c r="AD228" s="266" t="s">
        <v>166</v>
      </c>
      <c r="AE228" s="266" t="s">
        <v>166</v>
      </c>
      <c r="AF228" s="266">
        <f t="shared" si="1"/>
        <v>4</v>
      </c>
      <c r="AG228" s="266">
        <v>2.0</v>
      </c>
      <c r="AH228" s="266">
        <v>1.0</v>
      </c>
      <c r="AI228" s="266" t="s">
        <v>166</v>
      </c>
      <c r="AJ228" s="266">
        <v>1.0</v>
      </c>
      <c r="AK228" s="48" t="s">
        <v>4959</v>
      </c>
      <c r="AL228" s="48">
        <v>1.0</v>
      </c>
      <c r="AM228" s="48" t="s">
        <v>166</v>
      </c>
      <c r="AN228" s="48" t="s">
        <v>166</v>
      </c>
      <c r="AO228" s="48" t="s">
        <v>166</v>
      </c>
      <c r="AP228" s="266" t="s">
        <v>166</v>
      </c>
      <c r="AQ228" s="266" t="s">
        <v>166</v>
      </c>
      <c r="AR228" s="48" t="s">
        <v>4960</v>
      </c>
      <c r="AS228" s="266" t="s">
        <v>166</v>
      </c>
      <c r="AT228" s="266">
        <v>3.0</v>
      </c>
      <c r="AU228" s="266">
        <v>2.0</v>
      </c>
      <c r="AV228" s="266" t="s">
        <v>166</v>
      </c>
      <c r="AW228" s="266">
        <v>1.0</v>
      </c>
      <c r="AX228" s="266">
        <v>1.0</v>
      </c>
      <c r="AY228" s="266">
        <v>1.0</v>
      </c>
      <c r="AZ228" s="266">
        <v>3.0</v>
      </c>
      <c r="BA228" s="266" t="s">
        <v>166</v>
      </c>
      <c r="BB228" s="266" t="s">
        <v>166</v>
      </c>
      <c r="BC228" s="266" t="s">
        <v>166</v>
      </c>
      <c r="BD228" s="266" t="s">
        <v>166</v>
      </c>
      <c r="BE228" s="48" t="s">
        <v>5201</v>
      </c>
      <c r="BF228" s="48" t="s">
        <v>4973</v>
      </c>
      <c r="BG228" s="48" t="s">
        <v>4955</v>
      </c>
      <c r="BH228" s="48">
        <v>6.0</v>
      </c>
      <c r="BI228" s="698" t="s">
        <v>5729</v>
      </c>
      <c r="BJ228" s="698"/>
      <c r="BK228" s="394"/>
      <c r="BL228" s="394"/>
      <c r="BM228" s="394"/>
      <c r="BN228" s="394"/>
      <c r="BO228" s="394"/>
      <c r="BP228" s="394"/>
    </row>
    <row r="229">
      <c r="A229" s="266" t="s">
        <v>1688</v>
      </c>
      <c r="B229" s="48">
        <v>1200.0</v>
      </c>
      <c r="C229" s="266" t="s">
        <v>5231</v>
      </c>
      <c r="D229" s="452" t="str">
        <f t="shared" si="30"/>
        <v>Asus</v>
      </c>
      <c r="E229" s="174" t="s">
        <v>5730</v>
      </c>
      <c r="F229" s="266">
        <v>226.0</v>
      </c>
      <c r="G229" s="266">
        <v>201.0</v>
      </c>
      <c r="H229" s="266">
        <v>3.0</v>
      </c>
      <c r="I229" s="266" t="s">
        <v>166</v>
      </c>
      <c r="J229" s="266">
        <v>2.0</v>
      </c>
      <c r="K229" s="266" t="s">
        <v>166</v>
      </c>
      <c r="L229" s="266" t="s">
        <v>166</v>
      </c>
      <c r="M229" s="266">
        <v>1.0</v>
      </c>
      <c r="N229" s="266" t="s">
        <v>166</v>
      </c>
      <c r="O229" s="266" t="s">
        <v>166</v>
      </c>
      <c r="P229" s="266" t="s">
        <v>166</v>
      </c>
      <c r="Q229" s="266" t="s">
        <v>166</v>
      </c>
      <c r="R229" s="266">
        <v>2.0</v>
      </c>
      <c r="S229" s="266" t="s">
        <v>3149</v>
      </c>
      <c r="T229" s="266">
        <v>64.0</v>
      </c>
      <c r="U229" s="266">
        <v>2933.0</v>
      </c>
      <c r="V229" s="266">
        <v>4.0</v>
      </c>
      <c r="W229" s="710" t="s">
        <v>4950</v>
      </c>
      <c r="X229" s="266">
        <v>4.0</v>
      </c>
      <c r="Y229" s="266">
        <v>2.0</v>
      </c>
      <c r="Z229" s="266" t="s">
        <v>166</v>
      </c>
      <c r="AA229" s="266" t="s">
        <v>166</v>
      </c>
      <c r="AB229" s="266" t="s">
        <v>166</v>
      </c>
      <c r="AC229" s="266" t="s">
        <v>166</v>
      </c>
      <c r="AD229" s="266" t="s">
        <v>166</v>
      </c>
      <c r="AE229" s="266" t="s">
        <v>166</v>
      </c>
      <c r="AF229" s="266">
        <f t="shared" si="1"/>
        <v>6</v>
      </c>
      <c r="AG229" s="266">
        <v>1.0</v>
      </c>
      <c r="AH229" s="266">
        <v>1.0</v>
      </c>
      <c r="AI229" s="266" t="s">
        <v>166</v>
      </c>
      <c r="AJ229" s="266">
        <v>1.0</v>
      </c>
      <c r="AK229" s="48" t="s">
        <v>4959</v>
      </c>
      <c r="AL229" s="48">
        <v>1.0</v>
      </c>
      <c r="AM229" s="48" t="s">
        <v>166</v>
      </c>
      <c r="AN229" s="48" t="s">
        <v>166</v>
      </c>
      <c r="AO229" s="48" t="s">
        <v>166</v>
      </c>
      <c r="AP229" s="266" t="s">
        <v>166</v>
      </c>
      <c r="AQ229" s="266" t="s">
        <v>166</v>
      </c>
      <c r="AR229" s="48" t="s">
        <v>4960</v>
      </c>
      <c r="AS229" s="266" t="s">
        <v>166</v>
      </c>
      <c r="AT229" s="266">
        <v>3.0</v>
      </c>
      <c r="AU229" s="266">
        <v>1.0</v>
      </c>
      <c r="AV229" s="266" t="s">
        <v>166</v>
      </c>
      <c r="AW229" s="266">
        <v>1.0</v>
      </c>
      <c r="AX229" s="266" t="s">
        <v>166</v>
      </c>
      <c r="AY229" s="266">
        <v>1.0</v>
      </c>
      <c r="AZ229" s="266">
        <v>2.0</v>
      </c>
      <c r="BA229" s="266" t="s">
        <v>166</v>
      </c>
      <c r="BB229" s="266" t="s">
        <v>166</v>
      </c>
      <c r="BC229" s="266" t="s">
        <v>166</v>
      </c>
      <c r="BD229" s="266" t="s">
        <v>166</v>
      </c>
      <c r="BE229" s="48" t="s">
        <v>5201</v>
      </c>
      <c r="BF229" s="48" t="s">
        <v>4973</v>
      </c>
      <c r="BG229" s="48" t="s">
        <v>4955</v>
      </c>
      <c r="BH229" s="48">
        <v>6.0</v>
      </c>
      <c r="BI229" s="698" t="s">
        <v>5729</v>
      </c>
      <c r="BJ229" s="698"/>
      <c r="BK229" s="394"/>
      <c r="BL229" s="394"/>
      <c r="BM229" s="394"/>
      <c r="BN229" s="394"/>
      <c r="BO229" s="394"/>
      <c r="BP229" s="394"/>
    </row>
    <row r="230">
      <c r="A230" s="266" t="s">
        <v>1688</v>
      </c>
      <c r="B230" s="48">
        <v>1200.0</v>
      </c>
      <c r="C230" s="266" t="s">
        <v>5231</v>
      </c>
      <c r="D230" s="452" t="str">
        <f t="shared" si="30"/>
        <v>Asus</v>
      </c>
      <c r="E230" s="174" t="s">
        <v>5731</v>
      </c>
      <c r="F230" s="266">
        <v>226.0</v>
      </c>
      <c r="G230" s="266">
        <v>203.0</v>
      </c>
      <c r="H230" s="266">
        <v>3.0</v>
      </c>
      <c r="I230" s="266" t="s">
        <v>166</v>
      </c>
      <c r="J230" s="266">
        <v>2.0</v>
      </c>
      <c r="K230" s="266" t="s">
        <v>166</v>
      </c>
      <c r="L230" s="266" t="s">
        <v>166</v>
      </c>
      <c r="M230" s="266">
        <v>1.0</v>
      </c>
      <c r="N230" s="266" t="s">
        <v>166</v>
      </c>
      <c r="O230" s="266" t="s">
        <v>166</v>
      </c>
      <c r="P230" s="266" t="s">
        <v>166</v>
      </c>
      <c r="Q230" s="266" t="s">
        <v>166</v>
      </c>
      <c r="R230" s="266">
        <v>2.0</v>
      </c>
      <c r="S230" s="266" t="s">
        <v>3149</v>
      </c>
      <c r="T230" s="266">
        <v>64.0</v>
      </c>
      <c r="U230" s="266">
        <v>2933.0</v>
      </c>
      <c r="V230" s="266">
        <v>4.0</v>
      </c>
      <c r="W230" s="710" t="s">
        <v>4950</v>
      </c>
      <c r="X230" s="266">
        <v>2.0</v>
      </c>
      <c r="Y230" s="266">
        <v>2.0</v>
      </c>
      <c r="Z230" s="266" t="s">
        <v>166</v>
      </c>
      <c r="AA230" s="266" t="s">
        <v>166</v>
      </c>
      <c r="AB230" s="266" t="s">
        <v>166</v>
      </c>
      <c r="AC230" s="266" t="s">
        <v>166</v>
      </c>
      <c r="AD230" s="266" t="s">
        <v>166</v>
      </c>
      <c r="AE230" s="266" t="s">
        <v>166</v>
      </c>
      <c r="AF230" s="266">
        <f t="shared" si="1"/>
        <v>4</v>
      </c>
      <c r="AG230" s="266">
        <v>2.0</v>
      </c>
      <c r="AH230" s="266">
        <v>1.0</v>
      </c>
      <c r="AI230" s="266" t="s">
        <v>166</v>
      </c>
      <c r="AJ230" s="266">
        <v>1.0</v>
      </c>
      <c r="AK230" s="48" t="s">
        <v>4959</v>
      </c>
      <c r="AL230" s="48">
        <v>1.0</v>
      </c>
      <c r="AM230" s="48" t="s">
        <v>166</v>
      </c>
      <c r="AN230" s="48" t="s">
        <v>166</v>
      </c>
      <c r="AO230" s="48" t="s">
        <v>166</v>
      </c>
      <c r="AP230" s="266" t="s">
        <v>166</v>
      </c>
      <c r="AQ230" s="266" t="s">
        <v>166</v>
      </c>
      <c r="AR230" s="48" t="s">
        <v>4960</v>
      </c>
      <c r="AS230" s="266" t="s">
        <v>166</v>
      </c>
      <c r="AT230" s="266">
        <v>3.0</v>
      </c>
      <c r="AU230" s="266">
        <v>2.0</v>
      </c>
      <c r="AV230" s="266" t="s">
        <v>166</v>
      </c>
      <c r="AW230" s="266">
        <v>1.0</v>
      </c>
      <c r="AX230" s="266" t="s">
        <v>166</v>
      </c>
      <c r="AY230" s="266">
        <v>1.0</v>
      </c>
      <c r="AZ230" s="266">
        <v>2.0</v>
      </c>
      <c r="BA230" s="266" t="s">
        <v>166</v>
      </c>
      <c r="BB230" s="266" t="s">
        <v>166</v>
      </c>
      <c r="BC230" s="266" t="s">
        <v>166</v>
      </c>
      <c r="BD230" s="266" t="s">
        <v>166</v>
      </c>
      <c r="BE230" s="48" t="s">
        <v>5201</v>
      </c>
      <c r="BF230" s="48" t="s">
        <v>4973</v>
      </c>
      <c r="BG230" s="48" t="s">
        <v>4955</v>
      </c>
      <c r="BH230" s="48">
        <v>6.0</v>
      </c>
      <c r="BI230" s="698" t="s">
        <v>5729</v>
      </c>
      <c r="BJ230" s="698"/>
      <c r="BK230" s="394"/>
      <c r="BL230" s="394"/>
      <c r="BM230" s="394"/>
      <c r="BN230" s="394"/>
      <c r="BO230" s="394"/>
      <c r="BP230" s="394"/>
    </row>
    <row r="231">
      <c r="A231" s="266" t="s">
        <v>1688</v>
      </c>
      <c r="B231" s="48">
        <v>1200.0</v>
      </c>
      <c r="C231" s="266" t="s">
        <v>5231</v>
      </c>
      <c r="D231" s="452" t="str">
        <f t="shared" si="30"/>
        <v>Asus</v>
      </c>
      <c r="E231" s="174" t="s">
        <v>5732</v>
      </c>
      <c r="F231" s="266">
        <v>226.0</v>
      </c>
      <c r="G231" s="266">
        <v>203.0</v>
      </c>
      <c r="H231" s="266">
        <v>3.0</v>
      </c>
      <c r="I231" s="266" t="s">
        <v>166</v>
      </c>
      <c r="J231" s="266">
        <v>2.0</v>
      </c>
      <c r="K231" s="266" t="s">
        <v>166</v>
      </c>
      <c r="L231" s="266" t="s">
        <v>166</v>
      </c>
      <c r="M231" s="266">
        <v>1.0</v>
      </c>
      <c r="N231" s="266" t="s">
        <v>166</v>
      </c>
      <c r="O231" s="266" t="s">
        <v>166</v>
      </c>
      <c r="P231" s="266" t="s">
        <v>166</v>
      </c>
      <c r="Q231" s="266" t="s">
        <v>166</v>
      </c>
      <c r="R231" s="266">
        <v>2.0</v>
      </c>
      <c r="S231" s="266" t="s">
        <v>3149</v>
      </c>
      <c r="T231" s="266">
        <v>64.0</v>
      </c>
      <c r="U231" s="266">
        <v>2933.0</v>
      </c>
      <c r="V231" s="266">
        <v>4.0</v>
      </c>
      <c r="W231" s="749" t="s">
        <v>166</v>
      </c>
      <c r="X231" s="266">
        <v>4.0</v>
      </c>
      <c r="Y231" s="266">
        <v>2.0</v>
      </c>
      <c r="Z231" s="266" t="s">
        <v>166</v>
      </c>
      <c r="AA231" s="266" t="s">
        <v>166</v>
      </c>
      <c r="AB231" s="266" t="s">
        <v>166</v>
      </c>
      <c r="AC231" s="266" t="s">
        <v>166</v>
      </c>
      <c r="AD231" s="266" t="s">
        <v>166</v>
      </c>
      <c r="AE231" s="266" t="s">
        <v>166</v>
      </c>
      <c r="AF231" s="266">
        <f t="shared" si="1"/>
        <v>6</v>
      </c>
      <c r="AG231" s="266">
        <v>1.0</v>
      </c>
      <c r="AH231" s="266">
        <v>1.0</v>
      </c>
      <c r="AI231" s="266" t="s">
        <v>166</v>
      </c>
      <c r="AJ231" s="266">
        <v>1.0</v>
      </c>
      <c r="AK231" s="48" t="s">
        <v>4959</v>
      </c>
      <c r="AL231" s="48">
        <v>1.0</v>
      </c>
      <c r="AM231" s="48" t="s">
        <v>166</v>
      </c>
      <c r="AN231" s="48" t="s">
        <v>166</v>
      </c>
      <c r="AO231" s="48" t="s">
        <v>166</v>
      </c>
      <c r="AP231" s="266" t="s">
        <v>166</v>
      </c>
      <c r="AQ231" s="266" t="s">
        <v>166</v>
      </c>
      <c r="AR231" s="48" t="s">
        <v>4960</v>
      </c>
      <c r="AS231" s="266" t="s">
        <v>166</v>
      </c>
      <c r="AT231" s="266">
        <v>3.0</v>
      </c>
      <c r="AU231" s="266">
        <v>2.0</v>
      </c>
      <c r="AV231" s="266" t="s">
        <v>166</v>
      </c>
      <c r="AW231" s="266" t="s">
        <v>166</v>
      </c>
      <c r="AX231" s="266">
        <v>1.0</v>
      </c>
      <c r="AY231" s="266">
        <v>1.0</v>
      </c>
      <c r="AZ231" s="266">
        <v>2.0</v>
      </c>
      <c r="BA231" s="266" t="s">
        <v>166</v>
      </c>
      <c r="BB231" s="266" t="s">
        <v>166</v>
      </c>
      <c r="BC231" s="266" t="s">
        <v>166</v>
      </c>
      <c r="BD231" s="266" t="s">
        <v>166</v>
      </c>
      <c r="BE231" s="48" t="s">
        <v>5201</v>
      </c>
      <c r="BF231" s="48" t="s">
        <v>4973</v>
      </c>
      <c r="BG231" s="48" t="s">
        <v>4955</v>
      </c>
      <c r="BH231" s="48">
        <v>6.0</v>
      </c>
      <c r="BI231" s="698" t="s">
        <v>5729</v>
      </c>
      <c r="BJ231" s="698"/>
      <c r="BK231" s="394"/>
      <c r="BL231" s="394"/>
      <c r="BM231" s="394"/>
      <c r="BN231" s="394"/>
      <c r="BO231" s="394"/>
      <c r="BP231" s="394"/>
    </row>
    <row r="232">
      <c r="A232" s="266" t="s">
        <v>1688</v>
      </c>
      <c r="B232" s="48">
        <v>1200.0</v>
      </c>
      <c r="C232" s="266" t="s">
        <v>5231</v>
      </c>
      <c r="D232" s="452" t="str">
        <f t="shared" si="30"/>
        <v>Asus</v>
      </c>
      <c r="E232" s="174" t="s">
        <v>5733</v>
      </c>
      <c r="F232" s="266">
        <v>244.0</v>
      </c>
      <c r="G232" s="266">
        <v>208.0</v>
      </c>
      <c r="H232" s="266">
        <v>3.0</v>
      </c>
      <c r="I232" s="266">
        <v>2.0</v>
      </c>
      <c r="J232" s="266">
        <v>1.0</v>
      </c>
      <c r="K232" s="266" t="s">
        <v>166</v>
      </c>
      <c r="L232" s="266" t="s">
        <v>166</v>
      </c>
      <c r="M232" s="266">
        <v>1.0</v>
      </c>
      <c r="N232" s="266" t="s">
        <v>166</v>
      </c>
      <c r="O232" s="266" t="s">
        <v>166</v>
      </c>
      <c r="P232" s="266" t="s">
        <v>166</v>
      </c>
      <c r="Q232" s="266" t="s">
        <v>166</v>
      </c>
      <c r="R232" s="266">
        <v>2.0</v>
      </c>
      <c r="S232" s="266" t="s">
        <v>3149</v>
      </c>
      <c r="T232" s="266">
        <v>64.0</v>
      </c>
      <c r="U232" s="266">
        <v>2933.0</v>
      </c>
      <c r="V232" s="266">
        <v>4.0</v>
      </c>
      <c r="W232" s="710" t="s">
        <v>4950</v>
      </c>
      <c r="X232" s="266">
        <v>2.0</v>
      </c>
      <c r="Y232" s="266">
        <v>2.0</v>
      </c>
      <c r="Z232" s="266" t="s">
        <v>166</v>
      </c>
      <c r="AA232" s="266" t="s">
        <v>166</v>
      </c>
      <c r="AB232" s="266" t="s">
        <v>166</v>
      </c>
      <c r="AC232" s="266" t="s">
        <v>166</v>
      </c>
      <c r="AD232" s="266" t="s">
        <v>166</v>
      </c>
      <c r="AE232" s="266" t="s">
        <v>166</v>
      </c>
      <c r="AF232" s="266">
        <f t="shared" si="1"/>
        <v>4</v>
      </c>
      <c r="AG232" s="266">
        <v>2.0</v>
      </c>
      <c r="AH232" s="266">
        <v>1.0</v>
      </c>
      <c r="AI232" s="266" t="s">
        <v>166</v>
      </c>
      <c r="AJ232" s="266">
        <v>1.0</v>
      </c>
      <c r="AK232" s="48" t="s">
        <v>5133</v>
      </c>
      <c r="AL232" s="48">
        <v>1.0</v>
      </c>
      <c r="AM232" s="48" t="s">
        <v>166</v>
      </c>
      <c r="AN232" s="48" t="s">
        <v>166</v>
      </c>
      <c r="AO232" s="48" t="s">
        <v>166</v>
      </c>
      <c r="AP232" s="266" t="s">
        <v>166</v>
      </c>
      <c r="AQ232" s="266" t="s">
        <v>166</v>
      </c>
      <c r="AR232" s="48" t="s">
        <v>4960</v>
      </c>
      <c r="AS232" s="266" t="s">
        <v>166</v>
      </c>
      <c r="AT232" s="266">
        <v>3.0</v>
      </c>
      <c r="AU232" s="266">
        <v>2.0</v>
      </c>
      <c r="AV232" s="266" t="s">
        <v>166</v>
      </c>
      <c r="AW232" s="266">
        <v>1.0</v>
      </c>
      <c r="AX232" s="266">
        <v>1.0</v>
      </c>
      <c r="AY232" s="266">
        <v>1.0</v>
      </c>
      <c r="AZ232" s="266">
        <v>2.0</v>
      </c>
      <c r="BA232" s="266" t="s">
        <v>166</v>
      </c>
      <c r="BB232" s="266" t="s">
        <v>166</v>
      </c>
      <c r="BC232" s="266" t="s">
        <v>166</v>
      </c>
      <c r="BD232" s="266" t="s">
        <v>166</v>
      </c>
      <c r="BE232" s="48" t="s">
        <v>5201</v>
      </c>
      <c r="BF232" s="48" t="s">
        <v>4973</v>
      </c>
      <c r="BG232" s="48" t="s">
        <v>4955</v>
      </c>
      <c r="BH232" s="48">
        <v>6.0</v>
      </c>
      <c r="BI232" s="698" t="s">
        <v>5729</v>
      </c>
      <c r="BJ232" s="698"/>
      <c r="BK232" s="394"/>
      <c r="BL232" s="394"/>
      <c r="BM232" s="394"/>
      <c r="BN232" s="394"/>
      <c r="BO232" s="394"/>
      <c r="BP232" s="394"/>
    </row>
    <row r="233">
      <c r="A233" s="266" t="s">
        <v>1688</v>
      </c>
      <c r="B233" s="48">
        <v>1200.0</v>
      </c>
      <c r="C233" s="266" t="s">
        <v>5231</v>
      </c>
      <c r="D233" s="452" t="str">
        <f t="shared" ref="D233:D234" si="31">HYPERLINK("https://www.biostar.com.tw/app/en/","Biostar")</f>
        <v>Biostar</v>
      </c>
      <c r="E233" s="174" t="str">
        <f>HYPERLINK("https://www.biostar.com.tw/app/en/mb/introduction.php?S_ID=982","H410MH")</f>
        <v>H410MH</v>
      </c>
      <c r="F233" s="266">
        <v>226.0</v>
      </c>
      <c r="G233" s="266">
        <v>179.0</v>
      </c>
      <c r="H233" s="266">
        <v>3.0</v>
      </c>
      <c r="I233" s="266" t="s">
        <v>166</v>
      </c>
      <c r="J233" s="266">
        <v>2.0</v>
      </c>
      <c r="K233" s="266" t="s">
        <v>166</v>
      </c>
      <c r="L233" s="266" t="s">
        <v>166</v>
      </c>
      <c r="M233" s="266">
        <v>1.0</v>
      </c>
      <c r="N233" s="266" t="s">
        <v>166</v>
      </c>
      <c r="O233" s="266" t="s">
        <v>166</v>
      </c>
      <c r="P233" s="266" t="s">
        <v>166</v>
      </c>
      <c r="Q233" s="266" t="s">
        <v>166</v>
      </c>
      <c r="R233" s="266">
        <v>2.0</v>
      </c>
      <c r="S233" s="266" t="s">
        <v>3149</v>
      </c>
      <c r="T233" s="266">
        <v>64.0</v>
      </c>
      <c r="U233" s="266">
        <v>2933.0</v>
      </c>
      <c r="V233" s="266">
        <v>4.0</v>
      </c>
      <c r="W233" s="710" t="s">
        <v>4950</v>
      </c>
      <c r="X233" s="266">
        <v>4.0</v>
      </c>
      <c r="Y233" s="266">
        <v>2.0</v>
      </c>
      <c r="Z233" s="266" t="s">
        <v>166</v>
      </c>
      <c r="AA233" s="266" t="s">
        <v>166</v>
      </c>
      <c r="AB233" s="266" t="s">
        <v>166</v>
      </c>
      <c r="AC233" s="266" t="s">
        <v>166</v>
      </c>
      <c r="AD233" s="266" t="s">
        <v>166</v>
      </c>
      <c r="AE233" s="266" t="s">
        <v>166</v>
      </c>
      <c r="AF233" s="266">
        <f t="shared" si="1"/>
        <v>6</v>
      </c>
      <c r="AG233" s="266">
        <v>1.0</v>
      </c>
      <c r="AH233" s="266">
        <v>1.0</v>
      </c>
      <c r="AI233" s="266" t="s">
        <v>166</v>
      </c>
      <c r="AJ233" s="266">
        <v>1.0</v>
      </c>
      <c r="AK233" s="48" t="s">
        <v>4959</v>
      </c>
      <c r="AL233" s="48">
        <v>1.0</v>
      </c>
      <c r="AM233" s="48" t="s">
        <v>166</v>
      </c>
      <c r="AN233" s="48" t="s">
        <v>166</v>
      </c>
      <c r="AO233" s="48" t="s">
        <v>166</v>
      </c>
      <c r="AP233" s="266" t="s">
        <v>166</v>
      </c>
      <c r="AQ233" s="266" t="s">
        <v>166</v>
      </c>
      <c r="AR233" s="48" t="s">
        <v>4960</v>
      </c>
      <c r="AS233" s="266" t="s">
        <v>166</v>
      </c>
      <c r="AT233" s="266">
        <v>3.0</v>
      </c>
      <c r="AU233" s="266">
        <v>2.0</v>
      </c>
      <c r="AV233" s="266" t="s">
        <v>166</v>
      </c>
      <c r="AW233" s="266">
        <v>1.0</v>
      </c>
      <c r="AX233" s="266" t="s">
        <v>166</v>
      </c>
      <c r="AY233" s="266">
        <v>1.0</v>
      </c>
      <c r="AZ233" s="266">
        <v>2.0</v>
      </c>
      <c r="BA233" s="266" t="s">
        <v>166</v>
      </c>
      <c r="BB233" s="266" t="s">
        <v>166</v>
      </c>
      <c r="BC233" s="266" t="s">
        <v>166</v>
      </c>
      <c r="BD233" s="266" t="s">
        <v>166</v>
      </c>
      <c r="BE233" s="48" t="s">
        <v>170</v>
      </c>
      <c r="BF233" s="48" t="s">
        <v>5017</v>
      </c>
      <c r="BG233" s="48" t="s">
        <v>4963</v>
      </c>
      <c r="BH233" s="48">
        <v>4.0</v>
      </c>
      <c r="BI233" s="698" t="s">
        <v>170</v>
      </c>
      <c r="BJ233" s="698"/>
      <c r="BK233" s="394"/>
      <c r="BL233" s="394"/>
      <c r="BM233" s="394"/>
      <c r="BN233" s="394"/>
      <c r="BO233" s="394"/>
      <c r="BP233" s="394"/>
    </row>
    <row r="234">
      <c r="A234" s="266" t="s">
        <v>1688</v>
      </c>
      <c r="B234" s="48">
        <v>1200.0</v>
      </c>
      <c r="C234" s="266" t="s">
        <v>5231</v>
      </c>
      <c r="D234" s="452" t="str">
        <f t="shared" si="31"/>
        <v>Biostar</v>
      </c>
      <c r="E234" s="174" t="str">
        <f>HYPERLINK("https://www.biostar.com.tw/app/en/mb/introduction.php?S_ID=983","H410MHG")</f>
        <v>H410MHG</v>
      </c>
      <c r="F234" s="266">
        <v>244.0</v>
      </c>
      <c r="G234" s="266">
        <v>191.0</v>
      </c>
      <c r="H234" s="266">
        <v>3.0</v>
      </c>
      <c r="I234" s="266">
        <v>1.0</v>
      </c>
      <c r="J234" s="266">
        <v>2.0</v>
      </c>
      <c r="K234" s="266" t="s">
        <v>166</v>
      </c>
      <c r="L234" s="266" t="s">
        <v>166</v>
      </c>
      <c r="M234" s="266">
        <v>1.0</v>
      </c>
      <c r="N234" s="266" t="s">
        <v>166</v>
      </c>
      <c r="O234" s="266" t="s">
        <v>166</v>
      </c>
      <c r="P234" s="266" t="s">
        <v>166</v>
      </c>
      <c r="Q234" s="266" t="s">
        <v>166</v>
      </c>
      <c r="R234" s="266">
        <v>2.0</v>
      </c>
      <c r="S234" s="266" t="s">
        <v>3149</v>
      </c>
      <c r="T234" s="266">
        <v>64.0</v>
      </c>
      <c r="U234" s="266">
        <v>2933.0</v>
      </c>
      <c r="V234" s="266">
        <v>4.0</v>
      </c>
      <c r="W234" s="710" t="s">
        <v>4950</v>
      </c>
      <c r="X234" s="266">
        <v>4.0</v>
      </c>
      <c r="Y234" s="266">
        <v>2.0</v>
      </c>
      <c r="Z234" s="266" t="s">
        <v>166</v>
      </c>
      <c r="AA234" s="266" t="s">
        <v>166</v>
      </c>
      <c r="AB234" s="266" t="s">
        <v>166</v>
      </c>
      <c r="AC234" s="266" t="s">
        <v>166</v>
      </c>
      <c r="AD234" s="266" t="s">
        <v>166</v>
      </c>
      <c r="AE234" s="266" t="s">
        <v>166</v>
      </c>
      <c r="AF234" s="266">
        <f t="shared" si="1"/>
        <v>6</v>
      </c>
      <c r="AG234" s="266">
        <v>2.0</v>
      </c>
      <c r="AH234" s="266">
        <v>1.0</v>
      </c>
      <c r="AI234" s="266" t="s">
        <v>166</v>
      </c>
      <c r="AJ234" s="266">
        <v>1.0</v>
      </c>
      <c r="AK234" s="48" t="s">
        <v>4959</v>
      </c>
      <c r="AL234" s="48">
        <v>1.0</v>
      </c>
      <c r="AM234" s="48" t="s">
        <v>166</v>
      </c>
      <c r="AN234" s="48" t="s">
        <v>166</v>
      </c>
      <c r="AO234" s="48" t="s">
        <v>166</v>
      </c>
      <c r="AP234" s="266" t="s">
        <v>166</v>
      </c>
      <c r="AQ234" s="266" t="s">
        <v>166</v>
      </c>
      <c r="AR234" s="48" t="s">
        <v>4960</v>
      </c>
      <c r="AS234" s="266" t="s">
        <v>166</v>
      </c>
      <c r="AT234" s="266">
        <v>3.0</v>
      </c>
      <c r="AU234" s="266">
        <v>2.0</v>
      </c>
      <c r="AV234" s="266" t="s">
        <v>166</v>
      </c>
      <c r="AW234" s="266">
        <v>1.0</v>
      </c>
      <c r="AX234" s="266">
        <v>1.0</v>
      </c>
      <c r="AY234" s="266">
        <v>1.0</v>
      </c>
      <c r="AZ234" s="266">
        <v>3.0</v>
      </c>
      <c r="BA234" s="266" t="s">
        <v>166</v>
      </c>
      <c r="BB234" s="266" t="s">
        <v>166</v>
      </c>
      <c r="BC234" s="266" t="s">
        <v>166</v>
      </c>
      <c r="BD234" s="266" t="s">
        <v>166</v>
      </c>
      <c r="BE234" s="48" t="s">
        <v>5678</v>
      </c>
      <c r="BF234" s="48" t="s">
        <v>5017</v>
      </c>
      <c r="BG234" s="48" t="s">
        <v>4963</v>
      </c>
      <c r="BH234" s="48">
        <v>4.0</v>
      </c>
      <c r="BI234" s="698" t="s">
        <v>170</v>
      </c>
      <c r="BJ234" s="698"/>
      <c r="BK234" s="394"/>
      <c r="BL234" s="394"/>
      <c r="BM234" s="394"/>
      <c r="BN234" s="394"/>
      <c r="BO234" s="394"/>
      <c r="BP234" s="394"/>
    </row>
    <row r="235">
      <c r="A235" s="266" t="s">
        <v>1688</v>
      </c>
      <c r="B235" s="48">
        <v>1200.0</v>
      </c>
      <c r="C235" s="266" t="s">
        <v>5231</v>
      </c>
      <c r="D235" s="452" t="str">
        <f t="shared" ref="D235:D237" si="32">HYPERLINK("https://www.gigabyte.com/","Gigabyte")</f>
        <v>Gigabyte</v>
      </c>
      <c r="E235" s="174" t="s">
        <v>5734</v>
      </c>
      <c r="F235" s="266">
        <v>226.0</v>
      </c>
      <c r="G235" s="266">
        <v>185.0</v>
      </c>
      <c r="H235" s="266">
        <v>3.0</v>
      </c>
      <c r="I235" s="266" t="s">
        <v>166</v>
      </c>
      <c r="J235" s="266">
        <v>2.0</v>
      </c>
      <c r="K235" s="266" t="s">
        <v>166</v>
      </c>
      <c r="L235" s="266" t="s">
        <v>166</v>
      </c>
      <c r="M235" s="266">
        <v>1.0</v>
      </c>
      <c r="N235" s="266" t="s">
        <v>166</v>
      </c>
      <c r="O235" s="266" t="s">
        <v>166</v>
      </c>
      <c r="P235" s="266" t="s">
        <v>166</v>
      </c>
      <c r="Q235" s="266" t="s">
        <v>166</v>
      </c>
      <c r="R235" s="266">
        <v>2.0</v>
      </c>
      <c r="S235" s="266" t="s">
        <v>3149</v>
      </c>
      <c r="T235" s="266">
        <v>64.0</v>
      </c>
      <c r="U235" s="266">
        <v>2933.0</v>
      </c>
      <c r="V235" s="266">
        <v>4.0</v>
      </c>
      <c r="W235" s="710" t="s">
        <v>4950</v>
      </c>
      <c r="X235" s="266">
        <v>4.0</v>
      </c>
      <c r="Y235" s="266">
        <v>2.0</v>
      </c>
      <c r="Z235" s="266" t="s">
        <v>166</v>
      </c>
      <c r="AA235" s="266" t="s">
        <v>166</v>
      </c>
      <c r="AB235" s="266" t="s">
        <v>166</v>
      </c>
      <c r="AC235" s="266" t="s">
        <v>166</v>
      </c>
      <c r="AD235" s="266" t="s">
        <v>166</v>
      </c>
      <c r="AE235" s="266" t="s">
        <v>166</v>
      </c>
      <c r="AF235" s="266">
        <f t="shared" si="1"/>
        <v>6</v>
      </c>
      <c r="AG235" s="266">
        <v>1.0</v>
      </c>
      <c r="AH235" s="266">
        <v>1.0</v>
      </c>
      <c r="AI235" s="266" t="s">
        <v>166</v>
      </c>
      <c r="AJ235" s="266">
        <v>1.0</v>
      </c>
      <c r="AK235" s="48" t="s">
        <v>5536</v>
      </c>
      <c r="AL235" s="48">
        <v>1.0</v>
      </c>
      <c r="AM235" s="48" t="s">
        <v>166</v>
      </c>
      <c r="AN235" s="48" t="s">
        <v>166</v>
      </c>
      <c r="AO235" s="48" t="s">
        <v>166</v>
      </c>
      <c r="AP235" s="266" t="s">
        <v>166</v>
      </c>
      <c r="AQ235" s="266" t="s">
        <v>166</v>
      </c>
      <c r="AR235" s="48" t="s">
        <v>4960</v>
      </c>
      <c r="AS235" s="266" t="s">
        <v>166</v>
      </c>
      <c r="AT235" s="266">
        <v>3.0</v>
      </c>
      <c r="AU235" s="266">
        <v>1.0</v>
      </c>
      <c r="AV235" s="266" t="s">
        <v>166</v>
      </c>
      <c r="AW235" s="266" t="s">
        <v>166</v>
      </c>
      <c r="AX235" s="266">
        <v>1.0</v>
      </c>
      <c r="AY235" s="266">
        <v>1.0</v>
      </c>
      <c r="AZ235" s="266">
        <v>2.0</v>
      </c>
      <c r="BA235" s="266">
        <v>1.0</v>
      </c>
      <c r="BB235" s="266" t="s">
        <v>166</v>
      </c>
      <c r="BC235" s="266" t="s">
        <v>166</v>
      </c>
      <c r="BD235" s="266" t="s">
        <v>166</v>
      </c>
      <c r="BE235" s="48" t="s">
        <v>5735</v>
      </c>
      <c r="BF235" s="48" t="s">
        <v>5017</v>
      </c>
      <c r="BG235" s="48" t="s">
        <v>4963</v>
      </c>
      <c r="BH235" s="48">
        <v>4.0</v>
      </c>
      <c r="BI235" s="698" t="s">
        <v>5205</v>
      </c>
      <c r="BJ235" s="698"/>
      <c r="BK235" s="394"/>
      <c r="BL235" s="394"/>
      <c r="BM235" s="394"/>
      <c r="BN235" s="394"/>
      <c r="BO235" s="394"/>
      <c r="BP235" s="394"/>
    </row>
    <row r="236">
      <c r="A236" s="266" t="s">
        <v>1688</v>
      </c>
      <c r="B236" s="48">
        <v>1200.0</v>
      </c>
      <c r="C236" s="266" t="s">
        <v>5231</v>
      </c>
      <c r="D236" s="452" t="str">
        <f t="shared" si="32"/>
        <v>Gigabyte</v>
      </c>
      <c r="E236" s="174" t="s">
        <v>5736</v>
      </c>
      <c r="F236" s="266">
        <v>226.0</v>
      </c>
      <c r="G236" s="266">
        <v>174.0</v>
      </c>
      <c r="H236" s="266">
        <v>3.0</v>
      </c>
      <c r="I236" s="266" t="s">
        <v>166</v>
      </c>
      <c r="J236" s="266">
        <v>2.0</v>
      </c>
      <c r="K236" s="266" t="s">
        <v>166</v>
      </c>
      <c r="L236" s="266" t="s">
        <v>166</v>
      </c>
      <c r="M236" s="266">
        <v>1.0</v>
      </c>
      <c r="N236" s="266" t="s">
        <v>166</v>
      </c>
      <c r="O236" s="266" t="s">
        <v>166</v>
      </c>
      <c r="P236" s="266" t="s">
        <v>166</v>
      </c>
      <c r="Q236" s="266" t="s">
        <v>166</v>
      </c>
      <c r="R236" s="266">
        <v>2.0</v>
      </c>
      <c r="S236" s="266" t="s">
        <v>3149</v>
      </c>
      <c r="T236" s="266">
        <v>64.0</v>
      </c>
      <c r="U236" s="266">
        <v>2933.0</v>
      </c>
      <c r="V236" s="266">
        <v>4.0</v>
      </c>
      <c r="W236" s="710" t="s">
        <v>4950</v>
      </c>
      <c r="X236" s="266">
        <v>4.0</v>
      </c>
      <c r="Y236" s="266">
        <v>2.0</v>
      </c>
      <c r="Z236" s="266" t="s">
        <v>166</v>
      </c>
      <c r="AA236" s="266" t="s">
        <v>166</v>
      </c>
      <c r="AB236" s="266" t="s">
        <v>166</v>
      </c>
      <c r="AC236" s="266" t="s">
        <v>166</v>
      </c>
      <c r="AD236" s="266" t="s">
        <v>166</v>
      </c>
      <c r="AE236" s="266" t="s">
        <v>166</v>
      </c>
      <c r="AF236" s="266">
        <f t="shared" si="1"/>
        <v>6</v>
      </c>
      <c r="AG236" s="266">
        <v>1.0</v>
      </c>
      <c r="AH236" s="266">
        <v>1.0</v>
      </c>
      <c r="AI236" s="266" t="s">
        <v>166</v>
      </c>
      <c r="AJ236" s="266">
        <v>1.0</v>
      </c>
      <c r="AK236" s="48" t="s">
        <v>5536</v>
      </c>
      <c r="AL236" s="48">
        <v>1.0</v>
      </c>
      <c r="AM236" s="48" t="s">
        <v>166</v>
      </c>
      <c r="AN236" s="48" t="s">
        <v>166</v>
      </c>
      <c r="AO236" s="48" t="s">
        <v>166</v>
      </c>
      <c r="AP236" s="266" t="s">
        <v>166</v>
      </c>
      <c r="AQ236" s="266" t="s">
        <v>166</v>
      </c>
      <c r="AR236" s="48" t="s">
        <v>4960</v>
      </c>
      <c r="AS236" s="266" t="s">
        <v>166</v>
      </c>
      <c r="AT236" s="266">
        <v>3.0</v>
      </c>
      <c r="AU236" s="266">
        <v>1.0</v>
      </c>
      <c r="AV236" s="266" t="s">
        <v>166</v>
      </c>
      <c r="AW236" s="266">
        <v>1.0</v>
      </c>
      <c r="AX236" s="266" t="s">
        <v>166</v>
      </c>
      <c r="AY236" s="266">
        <v>1.0</v>
      </c>
      <c r="AZ236" s="266">
        <v>2.0</v>
      </c>
      <c r="BA236" s="266">
        <v>1.0</v>
      </c>
      <c r="BB236" s="266" t="s">
        <v>166</v>
      </c>
      <c r="BC236" s="266" t="s">
        <v>166</v>
      </c>
      <c r="BD236" s="266" t="s">
        <v>166</v>
      </c>
      <c r="BE236" s="48" t="s">
        <v>5735</v>
      </c>
      <c r="BF236" s="48" t="s">
        <v>5135</v>
      </c>
      <c r="BG236" s="48" t="s">
        <v>4963</v>
      </c>
      <c r="BH236" s="48">
        <v>3.0</v>
      </c>
      <c r="BI236" s="698" t="s">
        <v>170</v>
      </c>
      <c r="BJ236" s="698"/>
      <c r="BK236" s="394"/>
      <c r="BL236" s="394"/>
      <c r="BM236" s="394"/>
      <c r="BN236" s="394"/>
      <c r="BO236" s="394"/>
      <c r="BP236" s="394"/>
    </row>
    <row r="237">
      <c r="A237" s="266" t="s">
        <v>1688</v>
      </c>
      <c r="B237" s="48">
        <v>1200.0</v>
      </c>
      <c r="C237" s="266" t="s">
        <v>5231</v>
      </c>
      <c r="D237" s="452" t="str">
        <f t="shared" si="32"/>
        <v>Gigabyte</v>
      </c>
      <c r="E237" s="174" t="s">
        <v>5737</v>
      </c>
      <c r="F237" s="266">
        <v>226.0</v>
      </c>
      <c r="G237" s="266">
        <v>185.0</v>
      </c>
      <c r="H237" s="266">
        <v>3.0</v>
      </c>
      <c r="I237" s="266" t="s">
        <v>166</v>
      </c>
      <c r="J237" s="266">
        <v>2.0</v>
      </c>
      <c r="K237" s="266" t="s">
        <v>166</v>
      </c>
      <c r="L237" s="266" t="s">
        <v>166</v>
      </c>
      <c r="M237" s="266">
        <v>1.0</v>
      </c>
      <c r="N237" s="266" t="s">
        <v>166</v>
      </c>
      <c r="O237" s="266" t="s">
        <v>166</v>
      </c>
      <c r="P237" s="266" t="s">
        <v>166</v>
      </c>
      <c r="Q237" s="266" t="s">
        <v>166</v>
      </c>
      <c r="R237" s="266">
        <v>2.0</v>
      </c>
      <c r="S237" s="266" t="s">
        <v>3149</v>
      </c>
      <c r="T237" s="266">
        <v>64.0</v>
      </c>
      <c r="U237" s="266">
        <v>2933.0</v>
      </c>
      <c r="V237" s="266">
        <v>4.0</v>
      </c>
      <c r="W237" s="710" t="s">
        <v>4950</v>
      </c>
      <c r="X237" s="266">
        <v>4.0</v>
      </c>
      <c r="Y237" s="266">
        <v>2.0</v>
      </c>
      <c r="Z237" s="266" t="s">
        <v>166</v>
      </c>
      <c r="AA237" s="266" t="s">
        <v>166</v>
      </c>
      <c r="AB237" s="266" t="s">
        <v>166</v>
      </c>
      <c r="AC237" s="266" t="s">
        <v>166</v>
      </c>
      <c r="AD237" s="266" t="s">
        <v>166</v>
      </c>
      <c r="AE237" s="266" t="s">
        <v>166</v>
      </c>
      <c r="AF237" s="266">
        <f t="shared" si="1"/>
        <v>6</v>
      </c>
      <c r="AG237" s="266">
        <v>1.0</v>
      </c>
      <c r="AH237" s="266">
        <v>1.0</v>
      </c>
      <c r="AI237" s="266" t="s">
        <v>166</v>
      </c>
      <c r="AJ237" s="266">
        <v>1.0</v>
      </c>
      <c r="AK237" s="48" t="s">
        <v>5536</v>
      </c>
      <c r="AL237" s="48">
        <v>1.0</v>
      </c>
      <c r="AM237" s="48" t="s">
        <v>166</v>
      </c>
      <c r="AN237" s="48" t="s">
        <v>166</v>
      </c>
      <c r="AO237" s="48" t="s">
        <v>166</v>
      </c>
      <c r="AP237" s="266" t="s">
        <v>166</v>
      </c>
      <c r="AQ237" s="266" t="s">
        <v>166</v>
      </c>
      <c r="AR237" s="48" t="s">
        <v>4960</v>
      </c>
      <c r="AS237" s="266" t="s">
        <v>166</v>
      </c>
      <c r="AT237" s="266">
        <v>3.0</v>
      </c>
      <c r="AU237" s="266">
        <v>2.0</v>
      </c>
      <c r="AV237" s="266" t="s">
        <v>166</v>
      </c>
      <c r="AW237" s="266">
        <v>1.0</v>
      </c>
      <c r="AX237" s="266">
        <v>1.0</v>
      </c>
      <c r="AY237" s="266">
        <v>1.0</v>
      </c>
      <c r="AZ237" s="266">
        <v>2.0</v>
      </c>
      <c r="BA237" s="266">
        <v>1.0</v>
      </c>
      <c r="BB237" s="266" t="s">
        <v>166</v>
      </c>
      <c r="BC237" s="266" t="s">
        <v>166</v>
      </c>
      <c r="BD237" s="266" t="s">
        <v>166</v>
      </c>
      <c r="BE237" s="48" t="s">
        <v>5735</v>
      </c>
      <c r="BF237" s="48" t="s">
        <v>5017</v>
      </c>
      <c r="BG237" s="48" t="s">
        <v>4963</v>
      </c>
      <c r="BH237" s="48">
        <v>4.0</v>
      </c>
      <c r="BI237" s="698" t="s">
        <v>170</v>
      </c>
      <c r="BJ237" s="698"/>
      <c r="BK237" s="394"/>
      <c r="BL237" s="394"/>
      <c r="BM237" s="394"/>
      <c r="BN237" s="394"/>
      <c r="BO237" s="394"/>
      <c r="BP237" s="394"/>
    </row>
    <row r="238">
      <c r="A238" s="266" t="s">
        <v>1688</v>
      </c>
      <c r="B238" s="48">
        <v>1200.0</v>
      </c>
      <c r="C238" s="266" t="s">
        <v>5231</v>
      </c>
      <c r="D238" s="452" t="str">
        <f t="shared" ref="D238:D239" si="33">HYPERLINK("https://www.msi.com/index.php","MSI")</f>
        <v>MSI</v>
      </c>
      <c r="E238" s="174" t="s">
        <v>5738</v>
      </c>
      <c r="F238" s="266">
        <v>236.0</v>
      </c>
      <c r="G238" s="266">
        <v>190.0</v>
      </c>
      <c r="H238" s="266">
        <v>3.0</v>
      </c>
      <c r="I238" s="266" t="s">
        <v>166</v>
      </c>
      <c r="J238" s="266">
        <v>1.0</v>
      </c>
      <c r="K238" s="266" t="s">
        <v>166</v>
      </c>
      <c r="L238" s="266" t="s">
        <v>166</v>
      </c>
      <c r="M238" s="266">
        <v>1.0</v>
      </c>
      <c r="N238" s="266" t="s">
        <v>166</v>
      </c>
      <c r="O238" s="266" t="s">
        <v>166</v>
      </c>
      <c r="P238" s="266" t="s">
        <v>166</v>
      </c>
      <c r="Q238" s="266" t="s">
        <v>166</v>
      </c>
      <c r="R238" s="266">
        <v>2.0</v>
      </c>
      <c r="S238" s="266" t="s">
        <v>3149</v>
      </c>
      <c r="T238" s="266">
        <v>64.0</v>
      </c>
      <c r="U238" s="266">
        <v>2933.0</v>
      </c>
      <c r="V238" s="266">
        <v>4.0</v>
      </c>
      <c r="W238" s="710" t="s">
        <v>4950</v>
      </c>
      <c r="X238" s="266">
        <v>4.0</v>
      </c>
      <c r="Y238" s="266">
        <v>2.0</v>
      </c>
      <c r="Z238" s="266" t="s">
        <v>166</v>
      </c>
      <c r="AA238" s="266" t="s">
        <v>166</v>
      </c>
      <c r="AB238" s="266" t="s">
        <v>166</v>
      </c>
      <c r="AC238" s="266" t="s">
        <v>166</v>
      </c>
      <c r="AD238" s="266" t="s">
        <v>166</v>
      </c>
      <c r="AE238" s="266" t="s">
        <v>166</v>
      </c>
      <c r="AF238" s="266">
        <f t="shared" si="1"/>
        <v>6</v>
      </c>
      <c r="AG238" s="266">
        <v>1.0</v>
      </c>
      <c r="AH238" s="266">
        <v>1.0</v>
      </c>
      <c r="AI238" s="266" t="s">
        <v>166</v>
      </c>
      <c r="AJ238" s="266">
        <v>1.0</v>
      </c>
      <c r="AK238" s="48" t="s">
        <v>5133</v>
      </c>
      <c r="AL238" s="48">
        <v>1.0</v>
      </c>
      <c r="AM238" s="48">
        <v>1.0</v>
      </c>
      <c r="AN238" s="48" t="s">
        <v>166</v>
      </c>
      <c r="AO238" s="48" t="s">
        <v>232</v>
      </c>
      <c r="AP238" s="266" t="s">
        <v>166</v>
      </c>
      <c r="AQ238" s="266" t="s">
        <v>166</v>
      </c>
      <c r="AR238" s="48" t="s">
        <v>4977</v>
      </c>
      <c r="AS238" s="266" t="s">
        <v>166</v>
      </c>
      <c r="AT238" s="266">
        <v>3.0</v>
      </c>
      <c r="AU238" s="266">
        <v>1.0</v>
      </c>
      <c r="AV238" s="266" t="s">
        <v>166</v>
      </c>
      <c r="AW238" s="266">
        <v>1.0</v>
      </c>
      <c r="AX238" s="266">
        <v>1.0</v>
      </c>
      <c r="AY238" s="266">
        <v>1.0</v>
      </c>
      <c r="AZ238" s="266">
        <v>2.0</v>
      </c>
      <c r="BA238" s="266">
        <v>1.0</v>
      </c>
      <c r="BB238" s="266">
        <v>1.0</v>
      </c>
      <c r="BC238" s="266" t="s">
        <v>174</v>
      </c>
      <c r="BD238" s="266" t="s">
        <v>166</v>
      </c>
      <c r="BE238" s="48" t="s">
        <v>5678</v>
      </c>
      <c r="BF238" s="48" t="s">
        <v>5017</v>
      </c>
      <c r="BG238" s="48" t="s">
        <v>4963</v>
      </c>
      <c r="BH238" s="48">
        <v>4.0</v>
      </c>
      <c r="BI238" s="698" t="s">
        <v>170</v>
      </c>
      <c r="BJ238" s="698"/>
      <c r="BK238" s="394"/>
      <c r="BL238" s="394"/>
      <c r="BM238" s="394"/>
      <c r="BN238" s="394"/>
      <c r="BO238" s="394"/>
      <c r="BP238" s="394"/>
    </row>
    <row r="239">
      <c r="A239" s="501" t="s">
        <v>1688</v>
      </c>
      <c r="B239" s="700">
        <v>1200.0</v>
      </c>
      <c r="C239" s="501" t="s">
        <v>5231</v>
      </c>
      <c r="D239" s="500" t="str">
        <f t="shared" si="33"/>
        <v>MSI</v>
      </c>
      <c r="E239" s="291" t="s">
        <v>5739</v>
      </c>
      <c r="F239" s="501">
        <v>236.0</v>
      </c>
      <c r="G239" s="501">
        <v>190.0</v>
      </c>
      <c r="H239" s="501">
        <v>3.0</v>
      </c>
      <c r="I239" s="501" t="s">
        <v>166</v>
      </c>
      <c r="J239" s="501">
        <v>1.0</v>
      </c>
      <c r="K239" s="501" t="s">
        <v>166</v>
      </c>
      <c r="L239" s="501" t="s">
        <v>166</v>
      </c>
      <c r="M239" s="501">
        <v>1.0</v>
      </c>
      <c r="N239" s="501" t="s">
        <v>166</v>
      </c>
      <c r="O239" s="501" t="s">
        <v>166</v>
      </c>
      <c r="P239" s="501" t="s">
        <v>166</v>
      </c>
      <c r="Q239" s="501" t="s">
        <v>166</v>
      </c>
      <c r="R239" s="501">
        <v>2.0</v>
      </c>
      <c r="S239" s="501" t="s">
        <v>3149</v>
      </c>
      <c r="T239" s="501">
        <v>64.0</v>
      </c>
      <c r="U239" s="501">
        <v>2933.0</v>
      </c>
      <c r="V239" s="501">
        <v>4.0</v>
      </c>
      <c r="W239" s="701" t="s">
        <v>4950</v>
      </c>
      <c r="X239" s="501">
        <v>4.0</v>
      </c>
      <c r="Y239" s="501">
        <v>2.0</v>
      </c>
      <c r="Z239" s="501" t="s">
        <v>166</v>
      </c>
      <c r="AA239" s="501" t="s">
        <v>166</v>
      </c>
      <c r="AB239" s="501" t="s">
        <v>166</v>
      </c>
      <c r="AC239" s="501" t="s">
        <v>166</v>
      </c>
      <c r="AD239" s="501" t="s">
        <v>166</v>
      </c>
      <c r="AE239" s="501" t="s">
        <v>166</v>
      </c>
      <c r="AF239" s="501">
        <f t="shared" si="1"/>
        <v>6</v>
      </c>
      <c r="AG239" s="501">
        <v>1.0</v>
      </c>
      <c r="AH239" s="501">
        <v>1.0</v>
      </c>
      <c r="AI239" s="501" t="s">
        <v>166</v>
      </c>
      <c r="AJ239" s="501">
        <v>1.0</v>
      </c>
      <c r="AK239" s="700" t="s">
        <v>5133</v>
      </c>
      <c r="AL239" s="700">
        <v>1.0</v>
      </c>
      <c r="AM239" s="700">
        <v>1.0</v>
      </c>
      <c r="AN239" s="700" t="s">
        <v>166</v>
      </c>
      <c r="AO239" s="700" t="s">
        <v>232</v>
      </c>
      <c r="AP239" s="501" t="s">
        <v>166</v>
      </c>
      <c r="AQ239" s="501" t="s">
        <v>166</v>
      </c>
      <c r="AR239" s="700" t="s">
        <v>4977</v>
      </c>
      <c r="AS239" s="501" t="s">
        <v>166</v>
      </c>
      <c r="AT239" s="501">
        <v>3.0</v>
      </c>
      <c r="AU239" s="501">
        <v>1.0</v>
      </c>
      <c r="AV239" s="501" t="s">
        <v>166</v>
      </c>
      <c r="AW239" s="501" t="s">
        <v>166</v>
      </c>
      <c r="AX239" s="501">
        <v>1.0</v>
      </c>
      <c r="AY239" s="501">
        <v>1.0</v>
      </c>
      <c r="AZ239" s="501">
        <v>2.0</v>
      </c>
      <c r="BA239" s="501" t="s">
        <v>166</v>
      </c>
      <c r="BB239" s="501" t="s">
        <v>166</v>
      </c>
      <c r="BC239" s="501" t="s">
        <v>174</v>
      </c>
      <c r="BD239" s="501" t="s">
        <v>166</v>
      </c>
      <c r="BE239" s="700" t="s">
        <v>5678</v>
      </c>
      <c r="BF239" s="700" t="s">
        <v>5017</v>
      </c>
      <c r="BG239" s="700" t="s">
        <v>4963</v>
      </c>
      <c r="BH239" s="700">
        <v>4.0</v>
      </c>
      <c r="BI239" s="703" t="s">
        <v>170</v>
      </c>
      <c r="BJ239" s="703"/>
      <c r="BK239" s="394"/>
      <c r="BL239" s="394"/>
      <c r="BM239" s="394"/>
      <c r="BN239" s="394"/>
      <c r="BO239" s="394"/>
      <c r="BP239" s="394"/>
    </row>
    <row r="240">
      <c r="A240" s="507" t="s">
        <v>1688</v>
      </c>
      <c r="B240" s="705">
        <v>1200.0</v>
      </c>
      <c r="C240" s="507" t="s">
        <v>5238</v>
      </c>
      <c r="D240" s="506" t="s">
        <v>169</v>
      </c>
      <c r="E240" s="282" t="str">
        <f>HYPERLINK("https://www.asrock.com/mb/Intel/B460M-HDV/index.asp","B460M-HDV")</f>
        <v>B460M-HDV</v>
      </c>
      <c r="F240" s="507">
        <v>226.0</v>
      </c>
      <c r="G240" s="507">
        <v>188.0</v>
      </c>
      <c r="H240" s="507">
        <v>3.0</v>
      </c>
      <c r="I240" s="507" t="s">
        <v>166</v>
      </c>
      <c r="J240" s="507">
        <v>2.0</v>
      </c>
      <c r="K240" s="507" t="s">
        <v>166</v>
      </c>
      <c r="L240" s="507" t="s">
        <v>166</v>
      </c>
      <c r="M240" s="507">
        <v>1.0</v>
      </c>
      <c r="N240" s="507" t="s">
        <v>166</v>
      </c>
      <c r="O240" s="507" t="s">
        <v>166</v>
      </c>
      <c r="P240" s="507" t="s">
        <v>166</v>
      </c>
      <c r="Q240" s="507" t="s">
        <v>166</v>
      </c>
      <c r="R240" s="507">
        <v>2.0</v>
      </c>
      <c r="S240" s="507" t="s">
        <v>3149</v>
      </c>
      <c r="T240" s="507">
        <v>64.0</v>
      </c>
      <c r="U240" s="507">
        <v>2933.0</v>
      </c>
      <c r="V240" s="507">
        <v>4.0</v>
      </c>
      <c r="W240" s="711" t="s">
        <v>4950</v>
      </c>
      <c r="X240" s="507">
        <v>2.0</v>
      </c>
      <c r="Y240" s="507">
        <v>4.0</v>
      </c>
      <c r="Z240" s="507" t="s">
        <v>166</v>
      </c>
      <c r="AA240" s="507" t="s">
        <v>166</v>
      </c>
      <c r="AB240" s="507" t="s">
        <v>166</v>
      </c>
      <c r="AC240" s="507" t="s">
        <v>166</v>
      </c>
      <c r="AD240" s="507" t="s">
        <v>166</v>
      </c>
      <c r="AE240" s="507" t="s">
        <v>166</v>
      </c>
      <c r="AF240" s="507">
        <f t="shared" si="1"/>
        <v>6</v>
      </c>
      <c r="AG240" s="507">
        <v>2.0</v>
      </c>
      <c r="AH240" s="507">
        <v>2.0</v>
      </c>
      <c r="AI240" s="507" t="s">
        <v>166</v>
      </c>
      <c r="AJ240" s="507">
        <v>1.0</v>
      </c>
      <c r="AK240" s="705" t="s">
        <v>5133</v>
      </c>
      <c r="AL240" s="705">
        <v>1.0</v>
      </c>
      <c r="AM240" s="705">
        <v>1.0</v>
      </c>
      <c r="AN240" s="705" t="s">
        <v>166</v>
      </c>
      <c r="AO240" s="705" t="s">
        <v>232</v>
      </c>
      <c r="AP240" s="507" t="s">
        <v>166</v>
      </c>
      <c r="AQ240" s="507" t="s">
        <v>166</v>
      </c>
      <c r="AR240" s="705" t="s">
        <v>4960</v>
      </c>
      <c r="AS240" s="507" t="s">
        <v>166</v>
      </c>
      <c r="AT240" s="507">
        <v>3.0</v>
      </c>
      <c r="AU240" s="507">
        <v>1.0</v>
      </c>
      <c r="AV240" s="507" t="s">
        <v>166</v>
      </c>
      <c r="AW240" s="507">
        <v>1.0</v>
      </c>
      <c r="AX240" s="507">
        <v>1.0</v>
      </c>
      <c r="AY240" s="507">
        <v>1.0</v>
      </c>
      <c r="AZ240" s="507">
        <v>4.0</v>
      </c>
      <c r="BA240" s="507" t="s">
        <v>166</v>
      </c>
      <c r="BB240" s="507" t="s">
        <v>166</v>
      </c>
      <c r="BC240" s="507" t="s">
        <v>166</v>
      </c>
      <c r="BD240" s="507" t="s">
        <v>166</v>
      </c>
      <c r="BE240" s="705" t="s">
        <v>5678</v>
      </c>
      <c r="BF240" s="705" t="s">
        <v>4973</v>
      </c>
      <c r="BG240" s="705" t="s">
        <v>4963</v>
      </c>
      <c r="BH240" s="705">
        <v>6.0</v>
      </c>
      <c r="BI240" s="708" t="s">
        <v>170</v>
      </c>
      <c r="BJ240" s="708"/>
      <c r="BK240" s="394"/>
      <c r="BL240" s="394"/>
      <c r="BM240" s="394"/>
      <c r="BN240" s="394"/>
      <c r="BO240" s="394"/>
      <c r="BP240" s="394"/>
    </row>
    <row r="241">
      <c r="A241" s="266" t="s">
        <v>1688</v>
      </c>
      <c r="B241" s="48">
        <v>1200.0</v>
      </c>
      <c r="C241" s="266" t="s">
        <v>5238</v>
      </c>
      <c r="D241" s="452" t="s">
        <v>169</v>
      </c>
      <c r="E241" s="174" t="str">
        <f>HYPERLINK("https://www.asrock.com/mb/Intel/B460M%20Pro4/index.asp","B460M Pro4")</f>
        <v>B460M Pro4</v>
      </c>
      <c r="F241" s="266">
        <v>244.0</v>
      </c>
      <c r="G241" s="266">
        <v>229.0</v>
      </c>
      <c r="H241" s="266">
        <v>3.0</v>
      </c>
      <c r="I241" s="266" t="s">
        <v>166</v>
      </c>
      <c r="J241" s="266">
        <v>1.0</v>
      </c>
      <c r="K241" s="266" t="s">
        <v>166</v>
      </c>
      <c r="L241" s="266" t="s">
        <v>166</v>
      </c>
      <c r="M241" s="266">
        <v>2.0</v>
      </c>
      <c r="N241" s="266" t="s">
        <v>166</v>
      </c>
      <c r="O241" s="266" t="s">
        <v>166</v>
      </c>
      <c r="P241" s="266" t="s">
        <v>166</v>
      </c>
      <c r="Q241" s="266" t="s">
        <v>166</v>
      </c>
      <c r="R241" s="266">
        <v>4.0</v>
      </c>
      <c r="S241" s="266" t="s">
        <v>3149</v>
      </c>
      <c r="T241" s="266">
        <v>128.0</v>
      </c>
      <c r="U241" s="266">
        <v>2933.0</v>
      </c>
      <c r="V241" s="266">
        <v>6.0</v>
      </c>
      <c r="W241" s="710" t="s">
        <v>5269</v>
      </c>
      <c r="X241" s="266">
        <v>2.0</v>
      </c>
      <c r="Y241" s="266">
        <v>4.0</v>
      </c>
      <c r="Z241" s="266">
        <v>1.0</v>
      </c>
      <c r="AA241" s="266" t="s">
        <v>166</v>
      </c>
      <c r="AB241" s="266" t="s">
        <v>166</v>
      </c>
      <c r="AC241" s="266" t="s">
        <v>166</v>
      </c>
      <c r="AD241" s="266" t="s">
        <v>166</v>
      </c>
      <c r="AE241" s="266" t="s">
        <v>166</v>
      </c>
      <c r="AF241" s="266">
        <f t="shared" si="1"/>
        <v>7</v>
      </c>
      <c r="AG241" s="266">
        <v>2.0</v>
      </c>
      <c r="AH241" s="266">
        <v>1.0</v>
      </c>
      <c r="AI241" s="266" t="s">
        <v>166</v>
      </c>
      <c r="AJ241" s="266">
        <v>1.0</v>
      </c>
      <c r="AK241" s="48" t="s">
        <v>5133</v>
      </c>
      <c r="AL241" s="48">
        <v>1.0</v>
      </c>
      <c r="AM241" s="48">
        <v>1.0</v>
      </c>
      <c r="AN241" s="48" t="s">
        <v>166</v>
      </c>
      <c r="AO241" s="48" t="s">
        <v>232</v>
      </c>
      <c r="AP241" s="266" t="s">
        <v>166</v>
      </c>
      <c r="AQ241" s="266" t="s">
        <v>166</v>
      </c>
      <c r="AR241" s="48" t="s">
        <v>5050</v>
      </c>
      <c r="AS241" s="266" t="s">
        <v>166</v>
      </c>
      <c r="AT241" s="266">
        <v>3.0</v>
      </c>
      <c r="AU241" s="266">
        <v>1.0</v>
      </c>
      <c r="AV241" s="266">
        <v>1.0</v>
      </c>
      <c r="AW241" s="266">
        <v>1.0</v>
      </c>
      <c r="AX241" s="266" t="s">
        <v>166</v>
      </c>
      <c r="AY241" s="266">
        <v>1.0</v>
      </c>
      <c r="AZ241" s="266">
        <v>5.0</v>
      </c>
      <c r="BA241" s="266">
        <v>2.0</v>
      </c>
      <c r="BB241" s="266">
        <v>2.0</v>
      </c>
      <c r="BC241" s="266" t="s">
        <v>174</v>
      </c>
      <c r="BD241" s="266" t="s">
        <v>166</v>
      </c>
      <c r="BE241" s="48" t="s">
        <v>170</v>
      </c>
      <c r="BF241" s="48" t="s">
        <v>5740</v>
      </c>
      <c r="BG241" s="48" t="s">
        <v>170</v>
      </c>
      <c r="BH241" s="48" t="s">
        <v>170</v>
      </c>
      <c r="BI241" s="698" t="s">
        <v>170</v>
      </c>
      <c r="BJ241" s="698"/>
      <c r="BK241" s="394"/>
      <c r="BL241" s="394"/>
      <c r="BM241" s="394"/>
      <c r="BN241" s="394"/>
      <c r="BO241" s="394"/>
      <c r="BP241" s="394"/>
    </row>
    <row r="242">
      <c r="A242" s="266" t="s">
        <v>1688</v>
      </c>
      <c r="B242" s="48">
        <v>1200.0</v>
      </c>
      <c r="C242" s="266" t="s">
        <v>5238</v>
      </c>
      <c r="D242" s="452" t="str">
        <f t="shared" ref="D242:D244" si="34">HYPERLINK("https://www.asus.com/","Asus")</f>
        <v>Asus</v>
      </c>
      <c r="E242" s="174" t="s">
        <v>5741</v>
      </c>
      <c r="F242" s="266">
        <v>226.0</v>
      </c>
      <c r="G242" s="266">
        <v>211.0</v>
      </c>
      <c r="H242" s="266">
        <v>3.0</v>
      </c>
      <c r="I242" s="266" t="s">
        <v>166</v>
      </c>
      <c r="J242" s="266">
        <v>2.0</v>
      </c>
      <c r="K242" s="266" t="s">
        <v>166</v>
      </c>
      <c r="L242" s="266" t="s">
        <v>166</v>
      </c>
      <c r="M242" s="266">
        <v>1.0</v>
      </c>
      <c r="N242" s="266" t="s">
        <v>166</v>
      </c>
      <c r="O242" s="266" t="s">
        <v>166</v>
      </c>
      <c r="P242" s="266" t="s">
        <v>166</v>
      </c>
      <c r="Q242" s="266" t="s">
        <v>166</v>
      </c>
      <c r="R242" s="266">
        <v>2.0</v>
      </c>
      <c r="S242" s="266" t="s">
        <v>3149</v>
      </c>
      <c r="T242" s="266">
        <v>64.0</v>
      </c>
      <c r="U242" s="266">
        <v>2933.0</v>
      </c>
      <c r="V242" s="266">
        <v>4.0</v>
      </c>
      <c r="W242" s="710" t="s">
        <v>4950</v>
      </c>
      <c r="X242" s="266">
        <v>2.0</v>
      </c>
      <c r="Y242" s="266">
        <v>4.0</v>
      </c>
      <c r="Z242" s="266" t="s">
        <v>166</v>
      </c>
      <c r="AA242" s="266" t="s">
        <v>166</v>
      </c>
      <c r="AB242" s="266" t="s">
        <v>166</v>
      </c>
      <c r="AC242" s="266" t="s">
        <v>166</v>
      </c>
      <c r="AD242" s="266" t="s">
        <v>166</v>
      </c>
      <c r="AE242" s="266" t="s">
        <v>166</v>
      </c>
      <c r="AF242" s="266">
        <f t="shared" si="1"/>
        <v>6</v>
      </c>
      <c r="AG242" s="266">
        <v>2.0</v>
      </c>
      <c r="AH242" s="266">
        <v>1.0</v>
      </c>
      <c r="AI242" s="266" t="s">
        <v>166</v>
      </c>
      <c r="AJ242" s="266">
        <v>1.0</v>
      </c>
      <c r="AK242" s="48" t="s">
        <v>4959</v>
      </c>
      <c r="AL242" s="48">
        <v>1.0</v>
      </c>
      <c r="AM242" s="48" t="s">
        <v>166</v>
      </c>
      <c r="AN242" s="48" t="s">
        <v>166</v>
      </c>
      <c r="AO242" s="48" t="s">
        <v>166</v>
      </c>
      <c r="AP242" s="266" t="s">
        <v>166</v>
      </c>
      <c r="AQ242" s="266" t="s">
        <v>166</v>
      </c>
      <c r="AR242" s="48" t="s">
        <v>4960</v>
      </c>
      <c r="AS242" s="266" t="s">
        <v>166</v>
      </c>
      <c r="AT242" s="266">
        <v>3.0</v>
      </c>
      <c r="AU242" s="266">
        <v>1.0</v>
      </c>
      <c r="AV242" s="266" t="s">
        <v>166</v>
      </c>
      <c r="AW242" s="266">
        <v>1.0</v>
      </c>
      <c r="AX242" s="266" t="s">
        <v>166</v>
      </c>
      <c r="AY242" s="266">
        <v>1.0</v>
      </c>
      <c r="AZ242" s="266">
        <v>2.0</v>
      </c>
      <c r="BA242" s="266" t="s">
        <v>166</v>
      </c>
      <c r="BB242" s="266" t="s">
        <v>166</v>
      </c>
      <c r="BC242" s="266" t="s">
        <v>166</v>
      </c>
      <c r="BD242" s="266" t="s">
        <v>166</v>
      </c>
      <c r="BE242" s="48" t="s">
        <v>5201</v>
      </c>
      <c r="BF242" s="48" t="s">
        <v>4973</v>
      </c>
      <c r="BG242" s="48" t="s">
        <v>4955</v>
      </c>
      <c r="BH242" s="48">
        <v>6.0</v>
      </c>
      <c r="BI242" s="698" t="s">
        <v>5658</v>
      </c>
      <c r="BJ242" s="698"/>
      <c r="BK242" s="394"/>
      <c r="BL242" s="394"/>
      <c r="BM242" s="394"/>
      <c r="BN242" s="394"/>
      <c r="BO242" s="394"/>
      <c r="BP242" s="394"/>
    </row>
    <row r="243">
      <c r="A243" s="266" t="s">
        <v>1688</v>
      </c>
      <c r="B243" s="48">
        <v>1200.0</v>
      </c>
      <c r="C243" s="266" t="s">
        <v>5238</v>
      </c>
      <c r="D243" s="452" t="str">
        <f t="shared" si="34"/>
        <v>Asus</v>
      </c>
      <c r="E243" s="174" t="s">
        <v>5742</v>
      </c>
      <c r="F243" s="266">
        <v>244.0</v>
      </c>
      <c r="G243" s="266">
        <v>234.0</v>
      </c>
      <c r="H243" s="266">
        <v>3.0</v>
      </c>
      <c r="I243" s="266" t="s">
        <v>166</v>
      </c>
      <c r="J243" s="266">
        <v>2.0</v>
      </c>
      <c r="K243" s="266" t="s">
        <v>166</v>
      </c>
      <c r="L243" s="266" t="s">
        <v>166</v>
      </c>
      <c r="M243" s="266">
        <v>1.0</v>
      </c>
      <c r="N243" s="266" t="s">
        <v>166</v>
      </c>
      <c r="O243" s="266" t="s">
        <v>166</v>
      </c>
      <c r="P243" s="266" t="s">
        <v>166</v>
      </c>
      <c r="Q243" s="266" t="s">
        <v>166</v>
      </c>
      <c r="R243" s="266">
        <v>4.0</v>
      </c>
      <c r="S243" s="266" t="s">
        <v>3149</v>
      </c>
      <c r="T243" s="266">
        <v>128.0</v>
      </c>
      <c r="U243" s="266">
        <v>2933.0</v>
      </c>
      <c r="V243" s="266">
        <v>6.0</v>
      </c>
      <c r="W243" s="710" t="s">
        <v>5251</v>
      </c>
      <c r="X243" s="266">
        <v>2.0</v>
      </c>
      <c r="Y243" s="266">
        <v>4.0</v>
      </c>
      <c r="Z243" s="266" t="s">
        <v>166</v>
      </c>
      <c r="AA243" s="266" t="s">
        <v>166</v>
      </c>
      <c r="AB243" s="266" t="s">
        <v>166</v>
      </c>
      <c r="AC243" s="266" t="s">
        <v>166</v>
      </c>
      <c r="AD243" s="266" t="s">
        <v>166</v>
      </c>
      <c r="AE243" s="266" t="s">
        <v>166</v>
      </c>
      <c r="AF243" s="266">
        <f t="shared" si="1"/>
        <v>6</v>
      </c>
      <c r="AG243" s="266">
        <v>2.0</v>
      </c>
      <c r="AH243" s="266">
        <v>1.0</v>
      </c>
      <c r="AI243" s="266" t="s">
        <v>166</v>
      </c>
      <c r="AJ243" s="266">
        <v>1.0</v>
      </c>
      <c r="AK243" s="48" t="s">
        <v>4959</v>
      </c>
      <c r="AL243" s="48">
        <v>1.0</v>
      </c>
      <c r="AM243" s="48" t="s">
        <v>166</v>
      </c>
      <c r="AN243" s="48" t="s">
        <v>166</v>
      </c>
      <c r="AO243" s="48" t="s">
        <v>166</v>
      </c>
      <c r="AP243" s="266" t="s">
        <v>166</v>
      </c>
      <c r="AQ243" s="266" t="s">
        <v>166</v>
      </c>
      <c r="AR243" s="48" t="s">
        <v>4960</v>
      </c>
      <c r="AS243" s="266" t="s">
        <v>166</v>
      </c>
      <c r="AT243" s="266">
        <v>3.0</v>
      </c>
      <c r="AU243" s="266">
        <v>1.0</v>
      </c>
      <c r="AV243" s="266">
        <v>1.0</v>
      </c>
      <c r="AW243" s="266">
        <v>1.0</v>
      </c>
      <c r="AX243" s="266">
        <v>1.0</v>
      </c>
      <c r="AY243" s="266" t="s">
        <v>166</v>
      </c>
      <c r="AZ243" s="266">
        <v>4.0</v>
      </c>
      <c r="BA243" s="266">
        <v>2.0</v>
      </c>
      <c r="BB243" s="266" t="s">
        <v>166</v>
      </c>
      <c r="BC243" s="266" t="s">
        <v>166</v>
      </c>
      <c r="BD243" s="266" t="s">
        <v>166</v>
      </c>
      <c r="BE243" s="48" t="s">
        <v>5201</v>
      </c>
      <c r="BF243" s="48" t="s">
        <v>4973</v>
      </c>
      <c r="BG243" s="48" t="s">
        <v>4955</v>
      </c>
      <c r="BH243" s="48">
        <v>6.0</v>
      </c>
      <c r="BI243" s="698" t="s">
        <v>5743</v>
      </c>
      <c r="BJ243" s="698"/>
      <c r="BK243" s="394"/>
      <c r="BL243" s="394"/>
      <c r="BM243" s="394"/>
      <c r="BN243" s="394"/>
      <c r="BO243" s="394"/>
      <c r="BP243" s="394"/>
    </row>
    <row r="244">
      <c r="A244" s="266" t="s">
        <v>1688</v>
      </c>
      <c r="B244" s="48">
        <v>1200.0</v>
      </c>
      <c r="C244" s="266" t="s">
        <v>5238</v>
      </c>
      <c r="D244" s="452" t="str">
        <f t="shared" si="34"/>
        <v>Asus</v>
      </c>
      <c r="E244" s="174" t="s">
        <v>5744</v>
      </c>
      <c r="F244" s="266">
        <v>226.0</v>
      </c>
      <c r="G244" s="266">
        <v>211.0</v>
      </c>
      <c r="H244" s="266">
        <v>3.0</v>
      </c>
      <c r="I244" s="266" t="s">
        <v>166</v>
      </c>
      <c r="J244" s="266">
        <v>2.0</v>
      </c>
      <c r="K244" s="266" t="s">
        <v>166</v>
      </c>
      <c r="L244" s="266" t="s">
        <v>166</v>
      </c>
      <c r="M244" s="266">
        <v>1.0</v>
      </c>
      <c r="N244" s="266" t="s">
        <v>166</v>
      </c>
      <c r="O244" s="266" t="s">
        <v>166</v>
      </c>
      <c r="P244" s="266" t="s">
        <v>166</v>
      </c>
      <c r="Q244" s="266" t="s">
        <v>166</v>
      </c>
      <c r="R244" s="266">
        <v>2.0</v>
      </c>
      <c r="S244" s="266" t="s">
        <v>3149</v>
      </c>
      <c r="T244" s="266">
        <v>64.0</v>
      </c>
      <c r="U244" s="266">
        <v>2933.0</v>
      </c>
      <c r="V244" s="266">
        <v>6.0</v>
      </c>
      <c r="W244" s="710" t="s">
        <v>4950</v>
      </c>
      <c r="X244" s="266">
        <v>2.0</v>
      </c>
      <c r="Y244" s="266">
        <v>4.0</v>
      </c>
      <c r="Z244" s="266" t="s">
        <v>166</v>
      </c>
      <c r="AA244" s="266" t="s">
        <v>166</v>
      </c>
      <c r="AB244" s="266" t="s">
        <v>166</v>
      </c>
      <c r="AC244" s="266" t="s">
        <v>166</v>
      </c>
      <c r="AD244" s="266" t="s">
        <v>166</v>
      </c>
      <c r="AE244" s="266" t="s">
        <v>166</v>
      </c>
      <c r="AF244" s="266">
        <f t="shared" si="1"/>
        <v>6</v>
      </c>
      <c r="AG244" s="266">
        <v>2.0</v>
      </c>
      <c r="AH244" s="266">
        <v>1.0</v>
      </c>
      <c r="AI244" s="266" t="s">
        <v>166</v>
      </c>
      <c r="AJ244" s="266">
        <v>1.0</v>
      </c>
      <c r="AK244" s="48" t="s">
        <v>4959</v>
      </c>
      <c r="AL244" s="48">
        <v>1.0</v>
      </c>
      <c r="AM244" s="48" t="s">
        <v>166</v>
      </c>
      <c r="AN244" s="48" t="s">
        <v>166</v>
      </c>
      <c r="AO244" s="48" t="s">
        <v>166</v>
      </c>
      <c r="AP244" s="266" t="s">
        <v>166</v>
      </c>
      <c r="AQ244" s="266" t="s">
        <v>166</v>
      </c>
      <c r="AR244" s="48" t="s">
        <v>4960</v>
      </c>
      <c r="AS244" s="266" t="s">
        <v>166</v>
      </c>
      <c r="AT244" s="266">
        <v>3.0</v>
      </c>
      <c r="AU244" s="266">
        <v>1.0</v>
      </c>
      <c r="AV244" s="266" t="s">
        <v>166</v>
      </c>
      <c r="AW244" s="266" t="s">
        <v>166</v>
      </c>
      <c r="AX244" s="266">
        <v>1.0</v>
      </c>
      <c r="AY244" s="266">
        <v>1.0</v>
      </c>
      <c r="AZ244" s="266">
        <v>2.0</v>
      </c>
      <c r="BA244" s="266" t="s">
        <v>166</v>
      </c>
      <c r="BB244" s="266" t="s">
        <v>166</v>
      </c>
      <c r="BC244" s="266" t="s">
        <v>166</v>
      </c>
      <c r="BD244" s="266" t="s">
        <v>166</v>
      </c>
      <c r="BE244" s="48" t="s">
        <v>5201</v>
      </c>
      <c r="BF244" s="48" t="s">
        <v>4973</v>
      </c>
      <c r="BG244" s="48" t="s">
        <v>4955</v>
      </c>
      <c r="BH244" s="48">
        <v>6.0</v>
      </c>
      <c r="BI244" s="698" t="s">
        <v>5729</v>
      </c>
      <c r="BJ244" s="698"/>
      <c r="BK244" s="394"/>
      <c r="BL244" s="394"/>
      <c r="BM244" s="394"/>
      <c r="BN244" s="394"/>
      <c r="BO244" s="394"/>
      <c r="BP244" s="394"/>
    </row>
    <row r="245">
      <c r="A245" s="266" t="s">
        <v>1688</v>
      </c>
      <c r="B245" s="48">
        <v>1200.0</v>
      </c>
      <c r="C245" s="266" t="s">
        <v>5238</v>
      </c>
      <c r="D245" s="452" t="str">
        <f t="shared" ref="D245:D248" si="35">HYPERLINK("https://www.gigabyte.com/","Gigabyte")</f>
        <v>Gigabyte</v>
      </c>
      <c r="E245" s="174" t="s">
        <v>5745</v>
      </c>
      <c r="F245" s="266">
        <v>226.0</v>
      </c>
      <c r="G245" s="266">
        <v>185.0</v>
      </c>
      <c r="H245" s="266">
        <v>3.0</v>
      </c>
      <c r="I245" s="266" t="s">
        <v>166</v>
      </c>
      <c r="J245" s="266">
        <v>2.0</v>
      </c>
      <c r="K245" s="266" t="s">
        <v>166</v>
      </c>
      <c r="L245" s="266" t="s">
        <v>166</v>
      </c>
      <c r="M245" s="266">
        <v>1.0</v>
      </c>
      <c r="N245" s="266" t="s">
        <v>166</v>
      </c>
      <c r="O245" s="266" t="s">
        <v>166</v>
      </c>
      <c r="P245" s="266" t="s">
        <v>166</v>
      </c>
      <c r="Q245" s="266" t="s">
        <v>166</v>
      </c>
      <c r="R245" s="266">
        <v>2.0</v>
      </c>
      <c r="S245" s="266" t="s">
        <v>3149</v>
      </c>
      <c r="T245" s="266">
        <v>64.0</v>
      </c>
      <c r="U245" s="266">
        <v>2933.0</v>
      </c>
      <c r="V245" s="266">
        <v>6.0</v>
      </c>
      <c r="W245" s="710" t="s">
        <v>4950</v>
      </c>
      <c r="X245" s="266">
        <v>2.0</v>
      </c>
      <c r="Y245" s="266">
        <v>4.0</v>
      </c>
      <c r="Z245" s="266" t="s">
        <v>166</v>
      </c>
      <c r="AA245" s="266" t="s">
        <v>166</v>
      </c>
      <c r="AB245" s="266" t="s">
        <v>166</v>
      </c>
      <c r="AC245" s="266" t="s">
        <v>166</v>
      </c>
      <c r="AD245" s="266" t="s">
        <v>166</v>
      </c>
      <c r="AE245" s="266" t="s">
        <v>166</v>
      </c>
      <c r="AF245" s="266">
        <f t="shared" si="1"/>
        <v>6</v>
      </c>
      <c r="AG245" s="266">
        <v>2.0</v>
      </c>
      <c r="AH245" s="266">
        <v>1.0</v>
      </c>
      <c r="AI245" s="266" t="s">
        <v>166</v>
      </c>
      <c r="AJ245" s="266">
        <v>1.0</v>
      </c>
      <c r="AK245" s="48" t="s">
        <v>5536</v>
      </c>
      <c r="AL245" s="48">
        <v>1.0</v>
      </c>
      <c r="AM245" s="48" t="s">
        <v>166</v>
      </c>
      <c r="AN245" s="48" t="s">
        <v>166</v>
      </c>
      <c r="AO245" s="48" t="s">
        <v>166</v>
      </c>
      <c r="AP245" s="266" t="s">
        <v>166</v>
      </c>
      <c r="AQ245" s="266" t="s">
        <v>166</v>
      </c>
      <c r="AR245" s="48" t="s">
        <v>4960</v>
      </c>
      <c r="AS245" s="266" t="s">
        <v>166</v>
      </c>
      <c r="AT245" s="266">
        <v>3.0</v>
      </c>
      <c r="AU245" s="266">
        <v>2.0</v>
      </c>
      <c r="AV245" s="266" t="s">
        <v>166</v>
      </c>
      <c r="AW245" s="266" t="s">
        <v>166</v>
      </c>
      <c r="AX245" s="266">
        <v>1.0</v>
      </c>
      <c r="AY245" s="266">
        <v>1.0</v>
      </c>
      <c r="AZ245" s="266">
        <v>2.0</v>
      </c>
      <c r="BA245" s="266">
        <v>1.0</v>
      </c>
      <c r="BB245" s="266" t="s">
        <v>166</v>
      </c>
      <c r="BC245" s="266" t="s">
        <v>166</v>
      </c>
      <c r="BD245" s="266" t="s">
        <v>166</v>
      </c>
      <c r="BE245" s="48" t="s">
        <v>5204</v>
      </c>
      <c r="BF245" s="48" t="s">
        <v>4962</v>
      </c>
      <c r="BG245" s="48" t="s">
        <v>4963</v>
      </c>
      <c r="BH245" s="48">
        <v>4.0</v>
      </c>
      <c r="BI245" s="698" t="s">
        <v>5205</v>
      </c>
      <c r="BJ245" s="698"/>
      <c r="BK245" s="394"/>
      <c r="BL245" s="394"/>
      <c r="BM245" s="394"/>
      <c r="BN245" s="394"/>
      <c r="BO245" s="394"/>
      <c r="BP245" s="394"/>
    </row>
    <row r="246">
      <c r="A246" s="266" t="s">
        <v>1688</v>
      </c>
      <c r="B246" s="48">
        <v>1200.0</v>
      </c>
      <c r="C246" s="266" t="s">
        <v>5238</v>
      </c>
      <c r="D246" s="452" t="str">
        <f t="shared" si="35"/>
        <v>Gigabyte</v>
      </c>
      <c r="E246" s="174" t="str">
        <f>HYPERLINK("https://www.gigabyte.com/Motherboard/B460M-DS3H-rev-10#kf","B460M DS3H")</f>
        <v>B460M DS3H</v>
      </c>
      <c r="F246" s="266">
        <v>244.0</v>
      </c>
      <c r="G246" s="266">
        <v>225.0</v>
      </c>
      <c r="H246" s="266">
        <v>3.0</v>
      </c>
      <c r="I246" s="266" t="s">
        <v>166</v>
      </c>
      <c r="J246" s="266">
        <v>2.0</v>
      </c>
      <c r="K246" s="266" t="s">
        <v>166</v>
      </c>
      <c r="L246" s="266" t="s">
        <v>166</v>
      </c>
      <c r="M246" s="266">
        <v>1.0</v>
      </c>
      <c r="N246" s="266" t="s">
        <v>166</v>
      </c>
      <c r="O246" s="266" t="s">
        <v>166</v>
      </c>
      <c r="P246" s="266" t="s">
        <v>166</v>
      </c>
      <c r="Q246" s="266" t="s">
        <v>166</v>
      </c>
      <c r="R246" s="266">
        <v>4.0</v>
      </c>
      <c r="S246" s="266" t="s">
        <v>3149</v>
      </c>
      <c r="T246" s="266">
        <v>128.0</v>
      </c>
      <c r="U246" s="266">
        <v>2933.0</v>
      </c>
      <c r="V246" s="266">
        <v>6.0</v>
      </c>
      <c r="W246" s="710" t="s">
        <v>4950</v>
      </c>
      <c r="X246" s="266">
        <v>2.0</v>
      </c>
      <c r="Y246" s="266">
        <v>4.0</v>
      </c>
      <c r="Z246" s="266" t="s">
        <v>166</v>
      </c>
      <c r="AA246" s="266" t="s">
        <v>166</v>
      </c>
      <c r="AB246" s="266" t="s">
        <v>166</v>
      </c>
      <c r="AC246" s="266" t="s">
        <v>166</v>
      </c>
      <c r="AD246" s="266" t="s">
        <v>166</v>
      </c>
      <c r="AE246" s="266" t="s">
        <v>166</v>
      </c>
      <c r="AF246" s="266">
        <f t="shared" si="1"/>
        <v>6</v>
      </c>
      <c r="AG246" s="266">
        <v>2.0</v>
      </c>
      <c r="AH246" s="266">
        <v>1.0</v>
      </c>
      <c r="AI246" s="266" t="s">
        <v>166</v>
      </c>
      <c r="AJ246" s="266">
        <v>1.0</v>
      </c>
      <c r="AK246" s="48" t="s">
        <v>5536</v>
      </c>
      <c r="AL246" s="48">
        <v>1.0</v>
      </c>
      <c r="AM246" s="48" t="s">
        <v>166</v>
      </c>
      <c r="AN246" s="48" t="s">
        <v>166</v>
      </c>
      <c r="AO246" s="48" t="s">
        <v>166</v>
      </c>
      <c r="AP246" s="266" t="s">
        <v>166</v>
      </c>
      <c r="AQ246" s="266" t="s">
        <v>166</v>
      </c>
      <c r="AR246" s="48" t="s">
        <v>4960</v>
      </c>
      <c r="AS246" s="266" t="s">
        <v>166</v>
      </c>
      <c r="AT246" s="266">
        <v>3.0</v>
      </c>
      <c r="AU246" s="266">
        <v>1.0</v>
      </c>
      <c r="AV246" s="266" t="s">
        <v>166</v>
      </c>
      <c r="AW246" s="266">
        <v>1.0</v>
      </c>
      <c r="AX246" s="266">
        <v>1.0</v>
      </c>
      <c r="AY246" s="266">
        <v>1.0</v>
      </c>
      <c r="AZ246" s="266">
        <v>3.0</v>
      </c>
      <c r="BA246" s="266">
        <v>2.0</v>
      </c>
      <c r="BB246" s="266" t="s">
        <v>166</v>
      </c>
      <c r="BC246" s="266" t="s">
        <v>166</v>
      </c>
      <c r="BD246" s="266" t="s">
        <v>166</v>
      </c>
      <c r="BE246" s="48" t="s">
        <v>5204</v>
      </c>
      <c r="BF246" s="48" t="s">
        <v>4962</v>
      </c>
      <c r="BG246" s="48" t="s">
        <v>4963</v>
      </c>
      <c r="BH246" s="48">
        <v>4.0</v>
      </c>
      <c r="BI246" s="698" t="s">
        <v>5205</v>
      </c>
      <c r="BJ246" s="698"/>
      <c r="BK246" s="394"/>
      <c r="BL246" s="394"/>
      <c r="BM246" s="394"/>
      <c r="BN246" s="394"/>
      <c r="BO246" s="394"/>
      <c r="BP246" s="394"/>
    </row>
    <row r="247">
      <c r="A247" s="266" t="s">
        <v>1688</v>
      </c>
      <c r="B247" s="48">
        <v>1200.0</v>
      </c>
      <c r="C247" s="266" t="s">
        <v>5238</v>
      </c>
      <c r="D247" s="452" t="str">
        <f t="shared" si="35"/>
        <v>Gigabyte</v>
      </c>
      <c r="E247" s="174" t="s">
        <v>5746</v>
      </c>
      <c r="F247" s="266">
        <v>244.0</v>
      </c>
      <c r="G247" s="266">
        <v>225.0</v>
      </c>
      <c r="H247" s="266">
        <v>3.0</v>
      </c>
      <c r="I247" s="266" t="s">
        <v>166</v>
      </c>
      <c r="J247" s="266">
        <v>2.0</v>
      </c>
      <c r="K247" s="266" t="s">
        <v>166</v>
      </c>
      <c r="L247" s="266" t="s">
        <v>166</v>
      </c>
      <c r="M247" s="266">
        <v>1.0</v>
      </c>
      <c r="N247" s="266" t="s">
        <v>166</v>
      </c>
      <c r="O247" s="266" t="s">
        <v>166</v>
      </c>
      <c r="P247" s="266" t="s">
        <v>166</v>
      </c>
      <c r="Q247" s="266" t="s">
        <v>166</v>
      </c>
      <c r="R247" s="266">
        <v>4.0</v>
      </c>
      <c r="S247" s="266" t="s">
        <v>3149</v>
      </c>
      <c r="T247" s="266">
        <v>128.0</v>
      </c>
      <c r="U247" s="266">
        <v>2933.0</v>
      </c>
      <c r="V247" s="266">
        <v>6.0</v>
      </c>
      <c r="W247" s="710" t="s">
        <v>4950</v>
      </c>
      <c r="X247" s="266">
        <v>2.0</v>
      </c>
      <c r="Y247" s="266">
        <v>4.0</v>
      </c>
      <c r="Z247" s="266" t="s">
        <v>166</v>
      </c>
      <c r="AA247" s="266" t="s">
        <v>166</v>
      </c>
      <c r="AB247" s="266" t="s">
        <v>166</v>
      </c>
      <c r="AC247" s="266" t="s">
        <v>166</v>
      </c>
      <c r="AD247" s="266" t="s">
        <v>166</v>
      </c>
      <c r="AE247" s="266" t="s">
        <v>166</v>
      </c>
      <c r="AF247" s="266">
        <f t="shared" si="1"/>
        <v>6</v>
      </c>
      <c r="AG247" s="266">
        <v>2.0</v>
      </c>
      <c r="AH247" s="266">
        <v>1.0</v>
      </c>
      <c r="AI247" s="266" t="s">
        <v>166</v>
      </c>
      <c r="AJ247" s="266">
        <v>1.0</v>
      </c>
      <c r="AK247" s="48" t="s">
        <v>5536</v>
      </c>
      <c r="AL247" s="48">
        <v>1.0</v>
      </c>
      <c r="AM247" s="48">
        <v>1.0</v>
      </c>
      <c r="AN247" s="48" t="s">
        <v>4966</v>
      </c>
      <c r="AO247" s="48" t="s">
        <v>4967</v>
      </c>
      <c r="AP247" s="266">
        <v>433.0</v>
      </c>
      <c r="AQ247" s="266">
        <v>4.2</v>
      </c>
      <c r="AR247" s="48" t="s">
        <v>4960</v>
      </c>
      <c r="AS247" s="266" t="s">
        <v>166</v>
      </c>
      <c r="AT247" s="266">
        <v>3.0</v>
      </c>
      <c r="AU247" s="266">
        <v>1.0</v>
      </c>
      <c r="AV247" s="266" t="s">
        <v>166</v>
      </c>
      <c r="AW247" s="266">
        <v>1.0</v>
      </c>
      <c r="AX247" s="266" t="s">
        <v>166</v>
      </c>
      <c r="AY247" s="266" t="s">
        <v>166</v>
      </c>
      <c r="AZ247" s="266">
        <v>3.0</v>
      </c>
      <c r="BA247" s="266">
        <v>2.0</v>
      </c>
      <c r="BB247" s="266">
        <v>2.0</v>
      </c>
      <c r="BC247" s="266" t="s">
        <v>166</v>
      </c>
      <c r="BD247" s="266" t="s">
        <v>166</v>
      </c>
      <c r="BE247" s="48" t="s">
        <v>5204</v>
      </c>
      <c r="BF247" s="48" t="s">
        <v>4962</v>
      </c>
      <c r="BG247" s="48" t="s">
        <v>4963</v>
      </c>
      <c r="BH247" s="48">
        <v>4.0</v>
      </c>
      <c r="BI247" s="698" t="s">
        <v>5205</v>
      </c>
      <c r="BJ247" s="698"/>
      <c r="BK247" s="394"/>
      <c r="BL247" s="394"/>
      <c r="BM247" s="394"/>
      <c r="BN247" s="394"/>
      <c r="BO247" s="394"/>
      <c r="BP247" s="394"/>
    </row>
    <row r="248">
      <c r="A248" s="266" t="s">
        <v>1688</v>
      </c>
      <c r="B248" s="48">
        <v>1200.0</v>
      </c>
      <c r="C248" s="266" t="s">
        <v>5238</v>
      </c>
      <c r="D248" s="452" t="str">
        <f t="shared" si="35"/>
        <v>Gigabyte</v>
      </c>
      <c r="E248" s="174" t="str">
        <f>HYPERLINK("https://www.gigabyte.com/Motherboard/B460M-GAMING-HD-rev-10#kf","B460M GAMING HD")</f>
        <v>B460M GAMING HD</v>
      </c>
      <c r="F248" s="266">
        <v>226.0</v>
      </c>
      <c r="G248" s="266">
        <v>185.0</v>
      </c>
      <c r="H248" s="266">
        <v>3.0</v>
      </c>
      <c r="I248" s="266" t="s">
        <v>166</v>
      </c>
      <c r="J248" s="266">
        <v>1.0</v>
      </c>
      <c r="K248" s="266" t="s">
        <v>166</v>
      </c>
      <c r="L248" s="266" t="s">
        <v>166</v>
      </c>
      <c r="M248" s="266">
        <v>1.0</v>
      </c>
      <c r="N248" s="266" t="s">
        <v>166</v>
      </c>
      <c r="O248" s="266" t="s">
        <v>166</v>
      </c>
      <c r="P248" s="266" t="s">
        <v>166</v>
      </c>
      <c r="Q248" s="266" t="s">
        <v>166</v>
      </c>
      <c r="R248" s="266">
        <v>2.0</v>
      </c>
      <c r="S248" s="266" t="s">
        <v>3149</v>
      </c>
      <c r="T248" s="266">
        <v>64.0</v>
      </c>
      <c r="U248" s="266">
        <v>2933.0</v>
      </c>
      <c r="V248" s="266">
        <v>4.0</v>
      </c>
      <c r="W248" s="710" t="s">
        <v>4950</v>
      </c>
      <c r="X248" s="266">
        <v>2.0</v>
      </c>
      <c r="Y248" s="266">
        <v>4.0</v>
      </c>
      <c r="Z248" s="266" t="s">
        <v>166</v>
      </c>
      <c r="AA248" s="266" t="s">
        <v>166</v>
      </c>
      <c r="AB248" s="266" t="s">
        <v>166</v>
      </c>
      <c r="AC248" s="266" t="s">
        <v>166</v>
      </c>
      <c r="AD248" s="266" t="s">
        <v>166</v>
      </c>
      <c r="AE248" s="266" t="s">
        <v>166</v>
      </c>
      <c r="AF248" s="266">
        <f t="shared" si="1"/>
        <v>6</v>
      </c>
      <c r="AG248" s="266">
        <v>2.0</v>
      </c>
      <c r="AH248" s="266">
        <v>1.0</v>
      </c>
      <c r="AI248" s="266" t="s">
        <v>166</v>
      </c>
      <c r="AJ248" s="266">
        <v>1.0</v>
      </c>
      <c r="AK248" s="48" t="s">
        <v>5536</v>
      </c>
      <c r="AL248" s="48">
        <v>1.0</v>
      </c>
      <c r="AM248" s="48" t="s">
        <v>166</v>
      </c>
      <c r="AN248" s="48" t="s">
        <v>166</v>
      </c>
      <c r="AO248" s="48" t="s">
        <v>166</v>
      </c>
      <c r="AP248" s="266" t="s">
        <v>166</v>
      </c>
      <c r="AQ248" s="266" t="s">
        <v>166</v>
      </c>
      <c r="AR248" s="48" t="s">
        <v>4960</v>
      </c>
      <c r="AS248" s="266" t="s">
        <v>166</v>
      </c>
      <c r="AT248" s="266">
        <v>3.0</v>
      </c>
      <c r="AU248" s="266">
        <v>2.0</v>
      </c>
      <c r="AV248" s="266" t="s">
        <v>166</v>
      </c>
      <c r="AW248" s="266">
        <v>1.0</v>
      </c>
      <c r="AX248" s="266" t="s">
        <v>166</v>
      </c>
      <c r="AY248" s="266">
        <v>1.0</v>
      </c>
      <c r="AZ248" s="266">
        <v>2.0</v>
      </c>
      <c r="BA248" s="266">
        <v>1.0</v>
      </c>
      <c r="BB248" s="266" t="s">
        <v>166</v>
      </c>
      <c r="BC248" s="266" t="s">
        <v>166</v>
      </c>
      <c r="BD248" s="266" t="s">
        <v>166</v>
      </c>
      <c r="BE248" s="48" t="s">
        <v>5204</v>
      </c>
      <c r="BF248" s="48" t="s">
        <v>4962</v>
      </c>
      <c r="BG248" s="48" t="s">
        <v>4963</v>
      </c>
      <c r="BH248" s="48">
        <v>4.0</v>
      </c>
      <c r="BI248" s="698" t="s">
        <v>5205</v>
      </c>
      <c r="BJ248" s="698"/>
      <c r="BK248" s="394"/>
      <c r="BL248" s="394"/>
      <c r="BM248" s="394"/>
      <c r="BN248" s="394"/>
      <c r="BO248" s="394"/>
      <c r="BP248" s="394"/>
    </row>
    <row r="249">
      <c r="A249" s="266" t="s">
        <v>1688</v>
      </c>
      <c r="B249" s="48">
        <v>1200.0</v>
      </c>
      <c r="C249" s="266" t="s">
        <v>5238</v>
      </c>
      <c r="D249" s="452" t="str">
        <f t="shared" ref="D249:D250" si="36">HYPERLINK("https://www.msi.com/index.php","MSI")</f>
        <v>MSI</v>
      </c>
      <c r="E249" s="174" t="s">
        <v>5747</v>
      </c>
      <c r="F249" s="266">
        <v>236.0</v>
      </c>
      <c r="G249" s="266">
        <v>192.0</v>
      </c>
      <c r="H249" s="266">
        <v>3.0</v>
      </c>
      <c r="I249" s="266" t="s">
        <v>166</v>
      </c>
      <c r="J249" s="266">
        <v>2.0</v>
      </c>
      <c r="K249" s="266" t="s">
        <v>166</v>
      </c>
      <c r="L249" s="266" t="s">
        <v>166</v>
      </c>
      <c r="M249" s="266">
        <v>1.0</v>
      </c>
      <c r="N249" s="266" t="s">
        <v>166</v>
      </c>
      <c r="O249" s="266" t="s">
        <v>166</v>
      </c>
      <c r="P249" s="266" t="s">
        <v>166</v>
      </c>
      <c r="Q249" s="266" t="s">
        <v>166</v>
      </c>
      <c r="R249" s="266">
        <v>2.0</v>
      </c>
      <c r="S249" s="266" t="s">
        <v>3149</v>
      </c>
      <c r="T249" s="266">
        <v>64.0</v>
      </c>
      <c r="U249" s="266">
        <v>2933.0</v>
      </c>
      <c r="V249" s="266">
        <v>6.0</v>
      </c>
      <c r="W249" s="710" t="s">
        <v>4950</v>
      </c>
      <c r="X249" s="266">
        <v>2.0</v>
      </c>
      <c r="Y249" s="266">
        <v>4.0</v>
      </c>
      <c r="Z249" s="266" t="s">
        <v>166</v>
      </c>
      <c r="AA249" s="266" t="s">
        <v>166</v>
      </c>
      <c r="AB249" s="266" t="s">
        <v>166</v>
      </c>
      <c r="AC249" s="266" t="s">
        <v>166</v>
      </c>
      <c r="AD249" s="266" t="s">
        <v>166</v>
      </c>
      <c r="AE249" s="266" t="s">
        <v>166</v>
      </c>
      <c r="AF249" s="266">
        <f t="shared" si="1"/>
        <v>6</v>
      </c>
      <c r="AG249" s="266">
        <v>2.0</v>
      </c>
      <c r="AH249" s="266">
        <v>1.0</v>
      </c>
      <c r="AI249" s="266" t="s">
        <v>166</v>
      </c>
      <c r="AJ249" s="266">
        <v>1.0</v>
      </c>
      <c r="AK249" s="48" t="s">
        <v>4959</v>
      </c>
      <c r="AL249" s="48">
        <v>1.0</v>
      </c>
      <c r="AM249" s="48" t="s">
        <v>166</v>
      </c>
      <c r="AN249" s="48" t="s">
        <v>166</v>
      </c>
      <c r="AO249" s="48" t="s">
        <v>166</v>
      </c>
      <c r="AP249" s="266" t="s">
        <v>166</v>
      </c>
      <c r="AQ249" s="266" t="s">
        <v>166</v>
      </c>
      <c r="AR249" s="48" t="s">
        <v>4977</v>
      </c>
      <c r="AS249" s="266" t="s">
        <v>166</v>
      </c>
      <c r="AT249" s="266">
        <v>3.0</v>
      </c>
      <c r="AU249" s="266">
        <v>1.0</v>
      </c>
      <c r="AV249" s="266" t="s">
        <v>166</v>
      </c>
      <c r="AW249" s="266">
        <v>1.0</v>
      </c>
      <c r="AX249" s="266">
        <v>1.0</v>
      </c>
      <c r="AY249" s="266">
        <v>1.0</v>
      </c>
      <c r="AZ249" s="266">
        <v>2.0</v>
      </c>
      <c r="BA249" s="266">
        <v>1.0</v>
      </c>
      <c r="BB249" s="266">
        <v>1.0</v>
      </c>
      <c r="BC249" s="266" t="s">
        <v>174</v>
      </c>
      <c r="BD249" s="266" t="s">
        <v>166</v>
      </c>
      <c r="BE249" s="48" t="s">
        <v>170</v>
      </c>
      <c r="BF249" s="48" t="s">
        <v>5017</v>
      </c>
      <c r="BG249" s="48" t="s">
        <v>4963</v>
      </c>
      <c r="BH249" s="48">
        <v>4.0</v>
      </c>
      <c r="BI249" s="698" t="s">
        <v>170</v>
      </c>
      <c r="BJ249" s="698"/>
      <c r="BK249" s="394"/>
      <c r="BL249" s="394"/>
      <c r="BM249" s="394"/>
      <c r="BN249" s="394"/>
      <c r="BO249" s="394"/>
      <c r="BP249" s="394"/>
    </row>
    <row r="250">
      <c r="A250" s="501" t="s">
        <v>1688</v>
      </c>
      <c r="B250" s="700">
        <v>1200.0</v>
      </c>
      <c r="C250" s="501" t="s">
        <v>5238</v>
      </c>
      <c r="D250" s="500" t="str">
        <f t="shared" si="36"/>
        <v>MSI</v>
      </c>
      <c r="E250" s="291" t="s">
        <v>5748</v>
      </c>
      <c r="F250" s="501">
        <v>236.0</v>
      </c>
      <c r="G250" s="501">
        <v>192.0</v>
      </c>
      <c r="H250" s="501">
        <v>3.0</v>
      </c>
      <c r="I250" s="501" t="s">
        <v>166</v>
      </c>
      <c r="J250" s="501">
        <v>2.0</v>
      </c>
      <c r="K250" s="501" t="s">
        <v>166</v>
      </c>
      <c r="L250" s="501" t="s">
        <v>166</v>
      </c>
      <c r="M250" s="501">
        <v>1.0</v>
      </c>
      <c r="N250" s="501" t="s">
        <v>166</v>
      </c>
      <c r="O250" s="501" t="s">
        <v>166</v>
      </c>
      <c r="P250" s="501" t="s">
        <v>166</v>
      </c>
      <c r="Q250" s="501" t="s">
        <v>166</v>
      </c>
      <c r="R250" s="501">
        <v>2.0</v>
      </c>
      <c r="S250" s="501" t="s">
        <v>3149</v>
      </c>
      <c r="T250" s="501">
        <v>64.0</v>
      </c>
      <c r="U250" s="501">
        <v>2933.0</v>
      </c>
      <c r="V250" s="501">
        <v>6.0</v>
      </c>
      <c r="W250" s="701" t="s">
        <v>4950</v>
      </c>
      <c r="X250" s="501">
        <v>2.0</v>
      </c>
      <c r="Y250" s="501">
        <v>4.0</v>
      </c>
      <c r="Z250" s="501" t="s">
        <v>166</v>
      </c>
      <c r="AA250" s="501" t="s">
        <v>166</v>
      </c>
      <c r="AB250" s="501" t="s">
        <v>166</v>
      </c>
      <c r="AC250" s="501" t="s">
        <v>166</v>
      </c>
      <c r="AD250" s="501" t="s">
        <v>166</v>
      </c>
      <c r="AE250" s="501" t="s">
        <v>166</v>
      </c>
      <c r="AF250" s="501">
        <f t="shared" si="1"/>
        <v>6</v>
      </c>
      <c r="AG250" s="501">
        <v>2.0</v>
      </c>
      <c r="AH250" s="501">
        <v>1.0</v>
      </c>
      <c r="AI250" s="501" t="s">
        <v>166</v>
      </c>
      <c r="AJ250" s="501">
        <v>1.0</v>
      </c>
      <c r="AK250" s="700" t="s">
        <v>4959</v>
      </c>
      <c r="AL250" s="700">
        <v>1.0</v>
      </c>
      <c r="AM250" s="700" t="s">
        <v>166</v>
      </c>
      <c r="AN250" s="700" t="s">
        <v>166</v>
      </c>
      <c r="AO250" s="700" t="s">
        <v>166</v>
      </c>
      <c r="AP250" s="501" t="s">
        <v>166</v>
      </c>
      <c r="AQ250" s="501" t="s">
        <v>166</v>
      </c>
      <c r="AR250" s="700" t="s">
        <v>4977</v>
      </c>
      <c r="AS250" s="501" t="s">
        <v>166</v>
      </c>
      <c r="AT250" s="501">
        <v>3.0</v>
      </c>
      <c r="AU250" s="501">
        <v>1.0</v>
      </c>
      <c r="AV250" s="501" t="s">
        <v>166</v>
      </c>
      <c r="AW250" s="501">
        <v>1.0</v>
      </c>
      <c r="AX250" s="501">
        <v>1.0</v>
      </c>
      <c r="AY250" s="501" t="s">
        <v>166</v>
      </c>
      <c r="AZ250" s="501">
        <v>2.0</v>
      </c>
      <c r="BA250" s="501" t="s">
        <v>166</v>
      </c>
      <c r="BB250" s="501" t="s">
        <v>166</v>
      </c>
      <c r="BC250" s="501" t="s">
        <v>174</v>
      </c>
      <c r="BD250" s="501" t="s">
        <v>166</v>
      </c>
      <c r="BE250" s="700" t="s">
        <v>170</v>
      </c>
      <c r="BF250" s="700" t="s">
        <v>5017</v>
      </c>
      <c r="BG250" s="700" t="s">
        <v>4963</v>
      </c>
      <c r="BH250" s="700">
        <v>4.0</v>
      </c>
      <c r="BI250" s="703" t="s">
        <v>170</v>
      </c>
      <c r="BJ250" s="703"/>
      <c r="BK250" s="394"/>
      <c r="BL250" s="394"/>
      <c r="BM250" s="394"/>
      <c r="BN250" s="394"/>
      <c r="BO250" s="394"/>
      <c r="BP250" s="394"/>
    </row>
    <row r="251">
      <c r="A251" s="507" t="s">
        <v>1688</v>
      </c>
      <c r="B251" s="705">
        <v>1200.0</v>
      </c>
      <c r="C251" s="507" t="s">
        <v>5280</v>
      </c>
      <c r="D251" s="452" t="s">
        <v>169</v>
      </c>
      <c r="E251" s="282" t="s">
        <v>5749</v>
      </c>
      <c r="F251" s="507">
        <v>226.0</v>
      </c>
      <c r="G251" s="507">
        <v>188.0</v>
      </c>
      <c r="H251" s="507">
        <v>4.0</v>
      </c>
      <c r="I251" s="507" t="s">
        <v>166</v>
      </c>
      <c r="J251" s="507">
        <v>1.0</v>
      </c>
      <c r="K251" s="507" t="s">
        <v>166</v>
      </c>
      <c r="L251" s="507" t="s">
        <v>166</v>
      </c>
      <c r="M251" s="507">
        <v>1.0</v>
      </c>
      <c r="N251" s="507" t="s">
        <v>166</v>
      </c>
      <c r="O251" s="507" t="s">
        <v>166</v>
      </c>
      <c r="P251" s="507" t="s">
        <v>166</v>
      </c>
      <c r="Q251" s="507" t="s">
        <v>166</v>
      </c>
      <c r="R251" s="266">
        <v>2.0</v>
      </c>
      <c r="S251" s="507" t="s">
        <v>3149</v>
      </c>
      <c r="T251" s="507">
        <v>64.0</v>
      </c>
      <c r="U251" s="266">
        <v>3200.0</v>
      </c>
      <c r="V251" s="266">
        <v>4.0</v>
      </c>
      <c r="W251" s="711" t="s">
        <v>4950</v>
      </c>
      <c r="X251" s="266">
        <v>4.0</v>
      </c>
      <c r="Y251" s="266">
        <v>2.0</v>
      </c>
      <c r="Z251" s="266" t="s">
        <v>166</v>
      </c>
      <c r="AA251" s="266" t="s">
        <v>166</v>
      </c>
      <c r="AB251" s="266" t="s">
        <v>166</v>
      </c>
      <c r="AC251" s="266" t="s">
        <v>166</v>
      </c>
      <c r="AD251" s="266" t="s">
        <v>166</v>
      </c>
      <c r="AE251" s="266" t="s">
        <v>166</v>
      </c>
      <c r="AF251" s="507">
        <f t="shared" si="1"/>
        <v>6</v>
      </c>
      <c r="AG251" s="507">
        <v>1.0</v>
      </c>
      <c r="AH251" s="507">
        <v>1.0</v>
      </c>
      <c r="AI251" s="266" t="s">
        <v>166</v>
      </c>
      <c r="AJ251" s="266">
        <v>1.0</v>
      </c>
      <c r="AK251" s="705" t="s">
        <v>5133</v>
      </c>
      <c r="AL251" s="705">
        <v>1.0</v>
      </c>
      <c r="AM251" s="705" t="s">
        <v>166</v>
      </c>
      <c r="AN251" s="705" t="s">
        <v>166</v>
      </c>
      <c r="AO251" s="705" t="s">
        <v>166</v>
      </c>
      <c r="AP251" s="507" t="s">
        <v>166</v>
      </c>
      <c r="AQ251" s="507" t="s">
        <v>166</v>
      </c>
      <c r="AR251" s="705" t="s">
        <v>5039</v>
      </c>
      <c r="AS251" s="266" t="s">
        <v>166</v>
      </c>
      <c r="AT251" s="266">
        <v>3.0</v>
      </c>
      <c r="AU251" s="266">
        <v>2.0</v>
      </c>
      <c r="AV251" s="266" t="s">
        <v>166</v>
      </c>
      <c r="AW251" s="266">
        <v>1.0</v>
      </c>
      <c r="AX251" s="266">
        <v>1.0</v>
      </c>
      <c r="AY251" s="266">
        <v>1.0</v>
      </c>
      <c r="AZ251" s="266">
        <v>3.0</v>
      </c>
      <c r="BA251" s="266" t="s">
        <v>166</v>
      </c>
      <c r="BB251" s="266" t="s">
        <v>166</v>
      </c>
      <c r="BC251" s="266" t="s">
        <v>166</v>
      </c>
      <c r="BD251" s="266" t="s">
        <v>166</v>
      </c>
      <c r="BE251" s="48" t="s">
        <v>5233</v>
      </c>
      <c r="BF251" s="48" t="s">
        <v>5143</v>
      </c>
      <c r="BG251" s="48" t="s">
        <v>4963</v>
      </c>
      <c r="BH251" s="48">
        <v>5.0</v>
      </c>
      <c r="BI251" s="698" t="s">
        <v>5750</v>
      </c>
      <c r="BJ251" s="708"/>
      <c r="BK251" s="394"/>
      <c r="BL251" s="394"/>
      <c r="BM251" s="394"/>
      <c r="BN251" s="394"/>
      <c r="BO251" s="394"/>
      <c r="BP251" s="394"/>
    </row>
    <row r="252">
      <c r="A252" s="507" t="s">
        <v>1688</v>
      </c>
      <c r="B252" s="705">
        <v>1200.0</v>
      </c>
      <c r="C252" s="507" t="s">
        <v>5280</v>
      </c>
      <c r="D252" s="452" t="s">
        <v>169</v>
      </c>
      <c r="E252" s="282" t="s">
        <v>5751</v>
      </c>
      <c r="F252" s="507">
        <v>197.0</v>
      </c>
      <c r="G252" s="507">
        <v>188.0</v>
      </c>
      <c r="H252" s="507">
        <v>4.0</v>
      </c>
      <c r="I252" s="507" t="s">
        <v>166</v>
      </c>
      <c r="J252" s="507">
        <v>1.0</v>
      </c>
      <c r="K252" s="507" t="s">
        <v>166</v>
      </c>
      <c r="L252" s="507" t="s">
        <v>166</v>
      </c>
      <c r="M252" s="507">
        <v>1.0</v>
      </c>
      <c r="N252" s="507" t="s">
        <v>166</v>
      </c>
      <c r="O252" s="507" t="s">
        <v>166</v>
      </c>
      <c r="P252" s="507" t="s">
        <v>166</v>
      </c>
      <c r="Q252" s="507" t="s">
        <v>166</v>
      </c>
      <c r="R252" s="266">
        <v>2.0</v>
      </c>
      <c r="S252" s="507" t="s">
        <v>3149</v>
      </c>
      <c r="T252" s="507">
        <v>64.0</v>
      </c>
      <c r="U252" s="266">
        <v>3200.0</v>
      </c>
      <c r="V252" s="266">
        <v>4.0</v>
      </c>
      <c r="W252" s="750" t="s">
        <v>166</v>
      </c>
      <c r="X252" s="266">
        <v>4.0</v>
      </c>
      <c r="Y252" s="266">
        <v>2.0</v>
      </c>
      <c r="Z252" s="266" t="s">
        <v>166</v>
      </c>
      <c r="AA252" s="266" t="s">
        <v>166</v>
      </c>
      <c r="AB252" s="266" t="s">
        <v>166</v>
      </c>
      <c r="AC252" s="266" t="s">
        <v>166</v>
      </c>
      <c r="AD252" s="266" t="s">
        <v>166</v>
      </c>
      <c r="AE252" s="266" t="s">
        <v>166</v>
      </c>
      <c r="AF252" s="507">
        <f t="shared" si="1"/>
        <v>6</v>
      </c>
      <c r="AG252" s="507">
        <v>1.0</v>
      </c>
      <c r="AH252" s="507">
        <v>1.0</v>
      </c>
      <c r="AI252" s="266" t="s">
        <v>166</v>
      </c>
      <c r="AJ252" s="266">
        <v>1.0</v>
      </c>
      <c r="AK252" s="48" t="s">
        <v>4959</v>
      </c>
      <c r="AL252" s="48">
        <v>1.0</v>
      </c>
      <c r="AM252" s="705" t="s">
        <v>166</v>
      </c>
      <c r="AN252" s="705" t="s">
        <v>166</v>
      </c>
      <c r="AO252" s="705" t="s">
        <v>166</v>
      </c>
      <c r="AP252" s="507" t="s">
        <v>166</v>
      </c>
      <c r="AQ252" s="507" t="s">
        <v>166</v>
      </c>
      <c r="AR252" s="705" t="s">
        <v>5039</v>
      </c>
      <c r="AS252" s="266" t="s">
        <v>166</v>
      </c>
      <c r="AT252" s="266">
        <v>3.0</v>
      </c>
      <c r="AU252" s="266">
        <v>2.0</v>
      </c>
      <c r="AV252" s="266" t="s">
        <v>166</v>
      </c>
      <c r="AW252" s="266">
        <v>1.0</v>
      </c>
      <c r="AX252" s="266">
        <v>1.0</v>
      </c>
      <c r="AY252" s="266">
        <v>1.0</v>
      </c>
      <c r="AZ252" s="266">
        <v>2.0</v>
      </c>
      <c r="BA252" s="266" t="s">
        <v>166</v>
      </c>
      <c r="BB252" s="266" t="s">
        <v>166</v>
      </c>
      <c r="BC252" s="266" t="s">
        <v>166</v>
      </c>
      <c r="BD252" s="266" t="s">
        <v>166</v>
      </c>
      <c r="BE252" s="48" t="s">
        <v>5233</v>
      </c>
      <c r="BF252" s="48" t="s">
        <v>5143</v>
      </c>
      <c r="BG252" s="48" t="s">
        <v>4963</v>
      </c>
      <c r="BH252" s="48">
        <v>5.0</v>
      </c>
      <c r="BI252" s="698" t="s">
        <v>5750</v>
      </c>
      <c r="BJ252" s="708"/>
      <c r="BK252" s="394"/>
      <c r="BL252" s="394"/>
      <c r="BM252" s="394"/>
      <c r="BN252" s="394"/>
      <c r="BO252" s="394"/>
      <c r="BP252" s="394"/>
    </row>
    <row r="253">
      <c r="A253" s="507" t="s">
        <v>1688</v>
      </c>
      <c r="B253" s="705">
        <v>1200.0</v>
      </c>
      <c r="C253" s="507" t="s">
        <v>5280</v>
      </c>
      <c r="D253" s="452" t="s">
        <v>169</v>
      </c>
      <c r="E253" s="282" t="s">
        <v>5752</v>
      </c>
      <c r="F253" s="507">
        <v>197.0</v>
      </c>
      <c r="G253" s="507">
        <v>188.0</v>
      </c>
      <c r="H253" s="507">
        <v>4.0</v>
      </c>
      <c r="I253" s="507" t="s">
        <v>166</v>
      </c>
      <c r="J253" s="507">
        <v>1.0</v>
      </c>
      <c r="K253" s="507" t="s">
        <v>166</v>
      </c>
      <c r="L253" s="507" t="s">
        <v>166</v>
      </c>
      <c r="M253" s="507">
        <v>1.0</v>
      </c>
      <c r="N253" s="507" t="s">
        <v>166</v>
      </c>
      <c r="O253" s="507" t="s">
        <v>166</v>
      </c>
      <c r="P253" s="507" t="s">
        <v>166</v>
      </c>
      <c r="Q253" s="507" t="s">
        <v>166</v>
      </c>
      <c r="R253" s="266">
        <v>2.0</v>
      </c>
      <c r="S253" s="507" t="s">
        <v>3149</v>
      </c>
      <c r="T253" s="507">
        <v>64.0</v>
      </c>
      <c r="U253" s="266">
        <v>3200.0</v>
      </c>
      <c r="V253" s="266">
        <v>4.0</v>
      </c>
      <c r="W253" s="750" t="s">
        <v>166</v>
      </c>
      <c r="X253" s="266">
        <v>4.0</v>
      </c>
      <c r="Y253" s="266">
        <v>2.0</v>
      </c>
      <c r="Z253" s="266" t="s">
        <v>166</v>
      </c>
      <c r="AA253" s="266" t="s">
        <v>166</v>
      </c>
      <c r="AB253" s="266" t="s">
        <v>166</v>
      </c>
      <c r="AC253" s="266" t="s">
        <v>166</v>
      </c>
      <c r="AD253" s="266" t="s">
        <v>166</v>
      </c>
      <c r="AE253" s="266" t="s">
        <v>166</v>
      </c>
      <c r="AF253" s="507">
        <f t="shared" si="1"/>
        <v>6</v>
      </c>
      <c r="AG253" s="507">
        <v>1.0</v>
      </c>
      <c r="AH253" s="507">
        <v>1.0</v>
      </c>
      <c r="AI253" s="266" t="s">
        <v>166</v>
      </c>
      <c r="AJ253" s="266">
        <v>1.0</v>
      </c>
      <c r="AK253" s="48" t="s">
        <v>4959</v>
      </c>
      <c r="AL253" s="48">
        <v>1.0</v>
      </c>
      <c r="AM253" s="705" t="s">
        <v>166</v>
      </c>
      <c r="AN253" s="705" t="s">
        <v>166</v>
      </c>
      <c r="AO253" s="705" t="s">
        <v>166</v>
      </c>
      <c r="AP253" s="507" t="s">
        <v>166</v>
      </c>
      <c r="AQ253" s="507" t="s">
        <v>166</v>
      </c>
      <c r="AR253" s="705" t="s">
        <v>5039</v>
      </c>
      <c r="AS253" s="266" t="s">
        <v>166</v>
      </c>
      <c r="AT253" s="266">
        <v>3.0</v>
      </c>
      <c r="AU253" s="266">
        <v>2.0</v>
      </c>
      <c r="AV253" s="266" t="s">
        <v>166</v>
      </c>
      <c r="AW253" s="266">
        <v>1.0</v>
      </c>
      <c r="AX253" s="266" t="s">
        <v>166</v>
      </c>
      <c r="AY253" s="266">
        <v>1.0</v>
      </c>
      <c r="AZ253" s="266">
        <v>2.0</v>
      </c>
      <c r="BA253" s="266" t="s">
        <v>166</v>
      </c>
      <c r="BB253" s="266" t="s">
        <v>166</v>
      </c>
      <c r="BC253" s="266" t="s">
        <v>166</v>
      </c>
      <c r="BD253" s="266" t="s">
        <v>166</v>
      </c>
      <c r="BE253" s="48" t="s">
        <v>5726</v>
      </c>
      <c r="BF253" s="48" t="s">
        <v>5017</v>
      </c>
      <c r="BG253" s="48" t="s">
        <v>4963</v>
      </c>
      <c r="BH253" s="48">
        <v>4.0</v>
      </c>
      <c r="BI253" s="698" t="s">
        <v>5727</v>
      </c>
      <c r="BJ253" s="708"/>
      <c r="BK253" s="394"/>
      <c r="BL253" s="394"/>
      <c r="BM253" s="394"/>
      <c r="BN253" s="394"/>
      <c r="BO253" s="394"/>
      <c r="BP253" s="394"/>
    </row>
    <row r="254">
      <c r="A254" s="507" t="s">
        <v>1688</v>
      </c>
      <c r="B254" s="705">
        <v>1200.0</v>
      </c>
      <c r="C254" s="507" t="s">
        <v>5280</v>
      </c>
      <c r="D254" s="452" t="s">
        <v>169</v>
      </c>
      <c r="E254" s="282" t="s">
        <v>5753</v>
      </c>
      <c r="F254" s="507">
        <v>226.0</v>
      </c>
      <c r="G254" s="507">
        <v>188.0</v>
      </c>
      <c r="H254" s="507">
        <v>4.0</v>
      </c>
      <c r="I254" s="507" t="s">
        <v>166</v>
      </c>
      <c r="J254" s="507">
        <v>1.0</v>
      </c>
      <c r="K254" s="507" t="s">
        <v>166</v>
      </c>
      <c r="L254" s="507" t="s">
        <v>166</v>
      </c>
      <c r="M254" s="507">
        <v>1.0</v>
      </c>
      <c r="N254" s="507" t="s">
        <v>166</v>
      </c>
      <c r="O254" s="507" t="s">
        <v>166</v>
      </c>
      <c r="P254" s="507" t="s">
        <v>166</v>
      </c>
      <c r="Q254" s="507" t="s">
        <v>166</v>
      </c>
      <c r="R254" s="266">
        <v>2.0</v>
      </c>
      <c r="S254" s="507" t="s">
        <v>3149</v>
      </c>
      <c r="T254" s="507">
        <v>64.0</v>
      </c>
      <c r="U254" s="266">
        <v>3200.0</v>
      </c>
      <c r="V254" s="266">
        <v>4.0</v>
      </c>
      <c r="W254" s="711" t="s">
        <v>4950</v>
      </c>
      <c r="X254" s="266">
        <v>2.0</v>
      </c>
      <c r="Y254" s="266">
        <v>2.0</v>
      </c>
      <c r="Z254" s="266" t="s">
        <v>166</v>
      </c>
      <c r="AA254" s="266" t="s">
        <v>166</v>
      </c>
      <c r="AB254" s="266" t="s">
        <v>166</v>
      </c>
      <c r="AC254" s="266" t="s">
        <v>166</v>
      </c>
      <c r="AD254" s="266" t="s">
        <v>166</v>
      </c>
      <c r="AE254" s="266" t="s">
        <v>166</v>
      </c>
      <c r="AF254" s="507">
        <f t="shared" si="1"/>
        <v>4</v>
      </c>
      <c r="AG254" s="507">
        <v>1.0</v>
      </c>
      <c r="AH254" s="507">
        <v>1.0</v>
      </c>
      <c r="AI254" s="266" t="s">
        <v>166</v>
      </c>
      <c r="AJ254" s="266">
        <v>1.0</v>
      </c>
      <c r="AK254" s="705" t="s">
        <v>5133</v>
      </c>
      <c r="AL254" s="705">
        <v>1.0</v>
      </c>
      <c r="AM254" s="705">
        <v>1.0</v>
      </c>
      <c r="AN254" s="48" t="s">
        <v>4966</v>
      </c>
      <c r="AO254" s="48" t="s">
        <v>4967</v>
      </c>
      <c r="AP254" s="266">
        <v>433.0</v>
      </c>
      <c r="AQ254" s="507">
        <v>4.2</v>
      </c>
      <c r="AR254" s="705" t="s">
        <v>5039</v>
      </c>
      <c r="AS254" s="266" t="s">
        <v>166</v>
      </c>
      <c r="AT254" s="266">
        <v>3.0</v>
      </c>
      <c r="AU254" s="266">
        <v>2.0</v>
      </c>
      <c r="AV254" s="266" t="s">
        <v>166</v>
      </c>
      <c r="AW254" s="266">
        <v>1.0</v>
      </c>
      <c r="AX254" s="266">
        <v>1.0</v>
      </c>
      <c r="AY254" s="266">
        <v>1.0</v>
      </c>
      <c r="AZ254" s="266">
        <v>3.0</v>
      </c>
      <c r="BA254" s="266" t="s">
        <v>166</v>
      </c>
      <c r="BB254" s="266">
        <v>1.0</v>
      </c>
      <c r="BC254" s="266" t="s">
        <v>166</v>
      </c>
      <c r="BD254" s="266" t="s">
        <v>166</v>
      </c>
      <c r="BE254" s="48" t="s">
        <v>5678</v>
      </c>
      <c r="BF254" s="48" t="s">
        <v>5017</v>
      </c>
      <c r="BG254" s="48" t="s">
        <v>4963</v>
      </c>
      <c r="BH254" s="48">
        <v>4.0</v>
      </c>
      <c r="BI254" s="698" t="s">
        <v>170</v>
      </c>
      <c r="BJ254" s="708"/>
      <c r="BK254" s="394"/>
      <c r="BL254" s="394"/>
      <c r="BM254" s="394"/>
      <c r="BN254" s="394"/>
      <c r="BO254" s="394"/>
      <c r="BP254" s="394"/>
    </row>
    <row r="255">
      <c r="A255" s="507" t="s">
        <v>1688</v>
      </c>
      <c r="B255" s="705">
        <v>1200.0</v>
      </c>
      <c r="C255" s="507" t="s">
        <v>5280</v>
      </c>
      <c r="D255" s="452" t="str">
        <f t="shared" ref="D255:D262" si="37">HYPERLINK("https://www.asus.com/","Asus")</f>
        <v>Asus</v>
      </c>
      <c r="E255" s="282" t="s">
        <v>5754</v>
      </c>
      <c r="F255" s="507">
        <v>213.0</v>
      </c>
      <c r="G255" s="507">
        <v>188.0</v>
      </c>
      <c r="H255" s="507">
        <v>4.0</v>
      </c>
      <c r="I255" s="507" t="s">
        <v>166</v>
      </c>
      <c r="J255" s="507">
        <v>1.0</v>
      </c>
      <c r="K255" s="507" t="s">
        <v>166</v>
      </c>
      <c r="L255" s="507" t="s">
        <v>166</v>
      </c>
      <c r="M255" s="507">
        <v>1.0</v>
      </c>
      <c r="N255" s="507" t="s">
        <v>166</v>
      </c>
      <c r="O255" s="507" t="s">
        <v>166</v>
      </c>
      <c r="P255" s="507" t="s">
        <v>166</v>
      </c>
      <c r="Q255" s="507" t="s">
        <v>166</v>
      </c>
      <c r="R255" s="266">
        <v>2.0</v>
      </c>
      <c r="S255" s="507" t="s">
        <v>3149</v>
      </c>
      <c r="T255" s="507">
        <v>64.0</v>
      </c>
      <c r="U255" s="266">
        <v>3200.0</v>
      </c>
      <c r="V255" s="266">
        <v>3.0</v>
      </c>
      <c r="W255" s="750" t="s">
        <v>166</v>
      </c>
      <c r="X255" s="266">
        <v>4.0</v>
      </c>
      <c r="Y255" s="266">
        <v>2.0</v>
      </c>
      <c r="Z255" s="266" t="s">
        <v>166</v>
      </c>
      <c r="AA255" s="266" t="s">
        <v>166</v>
      </c>
      <c r="AB255" s="266" t="s">
        <v>166</v>
      </c>
      <c r="AC255" s="266" t="s">
        <v>166</v>
      </c>
      <c r="AD255" s="266" t="s">
        <v>166</v>
      </c>
      <c r="AE255" s="266" t="s">
        <v>166</v>
      </c>
      <c r="AF255" s="507">
        <f t="shared" si="1"/>
        <v>6</v>
      </c>
      <c r="AG255" s="507">
        <v>1.0</v>
      </c>
      <c r="AH255" s="507">
        <v>1.0</v>
      </c>
      <c r="AI255" s="266" t="s">
        <v>166</v>
      </c>
      <c r="AJ255" s="266">
        <v>1.0</v>
      </c>
      <c r="AK255" s="705" t="s">
        <v>5016</v>
      </c>
      <c r="AL255" s="705">
        <v>1.0</v>
      </c>
      <c r="AM255" s="705" t="s">
        <v>166</v>
      </c>
      <c r="AN255" s="705" t="s">
        <v>166</v>
      </c>
      <c r="AO255" s="705" t="s">
        <v>166</v>
      </c>
      <c r="AP255" s="507" t="s">
        <v>166</v>
      </c>
      <c r="AQ255" s="507" t="s">
        <v>166</v>
      </c>
      <c r="AR255" s="705" t="s">
        <v>5039</v>
      </c>
      <c r="AS255" s="266" t="s">
        <v>166</v>
      </c>
      <c r="AT255" s="266">
        <v>3.0</v>
      </c>
      <c r="AU255" s="266">
        <v>2.0</v>
      </c>
      <c r="AV255" s="266" t="s">
        <v>166</v>
      </c>
      <c r="AW255" s="266">
        <v>1.0</v>
      </c>
      <c r="AX255" s="266" t="s">
        <v>166</v>
      </c>
      <c r="AY255" s="266" t="s">
        <v>166</v>
      </c>
      <c r="AZ255" s="266">
        <v>2.0</v>
      </c>
      <c r="BA255" s="266" t="s">
        <v>166</v>
      </c>
      <c r="BB255" s="266" t="s">
        <v>166</v>
      </c>
      <c r="BC255" s="266" t="s">
        <v>166</v>
      </c>
      <c r="BD255" s="266" t="s">
        <v>166</v>
      </c>
      <c r="BE255" s="48" t="s">
        <v>5201</v>
      </c>
      <c r="BF255" s="705" t="s">
        <v>5017</v>
      </c>
      <c r="BG255" s="48" t="s">
        <v>4963</v>
      </c>
      <c r="BH255" s="48">
        <v>4.0</v>
      </c>
      <c r="BI255" s="708" t="s">
        <v>5477</v>
      </c>
      <c r="BJ255" s="708"/>
      <c r="BK255" s="394"/>
      <c r="BL255" s="394"/>
      <c r="BM255" s="394"/>
      <c r="BN255" s="394"/>
      <c r="BO255" s="394"/>
      <c r="BP255" s="394"/>
    </row>
    <row r="256">
      <c r="A256" s="507" t="s">
        <v>1688</v>
      </c>
      <c r="B256" s="705">
        <v>1200.0</v>
      </c>
      <c r="C256" s="507" t="s">
        <v>5280</v>
      </c>
      <c r="D256" s="452" t="str">
        <f t="shared" si="37"/>
        <v>Asus</v>
      </c>
      <c r="E256" s="282" t="s">
        <v>5755</v>
      </c>
      <c r="F256" s="507">
        <v>226.0</v>
      </c>
      <c r="G256" s="507">
        <v>211.0</v>
      </c>
      <c r="H256" s="507">
        <v>4.0</v>
      </c>
      <c r="I256" s="507" t="s">
        <v>166</v>
      </c>
      <c r="J256" s="507">
        <v>2.0</v>
      </c>
      <c r="K256" s="507" t="s">
        <v>166</v>
      </c>
      <c r="L256" s="507" t="s">
        <v>166</v>
      </c>
      <c r="M256" s="507">
        <v>1.0</v>
      </c>
      <c r="N256" s="507" t="s">
        <v>166</v>
      </c>
      <c r="O256" s="507" t="s">
        <v>166</v>
      </c>
      <c r="P256" s="507" t="s">
        <v>166</v>
      </c>
      <c r="Q256" s="507" t="s">
        <v>166</v>
      </c>
      <c r="R256" s="266">
        <v>2.0</v>
      </c>
      <c r="S256" s="507" t="s">
        <v>3149</v>
      </c>
      <c r="T256" s="507">
        <v>64.0</v>
      </c>
      <c r="U256" s="266">
        <v>3200.0</v>
      </c>
      <c r="V256" s="266">
        <v>4.0</v>
      </c>
      <c r="W256" s="711" t="s">
        <v>4950</v>
      </c>
      <c r="X256" s="266">
        <v>4.0</v>
      </c>
      <c r="Y256" s="266">
        <v>2.0</v>
      </c>
      <c r="Z256" s="266" t="s">
        <v>166</v>
      </c>
      <c r="AA256" s="266" t="s">
        <v>166</v>
      </c>
      <c r="AB256" s="266" t="s">
        <v>166</v>
      </c>
      <c r="AC256" s="266" t="s">
        <v>166</v>
      </c>
      <c r="AD256" s="266" t="s">
        <v>166</v>
      </c>
      <c r="AE256" s="266" t="s">
        <v>166</v>
      </c>
      <c r="AF256" s="507">
        <f t="shared" si="1"/>
        <v>6</v>
      </c>
      <c r="AG256" s="507">
        <v>2.0</v>
      </c>
      <c r="AH256" s="507">
        <v>1.0</v>
      </c>
      <c r="AI256" s="266" t="s">
        <v>166</v>
      </c>
      <c r="AJ256" s="266">
        <v>1.0</v>
      </c>
      <c r="AK256" s="705" t="s">
        <v>5133</v>
      </c>
      <c r="AL256" s="705">
        <v>1.0</v>
      </c>
      <c r="AM256" s="705" t="s">
        <v>166</v>
      </c>
      <c r="AN256" s="705" t="s">
        <v>166</v>
      </c>
      <c r="AO256" s="705" t="s">
        <v>166</v>
      </c>
      <c r="AP256" s="507" t="s">
        <v>166</v>
      </c>
      <c r="AQ256" s="507" t="s">
        <v>166</v>
      </c>
      <c r="AR256" s="705" t="s">
        <v>5039</v>
      </c>
      <c r="AS256" s="266" t="s">
        <v>166</v>
      </c>
      <c r="AT256" s="266">
        <v>3.0</v>
      </c>
      <c r="AU256" s="266">
        <v>2.0</v>
      </c>
      <c r="AV256" s="266">
        <v>1.0</v>
      </c>
      <c r="AW256" s="266">
        <v>1.0</v>
      </c>
      <c r="AX256" s="266" t="s">
        <v>166</v>
      </c>
      <c r="AY256" s="266">
        <v>1.0</v>
      </c>
      <c r="AZ256" s="266">
        <v>3.0</v>
      </c>
      <c r="BA256" s="266">
        <v>2.0</v>
      </c>
      <c r="BB256" s="266">
        <v>2.0</v>
      </c>
      <c r="BC256" s="266" t="s">
        <v>174</v>
      </c>
      <c r="BD256" s="266" t="s">
        <v>166</v>
      </c>
      <c r="BE256" s="48" t="s">
        <v>5233</v>
      </c>
      <c r="BF256" s="48" t="s">
        <v>4973</v>
      </c>
      <c r="BG256" s="48" t="s">
        <v>4955</v>
      </c>
      <c r="BH256" s="48">
        <v>6.0</v>
      </c>
      <c r="BI256" s="698" t="s">
        <v>5441</v>
      </c>
      <c r="BJ256" s="708"/>
      <c r="BK256" s="394"/>
      <c r="BL256" s="394"/>
      <c r="BM256" s="394"/>
      <c r="BN256" s="394"/>
      <c r="BO256" s="394"/>
      <c r="BP256" s="394"/>
    </row>
    <row r="257">
      <c r="A257" s="507" t="s">
        <v>1688</v>
      </c>
      <c r="B257" s="705">
        <v>1200.0</v>
      </c>
      <c r="C257" s="507" t="s">
        <v>5280</v>
      </c>
      <c r="D257" s="452" t="str">
        <f t="shared" si="37"/>
        <v>Asus</v>
      </c>
      <c r="E257" s="174" t="s">
        <v>5756</v>
      </c>
      <c r="F257" s="266">
        <v>226.0</v>
      </c>
      <c r="G257" s="266">
        <v>211.0</v>
      </c>
      <c r="H257" s="507">
        <v>4.0</v>
      </c>
      <c r="I257" s="266" t="s">
        <v>166</v>
      </c>
      <c r="J257" s="266">
        <v>2.0</v>
      </c>
      <c r="K257" s="266" t="s">
        <v>166</v>
      </c>
      <c r="L257" s="266" t="s">
        <v>166</v>
      </c>
      <c r="M257" s="266">
        <v>1.0</v>
      </c>
      <c r="N257" s="266" t="s">
        <v>166</v>
      </c>
      <c r="O257" s="266" t="s">
        <v>166</v>
      </c>
      <c r="P257" s="266" t="s">
        <v>166</v>
      </c>
      <c r="Q257" s="266" t="s">
        <v>166</v>
      </c>
      <c r="R257" s="266">
        <v>2.0</v>
      </c>
      <c r="S257" s="507" t="s">
        <v>3149</v>
      </c>
      <c r="T257" s="507">
        <v>64.0</v>
      </c>
      <c r="U257" s="266">
        <v>3200.0</v>
      </c>
      <c r="V257" s="266">
        <v>4.0</v>
      </c>
      <c r="W257" s="711" t="s">
        <v>4950</v>
      </c>
      <c r="X257" s="266">
        <v>4.0</v>
      </c>
      <c r="Y257" s="266">
        <v>2.0</v>
      </c>
      <c r="Z257" s="266" t="s">
        <v>166</v>
      </c>
      <c r="AA257" s="266" t="s">
        <v>166</v>
      </c>
      <c r="AB257" s="266" t="s">
        <v>166</v>
      </c>
      <c r="AC257" s="266" t="s">
        <v>166</v>
      </c>
      <c r="AD257" s="266" t="s">
        <v>166</v>
      </c>
      <c r="AE257" s="266" t="s">
        <v>166</v>
      </c>
      <c r="AF257" s="507">
        <f t="shared" si="1"/>
        <v>6</v>
      </c>
      <c r="AG257" s="507">
        <v>2.0</v>
      </c>
      <c r="AH257" s="507">
        <v>1.0</v>
      </c>
      <c r="AI257" s="266" t="s">
        <v>166</v>
      </c>
      <c r="AJ257" s="266">
        <v>1.0</v>
      </c>
      <c r="AK257" s="705" t="s">
        <v>5133</v>
      </c>
      <c r="AL257" s="705">
        <v>1.0</v>
      </c>
      <c r="AM257" s="48">
        <v>1.0</v>
      </c>
      <c r="AN257" s="48" t="s">
        <v>4966</v>
      </c>
      <c r="AO257" s="48" t="s">
        <v>5195</v>
      </c>
      <c r="AP257" s="266">
        <v>433.0</v>
      </c>
      <c r="AQ257" s="266">
        <v>5.1</v>
      </c>
      <c r="AR257" s="705" t="s">
        <v>5039</v>
      </c>
      <c r="AS257" s="266" t="s">
        <v>166</v>
      </c>
      <c r="AT257" s="266">
        <v>3.0</v>
      </c>
      <c r="AU257" s="266">
        <v>2.0</v>
      </c>
      <c r="AV257" s="266">
        <v>1.0</v>
      </c>
      <c r="AW257" s="266">
        <v>1.0</v>
      </c>
      <c r="AX257" s="266" t="s">
        <v>166</v>
      </c>
      <c r="AY257" s="266">
        <v>1.0</v>
      </c>
      <c r="AZ257" s="266">
        <v>3.0</v>
      </c>
      <c r="BA257" s="266">
        <v>2.0</v>
      </c>
      <c r="BB257" s="266">
        <v>2.0</v>
      </c>
      <c r="BC257" s="266" t="s">
        <v>174</v>
      </c>
      <c r="BD257" s="266" t="s">
        <v>166</v>
      </c>
      <c r="BE257" s="48" t="s">
        <v>5233</v>
      </c>
      <c r="BF257" s="48" t="s">
        <v>4973</v>
      </c>
      <c r="BG257" s="48" t="s">
        <v>4955</v>
      </c>
      <c r="BH257" s="48">
        <v>6.0</v>
      </c>
      <c r="BI257" s="698" t="s">
        <v>5441</v>
      </c>
      <c r="BJ257" s="698"/>
      <c r="BK257" s="394"/>
      <c r="BL257" s="394"/>
      <c r="BM257" s="394"/>
      <c r="BN257" s="394"/>
      <c r="BO257" s="394"/>
      <c r="BP257" s="394"/>
    </row>
    <row r="258">
      <c r="A258" s="507" t="s">
        <v>1688</v>
      </c>
      <c r="B258" s="705">
        <v>1200.0</v>
      </c>
      <c r="C258" s="507" t="s">
        <v>5280</v>
      </c>
      <c r="D258" s="452" t="str">
        <f t="shared" si="37"/>
        <v>Asus</v>
      </c>
      <c r="E258" s="282" t="s">
        <v>5757</v>
      </c>
      <c r="F258" s="507">
        <v>226.0</v>
      </c>
      <c r="G258" s="507">
        <v>203.0</v>
      </c>
      <c r="H258" s="507">
        <v>4.0</v>
      </c>
      <c r="I258" s="507" t="s">
        <v>166</v>
      </c>
      <c r="J258" s="507">
        <v>1.0</v>
      </c>
      <c r="K258" s="507" t="s">
        <v>166</v>
      </c>
      <c r="L258" s="507" t="s">
        <v>166</v>
      </c>
      <c r="M258" s="507">
        <v>1.0</v>
      </c>
      <c r="N258" s="507" t="s">
        <v>166</v>
      </c>
      <c r="O258" s="507" t="s">
        <v>166</v>
      </c>
      <c r="P258" s="507" t="s">
        <v>166</v>
      </c>
      <c r="Q258" s="507" t="s">
        <v>166</v>
      </c>
      <c r="R258" s="507">
        <v>2.0</v>
      </c>
      <c r="S258" s="507" t="s">
        <v>3149</v>
      </c>
      <c r="T258" s="507">
        <v>64.0</v>
      </c>
      <c r="U258" s="507">
        <v>3200.0</v>
      </c>
      <c r="V258" s="507">
        <v>4.0</v>
      </c>
      <c r="W258" s="711" t="s">
        <v>4950</v>
      </c>
      <c r="X258" s="507">
        <v>4.0</v>
      </c>
      <c r="Y258" s="507">
        <v>2.0</v>
      </c>
      <c r="Z258" s="507" t="s">
        <v>166</v>
      </c>
      <c r="AA258" s="507" t="s">
        <v>166</v>
      </c>
      <c r="AB258" s="507" t="s">
        <v>166</v>
      </c>
      <c r="AC258" s="507" t="s">
        <v>166</v>
      </c>
      <c r="AD258" s="507" t="s">
        <v>166</v>
      </c>
      <c r="AE258" s="507" t="s">
        <v>166</v>
      </c>
      <c r="AF258" s="507">
        <f t="shared" si="1"/>
        <v>6</v>
      </c>
      <c r="AG258" s="507">
        <v>1.0</v>
      </c>
      <c r="AH258" s="507">
        <v>1.0</v>
      </c>
      <c r="AI258" s="507" t="s">
        <v>166</v>
      </c>
      <c r="AJ258" s="507">
        <v>1.0</v>
      </c>
      <c r="AK258" s="705" t="s">
        <v>5133</v>
      </c>
      <c r="AL258" s="705">
        <v>1.0</v>
      </c>
      <c r="AM258" s="705" t="s">
        <v>166</v>
      </c>
      <c r="AN258" s="705" t="s">
        <v>166</v>
      </c>
      <c r="AO258" s="705" t="s">
        <v>166</v>
      </c>
      <c r="AP258" s="507" t="s">
        <v>166</v>
      </c>
      <c r="AQ258" s="507" t="s">
        <v>166</v>
      </c>
      <c r="AR258" s="705" t="s">
        <v>5039</v>
      </c>
      <c r="AS258" s="507" t="s">
        <v>166</v>
      </c>
      <c r="AT258" s="507">
        <v>3.0</v>
      </c>
      <c r="AU258" s="507">
        <v>1.0</v>
      </c>
      <c r="AV258" s="507" t="s">
        <v>166</v>
      </c>
      <c r="AW258" s="266">
        <v>1.0</v>
      </c>
      <c r="AX258" s="507" t="s">
        <v>166</v>
      </c>
      <c r="AY258" s="507">
        <v>1.0</v>
      </c>
      <c r="AZ258" s="507">
        <v>2.0</v>
      </c>
      <c r="BA258" s="507">
        <v>1.0</v>
      </c>
      <c r="BB258" s="507" t="s">
        <v>166</v>
      </c>
      <c r="BC258" s="507" t="s">
        <v>166</v>
      </c>
      <c r="BD258" s="507" t="s">
        <v>166</v>
      </c>
      <c r="BE258" s="48" t="s">
        <v>5233</v>
      </c>
      <c r="BF258" s="48" t="s">
        <v>4973</v>
      </c>
      <c r="BG258" s="48" t="s">
        <v>4955</v>
      </c>
      <c r="BH258" s="48">
        <v>6.0</v>
      </c>
      <c r="BI258" s="698" t="s">
        <v>5441</v>
      </c>
      <c r="BJ258" s="708"/>
      <c r="BK258" s="394"/>
      <c r="BL258" s="394"/>
      <c r="BM258" s="394"/>
      <c r="BN258" s="394"/>
      <c r="BO258" s="394"/>
      <c r="BP258" s="394"/>
    </row>
    <row r="259">
      <c r="A259" s="507" t="s">
        <v>1688</v>
      </c>
      <c r="B259" s="705">
        <v>1200.0</v>
      </c>
      <c r="C259" s="507" t="s">
        <v>5280</v>
      </c>
      <c r="D259" s="452" t="str">
        <f t="shared" si="37"/>
        <v>Asus</v>
      </c>
      <c r="E259" s="282" t="s">
        <v>5758</v>
      </c>
      <c r="F259" s="507">
        <v>226.0</v>
      </c>
      <c r="G259" s="507">
        <v>211.0</v>
      </c>
      <c r="H259" s="507">
        <v>4.0</v>
      </c>
      <c r="I259" s="507" t="s">
        <v>166</v>
      </c>
      <c r="J259" s="507">
        <v>2.0</v>
      </c>
      <c r="K259" s="507" t="s">
        <v>166</v>
      </c>
      <c r="L259" s="507" t="s">
        <v>166</v>
      </c>
      <c r="M259" s="507">
        <v>1.0</v>
      </c>
      <c r="N259" s="507" t="s">
        <v>166</v>
      </c>
      <c r="O259" s="507" t="s">
        <v>166</v>
      </c>
      <c r="P259" s="507" t="s">
        <v>166</v>
      </c>
      <c r="Q259" s="507" t="s">
        <v>166</v>
      </c>
      <c r="R259" s="507">
        <v>2.0</v>
      </c>
      <c r="S259" s="507" t="s">
        <v>3149</v>
      </c>
      <c r="T259" s="507">
        <v>64.0</v>
      </c>
      <c r="U259" s="507">
        <v>3200.0</v>
      </c>
      <c r="V259" s="507">
        <v>4.0</v>
      </c>
      <c r="W259" s="711" t="s">
        <v>4950</v>
      </c>
      <c r="X259" s="507">
        <v>2.0</v>
      </c>
      <c r="Y259" s="507">
        <v>2.0</v>
      </c>
      <c r="Z259" s="507" t="s">
        <v>166</v>
      </c>
      <c r="AA259" s="507" t="s">
        <v>166</v>
      </c>
      <c r="AB259" s="507" t="s">
        <v>166</v>
      </c>
      <c r="AC259" s="507" t="s">
        <v>166</v>
      </c>
      <c r="AD259" s="507" t="s">
        <v>166</v>
      </c>
      <c r="AE259" s="507" t="s">
        <v>166</v>
      </c>
      <c r="AF259" s="507">
        <f t="shared" si="1"/>
        <v>4</v>
      </c>
      <c r="AG259" s="507">
        <v>2.0</v>
      </c>
      <c r="AH259" s="507">
        <v>1.0</v>
      </c>
      <c r="AI259" s="507" t="s">
        <v>166</v>
      </c>
      <c r="AJ259" s="507">
        <v>1.0</v>
      </c>
      <c r="AK259" s="705" t="s">
        <v>5133</v>
      </c>
      <c r="AL259" s="705">
        <v>1.0</v>
      </c>
      <c r="AM259" s="705" t="s">
        <v>166</v>
      </c>
      <c r="AN259" s="705" t="s">
        <v>166</v>
      </c>
      <c r="AO259" s="705" t="s">
        <v>166</v>
      </c>
      <c r="AP259" s="507" t="s">
        <v>166</v>
      </c>
      <c r="AQ259" s="507" t="s">
        <v>166</v>
      </c>
      <c r="AR259" s="705" t="s">
        <v>5039</v>
      </c>
      <c r="AS259" s="507" t="s">
        <v>166</v>
      </c>
      <c r="AT259" s="507">
        <v>3.0</v>
      </c>
      <c r="AU259" s="507">
        <v>2.0</v>
      </c>
      <c r="AV259" s="266">
        <v>1.0</v>
      </c>
      <c r="AW259" s="266">
        <v>1.0</v>
      </c>
      <c r="AX259" s="266" t="s">
        <v>166</v>
      </c>
      <c r="AY259" s="266">
        <v>1.0</v>
      </c>
      <c r="AZ259" s="507">
        <v>2.0</v>
      </c>
      <c r="BA259" s="507">
        <v>1.0</v>
      </c>
      <c r="BB259" s="507" t="s">
        <v>166</v>
      </c>
      <c r="BC259" s="507" t="s">
        <v>166</v>
      </c>
      <c r="BD259" s="507" t="s">
        <v>166</v>
      </c>
      <c r="BE259" s="48" t="s">
        <v>5233</v>
      </c>
      <c r="BF259" s="705" t="s">
        <v>4973</v>
      </c>
      <c r="BG259" s="705" t="s">
        <v>4963</v>
      </c>
      <c r="BH259" s="705">
        <v>6.0</v>
      </c>
      <c r="BI259" s="708" t="s">
        <v>5477</v>
      </c>
      <c r="BJ259" s="708"/>
      <c r="BK259" s="394"/>
      <c r="BL259" s="394"/>
      <c r="BM259" s="394"/>
      <c r="BN259" s="394"/>
      <c r="BO259" s="394"/>
      <c r="BP259" s="394"/>
    </row>
    <row r="260">
      <c r="A260" s="507" t="s">
        <v>1688</v>
      </c>
      <c r="B260" s="705">
        <v>1200.0</v>
      </c>
      <c r="C260" s="507" t="s">
        <v>5280</v>
      </c>
      <c r="D260" s="452" t="str">
        <f t="shared" si="37"/>
        <v>Asus</v>
      </c>
      <c r="E260" s="282" t="s">
        <v>5759</v>
      </c>
      <c r="F260" s="507">
        <v>213.0</v>
      </c>
      <c r="G260" s="507">
        <v>188.0</v>
      </c>
      <c r="H260" s="507">
        <v>4.0</v>
      </c>
      <c r="I260" s="507" t="s">
        <v>166</v>
      </c>
      <c r="J260" s="507">
        <v>1.0</v>
      </c>
      <c r="K260" s="507" t="s">
        <v>166</v>
      </c>
      <c r="L260" s="507" t="s">
        <v>166</v>
      </c>
      <c r="M260" s="507">
        <v>1.0</v>
      </c>
      <c r="N260" s="507" t="s">
        <v>166</v>
      </c>
      <c r="O260" s="507" t="s">
        <v>166</v>
      </c>
      <c r="P260" s="507" t="s">
        <v>166</v>
      </c>
      <c r="Q260" s="507" t="s">
        <v>166</v>
      </c>
      <c r="R260" s="507">
        <v>2.0</v>
      </c>
      <c r="S260" s="507" t="s">
        <v>3149</v>
      </c>
      <c r="T260" s="507">
        <v>64.0</v>
      </c>
      <c r="U260" s="507">
        <v>3200.0</v>
      </c>
      <c r="V260" s="507">
        <v>4.0</v>
      </c>
      <c r="W260" s="750" t="s">
        <v>166</v>
      </c>
      <c r="X260" s="507">
        <v>4.0</v>
      </c>
      <c r="Y260" s="507">
        <v>2.0</v>
      </c>
      <c r="Z260" s="507" t="s">
        <v>166</v>
      </c>
      <c r="AA260" s="507" t="s">
        <v>166</v>
      </c>
      <c r="AB260" s="507" t="s">
        <v>166</v>
      </c>
      <c r="AC260" s="507" t="s">
        <v>166</v>
      </c>
      <c r="AD260" s="507" t="s">
        <v>166</v>
      </c>
      <c r="AE260" s="507" t="s">
        <v>166</v>
      </c>
      <c r="AF260" s="507">
        <f t="shared" si="1"/>
        <v>6</v>
      </c>
      <c r="AG260" s="507">
        <v>1.0</v>
      </c>
      <c r="AH260" s="507">
        <v>1.0</v>
      </c>
      <c r="AI260" s="507" t="s">
        <v>166</v>
      </c>
      <c r="AJ260" s="507">
        <v>1.0</v>
      </c>
      <c r="AK260" s="705" t="s">
        <v>5016</v>
      </c>
      <c r="AL260" s="705">
        <v>1.0</v>
      </c>
      <c r="AM260" s="705" t="s">
        <v>166</v>
      </c>
      <c r="AN260" s="705" t="s">
        <v>166</v>
      </c>
      <c r="AO260" s="705" t="s">
        <v>166</v>
      </c>
      <c r="AP260" s="507" t="s">
        <v>166</v>
      </c>
      <c r="AQ260" s="507" t="s">
        <v>166</v>
      </c>
      <c r="AR260" s="705" t="s">
        <v>5039</v>
      </c>
      <c r="AS260" s="507" t="s">
        <v>166</v>
      </c>
      <c r="AT260" s="507">
        <v>3.0</v>
      </c>
      <c r="AU260" s="507">
        <v>2.0</v>
      </c>
      <c r="AV260" s="266" t="s">
        <v>166</v>
      </c>
      <c r="AW260" s="266" t="s">
        <v>166</v>
      </c>
      <c r="AX260" s="266" t="s">
        <v>166</v>
      </c>
      <c r="AY260" s="266">
        <v>1.0</v>
      </c>
      <c r="AZ260" s="507">
        <v>2.0</v>
      </c>
      <c r="BA260" s="507" t="s">
        <v>166</v>
      </c>
      <c r="BB260" s="507" t="s">
        <v>166</v>
      </c>
      <c r="BC260" s="507" t="s">
        <v>166</v>
      </c>
      <c r="BD260" s="507" t="s">
        <v>166</v>
      </c>
      <c r="BE260" s="48" t="s">
        <v>5201</v>
      </c>
      <c r="BF260" s="705" t="s">
        <v>5017</v>
      </c>
      <c r="BG260" s="705" t="s">
        <v>4963</v>
      </c>
      <c r="BH260" s="705">
        <v>4.0</v>
      </c>
      <c r="BI260" s="708" t="s">
        <v>5477</v>
      </c>
      <c r="BJ260" s="708"/>
      <c r="BK260" s="394"/>
      <c r="BL260" s="394"/>
      <c r="BM260" s="394"/>
      <c r="BN260" s="394"/>
      <c r="BO260" s="394"/>
      <c r="BP260" s="394"/>
    </row>
    <row r="261">
      <c r="A261" s="507" t="s">
        <v>1688</v>
      </c>
      <c r="B261" s="705">
        <v>1200.0</v>
      </c>
      <c r="C261" s="507" t="s">
        <v>5280</v>
      </c>
      <c r="D261" s="452" t="str">
        <f t="shared" si="37"/>
        <v>Asus</v>
      </c>
      <c r="E261" s="282" t="s">
        <v>5760</v>
      </c>
      <c r="F261" s="507">
        <v>244.0</v>
      </c>
      <c r="G261" s="507">
        <v>216.0</v>
      </c>
      <c r="H261" s="507">
        <v>4.0</v>
      </c>
      <c r="I261" s="507">
        <v>1.0</v>
      </c>
      <c r="J261" s="507">
        <v>2.0</v>
      </c>
      <c r="K261" s="507" t="s">
        <v>166</v>
      </c>
      <c r="L261" s="507" t="s">
        <v>166</v>
      </c>
      <c r="M261" s="507">
        <v>1.0</v>
      </c>
      <c r="N261" s="507" t="s">
        <v>166</v>
      </c>
      <c r="O261" s="507" t="s">
        <v>166</v>
      </c>
      <c r="P261" s="507" t="s">
        <v>166</v>
      </c>
      <c r="Q261" s="507" t="s">
        <v>166</v>
      </c>
      <c r="R261" s="507">
        <v>2.0</v>
      </c>
      <c r="S261" s="507" t="s">
        <v>3149</v>
      </c>
      <c r="T261" s="507">
        <v>64.0</v>
      </c>
      <c r="U261" s="507">
        <v>3200.0</v>
      </c>
      <c r="V261" s="507">
        <v>4.0</v>
      </c>
      <c r="W261" s="711" t="s">
        <v>4950</v>
      </c>
      <c r="X261" s="507">
        <v>2.0</v>
      </c>
      <c r="Y261" s="507">
        <v>2.0</v>
      </c>
      <c r="Z261" s="507" t="s">
        <v>166</v>
      </c>
      <c r="AA261" s="507" t="s">
        <v>166</v>
      </c>
      <c r="AB261" s="507" t="s">
        <v>166</v>
      </c>
      <c r="AC261" s="507" t="s">
        <v>166</v>
      </c>
      <c r="AD261" s="507" t="s">
        <v>166</v>
      </c>
      <c r="AE261" s="507" t="s">
        <v>166</v>
      </c>
      <c r="AF261" s="507">
        <f t="shared" si="1"/>
        <v>4</v>
      </c>
      <c r="AG261" s="507">
        <v>2.0</v>
      </c>
      <c r="AH261" s="507">
        <v>1.0</v>
      </c>
      <c r="AI261" s="507" t="s">
        <v>166</v>
      </c>
      <c r="AJ261" s="507">
        <v>1.0</v>
      </c>
      <c r="AK261" s="705" t="s">
        <v>5133</v>
      </c>
      <c r="AL261" s="705">
        <v>1.0</v>
      </c>
      <c r="AM261" s="705" t="s">
        <v>166</v>
      </c>
      <c r="AN261" s="705" t="s">
        <v>166</v>
      </c>
      <c r="AO261" s="705" t="s">
        <v>166</v>
      </c>
      <c r="AP261" s="507" t="s">
        <v>166</v>
      </c>
      <c r="AQ261" s="507" t="s">
        <v>166</v>
      </c>
      <c r="AR261" s="705" t="s">
        <v>5039</v>
      </c>
      <c r="AS261" s="507" t="s">
        <v>166</v>
      </c>
      <c r="AT261" s="507">
        <v>3.0</v>
      </c>
      <c r="AU261" s="507">
        <v>2.0</v>
      </c>
      <c r="AV261" s="266">
        <v>1.0</v>
      </c>
      <c r="AW261" s="266">
        <v>1.0</v>
      </c>
      <c r="AX261" s="266">
        <v>1.0</v>
      </c>
      <c r="AY261" s="266">
        <v>1.0</v>
      </c>
      <c r="AZ261" s="507">
        <v>2.0</v>
      </c>
      <c r="BA261" s="507" t="s">
        <v>166</v>
      </c>
      <c r="BB261" s="507" t="s">
        <v>166</v>
      </c>
      <c r="BC261" s="507" t="s">
        <v>166</v>
      </c>
      <c r="BD261" s="507" t="s">
        <v>166</v>
      </c>
      <c r="BE261" s="48" t="s">
        <v>5233</v>
      </c>
      <c r="BF261" s="48" t="s">
        <v>4973</v>
      </c>
      <c r="BG261" s="48" t="s">
        <v>4955</v>
      </c>
      <c r="BH261" s="48">
        <v>6.0</v>
      </c>
      <c r="BI261" s="698" t="s">
        <v>5441</v>
      </c>
      <c r="BJ261" s="708"/>
      <c r="BK261" s="394"/>
      <c r="BL261" s="394"/>
      <c r="BM261" s="394"/>
      <c r="BN261" s="394"/>
      <c r="BO261" s="394"/>
      <c r="BP261" s="394"/>
    </row>
    <row r="262">
      <c r="A262" s="507" t="s">
        <v>1688</v>
      </c>
      <c r="B262" s="705">
        <v>1200.0</v>
      </c>
      <c r="C262" s="507" t="s">
        <v>5280</v>
      </c>
      <c r="D262" s="452" t="str">
        <f t="shared" si="37"/>
        <v>Asus</v>
      </c>
      <c r="E262" s="282" t="s">
        <v>5761</v>
      </c>
      <c r="F262" s="507">
        <v>244.0</v>
      </c>
      <c r="G262" s="507">
        <v>216.0</v>
      </c>
      <c r="H262" s="507">
        <v>4.0</v>
      </c>
      <c r="I262" s="507">
        <v>1.0</v>
      </c>
      <c r="J262" s="507">
        <v>2.0</v>
      </c>
      <c r="K262" s="507" t="s">
        <v>166</v>
      </c>
      <c r="L262" s="507" t="s">
        <v>166</v>
      </c>
      <c r="M262" s="507">
        <v>1.0</v>
      </c>
      <c r="N262" s="507" t="s">
        <v>166</v>
      </c>
      <c r="O262" s="507" t="s">
        <v>166</v>
      </c>
      <c r="P262" s="507" t="s">
        <v>166</v>
      </c>
      <c r="Q262" s="507" t="s">
        <v>166</v>
      </c>
      <c r="R262" s="507">
        <v>2.0</v>
      </c>
      <c r="S262" s="507" t="s">
        <v>3149</v>
      </c>
      <c r="T262" s="507">
        <v>64.0</v>
      </c>
      <c r="U262" s="507">
        <v>3200.0</v>
      </c>
      <c r="V262" s="507">
        <v>4.0</v>
      </c>
      <c r="W262" s="711" t="s">
        <v>4950</v>
      </c>
      <c r="X262" s="507">
        <v>2.0</v>
      </c>
      <c r="Y262" s="507">
        <v>2.0</v>
      </c>
      <c r="Z262" s="507" t="s">
        <v>166</v>
      </c>
      <c r="AA262" s="507" t="s">
        <v>166</v>
      </c>
      <c r="AB262" s="507" t="s">
        <v>166</v>
      </c>
      <c r="AC262" s="507" t="s">
        <v>166</v>
      </c>
      <c r="AD262" s="507" t="s">
        <v>166</v>
      </c>
      <c r="AE262" s="507" t="s">
        <v>166</v>
      </c>
      <c r="AF262" s="507">
        <f t="shared" si="1"/>
        <v>4</v>
      </c>
      <c r="AG262" s="507">
        <v>2.0</v>
      </c>
      <c r="AH262" s="507">
        <v>1.0</v>
      </c>
      <c r="AI262" s="507" t="s">
        <v>166</v>
      </c>
      <c r="AJ262" s="507">
        <v>1.0</v>
      </c>
      <c r="AK262" s="705" t="s">
        <v>5133</v>
      </c>
      <c r="AL262" s="705">
        <v>1.0</v>
      </c>
      <c r="AM262" s="705" t="s">
        <v>166</v>
      </c>
      <c r="AN262" s="705" t="s">
        <v>166</v>
      </c>
      <c r="AO262" s="705" t="s">
        <v>166</v>
      </c>
      <c r="AP262" s="507" t="s">
        <v>166</v>
      </c>
      <c r="AQ262" s="507" t="s">
        <v>166</v>
      </c>
      <c r="AR262" s="705" t="s">
        <v>5039</v>
      </c>
      <c r="AS262" s="507" t="s">
        <v>166</v>
      </c>
      <c r="AT262" s="507">
        <v>3.0</v>
      </c>
      <c r="AU262" s="507">
        <v>2.0</v>
      </c>
      <c r="AV262" s="266">
        <v>1.0</v>
      </c>
      <c r="AW262" s="266">
        <v>1.0</v>
      </c>
      <c r="AX262" s="507" t="s">
        <v>166</v>
      </c>
      <c r="AY262" s="507" t="s">
        <v>166</v>
      </c>
      <c r="AZ262" s="507">
        <v>2.0</v>
      </c>
      <c r="BA262" s="507" t="s">
        <v>166</v>
      </c>
      <c r="BB262" s="507" t="s">
        <v>166</v>
      </c>
      <c r="BC262" s="507" t="s">
        <v>166</v>
      </c>
      <c r="BD262" s="507" t="s">
        <v>166</v>
      </c>
      <c r="BE262" s="48" t="s">
        <v>5201</v>
      </c>
      <c r="BF262" s="48" t="s">
        <v>4973</v>
      </c>
      <c r="BG262" s="705" t="s">
        <v>4955</v>
      </c>
      <c r="BH262" s="705">
        <v>6.0</v>
      </c>
      <c r="BI262" s="708" t="s">
        <v>170</v>
      </c>
      <c r="BJ262" s="708"/>
      <c r="BK262" s="394"/>
      <c r="BL262" s="394"/>
      <c r="BM262" s="394"/>
      <c r="BN262" s="394"/>
      <c r="BO262" s="394"/>
      <c r="BP262" s="394"/>
    </row>
    <row r="263">
      <c r="A263" s="507" t="s">
        <v>1688</v>
      </c>
      <c r="B263" s="705">
        <v>1200.0</v>
      </c>
      <c r="C263" s="507" t="s">
        <v>5280</v>
      </c>
      <c r="D263" s="506" t="str">
        <f t="shared" ref="D263:D264" si="38">HYPERLINK("https://www.biostar.com.tw/app/en/","Biostar")</f>
        <v>Biostar</v>
      </c>
      <c r="E263" s="282" t="s">
        <v>5762</v>
      </c>
      <c r="F263" s="507">
        <v>236.0</v>
      </c>
      <c r="G263" s="507">
        <v>208.0</v>
      </c>
      <c r="H263" s="507">
        <v>4.0</v>
      </c>
      <c r="I263" s="507" t="s">
        <v>166</v>
      </c>
      <c r="J263" s="507">
        <v>1.0</v>
      </c>
      <c r="K263" s="507" t="s">
        <v>166</v>
      </c>
      <c r="L263" s="507" t="s">
        <v>166</v>
      </c>
      <c r="M263" s="507">
        <v>1.0</v>
      </c>
      <c r="N263" s="507" t="s">
        <v>166</v>
      </c>
      <c r="O263" s="507" t="s">
        <v>166</v>
      </c>
      <c r="P263" s="507" t="s">
        <v>166</v>
      </c>
      <c r="Q263" s="507" t="s">
        <v>166</v>
      </c>
      <c r="R263" s="507">
        <v>2.0</v>
      </c>
      <c r="S263" s="507" t="s">
        <v>3149</v>
      </c>
      <c r="T263" s="507">
        <v>64.0</v>
      </c>
      <c r="U263" s="507">
        <v>3200.0</v>
      </c>
      <c r="V263" s="507">
        <v>4.0</v>
      </c>
      <c r="W263" s="711" t="s">
        <v>4950</v>
      </c>
      <c r="X263" s="507">
        <v>4.0</v>
      </c>
      <c r="Y263" s="507">
        <v>2.0</v>
      </c>
      <c r="Z263" s="507" t="s">
        <v>166</v>
      </c>
      <c r="AA263" s="507" t="s">
        <v>166</v>
      </c>
      <c r="AB263" s="507" t="s">
        <v>166</v>
      </c>
      <c r="AC263" s="507" t="s">
        <v>166</v>
      </c>
      <c r="AD263" s="507" t="s">
        <v>166</v>
      </c>
      <c r="AE263" s="507" t="s">
        <v>166</v>
      </c>
      <c r="AF263" s="507">
        <f t="shared" si="1"/>
        <v>6</v>
      </c>
      <c r="AG263" s="507">
        <v>2.0</v>
      </c>
      <c r="AH263" s="507">
        <v>1.0</v>
      </c>
      <c r="AI263" s="507" t="s">
        <v>166</v>
      </c>
      <c r="AJ263" s="507">
        <v>1.0</v>
      </c>
      <c r="AK263" s="705" t="s">
        <v>5133</v>
      </c>
      <c r="AL263" s="705">
        <v>1.0</v>
      </c>
      <c r="AM263" s="705">
        <v>1.0</v>
      </c>
      <c r="AN263" s="705" t="s">
        <v>166</v>
      </c>
      <c r="AO263" s="705" t="s">
        <v>232</v>
      </c>
      <c r="AP263" s="507" t="s">
        <v>166</v>
      </c>
      <c r="AQ263" s="507" t="s">
        <v>166</v>
      </c>
      <c r="AR263" s="705" t="s">
        <v>5039</v>
      </c>
      <c r="AS263" s="507" t="s">
        <v>166</v>
      </c>
      <c r="AT263" s="507">
        <v>3.0</v>
      </c>
      <c r="AU263" s="507">
        <v>1.0</v>
      </c>
      <c r="AV263" s="507" t="s">
        <v>166</v>
      </c>
      <c r="AW263" s="507">
        <v>1.0</v>
      </c>
      <c r="AX263" s="507" t="s">
        <v>166</v>
      </c>
      <c r="AY263" s="507">
        <v>1.0</v>
      </c>
      <c r="AZ263" s="507">
        <v>2.0</v>
      </c>
      <c r="BA263" s="507" t="s">
        <v>166</v>
      </c>
      <c r="BB263" s="507" t="s">
        <v>166</v>
      </c>
      <c r="BC263" s="507" t="s">
        <v>174</v>
      </c>
      <c r="BD263" s="507" t="s">
        <v>166</v>
      </c>
      <c r="BE263" s="705" t="s">
        <v>170</v>
      </c>
      <c r="BF263" s="705" t="s">
        <v>170</v>
      </c>
      <c r="BG263" s="705" t="s">
        <v>170</v>
      </c>
      <c r="BH263" s="705" t="s">
        <v>170</v>
      </c>
      <c r="BI263" s="708" t="s">
        <v>170</v>
      </c>
      <c r="BJ263" s="708"/>
      <c r="BK263" s="394"/>
      <c r="BL263" s="394"/>
      <c r="BM263" s="394"/>
      <c r="BN263" s="394"/>
      <c r="BO263" s="394"/>
      <c r="BP263" s="394"/>
    </row>
    <row r="264">
      <c r="A264" s="266" t="s">
        <v>1688</v>
      </c>
      <c r="B264" s="48">
        <v>1200.0</v>
      </c>
      <c r="C264" s="266" t="s">
        <v>5280</v>
      </c>
      <c r="D264" s="452" t="str">
        <f t="shared" si="38"/>
        <v>Biostar</v>
      </c>
      <c r="E264" s="174" t="s">
        <v>5763</v>
      </c>
      <c r="F264" s="266">
        <v>236.0</v>
      </c>
      <c r="G264" s="266">
        <v>208.0</v>
      </c>
      <c r="H264" s="266">
        <v>4.0</v>
      </c>
      <c r="I264" s="266" t="s">
        <v>166</v>
      </c>
      <c r="J264" s="266">
        <v>1.0</v>
      </c>
      <c r="K264" s="266" t="s">
        <v>166</v>
      </c>
      <c r="L264" s="266" t="s">
        <v>166</v>
      </c>
      <c r="M264" s="266">
        <v>1.0</v>
      </c>
      <c r="N264" s="266" t="s">
        <v>166</v>
      </c>
      <c r="O264" s="266" t="s">
        <v>166</v>
      </c>
      <c r="P264" s="266" t="s">
        <v>166</v>
      </c>
      <c r="Q264" s="266" t="s">
        <v>166</v>
      </c>
      <c r="R264" s="266">
        <v>2.0</v>
      </c>
      <c r="S264" s="266" t="s">
        <v>3149</v>
      </c>
      <c r="T264" s="266">
        <v>64.0</v>
      </c>
      <c r="U264" s="266">
        <v>3200.0</v>
      </c>
      <c r="V264" s="266">
        <v>4.0</v>
      </c>
      <c r="W264" s="710" t="s">
        <v>4950</v>
      </c>
      <c r="X264" s="266">
        <v>4.0</v>
      </c>
      <c r="Y264" s="266">
        <v>2.0</v>
      </c>
      <c r="Z264" s="266" t="s">
        <v>166</v>
      </c>
      <c r="AA264" s="266" t="s">
        <v>166</v>
      </c>
      <c r="AB264" s="266" t="s">
        <v>166</v>
      </c>
      <c r="AC264" s="266" t="s">
        <v>166</v>
      </c>
      <c r="AD264" s="266" t="s">
        <v>166</v>
      </c>
      <c r="AE264" s="266" t="s">
        <v>166</v>
      </c>
      <c r="AF264" s="266">
        <f t="shared" si="1"/>
        <v>6</v>
      </c>
      <c r="AG264" s="266">
        <v>2.0</v>
      </c>
      <c r="AH264" s="266">
        <v>1.0</v>
      </c>
      <c r="AI264" s="266" t="s">
        <v>166</v>
      </c>
      <c r="AJ264" s="266">
        <v>1.0</v>
      </c>
      <c r="AK264" s="48" t="s">
        <v>5133</v>
      </c>
      <c r="AL264" s="48">
        <v>1.0</v>
      </c>
      <c r="AM264" s="48">
        <v>1.0</v>
      </c>
      <c r="AN264" s="48" t="s">
        <v>166</v>
      </c>
      <c r="AO264" s="48" t="s">
        <v>232</v>
      </c>
      <c r="AP264" s="266" t="s">
        <v>166</v>
      </c>
      <c r="AQ264" s="266" t="s">
        <v>166</v>
      </c>
      <c r="AR264" s="48" t="s">
        <v>5039</v>
      </c>
      <c r="AS264" s="266" t="s">
        <v>166</v>
      </c>
      <c r="AT264" s="266">
        <v>3.0</v>
      </c>
      <c r="AU264" s="266">
        <v>1.0</v>
      </c>
      <c r="AV264" s="266" t="s">
        <v>166</v>
      </c>
      <c r="AW264" s="266">
        <v>1.0</v>
      </c>
      <c r="AX264" s="266">
        <v>1.0</v>
      </c>
      <c r="AY264" s="266">
        <v>1.0</v>
      </c>
      <c r="AZ264" s="266">
        <v>2.0</v>
      </c>
      <c r="BA264" s="266" t="s">
        <v>166</v>
      </c>
      <c r="BB264" s="266" t="s">
        <v>166</v>
      </c>
      <c r="BC264" s="266" t="s">
        <v>174</v>
      </c>
      <c r="BD264" s="266" t="s">
        <v>166</v>
      </c>
      <c r="BE264" s="48" t="s">
        <v>170</v>
      </c>
      <c r="BF264" s="48" t="s">
        <v>170</v>
      </c>
      <c r="BG264" s="48" t="s">
        <v>170</v>
      </c>
      <c r="BH264" s="48" t="s">
        <v>170</v>
      </c>
      <c r="BI264" s="698" t="s">
        <v>170</v>
      </c>
      <c r="BJ264" s="698"/>
      <c r="BK264" s="394"/>
      <c r="BL264" s="394"/>
      <c r="BM264" s="394"/>
      <c r="BN264" s="394"/>
      <c r="BO264" s="394"/>
      <c r="BP264" s="394"/>
    </row>
    <row r="265">
      <c r="A265" s="266" t="s">
        <v>1688</v>
      </c>
      <c r="B265" s="48">
        <v>1200.0</v>
      </c>
      <c r="C265" s="266" t="s">
        <v>5280</v>
      </c>
      <c r="D265" s="452" t="str">
        <f t="shared" ref="D265:D270" si="39">HYPERLINK("https://www.gigabyte.com/","Gigabyte")</f>
        <v>Gigabyte</v>
      </c>
      <c r="E265" s="737" t="s">
        <v>5764</v>
      </c>
      <c r="F265" s="527">
        <v>244.0</v>
      </c>
      <c r="G265" s="527">
        <v>210.0</v>
      </c>
      <c r="H265" s="266">
        <v>4.0</v>
      </c>
      <c r="I265" s="527" t="s">
        <v>166</v>
      </c>
      <c r="J265" s="527">
        <v>2.0</v>
      </c>
      <c r="K265" s="527" t="s">
        <v>166</v>
      </c>
      <c r="L265" s="527" t="s">
        <v>166</v>
      </c>
      <c r="M265" s="527">
        <v>1.0</v>
      </c>
      <c r="N265" s="527" t="s">
        <v>166</v>
      </c>
      <c r="O265" s="527" t="s">
        <v>166</v>
      </c>
      <c r="P265" s="527" t="s">
        <v>166</v>
      </c>
      <c r="Q265" s="527" t="s">
        <v>166</v>
      </c>
      <c r="R265" s="266">
        <v>2.0</v>
      </c>
      <c r="S265" s="266" t="s">
        <v>3149</v>
      </c>
      <c r="T265" s="266">
        <v>64.0</v>
      </c>
      <c r="U265" s="266">
        <v>3200.0</v>
      </c>
      <c r="V265" s="266">
        <v>4.0</v>
      </c>
      <c r="W265" s="710" t="s">
        <v>4950</v>
      </c>
      <c r="X265" s="527">
        <v>4.0</v>
      </c>
      <c r="Y265" s="527">
        <v>1.0</v>
      </c>
      <c r="Z265" s="266">
        <v>1.0</v>
      </c>
      <c r="AA265" s="266" t="s">
        <v>166</v>
      </c>
      <c r="AB265" s="266" t="s">
        <v>166</v>
      </c>
      <c r="AC265" s="266" t="s">
        <v>166</v>
      </c>
      <c r="AD265" s="266" t="s">
        <v>166</v>
      </c>
      <c r="AE265" s="266" t="s">
        <v>166</v>
      </c>
      <c r="AF265" s="266">
        <f t="shared" si="1"/>
        <v>6</v>
      </c>
      <c r="AG265" s="266">
        <v>2.0</v>
      </c>
      <c r="AH265" s="266">
        <v>1.0</v>
      </c>
      <c r="AI265" s="266" t="s">
        <v>166</v>
      </c>
      <c r="AJ265" s="266">
        <v>1.0</v>
      </c>
      <c r="AK265" s="48" t="s">
        <v>5133</v>
      </c>
      <c r="AL265" s="48">
        <v>1.0</v>
      </c>
      <c r="AM265" s="705" t="s">
        <v>166</v>
      </c>
      <c r="AN265" s="705" t="s">
        <v>166</v>
      </c>
      <c r="AO265" s="705" t="s">
        <v>166</v>
      </c>
      <c r="AP265" s="507" t="s">
        <v>166</v>
      </c>
      <c r="AQ265" s="507" t="s">
        <v>166</v>
      </c>
      <c r="AR265" s="48" t="s">
        <v>5039</v>
      </c>
      <c r="AS265" s="527" t="s">
        <v>166</v>
      </c>
      <c r="AT265" s="527">
        <v>3.0</v>
      </c>
      <c r="AU265" s="527">
        <v>2.0</v>
      </c>
      <c r="AV265" s="266">
        <v>2.0</v>
      </c>
      <c r="AW265" s="266">
        <v>1.0</v>
      </c>
      <c r="AX265" s="527" t="s">
        <v>166</v>
      </c>
      <c r="AY265" s="527" t="s">
        <v>166</v>
      </c>
      <c r="AZ265" s="527">
        <v>3.0</v>
      </c>
      <c r="BA265" s="527">
        <v>1.0</v>
      </c>
      <c r="BB265" s="527" t="s">
        <v>166</v>
      </c>
      <c r="BC265" s="527" t="s">
        <v>166</v>
      </c>
      <c r="BD265" s="527" t="s">
        <v>166</v>
      </c>
      <c r="BE265" s="48" t="s">
        <v>5765</v>
      </c>
      <c r="BF265" s="48" t="s">
        <v>4954</v>
      </c>
      <c r="BG265" s="48" t="s">
        <v>4963</v>
      </c>
      <c r="BH265" s="48">
        <v>6.0</v>
      </c>
      <c r="BI265" s="698" t="s">
        <v>5205</v>
      </c>
      <c r="BJ265" s="725"/>
      <c r="BK265" s="394"/>
      <c r="BL265" s="394"/>
      <c r="BM265" s="394"/>
      <c r="BN265" s="394"/>
      <c r="BO265" s="394"/>
      <c r="BP265" s="394"/>
    </row>
    <row r="266">
      <c r="A266" s="266" t="s">
        <v>1688</v>
      </c>
      <c r="B266" s="48">
        <v>1200.0</v>
      </c>
      <c r="C266" s="266" t="s">
        <v>5280</v>
      </c>
      <c r="D266" s="452" t="str">
        <f t="shared" si="39"/>
        <v>Gigabyte</v>
      </c>
      <c r="E266" s="737" t="s">
        <v>5766</v>
      </c>
      <c r="F266" s="527">
        <v>244.0</v>
      </c>
      <c r="G266" s="527">
        <v>210.0</v>
      </c>
      <c r="H266" s="266">
        <v>4.0</v>
      </c>
      <c r="I266" s="527" t="s">
        <v>166</v>
      </c>
      <c r="J266" s="527">
        <v>2.0</v>
      </c>
      <c r="K266" s="527" t="s">
        <v>166</v>
      </c>
      <c r="L266" s="527" t="s">
        <v>166</v>
      </c>
      <c r="M266" s="527">
        <v>1.0</v>
      </c>
      <c r="N266" s="527" t="s">
        <v>166</v>
      </c>
      <c r="O266" s="527" t="s">
        <v>166</v>
      </c>
      <c r="P266" s="527" t="s">
        <v>166</v>
      </c>
      <c r="Q266" s="527" t="s">
        <v>166</v>
      </c>
      <c r="R266" s="266">
        <v>2.0</v>
      </c>
      <c r="S266" s="266" t="s">
        <v>3149</v>
      </c>
      <c r="T266" s="266">
        <v>64.0</v>
      </c>
      <c r="U266" s="266">
        <v>3200.0</v>
      </c>
      <c r="V266" s="527">
        <v>4.0</v>
      </c>
      <c r="W266" s="710" t="s">
        <v>4950</v>
      </c>
      <c r="X266" s="527">
        <v>4.0</v>
      </c>
      <c r="Y266" s="527">
        <v>2.0</v>
      </c>
      <c r="Z266" s="266" t="s">
        <v>166</v>
      </c>
      <c r="AA266" s="266" t="s">
        <v>166</v>
      </c>
      <c r="AB266" s="266" t="s">
        <v>166</v>
      </c>
      <c r="AC266" s="266" t="s">
        <v>166</v>
      </c>
      <c r="AD266" s="266" t="s">
        <v>166</v>
      </c>
      <c r="AE266" s="266" t="s">
        <v>166</v>
      </c>
      <c r="AF266" s="266">
        <f t="shared" si="1"/>
        <v>6</v>
      </c>
      <c r="AG266" s="266">
        <v>1.0</v>
      </c>
      <c r="AH266" s="266">
        <v>1.0</v>
      </c>
      <c r="AI266" s="266" t="s">
        <v>166</v>
      </c>
      <c r="AJ266" s="266">
        <v>1.0</v>
      </c>
      <c r="AK266" s="48" t="s">
        <v>5536</v>
      </c>
      <c r="AL266" s="48">
        <v>1.0</v>
      </c>
      <c r="AM266" s="705" t="s">
        <v>166</v>
      </c>
      <c r="AN266" s="705" t="s">
        <v>166</v>
      </c>
      <c r="AO266" s="705" t="s">
        <v>166</v>
      </c>
      <c r="AP266" s="507" t="s">
        <v>166</v>
      </c>
      <c r="AQ266" s="507" t="s">
        <v>166</v>
      </c>
      <c r="AR266" s="48" t="s">
        <v>5039</v>
      </c>
      <c r="AS266" s="527" t="s">
        <v>166</v>
      </c>
      <c r="AT266" s="527">
        <v>3.0</v>
      </c>
      <c r="AU266" s="527">
        <v>1.0</v>
      </c>
      <c r="AV266" s="266" t="s">
        <v>166</v>
      </c>
      <c r="AW266" s="266" t="s">
        <v>166</v>
      </c>
      <c r="AX266" s="527" t="s">
        <v>166</v>
      </c>
      <c r="AY266" s="527">
        <v>1.0</v>
      </c>
      <c r="AZ266" s="527">
        <v>2.0</v>
      </c>
      <c r="BA266" s="527" t="s">
        <v>166</v>
      </c>
      <c r="BB266" s="527" t="s">
        <v>166</v>
      </c>
      <c r="BC266" s="527" t="s">
        <v>166</v>
      </c>
      <c r="BD266" s="527" t="s">
        <v>166</v>
      </c>
      <c r="BE266" s="48" t="s">
        <v>5765</v>
      </c>
      <c r="BF266" s="48" t="s">
        <v>4954</v>
      </c>
      <c r="BG266" s="48" t="s">
        <v>4963</v>
      </c>
      <c r="BH266" s="48">
        <v>6.0</v>
      </c>
      <c r="BI266" s="698" t="s">
        <v>5205</v>
      </c>
      <c r="BJ266" s="725"/>
      <c r="BK266" s="394"/>
      <c r="BL266" s="394"/>
      <c r="BM266" s="394"/>
      <c r="BN266" s="394"/>
      <c r="BO266" s="394"/>
      <c r="BP266" s="394"/>
    </row>
    <row r="267">
      <c r="A267" s="266" t="s">
        <v>1688</v>
      </c>
      <c r="B267" s="48">
        <v>1200.0</v>
      </c>
      <c r="C267" s="266" t="s">
        <v>5280</v>
      </c>
      <c r="D267" s="452" t="str">
        <f t="shared" si="39"/>
        <v>Gigabyte</v>
      </c>
      <c r="E267" s="737" t="s">
        <v>5767</v>
      </c>
      <c r="F267" s="527">
        <v>244.0</v>
      </c>
      <c r="G267" s="527">
        <v>210.0</v>
      </c>
      <c r="H267" s="266">
        <v>4.0</v>
      </c>
      <c r="I267" s="527" t="s">
        <v>166</v>
      </c>
      <c r="J267" s="527">
        <v>2.0</v>
      </c>
      <c r="K267" s="527" t="s">
        <v>166</v>
      </c>
      <c r="L267" s="527" t="s">
        <v>166</v>
      </c>
      <c r="M267" s="527">
        <v>1.0</v>
      </c>
      <c r="N267" s="527" t="s">
        <v>166</v>
      </c>
      <c r="O267" s="527" t="s">
        <v>166</v>
      </c>
      <c r="P267" s="527" t="s">
        <v>166</v>
      </c>
      <c r="Q267" s="527" t="s">
        <v>166</v>
      </c>
      <c r="R267" s="266">
        <v>2.0</v>
      </c>
      <c r="S267" s="266" t="s">
        <v>3149</v>
      </c>
      <c r="T267" s="266">
        <v>64.0</v>
      </c>
      <c r="U267" s="527">
        <v>3200.0</v>
      </c>
      <c r="V267" s="527">
        <v>4.0</v>
      </c>
      <c r="W267" s="710" t="s">
        <v>4950</v>
      </c>
      <c r="X267" s="527">
        <v>4.0</v>
      </c>
      <c r="Y267" s="527">
        <v>2.0</v>
      </c>
      <c r="Z267" s="266" t="s">
        <v>166</v>
      </c>
      <c r="AA267" s="266" t="s">
        <v>166</v>
      </c>
      <c r="AB267" s="266" t="s">
        <v>166</v>
      </c>
      <c r="AC267" s="266" t="s">
        <v>166</v>
      </c>
      <c r="AD267" s="266" t="s">
        <v>166</v>
      </c>
      <c r="AE267" s="266" t="s">
        <v>166</v>
      </c>
      <c r="AF267" s="266">
        <f t="shared" si="1"/>
        <v>6</v>
      </c>
      <c r="AG267" s="266">
        <v>2.0</v>
      </c>
      <c r="AH267" s="266">
        <v>1.0</v>
      </c>
      <c r="AI267" s="266" t="s">
        <v>166</v>
      </c>
      <c r="AJ267" s="266">
        <v>1.0</v>
      </c>
      <c r="AK267" s="48" t="s">
        <v>5536</v>
      </c>
      <c r="AL267" s="48">
        <v>1.0</v>
      </c>
      <c r="AM267" s="705" t="s">
        <v>166</v>
      </c>
      <c r="AN267" s="705" t="s">
        <v>166</v>
      </c>
      <c r="AO267" s="705" t="s">
        <v>166</v>
      </c>
      <c r="AP267" s="507" t="s">
        <v>166</v>
      </c>
      <c r="AQ267" s="507" t="s">
        <v>166</v>
      </c>
      <c r="AR267" s="48" t="s">
        <v>5039</v>
      </c>
      <c r="AS267" s="527" t="s">
        <v>166</v>
      </c>
      <c r="AT267" s="527">
        <v>3.0</v>
      </c>
      <c r="AU267" s="527">
        <v>1.0</v>
      </c>
      <c r="AV267" s="266" t="s">
        <v>166</v>
      </c>
      <c r="AW267" s="266" t="s">
        <v>166</v>
      </c>
      <c r="AX267" s="527">
        <v>1.0</v>
      </c>
      <c r="AY267" s="527">
        <v>1.0</v>
      </c>
      <c r="AZ267" s="527">
        <v>2.0</v>
      </c>
      <c r="BA267" s="527">
        <v>1.0</v>
      </c>
      <c r="BB267" s="527" t="s">
        <v>166</v>
      </c>
      <c r="BC267" s="527" t="s">
        <v>166</v>
      </c>
      <c r="BD267" s="527" t="s">
        <v>166</v>
      </c>
      <c r="BE267" s="48" t="s">
        <v>5765</v>
      </c>
      <c r="BF267" s="48" t="s">
        <v>4954</v>
      </c>
      <c r="BG267" s="48" t="s">
        <v>4963</v>
      </c>
      <c r="BH267" s="48">
        <v>6.0</v>
      </c>
      <c r="BI267" s="698" t="s">
        <v>5768</v>
      </c>
      <c r="BJ267" s="725"/>
      <c r="BK267" s="394"/>
      <c r="BL267" s="394"/>
      <c r="BM267" s="394"/>
      <c r="BN267" s="394"/>
      <c r="BO267" s="394"/>
      <c r="BP267" s="394"/>
    </row>
    <row r="268">
      <c r="A268" s="266" t="s">
        <v>1688</v>
      </c>
      <c r="B268" s="48">
        <v>1200.0</v>
      </c>
      <c r="C268" s="266" t="s">
        <v>5280</v>
      </c>
      <c r="D268" s="452" t="str">
        <f t="shared" si="39"/>
        <v>Gigabyte</v>
      </c>
      <c r="E268" s="737" t="s">
        <v>5769</v>
      </c>
      <c r="F268" s="527">
        <v>244.0</v>
      </c>
      <c r="G268" s="527">
        <v>210.0</v>
      </c>
      <c r="H268" s="266">
        <v>4.0</v>
      </c>
      <c r="I268" s="527" t="s">
        <v>166</v>
      </c>
      <c r="J268" s="527">
        <v>1.0</v>
      </c>
      <c r="K268" s="527" t="s">
        <v>166</v>
      </c>
      <c r="L268" s="527" t="s">
        <v>166</v>
      </c>
      <c r="M268" s="527">
        <v>1.0</v>
      </c>
      <c r="N268" s="527" t="s">
        <v>166</v>
      </c>
      <c r="O268" s="527" t="s">
        <v>166</v>
      </c>
      <c r="P268" s="527" t="s">
        <v>166</v>
      </c>
      <c r="Q268" s="527" t="s">
        <v>166</v>
      </c>
      <c r="R268" s="266">
        <v>2.0</v>
      </c>
      <c r="S268" s="266" t="s">
        <v>3149</v>
      </c>
      <c r="T268" s="266">
        <v>64.0</v>
      </c>
      <c r="U268" s="527">
        <v>3200.0</v>
      </c>
      <c r="V268" s="527">
        <v>4.0</v>
      </c>
      <c r="W268" s="710" t="s">
        <v>4950</v>
      </c>
      <c r="X268" s="527">
        <v>4.0</v>
      </c>
      <c r="Y268" s="527">
        <v>2.0</v>
      </c>
      <c r="Z268" s="266" t="s">
        <v>166</v>
      </c>
      <c r="AA268" s="266" t="s">
        <v>166</v>
      </c>
      <c r="AB268" s="266" t="s">
        <v>166</v>
      </c>
      <c r="AC268" s="266" t="s">
        <v>166</v>
      </c>
      <c r="AD268" s="266" t="s">
        <v>166</v>
      </c>
      <c r="AE268" s="266" t="s">
        <v>166</v>
      </c>
      <c r="AF268" s="266">
        <f t="shared" si="1"/>
        <v>6</v>
      </c>
      <c r="AG268" s="266">
        <v>1.0</v>
      </c>
      <c r="AH268" s="266">
        <v>1.0</v>
      </c>
      <c r="AI268" s="266" t="s">
        <v>166</v>
      </c>
      <c r="AJ268" s="266">
        <v>1.0</v>
      </c>
      <c r="AK268" s="48" t="s">
        <v>5536</v>
      </c>
      <c r="AL268" s="48">
        <v>1.0</v>
      </c>
      <c r="AM268" s="705" t="s">
        <v>166</v>
      </c>
      <c r="AN268" s="705" t="s">
        <v>166</v>
      </c>
      <c r="AO268" s="705" t="s">
        <v>166</v>
      </c>
      <c r="AP268" s="507" t="s">
        <v>166</v>
      </c>
      <c r="AQ268" s="507" t="s">
        <v>166</v>
      </c>
      <c r="AR268" s="48" t="s">
        <v>5039</v>
      </c>
      <c r="AS268" s="527" t="s">
        <v>166</v>
      </c>
      <c r="AT268" s="527">
        <v>3.0</v>
      </c>
      <c r="AU268" s="527">
        <v>1.0</v>
      </c>
      <c r="AV268" s="266" t="s">
        <v>166</v>
      </c>
      <c r="AW268" s="266">
        <v>1.0</v>
      </c>
      <c r="AX268" s="527" t="s">
        <v>166</v>
      </c>
      <c r="AY268" s="527">
        <v>1.0</v>
      </c>
      <c r="AZ268" s="527">
        <v>2.0</v>
      </c>
      <c r="BA268" s="527">
        <v>1.0</v>
      </c>
      <c r="BB268" s="527" t="s">
        <v>166</v>
      </c>
      <c r="BC268" s="527" t="s">
        <v>166</v>
      </c>
      <c r="BD268" s="527" t="s">
        <v>166</v>
      </c>
      <c r="BE268" s="48" t="s">
        <v>5765</v>
      </c>
      <c r="BF268" s="48" t="s">
        <v>4954</v>
      </c>
      <c r="BG268" s="48" t="s">
        <v>4963</v>
      </c>
      <c r="BH268" s="48">
        <v>6.0</v>
      </c>
      <c r="BI268" s="698" t="s">
        <v>5205</v>
      </c>
      <c r="BJ268" s="725"/>
      <c r="BK268" s="394"/>
      <c r="BL268" s="394"/>
      <c r="BM268" s="394"/>
      <c r="BN268" s="394"/>
      <c r="BO268" s="394"/>
      <c r="BP268" s="394"/>
    </row>
    <row r="269">
      <c r="A269" s="266" t="s">
        <v>1688</v>
      </c>
      <c r="B269" s="48">
        <v>1200.0</v>
      </c>
      <c r="C269" s="266" t="s">
        <v>5280</v>
      </c>
      <c r="D269" s="452" t="str">
        <f t="shared" si="39"/>
        <v>Gigabyte</v>
      </c>
      <c r="E269" s="737" t="s">
        <v>5770</v>
      </c>
      <c r="F269" s="527">
        <v>244.0</v>
      </c>
      <c r="G269" s="527">
        <v>210.0</v>
      </c>
      <c r="H269" s="266">
        <v>4.0</v>
      </c>
      <c r="I269" s="527" t="s">
        <v>166</v>
      </c>
      <c r="J269" s="527">
        <v>1.0</v>
      </c>
      <c r="K269" s="527" t="s">
        <v>166</v>
      </c>
      <c r="L269" s="527" t="s">
        <v>166</v>
      </c>
      <c r="M269" s="527">
        <v>1.0</v>
      </c>
      <c r="N269" s="527" t="s">
        <v>166</v>
      </c>
      <c r="O269" s="527" t="s">
        <v>166</v>
      </c>
      <c r="P269" s="527" t="s">
        <v>166</v>
      </c>
      <c r="Q269" s="527" t="s">
        <v>166</v>
      </c>
      <c r="R269" s="266">
        <v>2.0</v>
      </c>
      <c r="S269" s="266" t="s">
        <v>3149</v>
      </c>
      <c r="T269" s="266">
        <v>64.0</v>
      </c>
      <c r="U269" s="527">
        <v>3200.0</v>
      </c>
      <c r="V269" s="527">
        <v>4.0</v>
      </c>
      <c r="W269" s="710" t="s">
        <v>4950</v>
      </c>
      <c r="X269" s="527">
        <v>4.0</v>
      </c>
      <c r="Y269" s="527">
        <v>2.0</v>
      </c>
      <c r="Z269" s="266" t="s">
        <v>166</v>
      </c>
      <c r="AA269" s="266" t="s">
        <v>166</v>
      </c>
      <c r="AB269" s="266" t="s">
        <v>166</v>
      </c>
      <c r="AC269" s="266" t="s">
        <v>166</v>
      </c>
      <c r="AD269" s="266" t="s">
        <v>166</v>
      </c>
      <c r="AE269" s="266" t="s">
        <v>166</v>
      </c>
      <c r="AF269" s="266">
        <f t="shared" si="1"/>
        <v>6</v>
      </c>
      <c r="AG269" s="266">
        <v>1.0</v>
      </c>
      <c r="AH269" s="266">
        <v>1.0</v>
      </c>
      <c r="AI269" s="266" t="s">
        <v>166</v>
      </c>
      <c r="AJ269" s="266">
        <v>1.0</v>
      </c>
      <c r="AK269" s="48" t="s">
        <v>5536</v>
      </c>
      <c r="AL269" s="48">
        <v>1.0</v>
      </c>
      <c r="AM269" s="705" t="s">
        <v>166</v>
      </c>
      <c r="AN269" s="705" t="s">
        <v>166</v>
      </c>
      <c r="AO269" s="705" t="s">
        <v>166</v>
      </c>
      <c r="AP269" s="507" t="s">
        <v>166</v>
      </c>
      <c r="AQ269" s="507" t="s">
        <v>166</v>
      </c>
      <c r="AR269" s="48" t="s">
        <v>5039</v>
      </c>
      <c r="AS269" s="527" t="s">
        <v>166</v>
      </c>
      <c r="AT269" s="527">
        <v>3.0</v>
      </c>
      <c r="AU269" s="527">
        <v>2.0</v>
      </c>
      <c r="AV269" s="266" t="s">
        <v>166</v>
      </c>
      <c r="AW269" s="266" t="s">
        <v>166</v>
      </c>
      <c r="AX269" s="527" t="s">
        <v>166</v>
      </c>
      <c r="AY269" s="527">
        <v>1.0</v>
      </c>
      <c r="AZ269" s="527">
        <v>2.0</v>
      </c>
      <c r="BA269" s="527">
        <v>1.0</v>
      </c>
      <c r="BB269" s="527" t="s">
        <v>166</v>
      </c>
      <c r="BC269" s="527" t="s">
        <v>166</v>
      </c>
      <c r="BD269" s="527" t="s">
        <v>166</v>
      </c>
      <c r="BE269" s="48" t="s">
        <v>5765</v>
      </c>
      <c r="BF269" s="48" t="s">
        <v>4954</v>
      </c>
      <c r="BG269" s="48" t="s">
        <v>4963</v>
      </c>
      <c r="BH269" s="48">
        <v>6.0</v>
      </c>
      <c r="BI269" s="698" t="s">
        <v>5205</v>
      </c>
      <c r="BJ269" s="725"/>
      <c r="BK269" s="394"/>
      <c r="BL269" s="394"/>
      <c r="BM269" s="394"/>
      <c r="BN269" s="394"/>
      <c r="BO269" s="394"/>
      <c r="BP269" s="394"/>
    </row>
    <row r="270">
      <c r="A270" s="266" t="s">
        <v>1688</v>
      </c>
      <c r="B270" s="48">
        <v>1200.0</v>
      </c>
      <c r="C270" s="266" t="s">
        <v>5280</v>
      </c>
      <c r="D270" s="452" t="str">
        <f t="shared" si="39"/>
        <v>Gigabyte</v>
      </c>
      <c r="E270" s="737" t="s">
        <v>5771</v>
      </c>
      <c r="F270" s="527">
        <v>244.0</v>
      </c>
      <c r="G270" s="527">
        <v>210.0</v>
      </c>
      <c r="H270" s="266">
        <v>4.0</v>
      </c>
      <c r="I270" s="527" t="s">
        <v>166</v>
      </c>
      <c r="J270" s="527">
        <v>2.0</v>
      </c>
      <c r="K270" s="527" t="s">
        <v>166</v>
      </c>
      <c r="L270" s="527" t="s">
        <v>166</v>
      </c>
      <c r="M270" s="527">
        <v>1.0</v>
      </c>
      <c r="N270" s="527" t="s">
        <v>166</v>
      </c>
      <c r="O270" s="527" t="s">
        <v>166</v>
      </c>
      <c r="P270" s="527" t="s">
        <v>166</v>
      </c>
      <c r="Q270" s="527" t="s">
        <v>166</v>
      </c>
      <c r="R270" s="266">
        <v>2.0</v>
      </c>
      <c r="S270" s="266" t="s">
        <v>3149</v>
      </c>
      <c r="T270" s="266">
        <v>64.0</v>
      </c>
      <c r="U270" s="527">
        <v>3200.0</v>
      </c>
      <c r="V270" s="527">
        <v>4.0</v>
      </c>
      <c r="W270" s="710" t="s">
        <v>4950</v>
      </c>
      <c r="X270" s="527">
        <v>4.0</v>
      </c>
      <c r="Y270" s="527">
        <v>2.0</v>
      </c>
      <c r="Z270" s="266" t="s">
        <v>166</v>
      </c>
      <c r="AA270" s="266" t="s">
        <v>166</v>
      </c>
      <c r="AB270" s="266" t="s">
        <v>166</v>
      </c>
      <c r="AC270" s="266" t="s">
        <v>166</v>
      </c>
      <c r="AD270" s="266" t="s">
        <v>166</v>
      </c>
      <c r="AE270" s="266" t="s">
        <v>166</v>
      </c>
      <c r="AF270" s="266">
        <f t="shared" si="1"/>
        <v>6</v>
      </c>
      <c r="AG270" s="266">
        <v>2.0</v>
      </c>
      <c r="AH270" s="266">
        <v>1.0</v>
      </c>
      <c r="AI270" s="266" t="s">
        <v>166</v>
      </c>
      <c r="AJ270" s="266">
        <v>1.0</v>
      </c>
      <c r="AK270" s="48" t="s">
        <v>5536</v>
      </c>
      <c r="AL270" s="48">
        <v>1.0</v>
      </c>
      <c r="AM270" s="705" t="s">
        <v>166</v>
      </c>
      <c r="AN270" s="705" t="s">
        <v>166</v>
      </c>
      <c r="AO270" s="705" t="s">
        <v>166</v>
      </c>
      <c r="AP270" s="507" t="s">
        <v>166</v>
      </c>
      <c r="AQ270" s="507" t="s">
        <v>166</v>
      </c>
      <c r="AR270" s="48" t="s">
        <v>5039</v>
      </c>
      <c r="AS270" s="527" t="s">
        <v>166</v>
      </c>
      <c r="AT270" s="527">
        <v>3.0</v>
      </c>
      <c r="AU270" s="527">
        <v>2.0</v>
      </c>
      <c r="AV270" s="266">
        <v>1.0</v>
      </c>
      <c r="AW270" s="266">
        <v>1.0</v>
      </c>
      <c r="AX270" s="527">
        <v>1.0</v>
      </c>
      <c r="AY270" s="527">
        <v>1.0</v>
      </c>
      <c r="AZ270" s="527">
        <v>3.0</v>
      </c>
      <c r="BA270" s="527">
        <v>1.0</v>
      </c>
      <c r="BB270" s="527" t="s">
        <v>166</v>
      </c>
      <c r="BC270" s="527" t="s">
        <v>166</v>
      </c>
      <c r="BD270" s="527" t="s">
        <v>166</v>
      </c>
      <c r="BE270" s="48" t="s">
        <v>5765</v>
      </c>
      <c r="BF270" s="48" t="s">
        <v>4954</v>
      </c>
      <c r="BG270" s="48" t="s">
        <v>4963</v>
      </c>
      <c r="BH270" s="48">
        <v>6.0</v>
      </c>
      <c r="BI270" s="698" t="s">
        <v>5205</v>
      </c>
      <c r="BJ270" s="725"/>
      <c r="BK270" s="394"/>
      <c r="BL270" s="394"/>
      <c r="BM270" s="394"/>
      <c r="BN270" s="394"/>
      <c r="BO270" s="394"/>
      <c r="BP270" s="394"/>
    </row>
    <row r="271">
      <c r="A271" s="266" t="s">
        <v>1688</v>
      </c>
      <c r="B271" s="48">
        <v>1200.0</v>
      </c>
      <c r="C271" s="266" t="s">
        <v>5280</v>
      </c>
      <c r="D271" s="452" t="str">
        <f t="shared" ref="D271:D272" si="40">HYPERLINK("https://www.msi.com/index.php","MSI")</f>
        <v>MSI</v>
      </c>
      <c r="E271" s="737" t="s">
        <v>5772</v>
      </c>
      <c r="F271" s="527">
        <v>236.0</v>
      </c>
      <c r="G271" s="527">
        <v>202.0</v>
      </c>
      <c r="H271" s="266">
        <v>4.0</v>
      </c>
      <c r="I271" s="527" t="s">
        <v>166</v>
      </c>
      <c r="J271" s="527">
        <v>1.0</v>
      </c>
      <c r="K271" s="527" t="s">
        <v>166</v>
      </c>
      <c r="L271" s="527" t="s">
        <v>166</v>
      </c>
      <c r="M271" s="527">
        <v>1.0</v>
      </c>
      <c r="N271" s="527" t="s">
        <v>166</v>
      </c>
      <c r="O271" s="527" t="s">
        <v>166</v>
      </c>
      <c r="P271" s="527" t="s">
        <v>166</v>
      </c>
      <c r="Q271" s="527" t="s">
        <v>166</v>
      </c>
      <c r="R271" s="266">
        <v>2.0</v>
      </c>
      <c r="S271" s="266" t="s">
        <v>3149</v>
      </c>
      <c r="T271" s="266">
        <v>64.0</v>
      </c>
      <c r="U271" s="527">
        <v>3200.0</v>
      </c>
      <c r="V271" s="527">
        <v>4.0</v>
      </c>
      <c r="W271" s="710" t="s">
        <v>4950</v>
      </c>
      <c r="X271" s="527">
        <v>4.0</v>
      </c>
      <c r="Y271" s="527">
        <v>2.0</v>
      </c>
      <c r="Z271" s="527" t="s">
        <v>166</v>
      </c>
      <c r="AA271" s="527" t="s">
        <v>166</v>
      </c>
      <c r="AB271" s="527" t="s">
        <v>166</v>
      </c>
      <c r="AC271" s="527" t="s">
        <v>166</v>
      </c>
      <c r="AD271" s="527" t="s">
        <v>166</v>
      </c>
      <c r="AE271" s="527" t="s">
        <v>166</v>
      </c>
      <c r="AF271" s="266">
        <f t="shared" si="1"/>
        <v>6</v>
      </c>
      <c r="AG271" s="266">
        <v>1.0</v>
      </c>
      <c r="AH271" s="266">
        <v>1.0</v>
      </c>
      <c r="AI271" s="527" t="s">
        <v>166</v>
      </c>
      <c r="AJ271" s="266">
        <v>1.0</v>
      </c>
      <c r="AK271" s="48" t="s">
        <v>5133</v>
      </c>
      <c r="AL271" s="48">
        <v>1.0</v>
      </c>
      <c r="AM271" s="48">
        <v>1.0</v>
      </c>
      <c r="AN271" s="48" t="s">
        <v>166</v>
      </c>
      <c r="AO271" s="48" t="s">
        <v>232</v>
      </c>
      <c r="AP271" s="266" t="s">
        <v>166</v>
      </c>
      <c r="AQ271" s="266" t="s">
        <v>166</v>
      </c>
      <c r="AR271" s="48" t="s">
        <v>5039</v>
      </c>
      <c r="AS271" s="527" t="s">
        <v>166</v>
      </c>
      <c r="AT271" s="527">
        <v>3.0</v>
      </c>
      <c r="AU271" s="527">
        <v>1.0</v>
      </c>
      <c r="AV271" s="266">
        <v>1.0</v>
      </c>
      <c r="AW271" s="266">
        <v>1.0</v>
      </c>
      <c r="AX271" s="527" t="s">
        <v>166</v>
      </c>
      <c r="AY271" s="527">
        <v>1.0</v>
      </c>
      <c r="AZ271" s="527">
        <v>2.0</v>
      </c>
      <c r="BA271" s="527" t="s">
        <v>166</v>
      </c>
      <c r="BB271" s="527" t="s">
        <v>166</v>
      </c>
      <c r="BC271" s="527" t="s">
        <v>174</v>
      </c>
      <c r="BD271" s="527" t="s">
        <v>166</v>
      </c>
      <c r="BE271" s="48" t="s">
        <v>5645</v>
      </c>
      <c r="BF271" s="48" t="s">
        <v>5226</v>
      </c>
      <c r="BG271" s="48" t="s">
        <v>4955</v>
      </c>
      <c r="BH271" s="48">
        <v>8.0</v>
      </c>
      <c r="BI271" s="698" t="s">
        <v>5456</v>
      </c>
      <c r="BJ271" s="725"/>
      <c r="BK271" s="394"/>
      <c r="BL271" s="394"/>
      <c r="BM271" s="394"/>
      <c r="BN271" s="394"/>
      <c r="BO271" s="394"/>
      <c r="BP271" s="394"/>
    </row>
    <row r="272">
      <c r="A272" s="501" t="s">
        <v>1688</v>
      </c>
      <c r="B272" s="700">
        <v>1200.0</v>
      </c>
      <c r="C272" s="501" t="s">
        <v>5280</v>
      </c>
      <c r="D272" s="500" t="str">
        <f t="shared" si="40"/>
        <v>MSI</v>
      </c>
      <c r="E272" s="291" t="s">
        <v>5773</v>
      </c>
      <c r="F272" s="501">
        <v>236.0</v>
      </c>
      <c r="G272" s="501">
        <v>202.0</v>
      </c>
      <c r="H272" s="519">
        <v>4.0</v>
      </c>
      <c r="I272" s="501" t="s">
        <v>166</v>
      </c>
      <c r="J272" s="501">
        <v>1.0</v>
      </c>
      <c r="K272" s="501" t="s">
        <v>166</v>
      </c>
      <c r="L272" s="501" t="s">
        <v>166</v>
      </c>
      <c r="M272" s="501">
        <v>1.0</v>
      </c>
      <c r="N272" s="501" t="s">
        <v>166</v>
      </c>
      <c r="O272" s="501" t="s">
        <v>166</v>
      </c>
      <c r="P272" s="501" t="s">
        <v>166</v>
      </c>
      <c r="Q272" s="501" t="s">
        <v>166</v>
      </c>
      <c r="R272" s="501">
        <v>2.0</v>
      </c>
      <c r="S272" s="501" t="s">
        <v>3149</v>
      </c>
      <c r="T272" s="501">
        <v>64.0</v>
      </c>
      <c r="U272" s="501">
        <v>3200.0</v>
      </c>
      <c r="V272" s="501">
        <v>4.0</v>
      </c>
      <c r="W272" s="701" t="s">
        <v>4950</v>
      </c>
      <c r="X272" s="501">
        <v>2.0</v>
      </c>
      <c r="Y272" s="501">
        <v>4.0</v>
      </c>
      <c r="Z272" s="501" t="s">
        <v>166</v>
      </c>
      <c r="AA272" s="501" t="s">
        <v>166</v>
      </c>
      <c r="AB272" s="501" t="s">
        <v>166</v>
      </c>
      <c r="AC272" s="501" t="s">
        <v>166</v>
      </c>
      <c r="AD272" s="501" t="s">
        <v>166</v>
      </c>
      <c r="AE272" s="501" t="s">
        <v>166</v>
      </c>
      <c r="AF272" s="519">
        <f t="shared" si="1"/>
        <v>6</v>
      </c>
      <c r="AG272" s="519">
        <v>1.0</v>
      </c>
      <c r="AH272" s="519">
        <v>1.0</v>
      </c>
      <c r="AI272" s="501" t="s">
        <v>166</v>
      </c>
      <c r="AJ272" s="501">
        <v>1.0</v>
      </c>
      <c r="AK272" s="700" t="s">
        <v>5133</v>
      </c>
      <c r="AL272" s="700">
        <v>1.0</v>
      </c>
      <c r="AM272" s="700">
        <v>1.0</v>
      </c>
      <c r="AN272" s="700" t="s">
        <v>166</v>
      </c>
      <c r="AO272" s="700" t="s">
        <v>232</v>
      </c>
      <c r="AP272" s="501" t="s">
        <v>166</v>
      </c>
      <c r="AQ272" s="501" t="s">
        <v>166</v>
      </c>
      <c r="AR272" s="700" t="s">
        <v>5039</v>
      </c>
      <c r="AS272" s="501" t="s">
        <v>166</v>
      </c>
      <c r="AT272" s="501">
        <v>3.0</v>
      </c>
      <c r="AU272" s="501">
        <v>1.0</v>
      </c>
      <c r="AV272" s="501" t="s">
        <v>166</v>
      </c>
      <c r="AW272" s="501">
        <v>1.0</v>
      </c>
      <c r="AX272" s="501" t="s">
        <v>166</v>
      </c>
      <c r="AY272" s="501">
        <v>1.0</v>
      </c>
      <c r="AZ272" s="501">
        <v>2.0</v>
      </c>
      <c r="BA272" s="501" t="s">
        <v>166</v>
      </c>
      <c r="BB272" s="501" t="s">
        <v>166</v>
      </c>
      <c r="BC272" s="501" t="s">
        <v>174</v>
      </c>
      <c r="BD272" s="501" t="s">
        <v>166</v>
      </c>
      <c r="BE272" s="700" t="s">
        <v>5645</v>
      </c>
      <c r="BF272" s="700" t="s">
        <v>5226</v>
      </c>
      <c r="BG272" s="700" t="s">
        <v>4955</v>
      </c>
      <c r="BH272" s="700">
        <v>8.0</v>
      </c>
      <c r="BI272" s="703" t="s">
        <v>5456</v>
      </c>
      <c r="BJ272" s="703"/>
      <c r="BK272" s="394"/>
      <c r="BL272" s="394"/>
      <c r="BM272" s="394"/>
      <c r="BN272" s="394"/>
      <c r="BO272" s="394"/>
      <c r="BP272" s="394"/>
    </row>
    <row r="273">
      <c r="A273" s="507" t="s">
        <v>1688</v>
      </c>
      <c r="B273" s="705">
        <v>1200.0</v>
      </c>
      <c r="C273" s="507" t="s">
        <v>5283</v>
      </c>
      <c r="D273" s="506" t="s">
        <v>169</v>
      </c>
      <c r="E273" s="282" t="s">
        <v>5774</v>
      </c>
      <c r="F273" s="507">
        <v>244.0</v>
      </c>
      <c r="G273" s="507">
        <v>198.0</v>
      </c>
      <c r="H273" s="507">
        <v>4.0</v>
      </c>
      <c r="I273" s="507" t="s">
        <v>166</v>
      </c>
      <c r="J273" s="507">
        <v>2.0</v>
      </c>
      <c r="K273" s="507" t="s">
        <v>166</v>
      </c>
      <c r="L273" s="507" t="s">
        <v>166</v>
      </c>
      <c r="M273" s="507">
        <v>1.0</v>
      </c>
      <c r="N273" s="507" t="s">
        <v>166</v>
      </c>
      <c r="O273" s="507" t="s">
        <v>174</v>
      </c>
      <c r="P273" s="507" t="s">
        <v>166</v>
      </c>
      <c r="Q273" s="507" t="s">
        <v>166</v>
      </c>
      <c r="R273" s="507">
        <v>2.0</v>
      </c>
      <c r="S273" s="507" t="s">
        <v>3149</v>
      </c>
      <c r="T273" s="507">
        <v>64.0</v>
      </c>
      <c r="U273" s="507" t="s">
        <v>5275</v>
      </c>
      <c r="V273" s="507">
        <v>4.0</v>
      </c>
      <c r="W273" s="711" t="s">
        <v>5305</v>
      </c>
      <c r="X273" s="507">
        <v>2.0</v>
      </c>
      <c r="Y273" s="507">
        <v>4.0</v>
      </c>
      <c r="Z273" s="507" t="s">
        <v>166</v>
      </c>
      <c r="AA273" s="507" t="s">
        <v>166</v>
      </c>
      <c r="AB273" s="507" t="s">
        <v>166</v>
      </c>
      <c r="AC273" s="507" t="s">
        <v>166</v>
      </c>
      <c r="AD273" s="507" t="s">
        <v>166</v>
      </c>
      <c r="AE273" s="507" t="s">
        <v>166</v>
      </c>
      <c r="AF273" s="507">
        <f t="shared" si="1"/>
        <v>6</v>
      </c>
      <c r="AG273" s="507">
        <v>2.0</v>
      </c>
      <c r="AH273" s="507">
        <v>1.0</v>
      </c>
      <c r="AI273" s="507" t="s">
        <v>166</v>
      </c>
      <c r="AJ273" s="507">
        <v>1.0</v>
      </c>
      <c r="AK273" s="705" t="s">
        <v>5133</v>
      </c>
      <c r="AL273" s="705">
        <v>1.0</v>
      </c>
      <c r="AM273" s="705" t="s">
        <v>166</v>
      </c>
      <c r="AN273" s="705" t="s">
        <v>166</v>
      </c>
      <c r="AO273" s="705" t="s">
        <v>166</v>
      </c>
      <c r="AP273" s="507" t="s">
        <v>166</v>
      </c>
      <c r="AQ273" s="507" t="s">
        <v>166</v>
      </c>
      <c r="AR273" s="705" t="s">
        <v>5039</v>
      </c>
      <c r="AS273" s="507" t="s">
        <v>166</v>
      </c>
      <c r="AT273" s="507">
        <v>3.0</v>
      </c>
      <c r="AU273" s="507">
        <v>1.0</v>
      </c>
      <c r="AV273" s="507" t="s">
        <v>166</v>
      </c>
      <c r="AW273" s="507">
        <v>1.0</v>
      </c>
      <c r="AX273" s="507">
        <v>1.0</v>
      </c>
      <c r="AY273" s="507">
        <v>1.0</v>
      </c>
      <c r="AZ273" s="507">
        <v>4.0</v>
      </c>
      <c r="BA273" s="507" t="s">
        <v>166</v>
      </c>
      <c r="BB273" s="507" t="s">
        <v>166</v>
      </c>
      <c r="BC273" s="507" t="s">
        <v>166</v>
      </c>
      <c r="BD273" s="507" t="s">
        <v>166</v>
      </c>
      <c r="BE273" s="705" t="s">
        <v>5233</v>
      </c>
      <c r="BF273" s="705" t="s">
        <v>4973</v>
      </c>
      <c r="BG273" s="705" t="s">
        <v>4955</v>
      </c>
      <c r="BH273" s="705">
        <v>6.0</v>
      </c>
      <c r="BI273" s="708" t="s">
        <v>5750</v>
      </c>
      <c r="BJ273" s="708"/>
      <c r="BK273" s="394"/>
      <c r="BL273" s="394"/>
      <c r="BM273" s="394"/>
      <c r="BN273" s="394"/>
      <c r="BO273" s="394"/>
      <c r="BP273" s="394"/>
    </row>
    <row r="274">
      <c r="A274" s="266" t="s">
        <v>1688</v>
      </c>
      <c r="B274" s="48">
        <v>1200.0</v>
      </c>
      <c r="C274" s="266" t="s">
        <v>5283</v>
      </c>
      <c r="D274" s="452" t="s">
        <v>169</v>
      </c>
      <c r="E274" s="174" t="s">
        <v>5775</v>
      </c>
      <c r="F274" s="266">
        <v>244.0</v>
      </c>
      <c r="G274" s="266">
        <v>198.0</v>
      </c>
      <c r="H274" s="266">
        <v>4.0</v>
      </c>
      <c r="I274" s="266" t="s">
        <v>166</v>
      </c>
      <c r="J274" s="266">
        <v>2.0</v>
      </c>
      <c r="K274" s="266" t="s">
        <v>166</v>
      </c>
      <c r="L274" s="266" t="s">
        <v>166</v>
      </c>
      <c r="M274" s="266">
        <v>1.0</v>
      </c>
      <c r="N274" s="266" t="s">
        <v>166</v>
      </c>
      <c r="O274" s="266" t="s">
        <v>174</v>
      </c>
      <c r="P274" s="266" t="s">
        <v>166</v>
      </c>
      <c r="Q274" s="266" t="s">
        <v>166</v>
      </c>
      <c r="R274" s="266">
        <v>2.0</v>
      </c>
      <c r="S274" s="266" t="s">
        <v>3149</v>
      </c>
      <c r="T274" s="266">
        <v>64.0</v>
      </c>
      <c r="U274" s="507" t="s">
        <v>5275</v>
      </c>
      <c r="V274" s="266">
        <v>4.0</v>
      </c>
      <c r="W274" s="710" t="s">
        <v>5305</v>
      </c>
      <c r="X274" s="266">
        <v>2.0</v>
      </c>
      <c r="Y274" s="266">
        <v>4.0</v>
      </c>
      <c r="Z274" s="266" t="s">
        <v>166</v>
      </c>
      <c r="AA274" s="266" t="s">
        <v>166</v>
      </c>
      <c r="AB274" s="266" t="s">
        <v>166</v>
      </c>
      <c r="AC274" s="266" t="s">
        <v>166</v>
      </c>
      <c r="AD274" s="266" t="s">
        <v>166</v>
      </c>
      <c r="AE274" s="266" t="s">
        <v>166</v>
      </c>
      <c r="AF274" s="266">
        <f t="shared" si="1"/>
        <v>6</v>
      </c>
      <c r="AG274" s="266">
        <v>2.0</v>
      </c>
      <c r="AH274" s="266">
        <v>1.0</v>
      </c>
      <c r="AI274" s="266" t="s">
        <v>166</v>
      </c>
      <c r="AJ274" s="266">
        <v>1.0</v>
      </c>
      <c r="AK274" s="48" t="s">
        <v>5133</v>
      </c>
      <c r="AL274" s="48">
        <v>1.0</v>
      </c>
      <c r="AM274" s="48">
        <v>1.0</v>
      </c>
      <c r="AN274" s="48" t="s">
        <v>166</v>
      </c>
      <c r="AO274" s="48" t="s">
        <v>232</v>
      </c>
      <c r="AP274" s="266" t="s">
        <v>166</v>
      </c>
      <c r="AQ274" s="266" t="s">
        <v>166</v>
      </c>
      <c r="AR274" s="48" t="s">
        <v>5039</v>
      </c>
      <c r="AS274" s="266" t="s">
        <v>166</v>
      </c>
      <c r="AT274" s="266">
        <v>3.0</v>
      </c>
      <c r="AU274" s="266">
        <v>1.0</v>
      </c>
      <c r="AV274" s="266" t="s">
        <v>166</v>
      </c>
      <c r="AW274" s="266">
        <v>1.0</v>
      </c>
      <c r="AX274" s="266">
        <v>1.0</v>
      </c>
      <c r="AY274" s="266">
        <v>1.0</v>
      </c>
      <c r="AZ274" s="266">
        <v>4.0</v>
      </c>
      <c r="BA274" s="266" t="s">
        <v>166</v>
      </c>
      <c r="BB274" s="266" t="s">
        <v>166</v>
      </c>
      <c r="BC274" s="266" t="s">
        <v>166</v>
      </c>
      <c r="BD274" s="266" t="s">
        <v>166</v>
      </c>
      <c r="BE274" s="705" t="s">
        <v>5233</v>
      </c>
      <c r="BF274" s="705" t="s">
        <v>4973</v>
      </c>
      <c r="BG274" s="48" t="s">
        <v>4955</v>
      </c>
      <c r="BH274" s="48">
        <v>6.0</v>
      </c>
      <c r="BI274" s="708" t="s">
        <v>5750</v>
      </c>
      <c r="BJ274" s="698"/>
      <c r="BK274" s="394"/>
      <c r="BL274" s="394"/>
      <c r="BM274" s="394"/>
      <c r="BN274" s="394"/>
      <c r="BO274" s="394"/>
      <c r="BP274" s="394"/>
    </row>
    <row r="275">
      <c r="A275" s="266" t="s">
        <v>1688</v>
      </c>
      <c r="B275" s="48">
        <v>1200.0</v>
      </c>
      <c r="C275" s="266" t="s">
        <v>5283</v>
      </c>
      <c r="D275" s="452" t="str">
        <f t="shared" ref="D275:D276" si="41">HYPERLINK("https://www.asus.com/","Asus")</f>
        <v>Asus</v>
      </c>
      <c r="E275" s="174" t="s">
        <v>5776</v>
      </c>
      <c r="F275" s="266">
        <v>244.0</v>
      </c>
      <c r="G275" s="266">
        <v>234.0</v>
      </c>
      <c r="H275" s="266">
        <v>4.0</v>
      </c>
      <c r="I275" s="266" t="s">
        <v>166</v>
      </c>
      <c r="J275" s="266">
        <v>1.0</v>
      </c>
      <c r="K275" s="266" t="s">
        <v>166</v>
      </c>
      <c r="L275" s="266" t="s">
        <v>166</v>
      </c>
      <c r="M275" s="266">
        <v>2.0</v>
      </c>
      <c r="N275" s="266" t="s">
        <v>166</v>
      </c>
      <c r="O275" s="266" t="s">
        <v>174</v>
      </c>
      <c r="P275" s="266" t="s">
        <v>166</v>
      </c>
      <c r="Q275" s="266" t="s">
        <v>166</v>
      </c>
      <c r="R275" s="266">
        <v>4.0</v>
      </c>
      <c r="S275" s="266" t="s">
        <v>3149</v>
      </c>
      <c r="T275" s="266">
        <v>128.0</v>
      </c>
      <c r="U275" s="507" t="s">
        <v>5275</v>
      </c>
      <c r="V275" s="266">
        <v>6.0</v>
      </c>
      <c r="W275" s="710" t="s">
        <v>5305</v>
      </c>
      <c r="X275" s="266">
        <v>4.0</v>
      </c>
      <c r="Y275" s="266" t="s">
        <v>166</v>
      </c>
      <c r="Z275" s="266" t="s">
        <v>166</v>
      </c>
      <c r="AA275" s="266">
        <v>1.0</v>
      </c>
      <c r="AB275" s="266">
        <v>1.0</v>
      </c>
      <c r="AC275" s="266" t="s">
        <v>166</v>
      </c>
      <c r="AD275" s="266" t="s">
        <v>166</v>
      </c>
      <c r="AE275" s="266" t="s">
        <v>166</v>
      </c>
      <c r="AF275" s="266">
        <f t="shared" si="1"/>
        <v>6</v>
      </c>
      <c r="AG275" s="266">
        <v>2.0</v>
      </c>
      <c r="AH275" s="266">
        <v>2.0</v>
      </c>
      <c r="AI275" s="266" t="s">
        <v>166</v>
      </c>
      <c r="AJ275" s="266">
        <v>1.0</v>
      </c>
      <c r="AK275" s="48" t="s">
        <v>5133</v>
      </c>
      <c r="AL275" s="48">
        <v>1.0</v>
      </c>
      <c r="AM275" s="48">
        <v>1.0</v>
      </c>
      <c r="AN275" s="48" t="s">
        <v>166</v>
      </c>
      <c r="AO275" s="48" t="s">
        <v>232</v>
      </c>
      <c r="AP275" s="266" t="s">
        <v>166</v>
      </c>
      <c r="AQ275" s="266" t="s">
        <v>166</v>
      </c>
      <c r="AR275" s="48" t="s">
        <v>5039</v>
      </c>
      <c r="AS275" s="266" t="s">
        <v>166</v>
      </c>
      <c r="AT275" s="266">
        <v>3.0</v>
      </c>
      <c r="AU275" s="266">
        <v>1.0</v>
      </c>
      <c r="AV275" s="266">
        <v>1.0</v>
      </c>
      <c r="AW275" s="266">
        <v>2.0</v>
      </c>
      <c r="AX275" s="266" t="s">
        <v>166</v>
      </c>
      <c r="AY275" s="266" t="s">
        <v>166</v>
      </c>
      <c r="AZ275" s="266">
        <v>4.0</v>
      </c>
      <c r="BA275" s="266">
        <v>2.0</v>
      </c>
      <c r="BB275" s="266">
        <v>2.0</v>
      </c>
      <c r="BC275" s="266" t="s">
        <v>174</v>
      </c>
      <c r="BD275" s="266" t="s">
        <v>166</v>
      </c>
      <c r="BE275" s="48" t="s">
        <v>5201</v>
      </c>
      <c r="BF275" s="705" t="s">
        <v>4973</v>
      </c>
      <c r="BG275" s="48" t="s">
        <v>4955</v>
      </c>
      <c r="BH275" s="48">
        <v>6.0</v>
      </c>
      <c r="BI275" s="698" t="s">
        <v>5658</v>
      </c>
      <c r="BJ275" s="698"/>
      <c r="BK275" s="394"/>
      <c r="BL275" s="394"/>
      <c r="BM275" s="394"/>
      <c r="BN275" s="394"/>
      <c r="BO275" s="394"/>
      <c r="BP275" s="394"/>
    </row>
    <row r="276">
      <c r="A276" s="266" t="s">
        <v>1688</v>
      </c>
      <c r="B276" s="48">
        <v>1200.0</v>
      </c>
      <c r="C276" s="266" t="s">
        <v>5283</v>
      </c>
      <c r="D276" s="452" t="str">
        <f t="shared" si="41"/>
        <v>Asus</v>
      </c>
      <c r="E276" s="174" t="s">
        <v>5777</v>
      </c>
      <c r="F276" s="266">
        <v>244.0</v>
      </c>
      <c r="G276" s="266">
        <v>211.0</v>
      </c>
      <c r="H276" s="266">
        <v>4.0</v>
      </c>
      <c r="I276" s="266" t="s">
        <v>166</v>
      </c>
      <c r="J276" s="266">
        <v>2.0</v>
      </c>
      <c r="K276" s="266" t="s">
        <v>166</v>
      </c>
      <c r="L276" s="266" t="s">
        <v>166</v>
      </c>
      <c r="M276" s="266">
        <v>1.0</v>
      </c>
      <c r="N276" s="266" t="s">
        <v>166</v>
      </c>
      <c r="O276" s="266" t="s">
        <v>174</v>
      </c>
      <c r="P276" s="266" t="s">
        <v>166</v>
      </c>
      <c r="Q276" s="266" t="s">
        <v>166</v>
      </c>
      <c r="R276" s="266">
        <v>2.0</v>
      </c>
      <c r="S276" s="266" t="s">
        <v>3149</v>
      </c>
      <c r="T276" s="266">
        <v>64.0</v>
      </c>
      <c r="U276" s="507" t="s">
        <v>5275</v>
      </c>
      <c r="V276" s="266">
        <v>6.0</v>
      </c>
      <c r="W276" s="710" t="s">
        <v>5305</v>
      </c>
      <c r="X276" s="266">
        <v>2.0</v>
      </c>
      <c r="Y276" s="266">
        <v>4.0</v>
      </c>
      <c r="Z276" s="266" t="s">
        <v>166</v>
      </c>
      <c r="AA276" s="266" t="s">
        <v>166</v>
      </c>
      <c r="AB276" s="266" t="s">
        <v>166</v>
      </c>
      <c r="AC276" s="266" t="s">
        <v>166</v>
      </c>
      <c r="AD276" s="266" t="s">
        <v>166</v>
      </c>
      <c r="AE276" s="266" t="s">
        <v>166</v>
      </c>
      <c r="AF276" s="266">
        <f t="shared" si="1"/>
        <v>6</v>
      </c>
      <c r="AG276" s="266">
        <v>2.0</v>
      </c>
      <c r="AH276" s="266">
        <v>1.0</v>
      </c>
      <c r="AI276" s="266" t="s">
        <v>166</v>
      </c>
      <c r="AJ276" s="266">
        <v>1.0</v>
      </c>
      <c r="AK276" s="48" t="s">
        <v>5133</v>
      </c>
      <c r="AL276" s="48">
        <v>1.0</v>
      </c>
      <c r="AM276" s="48" t="s">
        <v>166</v>
      </c>
      <c r="AN276" s="48" t="s">
        <v>166</v>
      </c>
      <c r="AO276" s="48" t="s">
        <v>166</v>
      </c>
      <c r="AP276" s="266" t="s">
        <v>166</v>
      </c>
      <c r="AQ276" s="266" t="s">
        <v>166</v>
      </c>
      <c r="AR276" s="48" t="s">
        <v>5039</v>
      </c>
      <c r="AS276" s="266" t="s">
        <v>166</v>
      </c>
      <c r="AT276" s="266">
        <v>3.0</v>
      </c>
      <c r="AU276" s="266">
        <v>1.0</v>
      </c>
      <c r="AV276" s="266" t="s">
        <v>166</v>
      </c>
      <c r="AW276" s="266">
        <v>1.0</v>
      </c>
      <c r="AX276" s="266" t="s">
        <v>166</v>
      </c>
      <c r="AY276" s="266">
        <v>1.0</v>
      </c>
      <c r="AZ276" s="266">
        <v>2.0</v>
      </c>
      <c r="BA276" s="266">
        <v>1.0</v>
      </c>
      <c r="BB276" s="266" t="s">
        <v>166</v>
      </c>
      <c r="BC276" s="266" t="s">
        <v>166</v>
      </c>
      <c r="BD276" s="266" t="s">
        <v>166</v>
      </c>
      <c r="BE276" s="48" t="s">
        <v>5201</v>
      </c>
      <c r="BF276" s="705" t="s">
        <v>4973</v>
      </c>
      <c r="BG276" s="48" t="s">
        <v>4955</v>
      </c>
      <c r="BH276" s="48">
        <v>6.0</v>
      </c>
      <c r="BI276" s="698" t="s">
        <v>5658</v>
      </c>
      <c r="BJ276" s="698"/>
      <c r="BK276" s="394"/>
      <c r="BL276" s="394"/>
      <c r="BM276" s="394"/>
      <c r="BN276" s="394"/>
      <c r="BO276" s="394"/>
      <c r="BP276" s="394"/>
    </row>
    <row r="277">
      <c r="A277" s="266" t="s">
        <v>1688</v>
      </c>
      <c r="B277" s="48">
        <v>1200.0</v>
      </c>
      <c r="C277" s="266" t="s">
        <v>5283</v>
      </c>
      <c r="D277" s="452" t="str">
        <f t="shared" ref="D277:D280" si="42">HYPERLINK("https://www.gigabyte.com/","Gigabyte")</f>
        <v>Gigabyte</v>
      </c>
      <c r="E277" s="174" t="s">
        <v>5778</v>
      </c>
      <c r="F277" s="266">
        <v>244.0</v>
      </c>
      <c r="G277" s="266">
        <v>225.0</v>
      </c>
      <c r="H277" s="266">
        <v>4.0</v>
      </c>
      <c r="I277" s="266" t="s">
        <v>166</v>
      </c>
      <c r="J277" s="266">
        <v>2.0</v>
      </c>
      <c r="K277" s="266" t="s">
        <v>166</v>
      </c>
      <c r="L277" s="266" t="s">
        <v>166</v>
      </c>
      <c r="M277" s="266">
        <v>1.0</v>
      </c>
      <c r="N277" s="266" t="s">
        <v>166</v>
      </c>
      <c r="O277" s="266" t="s">
        <v>174</v>
      </c>
      <c r="P277" s="266" t="s">
        <v>174</v>
      </c>
      <c r="Q277" s="266" t="s">
        <v>166</v>
      </c>
      <c r="R277" s="266">
        <v>2.0</v>
      </c>
      <c r="S277" s="266" t="s">
        <v>3149</v>
      </c>
      <c r="T277" s="266">
        <v>64.0</v>
      </c>
      <c r="U277" s="266" t="s">
        <v>5047</v>
      </c>
      <c r="V277" s="266">
        <v>6.0</v>
      </c>
      <c r="W277" s="710" t="s">
        <v>5305</v>
      </c>
      <c r="X277" s="266">
        <v>2.0</v>
      </c>
      <c r="Y277" s="266">
        <v>4.0</v>
      </c>
      <c r="Z277" s="266" t="s">
        <v>166</v>
      </c>
      <c r="AA277" s="266" t="s">
        <v>166</v>
      </c>
      <c r="AB277" s="266" t="s">
        <v>166</v>
      </c>
      <c r="AC277" s="266" t="s">
        <v>166</v>
      </c>
      <c r="AD277" s="266" t="s">
        <v>166</v>
      </c>
      <c r="AE277" s="266" t="s">
        <v>166</v>
      </c>
      <c r="AF277" s="266">
        <f t="shared" si="1"/>
        <v>6</v>
      </c>
      <c r="AG277" s="266">
        <v>3.0</v>
      </c>
      <c r="AH277" s="266">
        <v>1.0</v>
      </c>
      <c r="AI277" s="266" t="s">
        <v>166</v>
      </c>
      <c r="AJ277" s="266">
        <v>1.0</v>
      </c>
      <c r="AK277" s="48" t="s">
        <v>5536</v>
      </c>
      <c r="AL277" s="48">
        <v>1.0</v>
      </c>
      <c r="AM277" s="48" t="s">
        <v>166</v>
      </c>
      <c r="AN277" s="48" t="s">
        <v>166</v>
      </c>
      <c r="AO277" s="48" t="s">
        <v>166</v>
      </c>
      <c r="AP277" s="266" t="s">
        <v>166</v>
      </c>
      <c r="AQ277" s="266" t="s">
        <v>166</v>
      </c>
      <c r="AR277" s="48" t="s">
        <v>5039</v>
      </c>
      <c r="AS277" s="266" t="s">
        <v>166</v>
      </c>
      <c r="AT277" s="266">
        <v>3.0</v>
      </c>
      <c r="AU277" s="266">
        <v>2.0</v>
      </c>
      <c r="AV277" s="266" t="s">
        <v>166</v>
      </c>
      <c r="AW277" s="266" t="s">
        <v>166</v>
      </c>
      <c r="AX277" s="266">
        <v>1.0</v>
      </c>
      <c r="AY277" s="266">
        <v>1.0</v>
      </c>
      <c r="AZ277" s="266">
        <v>2.0</v>
      </c>
      <c r="BA277" s="266">
        <v>1.0</v>
      </c>
      <c r="BB277" s="266">
        <v>1.0</v>
      </c>
      <c r="BC277" s="266" t="s">
        <v>166</v>
      </c>
      <c r="BD277" s="266" t="s">
        <v>166</v>
      </c>
      <c r="BE277" s="48" t="s">
        <v>5261</v>
      </c>
      <c r="BF277" s="48" t="s">
        <v>4954</v>
      </c>
      <c r="BG277" s="48" t="s">
        <v>4963</v>
      </c>
      <c r="BH277" s="48">
        <v>6.0</v>
      </c>
      <c r="BI277" s="698" t="s">
        <v>5205</v>
      </c>
      <c r="BJ277" s="698"/>
      <c r="BK277" s="394"/>
      <c r="BL277" s="394"/>
      <c r="BM277" s="394"/>
      <c r="BN277" s="394"/>
      <c r="BO277" s="394"/>
      <c r="BP277" s="394"/>
    </row>
    <row r="278">
      <c r="A278" s="266" t="s">
        <v>1688</v>
      </c>
      <c r="B278" s="48">
        <v>1200.0</v>
      </c>
      <c r="C278" s="266" t="s">
        <v>5283</v>
      </c>
      <c r="D278" s="452" t="str">
        <f t="shared" si="42"/>
        <v>Gigabyte</v>
      </c>
      <c r="E278" s="174" t="s">
        <v>5779</v>
      </c>
      <c r="F278" s="266">
        <v>244.0</v>
      </c>
      <c r="G278" s="266">
        <v>225.0</v>
      </c>
      <c r="H278" s="266">
        <v>4.0</v>
      </c>
      <c r="I278" s="266" t="s">
        <v>166</v>
      </c>
      <c r="J278" s="266">
        <v>1.0</v>
      </c>
      <c r="K278" s="266" t="s">
        <v>166</v>
      </c>
      <c r="L278" s="266" t="s">
        <v>166</v>
      </c>
      <c r="M278" s="266">
        <v>1.0</v>
      </c>
      <c r="N278" s="266" t="s">
        <v>166</v>
      </c>
      <c r="O278" s="266" t="s">
        <v>174</v>
      </c>
      <c r="P278" s="266" t="s">
        <v>174</v>
      </c>
      <c r="Q278" s="266" t="s">
        <v>166</v>
      </c>
      <c r="R278" s="266">
        <v>2.0</v>
      </c>
      <c r="S278" s="266" t="s">
        <v>3149</v>
      </c>
      <c r="T278" s="266">
        <v>64.0</v>
      </c>
      <c r="U278" s="266" t="s">
        <v>5047</v>
      </c>
      <c r="V278" s="266">
        <v>4.0</v>
      </c>
      <c r="W278" s="710" t="s">
        <v>5305</v>
      </c>
      <c r="X278" s="266">
        <v>2.0</v>
      </c>
      <c r="Y278" s="266">
        <v>4.0</v>
      </c>
      <c r="Z278" s="266" t="s">
        <v>166</v>
      </c>
      <c r="AA278" s="266" t="s">
        <v>166</v>
      </c>
      <c r="AB278" s="266" t="s">
        <v>166</v>
      </c>
      <c r="AC278" s="266" t="s">
        <v>166</v>
      </c>
      <c r="AD278" s="266" t="s">
        <v>166</v>
      </c>
      <c r="AE278" s="266" t="s">
        <v>166</v>
      </c>
      <c r="AF278" s="266">
        <f t="shared" si="1"/>
        <v>6</v>
      </c>
      <c r="AG278" s="266">
        <v>3.0</v>
      </c>
      <c r="AH278" s="266">
        <v>1.0</v>
      </c>
      <c r="AI278" s="266" t="s">
        <v>166</v>
      </c>
      <c r="AJ278" s="266">
        <v>1.0</v>
      </c>
      <c r="AK278" s="48" t="s">
        <v>5536</v>
      </c>
      <c r="AL278" s="48">
        <v>1.0</v>
      </c>
      <c r="AM278" s="48" t="s">
        <v>166</v>
      </c>
      <c r="AN278" s="48" t="s">
        <v>166</v>
      </c>
      <c r="AO278" s="48" t="s">
        <v>166</v>
      </c>
      <c r="AP278" s="266" t="s">
        <v>166</v>
      </c>
      <c r="AQ278" s="266" t="s">
        <v>166</v>
      </c>
      <c r="AR278" s="48" t="s">
        <v>5039</v>
      </c>
      <c r="AS278" s="266" t="s">
        <v>166</v>
      </c>
      <c r="AT278" s="266">
        <v>3.0</v>
      </c>
      <c r="AU278" s="266">
        <v>2.0</v>
      </c>
      <c r="AV278" s="266" t="s">
        <v>166</v>
      </c>
      <c r="AW278" s="266">
        <v>1.0</v>
      </c>
      <c r="AX278" s="266" t="s">
        <v>166</v>
      </c>
      <c r="AY278" s="266">
        <v>1.0</v>
      </c>
      <c r="AZ278" s="266">
        <v>2.0</v>
      </c>
      <c r="BA278" s="266">
        <v>1.0</v>
      </c>
      <c r="BB278" s="266">
        <v>1.0</v>
      </c>
      <c r="BC278" s="266" t="s">
        <v>166</v>
      </c>
      <c r="BD278" s="266" t="s">
        <v>166</v>
      </c>
      <c r="BE278" s="48" t="s">
        <v>5261</v>
      </c>
      <c r="BF278" s="48" t="s">
        <v>4954</v>
      </c>
      <c r="BG278" s="48" t="s">
        <v>4963</v>
      </c>
      <c r="BH278" s="48">
        <v>6.0</v>
      </c>
      <c r="BI278" s="698" t="s">
        <v>5205</v>
      </c>
      <c r="BJ278" s="698"/>
      <c r="BK278" s="394"/>
      <c r="BL278" s="394"/>
      <c r="BM278" s="394"/>
      <c r="BN278" s="394"/>
      <c r="BO278" s="394"/>
      <c r="BP278" s="394"/>
    </row>
    <row r="279">
      <c r="A279" s="266" t="s">
        <v>1688</v>
      </c>
      <c r="B279" s="48">
        <v>1200.0</v>
      </c>
      <c r="C279" s="266" t="s">
        <v>5283</v>
      </c>
      <c r="D279" s="452" t="str">
        <f t="shared" si="42"/>
        <v>Gigabyte</v>
      </c>
      <c r="E279" s="174" t="s">
        <v>5780</v>
      </c>
      <c r="F279" s="266">
        <v>244.0</v>
      </c>
      <c r="G279" s="266">
        <v>225.0</v>
      </c>
      <c r="H279" s="266">
        <v>4.0</v>
      </c>
      <c r="I279" s="266" t="s">
        <v>166</v>
      </c>
      <c r="J279" s="266">
        <v>1.0</v>
      </c>
      <c r="K279" s="266" t="s">
        <v>166</v>
      </c>
      <c r="L279" s="266" t="s">
        <v>166</v>
      </c>
      <c r="M279" s="266">
        <v>1.0</v>
      </c>
      <c r="N279" s="266" t="s">
        <v>166</v>
      </c>
      <c r="O279" s="266" t="s">
        <v>174</v>
      </c>
      <c r="P279" s="266" t="s">
        <v>174</v>
      </c>
      <c r="Q279" s="266" t="s">
        <v>166</v>
      </c>
      <c r="R279" s="266">
        <v>2.0</v>
      </c>
      <c r="S279" s="266" t="s">
        <v>3149</v>
      </c>
      <c r="T279" s="266">
        <v>64.0</v>
      </c>
      <c r="U279" s="266" t="s">
        <v>5047</v>
      </c>
      <c r="V279" s="266">
        <v>4.0</v>
      </c>
      <c r="W279" s="710" t="s">
        <v>5305</v>
      </c>
      <c r="X279" s="266">
        <v>2.0</v>
      </c>
      <c r="Y279" s="266">
        <v>4.0</v>
      </c>
      <c r="Z279" s="266" t="s">
        <v>166</v>
      </c>
      <c r="AA279" s="266" t="s">
        <v>166</v>
      </c>
      <c r="AB279" s="266" t="s">
        <v>166</v>
      </c>
      <c r="AC279" s="266" t="s">
        <v>166</v>
      </c>
      <c r="AD279" s="266" t="s">
        <v>166</v>
      </c>
      <c r="AE279" s="266" t="s">
        <v>166</v>
      </c>
      <c r="AF279" s="266">
        <f t="shared" si="1"/>
        <v>6</v>
      </c>
      <c r="AG279" s="266">
        <v>3.0</v>
      </c>
      <c r="AH279" s="266">
        <v>1.0</v>
      </c>
      <c r="AI279" s="266" t="s">
        <v>166</v>
      </c>
      <c r="AJ279" s="266">
        <v>1.0</v>
      </c>
      <c r="AK279" s="48" t="s">
        <v>5536</v>
      </c>
      <c r="AL279" s="48">
        <v>1.0</v>
      </c>
      <c r="AM279" s="48" t="s">
        <v>166</v>
      </c>
      <c r="AN279" s="48" t="s">
        <v>166</v>
      </c>
      <c r="AO279" s="48" t="s">
        <v>166</v>
      </c>
      <c r="AP279" s="266" t="s">
        <v>166</v>
      </c>
      <c r="AQ279" s="266" t="s">
        <v>166</v>
      </c>
      <c r="AR279" s="48" t="s">
        <v>5039</v>
      </c>
      <c r="AS279" s="266" t="s">
        <v>166</v>
      </c>
      <c r="AT279" s="266">
        <v>3.0</v>
      </c>
      <c r="AU279" s="266">
        <v>2.0</v>
      </c>
      <c r="AV279" s="266" t="s">
        <v>166</v>
      </c>
      <c r="AW279" s="266">
        <v>1.0</v>
      </c>
      <c r="AX279" s="266" t="s">
        <v>166</v>
      </c>
      <c r="AY279" s="266">
        <v>1.0</v>
      </c>
      <c r="AZ279" s="266">
        <v>2.0</v>
      </c>
      <c r="BA279" s="266">
        <v>1.0</v>
      </c>
      <c r="BB279" s="266">
        <v>1.0</v>
      </c>
      <c r="BC279" s="266" t="s">
        <v>166</v>
      </c>
      <c r="BD279" s="266" t="s">
        <v>166</v>
      </c>
      <c r="BE279" s="48" t="s">
        <v>5261</v>
      </c>
      <c r="BF279" s="48" t="s">
        <v>4954</v>
      </c>
      <c r="BG279" s="48" t="s">
        <v>4963</v>
      </c>
      <c r="BH279" s="48">
        <v>6.0</v>
      </c>
      <c r="BI279" s="698" t="s">
        <v>5205</v>
      </c>
      <c r="BJ279" s="698"/>
      <c r="BK279" s="394"/>
      <c r="BL279" s="394"/>
      <c r="BM279" s="394"/>
      <c r="BN279" s="394"/>
      <c r="BO279" s="394"/>
      <c r="BP279" s="394"/>
    </row>
    <row r="280">
      <c r="A280" s="266" t="s">
        <v>1688</v>
      </c>
      <c r="B280" s="48">
        <v>1200.0</v>
      </c>
      <c r="C280" s="266" t="s">
        <v>5283</v>
      </c>
      <c r="D280" s="452" t="str">
        <f t="shared" si="42"/>
        <v>Gigabyte</v>
      </c>
      <c r="E280" s="174" t="s">
        <v>5781</v>
      </c>
      <c r="F280" s="266">
        <v>244.0</v>
      </c>
      <c r="G280" s="266">
        <v>225.0</v>
      </c>
      <c r="H280" s="266">
        <v>4.0</v>
      </c>
      <c r="I280" s="266" t="s">
        <v>166</v>
      </c>
      <c r="J280" s="266">
        <v>1.0</v>
      </c>
      <c r="K280" s="266" t="s">
        <v>166</v>
      </c>
      <c r="L280" s="266" t="s">
        <v>166</v>
      </c>
      <c r="M280" s="266">
        <v>1.0</v>
      </c>
      <c r="N280" s="266" t="s">
        <v>166</v>
      </c>
      <c r="O280" s="266" t="s">
        <v>174</v>
      </c>
      <c r="P280" s="266" t="s">
        <v>174</v>
      </c>
      <c r="Q280" s="266" t="s">
        <v>166</v>
      </c>
      <c r="R280" s="266">
        <v>2.0</v>
      </c>
      <c r="S280" s="266" t="s">
        <v>3149</v>
      </c>
      <c r="T280" s="266">
        <v>64.0</v>
      </c>
      <c r="U280" s="266" t="s">
        <v>5047</v>
      </c>
      <c r="V280" s="266">
        <v>4.0</v>
      </c>
      <c r="W280" s="710" t="s">
        <v>5305</v>
      </c>
      <c r="X280" s="266">
        <v>2.0</v>
      </c>
      <c r="Y280" s="266">
        <v>4.0</v>
      </c>
      <c r="Z280" s="266" t="s">
        <v>166</v>
      </c>
      <c r="AA280" s="266" t="s">
        <v>166</v>
      </c>
      <c r="AB280" s="266" t="s">
        <v>166</v>
      </c>
      <c r="AC280" s="266" t="s">
        <v>166</v>
      </c>
      <c r="AD280" s="266" t="s">
        <v>166</v>
      </c>
      <c r="AE280" s="266" t="s">
        <v>166</v>
      </c>
      <c r="AF280" s="266">
        <f t="shared" si="1"/>
        <v>6</v>
      </c>
      <c r="AG280" s="266">
        <v>3.0</v>
      </c>
      <c r="AH280" s="266">
        <v>1.0</v>
      </c>
      <c r="AI280" s="266" t="s">
        <v>166</v>
      </c>
      <c r="AJ280" s="266">
        <v>1.0</v>
      </c>
      <c r="AK280" s="48" t="s">
        <v>5536</v>
      </c>
      <c r="AL280" s="48">
        <v>1.0</v>
      </c>
      <c r="AM280" s="48" t="s">
        <v>166</v>
      </c>
      <c r="AN280" s="48" t="s">
        <v>166</v>
      </c>
      <c r="AO280" s="48" t="s">
        <v>166</v>
      </c>
      <c r="AP280" s="266" t="s">
        <v>166</v>
      </c>
      <c r="AQ280" s="266" t="s">
        <v>166</v>
      </c>
      <c r="AR280" s="48" t="s">
        <v>5039</v>
      </c>
      <c r="AS280" s="266" t="s">
        <v>166</v>
      </c>
      <c r="AT280" s="266">
        <v>3.0</v>
      </c>
      <c r="AU280" s="266">
        <v>2.0</v>
      </c>
      <c r="AV280" s="266" t="s">
        <v>166</v>
      </c>
      <c r="AW280" s="266">
        <v>1.0</v>
      </c>
      <c r="AX280" s="266">
        <v>1.0</v>
      </c>
      <c r="AY280" s="266" t="s">
        <v>166</v>
      </c>
      <c r="AZ280" s="266">
        <v>2.0</v>
      </c>
      <c r="BA280" s="266">
        <v>1.0</v>
      </c>
      <c r="BB280" s="266">
        <v>1.0</v>
      </c>
      <c r="BC280" s="266" t="s">
        <v>166</v>
      </c>
      <c r="BD280" s="266" t="s">
        <v>166</v>
      </c>
      <c r="BE280" s="48" t="s">
        <v>5261</v>
      </c>
      <c r="BF280" s="48" t="s">
        <v>4954</v>
      </c>
      <c r="BG280" s="48" t="s">
        <v>4963</v>
      </c>
      <c r="BH280" s="48">
        <v>6.0</v>
      </c>
      <c r="BI280" s="698" t="s">
        <v>5205</v>
      </c>
      <c r="BJ280" s="698"/>
      <c r="BK280" s="394"/>
      <c r="BL280" s="394"/>
      <c r="BM280" s="394"/>
      <c r="BN280" s="394"/>
      <c r="BO280" s="394"/>
      <c r="BP280" s="394"/>
    </row>
    <row r="281">
      <c r="A281" s="266" t="s">
        <v>1688</v>
      </c>
      <c r="B281" s="48">
        <v>1200.0</v>
      </c>
      <c r="C281" s="266" t="s">
        <v>5283</v>
      </c>
      <c r="D281" s="452" t="str">
        <f t="shared" ref="D281:D284" si="43">HYPERLINK("https://www.msi.com/index.php","MSI")</f>
        <v>MSI</v>
      </c>
      <c r="E281" s="174" t="s">
        <v>5782</v>
      </c>
      <c r="F281" s="266">
        <v>236.0</v>
      </c>
      <c r="G281" s="266">
        <v>202.0</v>
      </c>
      <c r="H281" s="266">
        <v>4.0</v>
      </c>
      <c r="I281" s="266" t="s">
        <v>166</v>
      </c>
      <c r="J281" s="266">
        <v>2.0</v>
      </c>
      <c r="K281" s="266" t="s">
        <v>166</v>
      </c>
      <c r="L281" s="266" t="s">
        <v>166</v>
      </c>
      <c r="M281" s="266">
        <v>1.0</v>
      </c>
      <c r="N281" s="266" t="s">
        <v>166</v>
      </c>
      <c r="O281" s="266" t="s">
        <v>174</v>
      </c>
      <c r="P281" s="266" t="s">
        <v>166</v>
      </c>
      <c r="Q281" s="266" t="s">
        <v>166</v>
      </c>
      <c r="R281" s="266">
        <v>2.0</v>
      </c>
      <c r="S281" s="266" t="s">
        <v>3149</v>
      </c>
      <c r="T281" s="266">
        <v>64.0</v>
      </c>
      <c r="U281" s="266" t="s">
        <v>5298</v>
      </c>
      <c r="V281" s="266">
        <v>6.0</v>
      </c>
      <c r="W281" s="710" t="s">
        <v>4950</v>
      </c>
      <c r="X281" s="266">
        <v>2.0</v>
      </c>
      <c r="Y281" s="266">
        <v>4.0</v>
      </c>
      <c r="Z281" s="266" t="s">
        <v>166</v>
      </c>
      <c r="AA281" s="266" t="s">
        <v>166</v>
      </c>
      <c r="AB281" s="266" t="s">
        <v>166</v>
      </c>
      <c r="AC281" s="266" t="s">
        <v>166</v>
      </c>
      <c r="AD281" s="266" t="s">
        <v>166</v>
      </c>
      <c r="AE281" s="266" t="s">
        <v>166</v>
      </c>
      <c r="AF281" s="266">
        <f t="shared" si="1"/>
        <v>6</v>
      </c>
      <c r="AG281" s="266">
        <v>2.0</v>
      </c>
      <c r="AH281" s="266">
        <v>1.0</v>
      </c>
      <c r="AI281" s="266" t="s">
        <v>166</v>
      </c>
      <c r="AJ281" s="266">
        <v>1.0</v>
      </c>
      <c r="AK281" s="48" t="s">
        <v>5038</v>
      </c>
      <c r="AL281" s="48">
        <v>2.5</v>
      </c>
      <c r="AM281" s="48" t="s">
        <v>166</v>
      </c>
      <c r="AN281" s="48" t="s">
        <v>166</v>
      </c>
      <c r="AO281" s="48" t="s">
        <v>166</v>
      </c>
      <c r="AP281" s="266" t="s">
        <v>166</v>
      </c>
      <c r="AQ281" s="266" t="s">
        <v>166</v>
      </c>
      <c r="AR281" s="48" t="s">
        <v>5039</v>
      </c>
      <c r="AS281" s="266" t="s">
        <v>166</v>
      </c>
      <c r="AT281" s="266">
        <v>3.0</v>
      </c>
      <c r="AU281" s="266">
        <v>1.0</v>
      </c>
      <c r="AV281" s="266">
        <v>1.0</v>
      </c>
      <c r="AW281" s="266">
        <v>1.0</v>
      </c>
      <c r="AX281" s="266" t="s">
        <v>166</v>
      </c>
      <c r="AY281" s="266">
        <v>1.0</v>
      </c>
      <c r="AZ281" s="266">
        <v>2.0</v>
      </c>
      <c r="BA281" s="266" t="s">
        <v>166</v>
      </c>
      <c r="BB281" s="266" t="s">
        <v>166</v>
      </c>
      <c r="BC281" s="266" t="s">
        <v>174</v>
      </c>
      <c r="BD281" s="266" t="s">
        <v>166</v>
      </c>
      <c r="BE281" s="48" t="s">
        <v>5783</v>
      </c>
      <c r="BF281" s="48" t="s">
        <v>5034</v>
      </c>
      <c r="BG281" s="48" t="s">
        <v>4955</v>
      </c>
      <c r="BH281" s="48">
        <v>8.0</v>
      </c>
      <c r="BI281" s="698" t="s">
        <v>5456</v>
      </c>
      <c r="BJ281" s="698"/>
      <c r="BK281" s="394"/>
      <c r="BL281" s="394"/>
      <c r="BM281" s="394"/>
      <c r="BN281" s="394"/>
      <c r="BO281" s="394"/>
      <c r="BP281" s="394"/>
    </row>
    <row r="282">
      <c r="A282" s="266" t="s">
        <v>1688</v>
      </c>
      <c r="B282" s="48">
        <v>1200.0</v>
      </c>
      <c r="C282" s="266" t="s">
        <v>5283</v>
      </c>
      <c r="D282" s="452" t="str">
        <f t="shared" si="43"/>
        <v>MSI</v>
      </c>
      <c r="E282" s="174" t="s">
        <v>5784</v>
      </c>
      <c r="F282" s="266">
        <v>236.0</v>
      </c>
      <c r="G282" s="266">
        <v>203.0</v>
      </c>
      <c r="H282" s="266">
        <v>4.0</v>
      </c>
      <c r="I282" s="266" t="s">
        <v>166</v>
      </c>
      <c r="J282" s="266">
        <v>2.0</v>
      </c>
      <c r="K282" s="266" t="s">
        <v>166</v>
      </c>
      <c r="L282" s="266" t="s">
        <v>166</v>
      </c>
      <c r="M282" s="266">
        <v>1.0</v>
      </c>
      <c r="N282" s="266" t="s">
        <v>166</v>
      </c>
      <c r="O282" s="266" t="s">
        <v>174</v>
      </c>
      <c r="P282" s="266" t="s">
        <v>166</v>
      </c>
      <c r="Q282" s="266" t="s">
        <v>166</v>
      </c>
      <c r="R282" s="266">
        <v>2.0</v>
      </c>
      <c r="S282" s="266" t="s">
        <v>3149</v>
      </c>
      <c r="T282" s="266">
        <v>64.0</v>
      </c>
      <c r="U282" s="266" t="s">
        <v>5298</v>
      </c>
      <c r="V282" s="266">
        <v>6.0</v>
      </c>
      <c r="W282" s="710" t="s">
        <v>4950</v>
      </c>
      <c r="X282" s="266">
        <v>2.0</v>
      </c>
      <c r="Y282" s="266">
        <v>4.0</v>
      </c>
      <c r="Z282" s="266" t="s">
        <v>166</v>
      </c>
      <c r="AA282" s="266" t="s">
        <v>166</v>
      </c>
      <c r="AB282" s="266" t="s">
        <v>166</v>
      </c>
      <c r="AC282" s="266" t="s">
        <v>166</v>
      </c>
      <c r="AD282" s="266" t="s">
        <v>166</v>
      </c>
      <c r="AE282" s="266" t="s">
        <v>166</v>
      </c>
      <c r="AF282" s="266">
        <f t="shared" si="1"/>
        <v>6</v>
      </c>
      <c r="AG282" s="266">
        <v>2.0</v>
      </c>
      <c r="AH282" s="266">
        <v>1.0</v>
      </c>
      <c r="AI282" s="266" t="s">
        <v>166</v>
      </c>
      <c r="AJ282" s="266">
        <v>1.0</v>
      </c>
      <c r="AK282" s="48" t="s">
        <v>5038</v>
      </c>
      <c r="AL282" s="48">
        <v>2.5</v>
      </c>
      <c r="AM282" s="48">
        <v>1.0</v>
      </c>
      <c r="AN282" s="48" t="s">
        <v>5027</v>
      </c>
      <c r="AO282" s="48" t="s">
        <v>5257</v>
      </c>
      <c r="AP282" s="266">
        <v>2400.0</v>
      </c>
      <c r="AQ282" s="266">
        <v>5.2</v>
      </c>
      <c r="AR282" s="48" t="s">
        <v>5039</v>
      </c>
      <c r="AS282" s="266" t="s">
        <v>166</v>
      </c>
      <c r="AT282" s="266">
        <v>3.0</v>
      </c>
      <c r="AU282" s="266">
        <v>1.0</v>
      </c>
      <c r="AV282" s="266">
        <v>1.0</v>
      </c>
      <c r="AW282" s="266">
        <v>1.0</v>
      </c>
      <c r="AX282" s="266" t="s">
        <v>166</v>
      </c>
      <c r="AY282" s="266">
        <v>1.0</v>
      </c>
      <c r="AZ282" s="266">
        <v>2.0</v>
      </c>
      <c r="BA282" s="266" t="s">
        <v>166</v>
      </c>
      <c r="BB282" s="266" t="s">
        <v>166</v>
      </c>
      <c r="BC282" s="266" t="s">
        <v>174</v>
      </c>
      <c r="BD282" s="266" t="s">
        <v>166</v>
      </c>
      <c r="BE282" s="48" t="s">
        <v>5783</v>
      </c>
      <c r="BF282" s="48" t="s">
        <v>5034</v>
      </c>
      <c r="BG282" s="48" t="s">
        <v>4955</v>
      </c>
      <c r="BH282" s="48">
        <v>8.0</v>
      </c>
      <c r="BI282" s="698" t="s">
        <v>5456</v>
      </c>
      <c r="BJ282" s="698"/>
      <c r="BK282" s="394"/>
      <c r="BL282" s="394"/>
      <c r="BM282" s="394"/>
      <c r="BN282" s="394"/>
      <c r="BO282" s="394"/>
      <c r="BP282" s="394"/>
    </row>
    <row r="283">
      <c r="A283" s="266" t="s">
        <v>1688</v>
      </c>
      <c r="B283" s="48">
        <v>1200.0</v>
      </c>
      <c r="C283" s="266" t="s">
        <v>5283</v>
      </c>
      <c r="D283" s="452" t="str">
        <f t="shared" si="43"/>
        <v>MSI</v>
      </c>
      <c r="E283" s="174" t="s">
        <v>5785</v>
      </c>
      <c r="F283" s="266">
        <v>236.0</v>
      </c>
      <c r="G283" s="266">
        <v>202.0</v>
      </c>
      <c r="H283" s="266">
        <v>4.0</v>
      </c>
      <c r="I283" s="266" t="s">
        <v>166</v>
      </c>
      <c r="J283" s="266">
        <v>1.0</v>
      </c>
      <c r="K283" s="266" t="s">
        <v>166</v>
      </c>
      <c r="L283" s="266" t="s">
        <v>166</v>
      </c>
      <c r="M283" s="266">
        <v>1.0</v>
      </c>
      <c r="N283" s="266" t="s">
        <v>166</v>
      </c>
      <c r="O283" s="266" t="s">
        <v>174</v>
      </c>
      <c r="P283" s="266" t="s">
        <v>166</v>
      </c>
      <c r="Q283" s="266" t="s">
        <v>166</v>
      </c>
      <c r="R283" s="266">
        <v>2.0</v>
      </c>
      <c r="S283" s="266" t="s">
        <v>3149</v>
      </c>
      <c r="T283" s="266">
        <v>64.0</v>
      </c>
      <c r="U283" s="266" t="s">
        <v>5223</v>
      </c>
      <c r="V283" s="266">
        <v>4.0</v>
      </c>
      <c r="W283" s="710" t="s">
        <v>4950</v>
      </c>
      <c r="X283" s="266">
        <v>4.0</v>
      </c>
      <c r="Y283" s="266">
        <v>2.0</v>
      </c>
      <c r="Z283" s="266" t="s">
        <v>166</v>
      </c>
      <c r="AA283" s="266" t="s">
        <v>166</v>
      </c>
      <c r="AB283" s="266" t="s">
        <v>166</v>
      </c>
      <c r="AC283" s="266" t="s">
        <v>166</v>
      </c>
      <c r="AD283" s="266" t="s">
        <v>166</v>
      </c>
      <c r="AE283" s="266" t="s">
        <v>166</v>
      </c>
      <c r="AF283" s="266">
        <f t="shared" si="1"/>
        <v>6</v>
      </c>
      <c r="AG283" s="266">
        <v>1.0</v>
      </c>
      <c r="AH283" s="266">
        <v>1.0</v>
      </c>
      <c r="AI283" s="266" t="s">
        <v>166</v>
      </c>
      <c r="AJ283" s="266">
        <v>1.0</v>
      </c>
      <c r="AK283" s="48" t="s">
        <v>5133</v>
      </c>
      <c r="AL283" s="48">
        <v>1.0</v>
      </c>
      <c r="AM283" s="48" t="s">
        <v>166</v>
      </c>
      <c r="AN283" s="48" t="s">
        <v>166</v>
      </c>
      <c r="AO283" s="48" t="s">
        <v>166</v>
      </c>
      <c r="AP283" s="266" t="s">
        <v>166</v>
      </c>
      <c r="AQ283" s="266" t="s">
        <v>166</v>
      </c>
      <c r="AR283" s="48" t="s">
        <v>5039</v>
      </c>
      <c r="AS283" s="266" t="s">
        <v>166</v>
      </c>
      <c r="AT283" s="266">
        <v>3.0</v>
      </c>
      <c r="AU283" s="266">
        <v>1.0</v>
      </c>
      <c r="AV283" s="266" t="s">
        <v>166</v>
      </c>
      <c r="AW283" s="266">
        <v>1.0</v>
      </c>
      <c r="AX283" s="266" t="s">
        <v>166</v>
      </c>
      <c r="AY283" s="266">
        <v>1.0</v>
      </c>
      <c r="AZ283" s="266">
        <v>2.0</v>
      </c>
      <c r="BA283" s="266" t="s">
        <v>166</v>
      </c>
      <c r="BB283" s="266" t="s">
        <v>166</v>
      </c>
      <c r="BC283" s="266" t="s">
        <v>174</v>
      </c>
      <c r="BD283" s="266" t="s">
        <v>166</v>
      </c>
      <c r="BE283" s="48" t="s">
        <v>5786</v>
      </c>
      <c r="BF283" s="48" t="s">
        <v>5034</v>
      </c>
      <c r="BG283" s="48" t="s">
        <v>4955</v>
      </c>
      <c r="BH283" s="48">
        <v>8.0</v>
      </c>
      <c r="BI283" s="698" t="s">
        <v>5787</v>
      </c>
      <c r="BJ283" s="698"/>
      <c r="BK283" s="394"/>
      <c r="BL283" s="394"/>
      <c r="BM283" s="394"/>
      <c r="BN283" s="394"/>
      <c r="BO283" s="394"/>
      <c r="BP283" s="394"/>
    </row>
    <row r="284">
      <c r="A284" s="501" t="s">
        <v>1688</v>
      </c>
      <c r="B284" s="700">
        <v>1200.0</v>
      </c>
      <c r="C284" s="501" t="s">
        <v>5283</v>
      </c>
      <c r="D284" s="500" t="str">
        <f t="shared" si="43"/>
        <v>MSI</v>
      </c>
      <c r="E284" s="291" t="s">
        <v>5788</v>
      </c>
      <c r="F284" s="501">
        <v>236.0</v>
      </c>
      <c r="G284" s="501">
        <v>202.0</v>
      </c>
      <c r="H284" s="501">
        <v>4.0</v>
      </c>
      <c r="I284" s="501" t="s">
        <v>166</v>
      </c>
      <c r="J284" s="501">
        <v>2.0</v>
      </c>
      <c r="K284" s="501" t="s">
        <v>166</v>
      </c>
      <c r="L284" s="501" t="s">
        <v>166</v>
      </c>
      <c r="M284" s="501">
        <v>1.0</v>
      </c>
      <c r="N284" s="501" t="s">
        <v>166</v>
      </c>
      <c r="O284" s="501" t="s">
        <v>174</v>
      </c>
      <c r="P284" s="501" t="s">
        <v>166</v>
      </c>
      <c r="Q284" s="501" t="s">
        <v>166</v>
      </c>
      <c r="R284" s="501">
        <v>2.0</v>
      </c>
      <c r="S284" s="501" t="s">
        <v>3149</v>
      </c>
      <c r="T284" s="501">
        <v>64.0</v>
      </c>
      <c r="U284" s="501" t="s">
        <v>5298</v>
      </c>
      <c r="V284" s="501">
        <v>6.0</v>
      </c>
      <c r="W284" s="701" t="s">
        <v>4950</v>
      </c>
      <c r="X284" s="501">
        <v>2.0</v>
      </c>
      <c r="Y284" s="501">
        <v>4.0</v>
      </c>
      <c r="Z284" s="501" t="s">
        <v>166</v>
      </c>
      <c r="AA284" s="501" t="s">
        <v>166</v>
      </c>
      <c r="AB284" s="501" t="s">
        <v>166</v>
      </c>
      <c r="AC284" s="501" t="s">
        <v>166</v>
      </c>
      <c r="AD284" s="501" t="s">
        <v>166</v>
      </c>
      <c r="AE284" s="501" t="s">
        <v>166</v>
      </c>
      <c r="AF284" s="501">
        <f t="shared" si="1"/>
        <v>6</v>
      </c>
      <c r="AG284" s="501">
        <v>2.0</v>
      </c>
      <c r="AH284" s="501">
        <v>1.0</v>
      </c>
      <c r="AI284" s="501" t="s">
        <v>166</v>
      </c>
      <c r="AJ284" s="501">
        <v>1.0</v>
      </c>
      <c r="AK284" s="700" t="s">
        <v>5038</v>
      </c>
      <c r="AL284" s="700">
        <v>2.5</v>
      </c>
      <c r="AM284" s="700" t="s">
        <v>166</v>
      </c>
      <c r="AN284" s="700" t="s">
        <v>166</v>
      </c>
      <c r="AO284" s="700" t="s">
        <v>166</v>
      </c>
      <c r="AP284" s="501" t="s">
        <v>166</v>
      </c>
      <c r="AQ284" s="501" t="s">
        <v>166</v>
      </c>
      <c r="AR284" s="700" t="s">
        <v>5039</v>
      </c>
      <c r="AS284" s="501" t="s">
        <v>166</v>
      </c>
      <c r="AT284" s="501">
        <v>3.0</v>
      </c>
      <c r="AU284" s="501">
        <v>1.0</v>
      </c>
      <c r="AV284" s="501" t="s">
        <v>166</v>
      </c>
      <c r="AW284" s="501">
        <v>1.0</v>
      </c>
      <c r="AX284" s="501" t="s">
        <v>166</v>
      </c>
      <c r="AY284" s="501">
        <v>1.0</v>
      </c>
      <c r="AZ284" s="501">
        <v>2.0</v>
      </c>
      <c r="BA284" s="501" t="s">
        <v>166</v>
      </c>
      <c r="BB284" s="501" t="s">
        <v>166</v>
      </c>
      <c r="BC284" s="501" t="s">
        <v>174</v>
      </c>
      <c r="BD284" s="501" t="s">
        <v>166</v>
      </c>
      <c r="BE284" s="700" t="s">
        <v>5783</v>
      </c>
      <c r="BF284" s="700" t="s">
        <v>5034</v>
      </c>
      <c r="BG284" s="700" t="s">
        <v>4955</v>
      </c>
      <c r="BH284" s="700">
        <v>8.0</v>
      </c>
      <c r="BI284" s="703" t="s">
        <v>5456</v>
      </c>
      <c r="BJ284" s="703"/>
      <c r="BK284" s="394"/>
      <c r="BL284" s="394"/>
      <c r="BM284" s="394"/>
      <c r="BN284" s="394"/>
      <c r="BO284" s="394"/>
      <c r="BP284" s="394"/>
    </row>
    <row r="285">
      <c r="A285" s="266" t="s">
        <v>1688</v>
      </c>
      <c r="B285" s="48">
        <v>1200.0</v>
      </c>
      <c r="C285" s="266" t="s">
        <v>5307</v>
      </c>
      <c r="D285" s="452" t="s">
        <v>169</v>
      </c>
      <c r="E285" s="174" t="s">
        <v>5789</v>
      </c>
      <c r="F285" s="266">
        <v>244.0</v>
      </c>
      <c r="G285" s="266">
        <v>244.0</v>
      </c>
      <c r="H285" s="266">
        <v>4.0</v>
      </c>
      <c r="I285" s="266" t="s">
        <v>166</v>
      </c>
      <c r="J285" s="266">
        <v>1.0</v>
      </c>
      <c r="K285" s="266">
        <v>1.0</v>
      </c>
      <c r="L285" s="266" t="s">
        <v>166</v>
      </c>
      <c r="M285" s="266">
        <v>1.0</v>
      </c>
      <c r="N285" s="266" t="s">
        <v>174</v>
      </c>
      <c r="O285" s="266" t="s">
        <v>174</v>
      </c>
      <c r="P285" s="266" t="s">
        <v>166</v>
      </c>
      <c r="Q285" s="266" t="s">
        <v>166</v>
      </c>
      <c r="R285" s="266">
        <v>4.0</v>
      </c>
      <c r="S285" s="266" t="s">
        <v>3149</v>
      </c>
      <c r="T285" s="266">
        <v>128.0</v>
      </c>
      <c r="U285" s="266" t="s">
        <v>5223</v>
      </c>
      <c r="V285" s="266">
        <v>4.0</v>
      </c>
      <c r="W285" s="710" t="s">
        <v>5305</v>
      </c>
      <c r="X285" s="266" t="s">
        <v>166</v>
      </c>
      <c r="Y285" s="266">
        <v>4.0</v>
      </c>
      <c r="Z285" s="266" t="s">
        <v>166</v>
      </c>
      <c r="AA285" s="266">
        <v>2.0</v>
      </c>
      <c r="AB285" s="266" t="s">
        <v>166</v>
      </c>
      <c r="AC285" s="266" t="s">
        <v>166</v>
      </c>
      <c r="AD285" s="266" t="s">
        <v>166</v>
      </c>
      <c r="AE285" s="266" t="s">
        <v>166</v>
      </c>
      <c r="AF285" s="266">
        <f t="shared" si="1"/>
        <v>6</v>
      </c>
      <c r="AG285" s="266">
        <v>2.0</v>
      </c>
      <c r="AH285" s="266">
        <v>2.0</v>
      </c>
      <c r="AI285" s="266" t="s">
        <v>166</v>
      </c>
      <c r="AJ285" s="266">
        <v>1.0</v>
      </c>
      <c r="AK285" s="48" t="s">
        <v>5133</v>
      </c>
      <c r="AL285" s="48">
        <v>1.0</v>
      </c>
      <c r="AM285" s="48">
        <v>1.0</v>
      </c>
      <c r="AN285" s="48" t="s">
        <v>166</v>
      </c>
      <c r="AO285" s="48" t="s">
        <v>232</v>
      </c>
      <c r="AP285" s="266" t="s">
        <v>166</v>
      </c>
      <c r="AQ285" s="266" t="s">
        <v>166</v>
      </c>
      <c r="AR285" s="48" t="s">
        <v>5039</v>
      </c>
      <c r="AS285" s="266" t="s">
        <v>166</v>
      </c>
      <c r="AT285" s="266">
        <v>3.0</v>
      </c>
      <c r="AU285" s="266" t="s">
        <v>166</v>
      </c>
      <c r="AV285" s="266" t="s">
        <v>166</v>
      </c>
      <c r="AW285" s="266">
        <v>1.0</v>
      </c>
      <c r="AX285" s="266" t="s">
        <v>166</v>
      </c>
      <c r="AY285" s="266" t="s">
        <v>166</v>
      </c>
      <c r="AZ285" s="266">
        <v>6.0</v>
      </c>
      <c r="BA285" s="266">
        <v>2.0</v>
      </c>
      <c r="BB285" s="266">
        <v>2.0</v>
      </c>
      <c r="BC285" s="266" t="s">
        <v>174</v>
      </c>
      <c r="BD285" s="266" t="s">
        <v>166</v>
      </c>
      <c r="BE285" s="705" t="s">
        <v>5443</v>
      </c>
      <c r="BF285" s="705" t="s">
        <v>5034</v>
      </c>
      <c r="BG285" s="48" t="s">
        <v>4955</v>
      </c>
      <c r="BH285" s="48">
        <v>8.0</v>
      </c>
      <c r="BI285" s="708" t="s">
        <v>5790</v>
      </c>
      <c r="BJ285" s="698"/>
      <c r="BK285" s="394"/>
      <c r="BL285" s="394"/>
      <c r="BM285" s="394"/>
      <c r="BN285" s="394"/>
      <c r="BO285" s="394"/>
      <c r="BP285" s="394"/>
    </row>
    <row r="286">
      <c r="A286" s="266" t="s">
        <v>1688</v>
      </c>
      <c r="B286" s="48">
        <v>1200.0</v>
      </c>
      <c r="C286" s="266" t="s">
        <v>5307</v>
      </c>
      <c r="D286" s="452" t="s">
        <v>169</v>
      </c>
      <c r="E286" s="174" t="s">
        <v>5791</v>
      </c>
      <c r="F286" s="266">
        <v>244.0</v>
      </c>
      <c r="G286" s="266">
        <v>244.0</v>
      </c>
      <c r="H286" s="266">
        <v>4.0</v>
      </c>
      <c r="I286" s="266" t="s">
        <v>166</v>
      </c>
      <c r="J286" s="266">
        <v>2.0</v>
      </c>
      <c r="K286" s="266" t="s">
        <v>166</v>
      </c>
      <c r="L286" s="507" t="s">
        <v>166</v>
      </c>
      <c r="M286" s="507">
        <v>2.0</v>
      </c>
      <c r="N286" s="266" t="s">
        <v>174</v>
      </c>
      <c r="O286" s="266" t="s">
        <v>174</v>
      </c>
      <c r="P286" s="266" t="s">
        <v>166</v>
      </c>
      <c r="Q286" s="266" t="s">
        <v>166</v>
      </c>
      <c r="R286" s="266">
        <v>4.0</v>
      </c>
      <c r="S286" s="266" t="s">
        <v>3149</v>
      </c>
      <c r="T286" s="266">
        <v>128.0</v>
      </c>
      <c r="U286" s="266" t="s">
        <v>5223</v>
      </c>
      <c r="V286" s="266">
        <v>4.0</v>
      </c>
      <c r="W286" s="710" t="s">
        <v>5269</v>
      </c>
      <c r="X286" s="266">
        <v>2.0</v>
      </c>
      <c r="Y286" s="266">
        <v>2.0</v>
      </c>
      <c r="Z286" s="266" t="s">
        <v>166</v>
      </c>
      <c r="AA286" s="266">
        <v>2.0</v>
      </c>
      <c r="AB286" s="266" t="s">
        <v>166</v>
      </c>
      <c r="AC286" s="266" t="s">
        <v>166</v>
      </c>
      <c r="AD286" s="266" t="s">
        <v>166</v>
      </c>
      <c r="AE286" s="266" t="s">
        <v>166</v>
      </c>
      <c r="AF286" s="266">
        <f t="shared" si="1"/>
        <v>6</v>
      </c>
      <c r="AG286" s="266">
        <v>2.0</v>
      </c>
      <c r="AH286" s="266">
        <v>2.0</v>
      </c>
      <c r="AI286" s="266" t="s">
        <v>5049</v>
      </c>
      <c r="AJ286" s="266">
        <v>1.0</v>
      </c>
      <c r="AK286" s="48" t="s">
        <v>5133</v>
      </c>
      <c r="AL286" s="48">
        <v>1.0</v>
      </c>
      <c r="AM286" s="48">
        <v>1.0</v>
      </c>
      <c r="AN286" s="48" t="s">
        <v>166</v>
      </c>
      <c r="AO286" s="48" t="s">
        <v>232</v>
      </c>
      <c r="AP286" s="266" t="s">
        <v>166</v>
      </c>
      <c r="AQ286" s="266" t="s">
        <v>166</v>
      </c>
      <c r="AR286" s="48" t="s">
        <v>5039</v>
      </c>
      <c r="AS286" s="266" t="s">
        <v>166</v>
      </c>
      <c r="AT286" s="266">
        <v>3.0</v>
      </c>
      <c r="AU286" s="266">
        <v>1.0</v>
      </c>
      <c r="AV286" s="266">
        <v>1.0</v>
      </c>
      <c r="AW286" s="266">
        <v>1.0</v>
      </c>
      <c r="AX286" s="266" t="s">
        <v>166</v>
      </c>
      <c r="AY286" s="266" t="s">
        <v>166</v>
      </c>
      <c r="AZ286" s="266">
        <v>6.0</v>
      </c>
      <c r="BA286" s="266">
        <v>2.0</v>
      </c>
      <c r="BB286" s="266">
        <v>2.0</v>
      </c>
      <c r="BC286" s="266" t="s">
        <v>174</v>
      </c>
      <c r="BD286" s="266" t="s">
        <v>166</v>
      </c>
      <c r="BE286" s="48" t="s">
        <v>5233</v>
      </c>
      <c r="BF286" s="48" t="s">
        <v>4973</v>
      </c>
      <c r="BG286" s="48" t="s">
        <v>4955</v>
      </c>
      <c r="BH286" s="48">
        <v>12.0</v>
      </c>
      <c r="BI286" s="708" t="s">
        <v>5009</v>
      </c>
      <c r="BJ286" s="698"/>
      <c r="BK286" s="394"/>
      <c r="BL286" s="394"/>
      <c r="BM286" s="394"/>
      <c r="BN286" s="394"/>
      <c r="BO286" s="394"/>
      <c r="BP286" s="394"/>
    </row>
    <row r="287">
      <c r="A287" s="266" t="s">
        <v>1688</v>
      </c>
      <c r="B287" s="48">
        <v>1200.0</v>
      </c>
      <c r="C287" s="266" t="s">
        <v>5307</v>
      </c>
      <c r="D287" s="452" t="str">
        <f>HYPERLINK("https://www.asus.com/","Asus")</f>
        <v>Asus</v>
      </c>
      <c r="E287" s="174" t="s">
        <v>5792</v>
      </c>
      <c r="F287" s="266">
        <v>244.0</v>
      </c>
      <c r="G287" s="266">
        <v>244.0</v>
      </c>
      <c r="H287" s="266">
        <v>4.0</v>
      </c>
      <c r="I287" s="266" t="s">
        <v>166</v>
      </c>
      <c r="J287" s="266">
        <v>2.0</v>
      </c>
      <c r="K287" s="266" t="s">
        <v>166</v>
      </c>
      <c r="L287" s="507" t="s">
        <v>166</v>
      </c>
      <c r="M287" s="507">
        <v>2.0</v>
      </c>
      <c r="N287" s="266" t="s">
        <v>174</v>
      </c>
      <c r="O287" s="266" t="s">
        <v>174</v>
      </c>
      <c r="P287" s="266" t="s">
        <v>166</v>
      </c>
      <c r="Q287" s="266" t="s">
        <v>166</v>
      </c>
      <c r="R287" s="266">
        <v>4.0</v>
      </c>
      <c r="S287" s="266" t="s">
        <v>3149</v>
      </c>
      <c r="T287" s="266">
        <v>128.0</v>
      </c>
      <c r="U287" s="266" t="s">
        <v>5312</v>
      </c>
      <c r="V287" s="266">
        <v>5.0</v>
      </c>
      <c r="W287" s="710" t="s">
        <v>5793</v>
      </c>
      <c r="X287" s="266">
        <v>4.0</v>
      </c>
      <c r="Y287" s="266">
        <v>2.0</v>
      </c>
      <c r="Z287" s="266" t="s">
        <v>166</v>
      </c>
      <c r="AA287" s="266">
        <v>1.0</v>
      </c>
      <c r="AB287" s="266" t="s">
        <v>166</v>
      </c>
      <c r="AC287" s="266">
        <v>1.0</v>
      </c>
      <c r="AD287" s="266" t="s">
        <v>166</v>
      </c>
      <c r="AE287" s="266" t="s">
        <v>166</v>
      </c>
      <c r="AF287" s="266">
        <f t="shared" si="1"/>
        <v>8</v>
      </c>
      <c r="AG287" s="266">
        <v>2.0</v>
      </c>
      <c r="AH287" s="266">
        <v>2.0</v>
      </c>
      <c r="AI287" s="266" t="s">
        <v>166</v>
      </c>
      <c r="AJ287" s="266">
        <v>1.0</v>
      </c>
      <c r="AK287" s="48" t="s">
        <v>5133</v>
      </c>
      <c r="AL287" s="48">
        <v>1.0</v>
      </c>
      <c r="AM287" s="48">
        <v>1.0</v>
      </c>
      <c r="AN287" s="48" t="s">
        <v>166</v>
      </c>
      <c r="AO287" s="48" t="s">
        <v>232</v>
      </c>
      <c r="AP287" s="266" t="s">
        <v>166</v>
      </c>
      <c r="AQ287" s="266" t="s">
        <v>166</v>
      </c>
      <c r="AR287" s="48" t="s">
        <v>5039</v>
      </c>
      <c r="AS287" s="266" t="s">
        <v>166</v>
      </c>
      <c r="AT287" s="266">
        <v>3.0</v>
      </c>
      <c r="AU287" s="266" t="s">
        <v>166</v>
      </c>
      <c r="AV287" s="266">
        <v>1.0</v>
      </c>
      <c r="AW287" s="266">
        <v>1.0</v>
      </c>
      <c r="AX287" s="266">
        <v>1.0</v>
      </c>
      <c r="AY287" s="266" t="s">
        <v>166</v>
      </c>
      <c r="AZ287" s="266">
        <v>5.0</v>
      </c>
      <c r="BA287" s="266">
        <v>2.0</v>
      </c>
      <c r="BB287" s="266">
        <v>2.0</v>
      </c>
      <c r="BC287" s="266" t="s">
        <v>166</v>
      </c>
      <c r="BD287" s="266" t="s">
        <v>166</v>
      </c>
      <c r="BE287" s="48" t="s">
        <v>5235</v>
      </c>
      <c r="BF287" s="48" t="s">
        <v>5226</v>
      </c>
      <c r="BG287" s="48" t="s">
        <v>4955</v>
      </c>
      <c r="BH287" s="48">
        <v>8.0</v>
      </c>
      <c r="BI287" s="698" t="s">
        <v>5794</v>
      </c>
      <c r="BJ287" s="698"/>
      <c r="BK287" s="394"/>
      <c r="BL287" s="394"/>
      <c r="BM287" s="394"/>
      <c r="BN287" s="394"/>
      <c r="BO287" s="394"/>
      <c r="BP287" s="394"/>
    </row>
    <row r="288">
      <c r="A288" s="266" t="s">
        <v>1688</v>
      </c>
      <c r="B288" s="48">
        <v>1200.0</v>
      </c>
      <c r="C288" s="266" t="s">
        <v>5307</v>
      </c>
      <c r="D288" s="174" t="s">
        <v>3575</v>
      </c>
      <c r="E288" s="174" t="s">
        <v>5795</v>
      </c>
      <c r="F288" s="266">
        <v>244.0</v>
      </c>
      <c r="G288" s="266">
        <v>244.0</v>
      </c>
      <c r="H288" s="266">
        <v>4.0</v>
      </c>
      <c r="I288" s="266" t="s">
        <v>166</v>
      </c>
      <c r="J288" s="266">
        <v>1.0</v>
      </c>
      <c r="K288" s="266" t="s">
        <v>166</v>
      </c>
      <c r="L288" s="507" t="s">
        <v>166</v>
      </c>
      <c r="M288" s="507">
        <v>2.0</v>
      </c>
      <c r="N288" s="266" t="s">
        <v>174</v>
      </c>
      <c r="O288" s="266" t="s">
        <v>174</v>
      </c>
      <c r="P288" s="266" t="s">
        <v>166</v>
      </c>
      <c r="Q288" s="266" t="s">
        <v>166</v>
      </c>
      <c r="R288" s="266">
        <v>4.0</v>
      </c>
      <c r="S288" s="266" t="s">
        <v>3149</v>
      </c>
      <c r="T288" s="266">
        <v>128.0</v>
      </c>
      <c r="U288" s="266" t="s">
        <v>4975</v>
      </c>
      <c r="V288" s="266">
        <v>6.0</v>
      </c>
      <c r="W288" s="710" t="s">
        <v>5305</v>
      </c>
      <c r="X288" s="266">
        <v>2.0</v>
      </c>
      <c r="Y288" s="266">
        <v>4.0</v>
      </c>
      <c r="Z288" s="266" t="s">
        <v>166</v>
      </c>
      <c r="AA288" s="266">
        <v>1.0</v>
      </c>
      <c r="AB288" s="266">
        <v>1.0</v>
      </c>
      <c r="AC288" s="266" t="s">
        <v>166</v>
      </c>
      <c r="AD288" s="266" t="s">
        <v>166</v>
      </c>
      <c r="AE288" s="266" t="s">
        <v>166</v>
      </c>
      <c r="AF288" s="266">
        <f t="shared" si="1"/>
        <v>8</v>
      </c>
      <c r="AG288" s="266">
        <v>2.0</v>
      </c>
      <c r="AH288" s="266">
        <v>2.0</v>
      </c>
      <c r="AI288" s="266" t="s">
        <v>166</v>
      </c>
      <c r="AJ288" s="266">
        <v>1.0</v>
      </c>
      <c r="AK288" s="48" t="s">
        <v>170</v>
      </c>
      <c r="AL288" s="48">
        <v>1.0</v>
      </c>
      <c r="AM288" s="48" t="s">
        <v>166</v>
      </c>
      <c r="AN288" s="48" t="s">
        <v>166</v>
      </c>
      <c r="AO288" s="48" t="s">
        <v>166</v>
      </c>
      <c r="AP288" s="266" t="s">
        <v>166</v>
      </c>
      <c r="AQ288" s="266" t="s">
        <v>166</v>
      </c>
      <c r="AR288" s="48" t="s">
        <v>5039</v>
      </c>
      <c r="AS288" s="266" t="s">
        <v>166</v>
      </c>
      <c r="AT288" s="266">
        <v>3.0</v>
      </c>
      <c r="AU288" s="266">
        <v>1.0</v>
      </c>
      <c r="AV288" s="266">
        <v>1.0</v>
      </c>
      <c r="AW288" s="266">
        <v>1.0</v>
      </c>
      <c r="AX288" s="266" t="s">
        <v>166</v>
      </c>
      <c r="AY288" s="266" t="s">
        <v>166</v>
      </c>
      <c r="AZ288" s="266">
        <v>4.0</v>
      </c>
      <c r="BA288" s="266">
        <v>2.0</v>
      </c>
      <c r="BB288" s="266">
        <v>2.0</v>
      </c>
      <c r="BC288" s="266" t="s">
        <v>166</v>
      </c>
      <c r="BD288" s="266" t="s">
        <v>166</v>
      </c>
      <c r="BE288" s="48" t="s">
        <v>5678</v>
      </c>
      <c r="BF288" s="48" t="s">
        <v>170</v>
      </c>
      <c r="BG288" s="48" t="s">
        <v>170</v>
      </c>
      <c r="BH288" s="48" t="s">
        <v>170</v>
      </c>
      <c r="BI288" s="708" t="s">
        <v>170</v>
      </c>
      <c r="BJ288" s="698"/>
      <c r="BK288" s="394"/>
      <c r="BL288" s="394"/>
      <c r="BM288" s="394"/>
      <c r="BN288" s="394"/>
      <c r="BO288" s="394"/>
      <c r="BP288" s="394"/>
    </row>
    <row r="289">
      <c r="A289" s="266" t="s">
        <v>1688</v>
      </c>
      <c r="B289" s="48">
        <v>1200.0</v>
      </c>
      <c r="C289" s="266" t="s">
        <v>5307</v>
      </c>
      <c r="D289" s="174" t="s">
        <v>3575</v>
      </c>
      <c r="E289" s="174" t="s">
        <v>5796</v>
      </c>
      <c r="F289" s="266">
        <v>244.0</v>
      </c>
      <c r="G289" s="266">
        <v>244.0</v>
      </c>
      <c r="H289" s="266">
        <v>4.0</v>
      </c>
      <c r="I289" s="266" t="s">
        <v>166</v>
      </c>
      <c r="J289" s="266">
        <v>1.0</v>
      </c>
      <c r="K289" s="266" t="s">
        <v>166</v>
      </c>
      <c r="L289" s="507" t="s">
        <v>166</v>
      </c>
      <c r="M289" s="507">
        <v>2.0</v>
      </c>
      <c r="N289" s="266" t="s">
        <v>174</v>
      </c>
      <c r="O289" s="266" t="s">
        <v>174</v>
      </c>
      <c r="P289" s="266" t="s">
        <v>166</v>
      </c>
      <c r="Q289" s="266" t="s">
        <v>166</v>
      </c>
      <c r="R289" s="266">
        <v>4.0</v>
      </c>
      <c r="S289" s="266" t="s">
        <v>3149</v>
      </c>
      <c r="T289" s="266">
        <v>128.0</v>
      </c>
      <c r="U289" s="266" t="s">
        <v>4975</v>
      </c>
      <c r="V289" s="266">
        <v>6.0</v>
      </c>
      <c r="W289" s="710" t="s">
        <v>5305</v>
      </c>
      <c r="X289" s="266">
        <v>2.0</v>
      </c>
      <c r="Y289" s="266">
        <v>4.0</v>
      </c>
      <c r="Z289" s="266" t="s">
        <v>166</v>
      </c>
      <c r="AA289" s="266">
        <v>1.0</v>
      </c>
      <c r="AB289" s="266">
        <v>1.0</v>
      </c>
      <c r="AC289" s="266" t="s">
        <v>166</v>
      </c>
      <c r="AD289" s="266" t="s">
        <v>166</v>
      </c>
      <c r="AE289" s="266" t="s">
        <v>166</v>
      </c>
      <c r="AF289" s="266">
        <f t="shared" si="1"/>
        <v>8</v>
      </c>
      <c r="AG289" s="266">
        <v>2.0</v>
      </c>
      <c r="AH289" s="266">
        <v>2.0</v>
      </c>
      <c r="AI289" s="266" t="s">
        <v>166</v>
      </c>
      <c r="AJ289" s="266">
        <v>1.0</v>
      </c>
      <c r="AK289" s="48" t="s">
        <v>4959</v>
      </c>
      <c r="AL289" s="48">
        <v>1.0</v>
      </c>
      <c r="AM289" s="48">
        <v>1.0</v>
      </c>
      <c r="AN289" s="48" t="s">
        <v>5027</v>
      </c>
      <c r="AO289" s="48" t="s">
        <v>170</v>
      </c>
      <c r="AP289" s="266" t="s">
        <v>170</v>
      </c>
      <c r="AQ289" s="266" t="s">
        <v>170</v>
      </c>
      <c r="AR289" s="48" t="s">
        <v>5039</v>
      </c>
      <c r="AS289" s="266" t="s">
        <v>166</v>
      </c>
      <c r="AT289" s="266">
        <v>3.0</v>
      </c>
      <c r="AU289" s="266">
        <v>1.0</v>
      </c>
      <c r="AV289" s="266">
        <v>1.0</v>
      </c>
      <c r="AW289" s="266">
        <v>1.0</v>
      </c>
      <c r="AX289" s="266" t="s">
        <v>166</v>
      </c>
      <c r="AY289" s="266" t="s">
        <v>166</v>
      </c>
      <c r="AZ289" s="266">
        <v>4.0</v>
      </c>
      <c r="BA289" s="266">
        <v>2.0</v>
      </c>
      <c r="BB289" s="266">
        <v>2.0</v>
      </c>
      <c r="BC289" s="266" t="s">
        <v>166</v>
      </c>
      <c r="BD289" s="266" t="s">
        <v>174</v>
      </c>
      <c r="BE289" s="48" t="s">
        <v>5233</v>
      </c>
      <c r="BF289" s="48" t="s">
        <v>5117</v>
      </c>
      <c r="BG289" s="48" t="s">
        <v>4955</v>
      </c>
      <c r="BH289" s="48">
        <v>10.0</v>
      </c>
      <c r="BI289" s="708" t="s">
        <v>5245</v>
      </c>
      <c r="BJ289" s="698"/>
      <c r="BK289" s="394"/>
      <c r="BL289" s="394"/>
      <c r="BM289" s="394"/>
      <c r="BN289" s="394"/>
      <c r="BO289" s="394"/>
      <c r="BP289" s="394"/>
    </row>
    <row r="290">
      <c r="A290" s="266" t="s">
        <v>1688</v>
      </c>
      <c r="B290" s="48">
        <v>1200.0</v>
      </c>
      <c r="C290" s="266" t="s">
        <v>5307</v>
      </c>
      <c r="D290" s="174" t="s">
        <v>3575</v>
      </c>
      <c r="E290" s="174" t="s">
        <v>5797</v>
      </c>
      <c r="F290" s="266">
        <v>244.0</v>
      </c>
      <c r="G290" s="266">
        <v>244.0</v>
      </c>
      <c r="H290" s="266">
        <v>4.0</v>
      </c>
      <c r="I290" s="266" t="s">
        <v>166</v>
      </c>
      <c r="J290" s="266">
        <v>1.0</v>
      </c>
      <c r="K290" s="266" t="s">
        <v>166</v>
      </c>
      <c r="L290" s="507" t="s">
        <v>166</v>
      </c>
      <c r="M290" s="507">
        <v>2.0</v>
      </c>
      <c r="N290" s="266" t="s">
        <v>174</v>
      </c>
      <c r="O290" s="266" t="s">
        <v>174</v>
      </c>
      <c r="P290" s="266" t="s">
        <v>166</v>
      </c>
      <c r="Q290" s="266" t="s">
        <v>166</v>
      </c>
      <c r="R290" s="266">
        <v>4.0</v>
      </c>
      <c r="S290" s="266" t="s">
        <v>3149</v>
      </c>
      <c r="T290" s="266">
        <v>128.0</v>
      </c>
      <c r="U290" s="266" t="s">
        <v>4975</v>
      </c>
      <c r="V290" s="266">
        <v>6.0</v>
      </c>
      <c r="W290" s="710" t="s">
        <v>5305</v>
      </c>
      <c r="X290" s="266">
        <v>2.0</v>
      </c>
      <c r="Y290" s="266">
        <v>4.0</v>
      </c>
      <c r="Z290" s="266" t="s">
        <v>166</v>
      </c>
      <c r="AA290" s="266">
        <v>1.0</v>
      </c>
      <c r="AB290" s="266">
        <v>1.0</v>
      </c>
      <c r="AC290" s="266" t="s">
        <v>166</v>
      </c>
      <c r="AD290" s="266" t="s">
        <v>166</v>
      </c>
      <c r="AE290" s="266" t="s">
        <v>166</v>
      </c>
      <c r="AF290" s="266">
        <f t="shared" si="1"/>
        <v>8</v>
      </c>
      <c r="AG290" s="266">
        <v>2.0</v>
      </c>
      <c r="AH290" s="266">
        <v>2.0</v>
      </c>
      <c r="AI290" s="266" t="s">
        <v>166</v>
      </c>
      <c r="AJ290" s="266">
        <v>1.0</v>
      </c>
      <c r="AK290" s="48" t="s">
        <v>4959</v>
      </c>
      <c r="AL290" s="48">
        <v>1.0</v>
      </c>
      <c r="AM290" s="48" t="s">
        <v>166</v>
      </c>
      <c r="AN290" s="48" t="s">
        <v>166</v>
      </c>
      <c r="AO290" s="48" t="s">
        <v>166</v>
      </c>
      <c r="AP290" s="266" t="s">
        <v>166</v>
      </c>
      <c r="AQ290" s="266" t="s">
        <v>166</v>
      </c>
      <c r="AR290" s="48" t="s">
        <v>5039</v>
      </c>
      <c r="AS290" s="266" t="s">
        <v>166</v>
      </c>
      <c r="AT290" s="266">
        <v>3.0</v>
      </c>
      <c r="AU290" s="266">
        <v>1.0</v>
      </c>
      <c r="AV290" s="266">
        <v>1.0</v>
      </c>
      <c r="AW290" s="266">
        <v>1.0</v>
      </c>
      <c r="AX290" s="266" t="s">
        <v>166</v>
      </c>
      <c r="AY290" s="266" t="s">
        <v>166</v>
      </c>
      <c r="AZ290" s="266">
        <v>4.0</v>
      </c>
      <c r="BA290" s="266">
        <v>2.0</v>
      </c>
      <c r="BB290" s="266">
        <v>2.0</v>
      </c>
      <c r="BC290" s="266" t="s">
        <v>166</v>
      </c>
      <c r="BD290" s="266" t="s">
        <v>174</v>
      </c>
      <c r="BE290" s="48" t="s">
        <v>5233</v>
      </c>
      <c r="BF290" s="48" t="s">
        <v>5117</v>
      </c>
      <c r="BG290" s="48" t="s">
        <v>4955</v>
      </c>
      <c r="BH290" s="48">
        <v>10.0</v>
      </c>
      <c r="BI290" s="708" t="s">
        <v>5245</v>
      </c>
      <c r="BJ290" s="698"/>
      <c r="BK290" s="394"/>
      <c r="BL290" s="394"/>
      <c r="BM290" s="394"/>
      <c r="BN290" s="394"/>
      <c r="BO290" s="394"/>
      <c r="BP290" s="394"/>
    </row>
    <row r="291">
      <c r="A291" s="266" t="s">
        <v>1688</v>
      </c>
      <c r="B291" s="48">
        <v>1200.0</v>
      </c>
      <c r="C291" s="266" t="s">
        <v>5307</v>
      </c>
      <c r="D291" s="452" t="str">
        <f t="shared" ref="D291:D292" si="44">HYPERLINK("https://www.gigabyte.com/","Gigabyte")</f>
        <v>Gigabyte</v>
      </c>
      <c r="E291" s="174" t="s">
        <v>5798</v>
      </c>
      <c r="F291" s="266">
        <v>244.0</v>
      </c>
      <c r="G291" s="266">
        <v>244.0</v>
      </c>
      <c r="H291" s="266">
        <v>4.0</v>
      </c>
      <c r="I291" s="266" t="s">
        <v>166</v>
      </c>
      <c r="J291" s="266">
        <v>1.0</v>
      </c>
      <c r="K291" s="266" t="s">
        <v>166</v>
      </c>
      <c r="L291" s="507" t="s">
        <v>166</v>
      </c>
      <c r="M291" s="507">
        <v>2.0</v>
      </c>
      <c r="N291" s="266" t="s">
        <v>174</v>
      </c>
      <c r="O291" s="266" t="s">
        <v>174</v>
      </c>
      <c r="P291" s="266" t="s">
        <v>174</v>
      </c>
      <c r="Q291" s="266" t="s">
        <v>166</v>
      </c>
      <c r="R291" s="266">
        <v>4.0</v>
      </c>
      <c r="S291" s="266" t="s">
        <v>3149</v>
      </c>
      <c r="T291" s="266">
        <v>128.0</v>
      </c>
      <c r="U291" s="266" t="s">
        <v>5286</v>
      </c>
      <c r="V291" s="266">
        <v>6.0</v>
      </c>
      <c r="W291" s="710" t="s">
        <v>5305</v>
      </c>
      <c r="X291" s="266" t="s">
        <v>166</v>
      </c>
      <c r="Y291" s="266">
        <v>4.0</v>
      </c>
      <c r="Z291" s="266">
        <v>1.0</v>
      </c>
      <c r="AA291" s="266">
        <v>1.0</v>
      </c>
      <c r="AB291" s="266" t="s">
        <v>166</v>
      </c>
      <c r="AC291" s="266" t="s">
        <v>166</v>
      </c>
      <c r="AD291" s="266" t="s">
        <v>166</v>
      </c>
      <c r="AE291" s="266" t="s">
        <v>166</v>
      </c>
      <c r="AF291" s="266">
        <f t="shared" si="1"/>
        <v>6</v>
      </c>
      <c r="AG291" s="266">
        <v>2.0</v>
      </c>
      <c r="AH291" s="266">
        <v>1.0</v>
      </c>
      <c r="AI291" s="266" t="s">
        <v>166</v>
      </c>
      <c r="AJ291" s="266">
        <v>1.0</v>
      </c>
      <c r="AK291" s="48" t="s">
        <v>5133</v>
      </c>
      <c r="AL291" s="48">
        <v>1.0</v>
      </c>
      <c r="AM291" s="48" t="s">
        <v>166</v>
      </c>
      <c r="AN291" s="48" t="s">
        <v>166</v>
      </c>
      <c r="AO291" s="48" t="s">
        <v>166</v>
      </c>
      <c r="AP291" s="266" t="s">
        <v>166</v>
      </c>
      <c r="AQ291" s="266" t="s">
        <v>166</v>
      </c>
      <c r="AR291" s="48" t="s">
        <v>5039</v>
      </c>
      <c r="AS291" s="266" t="s">
        <v>166</v>
      </c>
      <c r="AT291" s="266">
        <v>3.0</v>
      </c>
      <c r="AU291" s="266">
        <v>1.0</v>
      </c>
      <c r="AV291" s="266">
        <v>1.0</v>
      </c>
      <c r="AW291" s="266">
        <v>1.0</v>
      </c>
      <c r="AX291" s="266">
        <v>1.0</v>
      </c>
      <c r="AY291" s="266" t="s">
        <v>166</v>
      </c>
      <c r="AZ291" s="266">
        <v>4.0</v>
      </c>
      <c r="BA291" s="266">
        <v>2.0</v>
      </c>
      <c r="BB291" s="266">
        <v>2.0</v>
      </c>
      <c r="BC291" s="266" t="s">
        <v>166</v>
      </c>
      <c r="BD291" s="266" t="s">
        <v>174</v>
      </c>
      <c r="BE291" s="48" t="s">
        <v>5261</v>
      </c>
      <c r="BF291" s="48" t="s">
        <v>5226</v>
      </c>
      <c r="BG291" s="48" t="s">
        <v>4963</v>
      </c>
      <c r="BH291" s="48">
        <v>8.0</v>
      </c>
      <c r="BI291" s="708" t="s">
        <v>5262</v>
      </c>
      <c r="BJ291" s="698"/>
      <c r="BK291" s="394"/>
      <c r="BL291" s="394"/>
      <c r="BM291" s="394"/>
      <c r="BN291" s="394"/>
      <c r="BO291" s="394"/>
      <c r="BP291" s="394"/>
    </row>
    <row r="292">
      <c r="A292" s="266" t="s">
        <v>1688</v>
      </c>
      <c r="B292" s="48">
        <v>1200.0</v>
      </c>
      <c r="C292" s="266" t="s">
        <v>5307</v>
      </c>
      <c r="D292" s="452" t="str">
        <f t="shared" si="44"/>
        <v>Gigabyte</v>
      </c>
      <c r="E292" s="174" t="s">
        <v>5799</v>
      </c>
      <c r="F292" s="266">
        <v>244.0</v>
      </c>
      <c r="G292" s="266">
        <v>244.0</v>
      </c>
      <c r="H292" s="266">
        <v>4.0</v>
      </c>
      <c r="I292" s="266" t="s">
        <v>166</v>
      </c>
      <c r="J292" s="266">
        <v>1.0</v>
      </c>
      <c r="K292" s="266" t="s">
        <v>166</v>
      </c>
      <c r="L292" s="507" t="s">
        <v>166</v>
      </c>
      <c r="M292" s="507">
        <v>2.0</v>
      </c>
      <c r="N292" s="266" t="s">
        <v>174</v>
      </c>
      <c r="O292" s="266" t="s">
        <v>174</v>
      </c>
      <c r="P292" s="266" t="s">
        <v>174</v>
      </c>
      <c r="Q292" s="266" t="s">
        <v>166</v>
      </c>
      <c r="R292" s="266">
        <v>4.0</v>
      </c>
      <c r="S292" s="266" t="s">
        <v>3149</v>
      </c>
      <c r="T292" s="266">
        <v>128.0</v>
      </c>
      <c r="U292" s="266" t="s">
        <v>5286</v>
      </c>
      <c r="V292" s="266">
        <v>6.0</v>
      </c>
      <c r="W292" s="710" t="s">
        <v>5305</v>
      </c>
      <c r="X292" s="266" t="s">
        <v>166</v>
      </c>
      <c r="Y292" s="266">
        <v>4.0</v>
      </c>
      <c r="Z292" s="266" t="s">
        <v>166</v>
      </c>
      <c r="AA292" s="266">
        <v>1.0</v>
      </c>
      <c r="AB292" s="266">
        <v>1.0</v>
      </c>
      <c r="AC292" s="266" t="s">
        <v>166</v>
      </c>
      <c r="AD292" s="266" t="s">
        <v>166</v>
      </c>
      <c r="AE292" s="266" t="s">
        <v>166</v>
      </c>
      <c r="AF292" s="266">
        <f t="shared" si="1"/>
        <v>6</v>
      </c>
      <c r="AG292" s="266">
        <v>2.0</v>
      </c>
      <c r="AH292" s="266">
        <v>1.0</v>
      </c>
      <c r="AI292" s="266" t="s">
        <v>5049</v>
      </c>
      <c r="AJ292" s="266">
        <v>1.0</v>
      </c>
      <c r="AK292" s="48" t="s">
        <v>5038</v>
      </c>
      <c r="AL292" s="48">
        <v>2.5</v>
      </c>
      <c r="AM292" s="48" t="s">
        <v>166</v>
      </c>
      <c r="AN292" s="48" t="s">
        <v>166</v>
      </c>
      <c r="AO292" s="48" t="s">
        <v>166</v>
      </c>
      <c r="AP292" s="266" t="s">
        <v>166</v>
      </c>
      <c r="AQ292" s="266" t="s">
        <v>166</v>
      </c>
      <c r="AR292" s="48" t="s">
        <v>5039</v>
      </c>
      <c r="AS292" s="266" t="s">
        <v>166</v>
      </c>
      <c r="AT292" s="266">
        <v>6.0</v>
      </c>
      <c r="AU292" s="266">
        <v>1.0</v>
      </c>
      <c r="AV292" s="266">
        <v>1.0</v>
      </c>
      <c r="AW292" s="266">
        <v>1.0</v>
      </c>
      <c r="AX292" s="266" t="s">
        <v>166</v>
      </c>
      <c r="AY292" s="266" t="s">
        <v>166</v>
      </c>
      <c r="AZ292" s="266">
        <v>4.0</v>
      </c>
      <c r="BA292" s="266">
        <v>2.0</v>
      </c>
      <c r="BB292" s="266">
        <v>2.0</v>
      </c>
      <c r="BC292" s="266" t="s">
        <v>166</v>
      </c>
      <c r="BD292" s="266" t="s">
        <v>174</v>
      </c>
      <c r="BE292" s="48" t="s">
        <v>5261</v>
      </c>
      <c r="BF292" s="48" t="s">
        <v>5800</v>
      </c>
      <c r="BG292" s="48" t="s">
        <v>4963</v>
      </c>
      <c r="BH292" s="48">
        <v>12.0</v>
      </c>
      <c r="BI292" s="708" t="s">
        <v>5801</v>
      </c>
      <c r="BJ292" s="698"/>
      <c r="BK292" s="394"/>
      <c r="BL292" s="394"/>
      <c r="BM292" s="394"/>
      <c r="BN292" s="394"/>
      <c r="BO292" s="394"/>
      <c r="BP292" s="394"/>
    </row>
    <row r="293">
      <c r="A293" s="266" t="s">
        <v>1688</v>
      </c>
      <c r="B293" s="48">
        <v>1200.0</v>
      </c>
      <c r="C293" s="266" t="s">
        <v>5307</v>
      </c>
      <c r="D293" s="452" t="str">
        <f t="shared" ref="D293:D294" si="45">HYPERLINK("https://www.msi.com/index.php","MSI")</f>
        <v>MSI</v>
      </c>
      <c r="E293" s="174" t="s">
        <v>5802</v>
      </c>
      <c r="F293" s="266">
        <v>244.0</v>
      </c>
      <c r="G293" s="266">
        <v>244.0</v>
      </c>
      <c r="H293" s="266">
        <v>4.0</v>
      </c>
      <c r="I293" s="266" t="s">
        <v>166</v>
      </c>
      <c r="J293" s="266">
        <v>1.0</v>
      </c>
      <c r="K293" s="266" t="s">
        <v>166</v>
      </c>
      <c r="L293" s="507" t="s">
        <v>166</v>
      </c>
      <c r="M293" s="507">
        <v>2.0</v>
      </c>
      <c r="N293" s="266" t="s">
        <v>174</v>
      </c>
      <c r="O293" s="266" t="s">
        <v>174</v>
      </c>
      <c r="P293" s="266" t="s">
        <v>174</v>
      </c>
      <c r="Q293" s="266" t="s">
        <v>166</v>
      </c>
      <c r="R293" s="266">
        <v>4.0</v>
      </c>
      <c r="S293" s="266" t="s">
        <v>3149</v>
      </c>
      <c r="T293" s="266">
        <v>128.0</v>
      </c>
      <c r="U293" s="266" t="s">
        <v>5286</v>
      </c>
      <c r="V293" s="266">
        <v>6.0</v>
      </c>
      <c r="W293" s="710" t="s">
        <v>5305</v>
      </c>
      <c r="X293" s="266">
        <v>2.0</v>
      </c>
      <c r="Y293" s="266">
        <v>4.0</v>
      </c>
      <c r="Z293" s="266" t="s">
        <v>166</v>
      </c>
      <c r="AA293" s="266">
        <v>1.0</v>
      </c>
      <c r="AB293" s="266" t="s">
        <v>166</v>
      </c>
      <c r="AC293" s="266">
        <v>1.0</v>
      </c>
      <c r="AD293" s="266" t="s">
        <v>166</v>
      </c>
      <c r="AE293" s="266" t="s">
        <v>166</v>
      </c>
      <c r="AF293" s="266">
        <f t="shared" si="1"/>
        <v>8</v>
      </c>
      <c r="AG293" s="266">
        <v>2.0</v>
      </c>
      <c r="AH293" s="266">
        <v>1.0</v>
      </c>
      <c r="AI293" s="266" t="s">
        <v>5025</v>
      </c>
      <c r="AJ293" s="266">
        <v>1.0</v>
      </c>
      <c r="AK293" s="48" t="s">
        <v>5026</v>
      </c>
      <c r="AL293" s="705">
        <v>2.5</v>
      </c>
      <c r="AM293" s="705">
        <v>1.0</v>
      </c>
      <c r="AN293" s="48" t="s">
        <v>5044</v>
      </c>
      <c r="AO293" s="705" t="s">
        <v>5300</v>
      </c>
      <c r="AP293" s="266">
        <v>2400.0</v>
      </c>
      <c r="AQ293" s="266">
        <v>5.2</v>
      </c>
      <c r="AR293" s="48" t="s">
        <v>5099</v>
      </c>
      <c r="AS293" s="266" t="s">
        <v>174</v>
      </c>
      <c r="AT293" s="266">
        <v>5.0</v>
      </c>
      <c r="AU293" s="266">
        <v>1.0</v>
      </c>
      <c r="AV293" s="266">
        <v>1.0</v>
      </c>
      <c r="AW293" s="266">
        <v>1.0</v>
      </c>
      <c r="AX293" s="266" t="s">
        <v>166</v>
      </c>
      <c r="AY293" s="266" t="s">
        <v>166</v>
      </c>
      <c r="AZ293" s="266">
        <v>4.0</v>
      </c>
      <c r="BA293" s="266">
        <v>1.0</v>
      </c>
      <c r="BB293" s="266">
        <v>2.0</v>
      </c>
      <c r="BC293" s="266" t="s">
        <v>174</v>
      </c>
      <c r="BD293" s="266" t="s">
        <v>174</v>
      </c>
      <c r="BE293" s="48" t="s">
        <v>5261</v>
      </c>
      <c r="BF293" s="48" t="s">
        <v>5800</v>
      </c>
      <c r="BG293" s="48" t="s">
        <v>4963</v>
      </c>
      <c r="BH293" s="48">
        <v>12.0</v>
      </c>
      <c r="BI293" s="708" t="s">
        <v>5801</v>
      </c>
      <c r="BJ293" s="698"/>
      <c r="BK293" s="394"/>
      <c r="BL293" s="394"/>
      <c r="BM293" s="394"/>
      <c r="BN293" s="394"/>
      <c r="BO293" s="394"/>
      <c r="BP293" s="394"/>
    </row>
    <row r="294">
      <c r="A294" s="501" t="s">
        <v>1688</v>
      </c>
      <c r="B294" s="700">
        <v>1200.0</v>
      </c>
      <c r="C294" s="501" t="s">
        <v>5307</v>
      </c>
      <c r="D294" s="500" t="str">
        <f t="shared" si="45"/>
        <v>MSI</v>
      </c>
      <c r="E294" s="291" t="s">
        <v>5803</v>
      </c>
      <c r="F294" s="501">
        <v>244.0</v>
      </c>
      <c r="G294" s="501">
        <v>244.0</v>
      </c>
      <c r="H294" s="501">
        <v>4.0</v>
      </c>
      <c r="I294" s="501" t="s">
        <v>166</v>
      </c>
      <c r="J294" s="501">
        <v>2.0</v>
      </c>
      <c r="K294" s="501" t="s">
        <v>166</v>
      </c>
      <c r="L294" s="519" t="s">
        <v>166</v>
      </c>
      <c r="M294" s="519">
        <v>1.0</v>
      </c>
      <c r="N294" s="501" t="s">
        <v>174</v>
      </c>
      <c r="O294" s="501" t="s">
        <v>174</v>
      </c>
      <c r="P294" s="501" t="s">
        <v>166</v>
      </c>
      <c r="Q294" s="501" t="s">
        <v>166</v>
      </c>
      <c r="R294" s="501">
        <v>4.0</v>
      </c>
      <c r="S294" s="501" t="s">
        <v>3149</v>
      </c>
      <c r="T294" s="501">
        <v>128.0</v>
      </c>
      <c r="U294" s="501" t="s">
        <v>5286</v>
      </c>
      <c r="V294" s="501">
        <v>6.0</v>
      </c>
      <c r="W294" s="701" t="s">
        <v>5324</v>
      </c>
      <c r="X294" s="501">
        <v>2.0</v>
      </c>
      <c r="Y294" s="501">
        <v>2.0</v>
      </c>
      <c r="Z294" s="501" t="s">
        <v>166</v>
      </c>
      <c r="AA294" s="501">
        <v>2.0</v>
      </c>
      <c r="AB294" s="501" t="s">
        <v>166</v>
      </c>
      <c r="AC294" s="501" t="s">
        <v>166</v>
      </c>
      <c r="AD294" s="501" t="s">
        <v>166</v>
      </c>
      <c r="AE294" s="501" t="s">
        <v>166</v>
      </c>
      <c r="AF294" s="501">
        <f t="shared" si="1"/>
        <v>6</v>
      </c>
      <c r="AG294" s="501">
        <v>2.0</v>
      </c>
      <c r="AH294" s="501">
        <v>1.0</v>
      </c>
      <c r="AI294" s="501" t="s">
        <v>166</v>
      </c>
      <c r="AJ294" s="501">
        <v>1.0</v>
      </c>
      <c r="AK294" s="700" t="s">
        <v>5038</v>
      </c>
      <c r="AL294" s="700">
        <v>2.5</v>
      </c>
      <c r="AM294" s="700" t="s">
        <v>166</v>
      </c>
      <c r="AN294" s="700" t="s">
        <v>166</v>
      </c>
      <c r="AO294" s="700" t="s">
        <v>166</v>
      </c>
      <c r="AP294" s="501" t="s">
        <v>166</v>
      </c>
      <c r="AQ294" s="501" t="s">
        <v>166</v>
      </c>
      <c r="AR294" s="700" t="s">
        <v>5039</v>
      </c>
      <c r="AS294" s="501" t="s">
        <v>166</v>
      </c>
      <c r="AT294" s="501">
        <v>3.0</v>
      </c>
      <c r="AU294" s="501">
        <v>1.0</v>
      </c>
      <c r="AV294" s="501">
        <v>1.0</v>
      </c>
      <c r="AW294" s="501">
        <v>1.0</v>
      </c>
      <c r="AX294" s="501" t="s">
        <v>166</v>
      </c>
      <c r="AY294" s="501">
        <v>1.0</v>
      </c>
      <c r="AZ294" s="501">
        <v>4.0</v>
      </c>
      <c r="BA294" s="501">
        <v>1.0</v>
      </c>
      <c r="BB294" s="501">
        <v>1.0</v>
      </c>
      <c r="BC294" s="501" t="s">
        <v>174</v>
      </c>
      <c r="BD294" s="501" t="s">
        <v>166</v>
      </c>
      <c r="BE294" s="700" t="s">
        <v>170</v>
      </c>
      <c r="BF294" s="700" t="s">
        <v>170</v>
      </c>
      <c r="BG294" s="700" t="s">
        <v>170</v>
      </c>
      <c r="BH294" s="700" t="s">
        <v>170</v>
      </c>
      <c r="BI294" s="717" t="s">
        <v>170</v>
      </c>
      <c r="BJ294" s="703"/>
      <c r="BK294" s="394"/>
      <c r="BL294" s="394"/>
      <c r="BM294" s="394"/>
      <c r="BN294" s="394"/>
      <c r="BO294" s="394"/>
      <c r="BP294" s="394"/>
    </row>
    <row r="295">
      <c r="A295" s="507" t="s">
        <v>1688</v>
      </c>
      <c r="B295" s="705">
        <v>1700.0</v>
      </c>
      <c r="C295" s="507" t="s">
        <v>5326</v>
      </c>
      <c r="D295" s="506" t="s">
        <v>169</v>
      </c>
      <c r="E295" s="282" t="s">
        <v>5804</v>
      </c>
      <c r="F295" s="507">
        <v>197.0</v>
      </c>
      <c r="G295" s="507">
        <v>188.0</v>
      </c>
      <c r="H295" s="507">
        <v>4.0</v>
      </c>
      <c r="I295" s="507" t="s">
        <v>166</v>
      </c>
      <c r="J295" s="507">
        <v>1.0</v>
      </c>
      <c r="K295" s="507" t="s">
        <v>166</v>
      </c>
      <c r="L295" s="507" t="s">
        <v>166</v>
      </c>
      <c r="M295" s="507">
        <v>1.0</v>
      </c>
      <c r="N295" s="507" t="s">
        <v>166</v>
      </c>
      <c r="O295" s="507" t="s">
        <v>166</v>
      </c>
      <c r="P295" s="507" t="s">
        <v>166</v>
      </c>
      <c r="Q295" s="507" t="s">
        <v>166</v>
      </c>
      <c r="R295" s="507">
        <v>2.0</v>
      </c>
      <c r="S295" s="507" t="s">
        <v>3149</v>
      </c>
      <c r="T295" s="507">
        <v>64.0</v>
      </c>
      <c r="U295" s="507">
        <v>3200.0</v>
      </c>
      <c r="V295" s="507">
        <v>4.0</v>
      </c>
      <c r="W295" s="750" t="s">
        <v>166</v>
      </c>
      <c r="X295" s="507">
        <v>4.0</v>
      </c>
      <c r="Y295" s="507">
        <v>2.0</v>
      </c>
      <c r="Z295" s="507" t="s">
        <v>166</v>
      </c>
      <c r="AA295" s="507" t="s">
        <v>166</v>
      </c>
      <c r="AB295" s="507" t="s">
        <v>166</v>
      </c>
      <c r="AC295" s="507" t="s">
        <v>166</v>
      </c>
      <c r="AD295" s="507" t="s">
        <v>166</v>
      </c>
      <c r="AE295" s="507" t="s">
        <v>166</v>
      </c>
      <c r="AF295" s="507">
        <f t="shared" si="1"/>
        <v>6</v>
      </c>
      <c r="AG295" s="507">
        <v>1.0</v>
      </c>
      <c r="AH295" s="507">
        <v>1.0</v>
      </c>
      <c r="AI295" s="507" t="s">
        <v>166</v>
      </c>
      <c r="AJ295" s="507">
        <v>1.0</v>
      </c>
      <c r="AK295" s="705" t="s">
        <v>4959</v>
      </c>
      <c r="AL295" s="705">
        <v>1.0</v>
      </c>
      <c r="AM295" s="705" t="s">
        <v>166</v>
      </c>
      <c r="AN295" s="705" t="s">
        <v>166</v>
      </c>
      <c r="AO295" s="705" t="s">
        <v>166</v>
      </c>
      <c r="AP295" s="507" t="s">
        <v>166</v>
      </c>
      <c r="AQ295" s="507" t="s">
        <v>166</v>
      </c>
      <c r="AR295" s="705" t="s">
        <v>5039</v>
      </c>
      <c r="AS295" s="507" t="s">
        <v>166</v>
      </c>
      <c r="AT295" s="507">
        <v>3.0</v>
      </c>
      <c r="AU295" s="507">
        <v>1.0</v>
      </c>
      <c r="AV295" s="507">
        <v>1.0</v>
      </c>
      <c r="AW295" s="507">
        <v>1.0</v>
      </c>
      <c r="AX295" s="507" t="s">
        <v>166</v>
      </c>
      <c r="AY295" s="507">
        <v>1.0</v>
      </c>
      <c r="AZ295" s="507">
        <v>2.0</v>
      </c>
      <c r="BA295" s="507" t="s">
        <v>166</v>
      </c>
      <c r="BB295" s="507" t="s">
        <v>166</v>
      </c>
      <c r="BC295" s="507" t="s">
        <v>166</v>
      </c>
      <c r="BD295" s="507" t="s">
        <v>166</v>
      </c>
      <c r="BE295" s="705" t="s">
        <v>5805</v>
      </c>
      <c r="BF295" s="705" t="s">
        <v>5017</v>
      </c>
      <c r="BG295" s="705" t="s">
        <v>4963</v>
      </c>
      <c r="BH295" s="705">
        <v>4.0</v>
      </c>
      <c r="BI295" s="698" t="s">
        <v>5790</v>
      </c>
      <c r="BJ295" s="708"/>
      <c r="BK295" s="394"/>
      <c r="BL295" s="394"/>
      <c r="BM295" s="394"/>
      <c r="BN295" s="394"/>
      <c r="BO295" s="394"/>
      <c r="BP295" s="394"/>
    </row>
    <row r="296">
      <c r="A296" s="266" t="s">
        <v>1688</v>
      </c>
      <c r="B296" s="48">
        <v>1700.0</v>
      </c>
      <c r="C296" s="266" t="s">
        <v>5326</v>
      </c>
      <c r="D296" s="452" t="s">
        <v>169</v>
      </c>
      <c r="E296" s="174" t="s">
        <v>5806</v>
      </c>
      <c r="F296" s="266">
        <v>244.0</v>
      </c>
      <c r="G296" s="266">
        <v>201.0</v>
      </c>
      <c r="H296" s="266">
        <v>4.0</v>
      </c>
      <c r="I296" s="266" t="s">
        <v>166</v>
      </c>
      <c r="J296" s="266">
        <v>2.0</v>
      </c>
      <c r="K296" s="266" t="s">
        <v>166</v>
      </c>
      <c r="L296" s="266" t="s">
        <v>166</v>
      </c>
      <c r="M296" s="266">
        <v>1.0</v>
      </c>
      <c r="N296" s="266" t="s">
        <v>166</v>
      </c>
      <c r="O296" s="266" t="s">
        <v>166</v>
      </c>
      <c r="P296" s="266" t="s">
        <v>166</v>
      </c>
      <c r="Q296" s="266" t="s">
        <v>166</v>
      </c>
      <c r="R296" s="266">
        <v>2.0</v>
      </c>
      <c r="S296" s="266" t="s">
        <v>3149</v>
      </c>
      <c r="T296" s="266">
        <v>64.0</v>
      </c>
      <c r="U296" s="266">
        <v>3200.0</v>
      </c>
      <c r="V296" s="266">
        <v>4.0</v>
      </c>
      <c r="W296" s="710" t="s">
        <v>4950</v>
      </c>
      <c r="X296" s="266">
        <v>2.0</v>
      </c>
      <c r="Y296" s="266">
        <v>2.0</v>
      </c>
      <c r="Z296" s="266" t="s">
        <v>166</v>
      </c>
      <c r="AA296" s="266" t="s">
        <v>166</v>
      </c>
      <c r="AB296" s="266" t="s">
        <v>166</v>
      </c>
      <c r="AC296" s="266" t="s">
        <v>166</v>
      </c>
      <c r="AD296" s="266" t="s">
        <v>166</v>
      </c>
      <c r="AE296" s="266" t="s">
        <v>166</v>
      </c>
      <c r="AF296" s="266">
        <f t="shared" si="1"/>
        <v>4</v>
      </c>
      <c r="AG296" s="266">
        <v>2.0</v>
      </c>
      <c r="AH296" s="266">
        <v>1.0</v>
      </c>
      <c r="AI296" s="266" t="s">
        <v>166</v>
      </c>
      <c r="AJ296" s="266">
        <v>1.0</v>
      </c>
      <c r="AK296" s="48" t="s">
        <v>5133</v>
      </c>
      <c r="AL296" s="48">
        <v>1.0</v>
      </c>
      <c r="AM296" s="48">
        <v>1.0</v>
      </c>
      <c r="AN296" s="48" t="s">
        <v>166</v>
      </c>
      <c r="AO296" s="48" t="s">
        <v>232</v>
      </c>
      <c r="AP296" s="266" t="s">
        <v>166</v>
      </c>
      <c r="AQ296" s="266" t="s">
        <v>166</v>
      </c>
      <c r="AR296" s="48" t="s">
        <v>5039</v>
      </c>
      <c r="AS296" s="266" t="s">
        <v>166</v>
      </c>
      <c r="AT296" s="266">
        <v>3.0</v>
      </c>
      <c r="AU296" s="266">
        <v>1.0</v>
      </c>
      <c r="AV296" s="266">
        <v>1.0</v>
      </c>
      <c r="AW296" s="266">
        <v>1.0</v>
      </c>
      <c r="AX296" s="266" t="s">
        <v>166</v>
      </c>
      <c r="AY296" s="266">
        <v>1.0</v>
      </c>
      <c r="AZ296" s="266">
        <v>4.0</v>
      </c>
      <c r="BA296" s="266" t="s">
        <v>166</v>
      </c>
      <c r="BB296" s="266" t="s">
        <v>166</v>
      </c>
      <c r="BC296" s="266" t="s">
        <v>166</v>
      </c>
      <c r="BD296" s="266" t="s">
        <v>166</v>
      </c>
      <c r="BE296" s="48" t="s">
        <v>5328</v>
      </c>
      <c r="BF296" s="48" t="s">
        <v>5143</v>
      </c>
      <c r="BG296" s="48" t="s">
        <v>4963</v>
      </c>
      <c r="BH296" s="48">
        <v>5.0</v>
      </c>
      <c r="BI296" s="698" t="s">
        <v>5790</v>
      </c>
      <c r="BJ296" s="698"/>
      <c r="BK296" s="394"/>
      <c r="BL296" s="394"/>
      <c r="BM296" s="394"/>
      <c r="BN296" s="394"/>
      <c r="BO296" s="394"/>
      <c r="BP296" s="394"/>
    </row>
    <row r="297">
      <c r="A297" s="266" t="s">
        <v>1688</v>
      </c>
      <c r="B297" s="48">
        <v>1700.0</v>
      </c>
      <c r="C297" s="266" t="s">
        <v>5326</v>
      </c>
      <c r="D297" s="452" t="s">
        <v>169</v>
      </c>
      <c r="E297" s="174" t="s">
        <v>5807</v>
      </c>
      <c r="F297" s="266">
        <v>243.0</v>
      </c>
      <c r="G297" s="266">
        <v>198.0</v>
      </c>
      <c r="H297" s="266">
        <v>4.0</v>
      </c>
      <c r="I297" s="266">
        <v>1.0</v>
      </c>
      <c r="J297" s="266">
        <v>2.0</v>
      </c>
      <c r="K297" s="266" t="s">
        <v>166</v>
      </c>
      <c r="L297" s="266" t="s">
        <v>166</v>
      </c>
      <c r="M297" s="266">
        <v>1.0</v>
      </c>
      <c r="N297" s="266" t="s">
        <v>166</v>
      </c>
      <c r="O297" s="266" t="s">
        <v>166</v>
      </c>
      <c r="P297" s="266" t="s">
        <v>166</v>
      </c>
      <c r="Q297" s="266" t="s">
        <v>166</v>
      </c>
      <c r="R297" s="266">
        <v>2.0</v>
      </c>
      <c r="S297" s="266" t="s">
        <v>3149</v>
      </c>
      <c r="T297" s="266">
        <v>64.0</v>
      </c>
      <c r="U297" s="266">
        <v>3200.0</v>
      </c>
      <c r="V297" s="266">
        <v>4.0</v>
      </c>
      <c r="W297" s="710" t="s">
        <v>4950</v>
      </c>
      <c r="X297" s="266">
        <v>2.0</v>
      </c>
      <c r="Y297" s="266">
        <v>2.0</v>
      </c>
      <c r="Z297" s="266" t="s">
        <v>166</v>
      </c>
      <c r="AA297" s="266" t="s">
        <v>166</v>
      </c>
      <c r="AB297" s="266" t="s">
        <v>166</v>
      </c>
      <c r="AC297" s="266" t="s">
        <v>166</v>
      </c>
      <c r="AD297" s="266" t="s">
        <v>166</v>
      </c>
      <c r="AE297" s="266" t="s">
        <v>166</v>
      </c>
      <c r="AF297" s="266">
        <f t="shared" si="1"/>
        <v>4</v>
      </c>
      <c r="AG297" s="266">
        <v>2.0</v>
      </c>
      <c r="AH297" s="266">
        <v>1.0</v>
      </c>
      <c r="AI297" s="266" t="s">
        <v>166</v>
      </c>
      <c r="AJ297" s="266">
        <v>1.0</v>
      </c>
      <c r="AK297" s="48" t="s">
        <v>4959</v>
      </c>
      <c r="AL297" s="48">
        <v>1.0</v>
      </c>
      <c r="AM297" s="48" t="s">
        <v>166</v>
      </c>
      <c r="AN297" s="48" t="s">
        <v>166</v>
      </c>
      <c r="AO297" s="48" t="s">
        <v>166</v>
      </c>
      <c r="AP297" s="266" t="s">
        <v>166</v>
      </c>
      <c r="AQ297" s="266" t="s">
        <v>166</v>
      </c>
      <c r="AR297" s="48" t="s">
        <v>5039</v>
      </c>
      <c r="AS297" s="266" t="s">
        <v>166</v>
      </c>
      <c r="AT297" s="266">
        <v>3.0</v>
      </c>
      <c r="AU297" s="266">
        <v>2.0</v>
      </c>
      <c r="AV297" s="266">
        <v>1.0</v>
      </c>
      <c r="AW297" s="266">
        <v>1.0</v>
      </c>
      <c r="AX297" s="266">
        <v>1.0</v>
      </c>
      <c r="AY297" s="266">
        <v>1.0</v>
      </c>
      <c r="AZ297" s="266">
        <v>3.0</v>
      </c>
      <c r="BA297" s="266" t="s">
        <v>166</v>
      </c>
      <c r="BB297" s="266" t="s">
        <v>166</v>
      </c>
      <c r="BC297" s="266" t="s">
        <v>166</v>
      </c>
      <c r="BD297" s="266" t="s">
        <v>166</v>
      </c>
      <c r="BE297" s="705" t="s">
        <v>5805</v>
      </c>
      <c r="BF297" s="705" t="s">
        <v>5017</v>
      </c>
      <c r="BG297" s="48" t="s">
        <v>4963</v>
      </c>
      <c r="BH297" s="48">
        <v>4.0</v>
      </c>
      <c r="BI297" s="698" t="s">
        <v>5790</v>
      </c>
      <c r="BJ297" s="698"/>
      <c r="BK297" s="394"/>
      <c r="BL297" s="394"/>
      <c r="BM297" s="394"/>
      <c r="BN297" s="394"/>
      <c r="BO297" s="394"/>
      <c r="BP297" s="394"/>
    </row>
    <row r="298">
      <c r="A298" s="266" t="s">
        <v>1688</v>
      </c>
      <c r="B298" s="48">
        <v>1700.0</v>
      </c>
      <c r="C298" s="266" t="s">
        <v>5326</v>
      </c>
      <c r="D298" s="452" t="s">
        <v>169</v>
      </c>
      <c r="E298" s="174" t="s">
        <v>5808</v>
      </c>
      <c r="F298" s="266">
        <v>197.0</v>
      </c>
      <c r="G298" s="266">
        <v>188.0</v>
      </c>
      <c r="H298" s="266">
        <v>4.0</v>
      </c>
      <c r="I298" s="266" t="s">
        <v>166</v>
      </c>
      <c r="J298" s="266">
        <v>1.0</v>
      </c>
      <c r="K298" s="266" t="s">
        <v>166</v>
      </c>
      <c r="L298" s="266" t="s">
        <v>166</v>
      </c>
      <c r="M298" s="266">
        <v>1.0</v>
      </c>
      <c r="N298" s="266" t="s">
        <v>166</v>
      </c>
      <c r="O298" s="266" t="s">
        <v>166</v>
      </c>
      <c r="P298" s="266" t="s">
        <v>166</v>
      </c>
      <c r="Q298" s="266" t="s">
        <v>166</v>
      </c>
      <c r="R298" s="266">
        <v>2.0</v>
      </c>
      <c r="S298" s="266" t="s">
        <v>3149</v>
      </c>
      <c r="T298" s="266">
        <v>64.0</v>
      </c>
      <c r="U298" s="266">
        <v>3200.0</v>
      </c>
      <c r="V298" s="266">
        <v>4.0</v>
      </c>
      <c r="W298" s="749" t="s">
        <v>166</v>
      </c>
      <c r="X298" s="266">
        <v>4.0</v>
      </c>
      <c r="Y298" s="266">
        <v>2.0</v>
      </c>
      <c r="Z298" s="266" t="s">
        <v>166</v>
      </c>
      <c r="AA298" s="266" t="s">
        <v>166</v>
      </c>
      <c r="AB298" s="266" t="s">
        <v>166</v>
      </c>
      <c r="AC298" s="266" t="s">
        <v>166</v>
      </c>
      <c r="AD298" s="266" t="s">
        <v>166</v>
      </c>
      <c r="AE298" s="266" t="s">
        <v>166</v>
      </c>
      <c r="AF298" s="266">
        <f t="shared" si="1"/>
        <v>6</v>
      </c>
      <c r="AG298" s="266">
        <v>1.0</v>
      </c>
      <c r="AH298" s="266">
        <v>1.0</v>
      </c>
      <c r="AI298" s="266" t="s">
        <v>166</v>
      </c>
      <c r="AJ298" s="266">
        <v>1.0</v>
      </c>
      <c r="AK298" s="48" t="s">
        <v>4959</v>
      </c>
      <c r="AL298" s="48">
        <v>1.0</v>
      </c>
      <c r="AM298" s="48" t="s">
        <v>166</v>
      </c>
      <c r="AN298" s="48" t="s">
        <v>166</v>
      </c>
      <c r="AO298" s="48" t="s">
        <v>166</v>
      </c>
      <c r="AP298" s="266" t="s">
        <v>166</v>
      </c>
      <c r="AQ298" s="266" t="s">
        <v>166</v>
      </c>
      <c r="AR298" s="48" t="s">
        <v>5039</v>
      </c>
      <c r="AS298" s="266" t="s">
        <v>166</v>
      </c>
      <c r="AT298" s="266">
        <v>3.0</v>
      </c>
      <c r="AU298" s="266">
        <v>1.0</v>
      </c>
      <c r="AV298" s="266" t="s">
        <v>166</v>
      </c>
      <c r="AW298" s="266">
        <v>1.0</v>
      </c>
      <c r="AX298" s="266" t="s">
        <v>166</v>
      </c>
      <c r="AY298" s="266">
        <v>1.0</v>
      </c>
      <c r="AZ298" s="266">
        <v>2.0</v>
      </c>
      <c r="BA298" s="266" t="s">
        <v>166</v>
      </c>
      <c r="BB298" s="266" t="s">
        <v>166</v>
      </c>
      <c r="BC298" s="266" t="s">
        <v>166</v>
      </c>
      <c r="BD298" s="266" t="s">
        <v>166</v>
      </c>
      <c r="BE298" s="705" t="s">
        <v>5805</v>
      </c>
      <c r="BF298" s="705" t="s">
        <v>5017</v>
      </c>
      <c r="BG298" s="48" t="s">
        <v>4963</v>
      </c>
      <c r="BH298" s="48">
        <v>4.0</v>
      </c>
      <c r="BI298" s="698" t="s">
        <v>5790</v>
      </c>
      <c r="BJ298" s="698"/>
      <c r="BK298" s="394"/>
      <c r="BL298" s="394"/>
      <c r="BM298" s="394"/>
      <c r="BN298" s="394"/>
      <c r="BO298" s="394"/>
      <c r="BP298" s="394"/>
    </row>
    <row r="299">
      <c r="A299" s="266" t="s">
        <v>1688</v>
      </c>
      <c r="B299" s="48">
        <v>1700.0</v>
      </c>
      <c r="C299" s="266" t="s">
        <v>5326</v>
      </c>
      <c r="D299" s="452" t="str">
        <f t="shared" ref="D299:D308" si="46">HYPERLINK("https://www.asus.com/","Asus")</f>
        <v>Asus</v>
      </c>
      <c r="E299" s="174" t="s">
        <v>5809</v>
      </c>
      <c r="F299" s="266">
        <v>234.0</v>
      </c>
      <c r="G299" s="266">
        <v>203.0</v>
      </c>
      <c r="H299" s="266">
        <v>4.0</v>
      </c>
      <c r="I299" s="266" t="s">
        <v>166</v>
      </c>
      <c r="J299" s="266">
        <v>1.0</v>
      </c>
      <c r="K299" s="266" t="s">
        <v>166</v>
      </c>
      <c r="L299" s="266" t="s">
        <v>166</v>
      </c>
      <c r="M299" s="266">
        <v>1.0</v>
      </c>
      <c r="N299" s="266" t="s">
        <v>166</v>
      </c>
      <c r="O299" s="266" t="s">
        <v>166</v>
      </c>
      <c r="P299" s="266" t="s">
        <v>166</v>
      </c>
      <c r="Q299" s="266" t="s">
        <v>166</v>
      </c>
      <c r="R299" s="266">
        <v>2.0</v>
      </c>
      <c r="S299" s="266" t="s">
        <v>3149</v>
      </c>
      <c r="T299" s="266">
        <v>64.0</v>
      </c>
      <c r="U299" s="266">
        <v>3200.0</v>
      </c>
      <c r="V299" s="266">
        <v>3.0</v>
      </c>
      <c r="W299" s="749" t="s">
        <v>166</v>
      </c>
      <c r="X299" s="266">
        <v>4.0</v>
      </c>
      <c r="Y299" s="266">
        <v>2.0</v>
      </c>
      <c r="Z299" s="266" t="s">
        <v>166</v>
      </c>
      <c r="AA299" s="266" t="s">
        <v>166</v>
      </c>
      <c r="AB299" s="266" t="s">
        <v>166</v>
      </c>
      <c r="AC299" s="266" t="s">
        <v>166</v>
      </c>
      <c r="AD299" s="266" t="s">
        <v>166</v>
      </c>
      <c r="AE299" s="266" t="s">
        <v>166</v>
      </c>
      <c r="AF299" s="266">
        <f t="shared" si="1"/>
        <v>6</v>
      </c>
      <c r="AG299" s="266">
        <v>1.0</v>
      </c>
      <c r="AH299" s="266">
        <v>1.0</v>
      </c>
      <c r="AI299" s="266" t="s">
        <v>166</v>
      </c>
      <c r="AJ299" s="266">
        <v>1.0</v>
      </c>
      <c r="AK299" s="48" t="s">
        <v>4959</v>
      </c>
      <c r="AL299" s="48">
        <v>1.0</v>
      </c>
      <c r="AM299" s="48" t="s">
        <v>166</v>
      </c>
      <c r="AN299" s="48" t="s">
        <v>166</v>
      </c>
      <c r="AO299" s="48" t="s">
        <v>166</v>
      </c>
      <c r="AP299" s="266" t="s">
        <v>166</v>
      </c>
      <c r="AQ299" s="266" t="s">
        <v>166</v>
      </c>
      <c r="AR299" s="48" t="s">
        <v>5039</v>
      </c>
      <c r="AS299" s="266" t="s">
        <v>166</v>
      </c>
      <c r="AT299" s="266">
        <v>3.0</v>
      </c>
      <c r="AU299" s="266">
        <v>1.0</v>
      </c>
      <c r="AV299" s="266" t="s">
        <v>166</v>
      </c>
      <c r="AW299" s="266">
        <v>1.0</v>
      </c>
      <c r="AX299" s="266" t="s">
        <v>166</v>
      </c>
      <c r="AY299" s="266" t="s">
        <v>166</v>
      </c>
      <c r="AZ299" s="266">
        <v>2.0</v>
      </c>
      <c r="BA299" s="266" t="s">
        <v>166</v>
      </c>
      <c r="BB299" s="266" t="s">
        <v>166</v>
      </c>
      <c r="BC299" s="266" t="s">
        <v>166</v>
      </c>
      <c r="BD299" s="266" t="s">
        <v>166</v>
      </c>
      <c r="BE299" s="48" t="s">
        <v>5338</v>
      </c>
      <c r="BF299" s="48" t="s">
        <v>4973</v>
      </c>
      <c r="BG299" s="48" t="s">
        <v>4963</v>
      </c>
      <c r="BH299" s="48">
        <v>6.0</v>
      </c>
      <c r="BI299" s="698" t="s">
        <v>5477</v>
      </c>
      <c r="BJ299" s="698"/>
      <c r="BK299" s="394"/>
      <c r="BL299" s="394"/>
      <c r="BM299" s="394"/>
      <c r="BN299" s="394"/>
      <c r="BO299" s="394"/>
      <c r="BP299" s="394"/>
    </row>
    <row r="300">
      <c r="A300" s="266" t="s">
        <v>1688</v>
      </c>
      <c r="B300" s="48">
        <v>1700.0</v>
      </c>
      <c r="C300" s="266" t="s">
        <v>5326</v>
      </c>
      <c r="D300" s="452" t="str">
        <f t="shared" si="46"/>
        <v>Asus</v>
      </c>
      <c r="E300" s="174" t="s">
        <v>5810</v>
      </c>
      <c r="F300" s="266">
        <v>244.0</v>
      </c>
      <c r="G300" s="266">
        <v>211.0</v>
      </c>
      <c r="H300" s="266">
        <v>4.0</v>
      </c>
      <c r="I300" s="266" t="s">
        <v>166</v>
      </c>
      <c r="J300" s="266">
        <v>1.0</v>
      </c>
      <c r="K300" s="266" t="s">
        <v>166</v>
      </c>
      <c r="L300" s="266" t="s">
        <v>166</v>
      </c>
      <c r="M300" s="266">
        <v>1.0</v>
      </c>
      <c r="N300" s="266" t="s">
        <v>166</v>
      </c>
      <c r="O300" s="266" t="s">
        <v>166</v>
      </c>
      <c r="P300" s="266" t="s">
        <v>166</v>
      </c>
      <c r="Q300" s="266" t="s">
        <v>166</v>
      </c>
      <c r="R300" s="266">
        <v>2.0</v>
      </c>
      <c r="S300" s="266" t="s">
        <v>3149</v>
      </c>
      <c r="T300" s="266">
        <v>64.0</v>
      </c>
      <c r="U300" s="266">
        <v>3200.0</v>
      </c>
      <c r="V300" s="266">
        <v>4.0</v>
      </c>
      <c r="W300" s="710" t="s">
        <v>5126</v>
      </c>
      <c r="X300" s="266">
        <v>4.0</v>
      </c>
      <c r="Y300" s="266" t="s">
        <v>166</v>
      </c>
      <c r="Z300" s="266" t="s">
        <v>166</v>
      </c>
      <c r="AA300" s="266">
        <v>2.0</v>
      </c>
      <c r="AB300" s="266" t="s">
        <v>166</v>
      </c>
      <c r="AC300" s="266" t="s">
        <v>166</v>
      </c>
      <c r="AD300" s="266" t="s">
        <v>166</v>
      </c>
      <c r="AE300" s="266" t="s">
        <v>166</v>
      </c>
      <c r="AF300" s="266">
        <f t="shared" si="1"/>
        <v>6</v>
      </c>
      <c r="AG300" s="266">
        <v>2.0</v>
      </c>
      <c r="AH300" s="266">
        <v>1.0</v>
      </c>
      <c r="AI300" s="266" t="s">
        <v>166</v>
      </c>
      <c r="AJ300" s="266">
        <v>1.0</v>
      </c>
      <c r="AK300" s="48" t="s">
        <v>5133</v>
      </c>
      <c r="AL300" s="48">
        <v>1.0</v>
      </c>
      <c r="AM300" s="48">
        <v>1.0</v>
      </c>
      <c r="AN300" s="48" t="s">
        <v>166</v>
      </c>
      <c r="AO300" s="48" t="s">
        <v>232</v>
      </c>
      <c r="AP300" s="266" t="s">
        <v>166</v>
      </c>
      <c r="AQ300" s="266" t="s">
        <v>166</v>
      </c>
      <c r="AR300" s="48" t="s">
        <v>5039</v>
      </c>
      <c r="AS300" s="266" t="s">
        <v>166</v>
      </c>
      <c r="AT300" s="266">
        <v>3.0</v>
      </c>
      <c r="AU300" s="266">
        <v>2.0</v>
      </c>
      <c r="AV300" s="266">
        <v>1.0</v>
      </c>
      <c r="AW300" s="266">
        <v>1.0</v>
      </c>
      <c r="AX300" s="266" t="s">
        <v>166</v>
      </c>
      <c r="AY300" s="266">
        <v>1.0</v>
      </c>
      <c r="AZ300" s="266">
        <v>3.0</v>
      </c>
      <c r="BA300" s="266">
        <v>2.0</v>
      </c>
      <c r="BB300" s="266">
        <v>3.0</v>
      </c>
      <c r="BC300" s="266" t="s">
        <v>166</v>
      </c>
      <c r="BD300" s="266" t="s">
        <v>166</v>
      </c>
      <c r="BE300" s="48" t="s">
        <v>5338</v>
      </c>
      <c r="BF300" s="48" t="s">
        <v>4973</v>
      </c>
      <c r="BG300" s="48" t="s">
        <v>4963</v>
      </c>
      <c r="BH300" s="48">
        <v>6.0</v>
      </c>
      <c r="BI300" s="698" t="s">
        <v>5477</v>
      </c>
      <c r="BJ300" s="698"/>
      <c r="BK300" s="394"/>
      <c r="BL300" s="394"/>
      <c r="BM300" s="394"/>
      <c r="BN300" s="394"/>
      <c r="BO300" s="394"/>
      <c r="BP300" s="394"/>
    </row>
    <row r="301">
      <c r="A301" s="266" t="s">
        <v>1688</v>
      </c>
      <c r="B301" s="48">
        <v>1700.0</v>
      </c>
      <c r="C301" s="266" t="s">
        <v>5326</v>
      </c>
      <c r="D301" s="452" t="str">
        <f t="shared" si="46"/>
        <v>Asus</v>
      </c>
      <c r="E301" s="174" t="s">
        <v>5811</v>
      </c>
      <c r="F301" s="266">
        <v>244.0</v>
      </c>
      <c r="G301" s="266">
        <v>211.0</v>
      </c>
      <c r="H301" s="266">
        <v>4.0</v>
      </c>
      <c r="I301" s="266" t="s">
        <v>166</v>
      </c>
      <c r="J301" s="266">
        <v>1.0</v>
      </c>
      <c r="K301" s="266" t="s">
        <v>166</v>
      </c>
      <c r="L301" s="266" t="s">
        <v>166</v>
      </c>
      <c r="M301" s="266">
        <v>1.0</v>
      </c>
      <c r="N301" s="266" t="s">
        <v>166</v>
      </c>
      <c r="O301" s="266" t="s">
        <v>166</v>
      </c>
      <c r="P301" s="266" t="s">
        <v>166</v>
      </c>
      <c r="Q301" s="266" t="s">
        <v>166</v>
      </c>
      <c r="R301" s="266">
        <v>2.0</v>
      </c>
      <c r="S301" s="266" t="s">
        <v>3149</v>
      </c>
      <c r="T301" s="266">
        <v>64.0</v>
      </c>
      <c r="U301" s="266">
        <v>3200.0</v>
      </c>
      <c r="V301" s="266">
        <v>4.0</v>
      </c>
      <c r="W301" s="710" t="s">
        <v>5126</v>
      </c>
      <c r="X301" s="266">
        <v>4.0</v>
      </c>
      <c r="Y301" s="266" t="s">
        <v>166</v>
      </c>
      <c r="Z301" s="266" t="s">
        <v>166</v>
      </c>
      <c r="AA301" s="266">
        <v>2.0</v>
      </c>
      <c r="AB301" s="266" t="s">
        <v>166</v>
      </c>
      <c r="AC301" s="266" t="s">
        <v>166</v>
      </c>
      <c r="AD301" s="266" t="s">
        <v>166</v>
      </c>
      <c r="AE301" s="266" t="s">
        <v>166</v>
      </c>
      <c r="AF301" s="266">
        <f t="shared" si="1"/>
        <v>6</v>
      </c>
      <c r="AG301" s="266">
        <v>2.0</v>
      </c>
      <c r="AH301" s="266">
        <v>1.0</v>
      </c>
      <c r="AI301" s="266" t="s">
        <v>166</v>
      </c>
      <c r="AJ301" s="266">
        <v>1.0</v>
      </c>
      <c r="AK301" s="48" t="s">
        <v>5133</v>
      </c>
      <c r="AL301" s="48">
        <v>1.0</v>
      </c>
      <c r="AM301" s="48">
        <v>1.0</v>
      </c>
      <c r="AN301" s="48" t="s">
        <v>4966</v>
      </c>
      <c r="AO301" s="48" t="s">
        <v>5485</v>
      </c>
      <c r="AP301" s="266" t="s">
        <v>170</v>
      </c>
      <c r="AQ301" s="266">
        <v>5.0</v>
      </c>
      <c r="AR301" s="48" t="s">
        <v>5039</v>
      </c>
      <c r="AS301" s="266" t="s">
        <v>166</v>
      </c>
      <c r="AT301" s="266">
        <v>3.0</v>
      </c>
      <c r="AU301" s="266">
        <v>2.0</v>
      </c>
      <c r="AV301" s="266">
        <v>1.0</v>
      </c>
      <c r="AW301" s="266">
        <v>1.0</v>
      </c>
      <c r="AX301" s="266" t="s">
        <v>166</v>
      </c>
      <c r="AY301" s="266">
        <v>1.0</v>
      </c>
      <c r="AZ301" s="266">
        <v>3.0</v>
      </c>
      <c r="BA301" s="266">
        <v>2.0</v>
      </c>
      <c r="BB301" s="266">
        <v>3.0</v>
      </c>
      <c r="BC301" s="266" t="s">
        <v>166</v>
      </c>
      <c r="BD301" s="266" t="s">
        <v>166</v>
      </c>
      <c r="BE301" s="48" t="s">
        <v>5338</v>
      </c>
      <c r="BF301" s="48" t="s">
        <v>4973</v>
      </c>
      <c r="BG301" s="48" t="s">
        <v>4963</v>
      </c>
      <c r="BH301" s="48">
        <v>6.0</v>
      </c>
      <c r="BI301" s="698" t="s">
        <v>5477</v>
      </c>
      <c r="BJ301" s="698"/>
      <c r="BK301" s="394"/>
      <c r="BL301" s="394"/>
      <c r="BM301" s="394"/>
      <c r="BN301" s="394"/>
      <c r="BO301" s="394"/>
      <c r="BP301" s="394"/>
    </row>
    <row r="302">
      <c r="A302" s="266" t="s">
        <v>1688</v>
      </c>
      <c r="B302" s="48">
        <v>1700.0</v>
      </c>
      <c r="C302" s="266" t="s">
        <v>5326</v>
      </c>
      <c r="D302" s="452" t="str">
        <f t="shared" si="46"/>
        <v>Asus</v>
      </c>
      <c r="E302" s="174" t="s">
        <v>5812</v>
      </c>
      <c r="F302" s="266">
        <v>234.0</v>
      </c>
      <c r="G302" s="266">
        <v>203.0</v>
      </c>
      <c r="H302" s="266">
        <v>4.0</v>
      </c>
      <c r="I302" s="266" t="s">
        <v>166</v>
      </c>
      <c r="J302" s="266">
        <v>1.0</v>
      </c>
      <c r="K302" s="266" t="s">
        <v>166</v>
      </c>
      <c r="L302" s="266" t="s">
        <v>166</v>
      </c>
      <c r="M302" s="266">
        <v>1.0</v>
      </c>
      <c r="N302" s="266" t="s">
        <v>166</v>
      </c>
      <c r="O302" s="266" t="s">
        <v>166</v>
      </c>
      <c r="P302" s="266" t="s">
        <v>166</v>
      </c>
      <c r="Q302" s="266" t="s">
        <v>166</v>
      </c>
      <c r="R302" s="266">
        <v>2.0</v>
      </c>
      <c r="S302" s="266" t="s">
        <v>3149</v>
      </c>
      <c r="T302" s="266">
        <v>64.0</v>
      </c>
      <c r="U302" s="266">
        <v>3200.0</v>
      </c>
      <c r="V302" s="266">
        <v>4.0</v>
      </c>
      <c r="W302" s="710" t="s">
        <v>4950</v>
      </c>
      <c r="X302" s="266">
        <v>4.0</v>
      </c>
      <c r="Y302" s="266">
        <v>2.0</v>
      </c>
      <c r="Z302" s="266" t="s">
        <v>166</v>
      </c>
      <c r="AA302" s="266" t="s">
        <v>166</v>
      </c>
      <c r="AB302" s="266" t="s">
        <v>166</v>
      </c>
      <c r="AC302" s="266" t="s">
        <v>166</v>
      </c>
      <c r="AD302" s="266" t="s">
        <v>166</v>
      </c>
      <c r="AE302" s="266" t="s">
        <v>166</v>
      </c>
      <c r="AF302" s="266">
        <f t="shared" si="1"/>
        <v>6</v>
      </c>
      <c r="AG302" s="266">
        <v>1.0</v>
      </c>
      <c r="AH302" s="266">
        <v>1.0</v>
      </c>
      <c r="AI302" s="266" t="s">
        <v>166</v>
      </c>
      <c r="AJ302" s="266">
        <v>1.0</v>
      </c>
      <c r="AK302" s="48" t="s">
        <v>4959</v>
      </c>
      <c r="AL302" s="48">
        <v>1.0</v>
      </c>
      <c r="AM302" s="48" t="s">
        <v>166</v>
      </c>
      <c r="AN302" s="48" t="s">
        <v>166</v>
      </c>
      <c r="AO302" s="48" t="s">
        <v>166</v>
      </c>
      <c r="AP302" s="266" t="s">
        <v>166</v>
      </c>
      <c r="AQ302" s="266" t="s">
        <v>166</v>
      </c>
      <c r="AR302" s="48" t="s">
        <v>5039</v>
      </c>
      <c r="AS302" s="266" t="s">
        <v>166</v>
      </c>
      <c r="AT302" s="266">
        <v>3.0</v>
      </c>
      <c r="AU302" s="266">
        <v>1.0</v>
      </c>
      <c r="AV302" s="266" t="s">
        <v>166</v>
      </c>
      <c r="AW302" s="266">
        <v>1.0</v>
      </c>
      <c r="AX302" s="266" t="s">
        <v>166</v>
      </c>
      <c r="AY302" s="266">
        <v>1.0</v>
      </c>
      <c r="AZ302" s="266">
        <v>2.0</v>
      </c>
      <c r="BA302" s="266">
        <v>1.0</v>
      </c>
      <c r="BB302" s="266" t="s">
        <v>166</v>
      </c>
      <c r="BC302" s="266" t="s">
        <v>166</v>
      </c>
      <c r="BD302" s="266" t="s">
        <v>166</v>
      </c>
      <c r="BE302" s="48" t="s">
        <v>5338</v>
      </c>
      <c r="BF302" s="48" t="s">
        <v>4973</v>
      </c>
      <c r="BG302" s="48" t="s">
        <v>4963</v>
      </c>
      <c r="BH302" s="48">
        <v>6.0</v>
      </c>
      <c r="BI302" s="698" t="s">
        <v>5477</v>
      </c>
      <c r="BJ302" s="698"/>
      <c r="BK302" s="394"/>
      <c r="BL302" s="394"/>
      <c r="BM302" s="394"/>
      <c r="BN302" s="394"/>
      <c r="BO302" s="394"/>
      <c r="BP302" s="394"/>
    </row>
    <row r="303">
      <c r="A303" s="266" t="s">
        <v>1688</v>
      </c>
      <c r="B303" s="48">
        <v>1700.0</v>
      </c>
      <c r="C303" s="266" t="s">
        <v>5326</v>
      </c>
      <c r="D303" s="452" t="str">
        <f t="shared" si="46"/>
        <v>Asus</v>
      </c>
      <c r="E303" s="174" t="s">
        <v>5813</v>
      </c>
      <c r="F303" s="266">
        <v>244.0</v>
      </c>
      <c r="G303" s="266">
        <v>211.0</v>
      </c>
      <c r="H303" s="266">
        <v>4.0</v>
      </c>
      <c r="I303" s="266" t="s">
        <v>166</v>
      </c>
      <c r="J303" s="266">
        <v>1.0</v>
      </c>
      <c r="K303" s="266" t="s">
        <v>166</v>
      </c>
      <c r="L303" s="266" t="s">
        <v>166</v>
      </c>
      <c r="M303" s="266">
        <v>1.0</v>
      </c>
      <c r="N303" s="266" t="s">
        <v>166</v>
      </c>
      <c r="O303" s="266" t="s">
        <v>166</v>
      </c>
      <c r="P303" s="266" t="s">
        <v>166</v>
      </c>
      <c r="Q303" s="266" t="s">
        <v>166</v>
      </c>
      <c r="R303" s="266">
        <v>2.0</v>
      </c>
      <c r="S303" s="266" t="s">
        <v>3151</v>
      </c>
      <c r="T303" s="266">
        <v>96.0</v>
      </c>
      <c r="U303" s="266">
        <v>5600.0</v>
      </c>
      <c r="V303" s="266">
        <v>4.0</v>
      </c>
      <c r="W303" s="710" t="s">
        <v>5126</v>
      </c>
      <c r="X303" s="266">
        <v>2.0</v>
      </c>
      <c r="Y303" s="266">
        <v>2.0</v>
      </c>
      <c r="Z303" s="266" t="s">
        <v>166</v>
      </c>
      <c r="AA303" s="266" t="s">
        <v>166</v>
      </c>
      <c r="AB303" s="266" t="s">
        <v>166</v>
      </c>
      <c r="AC303" s="266" t="s">
        <v>166</v>
      </c>
      <c r="AD303" s="266" t="s">
        <v>166</v>
      </c>
      <c r="AE303" s="266" t="s">
        <v>166</v>
      </c>
      <c r="AF303" s="266">
        <f t="shared" si="1"/>
        <v>4</v>
      </c>
      <c r="AG303" s="266">
        <v>2.0</v>
      </c>
      <c r="AH303" s="266">
        <v>1.0</v>
      </c>
      <c r="AI303" s="266" t="s">
        <v>166</v>
      </c>
      <c r="AJ303" s="266">
        <v>1.0</v>
      </c>
      <c r="AK303" s="48" t="s">
        <v>4959</v>
      </c>
      <c r="AL303" s="48">
        <v>1.0</v>
      </c>
      <c r="AM303" s="48" t="s">
        <v>166</v>
      </c>
      <c r="AN303" s="48" t="s">
        <v>166</v>
      </c>
      <c r="AO303" s="48" t="s">
        <v>166</v>
      </c>
      <c r="AP303" s="266" t="s">
        <v>166</v>
      </c>
      <c r="AQ303" s="266" t="s">
        <v>166</v>
      </c>
      <c r="AR303" s="48" t="s">
        <v>5039</v>
      </c>
      <c r="AS303" s="266" t="s">
        <v>166</v>
      </c>
      <c r="AT303" s="266">
        <v>3.0</v>
      </c>
      <c r="AU303" s="266">
        <v>2.0</v>
      </c>
      <c r="AV303" s="266">
        <v>1.0</v>
      </c>
      <c r="AW303" s="266">
        <v>1.0</v>
      </c>
      <c r="AX303" s="266" t="s">
        <v>166</v>
      </c>
      <c r="AY303" s="266">
        <v>1.0</v>
      </c>
      <c r="AZ303" s="266">
        <v>3.0</v>
      </c>
      <c r="BA303" s="266">
        <v>1.0</v>
      </c>
      <c r="BB303" s="266" t="s">
        <v>166</v>
      </c>
      <c r="BC303" s="266" t="s">
        <v>166</v>
      </c>
      <c r="BD303" s="266" t="s">
        <v>166</v>
      </c>
      <c r="BE303" s="48" t="s">
        <v>5338</v>
      </c>
      <c r="BF303" s="48" t="s">
        <v>4973</v>
      </c>
      <c r="BG303" s="48" t="s">
        <v>4963</v>
      </c>
      <c r="BH303" s="48">
        <v>6.0</v>
      </c>
      <c r="BI303" s="698" t="s">
        <v>5477</v>
      </c>
      <c r="BJ303" s="698"/>
      <c r="BK303" s="394"/>
      <c r="BL303" s="394"/>
      <c r="BM303" s="394"/>
      <c r="BN303" s="394"/>
      <c r="BO303" s="394"/>
      <c r="BP303" s="394"/>
    </row>
    <row r="304">
      <c r="A304" s="266" t="s">
        <v>1688</v>
      </c>
      <c r="B304" s="48">
        <v>1700.0</v>
      </c>
      <c r="C304" s="266" t="s">
        <v>5326</v>
      </c>
      <c r="D304" s="452" t="str">
        <f t="shared" si="46"/>
        <v>Asus</v>
      </c>
      <c r="E304" s="174" t="s">
        <v>5814</v>
      </c>
      <c r="F304" s="266">
        <v>244.0</v>
      </c>
      <c r="G304" s="266">
        <v>211.0</v>
      </c>
      <c r="H304" s="266">
        <v>4.0</v>
      </c>
      <c r="I304" s="266" t="s">
        <v>166</v>
      </c>
      <c r="J304" s="266">
        <v>1.0</v>
      </c>
      <c r="K304" s="266" t="s">
        <v>166</v>
      </c>
      <c r="L304" s="266" t="s">
        <v>166</v>
      </c>
      <c r="M304" s="266">
        <v>1.0</v>
      </c>
      <c r="N304" s="266" t="s">
        <v>166</v>
      </c>
      <c r="O304" s="266" t="s">
        <v>166</v>
      </c>
      <c r="P304" s="266" t="s">
        <v>166</v>
      </c>
      <c r="Q304" s="266" t="s">
        <v>166</v>
      </c>
      <c r="R304" s="266">
        <v>2.0</v>
      </c>
      <c r="S304" s="266" t="s">
        <v>3149</v>
      </c>
      <c r="T304" s="266">
        <v>64.0</v>
      </c>
      <c r="U304" s="266">
        <v>3200.0</v>
      </c>
      <c r="V304" s="266">
        <v>4.0</v>
      </c>
      <c r="W304" s="710" t="s">
        <v>5126</v>
      </c>
      <c r="X304" s="266">
        <v>2.0</v>
      </c>
      <c r="Y304" s="266">
        <v>2.0</v>
      </c>
      <c r="Z304" s="266" t="s">
        <v>166</v>
      </c>
      <c r="AA304" s="266" t="s">
        <v>166</v>
      </c>
      <c r="AB304" s="266" t="s">
        <v>166</v>
      </c>
      <c r="AC304" s="266" t="s">
        <v>166</v>
      </c>
      <c r="AD304" s="266" t="s">
        <v>166</v>
      </c>
      <c r="AE304" s="266" t="s">
        <v>166</v>
      </c>
      <c r="AF304" s="266">
        <f t="shared" si="1"/>
        <v>4</v>
      </c>
      <c r="AG304" s="266">
        <v>2.0</v>
      </c>
      <c r="AH304" s="266">
        <v>1.0</v>
      </c>
      <c r="AI304" s="266" t="s">
        <v>166</v>
      </c>
      <c r="AJ304" s="266">
        <v>1.0</v>
      </c>
      <c r="AK304" s="48" t="s">
        <v>4959</v>
      </c>
      <c r="AL304" s="48">
        <v>1.0</v>
      </c>
      <c r="AM304" s="48" t="s">
        <v>166</v>
      </c>
      <c r="AN304" s="48" t="s">
        <v>166</v>
      </c>
      <c r="AO304" s="48" t="s">
        <v>166</v>
      </c>
      <c r="AP304" s="266" t="s">
        <v>166</v>
      </c>
      <c r="AQ304" s="266" t="s">
        <v>166</v>
      </c>
      <c r="AR304" s="48" t="s">
        <v>5039</v>
      </c>
      <c r="AS304" s="266" t="s">
        <v>166</v>
      </c>
      <c r="AT304" s="266">
        <v>3.0</v>
      </c>
      <c r="AU304" s="266">
        <v>2.0</v>
      </c>
      <c r="AV304" s="266">
        <v>1.0</v>
      </c>
      <c r="AW304" s="266">
        <v>1.0</v>
      </c>
      <c r="AX304" s="266" t="s">
        <v>166</v>
      </c>
      <c r="AY304" s="266">
        <v>1.0</v>
      </c>
      <c r="AZ304" s="266">
        <v>3.0</v>
      </c>
      <c r="BA304" s="266">
        <v>1.0</v>
      </c>
      <c r="BB304" s="266" t="s">
        <v>166</v>
      </c>
      <c r="BC304" s="266" t="s">
        <v>166</v>
      </c>
      <c r="BD304" s="266" t="s">
        <v>166</v>
      </c>
      <c r="BE304" s="48" t="s">
        <v>5338</v>
      </c>
      <c r="BF304" s="48" t="s">
        <v>4973</v>
      </c>
      <c r="BG304" s="48" t="s">
        <v>4963</v>
      </c>
      <c r="BH304" s="48">
        <v>6.0</v>
      </c>
      <c r="BI304" s="698" t="s">
        <v>5477</v>
      </c>
      <c r="BJ304" s="698"/>
      <c r="BK304" s="394"/>
      <c r="BL304" s="394"/>
      <c r="BM304" s="394"/>
      <c r="BN304" s="394"/>
      <c r="BO304" s="394"/>
      <c r="BP304" s="394"/>
    </row>
    <row r="305">
      <c r="A305" s="266" t="s">
        <v>1688</v>
      </c>
      <c r="B305" s="48">
        <v>1700.0</v>
      </c>
      <c r="C305" s="266" t="s">
        <v>5326</v>
      </c>
      <c r="D305" s="452" t="str">
        <f t="shared" si="46"/>
        <v>Asus</v>
      </c>
      <c r="E305" s="174" t="s">
        <v>5815</v>
      </c>
      <c r="F305" s="266">
        <v>226.0</v>
      </c>
      <c r="G305" s="266">
        <v>193.0</v>
      </c>
      <c r="H305" s="266">
        <v>4.0</v>
      </c>
      <c r="I305" s="266" t="s">
        <v>166</v>
      </c>
      <c r="J305" s="266">
        <v>1.0</v>
      </c>
      <c r="K305" s="266" t="s">
        <v>166</v>
      </c>
      <c r="L305" s="266" t="s">
        <v>166</v>
      </c>
      <c r="M305" s="266">
        <v>1.0</v>
      </c>
      <c r="N305" s="266" t="s">
        <v>166</v>
      </c>
      <c r="O305" s="266" t="s">
        <v>166</v>
      </c>
      <c r="P305" s="266" t="s">
        <v>166</v>
      </c>
      <c r="Q305" s="266" t="s">
        <v>166</v>
      </c>
      <c r="R305" s="266">
        <v>2.0</v>
      </c>
      <c r="S305" s="266" t="s">
        <v>3149</v>
      </c>
      <c r="T305" s="266">
        <v>64.0</v>
      </c>
      <c r="U305" s="266">
        <v>3200.0</v>
      </c>
      <c r="V305" s="266">
        <v>4.0</v>
      </c>
      <c r="W305" s="710" t="s">
        <v>5062</v>
      </c>
      <c r="X305" s="266">
        <v>4.0</v>
      </c>
      <c r="Y305" s="266">
        <v>2.0</v>
      </c>
      <c r="Z305" s="266" t="s">
        <v>166</v>
      </c>
      <c r="AA305" s="266" t="s">
        <v>166</v>
      </c>
      <c r="AB305" s="266" t="s">
        <v>166</v>
      </c>
      <c r="AC305" s="266" t="s">
        <v>166</v>
      </c>
      <c r="AD305" s="266" t="s">
        <v>166</v>
      </c>
      <c r="AE305" s="266" t="s">
        <v>166</v>
      </c>
      <c r="AF305" s="266">
        <f t="shared" si="1"/>
        <v>6</v>
      </c>
      <c r="AG305" s="266">
        <v>1.0</v>
      </c>
      <c r="AH305" s="266">
        <v>1.0</v>
      </c>
      <c r="AI305" s="266" t="s">
        <v>166</v>
      </c>
      <c r="AJ305" s="266">
        <v>1.0</v>
      </c>
      <c r="AK305" s="48" t="s">
        <v>4959</v>
      </c>
      <c r="AL305" s="48">
        <v>1.0</v>
      </c>
      <c r="AM305" s="48" t="s">
        <v>166</v>
      </c>
      <c r="AN305" s="48" t="s">
        <v>166</v>
      </c>
      <c r="AO305" s="48" t="s">
        <v>166</v>
      </c>
      <c r="AP305" s="266" t="s">
        <v>166</v>
      </c>
      <c r="AQ305" s="266" t="s">
        <v>166</v>
      </c>
      <c r="AR305" s="48" t="s">
        <v>5039</v>
      </c>
      <c r="AS305" s="266" t="s">
        <v>166</v>
      </c>
      <c r="AT305" s="266">
        <v>3.0</v>
      </c>
      <c r="AU305" s="266">
        <v>2.0</v>
      </c>
      <c r="AV305" s="266" t="s">
        <v>166</v>
      </c>
      <c r="AW305" s="266" t="s">
        <v>166</v>
      </c>
      <c r="AX305" s="266" t="s">
        <v>166</v>
      </c>
      <c r="AY305" s="266">
        <v>1.0</v>
      </c>
      <c r="AZ305" s="266">
        <v>2.0</v>
      </c>
      <c r="BA305" s="266" t="s">
        <v>166</v>
      </c>
      <c r="BB305" s="266" t="s">
        <v>166</v>
      </c>
      <c r="BC305" s="266" t="s">
        <v>166</v>
      </c>
      <c r="BD305" s="266" t="s">
        <v>166</v>
      </c>
      <c r="BE305" s="48" t="s">
        <v>5328</v>
      </c>
      <c r="BF305" s="48" t="s">
        <v>5017</v>
      </c>
      <c r="BG305" s="48" t="s">
        <v>4963</v>
      </c>
      <c r="BH305" s="48">
        <v>4.0</v>
      </c>
      <c r="BI305" s="698" t="s">
        <v>5477</v>
      </c>
      <c r="BJ305" s="698"/>
      <c r="BK305" s="394"/>
      <c r="BL305" s="394"/>
      <c r="BM305" s="394"/>
      <c r="BN305" s="394"/>
      <c r="BO305" s="394"/>
      <c r="BP305" s="394"/>
    </row>
    <row r="306">
      <c r="A306" s="266" t="s">
        <v>1688</v>
      </c>
      <c r="B306" s="48">
        <v>1700.0</v>
      </c>
      <c r="C306" s="266" t="s">
        <v>5326</v>
      </c>
      <c r="D306" s="452" t="str">
        <f t="shared" si="46"/>
        <v>Asus</v>
      </c>
      <c r="E306" s="174" t="s">
        <v>5816</v>
      </c>
      <c r="F306" s="266">
        <v>234.0</v>
      </c>
      <c r="G306" s="266">
        <v>203.0</v>
      </c>
      <c r="H306" s="266">
        <v>4.0</v>
      </c>
      <c r="I306" s="266" t="s">
        <v>166</v>
      </c>
      <c r="J306" s="266">
        <v>1.0</v>
      </c>
      <c r="K306" s="266" t="s">
        <v>166</v>
      </c>
      <c r="L306" s="266" t="s">
        <v>166</v>
      </c>
      <c r="M306" s="266">
        <v>1.0</v>
      </c>
      <c r="N306" s="266" t="s">
        <v>166</v>
      </c>
      <c r="O306" s="266" t="s">
        <v>166</v>
      </c>
      <c r="P306" s="266" t="s">
        <v>166</v>
      </c>
      <c r="Q306" s="266" t="s">
        <v>166</v>
      </c>
      <c r="R306" s="266">
        <v>2.0</v>
      </c>
      <c r="S306" s="266" t="s">
        <v>3149</v>
      </c>
      <c r="T306" s="266">
        <v>64.0</v>
      </c>
      <c r="U306" s="266">
        <v>3200.0</v>
      </c>
      <c r="V306" s="266">
        <v>4.0</v>
      </c>
      <c r="W306" s="710" t="s">
        <v>4950</v>
      </c>
      <c r="X306" s="266">
        <v>4.0</v>
      </c>
      <c r="Y306" s="266">
        <v>2.0</v>
      </c>
      <c r="Z306" s="266" t="s">
        <v>166</v>
      </c>
      <c r="AA306" s="266" t="s">
        <v>166</v>
      </c>
      <c r="AB306" s="266" t="s">
        <v>166</v>
      </c>
      <c r="AC306" s="266" t="s">
        <v>166</v>
      </c>
      <c r="AD306" s="266" t="s">
        <v>166</v>
      </c>
      <c r="AE306" s="266" t="s">
        <v>166</v>
      </c>
      <c r="AF306" s="266">
        <f t="shared" si="1"/>
        <v>6</v>
      </c>
      <c r="AG306" s="266">
        <v>1.0</v>
      </c>
      <c r="AH306" s="266">
        <v>1.0</v>
      </c>
      <c r="AI306" s="266" t="s">
        <v>166</v>
      </c>
      <c r="AJ306" s="266">
        <v>1.0</v>
      </c>
      <c r="AK306" s="48" t="s">
        <v>4959</v>
      </c>
      <c r="AL306" s="48">
        <v>1.0</v>
      </c>
      <c r="AM306" s="48" t="s">
        <v>166</v>
      </c>
      <c r="AN306" s="48" t="s">
        <v>166</v>
      </c>
      <c r="AO306" s="48" t="s">
        <v>166</v>
      </c>
      <c r="AP306" s="266" t="s">
        <v>166</v>
      </c>
      <c r="AQ306" s="266" t="s">
        <v>166</v>
      </c>
      <c r="AR306" s="48" t="s">
        <v>5039</v>
      </c>
      <c r="AS306" s="266" t="s">
        <v>166</v>
      </c>
      <c r="AT306" s="266">
        <v>3.0</v>
      </c>
      <c r="AU306" s="266">
        <v>1.0</v>
      </c>
      <c r="AV306" s="266" t="s">
        <v>166</v>
      </c>
      <c r="AW306" s="266">
        <v>1.0</v>
      </c>
      <c r="AX306" s="266" t="s">
        <v>166</v>
      </c>
      <c r="AY306" s="266">
        <v>1.0</v>
      </c>
      <c r="AZ306" s="266">
        <v>2.0</v>
      </c>
      <c r="BA306" s="266">
        <v>1.0</v>
      </c>
      <c r="BB306" s="266" t="s">
        <v>166</v>
      </c>
      <c r="BC306" s="266" t="s">
        <v>166</v>
      </c>
      <c r="BD306" s="266" t="s">
        <v>166</v>
      </c>
      <c r="BE306" s="48" t="s">
        <v>5338</v>
      </c>
      <c r="BF306" s="48" t="s">
        <v>4973</v>
      </c>
      <c r="BG306" s="48" t="s">
        <v>4963</v>
      </c>
      <c r="BH306" s="48">
        <v>6.0</v>
      </c>
      <c r="BI306" s="698" t="s">
        <v>5477</v>
      </c>
      <c r="BJ306" s="698"/>
      <c r="BK306" s="394"/>
      <c r="BL306" s="394"/>
      <c r="BM306" s="394"/>
      <c r="BN306" s="394"/>
      <c r="BO306" s="394"/>
      <c r="BP306" s="394"/>
    </row>
    <row r="307">
      <c r="A307" s="266" t="s">
        <v>1688</v>
      </c>
      <c r="B307" s="48">
        <v>1700.0</v>
      </c>
      <c r="C307" s="266" t="s">
        <v>5326</v>
      </c>
      <c r="D307" s="452" t="str">
        <f t="shared" si="46"/>
        <v>Asus</v>
      </c>
      <c r="E307" s="174" t="s">
        <v>5817</v>
      </c>
      <c r="F307" s="266">
        <v>244.0</v>
      </c>
      <c r="G307" s="266">
        <v>220.0</v>
      </c>
      <c r="H307" s="266">
        <v>5.0</v>
      </c>
      <c r="I307" s="266">
        <v>1.0</v>
      </c>
      <c r="J307" s="266">
        <v>2.0</v>
      </c>
      <c r="K307" s="266" t="s">
        <v>166</v>
      </c>
      <c r="L307" s="266" t="s">
        <v>166</v>
      </c>
      <c r="M307" s="266">
        <v>1.0</v>
      </c>
      <c r="N307" s="266" t="s">
        <v>166</v>
      </c>
      <c r="O307" s="266" t="s">
        <v>166</v>
      </c>
      <c r="P307" s="266" t="s">
        <v>166</v>
      </c>
      <c r="Q307" s="266" t="s">
        <v>166</v>
      </c>
      <c r="R307" s="266">
        <v>2.0</v>
      </c>
      <c r="S307" s="266" t="s">
        <v>3151</v>
      </c>
      <c r="T307" s="266">
        <v>96.0</v>
      </c>
      <c r="U307" s="266">
        <v>4800.0</v>
      </c>
      <c r="V307" s="266">
        <v>4.0</v>
      </c>
      <c r="W307" s="710" t="s">
        <v>5062</v>
      </c>
      <c r="X307" s="266">
        <v>2.0</v>
      </c>
      <c r="Y307" s="266" t="s">
        <v>166</v>
      </c>
      <c r="Z307" s="266" t="s">
        <v>166</v>
      </c>
      <c r="AA307" s="266">
        <v>2.0</v>
      </c>
      <c r="AB307" s="266" t="s">
        <v>166</v>
      </c>
      <c r="AC307" s="266" t="s">
        <v>166</v>
      </c>
      <c r="AD307" s="266" t="s">
        <v>166</v>
      </c>
      <c r="AE307" s="266" t="s">
        <v>166</v>
      </c>
      <c r="AF307" s="266">
        <f t="shared" si="1"/>
        <v>4</v>
      </c>
      <c r="AG307" s="266">
        <v>2.0</v>
      </c>
      <c r="AH307" s="266">
        <v>1.0</v>
      </c>
      <c r="AI307" s="266" t="s">
        <v>166</v>
      </c>
      <c r="AJ307" s="266">
        <v>1.0</v>
      </c>
      <c r="AK307" s="48" t="s">
        <v>5133</v>
      </c>
      <c r="AL307" s="48">
        <v>1.0</v>
      </c>
      <c r="AM307" s="48" t="s">
        <v>166</v>
      </c>
      <c r="AN307" s="48" t="s">
        <v>166</v>
      </c>
      <c r="AO307" s="48" t="s">
        <v>166</v>
      </c>
      <c r="AP307" s="266" t="s">
        <v>166</v>
      </c>
      <c r="AQ307" s="266" t="s">
        <v>166</v>
      </c>
      <c r="AR307" s="48" t="s">
        <v>5039</v>
      </c>
      <c r="AS307" s="266" t="s">
        <v>166</v>
      </c>
      <c r="AT307" s="266">
        <v>3.0</v>
      </c>
      <c r="AU307" s="266">
        <v>2.0</v>
      </c>
      <c r="AV307" s="266">
        <v>1.0</v>
      </c>
      <c r="AW307" s="266">
        <v>1.0</v>
      </c>
      <c r="AX307" s="266">
        <v>1.0</v>
      </c>
      <c r="AY307" s="266">
        <v>1.0</v>
      </c>
      <c r="AZ307" s="266">
        <v>2.0</v>
      </c>
      <c r="BA307" s="266" t="s">
        <v>166</v>
      </c>
      <c r="BB307" s="266" t="s">
        <v>166</v>
      </c>
      <c r="BC307" s="266" t="s">
        <v>166</v>
      </c>
      <c r="BD307" s="266" t="s">
        <v>166</v>
      </c>
      <c r="BE307" s="48" t="s">
        <v>5338</v>
      </c>
      <c r="BF307" s="48" t="s">
        <v>4973</v>
      </c>
      <c r="BG307" s="48" t="s">
        <v>4963</v>
      </c>
      <c r="BH307" s="48">
        <v>6.0</v>
      </c>
      <c r="BI307" s="698" t="s">
        <v>5477</v>
      </c>
      <c r="BJ307" s="698"/>
      <c r="BK307" s="394"/>
      <c r="BL307" s="394"/>
      <c r="BM307" s="394"/>
      <c r="BN307" s="394"/>
      <c r="BO307" s="394"/>
      <c r="BP307" s="394"/>
    </row>
    <row r="308">
      <c r="A308" s="266" t="s">
        <v>1688</v>
      </c>
      <c r="B308" s="48">
        <v>1700.0</v>
      </c>
      <c r="C308" s="266" t="s">
        <v>5326</v>
      </c>
      <c r="D308" s="452" t="str">
        <f t="shared" si="46"/>
        <v>Asus</v>
      </c>
      <c r="E308" s="174" t="s">
        <v>5818</v>
      </c>
      <c r="F308" s="266">
        <v>244.0</v>
      </c>
      <c r="G308" s="266">
        <v>220.0</v>
      </c>
      <c r="H308" s="266">
        <v>4.0</v>
      </c>
      <c r="I308" s="266">
        <v>1.0</v>
      </c>
      <c r="J308" s="266">
        <v>2.0</v>
      </c>
      <c r="K308" s="266" t="s">
        <v>166</v>
      </c>
      <c r="L308" s="266" t="s">
        <v>166</v>
      </c>
      <c r="M308" s="266">
        <v>1.0</v>
      </c>
      <c r="N308" s="266" t="s">
        <v>166</v>
      </c>
      <c r="O308" s="266" t="s">
        <v>166</v>
      </c>
      <c r="P308" s="266" t="s">
        <v>166</v>
      </c>
      <c r="Q308" s="266" t="s">
        <v>166</v>
      </c>
      <c r="R308" s="266">
        <v>2.0</v>
      </c>
      <c r="S308" s="266" t="s">
        <v>3149</v>
      </c>
      <c r="T308" s="266">
        <v>64.0</v>
      </c>
      <c r="U308" s="266">
        <v>3200.0</v>
      </c>
      <c r="V308" s="266">
        <v>4.0</v>
      </c>
      <c r="W308" s="710" t="s">
        <v>5062</v>
      </c>
      <c r="X308" s="266">
        <v>2.0</v>
      </c>
      <c r="Y308" s="266">
        <v>2.0</v>
      </c>
      <c r="Z308" s="266" t="s">
        <v>166</v>
      </c>
      <c r="AA308" s="266" t="s">
        <v>166</v>
      </c>
      <c r="AB308" s="266" t="s">
        <v>166</v>
      </c>
      <c r="AC308" s="266" t="s">
        <v>166</v>
      </c>
      <c r="AD308" s="266" t="s">
        <v>166</v>
      </c>
      <c r="AE308" s="266" t="s">
        <v>166</v>
      </c>
      <c r="AF308" s="266">
        <f t="shared" si="1"/>
        <v>4</v>
      </c>
      <c r="AG308" s="266">
        <v>2.0</v>
      </c>
      <c r="AH308" s="266">
        <v>1.0</v>
      </c>
      <c r="AI308" s="266" t="s">
        <v>166</v>
      </c>
      <c r="AJ308" s="507">
        <v>1.0</v>
      </c>
      <c r="AK308" s="48" t="s">
        <v>5133</v>
      </c>
      <c r="AL308" s="705">
        <v>1.0</v>
      </c>
      <c r="AM308" s="48" t="s">
        <v>166</v>
      </c>
      <c r="AN308" s="48" t="s">
        <v>166</v>
      </c>
      <c r="AO308" s="48" t="s">
        <v>166</v>
      </c>
      <c r="AP308" s="266" t="s">
        <v>166</v>
      </c>
      <c r="AQ308" s="266" t="s">
        <v>166</v>
      </c>
      <c r="AR308" s="48" t="s">
        <v>5039</v>
      </c>
      <c r="AS308" s="266" t="s">
        <v>166</v>
      </c>
      <c r="AT308" s="266">
        <v>3.0</v>
      </c>
      <c r="AU308" s="266">
        <v>2.0</v>
      </c>
      <c r="AV308" s="266">
        <v>1.0</v>
      </c>
      <c r="AW308" s="266">
        <v>1.0</v>
      </c>
      <c r="AX308" s="266" t="s">
        <v>166</v>
      </c>
      <c r="AY308" s="266">
        <v>1.0</v>
      </c>
      <c r="AZ308" s="266">
        <v>2.0</v>
      </c>
      <c r="BA308" s="266" t="s">
        <v>166</v>
      </c>
      <c r="BB308" s="266" t="s">
        <v>166</v>
      </c>
      <c r="BC308" s="266" t="s">
        <v>166</v>
      </c>
      <c r="BD308" s="266" t="s">
        <v>166</v>
      </c>
      <c r="BE308" s="48" t="s">
        <v>5338</v>
      </c>
      <c r="BF308" s="48" t="s">
        <v>4973</v>
      </c>
      <c r="BG308" s="48" t="s">
        <v>4963</v>
      </c>
      <c r="BH308" s="48">
        <v>6.0</v>
      </c>
      <c r="BI308" s="698" t="s">
        <v>5477</v>
      </c>
      <c r="BJ308" s="698"/>
      <c r="BK308" s="394"/>
      <c r="BL308" s="394"/>
      <c r="BM308" s="394"/>
      <c r="BN308" s="394"/>
      <c r="BO308" s="394"/>
      <c r="BP308" s="394"/>
    </row>
    <row r="309">
      <c r="A309" s="266" t="s">
        <v>1688</v>
      </c>
      <c r="B309" s="48">
        <v>1700.0</v>
      </c>
      <c r="C309" s="266" t="s">
        <v>5326</v>
      </c>
      <c r="D309" s="506" t="str">
        <f t="shared" ref="D309:D311" si="47">HYPERLINK("https://www.biostar.com.tw/app/en/","Biostar")</f>
        <v>Biostar</v>
      </c>
      <c r="E309" s="174" t="s">
        <v>5819</v>
      </c>
      <c r="F309" s="266">
        <v>236.0</v>
      </c>
      <c r="G309" s="266">
        <v>208.0</v>
      </c>
      <c r="H309" s="266">
        <v>4.0</v>
      </c>
      <c r="I309" s="266" t="s">
        <v>166</v>
      </c>
      <c r="J309" s="266">
        <v>1.0</v>
      </c>
      <c r="K309" s="266" t="s">
        <v>166</v>
      </c>
      <c r="L309" s="266" t="s">
        <v>166</v>
      </c>
      <c r="M309" s="266">
        <v>1.0</v>
      </c>
      <c r="N309" s="266" t="s">
        <v>166</v>
      </c>
      <c r="O309" s="266" t="s">
        <v>166</v>
      </c>
      <c r="P309" s="266" t="s">
        <v>166</v>
      </c>
      <c r="Q309" s="266" t="s">
        <v>166</v>
      </c>
      <c r="R309" s="266">
        <v>2.0</v>
      </c>
      <c r="S309" s="266" t="s">
        <v>3149</v>
      </c>
      <c r="T309" s="266">
        <v>64.0</v>
      </c>
      <c r="U309" s="266">
        <v>3200.0</v>
      </c>
      <c r="V309" s="266">
        <v>4.0</v>
      </c>
      <c r="W309" s="710" t="s">
        <v>4950</v>
      </c>
      <c r="X309" s="266">
        <v>4.0</v>
      </c>
      <c r="Y309" s="266">
        <v>2.0</v>
      </c>
      <c r="Z309" s="266" t="s">
        <v>166</v>
      </c>
      <c r="AA309" s="266" t="s">
        <v>166</v>
      </c>
      <c r="AB309" s="266" t="s">
        <v>166</v>
      </c>
      <c r="AC309" s="266" t="s">
        <v>166</v>
      </c>
      <c r="AD309" s="266" t="s">
        <v>166</v>
      </c>
      <c r="AE309" s="266" t="s">
        <v>166</v>
      </c>
      <c r="AF309" s="266">
        <f t="shared" si="1"/>
        <v>6</v>
      </c>
      <c r="AG309" s="266">
        <v>2.0</v>
      </c>
      <c r="AH309" s="266">
        <v>1.0</v>
      </c>
      <c r="AI309" s="266" t="s">
        <v>166</v>
      </c>
      <c r="AJ309" s="507">
        <v>1.0</v>
      </c>
      <c r="AK309" s="48" t="s">
        <v>5133</v>
      </c>
      <c r="AL309" s="705">
        <v>1.0</v>
      </c>
      <c r="AM309" s="48" t="s">
        <v>166</v>
      </c>
      <c r="AN309" s="48" t="s">
        <v>166</v>
      </c>
      <c r="AO309" s="48" t="s">
        <v>166</v>
      </c>
      <c r="AP309" s="266" t="s">
        <v>166</v>
      </c>
      <c r="AQ309" s="266" t="s">
        <v>166</v>
      </c>
      <c r="AR309" s="48" t="s">
        <v>5039</v>
      </c>
      <c r="AS309" s="266" t="s">
        <v>166</v>
      </c>
      <c r="AT309" s="266">
        <v>3.0</v>
      </c>
      <c r="AU309" s="266">
        <v>1.0</v>
      </c>
      <c r="AV309" s="266" t="s">
        <v>166</v>
      </c>
      <c r="AW309" s="266">
        <v>1.0</v>
      </c>
      <c r="AX309" s="266" t="s">
        <v>166</v>
      </c>
      <c r="AY309" s="266">
        <v>1.0</v>
      </c>
      <c r="AZ309" s="266">
        <v>2.0</v>
      </c>
      <c r="BA309" s="266" t="s">
        <v>166</v>
      </c>
      <c r="BB309" s="266" t="s">
        <v>166</v>
      </c>
      <c r="BC309" s="266" t="s">
        <v>166</v>
      </c>
      <c r="BD309" s="266" t="s">
        <v>166</v>
      </c>
      <c r="BE309" s="48" t="s">
        <v>170</v>
      </c>
      <c r="BF309" s="48" t="s">
        <v>170</v>
      </c>
      <c r="BG309" s="48" t="s">
        <v>170</v>
      </c>
      <c r="BH309" s="48" t="s">
        <v>170</v>
      </c>
      <c r="BI309" s="698" t="s">
        <v>170</v>
      </c>
      <c r="BJ309" s="698"/>
      <c r="BK309" s="394"/>
      <c r="BL309" s="394"/>
      <c r="BM309" s="394"/>
      <c r="BN309" s="394"/>
      <c r="BO309" s="394"/>
      <c r="BP309" s="394"/>
    </row>
    <row r="310">
      <c r="A310" s="266" t="s">
        <v>1688</v>
      </c>
      <c r="B310" s="48">
        <v>1700.0</v>
      </c>
      <c r="C310" s="266" t="s">
        <v>5326</v>
      </c>
      <c r="D310" s="506" t="str">
        <f t="shared" si="47"/>
        <v>Biostar</v>
      </c>
      <c r="E310" s="174" t="s">
        <v>5820</v>
      </c>
      <c r="F310" s="266">
        <v>236.0</v>
      </c>
      <c r="G310" s="266">
        <v>208.0</v>
      </c>
      <c r="H310" s="266">
        <v>4.0</v>
      </c>
      <c r="I310" s="266" t="s">
        <v>166</v>
      </c>
      <c r="J310" s="266">
        <v>1.0</v>
      </c>
      <c r="K310" s="266" t="s">
        <v>166</v>
      </c>
      <c r="L310" s="266" t="s">
        <v>166</v>
      </c>
      <c r="M310" s="266">
        <v>1.0</v>
      </c>
      <c r="N310" s="266" t="s">
        <v>166</v>
      </c>
      <c r="O310" s="266" t="s">
        <v>166</v>
      </c>
      <c r="P310" s="266" t="s">
        <v>166</v>
      </c>
      <c r="Q310" s="266" t="s">
        <v>166</v>
      </c>
      <c r="R310" s="266">
        <v>2.0</v>
      </c>
      <c r="S310" s="266" t="s">
        <v>3149</v>
      </c>
      <c r="T310" s="266">
        <v>64.0</v>
      </c>
      <c r="U310" s="266">
        <v>3200.0</v>
      </c>
      <c r="V310" s="266">
        <v>4.0</v>
      </c>
      <c r="W310" s="710" t="s">
        <v>4950</v>
      </c>
      <c r="X310" s="266">
        <v>4.0</v>
      </c>
      <c r="Y310" s="266">
        <v>2.0</v>
      </c>
      <c r="Z310" s="266" t="s">
        <v>166</v>
      </c>
      <c r="AA310" s="266" t="s">
        <v>166</v>
      </c>
      <c r="AB310" s="266" t="s">
        <v>166</v>
      </c>
      <c r="AC310" s="266" t="s">
        <v>166</v>
      </c>
      <c r="AD310" s="266" t="s">
        <v>166</v>
      </c>
      <c r="AE310" s="266" t="s">
        <v>166</v>
      </c>
      <c r="AF310" s="266">
        <f t="shared" si="1"/>
        <v>6</v>
      </c>
      <c r="AG310" s="266">
        <v>2.0</v>
      </c>
      <c r="AH310" s="266">
        <v>1.0</v>
      </c>
      <c r="AI310" s="266" t="s">
        <v>166</v>
      </c>
      <c r="AJ310" s="507">
        <v>1.0</v>
      </c>
      <c r="AK310" s="48" t="s">
        <v>5133</v>
      </c>
      <c r="AL310" s="705">
        <v>1.0</v>
      </c>
      <c r="AM310" s="48" t="s">
        <v>166</v>
      </c>
      <c r="AN310" s="48" t="s">
        <v>166</v>
      </c>
      <c r="AO310" s="48" t="s">
        <v>166</v>
      </c>
      <c r="AP310" s="266" t="s">
        <v>166</v>
      </c>
      <c r="AQ310" s="266" t="s">
        <v>166</v>
      </c>
      <c r="AR310" s="48" t="s">
        <v>5039</v>
      </c>
      <c r="AS310" s="266" t="s">
        <v>166</v>
      </c>
      <c r="AT310" s="266">
        <v>3.0</v>
      </c>
      <c r="AU310" s="266">
        <v>1.0</v>
      </c>
      <c r="AV310" s="266" t="s">
        <v>166</v>
      </c>
      <c r="AW310" s="266">
        <v>1.0</v>
      </c>
      <c r="AX310" s="266" t="s">
        <v>166</v>
      </c>
      <c r="AY310" s="266">
        <v>1.0</v>
      </c>
      <c r="AZ310" s="266">
        <v>2.0</v>
      </c>
      <c r="BA310" s="266" t="s">
        <v>166</v>
      </c>
      <c r="BB310" s="266" t="s">
        <v>166</v>
      </c>
      <c r="BC310" s="266" t="s">
        <v>166</v>
      </c>
      <c r="BD310" s="266" t="s">
        <v>166</v>
      </c>
      <c r="BE310" s="48" t="s">
        <v>170</v>
      </c>
      <c r="BF310" s="48" t="s">
        <v>170</v>
      </c>
      <c r="BG310" s="48" t="s">
        <v>170</v>
      </c>
      <c r="BH310" s="48" t="s">
        <v>170</v>
      </c>
      <c r="BI310" s="698" t="s">
        <v>170</v>
      </c>
      <c r="BJ310" s="698"/>
      <c r="BK310" s="394"/>
      <c r="BL310" s="394"/>
      <c r="BM310" s="394"/>
      <c r="BN310" s="394"/>
      <c r="BO310" s="394"/>
      <c r="BP310" s="394"/>
    </row>
    <row r="311">
      <c r="A311" s="266" t="s">
        <v>1688</v>
      </c>
      <c r="B311" s="48">
        <v>1700.0</v>
      </c>
      <c r="C311" s="266" t="s">
        <v>5326</v>
      </c>
      <c r="D311" s="506" t="str">
        <f t="shared" si="47"/>
        <v>Biostar</v>
      </c>
      <c r="E311" s="174" t="s">
        <v>5821</v>
      </c>
      <c r="F311" s="266">
        <v>236.0</v>
      </c>
      <c r="G311" s="266">
        <v>208.0</v>
      </c>
      <c r="H311" s="266">
        <v>4.0</v>
      </c>
      <c r="I311" s="266" t="s">
        <v>166</v>
      </c>
      <c r="J311" s="266">
        <v>1.0</v>
      </c>
      <c r="K311" s="266" t="s">
        <v>166</v>
      </c>
      <c r="L311" s="266" t="s">
        <v>166</v>
      </c>
      <c r="M311" s="266">
        <v>1.0</v>
      </c>
      <c r="N311" s="266" t="s">
        <v>166</v>
      </c>
      <c r="O311" s="266" t="s">
        <v>166</v>
      </c>
      <c r="P311" s="266" t="s">
        <v>166</v>
      </c>
      <c r="Q311" s="266" t="s">
        <v>166</v>
      </c>
      <c r="R311" s="266">
        <v>2.0</v>
      </c>
      <c r="S311" s="266" t="s">
        <v>3149</v>
      </c>
      <c r="T311" s="266">
        <v>64.0</v>
      </c>
      <c r="U311" s="266">
        <v>3200.0</v>
      </c>
      <c r="V311" s="266">
        <v>4.0</v>
      </c>
      <c r="W311" s="710" t="s">
        <v>4950</v>
      </c>
      <c r="X311" s="266">
        <v>4.0</v>
      </c>
      <c r="Y311" s="266">
        <v>2.0</v>
      </c>
      <c r="Z311" s="266" t="s">
        <v>166</v>
      </c>
      <c r="AA311" s="266" t="s">
        <v>166</v>
      </c>
      <c r="AB311" s="266" t="s">
        <v>166</v>
      </c>
      <c r="AC311" s="266" t="s">
        <v>166</v>
      </c>
      <c r="AD311" s="266" t="s">
        <v>166</v>
      </c>
      <c r="AE311" s="266" t="s">
        <v>166</v>
      </c>
      <c r="AF311" s="266">
        <f t="shared" si="1"/>
        <v>6</v>
      </c>
      <c r="AG311" s="266">
        <v>2.0</v>
      </c>
      <c r="AH311" s="266">
        <v>1.0</v>
      </c>
      <c r="AI311" s="266" t="s">
        <v>166</v>
      </c>
      <c r="AJ311" s="507">
        <v>1.0</v>
      </c>
      <c r="AK311" s="48" t="s">
        <v>5133</v>
      </c>
      <c r="AL311" s="705">
        <v>1.0</v>
      </c>
      <c r="AM311" s="48">
        <v>1.0</v>
      </c>
      <c r="AN311" s="705" t="s">
        <v>166</v>
      </c>
      <c r="AO311" s="705" t="s">
        <v>232</v>
      </c>
      <c r="AP311" s="507" t="s">
        <v>166</v>
      </c>
      <c r="AQ311" s="507" t="s">
        <v>166</v>
      </c>
      <c r="AR311" s="48" t="s">
        <v>5039</v>
      </c>
      <c r="AS311" s="266" t="s">
        <v>166</v>
      </c>
      <c r="AT311" s="266">
        <v>3.0</v>
      </c>
      <c r="AU311" s="266">
        <v>1.0</v>
      </c>
      <c r="AV311" s="266" t="s">
        <v>166</v>
      </c>
      <c r="AW311" s="266">
        <v>1.0</v>
      </c>
      <c r="AX311" s="266">
        <v>1.0</v>
      </c>
      <c r="AY311" s="266">
        <v>1.0</v>
      </c>
      <c r="AZ311" s="266">
        <v>2.0</v>
      </c>
      <c r="BA311" s="266" t="s">
        <v>166</v>
      </c>
      <c r="BB311" s="266" t="s">
        <v>166</v>
      </c>
      <c r="BC311" s="266" t="s">
        <v>166</v>
      </c>
      <c r="BD311" s="266" t="s">
        <v>166</v>
      </c>
      <c r="BE311" s="48" t="s">
        <v>170</v>
      </c>
      <c r="BF311" s="48" t="s">
        <v>170</v>
      </c>
      <c r="BG311" s="48" t="s">
        <v>170</v>
      </c>
      <c r="BH311" s="48" t="s">
        <v>170</v>
      </c>
      <c r="BI311" s="698" t="s">
        <v>170</v>
      </c>
      <c r="BJ311" s="698"/>
      <c r="BK311" s="394"/>
      <c r="BL311" s="394"/>
      <c r="BM311" s="394"/>
      <c r="BN311" s="394"/>
      <c r="BO311" s="394"/>
      <c r="BP311" s="394"/>
    </row>
    <row r="312">
      <c r="A312" s="266" t="s">
        <v>1688</v>
      </c>
      <c r="B312" s="48">
        <v>1700.0</v>
      </c>
      <c r="C312" s="266" t="s">
        <v>5326</v>
      </c>
      <c r="D312" s="452" t="str">
        <f t="shared" ref="D312:D315" si="48">HYPERLINK("https://www.gigabyte.com/","Gigabyte")</f>
        <v>Gigabyte</v>
      </c>
      <c r="E312" s="174" t="s">
        <v>5822</v>
      </c>
      <c r="F312" s="266">
        <v>230.0</v>
      </c>
      <c r="G312" s="266">
        <v>215.0</v>
      </c>
      <c r="H312" s="266">
        <v>4.0</v>
      </c>
      <c r="I312" s="266" t="s">
        <v>166</v>
      </c>
      <c r="J312" s="266">
        <v>1.0</v>
      </c>
      <c r="K312" s="266" t="s">
        <v>166</v>
      </c>
      <c r="L312" s="266" t="s">
        <v>166</v>
      </c>
      <c r="M312" s="266">
        <v>1.0</v>
      </c>
      <c r="N312" s="266" t="s">
        <v>166</v>
      </c>
      <c r="O312" s="266" t="s">
        <v>166</v>
      </c>
      <c r="P312" s="266" t="s">
        <v>166</v>
      </c>
      <c r="Q312" s="266" t="s">
        <v>166</v>
      </c>
      <c r="R312" s="266">
        <v>2.0</v>
      </c>
      <c r="S312" s="266" t="s">
        <v>3149</v>
      </c>
      <c r="T312" s="266">
        <v>64.0</v>
      </c>
      <c r="U312" s="266">
        <v>3200.0</v>
      </c>
      <c r="V312" s="266">
        <v>4.0</v>
      </c>
      <c r="W312" s="710" t="s">
        <v>5062</v>
      </c>
      <c r="X312" s="266">
        <v>4.0</v>
      </c>
      <c r="Y312" s="266">
        <v>2.0</v>
      </c>
      <c r="Z312" s="266" t="s">
        <v>166</v>
      </c>
      <c r="AA312" s="266" t="s">
        <v>166</v>
      </c>
      <c r="AB312" s="266" t="s">
        <v>166</v>
      </c>
      <c r="AC312" s="266" t="s">
        <v>166</v>
      </c>
      <c r="AD312" s="266" t="s">
        <v>166</v>
      </c>
      <c r="AE312" s="266" t="s">
        <v>166</v>
      </c>
      <c r="AF312" s="266">
        <f t="shared" si="1"/>
        <v>6</v>
      </c>
      <c r="AG312" s="266">
        <v>2.0</v>
      </c>
      <c r="AH312" s="266">
        <v>1.0</v>
      </c>
      <c r="AI312" s="266" t="s">
        <v>166</v>
      </c>
      <c r="AJ312" s="507">
        <v>1.0</v>
      </c>
      <c r="AK312" s="48" t="s">
        <v>5133</v>
      </c>
      <c r="AL312" s="705">
        <v>1.0</v>
      </c>
      <c r="AM312" s="48" t="s">
        <v>166</v>
      </c>
      <c r="AN312" s="48" t="s">
        <v>166</v>
      </c>
      <c r="AO312" s="48" t="s">
        <v>166</v>
      </c>
      <c r="AP312" s="266" t="s">
        <v>166</v>
      </c>
      <c r="AQ312" s="266" t="s">
        <v>166</v>
      </c>
      <c r="AR312" s="48" t="s">
        <v>5039</v>
      </c>
      <c r="AS312" s="266" t="s">
        <v>166</v>
      </c>
      <c r="AT312" s="266">
        <v>3.0</v>
      </c>
      <c r="AU312" s="266">
        <v>2.0</v>
      </c>
      <c r="AV312" s="266" t="s">
        <v>166</v>
      </c>
      <c r="AW312" s="266">
        <v>1.0</v>
      </c>
      <c r="AX312" s="266" t="s">
        <v>166</v>
      </c>
      <c r="AY312" s="266">
        <v>1.0</v>
      </c>
      <c r="AZ312" s="266">
        <v>3.0</v>
      </c>
      <c r="BA312" s="266">
        <v>1.0</v>
      </c>
      <c r="BB312" s="266" t="s">
        <v>166</v>
      </c>
      <c r="BC312" s="266" t="s">
        <v>166</v>
      </c>
      <c r="BD312" s="266" t="s">
        <v>166</v>
      </c>
      <c r="BE312" s="48" t="s">
        <v>5331</v>
      </c>
      <c r="BF312" s="48" t="s">
        <v>4973</v>
      </c>
      <c r="BG312" s="48" t="s">
        <v>4963</v>
      </c>
      <c r="BH312" s="48">
        <v>6.0</v>
      </c>
      <c r="BI312" s="698" t="s">
        <v>5823</v>
      </c>
      <c r="BJ312" s="698"/>
      <c r="BK312" s="394"/>
      <c r="BL312" s="394"/>
      <c r="BM312" s="394"/>
      <c r="BN312" s="394"/>
      <c r="BO312" s="394"/>
      <c r="BP312" s="394"/>
    </row>
    <row r="313">
      <c r="A313" s="266" t="s">
        <v>1688</v>
      </c>
      <c r="B313" s="48">
        <v>1700.0</v>
      </c>
      <c r="C313" s="266" t="s">
        <v>5326</v>
      </c>
      <c r="D313" s="452" t="str">
        <f t="shared" si="48"/>
        <v>Gigabyte</v>
      </c>
      <c r="E313" s="174" t="s">
        <v>5824</v>
      </c>
      <c r="F313" s="266">
        <v>244.0</v>
      </c>
      <c r="G313" s="266">
        <v>215.0</v>
      </c>
      <c r="H313" s="266">
        <v>4.0</v>
      </c>
      <c r="I313" s="266">
        <v>1.0</v>
      </c>
      <c r="J313" s="266">
        <v>2.0</v>
      </c>
      <c r="K313" s="266" t="s">
        <v>166</v>
      </c>
      <c r="L313" s="266" t="s">
        <v>166</v>
      </c>
      <c r="M313" s="266">
        <v>1.0</v>
      </c>
      <c r="N313" s="266" t="s">
        <v>166</v>
      </c>
      <c r="O313" s="266" t="s">
        <v>166</v>
      </c>
      <c r="P313" s="266" t="s">
        <v>166</v>
      </c>
      <c r="Q313" s="266" t="s">
        <v>166</v>
      </c>
      <c r="R313" s="266">
        <v>2.0</v>
      </c>
      <c r="S313" s="266" t="s">
        <v>3151</v>
      </c>
      <c r="T313" s="266">
        <v>96.0</v>
      </c>
      <c r="U313" s="266">
        <v>4800.0</v>
      </c>
      <c r="V313" s="266">
        <v>4.0</v>
      </c>
      <c r="W313" s="710" t="s">
        <v>4950</v>
      </c>
      <c r="X313" s="266">
        <v>2.0</v>
      </c>
      <c r="Y313" s="266">
        <v>2.0</v>
      </c>
      <c r="Z313" s="266" t="s">
        <v>166</v>
      </c>
      <c r="AA313" s="266" t="s">
        <v>166</v>
      </c>
      <c r="AB313" s="266" t="s">
        <v>166</v>
      </c>
      <c r="AC313" s="266" t="s">
        <v>166</v>
      </c>
      <c r="AD313" s="266" t="s">
        <v>166</v>
      </c>
      <c r="AE313" s="266" t="s">
        <v>166</v>
      </c>
      <c r="AF313" s="266">
        <f t="shared" si="1"/>
        <v>4</v>
      </c>
      <c r="AG313" s="266">
        <v>2.0</v>
      </c>
      <c r="AH313" s="266">
        <v>1.0</v>
      </c>
      <c r="AI313" s="266" t="s">
        <v>166</v>
      </c>
      <c r="AJ313" s="507">
        <v>1.0</v>
      </c>
      <c r="AK313" s="48" t="s">
        <v>5133</v>
      </c>
      <c r="AL313" s="705">
        <v>1.0</v>
      </c>
      <c r="AM313" s="48" t="s">
        <v>166</v>
      </c>
      <c r="AN313" s="48" t="s">
        <v>166</v>
      </c>
      <c r="AO313" s="48" t="s">
        <v>166</v>
      </c>
      <c r="AP313" s="266" t="s">
        <v>166</v>
      </c>
      <c r="AQ313" s="266" t="s">
        <v>166</v>
      </c>
      <c r="AR313" s="48" t="s">
        <v>5039</v>
      </c>
      <c r="AS313" s="266" t="s">
        <v>166</v>
      </c>
      <c r="AT313" s="266">
        <v>3.0</v>
      </c>
      <c r="AU313" s="266">
        <v>2.0</v>
      </c>
      <c r="AV313" s="266">
        <v>1.0</v>
      </c>
      <c r="AW313" s="266">
        <v>1.0</v>
      </c>
      <c r="AX313" s="266">
        <v>1.0</v>
      </c>
      <c r="AY313" s="266">
        <v>1.0</v>
      </c>
      <c r="AZ313" s="266">
        <v>3.0</v>
      </c>
      <c r="BA313" s="266" t="s">
        <v>166</v>
      </c>
      <c r="BB313" s="266" t="s">
        <v>166</v>
      </c>
      <c r="BC313" s="266" t="s">
        <v>166</v>
      </c>
      <c r="BD313" s="266" t="s">
        <v>166</v>
      </c>
      <c r="BE313" s="48" t="s">
        <v>5331</v>
      </c>
      <c r="BF313" s="48" t="s">
        <v>4954</v>
      </c>
      <c r="BG313" s="48" t="s">
        <v>4963</v>
      </c>
      <c r="BH313" s="48">
        <v>6.0</v>
      </c>
      <c r="BI313" s="698" t="s">
        <v>5205</v>
      </c>
      <c r="BJ313" s="698"/>
      <c r="BK313" s="394"/>
      <c r="BL313" s="394"/>
      <c r="BM313" s="394"/>
      <c r="BN313" s="394"/>
      <c r="BO313" s="394"/>
      <c r="BP313" s="394"/>
    </row>
    <row r="314">
      <c r="A314" s="266" t="s">
        <v>1688</v>
      </c>
      <c r="B314" s="48">
        <v>1700.0</v>
      </c>
      <c r="C314" s="266" t="s">
        <v>5326</v>
      </c>
      <c r="D314" s="452" t="str">
        <f t="shared" si="48"/>
        <v>Gigabyte</v>
      </c>
      <c r="E314" s="174" t="s">
        <v>5825</v>
      </c>
      <c r="F314" s="266">
        <v>230.0</v>
      </c>
      <c r="G314" s="266">
        <v>215.0</v>
      </c>
      <c r="H314" s="266">
        <v>4.0</v>
      </c>
      <c r="I314" s="266" t="s">
        <v>166</v>
      </c>
      <c r="J314" s="266">
        <v>1.0</v>
      </c>
      <c r="K314" s="266" t="s">
        <v>166</v>
      </c>
      <c r="L314" s="266" t="s">
        <v>166</v>
      </c>
      <c r="M314" s="266">
        <v>1.0</v>
      </c>
      <c r="N314" s="266" t="s">
        <v>166</v>
      </c>
      <c r="O314" s="266" t="s">
        <v>166</v>
      </c>
      <c r="P314" s="266" t="s">
        <v>166</v>
      </c>
      <c r="Q314" s="266" t="s">
        <v>166</v>
      </c>
      <c r="R314" s="266">
        <v>2.0</v>
      </c>
      <c r="S314" s="266" t="s">
        <v>3149</v>
      </c>
      <c r="T314" s="266">
        <v>64.0</v>
      </c>
      <c r="U314" s="266">
        <v>3200.0</v>
      </c>
      <c r="V314" s="266">
        <v>4.0</v>
      </c>
      <c r="W314" s="710" t="s">
        <v>5062</v>
      </c>
      <c r="X314" s="266">
        <v>4.0</v>
      </c>
      <c r="Y314" s="266">
        <v>2.0</v>
      </c>
      <c r="Z314" s="266" t="s">
        <v>166</v>
      </c>
      <c r="AA314" s="266" t="s">
        <v>166</v>
      </c>
      <c r="AB314" s="266" t="s">
        <v>166</v>
      </c>
      <c r="AC314" s="266" t="s">
        <v>166</v>
      </c>
      <c r="AD314" s="266" t="s">
        <v>166</v>
      </c>
      <c r="AE314" s="266" t="s">
        <v>166</v>
      </c>
      <c r="AF314" s="266">
        <f t="shared" si="1"/>
        <v>6</v>
      </c>
      <c r="AG314" s="266">
        <v>2.0</v>
      </c>
      <c r="AH314" s="266">
        <v>1.0</v>
      </c>
      <c r="AI314" s="266" t="s">
        <v>166</v>
      </c>
      <c r="AJ314" s="266">
        <v>1.0</v>
      </c>
      <c r="AK314" s="48" t="s">
        <v>5536</v>
      </c>
      <c r="AL314" s="48">
        <v>1.0</v>
      </c>
      <c r="AM314" s="48" t="s">
        <v>166</v>
      </c>
      <c r="AN314" s="48" t="s">
        <v>166</v>
      </c>
      <c r="AO314" s="48" t="s">
        <v>166</v>
      </c>
      <c r="AP314" s="266" t="s">
        <v>166</v>
      </c>
      <c r="AQ314" s="266" t="s">
        <v>166</v>
      </c>
      <c r="AR314" s="48" t="s">
        <v>5039</v>
      </c>
      <c r="AS314" s="266" t="s">
        <v>166</v>
      </c>
      <c r="AT314" s="266">
        <v>3.0</v>
      </c>
      <c r="AU314" s="266">
        <v>2.0</v>
      </c>
      <c r="AV314" s="266" t="s">
        <v>166</v>
      </c>
      <c r="AW314" s="266" t="s">
        <v>166</v>
      </c>
      <c r="AX314" s="266" t="s">
        <v>166</v>
      </c>
      <c r="AY314" s="266">
        <v>1.0</v>
      </c>
      <c r="AZ314" s="266">
        <v>3.0</v>
      </c>
      <c r="BA314" s="266">
        <v>1.0</v>
      </c>
      <c r="BB314" s="266" t="s">
        <v>166</v>
      </c>
      <c r="BC314" s="266" t="s">
        <v>166</v>
      </c>
      <c r="BD314" s="266" t="s">
        <v>166</v>
      </c>
      <c r="BE314" s="48" t="s">
        <v>5331</v>
      </c>
      <c r="BF314" s="48" t="s">
        <v>4973</v>
      </c>
      <c r="BG314" s="48" t="s">
        <v>4963</v>
      </c>
      <c r="BH314" s="48">
        <v>6.0</v>
      </c>
      <c r="BI314" s="698" t="s">
        <v>5823</v>
      </c>
      <c r="BJ314" s="698"/>
      <c r="BK314" s="394"/>
      <c r="BL314" s="394"/>
      <c r="BM314" s="394"/>
      <c r="BN314" s="394"/>
      <c r="BO314" s="394"/>
      <c r="BP314" s="394"/>
    </row>
    <row r="315">
      <c r="A315" s="266" t="s">
        <v>1688</v>
      </c>
      <c r="B315" s="48">
        <v>1700.0</v>
      </c>
      <c r="C315" s="266" t="s">
        <v>5326</v>
      </c>
      <c r="D315" s="452" t="str">
        <f t="shared" si="48"/>
        <v>Gigabyte</v>
      </c>
      <c r="E315" s="174" t="s">
        <v>5826</v>
      </c>
      <c r="F315" s="266">
        <v>230.0</v>
      </c>
      <c r="G315" s="266">
        <v>215.0</v>
      </c>
      <c r="H315" s="266">
        <v>4.0</v>
      </c>
      <c r="I315" s="266" t="s">
        <v>166</v>
      </c>
      <c r="J315" s="266">
        <v>1.0</v>
      </c>
      <c r="K315" s="266" t="s">
        <v>166</v>
      </c>
      <c r="L315" s="266" t="s">
        <v>166</v>
      </c>
      <c r="M315" s="266">
        <v>1.0</v>
      </c>
      <c r="N315" s="266" t="s">
        <v>166</v>
      </c>
      <c r="O315" s="266" t="s">
        <v>166</v>
      </c>
      <c r="P315" s="266" t="s">
        <v>166</v>
      </c>
      <c r="Q315" s="266" t="s">
        <v>166</v>
      </c>
      <c r="R315" s="266">
        <v>2.0</v>
      </c>
      <c r="S315" s="266" t="s">
        <v>3149</v>
      </c>
      <c r="T315" s="266">
        <v>64.0</v>
      </c>
      <c r="U315" s="266">
        <v>3200.0</v>
      </c>
      <c r="V315" s="266">
        <v>4.0</v>
      </c>
      <c r="W315" s="710" t="s">
        <v>5062</v>
      </c>
      <c r="X315" s="266">
        <v>4.0</v>
      </c>
      <c r="Y315" s="266">
        <v>2.0</v>
      </c>
      <c r="Z315" s="266" t="s">
        <v>166</v>
      </c>
      <c r="AA315" s="266" t="s">
        <v>166</v>
      </c>
      <c r="AB315" s="266" t="s">
        <v>166</v>
      </c>
      <c r="AC315" s="266" t="s">
        <v>166</v>
      </c>
      <c r="AD315" s="266" t="s">
        <v>166</v>
      </c>
      <c r="AE315" s="266" t="s">
        <v>166</v>
      </c>
      <c r="AF315" s="266">
        <f t="shared" si="1"/>
        <v>6</v>
      </c>
      <c r="AG315" s="266">
        <v>2.0</v>
      </c>
      <c r="AH315" s="266">
        <v>1.0</v>
      </c>
      <c r="AI315" s="266" t="s">
        <v>166</v>
      </c>
      <c r="AJ315" s="266">
        <v>1.0</v>
      </c>
      <c r="AK315" s="48" t="s">
        <v>5536</v>
      </c>
      <c r="AL315" s="48">
        <v>1.0</v>
      </c>
      <c r="AM315" s="48" t="s">
        <v>166</v>
      </c>
      <c r="AN315" s="48" t="s">
        <v>166</v>
      </c>
      <c r="AO315" s="48" t="s">
        <v>166</v>
      </c>
      <c r="AP315" s="266" t="s">
        <v>166</v>
      </c>
      <c r="AQ315" s="266" t="s">
        <v>166</v>
      </c>
      <c r="AR315" s="48" t="s">
        <v>5039</v>
      </c>
      <c r="AS315" s="266" t="s">
        <v>166</v>
      </c>
      <c r="AT315" s="266">
        <v>3.0</v>
      </c>
      <c r="AU315" s="266">
        <v>2.0</v>
      </c>
      <c r="AV315" s="266">
        <v>1.0</v>
      </c>
      <c r="AW315" s="266">
        <v>1.0</v>
      </c>
      <c r="AX315" s="266">
        <v>1.0</v>
      </c>
      <c r="AY315" s="266">
        <v>1.0</v>
      </c>
      <c r="AZ315" s="266">
        <v>3.0</v>
      </c>
      <c r="BA315" s="266">
        <v>1.0</v>
      </c>
      <c r="BB315" s="266" t="s">
        <v>166</v>
      </c>
      <c r="BC315" s="266" t="s">
        <v>166</v>
      </c>
      <c r="BD315" s="266" t="s">
        <v>166</v>
      </c>
      <c r="BE315" s="48" t="s">
        <v>5331</v>
      </c>
      <c r="BF315" s="48" t="s">
        <v>4973</v>
      </c>
      <c r="BG315" s="48" t="s">
        <v>4963</v>
      </c>
      <c r="BH315" s="48">
        <v>6.0</v>
      </c>
      <c r="BI315" s="698" t="s">
        <v>5823</v>
      </c>
      <c r="BJ315" s="698"/>
      <c r="BK315" s="394"/>
      <c r="BL315" s="394"/>
      <c r="BM315" s="394"/>
      <c r="BN315" s="394"/>
      <c r="BO315" s="394"/>
      <c r="BP315" s="394"/>
    </row>
    <row r="316">
      <c r="A316" s="266" t="s">
        <v>1688</v>
      </c>
      <c r="B316" s="48">
        <v>1700.0</v>
      </c>
      <c r="C316" s="266" t="s">
        <v>5326</v>
      </c>
      <c r="D316" s="174" t="s">
        <v>3565</v>
      </c>
      <c r="E316" s="174" t="s">
        <v>5827</v>
      </c>
      <c r="F316" s="266">
        <v>225.0</v>
      </c>
      <c r="G316" s="266">
        <v>205.0</v>
      </c>
      <c r="H316" s="266">
        <v>4.0</v>
      </c>
      <c r="I316" s="266" t="s">
        <v>166</v>
      </c>
      <c r="J316" s="266">
        <v>1.0</v>
      </c>
      <c r="K316" s="266" t="s">
        <v>166</v>
      </c>
      <c r="L316" s="266" t="s">
        <v>166</v>
      </c>
      <c r="M316" s="266">
        <v>1.0</v>
      </c>
      <c r="N316" s="266" t="s">
        <v>166</v>
      </c>
      <c r="O316" s="266" t="s">
        <v>166</v>
      </c>
      <c r="P316" s="266" t="s">
        <v>166</v>
      </c>
      <c r="Q316" s="266" t="s">
        <v>166</v>
      </c>
      <c r="R316" s="266">
        <v>2.0</v>
      </c>
      <c r="S316" s="266" t="s">
        <v>3149</v>
      </c>
      <c r="T316" s="266">
        <v>64.0</v>
      </c>
      <c r="U316" s="266">
        <v>3200.0</v>
      </c>
      <c r="V316" s="266">
        <v>3.0</v>
      </c>
      <c r="W316" s="710" t="s">
        <v>5062</v>
      </c>
      <c r="X316" s="266">
        <v>4.0</v>
      </c>
      <c r="Y316" s="266">
        <v>2.0</v>
      </c>
      <c r="Z316" s="266" t="s">
        <v>166</v>
      </c>
      <c r="AA316" s="266" t="s">
        <v>166</v>
      </c>
      <c r="AB316" s="266" t="s">
        <v>166</v>
      </c>
      <c r="AC316" s="266" t="s">
        <v>166</v>
      </c>
      <c r="AD316" s="266" t="s">
        <v>166</v>
      </c>
      <c r="AE316" s="266" t="s">
        <v>166</v>
      </c>
      <c r="AF316" s="266">
        <f t="shared" si="1"/>
        <v>6</v>
      </c>
      <c r="AG316" s="266">
        <v>1.0</v>
      </c>
      <c r="AH316" s="266">
        <v>1.0</v>
      </c>
      <c r="AI316" s="266" t="s">
        <v>166</v>
      </c>
      <c r="AJ316" s="266">
        <v>1.0</v>
      </c>
      <c r="AK316" s="48" t="s">
        <v>170</v>
      </c>
      <c r="AL316" s="48">
        <v>1.0</v>
      </c>
      <c r="AM316" s="48" t="s">
        <v>166</v>
      </c>
      <c r="AN316" s="705" t="s">
        <v>166</v>
      </c>
      <c r="AO316" s="705" t="s">
        <v>166</v>
      </c>
      <c r="AP316" s="507" t="s">
        <v>166</v>
      </c>
      <c r="AQ316" s="507" t="s">
        <v>166</v>
      </c>
      <c r="AR316" s="48" t="s">
        <v>5039</v>
      </c>
      <c r="AS316" s="266" t="s">
        <v>166</v>
      </c>
      <c r="AT316" s="266">
        <v>3.0</v>
      </c>
      <c r="AU316" s="266" t="s">
        <v>166</v>
      </c>
      <c r="AV316" s="266">
        <v>1.0</v>
      </c>
      <c r="AW316" s="266">
        <v>1.0</v>
      </c>
      <c r="AX316" s="266" t="s">
        <v>166</v>
      </c>
      <c r="AY316" s="266">
        <v>1.0</v>
      </c>
      <c r="AZ316" s="266">
        <v>4.0</v>
      </c>
      <c r="BA316" s="266" t="s">
        <v>166</v>
      </c>
      <c r="BB316" s="266" t="s">
        <v>166</v>
      </c>
      <c r="BC316" s="266" t="s">
        <v>174</v>
      </c>
      <c r="BD316" s="266" t="s">
        <v>166</v>
      </c>
      <c r="BE316" s="48" t="s">
        <v>170</v>
      </c>
      <c r="BF316" s="48" t="s">
        <v>5226</v>
      </c>
      <c r="BG316" s="48" t="s">
        <v>4963</v>
      </c>
      <c r="BH316" s="48">
        <v>8.0</v>
      </c>
      <c r="BI316" s="698" t="s">
        <v>5009</v>
      </c>
      <c r="BJ316" s="698"/>
      <c r="BK316" s="394"/>
      <c r="BL316" s="394"/>
      <c r="BM316" s="394"/>
      <c r="BN316" s="394"/>
      <c r="BO316" s="394"/>
      <c r="BP316" s="394"/>
    </row>
    <row r="317">
      <c r="A317" s="266" t="s">
        <v>1688</v>
      </c>
      <c r="B317" s="48">
        <v>1700.0</v>
      </c>
      <c r="C317" s="266" t="s">
        <v>5326</v>
      </c>
      <c r="D317" s="452" t="str">
        <f t="shared" ref="D317:D323" si="49">HYPERLINK("https://www.msi.com/index.php","MSI")</f>
        <v>MSI</v>
      </c>
      <c r="E317" s="174" t="s">
        <v>5828</v>
      </c>
      <c r="F317" s="266">
        <v>244.0</v>
      </c>
      <c r="G317" s="266">
        <v>211.0</v>
      </c>
      <c r="H317" s="266">
        <v>4.0</v>
      </c>
      <c r="I317" s="266" t="s">
        <v>166</v>
      </c>
      <c r="J317" s="266">
        <v>1.0</v>
      </c>
      <c r="K317" s="266" t="s">
        <v>166</v>
      </c>
      <c r="L317" s="266" t="s">
        <v>166</v>
      </c>
      <c r="M317" s="266">
        <v>1.0</v>
      </c>
      <c r="N317" s="266" t="s">
        <v>166</v>
      </c>
      <c r="O317" s="266" t="s">
        <v>166</v>
      </c>
      <c r="P317" s="266" t="s">
        <v>166</v>
      </c>
      <c r="Q317" s="266" t="s">
        <v>166</v>
      </c>
      <c r="R317" s="266">
        <v>2.0</v>
      </c>
      <c r="S317" s="266" t="s">
        <v>3149</v>
      </c>
      <c r="T317" s="266">
        <v>64.0</v>
      </c>
      <c r="U317" s="266">
        <v>3200.0</v>
      </c>
      <c r="V317" s="266">
        <v>4.0</v>
      </c>
      <c r="W317" s="710" t="s">
        <v>4950</v>
      </c>
      <c r="X317" s="266">
        <v>4.0</v>
      </c>
      <c r="Y317" s="266">
        <v>2.0</v>
      </c>
      <c r="Z317" s="266" t="s">
        <v>166</v>
      </c>
      <c r="AA317" s="266" t="s">
        <v>166</v>
      </c>
      <c r="AB317" s="266" t="s">
        <v>166</v>
      </c>
      <c r="AC317" s="266" t="s">
        <v>166</v>
      </c>
      <c r="AD317" s="266" t="s">
        <v>166</v>
      </c>
      <c r="AE317" s="266" t="s">
        <v>166</v>
      </c>
      <c r="AF317" s="266">
        <f t="shared" si="1"/>
        <v>6</v>
      </c>
      <c r="AG317" s="266">
        <v>1.0</v>
      </c>
      <c r="AH317" s="266">
        <v>1.0</v>
      </c>
      <c r="AI317" s="266" t="s">
        <v>166</v>
      </c>
      <c r="AJ317" s="266">
        <v>1.0</v>
      </c>
      <c r="AK317" s="48" t="s">
        <v>5133</v>
      </c>
      <c r="AL317" s="48">
        <v>1.0</v>
      </c>
      <c r="AM317" s="48">
        <v>1.0</v>
      </c>
      <c r="AN317" s="705" t="s">
        <v>166</v>
      </c>
      <c r="AO317" s="705" t="s">
        <v>232</v>
      </c>
      <c r="AP317" s="507" t="s">
        <v>166</v>
      </c>
      <c r="AQ317" s="507" t="s">
        <v>166</v>
      </c>
      <c r="AR317" s="48" t="s">
        <v>5039</v>
      </c>
      <c r="AS317" s="266" t="s">
        <v>166</v>
      </c>
      <c r="AT317" s="266">
        <v>3.0</v>
      </c>
      <c r="AU317" s="266">
        <v>1.0</v>
      </c>
      <c r="AV317" s="266" t="s">
        <v>166</v>
      </c>
      <c r="AW317" s="266">
        <v>1.0</v>
      </c>
      <c r="AX317" s="266" t="s">
        <v>166</v>
      </c>
      <c r="AY317" s="266">
        <v>1.0</v>
      </c>
      <c r="AZ317" s="266">
        <v>2.0</v>
      </c>
      <c r="BA317" s="266" t="s">
        <v>166</v>
      </c>
      <c r="BB317" s="266" t="s">
        <v>166</v>
      </c>
      <c r="BC317" s="266" t="s">
        <v>174</v>
      </c>
      <c r="BD317" s="266" t="s">
        <v>166</v>
      </c>
      <c r="BE317" s="48" t="s">
        <v>5328</v>
      </c>
      <c r="BF317" s="48" t="s">
        <v>5226</v>
      </c>
      <c r="BG317" s="48" t="s">
        <v>4955</v>
      </c>
      <c r="BH317" s="48">
        <v>8.0</v>
      </c>
      <c r="BI317" s="698" t="s">
        <v>5456</v>
      </c>
      <c r="BJ317" s="698"/>
      <c r="BK317" s="394"/>
      <c r="BL317" s="394"/>
      <c r="BM317" s="394"/>
      <c r="BN317" s="394"/>
      <c r="BO317" s="394"/>
      <c r="BP317" s="394"/>
    </row>
    <row r="318">
      <c r="A318" s="266" t="s">
        <v>1688</v>
      </c>
      <c r="B318" s="48">
        <v>1700.0</v>
      </c>
      <c r="C318" s="266" t="s">
        <v>5326</v>
      </c>
      <c r="D318" s="452" t="str">
        <f t="shared" si="49"/>
        <v>MSI</v>
      </c>
      <c r="E318" s="737" t="s">
        <v>5829</v>
      </c>
      <c r="F318" s="527">
        <v>244.0</v>
      </c>
      <c r="G318" s="527">
        <v>220.0</v>
      </c>
      <c r="H318" s="527">
        <v>4.0</v>
      </c>
      <c r="I318" s="527">
        <v>1.0</v>
      </c>
      <c r="J318" s="527">
        <v>2.0</v>
      </c>
      <c r="K318" s="527" t="s">
        <v>166</v>
      </c>
      <c r="L318" s="527" t="s">
        <v>166</v>
      </c>
      <c r="M318" s="527">
        <v>1.0</v>
      </c>
      <c r="N318" s="527" t="s">
        <v>166</v>
      </c>
      <c r="O318" s="527" t="s">
        <v>166</v>
      </c>
      <c r="P318" s="527" t="s">
        <v>166</v>
      </c>
      <c r="Q318" s="527" t="s">
        <v>166</v>
      </c>
      <c r="R318" s="527">
        <v>2.0</v>
      </c>
      <c r="S318" s="266" t="s">
        <v>3151</v>
      </c>
      <c r="T318" s="527">
        <v>96.0</v>
      </c>
      <c r="U318" s="527">
        <v>4800.0</v>
      </c>
      <c r="V318" s="527">
        <v>4.0</v>
      </c>
      <c r="W318" s="710" t="s">
        <v>4950</v>
      </c>
      <c r="X318" s="527">
        <v>2.0</v>
      </c>
      <c r="Y318" s="527">
        <v>2.0</v>
      </c>
      <c r="Z318" s="527" t="s">
        <v>166</v>
      </c>
      <c r="AA318" s="527" t="s">
        <v>166</v>
      </c>
      <c r="AB318" s="527" t="s">
        <v>166</v>
      </c>
      <c r="AC318" s="527" t="s">
        <v>166</v>
      </c>
      <c r="AD318" s="527" t="s">
        <v>166</v>
      </c>
      <c r="AE318" s="527" t="s">
        <v>166</v>
      </c>
      <c r="AF318" s="266">
        <f t="shared" si="1"/>
        <v>4</v>
      </c>
      <c r="AG318" s="527">
        <v>2.0</v>
      </c>
      <c r="AH318" s="527">
        <v>1.0</v>
      </c>
      <c r="AI318" s="527" t="s">
        <v>166</v>
      </c>
      <c r="AJ318" s="266">
        <v>1.0</v>
      </c>
      <c r="AK318" s="48" t="s">
        <v>4959</v>
      </c>
      <c r="AL318" s="722">
        <v>1.0</v>
      </c>
      <c r="AM318" s="722" t="s">
        <v>166</v>
      </c>
      <c r="AN318" s="48" t="s">
        <v>166</v>
      </c>
      <c r="AO318" s="48" t="s">
        <v>166</v>
      </c>
      <c r="AP318" s="266" t="s">
        <v>166</v>
      </c>
      <c r="AQ318" s="266" t="s">
        <v>166</v>
      </c>
      <c r="AR318" s="48" t="s">
        <v>5039</v>
      </c>
      <c r="AS318" s="527" t="s">
        <v>166</v>
      </c>
      <c r="AT318" s="527">
        <v>3.0</v>
      </c>
      <c r="AU318" s="527">
        <v>2.0</v>
      </c>
      <c r="AV318" s="266">
        <v>1.0</v>
      </c>
      <c r="AW318" s="266">
        <v>1.0</v>
      </c>
      <c r="AX318" s="527">
        <v>1.0</v>
      </c>
      <c r="AY318" s="527">
        <v>1.0</v>
      </c>
      <c r="AZ318" s="527">
        <v>2.0</v>
      </c>
      <c r="BA318" s="527" t="s">
        <v>166</v>
      </c>
      <c r="BB318" s="527" t="s">
        <v>166</v>
      </c>
      <c r="BC318" s="527" t="s">
        <v>174</v>
      </c>
      <c r="BD318" s="527" t="s">
        <v>166</v>
      </c>
      <c r="BE318" s="722" t="s">
        <v>5678</v>
      </c>
      <c r="BF318" s="722" t="s">
        <v>170</v>
      </c>
      <c r="BG318" s="722" t="s">
        <v>170</v>
      </c>
      <c r="BH318" s="722" t="s">
        <v>170</v>
      </c>
      <c r="BI318" s="725" t="s">
        <v>170</v>
      </c>
      <c r="BJ318" s="725"/>
      <c r="BK318" s="394"/>
      <c r="BL318" s="394"/>
      <c r="BM318" s="394"/>
      <c r="BN318" s="394"/>
      <c r="BO318" s="394"/>
      <c r="BP318" s="394"/>
    </row>
    <row r="319">
      <c r="A319" s="266" t="s">
        <v>1688</v>
      </c>
      <c r="B319" s="48">
        <v>1700.0</v>
      </c>
      <c r="C319" s="266" t="s">
        <v>5326</v>
      </c>
      <c r="D319" s="452" t="str">
        <f t="shared" si="49"/>
        <v>MSI</v>
      </c>
      <c r="E319" s="737" t="s">
        <v>5830</v>
      </c>
      <c r="F319" s="527">
        <v>244.0</v>
      </c>
      <c r="G319" s="527">
        <v>220.0</v>
      </c>
      <c r="H319" s="527">
        <v>4.0</v>
      </c>
      <c r="I319" s="527">
        <v>1.0</v>
      </c>
      <c r="J319" s="527">
        <v>2.0</v>
      </c>
      <c r="K319" s="527" t="s">
        <v>166</v>
      </c>
      <c r="L319" s="527" t="s">
        <v>166</v>
      </c>
      <c r="M319" s="527">
        <v>1.0</v>
      </c>
      <c r="N319" s="527" t="s">
        <v>166</v>
      </c>
      <c r="O319" s="527" t="s">
        <v>166</v>
      </c>
      <c r="P319" s="527" t="s">
        <v>166</v>
      </c>
      <c r="Q319" s="527" t="s">
        <v>166</v>
      </c>
      <c r="R319" s="266">
        <v>2.0</v>
      </c>
      <c r="S319" s="266" t="s">
        <v>3149</v>
      </c>
      <c r="T319" s="266">
        <v>64.0</v>
      </c>
      <c r="U319" s="266">
        <v>3200.0</v>
      </c>
      <c r="V319" s="527">
        <v>4.0</v>
      </c>
      <c r="W319" s="710" t="s">
        <v>4950</v>
      </c>
      <c r="X319" s="527">
        <v>2.0</v>
      </c>
      <c r="Y319" s="527">
        <v>2.0</v>
      </c>
      <c r="Z319" s="527" t="s">
        <v>166</v>
      </c>
      <c r="AA319" s="527" t="s">
        <v>166</v>
      </c>
      <c r="AB319" s="527" t="s">
        <v>166</v>
      </c>
      <c r="AC319" s="527" t="s">
        <v>166</v>
      </c>
      <c r="AD319" s="527" t="s">
        <v>166</v>
      </c>
      <c r="AE319" s="527" t="s">
        <v>166</v>
      </c>
      <c r="AF319" s="266">
        <f t="shared" si="1"/>
        <v>4</v>
      </c>
      <c r="AG319" s="527">
        <v>2.0</v>
      </c>
      <c r="AH319" s="527">
        <v>1.0</v>
      </c>
      <c r="AI319" s="527" t="s">
        <v>166</v>
      </c>
      <c r="AJ319" s="266">
        <v>1.0</v>
      </c>
      <c r="AK319" s="48" t="s">
        <v>4959</v>
      </c>
      <c r="AL319" s="722">
        <v>1.0</v>
      </c>
      <c r="AM319" s="722" t="s">
        <v>166</v>
      </c>
      <c r="AN319" s="48" t="s">
        <v>166</v>
      </c>
      <c r="AO319" s="48" t="s">
        <v>166</v>
      </c>
      <c r="AP319" s="266" t="s">
        <v>166</v>
      </c>
      <c r="AQ319" s="266" t="s">
        <v>166</v>
      </c>
      <c r="AR319" s="48" t="s">
        <v>5039</v>
      </c>
      <c r="AS319" s="527" t="s">
        <v>166</v>
      </c>
      <c r="AT319" s="527">
        <v>3.0</v>
      </c>
      <c r="AU319" s="527">
        <v>2.0</v>
      </c>
      <c r="AV319" s="266">
        <v>1.0</v>
      </c>
      <c r="AW319" s="266">
        <v>1.0</v>
      </c>
      <c r="AX319" s="527">
        <v>1.0</v>
      </c>
      <c r="AY319" s="527">
        <v>1.0</v>
      </c>
      <c r="AZ319" s="527">
        <v>2.0</v>
      </c>
      <c r="BA319" s="527" t="s">
        <v>166</v>
      </c>
      <c r="BB319" s="527" t="s">
        <v>166</v>
      </c>
      <c r="BC319" s="527" t="s">
        <v>174</v>
      </c>
      <c r="BD319" s="527" t="s">
        <v>166</v>
      </c>
      <c r="BE319" s="722" t="s">
        <v>5678</v>
      </c>
      <c r="BF319" s="722" t="s">
        <v>170</v>
      </c>
      <c r="BG319" s="722" t="s">
        <v>170</v>
      </c>
      <c r="BH319" s="722" t="s">
        <v>170</v>
      </c>
      <c r="BI319" s="725" t="s">
        <v>170</v>
      </c>
      <c r="BJ319" s="725"/>
      <c r="BK319" s="394"/>
      <c r="BL319" s="394"/>
      <c r="BM319" s="394"/>
      <c r="BN319" s="394"/>
      <c r="BO319" s="394"/>
      <c r="BP319" s="394"/>
    </row>
    <row r="320">
      <c r="A320" s="266" t="s">
        <v>1688</v>
      </c>
      <c r="B320" s="48">
        <v>1700.0</v>
      </c>
      <c r="C320" s="266" t="s">
        <v>5326</v>
      </c>
      <c r="D320" s="452" t="str">
        <f t="shared" si="49"/>
        <v>MSI</v>
      </c>
      <c r="E320" s="737" t="s">
        <v>5831</v>
      </c>
      <c r="F320" s="527">
        <v>236.0</v>
      </c>
      <c r="G320" s="527">
        <v>200.0</v>
      </c>
      <c r="H320" s="527">
        <v>4.0</v>
      </c>
      <c r="I320" s="527" t="s">
        <v>166</v>
      </c>
      <c r="J320" s="527">
        <v>1.0</v>
      </c>
      <c r="K320" s="527" t="s">
        <v>166</v>
      </c>
      <c r="L320" s="527" t="s">
        <v>166</v>
      </c>
      <c r="M320" s="527">
        <v>1.0</v>
      </c>
      <c r="N320" s="527" t="s">
        <v>166</v>
      </c>
      <c r="O320" s="527" t="s">
        <v>166</v>
      </c>
      <c r="P320" s="527" t="s">
        <v>166</v>
      </c>
      <c r="Q320" s="527" t="s">
        <v>166</v>
      </c>
      <c r="R320" s="266">
        <v>2.0</v>
      </c>
      <c r="S320" s="266" t="s">
        <v>3149</v>
      </c>
      <c r="T320" s="266">
        <v>64.0</v>
      </c>
      <c r="U320" s="527">
        <v>3200.0</v>
      </c>
      <c r="V320" s="527">
        <v>4.0</v>
      </c>
      <c r="W320" s="710" t="s">
        <v>5062</v>
      </c>
      <c r="X320" s="527">
        <v>4.0</v>
      </c>
      <c r="Y320" s="527">
        <v>2.0</v>
      </c>
      <c r="Z320" s="527" t="s">
        <v>166</v>
      </c>
      <c r="AA320" s="527" t="s">
        <v>166</v>
      </c>
      <c r="AB320" s="527" t="s">
        <v>166</v>
      </c>
      <c r="AC320" s="527" t="s">
        <v>166</v>
      </c>
      <c r="AD320" s="527" t="s">
        <v>166</v>
      </c>
      <c r="AE320" s="527" t="s">
        <v>166</v>
      </c>
      <c r="AF320" s="266">
        <f t="shared" si="1"/>
        <v>6</v>
      </c>
      <c r="AG320" s="527">
        <v>2.0</v>
      </c>
      <c r="AH320" s="527">
        <v>1.0</v>
      </c>
      <c r="AI320" s="527" t="s">
        <v>166</v>
      </c>
      <c r="AJ320" s="266">
        <v>1.0</v>
      </c>
      <c r="AK320" s="48" t="s">
        <v>4959</v>
      </c>
      <c r="AL320" s="722">
        <v>1.0</v>
      </c>
      <c r="AM320" s="722" t="s">
        <v>166</v>
      </c>
      <c r="AN320" s="722" t="s">
        <v>166</v>
      </c>
      <c r="AO320" s="722" t="s">
        <v>166</v>
      </c>
      <c r="AP320" s="527" t="s">
        <v>166</v>
      </c>
      <c r="AQ320" s="527" t="s">
        <v>166</v>
      </c>
      <c r="AR320" s="48" t="s">
        <v>5039</v>
      </c>
      <c r="AS320" s="527" t="s">
        <v>166</v>
      </c>
      <c r="AT320" s="527">
        <v>3.0</v>
      </c>
      <c r="AU320" s="527">
        <v>1.0</v>
      </c>
      <c r="AV320" s="527" t="s">
        <v>166</v>
      </c>
      <c r="AW320" s="266">
        <v>1.0</v>
      </c>
      <c r="AX320" s="527" t="s">
        <v>166</v>
      </c>
      <c r="AY320" s="527">
        <v>1.0</v>
      </c>
      <c r="AZ320" s="527">
        <v>3.0</v>
      </c>
      <c r="BA320" s="527">
        <v>1.0</v>
      </c>
      <c r="BB320" s="527" t="s">
        <v>166</v>
      </c>
      <c r="BC320" s="527" t="s">
        <v>174</v>
      </c>
      <c r="BD320" s="527" t="s">
        <v>166</v>
      </c>
      <c r="BE320" s="722" t="s">
        <v>170</v>
      </c>
      <c r="BF320" s="722" t="s">
        <v>170</v>
      </c>
      <c r="BG320" s="722" t="s">
        <v>170</v>
      </c>
      <c r="BH320" s="722" t="s">
        <v>170</v>
      </c>
      <c r="BI320" s="725" t="s">
        <v>170</v>
      </c>
      <c r="BJ320" s="725"/>
      <c r="BK320" s="394"/>
      <c r="BL320" s="394"/>
      <c r="BM320" s="394"/>
      <c r="BN320" s="394"/>
      <c r="BO320" s="394"/>
      <c r="BP320" s="394"/>
    </row>
    <row r="321">
      <c r="A321" s="266" t="s">
        <v>1688</v>
      </c>
      <c r="B321" s="48">
        <v>1700.0</v>
      </c>
      <c r="C321" s="266" t="s">
        <v>5326</v>
      </c>
      <c r="D321" s="452" t="str">
        <f t="shared" si="49"/>
        <v>MSI</v>
      </c>
      <c r="E321" s="737" t="s">
        <v>5832</v>
      </c>
      <c r="F321" s="527">
        <v>244.0</v>
      </c>
      <c r="G321" s="527">
        <v>211.0</v>
      </c>
      <c r="H321" s="527">
        <v>4.0</v>
      </c>
      <c r="I321" s="527" t="s">
        <v>166</v>
      </c>
      <c r="J321" s="527">
        <v>1.0</v>
      </c>
      <c r="K321" s="527" t="s">
        <v>166</v>
      </c>
      <c r="L321" s="527" t="s">
        <v>166</v>
      </c>
      <c r="M321" s="527">
        <v>1.0</v>
      </c>
      <c r="N321" s="527" t="s">
        <v>166</v>
      </c>
      <c r="O321" s="527" t="s">
        <v>166</v>
      </c>
      <c r="P321" s="527" t="s">
        <v>166</v>
      </c>
      <c r="Q321" s="527" t="s">
        <v>166</v>
      </c>
      <c r="R321" s="266">
        <v>2.0</v>
      </c>
      <c r="S321" s="266" t="s">
        <v>3151</v>
      </c>
      <c r="T321" s="266">
        <v>96.0</v>
      </c>
      <c r="U321" s="527">
        <v>5600.0</v>
      </c>
      <c r="V321" s="527">
        <v>4.0</v>
      </c>
      <c r="W321" s="710" t="s">
        <v>4950</v>
      </c>
      <c r="X321" s="527">
        <v>4.0</v>
      </c>
      <c r="Y321" s="527">
        <v>2.0</v>
      </c>
      <c r="Z321" s="527" t="s">
        <v>166</v>
      </c>
      <c r="AA321" s="527" t="s">
        <v>166</v>
      </c>
      <c r="AB321" s="527" t="s">
        <v>166</v>
      </c>
      <c r="AC321" s="527" t="s">
        <v>166</v>
      </c>
      <c r="AD321" s="527" t="s">
        <v>166</v>
      </c>
      <c r="AE321" s="527" t="s">
        <v>166</v>
      </c>
      <c r="AF321" s="266">
        <f t="shared" si="1"/>
        <v>6</v>
      </c>
      <c r="AG321" s="527">
        <v>1.0</v>
      </c>
      <c r="AH321" s="527">
        <v>1.0</v>
      </c>
      <c r="AI321" s="527" t="s">
        <v>166</v>
      </c>
      <c r="AJ321" s="266">
        <v>1.0</v>
      </c>
      <c r="AK321" s="48" t="s">
        <v>5133</v>
      </c>
      <c r="AL321" s="722">
        <v>1.0</v>
      </c>
      <c r="AM321" s="722">
        <v>1.0</v>
      </c>
      <c r="AN321" s="722" t="s">
        <v>166</v>
      </c>
      <c r="AO321" s="722" t="s">
        <v>232</v>
      </c>
      <c r="AP321" s="527" t="s">
        <v>166</v>
      </c>
      <c r="AQ321" s="527" t="s">
        <v>166</v>
      </c>
      <c r="AR321" s="48" t="s">
        <v>5039</v>
      </c>
      <c r="AS321" s="527" t="s">
        <v>166</v>
      </c>
      <c r="AT321" s="527">
        <v>3.0</v>
      </c>
      <c r="AU321" s="527">
        <v>1.0</v>
      </c>
      <c r="AV321" s="527">
        <v>1.0</v>
      </c>
      <c r="AW321" s="266">
        <v>1.0</v>
      </c>
      <c r="AX321" s="527" t="s">
        <v>166</v>
      </c>
      <c r="AY321" s="527">
        <v>1.0</v>
      </c>
      <c r="AZ321" s="527">
        <v>2.0</v>
      </c>
      <c r="BA321" s="527">
        <v>1.0</v>
      </c>
      <c r="BB321" s="527">
        <v>2.0</v>
      </c>
      <c r="BC321" s="527" t="s">
        <v>174</v>
      </c>
      <c r="BD321" s="527" t="s">
        <v>166</v>
      </c>
      <c r="BE321" s="722" t="s">
        <v>170</v>
      </c>
      <c r="BF321" s="722" t="s">
        <v>170</v>
      </c>
      <c r="BG321" s="722" t="s">
        <v>170</v>
      </c>
      <c r="BH321" s="722" t="s">
        <v>170</v>
      </c>
      <c r="BI321" s="725" t="s">
        <v>170</v>
      </c>
      <c r="BJ321" s="725"/>
      <c r="BK321" s="394"/>
      <c r="BL321" s="394"/>
      <c r="BM321" s="394"/>
      <c r="BN321" s="394"/>
      <c r="BO321" s="394"/>
      <c r="BP321" s="394"/>
    </row>
    <row r="322">
      <c r="A322" s="266" t="s">
        <v>1688</v>
      </c>
      <c r="B322" s="48">
        <v>1700.0</v>
      </c>
      <c r="C322" s="266" t="s">
        <v>5326</v>
      </c>
      <c r="D322" s="452" t="str">
        <f t="shared" si="49"/>
        <v>MSI</v>
      </c>
      <c r="E322" s="737" t="s">
        <v>5833</v>
      </c>
      <c r="F322" s="527">
        <v>236.0</v>
      </c>
      <c r="G322" s="527">
        <v>202.0</v>
      </c>
      <c r="H322" s="527">
        <v>4.0</v>
      </c>
      <c r="I322" s="527" t="s">
        <v>166</v>
      </c>
      <c r="J322" s="527">
        <v>1.0</v>
      </c>
      <c r="K322" s="527" t="s">
        <v>166</v>
      </c>
      <c r="L322" s="527" t="s">
        <v>166</v>
      </c>
      <c r="M322" s="527">
        <v>1.0</v>
      </c>
      <c r="N322" s="527" t="s">
        <v>166</v>
      </c>
      <c r="O322" s="527" t="s">
        <v>166</v>
      </c>
      <c r="P322" s="527" t="s">
        <v>166</v>
      </c>
      <c r="Q322" s="527" t="s">
        <v>166</v>
      </c>
      <c r="R322" s="266">
        <v>2.0</v>
      </c>
      <c r="S322" s="266" t="s">
        <v>3149</v>
      </c>
      <c r="T322" s="266">
        <v>64.0</v>
      </c>
      <c r="U322" s="527">
        <v>3200.0</v>
      </c>
      <c r="V322" s="527">
        <v>4.0</v>
      </c>
      <c r="W322" s="710" t="s">
        <v>4950</v>
      </c>
      <c r="X322" s="527">
        <v>4.0</v>
      </c>
      <c r="Y322" s="527">
        <v>2.0</v>
      </c>
      <c r="Z322" s="527" t="s">
        <v>166</v>
      </c>
      <c r="AA322" s="527" t="s">
        <v>166</v>
      </c>
      <c r="AB322" s="527" t="s">
        <v>166</v>
      </c>
      <c r="AC322" s="527" t="s">
        <v>166</v>
      </c>
      <c r="AD322" s="527" t="s">
        <v>166</v>
      </c>
      <c r="AE322" s="527" t="s">
        <v>166</v>
      </c>
      <c r="AF322" s="266">
        <f t="shared" si="1"/>
        <v>6</v>
      </c>
      <c r="AG322" s="527">
        <v>1.0</v>
      </c>
      <c r="AH322" s="527">
        <v>1.0</v>
      </c>
      <c r="AI322" s="527" t="s">
        <v>166</v>
      </c>
      <c r="AJ322" s="266">
        <v>1.0</v>
      </c>
      <c r="AK322" s="48" t="s">
        <v>5133</v>
      </c>
      <c r="AL322" s="722">
        <v>1.0</v>
      </c>
      <c r="AM322" s="722">
        <v>1.0</v>
      </c>
      <c r="AN322" s="722" t="s">
        <v>166</v>
      </c>
      <c r="AO322" s="722" t="s">
        <v>232</v>
      </c>
      <c r="AP322" s="527" t="s">
        <v>166</v>
      </c>
      <c r="AQ322" s="527" t="s">
        <v>166</v>
      </c>
      <c r="AR322" s="48" t="s">
        <v>5039</v>
      </c>
      <c r="AS322" s="527" t="s">
        <v>166</v>
      </c>
      <c r="AT322" s="527">
        <v>3.0</v>
      </c>
      <c r="AU322" s="527">
        <v>1.0</v>
      </c>
      <c r="AV322" s="527">
        <v>1.0</v>
      </c>
      <c r="AW322" s="266">
        <v>1.0</v>
      </c>
      <c r="AX322" s="527" t="s">
        <v>166</v>
      </c>
      <c r="AY322" s="527">
        <v>1.0</v>
      </c>
      <c r="AZ322" s="527">
        <v>2.0</v>
      </c>
      <c r="BA322" s="527">
        <v>1.0</v>
      </c>
      <c r="BB322" s="527">
        <v>2.0</v>
      </c>
      <c r="BC322" s="527" t="s">
        <v>174</v>
      </c>
      <c r="BD322" s="527" t="s">
        <v>166</v>
      </c>
      <c r="BE322" s="722" t="s">
        <v>5328</v>
      </c>
      <c r="BF322" s="722" t="s">
        <v>5226</v>
      </c>
      <c r="BG322" s="722" t="s">
        <v>4955</v>
      </c>
      <c r="BH322" s="722">
        <v>8.0</v>
      </c>
      <c r="BI322" s="725" t="s">
        <v>5456</v>
      </c>
      <c r="BJ322" s="725"/>
      <c r="BK322" s="394"/>
      <c r="BL322" s="394"/>
      <c r="BM322" s="394"/>
      <c r="BN322" s="394"/>
      <c r="BO322" s="394"/>
      <c r="BP322" s="394"/>
    </row>
    <row r="323">
      <c r="A323" s="501" t="s">
        <v>1688</v>
      </c>
      <c r="B323" s="700">
        <v>1700.0</v>
      </c>
      <c r="C323" s="501" t="s">
        <v>5326</v>
      </c>
      <c r="D323" s="500" t="str">
        <f t="shared" si="49"/>
        <v>MSI</v>
      </c>
      <c r="E323" s="291" t="s">
        <v>5834</v>
      </c>
      <c r="F323" s="501">
        <v>244.0</v>
      </c>
      <c r="G323" s="501">
        <v>211.0</v>
      </c>
      <c r="H323" s="501">
        <v>4.0</v>
      </c>
      <c r="I323" s="501" t="s">
        <v>166</v>
      </c>
      <c r="J323" s="501">
        <v>1.0</v>
      </c>
      <c r="K323" s="501" t="s">
        <v>166</v>
      </c>
      <c r="L323" s="501" t="s">
        <v>166</v>
      </c>
      <c r="M323" s="501">
        <v>1.0</v>
      </c>
      <c r="N323" s="501" t="s">
        <v>166</v>
      </c>
      <c r="O323" s="501" t="s">
        <v>166</v>
      </c>
      <c r="P323" s="501" t="s">
        <v>166</v>
      </c>
      <c r="Q323" s="501" t="s">
        <v>166</v>
      </c>
      <c r="R323" s="501">
        <v>2.0</v>
      </c>
      <c r="S323" s="501" t="s">
        <v>3149</v>
      </c>
      <c r="T323" s="501">
        <v>64.0</v>
      </c>
      <c r="U323" s="501">
        <v>3200.0</v>
      </c>
      <c r="V323" s="501">
        <v>4.0</v>
      </c>
      <c r="W323" s="701" t="s">
        <v>4950</v>
      </c>
      <c r="X323" s="501">
        <v>4.0</v>
      </c>
      <c r="Y323" s="501">
        <v>2.0</v>
      </c>
      <c r="Z323" s="501" t="s">
        <v>166</v>
      </c>
      <c r="AA323" s="501" t="s">
        <v>166</v>
      </c>
      <c r="AB323" s="501" t="s">
        <v>166</v>
      </c>
      <c r="AC323" s="501" t="s">
        <v>166</v>
      </c>
      <c r="AD323" s="501" t="s">
        <v>166</v>
      </c>
      <c r="AE323" s="501" t="s">
        <v>166</v>
      </c>
      <c r="AF323" s="501">
        <f t="shared" si="1"/>
        <v>6</v>
      </c>
      <c r="AG323" s="501">
        <v>1.0</v>
      </c>
      <c r="AH323" s="501">
        <v>1.0</v>
      </c>
      <c r="AI323" s="501" t="s">
        <v>166</v>
      </c>
      <c r="AJ323" s="501">
        <v>1.0</v>
      </c>
      <c r="AK323" s="700" t="s">
        <v>5133</v>
      </c>
      <c r="AL323" s="700">
        <v>1.0</v>
      </c>
      <c r="AM323" s="700">
        <v>1.0</v>
      </c>
      <c r="AN323" s="700" t="s">
        <v>4966</v>
      </c>
      <c r="AO323" s="700" t="s">
        <v>4967</v>
      </c>
      <c r="AP323" s="501">
        <v>433.0</v>
      </c>
      <c r="AQ323" s="501">
        <v>4.2</v>
      </c>
      <c r="AR323" s="700" t="s">
        <v>5039</v>
      </c>
      <c r="AS323" s="501" t="s">
        <v>166</v>
      </c>
      <c r="AT323" s="501">
        <v>3.0</v>
      </c>
      <c r="AU323" s="501">
        <v>1.0</v>
      </c>
      <c r="AV323" s="501">
        <v>1.0</v>
      </c>
      <c r="AW323" s="501">
        <v>1.0</v>
      </c>
      <c r="AX323" s="501" t="s">
        <v>166</v>
      </c>
      <c r="AY323" s="501">
        <v>1.0</v>
      </c>
      <c r="AZ323" s="501">
        <v>2.0</v>
      </c>
      <c r="BA323" s="501">
        <v>1.0</v>
      </c>
      <c r="BB323" s="501">
        <v>2.0</v>
      </c>
      <c r="BC323" s="501" t="s">
        <v>174</v>
      </c>
      <c r="BD323" s="501" t="s">
        <v>166</v>
      </c>
      <c r="BE323" s="700" t="s">
        <v>170</v>
      </c>
      <c r="BF323" s="700" t="s">
        <v>170</v>
      </c>
      <c r="BG323" s="700" t="s">
        <v>170</v>
      </c>
      <c r="BH323" s="700" t="s">
        <v>170</v>
      </c>
      <c r="BI323" s="703" t="s">
        <v>170</v>
      </c>
      <c r="BJ323" s="703"/>
      <c r="BK323" s="394"/>
      <c r="BL323" s="394"/>
      <c r="BM323" s="394"/>
      <c r="BN323" s="394"/>
      <c r="BO323" s="394"/>
      <c r="BP323" s="394"/>
    </row>
    <row r="324">
      <c r="A324" s="507" t="s">
        <v>1688</v>
      </c>
      <c r="B324" s="705">
        <v>1700.0</v>
      </c>
      <c r="C324" s="507" t="s">
        <v>5333</v>
      </c>
      <c r="D324" s="506" t="s">
        <v>169</v>
      </c>
      <c r="E324" s="751" t="s">
        <v>5835</v>
      </c>
      <c r="F324" s="533">
        <v>244.0</v>
      </c>
      <c r="G324" s="533">
        <v>201.0</v>
      </c>
      <c r="H324" s="533">
        <v>4.0</v>
      </c>
      <c r="I324" s="533" t="s">
        <v>166</v>
      </c>
      <c r="J324" s="533">
        <v>2.0</v>
      </c>
      <c r="K324" s="533" t="s">
        <v>166</v>
      </c>
      <c r="L324" s="533" t="s">
        <v>166</v>
      </c>
      <c r="M324" s="533">
        <v>1.0</v>
      </c>
      <c r="N324" s="533" t="s">
        <v>166</v>
      </c>
      <c r="O324" s="533" t="s">
        <v>174</v>
      </c>
      <c r="P324" s="533" t="s">
        <v>166</v>
      </c>
      <c r="Q324" s="533" t="s">
        <v>166</v>
      </c>
      <c r="R324" s="507">
        <v>2.0</v>
      </c>
      <c r="S324" s="507" t="s">
        <v>3149</v>
      </c>
      <c r="T324" s="507">
        <v>64.0</v>
      </c>
      <c r="U324" s="533" t="s">
        <v>5304</v>
      </c>
      <c r="V324" s="533">
        <v>4.0</v>
      </c>
      <c r="W324" s="711" t="s">
        <v>5305</v>
      </c>
      <c r="X324" s="533">
        <v>2.0</v>
      </c>
      <c r="Y324" s="533">
        <v>3.0</v>
      </c>
      <c r="Z324" s="533">
        <v>1.0</v>
      </c>
      <c r="AA324" s="533" t="s">
        <v>166</v>
      </c>
      <c r="AB324" s="533" t="s">
        <v>166</v>
      </c>
      <c r="AC324" s="533" t="s">
        <v>166</v>
      </c>
      <c r="AD324" s="533" t="s">
        <v>166</v>
      </c>
      <c r="AE324" s="533" t="s">
        <v>166</v>
      </c>
      <c r="AF324" s="507">
        <f t="shared" si="1"/>
        <v>6</v>
      </c>
      <c r="AG324" s="533">
        <v>2.0</v>
      </c>
      <c r="AH324" s="533">
        <v>1.0</v>
      </c>
      <c r="AI324" s="533" t="s">
        <v>166</v>
      </c>
      <c r="AJ324" s="507">
        <v>1.0</v>
      </c>
      <c r="AK324" s="705" t="s">
        <v>5133</v>
      </c>
      <c r="AL324" s="728">
        <v>1.0</v>
      </c>
      <c r="AM324" s="728">
        <v>1.0</v>
      </c>
      <c r="AN324" s="728" t="s">
        <v>166</v>
      </c>
      <c r="AO324" s="728" t="s">
        <v>232</v>
      </c>
      <c r="AP324" s="533" t="s">
        <v>166</v>
      </c>
      <c r="AQ324" s="533" t="s">
        <v>166</v>
      </c>
      <c r="AR324" s="705" t="s">
        <v>5039</v>
      </c>
      <c r="AS324" s="533" t="s">
        <v>166</v>
      </c>
      <c r="AT324" s="533">
        <v>3.0</v>
      </c>
      <c r="AU324" s="533">
        <v>1.0</v>
      </c>
      <c r="AV324" s="533">
        <v>1.0</v>
      </c>
      <c r="AW324" s="507">
        <v>1.0</v>
      </c>
      <c r="AX324" s="533" t="s">
        <v>166</v>
      </c>
      <c r="AY324" s="533">
        <v>1.0</v>
      </c>
      <c r="AZ324" s="533">
        <v>4.0</v>
      </c>
      <c r="BA324" s="533" t="s">
        <v>166</v>
      </c>
      <c r="BB324" s="533" t="s">
        <v>166</v>
      </c>
      <c r="BC324" s="533" t="s">
        <v>166</v>
      </c>
      <c r="BD324" s="533" t="s">
        <v>166</v>
      </c>
      <c r="BE324" s="728" t="s">
        <v>5328</v>
      </c>
      <c r="BF324" s="728" t="s">
        <v>5143</v>
      </c>
      <c r="BG324" s="728" t="s">
        <v>4963</v>
      </c>
      <c r="BH324" s="728">
        <v>5.0</v>
      </c>
      <c r="BI324" s="752" t="s">
        <v>5790</v>
      </c>
      <c r="BJ324" s="752"/>
      <c r="BK324" s="394"/>
      <c r="BL324" s="394"/>
      <c r="BM324" s="394"/>
      <c r="BN324" s="394"/>
      <c r="BO324" s="394"/>
      <c r="BP324" s="394"/>
    </row>
    <row r="325">
      <c r="A325" s="266" t="s">
        <v>1688</v>
      </c>
      <c r="B325" s="48">
        <v>1700.0</v>
      </c>
      <c r="C325" s="266" t="s">
        <v>5333</v>
      </c>
      <c r="D325" s="452" t="s">
        <v>169</v>
      </c>
      <c r="E325" s="174" t="s">
        <v>5836</v>
      </c>
      <c r="F325" s="266">
        <v>243.0</v>
      </c>
      <c r="G325" s="266">
        <v>198.0</v>
      </c>
      <c r="H325" s="266">
        <v>4.0</v>
      </c>
      <c r="I325" s="266">
        <v>1.0</v>
      </c>
      <c r="J325" s="266">
        <v>2.0</v>
      </c>
      <c r="K325" s="266" t="s">
        <v>166</v>
      </c>
      <c r="L325" s="266" t="s">
        <v>166</v>
      </c>
      <c r="M325" s="266">
        <v>1.0</v>
      </c>
      <c r="N325" s="266" t="s">
        <v>166</v>
      </c>
      <c r="O325" s="266" t="s">
        <v>174</v>
      </c>
      <c r="P325" s="266" t="s">
        <v>166</v>
      </c>
      <c r="Q325" s="266" t="s">
        <v>166</v>
      </c>
      <c r="R325" s="266">
        <v>2.0</v>
      </c>
      <c r="S325" s="266" t="s">
        <v>3151</v>
      </c>
      <c r="T325" s="266">
        <v>96.0</v>
      </c>
      <c r="U325" s="266" t="s">
        <v>5223</v>
      </c>
      <c r="V325" s="266">
        <v>4.0</v>
      </c>
      <c r="W325" s="710" t="s">
        <v>4950</v>
      </c>
      <c r="X325" s="266">
        <v>2.0</v>
      </c>
      <c r="Y325" s="266">
        <v>4.0</v>
      </c>
      <c r="Z325" s="266" t="s">
        <v>166</v>
      </c>
      <c r="AA325" s="266" t="s">
        <v>166</v>
      </c>
      <c r="AB325" s="266" t="s">
        <v>166</v>
      </c>
      <c r="AC325" s="266" t="s">
        <v>166</v>
      </c>
      <c r="AD325" s="266" t="s">
        <v>166</v>
      </c>
      <c r="AE325" s="266" t="s">
        <v>166</v>
      </c>
      <c r="AF325" s="266">
        <f t="shared" si="1"/>
        <v>6</v>
      </c>
      <c r="AG325" s="266">
        <v>2.0</v>
      </c>
      <c r="AH325" s="266">
        <v>1.0</v>
      </c>
      <c r="AI325" s="266" t="s">
        <v>166</v>
      </c>
      <c r="AJ325" s="266">
        <v>1.0</v>
      </c>
      <c r="AK325" s="48" t="s">
        <v>4959</v>
      </c>
      <c r="AL325" s="48">
        <v>1.0</v>
      </c>
      <c r="AM325" s="48" t="s">
        <v>166</v>
      </c>
      <c r="AN325" s="48" t="s">
        <v>166</v>
      </c>
      <c r="AO325" s="48" t="s">
        <v>166</v>
      </c>
      <c r="AP325" s="266" t="s">
        <v>166</v>
      </c>
      <c r="AQ325" s="266" t="s">
        <v>166</v>
      </c>
      <c r="AR325" s="48" t="s">
        <v>5039</v>
      </c>
      <c r="AS325" s="266" t="s">
        <v>166</v>
      </c>
      <c r="AT325" s="266">
        <v>3.0</v>
      </c>
      <c r="AU325" s="266">
        <v>2.0</v>
      </c>
      <c r="AV325" s="266">
        <v>1.0</v>
      </c>
      <c r="AW325" s="266">
        <v>1.0</v>
      </c>
      <c r="AX325" s="266">
        <v>1.0</v>
      </c>
      <c r="AY325" s="266">
        <v>1.0</v>
      </c>
      <c r="AZ325" s="266">
        <v>3.0</v>
      </c>
      <c r="BA325" s="266" t="s">
        <v>166</v>
      </c>
      <c r="BB325" s="266" t="s">
        <v>166</v>
      </c>
      <c r="BC325" s="266" t="s">
        <v>166</v>
      </c>
      <c r="BD325" s="266" t="s">
        <v>166</v>
      </c>
      <c r="BE325" s="48" t="s">
        <v>5805</v>
      </c>
      <c r="BF325" s="48" t="s">
        <v>5017</v>
      </c>
      <c r="BG325" s="48" t="s">
        <v>4963</v>
      </c>
      <c r="BH325" s="48">
        <v>4.0</v>
      </c>
      <c r="BI325" s="698" t="s">
        <v>5790</v>
      </c>
      <c r="BJ325" s="698"/>
      <c r="BK325" s="394"/>
      <c r="BL325" s="394"/>
      <c r="BM325" s="394"/>
      <c r="BN325" s="394"/>
      <c r="BO325" s="394"/>
      <c r="BP325" s="394"/>
    </row>
    <row r="326">
      <c r="A326" s="266" t="s">
        <v>1688</v>
      </c>
      <c r="B326" s="48">
        <v>1700.0</v>
      </c>
      <c r="C326" s="266" t="s">
        <v>5333</v>
      </c>
      <c r="D326" s="452" t="s">
        <v>169</v>
      </c>
      <c r="E326" s="174" t="s">
        <v>5837</v>
      </c>
      <c r="F326" s="266">
        <v>244.0</v>
      </c>
      <c r="G326" s="266">
        <v>244.0</v>
      </c>
      <c r="H326" s="266">
        <v>4.0</v>
      </c>
      <c r="I326" s="266" t="s">
        <v>166</v>
      </c>
      <c r="J326" s="266">
        <v>1.0</v>
      </c>
      <c r="K326" s="266" t="s">
        <v>166</v>
      </c>
      <c r="L326" s="507" t="s">
        <v>166</v>
      </c>
      <c r="M326" s="507">
        <v>1.0</v>
      </c>
      <c r="N326" s="266" t="s">
        <v>166</v>
      </c>
      <c r="O326" s="266" t="s">
        <v>174</v>
      </c>
      <c r="P326" s="266" t="s">
        <v>166</v>
      </c>
      <c r="Q326" s="266" t="s">
        <v>166</v>
      </c>
      <c r="R326" s="266">
        <v>4.0</v>
      </c>
      <c r="S326" s="266" t="s">
        <v>3149</v>
      </c>
      <c r="T326" s="266">
        <v>128.0</v>
      </c>
      <c r="U326" s="266" t="s">
        <v>5286</v>
      </c>
      <c r="V326" s="266">
        <v>4.0</v>
      </c>
      <c r="W326" s="710" t="s">
        <v>5126</v>
      </c>
      <c r="X326" s="266">
        <v>4.0</v>
      </c>
      <c r="Y326" s="266">
        <v>4.0</v>
      </c>
      <c r="Z326" s="266" t="s">
        <v>166</v>
      </c>
      <c r="AA326" s="266" t="s">
        <v>166</v>
      </c>
      <c r="AB326" s="266" t="s">
        <v>166</v>
      </c>
      <c r="AC326" s="266" t="s">
        <v>166</v>
      </c>
      <c r="AD326" s="266" t="s">
        <v>166</v>
      </c>
      <c r="AE326" s="266" t="s">
        <v>166</v>
      </c>
      <c r="AF326" s="266">
        <f t="shared" si="1"/>
        <v>8</v>
      </c>
      <c r="AG326" s="266">
        <v>1.0</v>
      </c>
      <c r="AH326" s="266">
        <v>1.0</v>
      </c>
      <c r="AI326" s="266" t="s">
        <v>5049</v>
      </c>
      <c r="AJ326" s="266">
        <v>1.0</v>
      </c>
      <c r="AK326" s="48" t="s">
        <v>5038</v>
      </c>
      <c r="AL326" s="48">
        <v>2.5</v>
      </c>
      <c r="AM326" s="705">
        <v>1.0</v>
      </c>
      <c r="AN326" s="705" t="s">
        <v>166</v>
      </c>
      <c r="AO326" s="705" t="s">
        <v>232</v>
      </c>
      <c r="AP326" s="507" t="s">
        <v>166</v>
      </c>
      <c r="AQ326" s="507" t="s">
        <v>166</v>
      </c>
      <c r="AR326" s="48" t="s">
        <v>5039</v>
      </c>
      <c r="AS326" s="266" t="s">
        <v>166</v>
      </c>
      <c r="AT326" s="266">
        <v>3.0</v>
      </c>
      <c r="AU326" s="266">
        <v>1.0</v>
      </c>
      <c r="AV326" s="266">
        <v>1.0</v>
      </c>
      <c r="AW326" s="266">
        <v>1.0</v>
      </c>
      <c r="AX326" s="266" t="s">
        <v>166</v>
      </c>
      <c r="AY326" s="266" t="s">
        <v>166</v>
      </c>
      <c r="AZ326" s="266">
        <v>5.0</v>
      </c>
      <c r="BA326" s="266">
        <v>1.0</v>
      </c>
      <c r="BB326" s="266">
        <v>3.0</v>
      </c>
      <c r="BC326" s="266" t="s">
        <v>174</v>
      </c>
      <c r="BD326" s="266" t="s">
        <v>174</v>
      </c>
      <c r="BE326" s="48" t="s">
        <v>170</v>
      </c>
      <c r="BF326" s="48" t="s">
        <v>5838</v>
      </c>
      <c r="BG326" s="48" t="s">
        <v>170</v>
      </c>
      <c r="BH326" s="48" t="s">
        <v>170</v>
      </c>
      <c r="BI326" s="698" t="s">
        <v>170</v>
      </c>
      <c r="BJ326" s="698"/>
      <c r="BK326" s="394"/>
      <c r="BL326" s="394"/>
      <c r="BM326" s="394"/>
      <c r="BN326" s="394"/>
      <c r="BO326" s="394"/>
      <c r="BP326" s="394"/>
    </row>
    <row r="327">
      <c r="A327" s="266" t="s">
        <v>1688</v>
      </c>
      <c r="B327" s="48">
        <v>1700.0</v>
      </c>
      <c r="C327" s="266" t="s">
        <v>5333</v>
      </c>
      <c r="D327" s="452" t="s">
        <v>169</v>
      </c>
      <c r="E327" s="174" t="s">
        <v>5839</v>
      </c>
      <c r="F327" s="266">
        <v>244.0</v>
      </c>
      <c r="G327" s="266">
        <v>244.0</v>
      </c>
      <c r="H327" s="266">
        <v>4.0</v>
      </c>
      <c r="I327" s="266" t="s">
        <v>166</v>
      </c>
      <c r="J327" s="266">
        <v>1.0</v>
      </c>
      <c r="K327" s="266" t="s">
        <v>166</v>
      </c>
      <c r="L327" s="507" t="s">
        <v>166</v>
      </c>
      <c r="M327" s="507">
        <v>2.0</v>
      </c>
      <c r="N327" s="266" t="s">
        <v>166</v>
      </c>
      <c r="O327" s="266" t="s">
        <v>174</v>
      </c>
      <c r="P327" s="266" t="s">
        <v>166</v>
      </c>
      <c r="Q327" s="266" t="s">
        <v>166</v>
      </c>
      <c r="R327" s="266">
        <v>4.0</v>
      </c>
      <c r="S327" s="266" t="s">
        <v>3149</v>
      </c>
      <c r="T327" s="266">
        <v>128.0</v>
      </c>
      <c r="U327" s="266" t="s">
        <v>5286</v>
      </c>
      <c r="V327" s="266">
        <v>4.0</v>
      </c>
      <c r="W327" s="710" t="s">
        <v>5126</v>
      </c>
      <c r="X327" s="266">
        <v>2.0</v>
      </c>
      <c r="Y327" s="266">
        <v>4.0</v>
      </c>
      <c r="Z327" s="266" t="s">
        <v>166</v>
      </c>
      <c r="AA327" s="266" t="s">
        <v>166</v>
      </c>
      <c r="AB327" s="266" t="s">
        <v>166</v>
      </c>
      <c r="AC327" s="266" t="s">
        <v>166</v>
      </c>
      <c r="AD327" s="266" t="s">
        <v>166</v>
      </c>
      <c r="AE327" s="266" t="s">
        <v>166</v>
      </c>
      <c r="AF327" s="266">
        <f t="shared" si="1"/>
        <v>6</v>
      </c>
      <c r="AG327" s="266">
        <v>2.0</v>
      </c>
      <c r="AH327" s="266">
        <v>1.0</v>
      </c>
      <c r="AI327" s="266" t="s">
        <v>166</v>
      </c>
      <c r="AJ327" s="266">
        <v>1.0</v>
      </c>
      <c r="AK327" s="48" t="s">
        <v>5133</v>
      </c>
      <c r="AL327" s="48">
        <v>1.0</v>
      </c>
      <c r="AM327" s="705">
        <v>1.0</v>
      </c>
      <c r="AN327" s="705" t="s">
        <v>166</v>
      </c>
      <c r="AO327" s="705" t="s">
        <v>232</v>
      </c>
      <c r="AP327" s="507" t="s">
        <v>166</v>
      </c>
      <c r="AQ327" s="507" t="s">
        <v>166</v>
      </c>
      <c r="AR327" s="48" t="s">
        <v>5039</v>
      </c>
      <c r="AS327" s="266" t="s">
        <v>166</v>
      </c>
      <c r="AT327" s="266">
        <v>3.0</v>
      </c>
      <c r="AU327" s="266">
        <v>1.0</v>
      </c>
      <c r="AV327" s="266">
        <v>1.0</v>
      </c>
      <c r="AW327" s="266">
        <v>1.0</v>
      </c>
      <c r="AX327" s="266" t="s">
        <v>166</v>
      </c>
      <c r="AY327" s="266" t="s">
        <v>166</v>
      </c>
      <c r="AZ327" s="266">
        <v>5.0</v>
      </c>
      <c r="BA327" s="266" t="s">
        <v>166</v>
      </c>
      <c r="BB327" s="266" t="s">
        <v>166</v>
      </c>
      <c r="BC327" s="266" t="s">
        <v>174</v>
      </c>
      <c r="BD327" s="266" t="s">
        <v>166</v>
      </c>
      <c r="BE327" s="48" t="s">
        <v>5328</v>
      </c>
      <c r="BF327" s="48" t="s">
        <v>5354</v>
      </c>
      <c r="BG327" s="48" t="s">
        <v>4963</v>
      </c>
      <c r="BH327" s="48">
        <v>7.0</v>
      </c>
      <c r="BI327" s="698" t="s">
        <v>170</v>
      </c>
      <c r="BJ327" s="698"/>
      <c r="BK327" s="394"/>
      <c r="BL327" s="394"/>
      <c r="BM327" s="394"/>
      <c r="BN327" s="394"/>
      <c r="BO327" s="394"/>
      <c r="BP327" s="394"/>
    </row>
    <row r="328">
      <c r="A328" s="266" t="s">
        <v>1688</v>
      </c>
      <c r="B328" s="48">
        <v>1700.0</v>
      </c>
      <c r="C328" s="266" t="s">
        <v>5333</v>
      </c>
      <c r="D328" s="452" t="s">
        <v>169</v>
      </c>
      <c r="E328" s="174" t="s">
        <v>5840</v>
      </c>
      <c r="F328" s="266">
        <v>244.0</v>
      </c>
      <c r="G328" s="266">
        <v>244.0</v>
      </c>
      <c r="H328" s="266">
        <v>4.0</v>
      </c>
      <c r="I328" s="266" t="s">
        <v>166</v>
      </c>
      <c r="J328" s="266">
        <v>1.0</v>
      </c>
      <c r="K328" s="266" t="s">
        <v>166</v>
      </c>
      <c r="L328" s="507" t="s">
        <v>166</v>
      </c>
      <c r="M328" s="507">
        <v>2.0</v>
      </c>
      <c r="N328" s="266" t="s">
        <v>166</v>
      </c>
      <c r="O328" s="266" t="s">
        <v>174</v>
      </c>
      <c r="P328" s="266" t="s">
        <v>166</v>
      </c>
      <c r="Q328" s="266" t="s">
        <v>166</v>
      </c>
      <c r="R328" s="266">
        <v>4.0</v>
      </c>
      <c r="S328" s="266" t="s">
        <v>3149</v>
      </c>
      <c r="T328" s="266">
        <v>128.0</v>
      </c>
      <c r="U328" s="266" t="s">
        <v>5286</v>
      </c>
      <c r="V328" s="266">
        <v>4.0</v>
      </c>
      <c r="W328" s="710" t="s">
        <v>5305</v>
      </c>
      <c r="X328" s="266">
        <v>2.0</v>
      </c>
      <c r="Y328" s="266">
        <v>4.0</v>
      </c>
      <c r="Z328" s="266" t="s">
        <v>166</v>
      </c>
      <c r="AA328" s="266" t="s">
        <v>166</v>
      </c>
      <c r="AB328" s="266" t="s">
        <v>166</v>
      </c>
      <c r="AC328" s="266" t="s">
        <v>166</v>
      </c>
      <c r="AD328" s="266" t="s">
        <v>166</v>
      </c>
      <c r="AE328" s="266" t="s">
        <v>166</v>
      </c>
      <c r="AF328" s="266">
        <f t="shared" si="1"/>
        <v>6</v>
      </c>
      <c r="AG328" s="266">
        <v>2.0</v>
      </c>
      <c r="AH328" s="266">
        <v>1.0</v>
      </c>
      <c r="AI328" s="266" t="s">
        <v>5049</v>
      </c>
      <c r="AJ328" s="266">
        <v>1.0</v>
      </c>
      <c r="AK328" s="48" t="s">
        <v>5133</v>
      </c>
      <c r="AL328" s="48">
        <v>1.0</v>
      </c>
      <c r="AM328" s="705">
        <v>1.0</v>
      </c>
      <c r="AN328" s="705" t="s">
        <v>166</v>
      </c>
      <c r="AO328" s="705" t="s">
        <v>232</v>
      </c>
      <c r="AP328" s="507" t="s">
        <v>166</v>
      </c>
      <c r="AQ328" s="507" t="s">
        <v>166</v>
      </c>
      <c r="AR328" s="48" t="s">
        <v>5039</v>
      </c>
      <c r="AS328" s="266" t="s">
        <v>166</v>
      </c>
      <c r="AT328" s="266">
        <v>3.0</v>
      </c>
      <c r="AU328" s="266">
        <v>1.0</v>
      </c>
      <c r="AV328" s="266">
        <v>1.0</v>
      </c>
      <c r="AW328" s="266">
        <v>1.0</v>
      </c>
      <c r="AX328" s="266" t="s">
        <v>166</v>
      </c>
      <c r="AY328" s="266" t="s">
        <v>166</v>
      </c>
      <c r="AZ328" s="266">
        <v>5.0</v>
      </c>
      <c r="BA328" s="266">
        <v>1.0</v>
      </c>
      <c r="BB328" s="266">
        <v>3.0</v>
      </c>
      <c r="BC328" s="266" t="s">
        <v>174</v>
      </c>
      <c r="BD328" s="266" t="s">
        <v>166</v>
      </c>
      <c r="BE328" s="48" t="s">
        <v>5328</v>
      </c>
      <c r="BF328" s="48" t="s">
        <v>5354</v>
      </c>
      <c r="BG328" s="48" t="s">
        <v>4963</v>
      </c>
      <c r="BH328" s="48">
        <v>7.0</v>
      </c>
      <c r="BI328" s="698" t="s">
        <v>5790</v>
      </c>
      <c r="BJ328" s="698"/>
      <c r="BK328" s="394"/>
      <c r="BL328" s="394"/>
      <c r="BM328" s="394"/>
      <c r="BN328" s="394"/>
      <c r="BO328" s="394"/>
      <c r="BP328" s="394"/>
    </row>
    <row r="329">
      <c r="A329" s="266" t="s">
        <v>1688</v>
      </c>
      <c r="B329" s="48">
        <v>1700.0</v>
      </c>
      <c r="C329" s="266" t="s">
        <v>5333</v>
      </c>
      <c r="D329" s="452" t="s">
        <v>169</v>
      </c>
      <c r="E329" s="174" t="s">
        <v>5841</v>
      </c>
      <c r="F329" s="266">
        <v>244.0</v>
      </c>
      <c r="G329" s="266">
        <v>244.0</v>
      </c>
      <c r="H329" s="266">
        <v>5.0</v>
      </c>
      <c r="I329" s="266" t="s">
        <v>166</v>
      </c>
      <c r="J329" s="266">
        <v>1.0</v>
      </c>
      <c r="K329" s="266" t="s">
        <v>166</v>
      </c>
      <c r="L329" s="507" t="s">
        <v>166</v>
      </c>
      <c r="M329" s="507">
        <v>1.0</v>
      </c>
      <c r="N329" s="266" t="s">
        <v>166</v>
      </c>
      <c r="O329" s="266" t="s">
        <v>174</v>
      </c>
      <c r="P329" s="266" t="s">
        <v>174</v>
      </c>
      <c r="Q329" s="266" t="s">
        <v>166</v>
      </c>
      <c r="R329" s="266">
        <v>4.0</v>
      </c>
      <c r="S329" s="266" t="s">
        <v>3151</v>
      </c>
      <c r="T329" s="266">
        <v>192.0</v>
      </c>
      <c r="U329" s="266" t="s">
        <v>5089</v>
      </c>
      <c r="V329" s="266">
        <v>4.0</v>
      </c>
      <c r="W329" s="710" t="s">
        <v>5576</v>
      </c>
      <c r="X329" s="266">
        <v>2.0</v>
      </c>
      <c r="Y329" s="266">
        <v>4.0</v>
      </c>
      <c r="Z329" s="266" t="s">
        <v>166</v>
      </c>
      <c r="AA329" s="266" t="s">
        <v>166</v>
      </c>
      <c r="AB329" s="266" t="s">
        <v>166</v>
      </c>
      <c r="AC329" s="266" t="s">
        <v>166</v>
      </c>
      <c r="AD329" s="266" t="s">
        <v>166</v>
      </c>
      <c r="AE329" s="266" t="s">
        <v>166</v>
      </c>
      <c r="AF329" s="266">
        <f t="shared" si="1"/>
        <v>6</v>
      </c>
      <c r="AG329" s="266">
        <v>2.0</v>
      </c>
      <c r="AH329" s="266">
        <v>1.0</v>
      </c>
      <c r="AI329" s="266" t="s">
        <v>5049</v>
      </c>
      <c r="AJ329" s="266">
        <v>1.0</v>
      </c>
      <c r="AK329" s="48" t="s">
        <v>5038</v>
      </c>
      <c r="AL329" s="48">
        <v>2.5</v>
      </c>
      <c r="AM329" s="705">
        <v>1.0</v>
      </c>
      <c r="AN329" s="705" t="s">
        <v>166</v>
      </c>
      <c r="AO329" s="705" t="s">
        <v>232</v>
      </c>
      <c r="AP329" s="507" t="s">
        <v>166</v>
      </c>
      <c r="AQ329" s="507" t="s">
        <v>166</v>
      </c>
      <c r="AR329" s="48" t="s">
        <v>5039</v>
      </c>
      <c r="AS329" s="266" t="s">
        <v>174</v>
      </c>
      <c r="AT329" s="266">
        <v>3.0</v>
      </c>
      <c r="AU329" s="266">
        <v>1.0</v>
      </c>
      <c r="AV329" s="266">
        <v>1.0</v>
      </c>
      <c r="AW329" s="266">
        <v>1.0</v>
      </c>
      <c r="AX329" s="266" t="s">
        <v>166</v>
      </c>
      <c r="AY329" s="266" t="s">
        <v>166</v>
      </c>
      <c r="AZ329" s="266">
        <v>5.0</v>
      </c>
      <c r="BA329" s="266">
        <v>1.0</v>
      </c>
      <c r="BB329" s="266">
        <v>3.0</v>
      </c>
      <c r="BC329" s="266" t="s">
        <v>174</v>
      </c>
      <c r="BD329" s="266" t="s">
        <v>174</v>
      </c>
      <c r="BE329" s="48" t="s">
        <v>170</v>
      </c>
      <c r="BF329" s="48" t="s">
        <v>5740</v>
      </c>
      <c r="BG329" s="48" t="s">
        <v>170</v>
      </c>
      <c r="BH329" s="48" t="s">
        <v>170</v>
      </c>
      <c r="BI329" s="698" t="s">
        <v>5573</v>
      </c>
      <c r="BJ329" s="698"/>
      <c r="BK329" s="394"/>
      <c r="BL329" s="394"/>
      <c r="BM329" s="394"/>
      <c r="BN329" s="394"/>
      <c r="BO329" s="394"/>
      <c r="BP329" s="394"/>
    </row>
    <row r="330">
      <c r="A330" s="266" t="s">
        <v>1688</v>
      </c>
      <c r="B330" s="48">
        <v>1700.0</v>
      </c>
      <c r="C330" s="266" t="s">
        <v>5333</v>
      </c>
      <c r="D330" s="452" t="s">
        <v>169</v>
      </c>
      <c r="E330" s="174" t="s">
        <v>5842</v>
      </c>
      <c r="F330" s="266">
        <v>244.0</v>
      </c>
      <c r="G330" s="266">
        <v>244.0</v>
      </c>
      <c r="H330" s="266">
        <v>5.0</v>
      </c>
      <c r="I330" s="266" t="s">
        <v>166</v>
      </c>
      <c r="J330" s="266">
        <v>2.0</v>
      </c>
      <c r="K330" s="266" t="s">
        <v>166</v>
      </c>
      <c r="L330" s="266" t="s">
        <v>166</v>
      </c>
      <c r="M330" s="266">
        <v>1.0</v>
      </c>
      <c r="N330" s="266" t="s">
        <v>166</v>
      </c>
      <c r="O330" s="266" t="s">
        <v>174</v>
      </c>
      <c r="P330" s="266" t="s">
        <v>174</v>
      </c>
      <c r="Q330" s="266" t="s">
        <v>166</v>
      </c>
      <c r="R330" s="266">
        <v>4.0</v>
      </c>
      <c r="S330" s="266" t="s">
        <v>3149</v>
      </c>
      <c r="T330" s="266">
        <v>128.0</v>
      </c>
      <c r="U330" s="266" t="s">
        <v>5286</v>
      </c>
      <c r="V330" s="266">
        <v>6.0</v>
      </c>
      <c r="W330" s="710" t="s">
        <v>5305</v>
      </c>
      <c r="X330" s="266">
        <v>2.0</v>
      </c>
      <c r="Y330" s="266">
        <v>4.0</v>
      </c>
      <c r="Z330" s="266" t="s">
        <v>166</v>
      </c>
      <c r="AA330" s="266" t="s">
        <v>166</v>
      </c>
      <c r="AB330" s="266" t="s">
        <v>166</v>
      </c>
      <c r="AC330" s="266" t="s">
        <v>166</v>
      </c>
      <c r="AD330" s="266" t="s">
        <v>166</v>
      </c>
      <c r="AE330" s="266" t="s">
        <v>166</v>
      </c>
      <c r="AF330" s="266">
        <f t="shared" si="1"/>
        <v>6</v>
      </c>
      <c r="AG330" s="266">
        <v>2.0</v>
      </c>
      <c r="AH330" s="266">
        <v>1.0</v>
      </c>
      <c r="AI330" s="266" t="s">
        <v>5843</v>
      </c>
      <c r="AJ330" s="266">
        <v>1.0</v>
      </c>
      <c r="AK330" s="48" t="s">
        <v>5038</v>
      </c>
      <c r="AL330" s="48">
        <v>2.5</v>
      </c>
      <c r="AM330" s="705">
        <v>1.0</v>
      </c>
      <c r="AN330" s="705" t="s">
        <v>166</v>
      </c>
      <c r="AO330" s="705" t="s">
        <v>232</v>
      </c>
      <c r="AP330" s="507" t="s">
        <v>166</v>
      </c>
      <c r="AQ330" s="507" t="s">
        <v>166</v>
      </c>
      <c r="AR330" s="48" t="s">
        <v>5039</v>
      </c>
      <c r="AS330" s="266" t="s">
        <v>174</v>
      </c>
      <c r="AT330" s="266">
        <v>5.0</v>
      </c>
      <c r="AU330" s="266">
        <v>1.0</v>
      </c>
      <c r="AV330" s="266">
        <v>1.0</v>
      </c>
      <c r="AW330" s="266">
        <v>1.0</v>
      </c>
      <c r="AX330" s="266" t="s">
        <v>166</v>
      </c>
      <c r="AY330" s="266" t="s">
        <v>166</v>
      </c>
      <c r="AZ330" s="266">
        <v>5.0</v>
      </c>
      <c r="BA330" s="266">
        <v>1.0</v>
      </c>
      <c r="BB330" s="266">
        <v>3.0</v>
      </c>
      <c r="BC330" s="266" t="s">
        <v>174</v>
      </c>
      <c r="BD330" s="266" t="s">
        <v>166</v>
      </c>
      <c r="BE330" s="48" t="s">
        <v>5328</v>
      </c>
      <c r="BF330" s="48" t="s">
        <v>5226</v>
      </c>
      <c r="BG330" s="48" t="s">
        <v>4963</v>
      </c>
      <c r="BH330" s="48">
        <v>8.0</v>
      </c>
      <c r="BI330" s="698" t="s">
        <v>5009</v>
      </c>
      <c r="BJ330" s="698"/>
      <c r="BK330" s="394"/>
      <c r="BL330" s="394"/>
      <c r="BM330" s="394"/>
      <c r="BN330" s="394"/>
      <c r="BO330" s="394"/>
      <c r="BP330" s="394"/>
    </row>
    <row r="331">
      <c r="A331" s="266" t="s">
        <v>1688</v>
      </c>
      <c r="B331" s="48">
        <v>1700.0</v>
      </c>
      <c r="C331" s="266" t="s">
        <v>5333</v>
      </c>
      <c r="D331" s="452" t="str">
        <f t="shared" ref="D331:D342" si="50">HYPERLINK("https://www.asus.com/","Asus")</f>
        <v>Asus</v>
      </c>
      <c r="E331" s="174" t="s">
        <v>5844</v>
      </c>
      <c r="F331" s="266">
        <v>244.0</v>
      </c>
      <c r="G331" s="266">
        <v>211.0</v>
      </c>
      <c r="H331" s="266">
        <v>4.0</v>
      </c>
      <c r="I331" s="266" t="s">
        <v>166</v>
      </c>
      <c r="J331" s="266">
        <v>2.0</v>
      </c>
      <c r="K331" s="266" t="s">
        <v>166</v>
      </c>
      <c r="L331" s="266" t="s">
        <v>166</v>
      </c>
      <c r="M331" s="266">
        <v>1.0</v>
      </c>
      <c r="N331" s="266" t="s">
        <v>166</v>
      </c>
      <c r="O331" s="266" t="s">
        <v>174</v>
      </c>
      <c r="P331" s="266" t="s">
        <v>166</v>
      </c>
      <c r="Q331" s="266" t="s">
        <v>166</v>
      </c>
      <c r="R331" s="266">
        <v>2.0</v>
      </c>
      <c r="S331" s="266" t="s">
        <v>3149</v>
      </c>
      <c r="T331" s="266">
        <v>64.0</v>
      </c>
      <c r="U331" s="266" t="s">
        <v>5286</v>
      </c>
      <c r="V331" s="266">
        <v>4.0</v>
      </c>
      <c r="W331" s="710" t="s">
        <v>5126</v>
      </c>
      <c r="X331" s="266">
        <v>2.0</v>
      </c>
      <c r="Y331" s="266">
        <v>4.0</v>
      </c>
      <c r="Z331" s="266" t="s">
        <v>166</v>
      </c>
      <c r="AA331" s="266" t="s">
        <v>166</v>
      </c>
      <c r="AB331" s="266" t="s">
        <v>166</v>
      </c>
      <c r="AC331" s="266" t="s">
        <v>166</v>
      </c>
      <c r="AD331" s="266" t="s">
        <v>166</v>
      </c>
      <c r="AE331" s="266" t="s">
        <v>166</v>
      </c>
      <c r="AF331" s="266">
        <f t="shared" si="1"/>
        <v>6</v>
      </c>
      <c r="AG331" s="266">
        <v>2.0</v>
      </c>
      <c r="AH331" s="266">
        <v>1.0</v>
      </c>
      <c r="AI331" s="266" t="s">
        <v>166</v>
      </c>
      <c r="AJ331" s="266">
        <v>1.0</v>
      </c>
      <c r="AK331" s="48" t="s">
        <v>4959</v>
      </c>
      <c r="AL331" s="48">
        <v>1.0</v>
      </c>
      <c r="AM331" s="48" t="s">
        <v>166</v>
      </c>
      <c r="AN331" s="48" t="s">
        <v>166</v>
      </c>
      <c r="AO331" s="48" t="s">
        <v>166</v>
      </c>
      <c r="AP331" s="266" t="s">
        <v>166</v>
      </c>
      <c r="AQ331" s="266" t="s">
        <v>166</v>
      </c>
      <c r="AR331" s="48" t="s">
        <v>5039</v>
      </c>
      <c r="AS331" s="266" t="s">
        <v>166</v>
      </c>
      <c r="AT331" s="266">
        <v>3.0</v>
      </c>
      <c r="AU331" s="266">
        <v>1.0</v>
      </c>
      <c r="AV331" s="266" t="s">
        <v>166</v>
      </c>
      <c r="AW331" s="266">
        <v>1.0</v>
      </c>
      <c r="AX331" s="266" t="s">
        <v>166</v>
      </c>
      <c r="AY331" s="266">
        <v>1.0</v>
      </c>
      <c r="AZ331" s="266">
        <v>2.0</v>
      </c>
      <c r="BA331" s="266" t="s">
        <v>166</v>
      </c>
      <c r="BB331" s="266" t="s">
        <v>166</v>
      </c>
      <c r="BC331" s="266" t="s">
        <v>166</v>
      </c>
      <c r="BD331" s="266" t="s">
        <v>166</v>
      </c>
      <c r="BE331" s="48" t="s">
        <v>5328</v>
      </c>
      <c r="BF331" s="48" t="s">
        <v>4973</v>
      </c>
      <c r="BG331" s="48" t="s">
        <v>4963</v>
      </c>
      <c r="BH331" s="48">
        <v>6.0</v>
      </c>
      <c r="BI331" s="698" t="s">
        <v>5477</v>
      </c>
      <c r="BJ331" s="698"/>
      <c r="BK331" s="394"/>
      <c r="BL331" s="394"/>
      <c r="BM331" s="394"/>
      <c r="BN331" s="394"/>
      <c r="BO331" s="394"/>
      <c r="BP331" s="394"/>
    </row>
    <row r="332">
      <c r="A332" s="266" t="s">
        <v>1688</v>
      </c>
      <c r="B332" s="48">
        <v>1700.0</v>
      </c>
      <c r="C332" s="266" t="s">
        <v>5333</v>
      </c>
      <c r="D332" s="452" t="str">
        <f t="shared" si="50"/>
        <v>Asus</v>
      </c>
      <c r="E332" s="174" t="s">
        <v>5845</v>
      </c>
      <c r="F332" s="266">
        <v>244.0</v>
      </c>
      <c r="G332" s="266">
        <v>211.0</v>
      </c>
      <c r="H332" s="266">
        <v>4.0</v>
      </c>
      <c r="I332" s="266" t="s">
        <v>166</v>
      </c>
      <c r="J332" s="266">
        <v>2.0</v>
      </c>
      <c r="K332" s="266" t="s">
        <v>166</v>
      </c>
      <c r="L332" s="266" t="s">
        <v>166</v>
      </c>
      <c r="M332" s="266">
        <v>1.0</v>
      </c>
      <c r="N332" s="266" t="s">
        <v>166</v>
      </c>
      <c r="O332" s="266" t="s">
        <v>174</v>
      </c>
      <c r="P332" s="266" t="s">
        <v>166</v>
      </c>
      <c r="Q332" s="266" t="s">
        <v>166</v>
      </c>
      <c r="R332" s="266">
        <v>2.0</v>
      </c>
      <c r="S332" s="266" t="s">
        <v>3149</v>
      </c>
      <c r="T332" s="266">
        <v>64.0</v>
      </c>
      <c r="U332" s="266" t="s">
        <v>5286</v>
      </c>
      <c r="V332" s="266">
        <v>4.0</v>
      </c>
      <c r="W332" s="710" t="s">
        <v>5126</v>
      </c>
      <c r="X332" s="266">
        <v>2.0</v>
      </c>
      <c r="Y332" s="266">
        <v>4.0</v>
      </c>
      <c r="Z332" s="266" t="s">
        <v>166</v>
      </c>
      <c r="AA332" s="266" t="s">
        <v>166</v>
      </c>
      <c r="AB332" s="266" t="s">
        <v>166</v>
      </c>
      <c r="AC332" s="266" t="s">
        <v>166</v>
      </c>
      <c r="AD332" s="266" t="s">
        <v>166</v>
      </c>
      <c r="AE332" s="266" t="s">
        <v>166</v>
      </c>
      <c r="AF332" s="266">
        <f t="shared" si="1"/>
        <v>6</v>
      </c>
      <c r="AG332" s="266">
        <v>2.0</v>
      </c>
      <c r="AH332" s="266">
        <v>1.0</v>
      </c>
      <c r="AI332" s="266" t="s">
        <v>166</v>
      </c>
      <c r="AJ332" s="266">
        <v>1.0</v>
      </c>
      <c r="AK332" s="48" t="s">
        <v>5038</v>
      </c>
      <c r="AL332" s="48">
        <v>2.5</v>
      </c>
      <c r="AM332" s="48" t="s">
        <v>166</v>
      </c>
      <c r="AN332" s="48" t="s">
        <v>166</v>
      </c>
      <c r="AO332" s="48" t="s">
        <v>166</v>
      </c>
      <c r="AP332" s="266" t="s">
        <v>166</v>
      </c>
      <c r="AQ332" s="266" t="s">
        <v>166</v>
      </c>
      <c r="AR332" s="48" t="s">
        <v>5039</v>
      </c>
      <c r="AS332" s="266" t="s">
        <v>166</v>
      </c>
      <c r="AT332" s="266">
        <v>3.0</v>
      </c>
      <c r="AU332" s="266">
        <v>1.0</v>
      </c>
      <c r="AV332" s="266" t="s">
        <v>166</v>
      </c>
      <c r="AW332" s="266">
        <v>1.0</v>
      </c>
      <c r="AX332" s="266" t="s">
        <v>166</v>
      </c>
      <c r="AY332" s="266">
        <v>1.0</v>
      </c>
      <c r="AZ332" s="266">
        <v>2.0</v>
      </c>
      <c r="BA332" s="266" t="s">
        <v>166</v>
      </c>
      <c r="BB332" s="266" t="s">
        <v>166</v>
      </c>
      <c r="BC332" s="266" t="s">
        <v>166</v>
      </c>
      <c r="BD332" s="266" t="s">
        <v>166</v>
      </c>
      <c r="BE332" s="48" t="s">
        <v>5328</v>
      </c>
      <c r="BF332" s="48" t="s">
        <v>4973</v>
      </c>
      <c r="BG332" s="48" t="s">
        <v>4963</v>
      </c>
      <c r="BH332" s="48">
        <v>6.0</v>
      </c>
      <c r="BI332" s="698" t="s">
        <v>5477</v>
      </c>
      <c r="BJ332" s="698"/>
      <c r="BK332" s="394"/>
      <c r="BL332" s="394"/>
      <c r="BM332" s="394"/>
      <c r="BN332" s="394"/>
      <c r="BO332" s="394"/>
      <c r="BP332" s="394"/>
    </row>
    <row r="333">
      <c r="A333" s="266" t="s">
        <v>1688</v>
      </c>
      <c r="B333" s="48">
        <v>1700.0</v>
      </c>
      <c r="C333" s="266" t="s">
        <v>5333</v>
      </c>
      <c r="D333" s="452" t="str">
        <f t="shared" si="50"/>
        <v>Asus</v>
      </c>
      <c r="E333" s="174" t="s">
        <v>5846</v>
      </c>
      <c r="F333" s="266">
        <v>244.0</v>
      </c>
      <c r="G333" s="266">
        <v>244.0</v>
      </c>
      <c r="H333" s="266">
        <v>4.0</v>
      </c>
      <c r="I333" s="266" t="s">
        <v>166</v>
      </c>
      <c r="J333" s="266" t="s">
        <v>166</v>
      </c>
      <c r="K333" s="266" t="s">
        <v>166</v>
      </c>
      <c r="L333" s="266" t="s">
        <v>166</v>
      </c>
      <c r="M333" s="266">
        <v>3.0</v>
      </c>
      <c r="N333" s="266" t="s">
        <v>166</v>
      </c>
      <c r="O333" s="266" t="s">
        <v>174</v>
      </c>
      <c r="P333" s="266" t="s">
        <v>166</v>
      </c>
      <c r="Q333" s="266" t="s">
        <v>166</v>
      </c>
      <c r="R333" s="266">
        <v>4.0</v>
      </c>
      <c r="S333" s="266" t="s">
        <v>3149</v>
      </c>
      <c r="T333" s="266">
        <v>128.0</v>
      </c>
      <c r="U333" s="266" t="s">
        <v>5286</v>
      </c>
      <c r="V333" s="266">
        <v>4.0</v>
      </c>
      <c r="W333" s="710" t="s">
        <v>5126</v>
      </c>
      <c r="X333" s="266">
        <v>4.0</v>
      </c>
      <c r="Y333" s="266" t="s">
        <v>166</v>
      </c>
      <c r="Z333" s="266" t="s">
        <v>166</v>
      </c>
      <c r="AA333" s="266">
        <v>2.0</v>
      </c>
      <c r="AB333" s="266" t="s">
        <v>166</v>
      </c>
      <c r="AC333" s="266" t="s">
        <v>166</v>
      </c>
      <c r="AD333" s="266" t="s">
        <v>166</v>
      </c>
      <c r="AE333" s="266" t="s">
        <v>166</v>
      </c>
      <c r="AF333" s="266">
        <f t="shared" si="1"/>
        <v>6</v>
      </c>
      <c r="AG333" s="266">
        <v>3.0</v>
      </c>
      <c r="AH333" s="266">
        <v>2.0</v>
      </c>
      <c r="AI333" s="266" t="s">
        <v>5049</v>
      </c>
      <c r="AJ333" s="266">
        <v>1.0</v>
      </c>
      <c r="AK333" s="48" t="s">
        <v>5133</v>
      </c>
      <c r="AL333" s="48">
        <v>1.0</v>
      </c>
      <c r="AM333" s="48" t="s">
        <v>166</v>
      </c>
      <c r="AN333" s="48" t="s">
        <v>166</v>
      </c>
      <c r="AO333" s="48" t="s">
        <v>166</v>
      </c>
      <c r="AP333" s="266" t="s">
        <v>166</v>
      </c>
      <c r="AQ333" s="266" t="s">
        <v>166</v>
      </c>
      <c r="AR333" s="48" t="s">
        <v>5039</v>
      </c>
      <c r="AS333" s="266" t="s">
        <v>166</v>
      </c>
      <c r="AT333" s="266">
        <v>3.0</v>
      </c>
      <c r="AU333" s="266">
        <v>1.0</v>
      </c>
      <c r="AV333" s="266">
        <v>1.0</v>
      </c>
      <c r="AW333" s="266">
        <v>2.0</v>
      </c>
      <c r="AX333" s="266" t="s">
        <v>166</v>
      </c>
      <c r="AY333" s="266" t="s">
        <v>166</v>
      </c>
      <c r="AZ333" s="266">
        <v>4.0</v>
      </c>
      <c r="BA333" s="266">
        <v>1.0</v>
      </c>
      <c r="BB333" s="266">
        <v>3.0</v>
      </c>
      <c r="BC333" s="266" t="s">
        <v>166</v>
      </c>
      <c r="BD333" s="266" t="s">
        <v>166</v>
      </c>
      <c r="BE333" s="48" t="s">
        <v>5338</v>
      </c>
      <c r="BF333" s="48" t="s">
        <v>4973</v>
      </c>
      <c r="BG333" s="48" t="s">
        <v>4963</v>
      </c>
      <c r="BH333" s="48">
        <v>6.0</v>
      </c>
      <c r="BI333" s="698" t="s">
        <v>5477</v>
      </c>
      <c r="BJ333" s="698"/>
      <c r="BK333" s="394"/>
      <c r="BL333" s="394"/>
      <c r="BM333" s="394"/>
      <c r="BN333" s="394"/>
      <c r="BO333" s="394"/>
      <c r="BP333" s="394"/>
    </row>
    <row r="334">
      <c r="A334" s="266" t="s">
        <v>1688</v>
      </c>
      <c r="B334" s="48">
        <v>1700.0</v>
      </c>
      <c r="C334" s="266" t="s">
        <v>5333</v>
      </c>
      <c r="D334" s="452" t="str">
        <f t="shared" si="50"/>
        <v>Asus</v>
      </c>
      <c r="E334" s="174" t="s">
        <v>5847</v>
      </c>
      <c r="F334" s="266">
        <v>244.0</v>
      </c>
      <c r="G334" s="266">
        <v>244.0</v>
      </c>
      <c r="H334" s="266">
        <v>4.0</v>
      </c>
      <c r="I334" s="266" t="s">
        <v>166</v>
      </c>
      <c r="J334" s="266" t="s">
        <v>166</v>
      </c>
      <c r="K334" s="266" t="s">
        <v>166</v>
      </c>
      <c r="L334" s="266" t="s">
        <v>166</v>
      </c>
      <c r="M334" s="266">
        <v>3.0</v>
      </c>
      <c r="N334" s="266" t="s">
        <v>166</v>
      </c>
      <c r="O334" s="266" t="s">
        <v>174</v>
      </c>
      <c r="P334" s="266" t="s">
        <v>166</v>
      </c>
      <c r="Q334" s="266" t="s">
        <v>166</v>
      </c>
      <c r="R334" s="266">
        <v>4.0</v>
      </c>
      <c r="S334" s="266" t="s">
        <v>3149</v>
      </c>
      <c r="T334" s="266">
        <v>128.0</v>
      </c>
      <c r="U334" s="266" t="s">
        <v>5286</v>
      </c>
      <c r="V334" s="266">
        <v>4.0</v>
      </c>
      <c r="W334" s="710" t="s">
        <v>5126</v>
      </c>
      <c r="X334" s="266">
        <v>4.0</v>
      </c>
      <c r="Y334" s="266" t="s">
        <v>166</v>
      </c>
      <c r="Z334" s="266" t="s">
        <v>166</v>
      </c>
      <c r="AA334" s="266">
        <v>2.0</v>
      </c>
      <c r="AB334" s="266" t="s">
        <v>166</v>
      </c>
      <c r="AC334" s="266" t="s">
        <v>166</v>
      </c>
      <c r="AD334" s="266" t="s">
        <v>166</v>
      </c>
      <c r="AE334" s="266" t="s">
        <v>166</v>
      </c>
      <c r="AF334" s="266">
        <f t="shared" si="1"/>
        <v>6</v>
      </c>
      <c r="AG334" s="266">
        <v>3.0</v>
      </c>
      <c r="AH334" s="266">
        <v>2.0</v>
      </c>
      <c r="AI334" s="266" t="s">
        <v>5049</v>
      </c>
      <c r="AJ334" s="266">
        <v>1.0</v>
      </c>
      <c r="AK334" s="48" t="s">
        <v>5133</v>
      </c>
      <c r="AL334" s="48">
        <v>1.0</v>
      </c>
      <c r="AM334" s="48">
        <v>1.0</v>
      </c>
      <c r="AN334" s="705" t="s">
        <v>5027</v>
      </c>
      <c r="AO334" s="705" t="s">
        <v>5257</v>
      </c>
      <c r="AP334" s="507">
        <v>2400.0</v>
      </c>
      <c r="AQ334" s="507">
        <v>5.2</v>
      </c>
      <c r="AR334" s="48" t="s">
        <v>5039</v>
      </c>
      <c r="AS334" s="266" t="s">
        <v>166</v>
      </c>
      <c r="AT334" s="266">
        <v>3.0</v>
      </c>
      <c r="AU334" s="266">
        <v>1.0</v>
      </c>
      <c r="AV334" s="266">
        <v>1.0</v>
      </c>
      <c r="AW334" s="266">
        <v>2.0</v>
      </c>
      <c r="AX334" s="266" t="s">
        <v>166</v>
      </c>
      <c r="AY334" s="266" t="s">
        <v>166</v>
      </c>
      <c r="AZ334" s="266">
        <v>4.0</v>
      </c>
      <c r="BA334" s="266">
        <v>1.0</v>
      </c>
      <c r="BB334" s="266">
        <v>3.0</v>
      </c>
      <c r="BC334" s="266" t="s">
        <v>166</v>
      </c>
      <c r="BD334" s="266" t="s">
        <v>166</v>
      </c>
      <c r="BE334" s="48" t="s">
        <v>5338</v>
      </c>
      <c r="BF334" s="48" t="s">
        <v>4973</v>
      </c>
      <c r="BG334" s="48" t="s">
        <v>4963</v>
      </c>
      <c r="BH334" s="48">
        <v>6.0</v>
      </c>
      <c r="BI334" s="698" t="s">
        <v>5477</v>
      </c>
      <c r="BJ334" s="698"/>
      <c r="BK334" s="394"/>
      <c r="BL334" s="394"/>
      <c r="BM334" s="394"/>
      <c r="BN334" s="394"/>
      <c r="BO334" s="394"/>
      <c r="BP334" s="394"/>
    </row>
    <row r="335">
      <c r="A335" s="266" t="s">
        <v>1688</v>
      </c>
      <c r="B335" s="48">
        <v>1700.0</v>
      </c>
      <c r="C335" s="266" t="s">
        <v>5333</v>
      </c>
      <c r="D335" s="452" t="str">
        <f t="shared" si="50"/>
        <v>Asus</v>
      </c>
      <c r="E335" s="174" t="s">
        <v>5848</v>
      </c>
      <c r="F335" s="266">
        <v>244.0</v>
      </c>
      <c r="G335" s="266">
        <v>211.0</v>
      </c>
      <c r="H335" s="266">
        <v>4.0</v>
      </c>
      <c r="I335" s="266" t="s">
        <v>166</v>
      </c>
      <c r="J335" s="266">
        <v>2.0</v>
      </c>
      <c r="K335" s="266" t="s">
        <v>166</v>
      </c>
      <c r="L335" s="266" t="s">
        <v>166</v>
      </c>
      <c r="M335" s="266">
        <v>1.0</v>
      </c>
      <c r="N335" s="266" t="s">
        <v>166</v>
      </c>
      <c r="O335" s="266" t="s">
        <v>174</v>
      </c>
      <c r="P335" s="266" t="s">
        <v>166</v>
      </c>
      <c r="Q335" s="266" t="s">
        <v>166</v>
      </c>
      <c r="R335" s="266">
        <v>2.0</v>
      </c>
      <c r="S335" s="266" t="s">
        <v>3149</v>
      </c>
      <c r="T335" s="266">
        <v>64.0</v>
      </c>
      <c r="U335" s="266" t="s">
        <v>5286</v>
      </c>
      <c r="V335" s="266">
        <v>4.0</v>
      </c>
      <c r="W335" s="710" t="s">
        <v>5126</v>
      </c>
      <c r="X335" s="266">
        <v>2.0</v>
      </c>
      <c r="Y335" s="266">
        <v>4.0</v>
      </c>
      <c r="Z335" s="266" t="s">
        <v>166</v>
      </c>
      <c r="AA335" s="266" t="s">
        <v>166</v>
      </c>
      <c r="AB335" s="266" t="s">
        <v>166</v>
      </c>
      <c r="AC335" s="266" t="s">
        <v>166</v>
      </c>
      <c r="AD335" s="266" t="s">
        <v>166</v>
      </c>
      <c r="AE335" s="266" t="s">
        <v>166</v>
      </c>
      <c r="AF335" s="266">
        <f t="shared" si="1"/>
        <v>6</v>
      </c>
      <c r="AG335" s="266">
        <v>2.0</v>
      </c>
      <c r="AH335" s="266">
        <v>1.0</v>
      </c>
      <c r="AI335" s="266" t="s">
        <v>166</v>
      </c>
      <c r="AJ335" s="266">
        <v>1.0</v>
      </c>
      <c r="AK335" s="48" t="s">
        <v>4959</v>
      </c>
      <c r="AL335" s="48">
        <v>1.0</v>
      </c>
      <c r="AM335" s="48" t="s">
        <v>166</v>
      </c>
      <c r="AN335" s="48" t="s">
        <v>166</v>
      </c>
      <c r="AO335" s="48" t="s">
        <v>166</v>
      </c>
      <c r="AP335" s="266" t="s">
        <v>166</v>
      </c>
      <c r="AQ335" s="266" t="s">
        <v>166</v>
      </c>
      <c r="AR335" s="48" t="s">
        <v>5039</v>
      </c>
      <c r="AS335" s="266" t="s">
        <v>166</v>
      </c>
      <c r="AT335" s="266">
        <v>3.0</v>
      </c>
      <c r="AU335" s="266">
        <v>1.0</v>
      </c>
      <c r="AV335" s="266" t="s">
        <v>166</v>
      </c>
      <c r="AW335" s="266">
        <v>1.0</v>
      </c>
      <c r="AX335" s="266" t="s">
        <v>166</v>
      </c>
      <c r="AY335" s="266">
        <v>1.0</v>
      </c>
      <c r="AZ335" s="266">
        <v>2.0</v>
      </c>
      <c r="BA335" s="266">
        <v>1.0</v>
      </c>
      <c r="BB335" s="266" t="s">
        <v>166</v>
      </c>
      <c r="BC335" s="266" t="s">
        <v>166</v>
      </c>
      <c r="BD335" s="266" t="s">
        <v>166</v>
      </c>
      <c r="BE335" s="48" t="s">
        <v>5328</v>
      </c>
      <c r="BF335" s="48" t="s">
        <v>4973</v>
      </c>
      <c r="BG335" s="48" t="s">
        <v>4963</v>
      </c>
      <c r="BH335" s="48">
        <v>6.0</v>
      </c>
      <c r="BI335" s="698" t="s">
        <v>5849</v>
      </c>
      <c r="BJ335" s="698"/>
      <c r="BK335" s="394"/>
      <c r="BL335" s="394"/>
      <c r="BM335" s="394"/>
      <c r="BN335" s="394"/>
      <c r="BO335" s="394"/>
      <c r="BP335" s="394"/>
    </row>
    <row r="336">
      <c r="A336" s="266" t="s">
        <v>1688</v>
      </c>
      <c r="B336" s="48">
        <v>1700.0</v>
      </c>
      <c r="C336" s="266" t="s">
        <v>5333</v>
      </c>
      <c r="D336" s="452" t="str">
        <f t="shared" si="50"/>
        <v>Asus</v>
      </c>
      <c r="E336" s="174" t="s">
        <v>5850</v>
      </c>
      <c r="F336" s="266">
        <v>244.0</v>
      </c>
      <c r="G336" s="266">
        <v>244.0</v>
      </c>
      <c r="H336" s="266">
        <v>4.0</v>
      </c>
      <c r="I336" s="266" t="s">
        <v>166</v>
      </c>
      <c r="J336" s="266">
        <v>2.0</v>
      </c>
      <c r="K336" s="266" t="s">
        <v>166</v>
      </c>
      <c r="L336" s="507" t="s">
        <v>166</v>
      </c>
      <c r="M336" s="507">
        <v>1.0</v>
      </c>
      <c r="N336" s="266" t="s">
        <v>166</v>
      </c>
      <c r="O336" s="266" t="s">
        <v>174</v>
      </c>
      <c r="P336" s="266" t="s">
        <v>166</v>
      </c>
      <c r="Q336" s="266" t="s">
        <v>166</v>
      </c>
      <c r="R336" s="266">
        <v>4.0</v>
      </c>
      <c r="S336" s="266" t="s">
        <v>3151</v>
      </c>
      <c r="T336" s="266">
        <v>192.0</v>
      </c>
      <c r="U336" s="266" t="s">
        <v>5336</v>
      </c>
      <c r="V336" s="266">
        <v>4.0</v>
      </c>
      <c r="W336" s="710" t="s">
        <v>5126</v>
      </c>
      <c r="X336" s="266">
        <v>2.0</v>
      </c>
      <c r="Y336" s="266">
        <v>2.0</v>
      </c>
      <c r="Z336" s="266" t="s">
        <v>166</v>
      </c>
      <c r="AA336" s="266" t="s">
        <v>166</v>
      </c>
      <c r="AB336" s="266" t="s">
        <v>166</v>
      </c>
      <c r="AC336" s="266" t="s">
        <v>166</v>
      </c>
      <c r="AD336" s="266" t="s">
        <v>166</v>
      </c>
      <c r="AE336" s="266" t="s">
        <v>166</v>
      </c>
      <c r="AF336" s="266">
        <f t="shared" si="1"/>
        <v>4</v>
      </c>
      <c r="AG336" s="266">
        <v>2.0</v>
      </c>
      <c r="AH336" s="266">
        <v>1.0</v>
      </c>
      <c r="AI336" s="266" t="s">
        <v>5049</v>
      </c>
      <c r="AJ336" s="266">
        <v>1.0</v>
      </c>
      <c r="AK336" s="48" t="s">
        <v>5133</v>
      </c>
      <c r="AL336" s="48">
        <v>1.0</v>
      </c>
      <c r="AM336" s="48" t="s">
        <v>166</v>
      </c>
      <c r="AN336" s="48" t="s">
        <v>166</v>
      </c>
      <c r="AO336" s="48" t="s">
        <v>166</v>
      </c>
      <c r="AP336" s="266" t="s">
        <v>166</v>
      </c>
      <c r="AQ336" s="266" t="s">
        <v>166</v>
      </c>
      <c r="AR336" s="48" t="s">
        <v>5039</v>
      </c>
      <c r="AS336" s="266" t="s">
        <v>166</v>
      </c>
      <c r="AT336" s="266">
        <v>3.0</v>
      </c>
      <c r="AU336" s="266">
        <v>2.0</v>
      </c>
      <c r="AV336" s="266">
        <v>2.0</v>
      </c>
      <c r="AW336" s="266">
        <v>1.0</v>
      </c>
      <c r="AX336" s="266" t="s">
        <v>166</v>
      </c>
      <c r="AY336" s="266">
        <v>1.0</v>
      </c>
      <c r="AZ336" s="266">
        <v>3.0</v>
      </c>
      <c r="BA336" s="266" t="s">
        <v>166</v>
      </c>
      <c r="BB336" s="266" t="s">
        <v>166</v>
      </c>
      <c r="BC336" s="266" t="s">
        <v>174</v>
      </c>
      <c r="BD336" s="266" t="s">
        <v>166</v>
      </c>
      <c r="BE336" s="48" t="s">
        <v>5328</v>
      </c>
      <c r="BF336" s="48" t="s">
        <v>5143</v>
      </c>
      <c r="BG336" s="48" t="s">
        <v>4963</v>
      </c>
      <c r="BH336" s="48">
        <v>5.0</v>
      </c>
      <c r="BI336" s="698" t="s">
        <v>5849</v>
      </c>
      <c r="BJ336" s="698"/>
      <c r="BK336" s="394"/>
      <c r="BL336" s="394"/>
      <c r="BM336" s="394"/>
      <c r="BN336" s="394"/>
      <c r="BO336" s="394"/>
      <c r="BP336" s="394"/>
    </row>
    <row r="337">
      <c r="A337" s="266" t="s">
        <v>1688</v>
      </c>
      <c r="B337" s="48">
        <v>1700.0</v>
      </c>
      <c r="C337" s="266" t="s">
        <v>5333</v>
      </c>
      <c r="D337" s="452" t="str">
        <f t="shared" si="50"/>
        <v>Asus</v>
      </c>
      <c r="E337" s="174" t="s">
        <v>5851</v>
      </c>
      <c r="F337" s="266">
        <v>244.0</v>
      </c>
      <c r="G337" s="266">
        <v>244.0</v>
      </c>
      <c r="H337" s="266">
        <v>4.0</v>
      </c>
      <c r="I337" s="266" t="s">
        <v>166</v>
      </c>
      <c r="J337" s="266">
        <v>2.0</v>
      </c>
      <c r="K337" s="266" t="s">
        <v>166</v>
      </c>
      <c r="L337" s="507" t="s">
        <v>166</v>
      </c>
      <c r="M337" s="507">
        <v>1.0</v>
      </c>
      <c r="N337" s="266" t="s">
        <v>166</v>
      </c>
      <c r="O337" s="266" t="s">
        <v>174</v>
      </c>
      <c r="P337" s="266" t="s">
        <v>166</v>
      </c>
      <c r="Q337" s="266" t="s">
        <v>166</v>
      </c>
      <c r="R337" s="266">
        <v>4.0</v>
      </c>
      <c r="S337" s="266" t="s">
        <v>3149</v>
      </c>
      <c r="T337" s="266">
        <v>128.0</v>
      </c>
      <c r="U337" s="266" t="s">
        <v>5275</v>
      </c>
      <c r="V337" s="266">
        <v>4.0</v>
      </c>
      <c r="W337" s="710" t="s">
        <v>5126</v>
      </c>
      <c r="X337" s="266">
        <v>2.0</v>
      </c>
      <c r="Y337" s="266">
        <v>2.0</v>
      </c>
      <c r="Z337" s="266" t="s">
        <v>166</v>
      </c>
      <c r="AA337" s="266" t="s">
        <v>166</v>
      </c>
      <c r="AB337" s="266" t="s">
        <v>166</v>
      </c>
      <c r="AC337" s="266" t="s">
        <v>166</v>
      </c>
      <c r="AD337" s="266" t="s">
        <v>166</v>
      </c>
      <c r="AE337" s="266" t="s">
        <v>166</v>
      </c>
      <c r="AF337" s="266">
        <f t="shared" si="1"/>
        <v>4</v>
      </c>
      <c r="AG337" s="266">
        <v>2.0</v>
      </c>
      <c r="AH337" s="266">
        <v>1.0</v>
      </c>
      <c r="AI337" s="266" t="s">
        <v>5049</v>
      </c>
      <c r="AJ337" s="266">
        <v>1.0</v>
      </c>
      <c r="AK337" s="48" t="s">
        <v>5133</v>
      </c>
      <c r="AL337" s="48">
        <v>1.0</v>
      </c>
      <c r="AM337" s="48" t="s">
        <v>166</v>
      </c>
      <c r="AN337" s="48" t="s">
        <v>166</v>
      </c>
      <c r="AO337" s="48" t="s">
        <v>166</v>
      </c>
      <c r="AP337" s="266" t="s">
        <v>166</v>
      </c>
      <c r="AQ337" s="266" t="s">
        <v>166</v>
      </c>
      <c r="AR337" s="48" t="s">
        <v>5039</v>
      </c>
      <c r="AS337" s="266" t="s">
        <v>166</v>
      </c>
      <c r="AT337" s="266">
        <v>3.0</v>
      </c>
      <c r="AU337" s="266">
        <v>2.0</v>
      </c>
      <c r="AV337" s="266">
        <v>2.0</v>
      </c>
      <c r="AW337" s="266">
        <v>1.0</v>
      </c>
      <c r="AX337" s="266" t="s">
        <v>166</v>
      </c>
      <c r="AY337" s="266">
        <v>1.0</v>
      </c>
      <c r="AZ337" s="266">
        <v>3.0</v>
      </c>
      <c r="BA337" s="266" t="s">
        <v>166</v>
      </c>
      <c r="BB337" s="266" t="s">
        <v>166</v>
      </c>
      <c r="BC337" s="266" t="s">
        <v>174</v>
      </c>
      <c r="BD337" s="266" t="s">
        <v>166</v>
      </c>
      <c r="BE337" s="48" t="s">
        <v>5328</v>
      </c>
      <c r="BF337" s="48" t="s">
        <v>5143</v>
      </c>
      <c r="BG337" s="48" t="s">
        <v>4963</v>
      </c>
      <c r="BH337" s="48">
        <v>5.0</v>
      </c>
      <c r="BI337" s="698" t="s">
        <v>5849</v>
      </c>
      <c r="BJ337" s="698"/>
      <c r="BK337" s="394"/>
      <c r="BL337" s="394"/>
      <c r="BM337" s="394"/>
      <c r="BN337" s="394"/>
      <c r="BO337" s="394"/>
      <c r="BP337" s="394"/>
    </row>
    <row r="338">
      <c r="A338" s="266" t="s">
        <v>1688</v>
      </c>
      <c r="B338" s="48">
        <v>1700.0</v>
      </c>
      <c r="C338" s="266" t="s">
        <v>5333</v>
      </c>
      <c r="D338" s="452" t="str">
        <f t="shared" si="50"/>
        <v>Asus</v>
      </c>
      <c r="E338" s="174" t="s">
        <v>5852</v>
      </c>
      <c r="F338" s="266">
        <v>244.0</v>
      </c>
      <c r="G338" s="266">
        <v>244.0</v>
      </c>
      <c r="H338" s="266">
        <v>5.0</v>
      </c>
      <c r="I338" s="266" t="s">
        <v>166</v>
      </c>
      <c r="J338" s="266">
        <v>2.0</v>
      </c>
      <c r="K338" s="266" t="s">
        <v>166</v>
      </c>
      <c r="L338" s="507" t="s">
        <v>166</v>
      </c>
      <c r="M338" s="507">
        <v>2.0</v>
      </c>
      <c r="N338" s="266" t="s">
        <v>166</v>
      </c>
      <c r="O338" s="266" t="s">
        <v>174</v>
      </c>
      <c r="P338" s="266" t="s">
        <v>174</v>
      </c>
      <c r="Q338" s="266" t="s">
        <v>166</v>
      </c>
      <c r="R338" s="266">
        <v>4.0</v>
      </c>
      <c r="S338" s="266" t="s">
        <v>3151</v>
      </c>
      <c r="T338" s="266">
        <v>192.0</v>
      </c>
      <c r="U338" s="266" t="s">
        <v>5368</v>
      </c>
      <c r="V338" s="266">
        <v>4.0</v>
      </c>
      <c r="W338" s="710" t="s">
        <v>5126</v>
      </c>
      <c r="X338" s="266">
        <v>4.0</v>
      </c>
      <c r="Y338" s="266">
        <v>2.0</v>
      </c>
      <c r="Z338" s="266">
        <v>1.0</v>
      </c>
      <c r="AA338" s="266">
        <v>1.0</v>
      </c>
      <c r="AB338" s="266" t="s">
        <v>166</v>
      </c>
      <c r="AC338" s="266">
        <v>1.0</v>
      </c>
      <c r="AD338" s="266" t="s">
        <v>166</v>
      </c>
      <c r="AE338" s="266" t="s">
        <v>166</v>
      </c>
      <c r="AF338" s="266">
        <f t="shared" si="1"/>
        <v>9</v>
      </c>
      <c r="AG338" s="266">
        <v>2.0</v>
      </c>
      <c r="AH338" s="266">
        <v>1.0</v>
      </c>
      <c r="AI338" s="266" t="s">
        <v>5025</v>
      </c>
      <c r="AJ338" s="266">
        <v>1.0</v>
      </c>
      <c r="AK338" s="48" t="s">
        <v>5026</v>
      </c>
      <c r="AL338" s="705">
        <v>2.5</v>
      </c>
      <c r="AM338" s="705">
        <v>1.0</v>
      </c>
      <c r="AN338" s="705" t="s">
        <v>5027</v>
      </c>
      <c r="AO338" s="705" t="s">
        <v>5257</v>
      </c>
      <c r="AP338" s="507">
        <v>2400.0</v>
      </c>
      <c r="AQ338" s="507">
        <v>5.2</v>
      </c>
      <c r="AR338" s="48" t="s">
        <v>5288</v>
      </c>
      <c r="AS338" s="266" t="s">
        <v>166</v>
      </c>
      <c r="AT338" s="266">
        <v>5.0</v>
      </c>
      <c r="AU338" s="266" t="s">
        <v>166</v>
      </c>
      <c r="AV338" s="266">
        <v>1.0</v>
      </c>
      <c r="AW338" s="266">
        <v>1.0</v>
      </c>
      <c r="AX338" s="266" t="s">
        <v>166</v>
      </c>
      <c r="AY338" s="266" t="s">
        <v>166</v>
      </c>
      <c r="AZ338" s="266">
        <v>4.0</v>
      </c>
      <c r="BA338" s="266">
        <v>1.0</v>
      </c>
      <c r="BB338" s="266">
        <v>3.0</v>
      </c>
      <c r="BC338" s="266" t="s">
        <v>174</v>
      </c>
      <c r="BD338" s="266" t="s">
        <v>174</v>
      </c>
      <c r="BE338" s="48" t="s">
        <v>5338</v>
      </c>
      <c r="BF338" s="48" t="s">
        <v>5800</v>
      </c>
      <c r="BG338" s="48" t="s">
        <v>4955</v>
      </c>
      <c r="BH338" s="48">
        <v>12.0</v>
      </c>
      <c r="BI338" s="698" t="s">
        <v>5794</v>
      </c>
      <c r="BJ338" s="698"/>
      <c r="BK338" s="394"/>
      <c r="BL338" s="394"/>
      <c r="BM338" s="394"/>
      <c r="BN338" s="394"/>
      <c r="BO338" s="394"/>
      <c r="BP338" s="394"/>
    </row>
    <row r="339">
      <c r="A339" s="266" t="s">
        <v>1688</v>
      </c>
      <c r="B339" s="48">
        <v>1700.0</v>
      </c>
      <c r="C339" s="266" t="s">
        <v>5333</v>
      </c>
      <c r="D339" s="452" t="str">
        <f t="shared" si="50"/>
        <v>Asus</v>
      </c>
      <c r="E339" s="174" t="s">
        <v>5853</v>
      </c>
      <c r="F339" s="266">
        <v>244.0</v>
      </c>
      <c r="G339" s="266">
        <v>244.0</v>
      </c>
      <c r="H339" s="266">
        <v>4.0</v>
      </c>
      <c r="I339" s="266" t="s">
        <v>166</v>
      </c>
      <c r="J339" s="266">
        <v>1.0</v>
      </c>
      <c r="K339" s="266" t="s">
        <v>166</v>
      </c>
      <c r="L339" s="507" t="s">
        <v>166</v>
      </c>
      <c r="M339" s="507">
        <v>2.0</v>
      </c>
      <c r="N339" s="266" t="s">
        <v>166</v>
      </c>
      <c r="O339" s="266" t="s">
        <v>174</v>
      </c>
      <c r="P339" s="266" t="s">
        <v>166</v>
      </c>
      <c r="Q339" s="266" t="s">
        <v>166</v>
      </c>
      <c r="R339" s="266">
        <v>4.0</v>
      </c>
      <c r="S339" s="266" t="s">
        <v>3149</v>
      </c>
      <c r="T339" s="266">
        <v>128.0</v>
      </c>
      <c r="U339" s="266" t="s">
        <v>5286</v>
      </c>
      <c r="V339" s="266">
        <v>4.0</v>
      </c>
      <c r="W339" s="710" t="s">
        <v>5126</v>
      </c>
      <c r="X339" s="266">
        <v>2.0</v>
      </c>
      <c r="Y339" s="266">
        <v>2.0</v>
      </c>
      <c r="Z339" s="266" t="s">
        <v>166</v>
      </c>
      <c r="AA339" s="266">
        <v>2.0</v>
      </c>
      <c r="AB339" s="266" t="s">
        <v>166</v>
      </c>
      <c r="AC339" s="266" t="s">
        <v>166</v>
      </c>
      <c r="AD339" s="266" t="s">
        <v>166</v>
      </c>
      <c r="AE339" s="266" t="s">
        <v>166</v>
      </c>
      <c r="AF339" s="266">
        <f t="shared" si="1"/>
        <v>6</v>
      </c>
      <c r="AG339" s="266">
        <v>2.0</v>
      </c>
      <c r="AH339" s="266">
        <v>1.0</v>
      </c>
      <c r="AI339" s="266" t="s">
        <v>5025</v>
      </c>
      <c r="AJ339" s="266">
        <v>1.0</v>
      </c>
      <c r="AK339" s="48" t="s">
        <v>5038</v>
      </c>
      <c r="AL339" s="48">
        <v>2.5</v>
      </c>
      <c r="AM339" s="705">
        <v>1.0</v>
      </c>
      <c r="AN339" s="705" t="s">
        <v>166</v>
      </c>
      <c r="AO339" s="705" t="s">
        <v>232</v>
      </c>
      <c r="AP339" s="507" t="s">
        <v>166</v>
      </c>
      <c r="AQ339" s="507" t="s">
        <v>166</v>
      </c>
      <c r="AR339" s="48" t="s">
        <v>5039</v>
      </c>
      <c r="AS339" s="266" t="s">
        <v>166</v>
      </c>
      <c r="AT339" s="266">
        <v>3.0</v>
      </c>
      <c r="AU339" s="266">
        <v>1.0</v>
      </c>
      <c r="AV339" s="266">
        <v>1.0</v>
      </c>
      <c r="AW339" s="266">
        <v>1.0</v>
      </c>
      <c r="AX339" s="266" t="s">
        <v>166</v>
      </c>
      <c r="AY339" s="266" t="s">
        <v>166</v>
      </c>
      <c r="AZ339" s="266">
        <v>4.0</v>
      </c>
      <c r="BA339" s="266">
        <v>1.0</v>
      </c>
      <c r="BB339" s="266">
        <v>3.0</v>
      </c>
      <c r="BC339" s="266" t="s">
        <v>174</v>
      </c>
      <c r="BD339" s="266" t="s">
        <v>166</v>
      </c>
      <c r="BE339" s="48" t="s">
        <v>5338</v>
      </c>
      <c r="BF339" s="48" t="s">
        <v>5226</v>
      </c>
      <c r="BG339" s="48" t="s">
        <v>4963</v>
      </c>
      <c r="BH339" s="48">
        <v>8.0</v>
      </c>
      <c r="BI339" s="698" t="s">
        <v>5849</v>
      </c>
      <c r="BJ339" s="698"/>
      <c r="BK339" s="394"/>
      <c r="BL339" s="394"/>
      <c r="BM339" s="394"/>
      <c r="BN339" s="394"/>
      <c r="BO339" s="394"/>
      <c r="BP339" s="394"/>
    </row>
    <row r="340">
      <c r="A340" s="266" t="s">
        <v>1688</v>
      </c>
      <c r="B340" s="48">
        <v>1700.0</v>
      </c>
      <c r="C340" s="266" t="s">
        <v>5333</v>
      </c>
      <c r="D340" s="452" t="str">
        <f t="shared" si="50"/>
        <v>Asus</v>
      </c>
      <c r="E340" s="174" t="s">
        <v>5854</v>
      </c>
      <c r="F340" s="266">
        <v>244.0</v>
      </c>
      <c r="G340" s="266">
        <v>244.0</v>
      </c>
      <c r="H340" s="266">
        <v>5.0</v>
      </c>
      <c r="I340" s="266" t="s">
        <v>166</v>
      </c>
      <c r="J340" s="266">
        <v>1.0</v>
      </c>
      <c r="K340" s="266" t="s">
        <v>166</v>
      </c>
      <c r="L340" s="507" t="s">
        <v>166</v>
      </c>
      <c r="M340" s="507">
        <v>2.0</v>
      </c>
      <c r="N340" s="266" t="s">
        <v>166</v>
      </c>
      <c r="O340" s="266" t="s">
        <v>174</v>
      </c>
      <c r="P340" s="266" t="s">
        <v>166</v>
      </c>
      <c r="Q340" s="266" t="s">
        <v>166</v>
      </c>
      <c r="R340" s="266">
        <v>4.0</v>
      </c>
      <c r="S340" s="266" t="s">
        <v>3149</v>
      </c>
      <c r="T340" s="266">
        <v>128.0</v>
      </c>
      <c r="U340" s="266" t="s">
        <v>5286</v>
      </c>
      <c r="V340" s="266">
        <v>4.0</v>
      </c>
      <c r="W340" s="710" t="s">
        <v>5126</v>
      </c>
      <c r="X340" s="266">
        <v>2.0</v>
      </c>
      <c r="Y340" s="266">
        <v>1.0</v>
      </c>
      <c r="Z340" s="266" t="s">
        <v>166</v>
      </c>
      <c r="AA340" s="266">
        <v>4.0</v>
      </c>
      <c r="AB340" s="266" t="s">
        <v>166</v>
      </c>
      <c r="AC340" s="266">
        <v>1.0</v>
      </c>
      <c r="AD340" s="266" t="s">
        <v>166</v>
      </c>
      <c r="AE340" s="266" t="s">
        <v>166</v>
      </c>
      <c r="AF340" s="266">
        <f t="shared" si="1"/>
        <v>8</v>
      </c>
      <c r="AG340" s="266">
        <v>2.0</v>
      </c>
      <c r="AH340" s="266">
        <v>1.0</v>
      </c>
      <c r="AI340" s="266" t="s">
        <v>5049</v>
      </c>
      <c r="AJ340" s="266">
        <v>1.0</v>
      </c>
      <c r="AK340" s="48" t="s">
        <v>5038</v>
      </c>
      <c r="AL340" s="48">
        <v>2.5</v>
      </c>
      <c r="AM340" s="705" t="s">
        <v>166</v>
      </c>
      <c r="AN340" s="705" t="s">
        <v>166</v>
      </c>
      <c r="AO340" s="705" t="s">
        <v>166</v>
      </c>
      <c r="AP340" s="507" t="s">
        <v>166</v>
      </c>
      <c r="AQ340" s="507" t="s">
        <v>166</v>
      </c>
      <c r="AR340" s="48" t="s">
        <v>5039</v>
      </c>
      <c r="AS340" s="266" t="s">
        <v>174</v>
      </c>
      <c r="AT340" s="266">
        <v>5.0</v>
      </c>
      <c r="AU340" s="266" t="s">
        <v>166</v>
      </c>
      <c r="AV340" s="266">
        <v>1.0</v>
      </c>
      <c r="AW340" s="266">
        <v>1.0</v>
      </c>
      <c r="AX340" s="266" t="s">
        <v>166</v>
      </c>
      <c r="AY340" s="266" t="s">
        <v>166</v>
      </c>
      <c r="AZ340" s="266">
        <v>6.0</v>
      </c>
      <c r="BA340" s="266">
        <v>1.0</v>
      </c>
      <c r="BB340" s="266">
        <v>3.0</v>
      </c>
      <c r="BC340" s="266" t="s">
        <v>174</v>
      </c>
      <c r="BD340" s="266" t="s">
        <v>174</v>
      </c>
      <c r="BE340" s="48" t="s">
        <v>5338</v>
      </c>
      <c r="BF340" s="48" t="s">
        <v>5318</v>
      </c>
      <c r="BG340" s="48" t="s">
        <v>4955</v>
      </c>
      <c r="BH340" s="48">
        <v>10.0</v>
      </c>
      <c r="BI340" s="698" t="s">
        <v>5009</v>
      </c>
      <c r="BJ340" s="698"/>
      <c r="BK340" s="394"/>
      <c r="BL340" s="394"/>
      <c r="BM340" s="394"/>
      <c r="BN340" s="394"/>
      <c r="BO340" s="394"/>
      <c r="BP340" s="394"/>
    </row>
    <row r="341">
      <c r="A341" s="266" t="s">
        <v>1688</v>
      </c>
      <c r="B341" s="48">
        <v>1700.0</v>
      </c>
      <c r="C341" s="266" t="s">
        <v>5333</v>
      </c>
      <c r="D341" s="452" t="str">
        <f t="shared" si="50"/>
        <v>Asus</v>
      </c>
      <c r="E341" s="174" t="s">
        <v>5855</v>
      </c>
      <c r="F341" s="266">
        <v>244.0</v>
      </c>
      <c r="G341" s="266">
        <v>244.0</v>
      </c>
      <c r="H341" s="266">
        <v>5.0</v>
      </c>
      <c r="I341" s="266" t="s">
        <v>166</v>
      </c>
      <c r="J341" s="266">
        <v>1.0</v>
      </c>
      <c r="K341" s="266" t="s">
        <v>166</v>
      </c>
      <c r="L341" s="507" t="s">
        <v>166</v>
      </c>
      <c r="M341" s="507">
        <v>2.0</v>
      </c>
      <c r="N341" s="266" t="s">
        <v>166</v>
      </c>
      <c r="O341" s="266" t="s">
        <v>174</v>
      </c>
      <c r="P341" s="266" t="s">
        <v>166</v>
      </c>
      <c r="Q341" s="266" t="s">
        <v>166</v>
      </c>
      <c r="R341" s="266">
        <v>4.0</v>
      </c>
      <c r="S341" s="266" t="s">
        <v>3151</v>
      </c>
      <c r="T341" s="266">
        <v>192.0</v>
      </c>
      <c r="U341" s="266" t="s">
        <v>5368</v>
      </c>
      <c r="V341" s="266">
        <v>4.0</v>
      </c>
      <c r="W341" s="710" t="s">
        <v>5126</v>
      </c>
      <c r="X341" s="266">
        <v>2.0</v>
      </c>
      <c r="Y341" s="266">
        <v>1.0</v>
      </c>
      <c r="Z341" s="266" t="s">
        <v>166</v>
      </c>
      <c r="AA341" s="266">
        <v>4.0</v>
      </c>
      <c r="AB341" s="266" t="s">
        <v>166</v>
      </c>
      <c r="AC341" s="266">
        <v>1.0</v>
      </c>
      <c r="AD341" s="266" t="s">
        <v>166</v>
      </c>
      <c r="AE341" s="266" t="s">
        <v>166</v>
      </c>
      <c r="AF341" s="266">
        <f t="shared" si="1"/>
        <v>8</v>
      </c>
      <c r="AG341" s="266">
        <v>2.0</v>
      </c>
      <c r="AH341" s="266">
        <v>1.0</v>
      </c>
      <c r="AI341" s="266" t="s">
        <v>5049</v>
      </c>
      <c r="AJ341" s="266">
        <v>1.0</v>
      </c>
      <c r="AK341" s="48" t="s">
        <v>5038</v>
      </c>
      <c r="AL341" s="48">
        <v>2.5</v>
      </c>
      <c r="AM341" s="705">
        <v>1.0</v>
      </c>
      <c r="AN341" s="705" t="s">
        <v>5027</v>
      </c>
      <c r="AO341" s="705" t="s">
        <v>5257</v>
      </c>
      <c r="AP341" s="507">
        <v>2400.0</v>
      </c>
      <c r="AQ341" s="507">
        <v>5.2</v>
      </c>
      <c r="AR341" s="48" t="s">
        <v>5039</v>
      </c>
      <c r="AS341" s="266" t="s">
        <v>174</v>
      </c>
      <c r="AT341" s="266">
        <v>5.0</v>
      </c>
      <c r="AU341" s="266" t="s">
        <v>166</v>
      </c>
      <c r="AV341" s="266">
        <v>1.0</v>
      </c>
      <c r="AW341" s="266">
        <v>1.0</v>
      </c>
      <c r="AX341" s="266" t="s">
        <v>166</v>
      </c>
      <c r="AY341" s="266" t="s">
        <v>166</v>
      </c>
      <c r="AZ341" s="266">
        <v>6.0</v>
      </c>
      <c r="BA341" s="266">
        <v>1.0</v>
      </c>
      <c r="BB341" s="266">
        <v>3.0</v>
      </c>
      <c r="BC341" s="266" t="s">
        <v>174</v>
      </c>
      <c r="BD341" s="266" t="s">
        <v>174</v>
      </c>
      <c r="BE341" s="48" t="s">
        <v>5338</v>
      </c>
      <c r="BF341" s="48" t="s">
        <v>5318</v>
      </c>
      <c r="BG341" s="48" t="s">
        <v>4955</v>
      </c>
      <c r="BH341" s="48">
        <v>10.0</v>
      </c>
      <c r="BI341" s="698" t="s">
        <v>5009</v>
      </c>
      <c r="BJ341" s="698"/>
      <c r="BK341" s="394"/>
      <c r="BL341" s="394"/>
      <c r="BM341" s="394"/>
      <c r="BN341" s="394"/>
      <c r="BO341" s="394"/>
      <c r="BP341" s="394"/>
    </row>
    <row r="342">
      <c r="A342" s="266" t="s">
        <v>1688</v>
      </c>
      <c r="B342" s="48">
        <v>1700.0</v>
      </c>
      <c r="C342" s="266" t="s">
        <v>5333</v>
      </c>
      <c r="D342" s="452" t="str">
        <f t="shared" si="50"/>
        <v>Asus</v>
      </c>
      <c r="E342" s="174" t="s">
        <v>5856</v>
      </c>
      <c r="F342" s="266">
        <v>244.0</v>
      </c>
      <c r="G342" s="266">
        <v>244.0</v>
      </c>
      <c r="H342" s="266">
        <v>5.0</v>
      </c>
      <c r="I342" s="266" t="s">
        <v>166</v>
      </c>
      <c r="J342" s="266">
        <v>1.0</v>
      </c>
      <c r="K342" s="266" t="s">
        <v>166</v>
      </c>
      <c r="L342" s="507" t="s">
        <v>166</v>
      </c>
      <c r="M342" s="507">
        <v>2.0</v>
      </c>
      <c r="N342" s="266" t="s">
        <v>166</v>
      </c>
      <c r="O342" s="266" t="s">
        <v>174</v>
      </c>
      <c r="P342" s="266" t="s">
        <v>166</v>
      </c>
      <c r="Q342" s="266" t="s">
        <v>166</v>
      </c>
      <c r="R342" s="266">
        <v>4.0</v>
      </c>
      <c r="S342" s="266" t="s">
        <v>3149</v>
      </c>
      <c r="T342" s="266">
        <v>128.0</v>
      </c>
      <c r="U342" s="266" t="s">
        <v>5286</v>
      </c>
      <c r="V342" s="266">
        <v>4.0</v>
      </c>
      <c r="W342" s="710" t="s">
        <v>5126</v>
      </c>
      <c r="X342" s="266">
        <v>2.0</v>
      </c>
      <c r="Y342" s="266">
        <v>1.0</v>
      </c>
      <c r="Z342" s="266" t="s">
        <v>166</v>
      </c>
      <c r="AA342" s="266">
        <v>4.0</v>
      </c>
      <c r="AB342" s="266" t="s">
        <v>166</v>
      </c>
      <c r="AC342" s="266">
        <v>1.0</v>
      </c>
      <c r="AD342" s="266" t="s">
        <v>166</v>
      </c>
      <c r="AE342" s="266" t="s">
        <v>166</v>
      </c>
      <c r="AF342" s="266">
        <f t="shared" si="1"/>
        <v>8</v>
      </c>
      <c r="AG342" s="266">
        <v>2.0</v>
      </c>
      <c r="AH342" s="266">
        <v>1.0</v>
      </c>
      <c r="AI342" s="266" t="s">
        <v>5049</v>
      </c>
      <c r="AJ342" s="266">
        <v>1.0</v>
      </c>
      <c r="AK342" s="48" t="s">
        <v>5038</v>
      </c>
      <c r="AL342" s="48">
        <v>2.5</v>
      </c>
      <c r="AM342" s="705">
        <v>1.0</v>
      </c>
      <c r="AN342" s="705" t="s">
        <v>5027</v>
      </c>
      <c r="AO342" s="705" t="s">
        <v>5257</v>
      </c>
      <c r="AP342" s="507">
        <v>2400.0</v>
      </c>
      <c r="AQ342" s="507">
        <v>5.2</v>
      </c>
      <c r="AR342" s="48" t="s">
        <v>5039</v>
      </c>
      <c r="AS342" s="266" t="s">
        <v>174</v>
      </c>
      <c r="AT342" s="266">
        <v>5.0</v>
      </c>
      <c r="AU342" s="266" t="s">
        <v>166</v>
      </c>
      <c r="AV342" s="266">
        <v>1.0</v>
      </c>
      <c r="AW342" s="266">
        <v>1.0</v>
      </c>
      <c r="AX342" s="266" t="s">
        <v>166</v>
      </c>
      <c r="AY342" s="266" t="s">
        <v>166</v>
      </c>
      <c r="AZ342" s="266">
        <v>6.0</v>
      </c>
      <c r="BA342" s="266">
        <v>1.0</v>
      </c>
      <c r="BB342" s="266">
        <v>3.0</v>
      </c>
      <c r="BC342" s="266" t="s">
        <v>174</v>
      </c>
      <c r="BD342" s="266" t="s">
        <v>174</v>
      </c>
      <c r="BE342" s="48" t="s">
        <v>5338</v>
      </c>
      <c r="BF342" s="48" t="s">
        <v>5318</v>
      </c>
      <c r="BG342" s="48" t="s">
        <v>4955</v>
      </c>
      <c r="BH342" s="48">
        <v>10.0</v>
      </c>
      <c r="BI342" s="698" t="s">
        <v>5009</v>
      </c>
      <c r="BJ342" s="698"/>
      <c r="BK342" s="394"/>
      <c r="BL342" s="394"/>
      <c r="BM342" s="394"/>
      <c r="BN342" s="394"/>
      <c r="BO342" s="394"/>
      <c r="BP342" s="394"/>
    </row>
    <row r="343">
      <c r="A343" s="266" t="s">
        <v>1688</v>
      </c>
      <c r="B343" s="48">
        <v>1700.0</v>
      </c>
      <c r="C343" s="266" t="s">
        <v>5333</v>
      </c>
      <c r="D343" s="506" t="str">
        <f t="shared" ref="D343:D347" si="51">HYPERLINK("https://www.biostar.com.tw/app/en/","Biostar")</f>
        <v>Biostar</v>
      </c>
      <c r="E343" s="174" t="s">
        <v>5857</v>
      </c>
      <c r="F343" s="266">
        <v>244.0</v>
      </c>
      <c r="G343" s="266">
        <v>244.0</v>
      </c>
      <c r="H343" s="266">
        <v>5.0</v>
      </c>
      <c r="I343" s="266" t="s">
        <v>166</v>
      </c>
      <c r="J343" s="266">
        <v>1.0</v>
      </c>
      <c r="K343" s="266" t="s">
        <v>166</v>
      </c>
      <c r="L343" s="507" t="s">
        <v>166</v>
      </c>
      <c r="M343" s="507">
        <v>2.0</v>
      </c>
      <c r="N343" s="266" t="s">
        <v>166</v>
      </c>
      <c r="O343" s="266" t="s">
        <v>174</v>
      </c>
      <c r="P343" s="266" t="s">
        <v>166</v>
      </c>
      <c r="Q343" s="266" t="s">
        <v>166</v>
      </c>
      <c r="R343" s="266">
        <v>4.0</v>
      </c>
      <c r="S343" s="266" t="s">
        <v>3149</v>
      </c>
      <c r="T343" s="266">
        <v>128.0</v>
      </c>
      <c r="U343" s="266" t="s">
        <v>5275</v>
      </c>
      <c r="V343" s="266">
        <v>4.0</v>
      </c>
      <c r="W343" s="710" t="s">
        <v>5305</v>
      </c>
      <c r="X343" s="266">
        <v>2.0</v>
      </c>
      <c r="Y343" s="266" t="s">
        <v>166</v>
      </c>
      <c r="Z343" s="266" t="s">
        <v>166</v>
      </c>
      <c r="AA343" s="266">
        <v>5.0</v>
      </c>
      <c r="AB343" s="266">
        <v>1.0</v>
      </c>
      <c r="AC343" s="266" t="s">
        <v>166</v>
      </c>
      <c r="AD343" s="266" t="s">
        <v>166</v>
      </c>
      <c r="AE343" s="266" t="s">
        <v>166</v>
      </c>
      <c r="AF343" s="266">
        <f t="shared" si="1"/>
        <v>8</v>
      </c>
      <c r="AG343" s="266">
        <v>2.0</v>
      </c>
      <c r="AH343" s="266">
        <v>1.0</v>
      </c>
      <c r="AI343" s="266" t="s">
        <v>5025</v>
      </c>
      <c r="AJ343" s="266">
        <v>1.0</v>
      </c>
      <c r="AK343" s="48" t="s">
        <v>5038</v>
      </c>
      <c r="AL343" s="48">
        <v>2.5</v>
      </c>
      <c r="AM343" s="705">
        <v>1.0</v>
      </c>
      <c r="AN343" s="705" t="s">
        <v>166</v>
      </c>
      <c r="AO343" s="705" t="s">
        <v>232</v>
      </c>
      <c r="AP343" s="507" t="s">
        <v>166</v>
      </c>
      <c r="AQ343" s="507" t="s">
        <v>166</v>
      </c>
      <c r="AR343" s="48" t="s">
        <v>4952</v>
      </c>
      <c r="AS343" s="266" t="s">
        <v>166</v>
      </c>
      <c r="AT343" s="266">
        <v>3.0</v>
      </c>
      <c r="AU343" s="266">
        <v>1.0</v>
      </c>
      <c r="AV343" s="266">
        <v>1.0</v>
      </c>
      <c r="AW343" s="266">
        <v>1.0</v>
      </c>
      <c r="AX343" s="266">
        <v>1.0</v>
      </c>
      <c r="AY343" s="266" t="s">
        <v>166</v>
      </c>
      <c r="AZ343" s="266">
        <v>5.0</v>
      </c>
      <c r="BA343" s="266">
        <v>1.0</v>
      </c>
      <c r="BB343" s="266">
        <v>2.0</v>
      </c>
      <c r="BC343" s="266" t="s">
        <v>174</v>
      </c>
      <c r="BD343" s="266" t="s">
        <v>166</v>
      </c>
      <c r="BE343" s="48" t="s">
        <v>5351</v>
      </c>
      <c r="BF343" s="48" t="s">
        <v>5800</v>
      </c>
      <c r="BG343" s="48" t="s">
        <v>4963</v>
      </c>
      <c r="BH343" s="48">
        <v>12.0</v>
      </c>
      <c r="BI343" s="698" t="s">
        <v>5858</v>
      </c>
      <c r="BJ343" s="698"/>
      <c r="BK343" s="394"/>
      <c r="BL343" s="394"/>
      <c r="BM343" s="394"/>
      <c r="BN343" s="394"/>
      <c r="BO343" s="394"/>
      <c r="BP343" s="394"/>
    </row>
    <row r="344">
      <c r="A344" s="266" t="s">
        <v>1688</v>
      </c>
      <c r="B344" s="48">
        <v>1700.0</v>
      </c>
      <c r="C344" s="266" t="s">
        <v>5333</v>
      </c>
      <c r="D344" s="506" t="str">
        <f t="shared" si="51"/>
        <v>Biostar</v>
      </c>
      <c r="E344" s="174" t="s">
        <v>5859</v>
      </c>
      <c r="F344" s="266">
        <v>236.0</v>
      </c>
      <c r="G344" s="266">
        <v>208.0</v>
      </c>
      <c r="H344" s="266">
        <v>4.0</v>
      </c>
      <c r="I344" s="266" t="s">
        <v>166</v>
      </c>
      <c r="J344" s="266">
        <v>1.0</v>
      </c>
      <c r="K344" s="266" t="s">
        <v>166</v>
      </c>
      <c r="L344" s="266" t="s">
        <v>166</v>
      </c>
      <c r="M344" s="266">
        <v>1.0</v>
      </c>
      <c r="N344" s="266" t="s">
        <v>166</v>
      </c>
      <c r="O344" s="266" t="s">
        <v>174</v>
      </c>
      <c r="P344" s="266" t="s">
        <v>166</v>
      </c>
      <c r="Q344" s="266" t="s">
        <v>166</v>
      </c>
      <c r="R344" s="266">
        <v>2.0</v>
      </c>
      <c r="S344" s="266" t="s">
        <v>3149</v>
      </c>
      <c r="T344" s="266">
        <v>64.0</v>
      </c>
      <c r="U344" s="266" t="s">
        <v>4996</v>
      </c>
      <c r="V344" s="266">
        <v>4.0</v>
      </c>
      <c r="W344" s="710" t="s">
        <v>4950</v>
      </c>
      <c r="X344" s="266">
        <v>4.0</v>
      </c>
      <c r="Y344" s="266">
        <v>2.0</v>
      </c>
      <c r="Z344" s="266" t="s">
        <v>166</v>
      </c>
      <c r="AA344" s="266" t="s">
        <v>166</v>
      </c>
      <c r="AB344" s="266" t="s">
        <v>166</v>
      </c>
      <c r="AC344" s="266" t="s">
        <v>166</v>
      </c>
      <c r="AD344" s="266" t="s">
        <v>166</v>
      </c>
      <c r="AE344" s="266" t="s">
        <v>166</v>
      </c>
      <c r="AF344" s="266">
        <f t="shared" si="1"/>
        <v>6</v>
      </c>
      <c r="AG344" s="266">
        <v>2.0</v>
      </c>
      <c r="AH344" s="266">
        <v>1.0</v>
      </c>
      <c r="AI344" s="266" t="s">
        <v>166</v>
      </c>
      <c r="AJ344" s="266">
        <v>1.0</v>
      </c>
      <c r="AK344" s="48" t="s">
        <v>5133</v>
      </c>
      <c r="AL344" s="705">
        <v>1.0</v>
      </c>
      <c r="AM344" s="705">
        <v>1.0</v>
      </c>
      <c r="AN344" s="705" t="s">
        <v>166</v>
      </c>
      <c r="AO344" s="705" t="s">
        <v>232</v>
      </c>
      <c r="AP344" s="507" t="s">
        <v>166</v>
      </c>
      <c r="AQ344" s="507" t="s">
        <v>166</v>
      </c>
      <c r="AR344" s="48" t="s">
        <v>5039</v>
      </c>
      <c r="AS344" s="266" t="s">
        <v>166</v>
      </c>
      <c r="AT344" s="266">
        <v>3.0</v>
      </c>
      <c r="AU344" s="266">
        <v>1.0</v>
      </c>
      <c r="AV344" s="266" t="s">
        <v>166</v>
      </c>
      <c r="AW344" s="266">
        <v>1.0</v>
      </c>
      <c r="AX344" s="266">
        <v>1.0</v>
      </c>
      <c r="AY344" s="266">
        <v>1.0</v>
      </c>
      <c r="AZ344" s="266">
        <v>2.0</v>
      </c>
      <c r="BA344" s="266" t="s">
        <v>166</v>
      </c>
      <c r="BB344" s="266" t="s">
        <v>166</v>
      </c>
      <c r="BC344" s="266" t="s">
        <v>166</v>
      </c>
      <c r="BD344" s="266" t="s">
        <v>166</v>
      </c>
      <c r="BE344" s="48" t="s">
        <v>170</v>
      </c>
      <c r="BF344" s="48" t="s">
        <v>170</v>
      </c>
      <c r="BG344" s="48" t="s">
        <v>170</v>
      </c>
      <c r="BH344" s="48" t="s">
        <v>170</v>
      </c>
      <c r="BI344" s="698" t="s">
        <v>170</v>
      </c>
      <c r="BJ344" s="698"/>
      <c r="BK344" s="394"/>
      <c r="BL344" s="394"/>
      <c r="BM344" s="394"/>
      <c r="BN344" s="394"/>
      <c r="BO344" s="394"/>
      <c r="BP344" s="394"/>
    </row>
    <row r="345">
      <c r="A345" s="266" t="s">
        <v>1688</v>
      </c>
      <c r="B345" s="48">
        <v>1700.0</v>
      </c>
      <c r="C345" s="266" t="s">
        <v>5333</v>
      </c>
      <c r="D345" s="506" t="str">
        <f t="shared" si="51"/>
        <v>Biostar</v>
      </c>
      <c r="E345" s="174" t="s">
        <v>5860</v>
      </c>
      <c r="F345" s="266">
        <v>244.0</v>
      </c>
      <c r="G345" s="266">
        <v>244.0</v>
      </c>
      <c r="H345" s="266">
        <v>4.0</v>
      </c>
      <c r="I345" s="266" t="s">
        <v>166</v>
      </c>
      <c r="J345" s="266">
        <v>1.0</v>
      </c>
      <c r="K345" s="266" t="s">
        <v>166</v>
      </c>
      <c r="L345" s="507" t="s">
        <v>166</v>
      </c>
      <c r="M345" s="507">
        <v>2.0</v>
      </c>
      <c r="N345" s="266" t="s">
        <v>166</v>
      </c>
      <c r="O345" s="266" t="s">
        <v>174</v>
      </c>
      <c r="P345" s="266" t="s">
        <v>166</v>
      </c>
      <c r="Q345" s="266" t="s">
        <v>166</v>
      </c>
      <c r="R345" s="266">
        <v>4.0</v>
      </c>
      <c r="S345" s="266" t="s">
        <v>3149</v>
      </c>
      <c r="T345" s="266">
        <v>128.0</v>
      </c>
      <c r="U345" s="266" t="s">
        <v>5047</v>
      </c>
      <c r="V345" s="266">
        <v>4.0</v>
      </c>
      <c r="W345" s="710" t="s">
        <v>5305</v>
      </c>
      <c r="X345" s="266">
        <v>2.0</v>
      </c>
      <c r="Y345" s="266">
        <v>4.0</v>
      </c>
      <c r="Z345" s="266" t="s">
        <v>166</v>
      </c>
      <c r="AA345" s="266" t="s">
        <v>166</v>
      </c>
      <c r="AB345" s="266" t="s">
        <v>166</v>
      </c>
      <c r="AC345" s="266" t="s">
        <v>166</v>
      </c>
      <c r="AD345" s="266" t="s">
        <v>166</v>
      </c>
      <c r="AE345" s="266" t="s">
        <v>166</v>
      </c>
      <c r="AF345" s="266">
        <f t="shared" si="1"/>
        <v>6</v>
      </c>
      <c r="AG345" s="266">
        <v>2.0</v>
      </c>
      <c r="AH345" s="266">
        <v>1.0</v>
      </c>
      <c r="AI345" s="266" t="s">
        <v>166</v>
      </c>
      <c r="AJ345" s="266">
        <v>1.0</v>
      </c>
      <c r="AK345" s="48" t="s">
        <v>5133</v>
      </c>
      <c r="AL345" s="705">
        <v>1.0</v>
      </c>
      <c r="AM345" s="705">
        <v>1.0</v>
      </c>
      <c r="AN345" s="705" t="s">
        <v>166</v>
      </c>
      <c r="AO345" s="705" t="s">
        <v>232</v>
      </c>
      <c r="AP345" s="507" t="s">
        <v>166</v>
      </c>
      <c r="AQ345" s="507" t="s">
        <v>166</v>
      </c>
      <c r="AR345" s="48" t="s">
        <v>5039</v>
      </c>
      <c r="AS345" s="266" t="s">
        <v>166</v>
      </c>
      <c r="AT345" s="266">
        <v>3.0</v>
      </c>
      <c r="AU345" s="266">
        <v>1.0</v>
      </c>
      <c r="AV345" s="266" t="s">
        <v>166</v>
      </c>
      <c r="AW345" s="266">
        <v>1.0</v>
      </c>
      <c r="AX345" s="266">
        <v>1.0</v>
      </c>
      <c r="AY345" s="266">
        <v>1.0</v>
      </c>
      <c r="AZ345" s="266">
        <v>3.0</v>
      </c>
      <c r="BA345" s="266">
        <v>1.0</v>
      </c>
      <c r="BB345" s="266">
        <v>2.0</v>
      </c>
      <c r="BC345" s="266" t="s">
        <v>174</v>
      </c>
      <c r="BD345" s="266" t="s">
        <v>166</v>
      </c>
      <c r="BE345" s="48" t="s">
        <v>170</v>
      </c>
      <c r="BF345" s="48" t="s">
        <v>170</v>
      </c>
      <c r="BG345" s="48" t="s">
        <v>170</v>
      </c>
      <c r="BH345" s="48" t="s">
        <v>170</v>
      </c>
      <c r="BI345" s="698" t="s">
        <v>170</v>
      </c>
      <c r="BJ345" s="698"/>
      <c r="BK345" s="394"/>
      <c r="BL345" s="394"/>
      <c r="BM345" s="394"/>
      <c r="BN345" s="394"/>
      <c r="BO345" s="394"/>
      <c r="BP345" s="394"/>
    </row>
    <row r="346">
      <c r="A346" s="266" t="s">
        <v>1688</v>
      </c>
      <c r="B346" s="48">
        <v>1700.0</v>
      </c>
      <c r="C346" s="266" t="s">
        <v>5333</v>
      </c>
      <c r="D346" s="506" t="str">
        <f t="shared" si="51"/>
        <v>Biostar</v>
      </c>
      <c r="E346" s="174" t="s">
        <v>5861</v>
      </c>
      <c r="F346" s="266">
        <v>244.0</v>
      </c>
      <c r="G346" s="266">
        <v>244.0</v>
      </c>
      <c r="H346" s="266">
        <v>4.0</v>
      </c>
      <c r="I346" s="266" t="s">
        <v>166</v>
      </c>
      <c r="J346" s="266" t="s">
        <v>166</v>
      </c>
      <c r="K346" s="266" t="s">
        <v>166</v>
      </c>
      <c r="L346" s="507" t="s">
        <v>166</v>
      </c>
      <c r="M346" s="507">
        <v>4.0</v>
      </c>
      <c r="N346" s="266" t="s">
        <v>166</v>
      </c>
      <c r="O346" s="266" t="s">
        <v>174</v>
      </c>
      <c r="P346" s="266" t="s">
        <v>166</v>
      </c>
      <c r="Q346" s="266" t="s">
        <v>166</v>
      </c>
      <c r="R346" s="266">
        <v>4.0</v>
      </c>
      <c r="S346" s="266" t="s">
        <v>3149</v>
      </c>
      <c r="T346" s="266">
        <v>128.0</v>
      </c>
      <c r="U346" s="266" t="s">
        <v>5047</v>
      </c>
      <c r="V346" s="266">
        <v>8.0</v>
      </c>
      <c r="W346" s="710" t="s">
        <v>5305</v>
      </c>
      <c r="X346" s="266">
        <v>2.0</v>
      </c>
      <c r="Y346" s="266" t="s">
        <v>166</v>
      </c>
      <c r="Z346" s="266" t="s">
        <v>166</v>
      </c>
      <c r="AA346" s="266">
        <v>4.0</v>
      </c>
      <c r="AB346" s="266" t="s">
        <v>166</v>
      </c>
      <c r="AC346" s="266" t="s">
        <v>166</v>
      </c>
      <c r="AD346" s="266" t="s">
        <v>166</v>
      </c>
      <c r="AE346" s="266" t="s">
        <v>166</v>
      </c>
      <c r="AF346" s="266">
        <f t="shared" si="1"/>
        <v>6</v>
      </c>
      <c r="AG346" s="266">
        <v>3.0</v>
      </c>
      <c r="AH346" s="266">
        <v>1.0</v>
      </c>
      <c r="AI346" s="266" t="s">
        <v>166</v>
      </c>
      <c r="AJ346" s="266">
        <v>1.0</v>
      </c>
      <c r="AK346" s="48" t="s">
        <v>5133</v>
      </c>
      <c r="AL346" s="705">
        <v>1.0</v>
      </c>
      <c r="AM346" s="705">
        <v>1.0</v>
      </c>
      <c r="AN346" s="705" t="s">
        <v>166</v>
      </c>
      <c r="AO346" s="705" t="s">
        <v>232</v>
      </c>
      <c r="AP346" s="507" t="s">
        <v>166</v>
      </c>
      <c r="AQ346" s="507" t="s">
        <v>166</v>
      </c>
      <c r="AR346" s="48" t="s">
        <v>5039</v>
      </c>
      <c r="AS346" s="266" t="s">
        <v>166</v>
      </c>
      <c r="AT346" s="266">
        <v>3.0</v>
      </c>
      <c r="AU346" s="266">
        <v>1.0</v>
      </c>
      <c r="AV346" s="266" t="s">
        <v>166</v>
      </c>
      <c r="AW346" s="266">
        <v>1.0</v>
      </c>
      <c r="AX346" s="266">
        <v>1.0</v>
      </c>
      <c r="AY346" s="266">
        <v>1.0</v>
      </c>
      <c r="AZ346" s="266">
        <v>2.0</v>
      </c>
      <c r="BA346" s="266">
        <v>1.0</v>
      </c>
      <c r="BB346" s="266">
        <v>2.0</v>
      </c>
      <c r="BC346" s="266" t="s">
        <v>174</v>
      </c>
      <c r="BD346" s="266" t="s">
        <v>166</v>
      </c>
      <c r="BE346" s="48" t="s">
        <v>170</v>
      </c>
      <c r="BF346" s="48" t="s">
        <v>170</v>
      </c>
      <c r="BG346" s="48" t="s">
        <v>170</v>
      </c>
      <c r="BH346" s="48" t="s">
        <v>170</v>
      </c>
      <c r="BI346" s="698" t="s">
        <v>170</v>
      </c>
      <c r="BJ346" s="698"/>
      <c r="BK346" s="394"/>
      <c r="BL346" s="394"/>
      <c r="BM346" s="394"/>
      <c r="BN346" s="394"/>
      <c r="BO346" s="394"/>
      <c r="BP346" s="394"/>
    </row>
    <row r="347">
      <c r="A347" s="266" t="s">
        <v>1688</v>
      </c>
      <c r="B347" s="48">
        <v>1700.0</v>
      </c>
      <c r="C347" s="266" t="s">
        <v>5333</v>
      </c>
      <c r="D347" s="506" t="str">
        <f t="shared" si="51"/>
        <v>Biostar</v>
      </c>
      <c r="E347" s="174" t="s">
        <v>5862</v>
      </c>
      <c r="F347" s="266">
        <v>244.0</v>
      </c>
      <c r="G347" s="266">
        <v>244.0</v>
      </c>
      <c r="H347" s="266">
        <v>5.0</v>
      </c>
      <c r="I347" s="266" t="s">
        <v>166</v>
      </c>
      <c r="J347" s="266">
        <v>1.0</v>
      </c>
      <c r="K347" s="266" t="s">
        <v>166</v>
      </c>
      <c r="L347" s="507" t="s">
        <v>166</v>
      </c>
      <c r="M347" s="507">
        <v>2.0</v>
      </c>
      <c r="N347" s="266" t="s">
        <v>166</v>
      </c>
      <c r="O347" s="266" t="s">
        <v>174</v>
      </c>
      <c r="P347" s="266" t="s">
        <v>166</v>
      </c>
      <c r="Q347" s="266" t="s">
        <v>166</v>
      </c>
      <c r="R347" s="266">
        <v>4.0</v>
      </c>
      <c r="S347" s="266" t="s">
        <v>3149</v>
      </c>
      <c r="T347" s="266">
        <v>128.0</v>
      </c>
      <c r="U347" s="266" t="s">
        <v>5275</v>
      </c>
      <c r="V347" s="266">
        <v>4.0</v>
      </c>
      <c r="W347" s="710" t="s">
        <v>5305</v>
      </c>
      <c r="X347" s="266">
        <v>2.0</v>
      </c>
      <c r="Y347" s="266" t="s">
        <v>166</v>
      </c>
      <c r="Z347" s="266" t="s">
        <v>166</v>
      </c>
      <c r="AA347" s="266">
        <v>5.0</v>
      </c>
      <c r="AB347" s="266">
        <v>1.0</v>
      </c>
      <c r="AC347" s="266" t="s">
        <v>166</v>
      </c>
      <c r="AD347" s="266" t="s">
        <v>166</v>
      </c>
      <c r="AE347" s="266" t="s">
        <v>166</v>
      </c>
      <c r="AF347" s="266">
        <f t="shared" si="1"/>
        <v>8</v>
      </c>
      <c r="AG347" s="266">
        <v>2.0</v>
      </c>
      <c r="AH347" s="266">
        <v>1.0</v>
      </c>
      <c r="AI347" s="266" t="s">
        <v>5025</v>
      </c>
      <c r="AJ347" s="266">
        <v>1.0</v>
      </c>
      <c r="AK347" s="48" t="s">
        <v>5038</v>
      </c>
      <c r="AL347" s="48">
        <v>2.5</v>
      </c>
      <c r="AM347" s="705">
        <v>1.0</v>
      </c>
      <c r="AN347" s="705" t="s">
        <v>166</v>
      </c>
      <c r="AO347" s="705" t="s">
        <v>232</v>
      </c>
      <c r="AP347" s="507" t="s">
        <v>166</v>
      </c>
      <c r="AQ347" s="507" t="s">
        <v>166</v>
      </c>
      <c r="AR347" s="48" t="s">
        <v>4952</v>
      </c>
      <c r="AS347" s="266" t="s">
        <v>166</v>
      </c>
      <c r="AT347" s="266">
        <v>3.0</v>
      </c>
      <c r="AU347" s="266">
        <v>1.0</v>
      </c>
      <c r="AV347" s="266">
        <v>1.0</v>
      </c>
      <c r="AW347" s="266">
        <v>1.0</v>
      </c>
      <c r="AX347" s="266">
        <v>1.0</v>
      </c>
      <c r="AY347" s="266" t="s">
        <v>166</v>
      </c>
      <c r="AZ347" s="266">
        <v>5.0</v>
      </c>
      <c r="BA347" s="266">
        <v>1.0</v>
      </c>
      <c r="BB347" s="266">
        <v>2.0</v>
      </c>
      <c r="BC347" s="266" t="s">
        <v>174</v>
      </c>
      <c r="BD347" s="266" t="s">
        <v>174</v>
      </c>
      <c r="BE347" s="48" t="s">
        <v>5351</v>
      </c>
      <c r="BF347" s="48" t="s">
        <v>5800</v>
      </c>
      <c r="BG347" s="48" t="s">
        <v>4963</v>
      </c>
      <c r="BH347" s="48">
        <v>12.0</v>
      </c>
      <c r="BI347" s="698" t="s">
        <v>5858</v>
      </c>
      <c r="BJ347" s="698"/>
      <c r="BK347" s="394"/>
      <c r="BL347" s="394"/>
      <c r="BM347" s="394"/>
      <c r="BN347" s="394"/>
      <c r="BO347" s="394"/>
      <c r="BP347" s="394"/>
    </row>
    <row r="348">
      <c r="A348" s="266" t="s">
        <v>1688</v>
      </c>
      <c r="B348" s="48">
        <v>1700.0</v>
      </c>
      <c r="C348" s="266" t="s">
        <v>5333</v>
      </c>
      <c r="D348" s="174" t="s">
        <v>3575</v>
      </c>
      <c r="E348" s="174" t="s">
        <v>5863</v>
      </c>
      <c r="F348" s="266">
        <v>244.0</v>
      </c>
      <c r="G348" s="266">
        <v>210.0</v>
      </c>
      <c r="H348" s="266">
        <v>4.0</v>
      </c>
      <c r="I348" s="266" t="s">
        <v>166</v>
      </c>
      <c r="J348" s="266">
        <v>1.0</v>
      </c>
      <c r="K348" s="266" t="s">
        <v>166</v>
      </c>
      <c r="L348" s="507" t="s">
        <v>166</v>
      </c>
      <c r="M348" s="507">
        <v>1.0</v>
      </c>
      <c r="N348" s="266" t="s">
        <v>166</v>
      </c>
      <c r="O348" s="266" t="s">
        <v>174</v>
      </c>
      <c r="P348" s="266" t="s">
        <v>166</v>
      </c>
      <c r="Q348" s="266" t="s">
        <v>166</v>
      </c>
      <c r="R348" s="266">
        <v>2.0</v>
      </c>
      <c r="S348" s="266" t="s">
        <v>3149</v>
      </c>
      <c r="T348" s="266">
        <v>64.0</v>
      </c>
      <c r="U348" s="266" t="s">
        <v>5223</v>
      </c>
      <c r="V348" s="266">
        <v>4.0</v>
      </c>
      <c r="W348" s="710" t="s">
        <v>5305</v>
      </c>
      <c r="X348" s="266">
        <v>2.0</v>
      </c>
      <c r="Y348" s="266">
        <v>4.0</v>
      </c>
      <c r="Z348" s="266" t="s">
        <v>166</v>
      </c>
      <c r="AA348" s="266" t="s">
        <v>166</v>
      </c>
      <c r="AB348" s="266" t="s">
        <v>166</v>
      </c>
      <c r="AC348" s="266" t="s">
        <v>166</v>
      </c>
      <c r="AD348" s="266" t="s">
        <v>166</v>
      </c>
      <c r="AE348" s="266" t="s">
        <v>166</v>
      </c>
      <c r="AF348" s="266">
        <f t="shared" si="1"/>
        <v>6</v>
      </c>
      <c r="AG348" s="266">
        <v>2.0</v>
      </c>
      <c r="AH348" s="266">
        <v>1.0</v>
      </c>
      <c r="AI348" s="266" t="s">
        <v>166</v>
      </c>
      <c r="AJ348" s="266">
        <v>1.0</v>
      </c>
      <c r="AK348" s="48" t="s">
        <v>170</v>
      </c>
      <c r="AL348" s="705">
        <v>1.0</v>
      </c>
      <c r="AM348" s="705" t="s">
        <v>166</v>
      </c>
      <c r="AN348" s="705" t="s">
        <v>166</v>
      </c>
      <c r="AO348" s="705" t="s">
        <v>166</v>
      </c>
      <c r="AP348" s="507" t="s">
        <v>166</v>
      </c>
      <c r="AQ348" s="507" t="s">
        <v>166</v>
      </c>
      <c r="AR348" s="48" t="s">
        <v>5039</v>
      </c>
      <c r="AS348" s="266" t="s">
        <v>166</v>
      </c>
      <c r="AT348" s="266">
        <v>3.0</v>
      </c>
      <c r="AU348" s="266">
        <v>1.0</v>
      </c>
      <c r="AV348" s="266">
        <v>1.0</v>
      </c>
      <c r="AW348" s="266">
        <v>1.0</v>
      </c>
      <c r="AX348" s="266" t="s">
        <v>166</v>
      </c>
      <c r="AY348" s="266">
        <v>1.0</v>
      </c>
      <c r="AZ348" s="266">
        <v>3.0</v>
      </c>
      <c r="BA348" s="266" t="s">
        <v>170</v>
      </c>
      <c r="BB348" s="266" t="s">
        <v>170</v>
      </c>
      <c r="BC348" s="266" t="s">
        <v>166</v>
      </c>
      <c r="BD348" s="266" t="s">
        <v>166</v>
      </c>
      <c r="BE348" s="48" t="s">
        <v>170</v>
      </c>
      <c r="BF348" s="48" t="s">
        <v>5226</v>
      </c>
      <c r="BG348" s="48" t="s">
        <v>4963</v>
      </c>
      <c r="BH348" s="48">
        <v>8.0</v>
      </c>
      <c r="BI348" s="698" t="s">
        <v>170</v>
      </c>
      <c r="BJ348" s="698"/>
      <c r="BK348" s="394"/>
      <c r="BL348" s="394"/>
      <c r="BM348" s="394"/>
      <c r="BN348" s="394"/>
      <c r="BO348" s="394"/>
      <c r="BP348" s="394"/>
    </row>
    <row r="349">
      <c r="A349" s="266" t="s">
        <v>1688</v>
      </c>
      <c r="B349" s="48">
        <v>1700.0</v>
      </c>
      <c r="C349" s="266" t="s">
        <v>5333</v>
      </c>
      <c r="D349" s="174" t="s">
        <v>3575</v>
      </c>
      <c r="E349" s="174" t="s">
        <v>5864</v>
      </c>
      <c r="F349" s="266">
        <v>244.0</v>
      </c>
      <c r="G349" s="266">
        <v>244.0</v>
      </c>
      <c r="H349" s="266">
        <v>5.0</v>
      </c>
      <c r="I349" s="266" t="s">
        <v>166</v>
      </c>
      <c r="J349" s="266">
        <v>1.0</v>
      </c>
      <c r="K349" s="266">
        <v>1.0</v>
      </c>
      <c r="L349" s="507" t="s">
        <v>166</v>
      </c>
      <c r="M349" s="507">
        <v>1.0</v>
      </c>
      <c r="N349" s="266" t="s">
        <v>166</v>
      </c>
      <c r="O349" s="266" t="s">
        <v>174</v>
      </c>
      <c r="P349" s="266" t="s">
        <v>174</v>
      </c>
      <c r="Q349" s="266" t="s">
        <v>166</v>
      </c>
      <c r="R349" s="266">
        <v>4.0</v>
      </c>
      <c r="S349" s="266" t="s">
        <v>3149</v>
      </c>
      <c r="T349" s="266">
        <v>128.0</v>
      </c>
      <c r="U349" s="266" t="s">
        <v>5175</v>
      </c>
      <c r="V349" s="266">
        <v>4.0</v>
      </c>
      <c r="W349" s="710" t="s">
        <v>5305</v>
      </c>
      <c r="X349" s="266">
        <v>4.0</v>
      </c>
      <c r="Y349" s="266">
        <v>2.0</v>
      </c>
      <c r="Z349" s="266" t="s">
        <v>166</v>
      </c>
      <c r="AA349" s="266" t="s">
        <v>166</v>
      </c>
      <c r="AB349" s="266">
        <v>1.0</v>
      </c>
      <c r="AC349" s="266" t="s">
        <v>166</v>
      </c>
      <c r="AD349" s="266" t="s">
        <v>166</v>
      </c>
      <c r="AE349" s="266" t="s">
        <v>166</v>
      </c>
      <c r="AF349" s="266">
        <f t="shared" si="1"/>
        <v>7</v>
      </c>
      <c r="AG349" s="266">
        <v>2.0</v>
      </c>
      <c r="AH349" s="266">
        <v>1.0</v>
      </c>
      <c r="AI349" s="266" t="s">
        <v>5049</v>
      </c>
      <c r="AJ349" s="266">
        <v>1.0</v>
      </c>
      <c r="AK349" s="48" t="s">
        <v>5026</v>
      </c>
      <c r="AL349" s="705">
        <v>2.5</v>
      </c>
      <c r="AM349" s="705">
        <v>1.0</v>
      </c>
      <c r="AN349" s="705" t="s">
        <v>5027</v>
      </c>
      <c r="AO349" s="705" t="s">
        <v>5865</v>
      </c>
      <c r="AP349" s="507">
        <v>2400.0</v>
      </c>
      <c r="AQ349" s="507">
        <v>5.2</v>
      </c>
      <c r="AR349" s="48" t="s">
        <v>5039</v>
      </c>
      <c r="AS349" s="266" t="s">
        <v>166</v>
      </c>
      <c r="AT349" s="266">
        <v>6.0</v>
      </c>
      <c r="AU349" s="266" t="s">
        <v>166</v>
      </c>
      <c r="AV349" s="266">
        <v>1.0</v>
      </c>
      <c r="AW349" s="266">
        <v>1.0</v>
      </c>
      <c r="AX349" s="266" t="s">
        <v>166</v>
      </c>
      <c r="AY349" s="266" t="s">
        <v>166</v>
      </c>
      <c r="AZ349" s="266">
        <v>5.0</v>
      </c>
      <c r="BA349" s="266">
        <v>2.0</v>
      </c>
      <c r="BB349" s="266">
        <v>2.0</v>
      </c>
      <c r="BC349" s="266" t="s">
        <v>166</v>
      </c>
      <c r="BD349" s="266" t="s">
        <v>174</v>
      </c>
      <c r="BE349" s="48" t="s">
        <v>5328</v>
      </c>
      <c r="BF349" s="48" t="s">
        <v>5384</v>
      </c>
      <c r="BG349" s="48" t="s">
        <v>4955</v>
      </c>
      <c r="BH349" s="48">
        <v>14.0</v>
      </c>
      <c r="BI349" s="698" t="s">
        <v>5245</v>
      </c>
      <c r="BJ349" s="698"/>
      <c r="BK349" s="394"/>
      <c r="BL349" s="394"/>
      <c r="BM349" s="394"/>
      <c r="BN349" s="394"/>
      <c r="BO349" s="394"/>
      <c r="BP349" s="394"/>
    </row>
    <row r="350">
      <c r="A350" s="266" t="s">
        <v>1688</v>
      </c>
      <c r="B350" s="48">
        <v>1700.0</v>
      </c>
      <c r="C350" s="266" t="s">
        <v>5333</v>
      </c>
      <c r="D350" s="174" t="s">
        <v>3575</v>
      </c>
      <c r="E350" s="174" t="s">
        <v>5866</v>
      </c>
      <c r="F350" s="266">
        <v>244.0</v>
      </c>
      <c r="G350" s="266">
        <v>244.0</v>
      </c>
      <c r="H350" s="266">
        <v>5.0</v>
      </c>
      <c r="I350" s="266" t="s">
        <v>166</v>
      </c>
      <c r="J350" s="266">
        <v>1.0</v>
      </c>
      <c r="K350" s="266">
        <v>1.0</v>
      </c>
      <c r="L350" s="507" t="s">
        <v>166</v>
      </c>
      <c r="M350" s="507">
        <v>1.0</v>
      </c>
      <c r="N350" s="266" t="s">
        <v>166</v>
      </c>
      <c r="O350" s="266" t="s">
        <v>174</v>
      </c>
      <c r="P350" s="266" t="s">
        <v>174</v>
      </c>
      <c r="Q350" s="266" t="s">
        <v>166</v>
      </c>
      <c r="R350" s="266">
        <v>4.0</v>
      </c>
      <c r="S350" s="266" t="s">
        <v>3149</v>
      </c>
      <c r="T350" s="266">
        <v>128.0</v>
      </c>
      <c r="U350" s="266" t="s">
        <v>5175</v>
      </c>
      <c r="V350" s="266">
        <v>4.0</v>
      </c>
      <c r="W350" s="710" t="s">
        <v>5305</v>
      </c>
      <c r="X350" s="266">
        <v>4.0</v>
      </c>
      <c r="Y350" s="266">
        <v>2.0</v>
      </c>
      <c r="Z350" s="266" t="s">
        <v>166</v>
      </c>
      <c r="AA350" s="266" t="s">
        <v>166</v>
      </c>
      <c r="AB350" s="266">
        <v>1.0</v>
      </c>
      <c r="AC350" s="266" t="s">
        <v>166</v>
      </c>
      <c r="AD350" s="266" t="s">
        <v>166</v>
      </c>
      <c r="AE350" s="266" t="s">
        <v>166</v>
      </c>
      <c r="AF350" s="266">
        <f t="shared" si="1"/>
        <v>7</v>
      </c>
      <c r="AG350" s="266">
        <v>2.0</v>
      </c>
      <c r="AH350" s="266">
        <v>1.0</v>
      </c>
      <c r="AI350" s="266" t="s">
        <v>5049</v>
      </c>
      <c r="AJ350" s="266">
        <v>1.0</v>
      </c>
      <c r="AK350" s="48" t="s">
        <v>5026</v>
      </c>
      <c r="AL350" s="705">
        <v>2.5</v>
      </c>
      <c r="AM350" s="705" t="s">
        <v>166</v>
      </c>
      <c r="AN350" s="705" t="s">
        <v>166</v>
      </c>
      <c r="AO350" s="705" t="s">
        <v>166</v>
      </c>
      <c r="AP350" s="507" t="s">
        <v>166</v>
      </c>
      <c r="AQ350" s="507" t="s">
        <v>166</v>
      </c>
      <c r="AR350" s="48" t="s">
        <v>5039</v>
      </c>
      <c r="AS350" s="266" t="s">
        <v>166</v>
      </c>
      <c r="AT350" s="266">
        <v>6.0</v>
      </c>
      <c r="AU350" s="266" t="s">
        <v>166</v>
      </c>
      <c r="AV350" s="266">
        <v>1.0</v>
      </c>
      <c r="AW350" s="266">
        <v>1.0</v>
      </c>
      <c r="AX350" s="266" t="s">
        <v>166</v>
      </c>
      <c r="AY350" s="266" t="s">
        <v>166</v>
      </c>
      <c r="AZ350" s="266">
        <v>5.0</v>
      </c>
      <c r="BA350" s="266">
        <v>2.0</v>
      </c>
      <c r="BB350" s="266">
        <v>2.0</v>
      </c>
      <c r="BC350" s="266" t="s">
        <v>166</v>
      </c>
      <c r="BD350" s="266" t="s">
        <v>174</v>
      </c>
      <c r="BE350" s="48" t="s">
        <v>5328</v>
      </c>
      <c r="BF350" s="48" t="s">
        <v>5384</v>
      </c>
      <c r="BG350" s="48" t="s">
        <v>4955</v>
      </c>
      <c r="BH350" s="48">
        <v>14.0</v>
      </c>
      <c r="BI350" s="698" t="s">
        <v>5245</v>
      </c>
      <c r="BJ350" s="698"/>
      <c r="BK350" s="394"/>
      <c r="BL350" s="394"/>
      <c r="BM350" s="394"/>
      <c r="BN350" s="394"/>
      <c r="BO350" s="394"/>
      <c r="BP350" s="394"/>
    </row>
    <row r="351">
      <c r="A351" s="266" t="s">
        <v>1688</v>
      </c>
      <c r="B351" s="48">
        <v>1700.0</v>
      </c>
      <c r="C351" s="266" t="s">
        <v>5333</v>
      </c>
      <c r="D351" s="452" t="str">
        <f t="shared" ref="D351:D367" si="52">HYPERLINK("https://www.gigabyte.com/","Gigabyte")</f>
        <v>Gigabyte</v>
      </c>
      <c r="E351" s="174" t="s">
        <v>5867</v>
      </c>
      <c r="F351" s="266">
        <v>244.0</v>
      </c>
      <c r="G351" s="266">
        <v>244.0</v>
      </c>
      <c r="H351" s="266">
        <v>4.0</v>
      </c>
      <c r="I351" s="266" t="s">
        <v>166</v>
      </c>
      <c r="J351" s="266" t="s">
        <v>166</v>
      </c>
      <c r="K351" s="266" t="s">
        <v>166</v>
      </c>
      <c r="L351" s="507" t="s">
        <v>166</v>
      </c>
      <c r="M351" s="507">
        <v>2.0</v>
      </c>
      <c r="N351" s="266" t="s">
        <v>166</v>
      </c>
      <c r="O351" s="266" t="s">
        <v>174</v>
      </c>
      <c r="P351" s="266" t="s">
        <v>174</v>
      </c>
      <c r="Q351" s="266" t="s">
        <v>166</v>
      </c>
      <c r="R351" s="266">
        <v>4.0</v>
      </c>
      <c r="S351" s="266" t="s">
        <v>3149</v>
      </c>
      <c r="T351" s="266">
        <v>128.0</v>
      </c>
      <c r="U351" s="266" t="s">
        <v>5286</v>
      </c>
      <c r="V351" s="266">
        <v>4.0</v>
      </c>
      <c r="W351" s="710" t="s">
        <v>5126</v>
      </c>
      <c r="X351" s="266">
        <v>4.0</v>
      </c>
      <c r="Y351" s="266">
        <v>2.0</v>
      </c>
      <c r="Z351" s="266" t="s">
        <v>166</v>
      </c>
      <c r="AA351" s="266">
        <v>1.0</v>
      </c>
      <c r="AB351" s="266">
        <v>1.0</v>
      </c>
      <c r="AC351" s="266" t="s">
        <v>166</v>
      </c>
      <c r="AD351" s="266" t="s">
        <v>166</v>
      </c>
      <c r="AE351" s="266" t="s">
        <v>166</v>
      </c>
      <c r="AF351" s="266">
        <f t="shared" si="1"/>
        <v>8</v>
      </c>
      <c r="AG351" s="266">
        <v>1.0</v>
      </c>
      <c r="AH351" s="266">
        <v>2.0</v>
      </c>
      <c r="AI351" s="266" t="s">
        <v>5025</v>
      </c>
      <c r="AJ351" s="266">
        <v>1.0</v>
      </c>
      <c r="AK351" s="48" t="s">
        <v>5038</v>
      </c>
      <c r="AL351" s="48">
        <v>2.5</v>
      </c>
      <c r="AM351" s="48" t="s">
        <v>166</v>
      </c>
      <c r="AN351" s="48" t="s">
        <v>166</v>
      </c>
      <c r="AO351" s="48" t="s">
        <v>166</v>
      </c>
      <c r="AP351" s="266" t="s">
        <v>166</v>
      </c>
      <c r="AQ351" s="266" t="s">
        <v>166</v>
      </c>
      <c r="AR351" s="48" t="s">
        <v>5039</v>
      </c>
      <c r="AS351" s="266" t="s">
        <v>174</v>
      </c>
      <c r="AT351" s="266">
        <v>2.0</v>
      </c>
      <c r="AU351" s="266" t="s">
        <v>166</v>
      </c>
      <c r="AV351" s="266">
        <v>1.0</v>
      </c>
      <c r="AW351" s="266">
        <v>1.0</v>
      </c>
      <c r="AX351" s="266" t="s">
        <v>166</v>
      </c>
      <c r="AY351" s="266" t="s">
        <v>166</v>
      </c>
      <c r="AZ351" s="266">
        <v>4.0</v>
      </c>
      <c r="BA351" s="266">
        <v>2.0</v>
      </c>
      <c r="BB351" s="266">
        <v>2.0</v>
      </c>
      <c r="BC351" s="266" t="s">
        <v>166</v>
      </c>
      <c r="BD351" s="266" t="s">
        <v>174</v>
      </c>
      <c r="BE351" s="48" t="s">
        <v>5331</v>
      </c>
      <c r="BF351" s="48" t="s">
        <v>5800</v>
      </c>
      <c r="BG351" s="48" t="s">
        <v>4955</v>
      </c>
      <c r="BH351" s="48">
        <v>12.0</v>
      </c>
      <c r="BI351" s="698" t="s">
        <v>5272</v>
      </c>
      <c r="BJ351" s="698"/>
      <c r="BK351" s="394"/>
      <c r="BL351" s="394"/>
      <c r="BM351" s="394"/>
      <c r="BN351" s="394"/>
      <c r="BO351" s="394"/>
      <c r="BP351" s="394"/>
    </row>
    <row r="352">
      <c r="A352" s="266" t="s">
        <v>1688</v>
      </c>
      <c r="B352" s="48">
        <v>1700.0</v>
      </c>
      <c r="C352" s="266" t="s">
        <v>5333</v>
      </c>
      <c r="D352" s="452" t="str">
        <f t="shared" si="52"/>
        <v>Gigabyte</v>
      </c>
      <c r="E352" s="174" t="s">
        <v>5868</v>
      </c>
      <c r="F352" s="266">
        <v>244.0</v>
      </c>
      <c r="G352" s="266">
        <v>244.0</v>
      </c>
      <c r="H352" s="266">
        <v>4.0</v>
      </c>
      <c r="I352" s="266" t="s">
        <v>166</v>
      </c>
      <c r="J352" s="266" t="s">
        <v>166</v>
      </c>
      <c r="K352" s="266" t="s">
        <v>166</v>
      </c>
      <c r="L352" s="507" t="s">
        <v>166</v>
      </c>
      <c r="M352" s="507">
        <v>2.0</v>
      </c>
      <c r="N352" s="266" t="s">
        <v>166</v>
      </c>
      <c r="O352" s="266" t="s">
        <v>174</v>
      </c>
      <c r="P352" s="266" t="s">
        <v>174</v>
      </c>
      <c r="Q352" s="266" t="s">
        <v>166</v>
      </c>
      <c r="R352" s="266">
        <v>4.0</v>
      </c>
      <c r="S352" s="266" t="s">
        <v>3149</v>
      </c>
      <c r="T352" s="266">
        <v>128.0</v>
      </c>
      <c r="U352" s="266" t="s">
        <v>5286</v>
      </c>
      <c r="V352" s="266">
        <v>4.0</v>
      </c>
      <c r="W352" s="710" t="s">
        <v>5126</v>
      </c>
      <c r="X352" s="266">
        <v>4.0</v>
      </c>
      <c r="Y352" s="266">
        <v>2.0</v>
      </c>
      <c r="Z352" s="266" t="s">
        <v>166</v>
      </c>
      <c r="AA352" s="266">
        <v>1.0</v>
      </c>
      <c r="AB352" s="266">
        <v>1.0</v>
      </c>
      <c r="AC352" s="266" t="s">
        <v>166</v>
      </c>
      <c r="AD352" s="266" t="s">
        <v>166</v>
      </c>
      <c r="AE352" s="266" t="s">
        <v>166</v>
      </c>
      <c r="AF352" s="266">
        <f t="shared" si="1"/>
        <v>8</v>
      </c>
      <c r="AG352" s="266">
        <v>1.0</v>
      </c>
      <c r="AH352" s="266">
        <v>2.0</v>
      </c>
      <c r="AI352" s="266" t="s">
        <v>5025</v>
      </c>
      <c r="AJ352" s="266">
        <v>1.0</v>
      </c>
      <c r="AK352" s="48" t="s">
        <v>5038</v>
      </c>
      <c r="AL352" s="48">
        <v>2.5</v>
      </c>
      <c r="AM352" s="705">
        <v>1.0</v>
      </c>
      <c r="AN352" s="48" t="s">
        <v>5044</v>
      </c>
      <c r="AO352" s="705" t="s">
        <v>5376</v>
      </c>
      <c r="AP352" s="266">
        <v>2400.0</v>
      </c>
      <c r="AQ352" s="266">
        <v>5.2</v>
      </c>
      <c r="AR352" s="48" t="s">
        <v>5039</v>
      </c>
      <c r="AS352" s="266" t="s">
        <v>174</v>
      </c>
      <c r="AT352" s="266">
        <v>2.0</v>
      </c>
      <c r="AU352" s="266" t="s">
        <v>166</v>
      </c>
      <c r="AV352" s="266">
        <v>1.0</v>
      </c>
      <c r="AW352" s="266">
        <v>1.0</v>
      </c>
      <c r="AX352" s="266" t="s">
        <v>166</v>
      </c>
      <c r="AY352" s="266" t="s">
        <v>166</v>
      </c>
      <c r="AZ352" s="266">
        <v>4.0</v>
      </c>
      <c r="BA352" s="266">
        <v>2.0</v>
      </c>
      <c r="BB352" s="266">
        <v>2.0</v>
      </c>
      <c r="BC352" s="266" t="s">
        <v>166</v>
      </c>
      <c r="BD352" s="266" t="s">
        <v>174</v>
      </c>
      <c r="BE352" s="48" t="s">
        <v>5331</v>
      </c>
      <c r="BF352" s="48" t="s">
        <v>5800</v>
      </c>
      <c r="BG352" s="48" t="s">
        <v>4955</v>
      </c>
      <c r="BH352" s="48">
        <v>12.0</v>
      </c>
      <c r="BI352" s="698" t="s">
        <v>5272</v>
      </c>
      <c r="BJ352" s="698"/>
      <c r="BK352" s="394"/>
      <c r="BL352" s="394"/>
      <c r="BM352" s="394"/>
      <c r="BN352" s="394"/>
      <c r="BO352" s="394"/>
      <c r="BP352" s="394"/>
    </row>
    <row r="353">
      <c r="A353" s="266" t="s">
        <v>1688</v>
      </c>
      <c r="B353" s="48">
        <v>1700.0</v>
      </c>
      <c r="C353" s="266" t="s">
        <v>5333</v>
      </c>
      <c r="D353" s="452" t="str">
        <f t="shared" si="52"/>
        <v>Gigabyte</v>
      </c>
      <c r="E353" s="174" t="s">
        <v>5869</v>
      </c>
      <c r="F353" s="266">
        <v>244.0</v>
      </c>
      <c r="G353" s="266">
        <v>244.0</v>
      </c>
      <c r="H353" s="266">
        <v>4.0</v>
      </c>
      <c r="I353" s="266" t="s">
        <v>166</v>
      </c>
      <c r="J353" s="266" t="s">
        <v>166</v>
      </c>
      <c r="K353" s="266" t="s">
        <v>166</v>
      </c>
      <c r="L353" s="507" t="s">
        <v>166</v>
      </c>
      <c r="M353" s="507">
        <v>2.0</v>
      </c>
      <c r="N353" s="266" t="s">
        <v>166</v>
      </c>
      <c r="O353" s="266" t="s">
        <v>174</v>
      </c>
      <c r="P353" s="266" t="s">
        <v>174</v>
      </c>
      <c r="Q353" s="266" t="s">
        <v>166</v>
      </c>
      <c r="R353" s="266">
        <v>4.0</v>
      </c>
      <c r="S353" s="266" t="s">
        <v>3151</v>
      </c>
      <c r="T353" s="266">
        <v>192.0</v>
      </c>
      <c r="U353" s="266" t="s">
        <v>5323</v>
      </c>
      <c r="V353" s="266">
        <v>4.0</v>
      </c>
      <c r="W353" s="710" t="s">
        <v>5126</v>
      </c>
      <c r="X353" s="266">
        <v>4.0</v>
      </c>
      <c r="Y353" s="266">
        <v>4.0</v>
      </c>
      <c r="Z353" s="266" t="s">
        <v>166</v>
      </c>
      <c r="AA353" s="266">
        <v>1.0</v>
      </c>
      <c r="AB353" s="266" t="s">
        <v>166</v>
      </c>
      <c r="AC353" s="266">
        <v>1.0</v>
      </c>
      <c r="AD353" s="266" t="s">
        <v>166</v>
      </c>
      <c r="AE353" s="266" t="s">
        <v>166</v>
      </c>
      <c r="AF353" s="266">
        <f t="shared" si="1"/>
        <v>10</v>
      </c>
      <c r="AG353" s="266">
        <v>2.0</v>
      </c>
      <c r="AH353" s="266">
        <v>1.0</v>
      </c>
      <c r="AI353" s="266" t="s">
        <v>5025</v>
      </c>
      <c r="AJ353" s="266">
        <v>1.0</v>
      </c>
      <c r="AK353" s="48" t="s">
        <v>5026</v>
      </c>
      <c r="AL353" s="705">
        <v>2.5</v>
      </c>
      <c r="AM353" s="48" t="s">
        <v>166</v>
      </c>
      <c r="AN353" s="48" t="s">
        <v>166</v>
      </c>
      <c r="AO353" s="48" t="s">
        <v>166</v>
      </c>
      <c r="AP353" s="266" t="s">
        <v>166</v>
      </c>
      <c r="AQ353" s="266" t="s">
        <v>166</v>
      </c>
      <c r="AR353" s="48" t="s">
        <v>5039</v>
      </c>
      <c r="AS353" s="266" t="s">
        <v>174</v>
      </c>
      <c r="AT353" s="266">
        <v>2.0</v>
      </c>
      <c r="AU353" s="266" t="s">
        <v>166</v>
      </c>
      <c r="AV353" s="266">
        <v>1.0</v>
      </c>
      <c r="AW353" s="266">
        <v>1.0</v>
      </c>
      <c r="AX353" s="266" t="s">
        <v>166</v>
      </c>
      <c r="AY353" s="266" t="s">
        <v>166</v>
      </c>
      <c r="AZ353" s="266">
        <v>6.0</v>
      </c>
      <c r="BA353" s="266">
        <v>2.0</v>
      </c>
      <c r="BB353" s="266">
        <v>2.0</v>
      </c>
      <c r="BC353" s="266" t="s">
        <v>166</v>
      </c>
      <c r="BD353" s="266" t="s">
        <v>174</v>
      </c>
      <c r="BE353" s="48" t="s">
        <v>5331</v>
      </c>
      <c r="BF353" s="48" t="s">
        <v>5800</v>
      </c>
      <c r="BG353" s="48" t="s">
        <v>4955</v>
      </c>
      <c r="BH353" s="48">
        <v>12.0</v>
      </c>
      <c r="BI353" s="698" t="s">
        <v>5272</v>
      </c>
      <c r="BJ353" s="698"/>
      <c r="BK353" s="394"/>
      <c r="BL353" s="394"/>
      <c r="BM353" s="394"/>
      <c r="BN353" s="394"/>
      <c r="BO353" s="394"/>
      <c r="BP353" s="394"/>
    </row>
    <row r="354">
      <c r="A354" s="266" t="s">
        <v>1688</v>
      </c>
      <c r="B354" s="48">
        <v>1700.0</v>
      </c>
      <c r="C354" s="266" t="s">
        <v>5333</v>
      </c>
      <c r="D354" s="452" t="str">
        <f t="shared" si="52"/>
        <v>Gigabyte</v>
      </c>
      <c r="E354" s="174" t="s">
        <v>5870</v>
      </c>
      <c r="F354" s="266">
        <v>244.0</v>
      </c>
      <c r="G354" s="266">
        <v>244.0</v>
      </c>
      <c r="H354" s="266">
        <v>4.0</v>
      </c>
      <c r="I354" s="266" t="s">
        <v>166</v>
      </c>
      <c r="J354" s="266" t="s">
        <v>166</v>
      </c>
      <c r="K354" s="266" t="s">
        <v>166</v>
      </c>
      <c r="L354" s="507" t="s">
        <v>166</v>
      </c>
      <c r="M354" s="507">
        <v>2.0</v>
      </c>
      <c r="N354" s="266" t="s">
        <v>166</v>
      </c>
      <c r="O354" s="266" t="s">
        <v>174</v>
      </c>
      <c r="P354" s="266" t="s">
        <v>174</v>
      </c>
      <c r="Q354" s="266" t="s">
        <v>166</v>
      </c>
      <c r="R354" s="266">
        <v>4.0</v>
      </c>
      <c r="S354" s="266" t="s">
        <v>3151</v>
      </c>
      <c r="T354" s="266">
        <v>192.0</v>
      </c>
      <c r="U354" s="266" t="s">
        <v>5323</v>
      </c>
      <c r="V354" s="266">
        <v>4.0</v>
      </c>
      <c r="W354" s="710" t="s">
        <v>5126</v>
      </c>
      <c r="X354" s="266">
        <v>4.0</v>
      </c>
      <c r="Y354" s="266">
        <v>4.0</v>
      </c>
      <c r="Z354" s="266" t="s">
        <v>166</v>
      </c>
      <c r="AA354" s="266">
        <v>1.0</v>
      </c>
      <c r="AB354" s="266" t="s">
        <v>166</v>
      </c>
      <c r="AC354" s="266">
        <v>1.0</v>
      </c>
      <c r="AD354" s="266" t="s">
        <v>166</v>
      </c>
      <c r="AE354" s="266" t="s">
        <v>166</v>
      </c>
      <c r="AF354" s="266">
        <f t="shared" si="1"/>
        <v>10</v>
      </c>
      <c r="AG354" s="266">
        <v>2.0</v>
      </c>
      <c r="AH354" s="266">
        <v>1.0</v>
      </c>
      <c r="AI354" s="266" t="s">
        <v>5025</v>
      </c>
      <c r="AJ354" s="266">
        <v>1.0</v>
      </c>
      <c r="AK354" s="48" t="s">
        <v>5026</v>
      </c>
      <c r="AL354" s="705">
        <v>2.5</v>
      </c>
      <c r="AM354" s="705">
        <v>1.0</v>
      </c>
      <c r="AN354" s="705" t="s">
        <v>5027</v>
      </c>
      <c r="AO354" s="705" t="s">
        <v>5257</v>
      </c>
      <c r="AP354" s="507">
        <v>2400.0</v>
      </c>
      <c r="AQ354" s="507">
        <v>5.2</v>
      </c>
      <c r="AR354" s="48" t="s">
        <v>5039</v>
      </c>
      <c r="AS354" s="266" t="s">
        <v>174</v>
      </c>
      <c r="AT354" s="266">
        <v>2.0</v>
      </c>
      <c r="AU354" s="266" t="s">
        <v>166</v>
      </c>
      <c r="AV354" s="266">
        <v>1.0</v>
      </c>
      <c r="AW354" s="266">
        <v>1.0</v>
      </c>
      <c r="AX354" s="266" t="s">
        <v>166</v>
      </c>
      <c r="AY354" s="266" t="s">
        <v>166</v>
      </c>
      <c r="AZ354" s="266">
        <v>6.0</v>
      </c>
      <c r="BA354" s="266">
        <v>2.0</v>
      </c>
      <c r="BB354" s="266">
        <v>2.0</v>
      </c>
      <c r="BC354" s="266" t="s">
        <v>166</v>
      </c>
      <c r="BD354" s="266" t="s">
        <v>174</v>
      </c>
      <c r="BE354" s="48" t="s">
        <v>5331</v>
      </c>
      <c r="BF354" s="48" t="s">
        <v>5800</v>
      </c>
      <c r="BG354" s="48" t="s">
        <v>4955</v>
      </c>
      <c r="BH354" s="48">
        <v>12.0</v>
      </c>
      <c r="BI354" s="698" t="s">
        <v>5272</v>
      </c>
      <c r="BJ354" s="698"/>
      <c r="BK354" s="394"/>
      <c r="BL354" s="394"/>
      <c r="BM354" s="394"/>
      <c r="BN354" s="394"/>
      <c r="BO354" s="394"/>
      <c r="BP354" s="394"/>
    </row>
    <row r="355">
      <c r="A355" s="266" t="s">
        <v>1688</v>
      </c>
      <c r="B355" s="48">
        <v>1700.0</v>
      </c>
      <c r="C355" s="266" t="s">
        <v>5333</v>
      </c>
      <c r="D355" s="452" t="str">
        <f t="shared" si="52"/>
        <v>Gigabyte</v>
      </c>
      <c r="E355" s="174" t="s">
        <v>5871</v>
      </c>
      <c r="F355" s="266">
        <v>244.0</v>
      </c>
      <c r="G355" s="266">
        <v>244.0</v>
      </c>
      <c r="H355" s="266">
        <v>4.0</v>
      </c>
      <c r="I355" s="266" t="s">
        <v>166</v>
      </c>
      <c r="J355" s="266" t="s">
        <v>166</v>
      </c>
      <c r="K355" s="266" t="s">
        <v>166</v>
      </c>
      <c r="L355" s="507" t="s">
        <v>166</v>
      </c>
      <c r="M355" s="507">
        <v>2.0</v>
      </c>
      <c r="N355" s="266" t="s">
        <v>166</v>
      </c>
      <c r="O355" s="266" t="s">
        <v>174</v>
      </c>
      <c r="P355" s="266" t="s">
        <v>174</v>
      </c>
      <c r="Q355" s="266" t="s">
        <v>166</v>
      </c>
      <c r="R355" s="266">
        <v>4.0</v>
      </c>
      <c r="S355" s="266" t="s">
        <v>3149</v>
      </c>
      <c r="T355" s="266">
        <v>128.0</v>
      </c>
      <c r="U355" s="266" t="s">
        <v>5286</v>
      </c>
      <c r="V355" s="266">
        <v>4.0</v>
      </c>
      <c r="W355" s="710" t="s">
        <v>5126</v>
      </c>
      <c r="X355" s="266">
        <v>4.0</v>
      </c>
      <c r="Y355" s="266">
        <v>4.0</v>
      </c>
      <c r="Z355" s="266" t="s">
        <v>166</v>
      </c>
      <c r="AA355" s="266">
        <v>1.0</v>
      </c>
      <c r="AB355" s="266" t="s">
        <v>166</v>
      </c>
      <c r="AC355" s="266">
        <v>1.0</v>
      </c>
      <c r="AD355" s="266" t="s">
        <v>166</v>
      </c>
      <c r="AE355" s="266" t="s">
        <v>166</v>
      </c>
      <c r="AF355" s="266">
        <f t="shared" si="1"/>
        <v>10</v>
      </c>
      <c r="AG355" s="266">
        <v>2.0</v>
      </c>
      <c r="AH355" s="266">
        <v>1.0</v>
      </c>
      <c r="AI355" s="266" t="s">
        <v>5025</v>
      </c>
      <c r="AJ355" s="266">
        <v>1.0</v>
      </c>
      <c r="AK355" s="48" t="s">
        <v>5026</v>
      </c>
      <c r="AL355" s="705">
        <v>2.5</v>
      </c>
      <c r="AM355" s="705">
        <v>1.0</v>
      </c>
      <c r="AN355" s="705" t="s">
        <v>5027</v>
      </c>
      <c r="AO355" s="705" t="s">
        <v>5257</v>
      </c>
      <c r="AP355" s="507">
        <v>2400.0</v>
      </c>
      <c r="AQ355" s="507">
        <v>5.2</v>
      </c>
      <c r="AR355" s="48" t="s">
        <v>5039</v>
      </c>
      <c r="AS355" s="266" t="s">
        <v>174</v>
      </c>
      <c r="AT355" s="266">
        <v>2.0</v>
      </c>
      <c r="AU355" s="266" t="s">
        <v>166</v>
      </c>
      <c r="AV355" s="266">
        <v>1.0</v>
      </c>
      <c r="AW355" s="266">
        <v>1.0</v>
      </c>
      <c r="AX355" s="266" t="s">
        <v>166</v>
      </c>
      <c r="AY355" s="266" t="s">
        <v>166</v>
      </c>
      <c r="AZ355" s="266">
        <v>6.0</v>
      </c>
      <c r="BA355" s="266">
        <v>2.0</v>
      </c>
      <c r="BB355" s="266">
        <v>2.0</v>
      </c>
      <c r="BC355" s="266" t="s">
        <v>166</v>
      </c>
      <c r="BD355" s="266" t="s">
        <v>174</v>
      </c>
      <c r="BE355" s="48" t="s">
        <v>5331</v>
      </c>
      <c r="BF355" s="48" t="s">
        <v>5800</v>
      </c>
      <c r="BG355" s="48" t="s">
        <v>4955</v>
      </c>
      <c r="BH355" s="48">
        <v>12.0</v>
      </c>
      <c r="BI355" s="698" t="s">
        <v>5272</v>
      </c>
      <c r="BJ355" s="698"/>
      <c r="BK355" s="394"/>
      <c r="BL355" s="394"/>
      <c r="BM355" s="394"/>
      <c r="BN355" s="394"/>
      <c r="BO355" s="394"/>
      <c r="BP355" s="394"/>
    </row>
    <row r="356">
      <c r="A356" s="266" t="s">
        <v>1688</v>
      </c>
      <c r="B356" s="48">
        <v>1700.0</v>
      </c>
      <c r="C356" s="266" t="s">
        <v>5333</v>
      </c>
      <c r="D356" s="452" t="str">
        <f t="shared" si="52"/>
        <v>Gigabyte</v>
      </c>
      <c r="E356" s="174" t="s">
        <v>5872</v>
      </c>
      <c r="F356" s="266">
        <v>244.0</v>
      </c>
      <c r="G356" s="266">
        <v>244.0</v>
      </c>
      <c r="H356" s="266">
        <v>4.0</v>
      </c>
      <c r="I356" s="266" t="s">
        <v>166</v>
      </c>
      <c r="J356" s="266" t="s">
        <v>166</v>
      </c>
      <c r="K356" s="266" t="s">
        <v>166</v>
      </c>
      <c r="L356" s="507" t="s">
        <v>166</v>
      </c>
      <c r="M356" s="507">
        <v>2.0</v>
      </c>
      <c r="N356" s="266" t="s">
        <v>166</v>
      </c>
      <c r="O356" s="266" t="s">
        <v>174</v>
      </c>
      <c r="P356" s="266" t="s">
        <v>174</v>
      </c>
      <c r="Q356" s="266" t="s">
        <v>166</v>
      </c>
      <c r="R356" s="266">
        <v>4.0</v>
      </c>
      <c r="S356" s="266" t="s">
        <v>3149</v>
      </c>
      <c r="T356" s="266">
        <v>128.0</v>
      </c>
      <c r="U356" s="266" t="s">
        <v>5286</v>
      </c>
      <c r="V356" s="266">
        <v>4.0</v>
      </c>
      <c r="W356" s="710" t="s">
        <v>5126</v>
      </c>
      <c r="X356" s="266">
        <v>4.0</v>
      </c>
      <c r="Y356" s="266">
        <v>4.0</v>
      </c>
      <c r="Z356" s="266" t="s">
        <v>166</v>
      </c>
      <c r="AA356" s="266">
        <v>1.0</v>
      </c>
      <c r="AB356" s="266" t="s">
        <v>166</v>
      </c>
      <c r="AC356" s="266">
        <v>1.0</v>
      </c>
      <c r="AD356" s="266" t="s">
        <v>166</v>
      </c>
      <c r="AE356" s="266" t="s">
        <v>166</v>
      </c>
      <c r="AF356" s="266">
        <f t="shared" si="1"/>
        <v>10</v>
      </c>
      <c r="AG356" s="266">
        <v>2.0</v>
      </c>
      <c r="AH356" s="266">
        <v>1.0</v>
      </c>
      <c r="AI356" s="266" t="s">
        <v>5025</v>
      </c>
      <c r="AJ356" s="266">
        <v>1.0</v>
      </c>
      <c r="AK356" s="48" t="s">
        <v>5026</v>
      </c>
      <c r="AL356" s="705">
        <v>2.5</v>
      </c>
      <c r="AM356" s="48" t="s">
        <v>166</v>
      </c>
      <c r="AN356" s="48" t="s">
        <v>166</v>
      </c>
      <c r="AO356" s="48" t="s">
        <v>166</v>
      </c>
      <c r="AP356" s="266" t="s">
        <v>166</v>
      </c>
      <c r="AQ356" s="266" t="s">
        <v>166</v>
      </c>
      <c r="AR356" s="48" t="s">
        <v>5039</v>
      </c>
      <c r="AS356" s="266" t="s">
        <v>174</v>
      </c>
      <c r="AT356" s="266">
        <v>2.0</v>
      </c>
      <c r="AU356" s="266" t="s">
        <v>166</v>
      </c>
      <c r="AV356" s="266">
        <v>1.0</v>
      </c>
      <c r="AW356" s="266">
        <v>1.0</v>
      </c>
      <c r="AX356" s="266" t="s">
        <v>166</v>
      </c>
      <c r="AY356" s="266" t="s">
        <v>166</v>
      </c>
      <c r="AZ356" s="266">
        <v>6.0</v>
      </c>
      <c r="BA356" s="266">
        <v>2.0</v>
      </c>
      <c r="BB356" s="266">
        <v>2.0</v>
      </c>
      <c r="BC356" s="266" t="s">
        <v>166</v>
      </c>
      <c r="BD356" s="266" t="s">
        <v>174</v>
      </c>
      <c r="BE356" s="48" t="s">
        <v>5331</v>
      </c>
      <c r="BF356" s="48" t="s">
        <v>5800</v>
      </c>
      <c r="BG356" s="48" t="s">
        <v>4955</v>
      </c>
      <c r="BH356" s="48">
        <v>12.0</v>
      </c>
      <c r="BI356" s="698" t="s">
        <v>5272</v>
      </c>
      <c r="BJ356" s="698"/>
      <c r="BK356" s="394"/>
      <c r="BL356" s="394"/>
      <c r="BM356" s="394"/>
      <c r="BN356" s="394"/>
      <c r="BO356" s="394"/>
      <c r="BP356" s="394"/>
    </row>
    <row r="357">
      <c r="A357" s="266" t="s">
        <v>1688</v>
      </c>
      <c r="B357" s="48">
        <v>1700.0</v>
      </c>
      <c r="C357" s="266" t="s">
        <v>5333</v>
      </c>
      <c r="D357" s="452" t="str">
        <f t="shared" si="52"/>
        <v>Gigabyte</v>
      </c>
      <c r="E357" s="174" t="s">
        <v>5873</v>
      </c>
      <c r="F357" s="266">
        <v>244.0</v>
      </c>
      <c r="G357" s="266">
        <v>225.0</v>
      </c>
      <c r="H357" s="266">
        <v>4.0</v>
      </c>
      <c r="I357" s="266" t="s">
        <v>166</v>
      </c>
      <c r="J357" s="266">
        <v>2.0</v>
      </c>
      <c r="K357" s="266" t="s">
        <v>166</v>
      </c>
      <c r="L357" s="266" t="s">
        <v>166</v>
      </c>
      <c r="M357" s="266">
        <v>1.0</v>
      </c>
      <c r="N357" s="266" t="s">
        <v>166</v>
      </c>
      <c r="O357" s="266" t="s">
        <v>174</v>
      </c>
      <c r="P357" s="266" t="s">
        <v>174</v>
      </c>
      <c r="Q357" s="266" t="s">
        <v>166</v>
      </c>
      <c r="R357" s="266">
        <v>2.0</v>
      </c>
      <c r="S357" s="266" t="s">
        <v>3149</v>
      </c>
      <c r="T357" s="266">
        <v>64.0</v>
      </c>
      <c r="U357" s="266" t="s">
        <v>5286</v>
      </c>
      <c r="V357" s="266">
        <v>4.0</v>
      </c>
      <c r="W357" s="710" t="s">
        <v>5126</v>
      </c>
      <c r="X357" s="266">
        <v>2.0</v>
      </c>
      <c r="Y357" s="266">
        <v>4.0</v>
      </c>
      <c r="Z357" s="266" t="s">
        <v>166</v>
      </c>
      <c r="AA357" s="266" t="s">
        <v>166</v>
      </c>
      <c r="AB357" s="266" t="s">
        <v>166</v>
      </c>
      <c r="AC357" s="266" t="s">
        <v>166</v>
      </c>
      <c r="AD357" s="266" t="s">
        <v>166</v>
      </c>
      <c r="AE357" s="266" t="s">
        <v>166</v>
      </c>
      <c r="AF357" s="266">
        <f t="shared" si="1"/>
        <v>6</v>
      </c>
      <c r="AG357" s="266">
        <v>3.0</v>
      </c>
      <c r="AH357" s="266">
        <v>1.0</v>
      </c>
      <c r="AI357" s="266" t="s">
        <v>166</v>
      </c>
      <c r="AJ357" s="266">
        <v>1.0</v>
      </c>
      <c r="AK357" s="48" t="s">
        <v>5038</v>
      </c>
      <c r="AL357" s="48">
        <v>2.5</v>
      </c>
      <c r="AM357" s="48" t="s">
        <v>166</v>
      </c>
      <c r="AN357" s="48" t="s">
        <v>166</v>
      </c>
      <c r="AO357" s="48" t="s">
        <v>166</v>
      </c>
      <c r="AP357" s="266" t="s">
        <v>166</v>
      </c>
      <c r="AQ357" s="266" t="s">
        <v>166</v>
      </c>
      <c r="AR357" s="48" t="s">
        <v>5039</v>
      </c>
      <c r="AS357" s="266" t="s">
        <v>166</v>
      </c>
      <c r="AT357" s="266">
        <v>3.0</v>
      </c>
      <c r="AU357" s="266">
        <v>1.0</v>
      </c>
      <c r="AV357" s="266" t="s">
        <v>166</v>
      </c>
      <c r="AW357" s="266">
        <v>1.0</v>
      </c>
      <c r="AX357" s="266" t="s">
        <v>166</v>
      </c>
      <c r="AY357" s="266">
        <v>1.0</v>
      </c>
      <c r="AZ357" s="266">
        <v>3.0</v>
      </c>
      <c r="BA357" s="266">
        <v>1.0</v>
      </c>
      <c r="BB357" s="266">
        <v>1.0</v>
      </c>
      <c r="BC357" s="266" t="s">
        <v>166</v>
      </c>
      <c r="BD357" s="266" t="s">
        <v>166</v>
      </c>
      <c r="BE357" s="48" t="s">
        <v>5331</v>
      </c>
      <c r="BF357" s="48" t="s">
        <v>4954</v>
      </c>
      <c r="BG357" s="48" t="s">
        <v>4963</v>
      </c>
      <c r="BH357" s="48">
        <v>6.0</v>
      </c>
      <c r="BI357" s="698" t="s">
        <v>5205</v>
      </c>
      <c r="BJ357" s="698"/>
      <c r="BK357" s="394"/>
      <c r="BL357" s="394"/>
      <c r="BM357" s="394"/>
      <c r="BN357" s="394"/>
      <c r="BO357" s="394"/>
      <c r="BP357" s="394"/>
    </row>
    <row r="358">
      <c r="A358" s="266" t="s">
        <v>1688</v>
      </c>
      <c r="B358" s="48">
        <v>1700.0</v>
      </c>
      <c r="C358" s="266" t="s">
        <v>5333</v>
      </c>
      <c r="D358" s="452" t="str">
        <f t="shared" si="52"/>
        <v>Gigabyte</v>
      </c>
      <c r="E358" s="174" t="s">
        <v>5874</v>
      </c>
      <c r="F358" s="266">
        <v>244.0</v>
      </c>
      <c r="G358" s="266">
        <v>244.0</v>
      </c>
      <c r="H358" s="266">
        <v>4.0</v>
      </c>
      <c r="I358" s="266">
        <v>1.0</v>
      </c>
      <c r="J358" s="266">
        <v>1.0</v>
      </c>
      <c r="K358" s="266" t="s">
        <v>166</v>
      </c>
      <c r="L358" s="507" t="s">
        <v>166</v>
      </c>
      <c r="M358" s="507">
        <v>2.0</v>
      </c>
      <c r="N358" s="266" t="s">
        <v>166</v>
      </c>
      <c r="O358" s="266" t="s">
        <v>174</v>
      </c>
      <c r="P358" s="266" t="s">
        <v>174</v>
      </c>
      <c r="Q358" s="266" t="s">
        <v>166</v>
      </c>
      <c r="R358" s="266">
        <v>4.0</v>
      </c>
      <c r="S358" s="266" t="s">
        <v>3149</v>
      </c>
      <c r="T358" s="266">
        <v>128.0</v>
      </c>
      <c r="U358" s="266" t="s">
        <v>5286</v>
      </c>
      <c r="V358" s="266">
        <v>4.0</v>
      </c>
      <c r="W358" s="710" t="s">
        <v>5126</v>
      </c>
      <c r="X358" s="266">
        <v>2.0</v>
      </c>
      <c r="Y358" s="266">
        <v>2.0</v>
      </c>
      <c r="Z358" s="266" t="s">
        <v>166</v>
      </c>
      <c r="AA358" s="266">
        <v>1.0</v>
      </c>
      <c r="AB358" s="266">
        <v>1.0</v>
      </c>
      <c r="AC358" s="266" t="s">
        <v>166</v>
      </c>
      <c r="AD358" s="266" t="s">
        <v>166</v>
      </c>
      <c r="AE358" s="266" t="s">
        <v>166</v>
      </c>
      <c r="AF358" s="266">
        <f t="shared" si="1"/>
        <v>6</v>
      </c>
      <c r="AG358" s="266">
        <v>2.0</v>
      </c>
      <c r="AH358" s="266">
        <v>1.0</v>
      </c>
      <c r="AI358" s="266" t="s">
        <v>166</v>
      </c>
      <c r="AJ358" s="266">
        <v>1.0</v>
      </c>
      <c r="AK358" s="48" t="s">
        <v>5026</v>
      </c>
      <c r="AL358" s="705">
        <v>2.5</v>
      </c>
      <c r="AM358" s="48" t="s">
        <v>166</v>
      </c>
      <c r="AN358" s="48" t="s">
        <v>166</v>
      </c>
      <c r="AO358" s="48" t="s">
        <v>166</v>
      </c>
      <c r="AP358" s="266" t="s">
        <v>166</v>
      </c>
      <c r="AQ358" s="266" t="s">
        <v>166</v>
      </c>
      <c r="AR358" s="48" t="s">
        <v>5039</v>
      </c>
      <c r="AS358" s="266" t="s">
        <v>166</v>
      </c>
      <c r="AT358" s="266">
        <v>6.0</v>
      </c>
      <c r="AU358" s="266">
        <v>1.0</v>
      </c>
      <c r="AV358" s="266">
        <v>2.0</v>
      </c>
      <c r="AW358" s="266">
        <v>1.0</v>
      </c>
      <c r="AX358" s="266" t="s">
        <v>166</v>
      </c>
      <c r="AY358" s="266">
        <v>1.0</v>
      </c>
      <c r="AZ358" s="266">
        <v>4.0</v>
      </c>
      <c r="BA358" s="266">
        <v>1.0</v>
      </c>
      <c r="BB358" s="266">
        <v>1.0</v>
      </c>
      <c r="BC358" s="266" t="s">
        <v>166</v>
      </c>
      <c r="BD358" s="266" t="s">
        <v>166</v>
      </c>
      <c r="BE358" s="48" t="s">
        <v>5331</v>
      </c>
      <c r="BF358" s="48" t="s">
        <v>4954</v>
      </c>
      <c r="BG358" s="48" t="s">
        <v>4963</v>
      </c>
      <c r="BH358" s="48">
        <v>6.0</v>
      </c>
      <c r="BI358" s="698" t="s">
        <v>5205</v>
      </c>
      <c r="BJ358" s="698"/>
      <c r="BK358" s="394"/>
      <c r="BL358" s="394"/>
      <c r="BM358" s="394"/>
      <c r="BN358" s="394"/>
      <c r="BO358" s="394"/>
      <c r="BP358" s="394"/>
    </row>
    <row r="359">
      <c r="A359" s="266" t="s">
        <v>1688</v>
      </c>
      <c r="B359" s="48">
        <v>1700.0</v>
      </c>
      <c r="C359" s="266" t="s">
        <v>5333</v>
      </c>
      <c r="D359" s="452" t="str">
        <f t="shared" si="52"/>
        <v>Gigabyte</v>
      </c>
      <c r="E359" s="174" t="s">
        <v>5875</v>
      </c>
      <c r="F359" s="266">
        <v>244.0</v>
      </c>
      <c r="G359" s="266">
        <v>244.0</v>
      </c>
      <c r="H359" s="266">
        <v>4.0</v>
      </c>
      <c r="I359" s="266" t="s">
        <v>166</v>
      </c>
      <c r="J359" s="266">
        <v>2.0</v>
      </c>
      <c r="K359" s="266" t="s">
        <v>166</v>
      </c>
      <c r="L359" s="266" t="s">
        <v>166</v>
      </c>
      <c r="M359" s="266">
        <v>1.0</v>
      </c>
      <c r="N359" s="266" t="s">
        <v>166</v>
      </c>
      <c r="O359" s="266" t="s">
        <v>174</v>
      </c>
      <c r="P359" s="266" t="s">
        <v>174</v>
      </c>
      <c r="Q359" s="266" t="s">
        <v>166</v>
      </c>
      <c r="R359" s="266">
        <v>4.0</v>
      </c>
      <c r="S359" s="266" t="s">
        <v>3149</v>
      </c>
      <c r="T359" s="266">
        <v>128.0</v>
      </c>
      <c r="U359" s="266" t="s">
        <v>5286</v>
      </c>
      <c r="V359" s="266">
        <v>4.0</v>
      </c>
      <c r="W359" s="710" t="s">
        <v>5126</v>
      </c>
      <c r="X359" s="266">
        <v>2.0</v>
      </c>
      <c r="Y359" s="266">
        <v>3.0</v>
      </c>
      <c r="Z359" s="266" t="s">
        <v>166</v>
      </c>
      <c r="AA359" s="266" t="s">
        <v>166</v>
      </c>
      <c r="AB359" s="266">
        <v>1.0</v>
      </c>
      <c r="AC359" s="266" t="s">
        <v>166</v>
      </c>
      <c r="AD359" s="266" t="s">
        <v>166</v>
      </c>
      <c r="AE359" s="266" t="s">
        <v>166</v>
      </c>
      <c r="AF359" s="266">
        <f t="shared" si="1"/>
        <v>6</v>
      </c>
      <c r="AG359" s="266">
        <v>2.0</v>
      </c>
      <c r="AH359" s="266">
        <v>1.0</v>
      </c>
      <c r="AI359" s="266" t="s">
        <v>166</v>
      </c>
      <c r="AJ359" s="266">
        <v>1.0</v>
      </c>
      <c r="AK359" s="48" t="s">
        <v>5038</v>
      </c>
      <c r="AL359" s="48">
        <v>2.5</v>
      </c>
      <c r="AM359" s="48">
        <v>1.0</v>
      </c>
      <c r="AN359" s="48" t="s">
        <v>5044</v>
      </c>
      <c r="AO359" s="705" t="s">
        <v>5376</v>
      </c>
      <c r="AP359" s="266">
        <v>2400.0</v>
      </c>
      <c r="AQ359" s="266">
        <v>5.2</v>
      </c>
      <c r="AR359" s="48" t="s">
        <v>5039</v>
      </c>
      <c r="AS359" s="266" t="s">
        <v>166</v>
      </c>
      <c r="AT359" s="266">
        <v>3.0</v>
      </c>
      <c r="AU359" s="266">
        <v>1.0</v>
      </c>
      <c r="AV359" s="266">
        <v>2.0</v>
      </c>
      <c r="AW359" s="266">
        <v>1.0</v>
      </c>
      <c r="AX359" s="266" t="s">
        <v>166</v>
      </c>
      <c r="AY359" s="266" t="s">
        <v>166</v>
      </c>
      <c r="AZ359" s="266">
        <v>4.0</v>
      </c>
      <c r="BA359" s="266">
        <v>1.0</v>
      </c>
      <c r="BB359" s="266">
        <v>1.0</v>
      </c>
      <c r="BC359" s="266" t="s">
        <v>166</v>
      </c>
      <c r="BD359" s="266" t="s">
        <v>166</v>
      </c>
      <c r="BE359" s="48" t="s">
        <v>5331</v>
      </c>
      <c r="BF359" s="48" t="s">
        <v>4954</v>
      </c>
      <c r="BG359" s="48" t="s">
        <v>4963</v>
      </c>
      <c r="BH359" s="48">
        <v>6.0</v>
      </c>
      <c r="BI359" s="698" t="s">
        <v>5205</v>
      </c>
      <c r="BJ359" s="698"/>
      <c r="BK359" s="394"/>
      <c r="BL359" s="394"/>
      <c r="BM359" s="394"/>
      <c r="BN359" s="394"/>
      <c r="BO359" s="394"/>
      <c r="BP359" s="394"/>
    </row>
    <row r="360">
      <c r="A360" s="266" t="s">
        <v>1688</v>
      </c>
      <c r="B360" s="48">
        <v>1700.0</v>
      </c>
      <c r="C360" s="266" t="s">
        <v>5333</v>
      </c>
      <c r="D360" s="452" t="str">
        <f t="shared" si="52"/>
        <v>Gigabyte</v>
      </c>
      <c r="E360" s="174" t="s">
        <v>5876</v>
      </c>
      <c r="F360" s="266">
        <v>244.0</v>
      </c>
      <c r="G360" s="266">
        <v>244.0</v>
      </c>
      <c r="H360" s="266">
        <v>4.0</v>
      </c>
      <c r="I360" s="266" t="s">
        <v>166</v>
      </c>
      <c r="J360" s="266">
        <v>2.0</v>
      </c>
      <c r="K360" s="266" t="s">
        <v>166</v>
      </c>
      <c r="L360" s="266" t="s">
        <v>166</v>
      </c>
      <c r="M360" s="266">
        <v>1.0</v>
      </c>
      <c r="N360" s="266" t="s">
        <v>166</v>
      </c>
      <c r="O360" s="266" t="s">
        <v>174</v>
      </c>
      <c r="P360" s="266" t="s">
        <v>174</v>
      </c>
      <c r="Q360" s="266" t="s">
        <v>166</v>
      </c>
      <c r="R360" s="266">
        <v>4.0</v>
      </c>
      <c r="S360" s="266" t="s">
        <v>3149</v>
      </c>
      <c r="T360" s="266">
        <v>128.0</v>
      </c>
      <c r="U360" s="266" t="s">
        <v>5286</v>
      </c>
      <c r="V360" s="266">
        <v>4.0</v>
      </c>
      <c r="W360" s="710" t="s">
        <v>5126</v>
      </c>
      <c r="X360" s="266">
        <v>2.0</v>
      </c>
      <c r="Y360" s="266">
        <v>3.0</v>
      </c>
      <c r="Z360" s="266" t="s">
        <v>166</v>
      </c>
      <c r="AA360" s="266" t="s">
        <v>166</v>
      </c>
      <c r="AB360" s="266">
        <v>1.0</v>
      </c>
      <c r="AC360" s="266" t="s">
        <v>166</v>
      </c>
      <c r="AD360" s="266" t="s">
        <v>166</v>
      </c>
      <c r="AE360" s="266" t="s">
        <v>166</v>
      </c>
      <c r="AF360" s="266">
        <f t="shared" si="1"/>
        <v>6</v>
      </c>
      <c r="AG360" s="266">
        <v>2.0</v>
      </c>
      <c r="AH360" s="266">
        <v>1.0</v>
      </c>
      <c r="AI360" s="266" t="s">
        <v>166</v>
      </c>
      <c r="AJ360" s="266">
        <v>1.0</v>
      </c>
      <c r="AK360" s="48" t="s">
        <v>5038</v>
      </c>
      <c r="AL360" s="48">
        <v>2.5</v>
      </c>
      <c r="AM360" s="48" t="s">
        <v>166</v>
      </c>
      <c r="AN360" s="48" t="s">
        <v>166</v>
      </c>
      <c r="AO360" s="48" t="s">
        <v>166</v>
      </c>
      <c r="AP360" s="266" t="s">
        <v>166</v>
      </c>
      <c r="AQ360" s="266" t="s">
        <v>166</v>
      </c>
      <c r="AR360" s="48" t="s">
        <v>5039</v>
      </c>
      <c r="AS360" s="266" t="s">
        <v>166</v>
      </c>
      <c r="AT360" s="266">
        <v>3.0</v>
      </c>
      <c r="AU360" s="266">
        <v>1.0</v>
      </c>
      <c r="AV360" s="266">
        <v>2.0</v>
      </c>
      <c r="AW360" s="266">
        <v>1.0</v>
      </c>
      <c r="AX360" s="266" t="s">
        <v>166</v>
      </c>
      <c r="AY360" s="266">
        <v>1.0</v>
      </c>
      <c r="AZ360" s="266">
        <v>4.0</v>
      </c>
      <c r="BA360" s="266">
        <v>1.0</v>
      </c>
      <c r="BB360" s="266">
        <v>1.0</v>
      </c>
      <c r="BC360" s="266" t="s">
        <v>166</v>
      </c>
      <c r="BD360" s="266" t="s">
        <v>166</v>
      </c>
      <c r="BE360" s="48" t="s">
        <v>5331</v>
      </c>
      <c r="BF360" s="48" t="s">
        <v>4954</v>
      </c>
      <c r="BG360" s="48" t="s">
        <v>4963</v>
      </c>
      <c r="BH360" s="48">
        <v>6.0</v>
      </c>
      <c r="BI360" s="698" t="s">
        <v>5205</v>
      </c>
      <c r="BJ360" s="698"/>
      <c r="BK360" s="394"/>
      <c r="BL360" s="394"/>
      <c r="BM360" s="394"/>
      <c r="BN360" s="394"/>
      <c r="BO360" s="394"/>
      <c r="BP360" s="394"/>
    </row>
    <row r="361">
      <c r="A361" s="266" t="s">
        <v>1688</v>
      </c>
      <c r="B361" s="48">
        <v>1700.0</v>
      </c>
      <c r="C361" s="266" t="s">
        <v>5333</v>
      </c>
      <c r="D361" s="452" t="str">
        <f t="shared" si="52"/>
        <v>Gigabyte</v>
      </c>
      <c r="E361" s="174" t="s">
        <v>5877</v>
      </c>
      <c r="F361" s="266">
        <v>244.0</v>
      </c>
      <c r="G361" s="266">
        <v>225.0</v>
      </c>
      <c r="H361" s="266">
        <v>4.0</v>
      </c>
      <c r="I361" s="266" t="s">
        <v>166</v>
      </c>
      <c r="J361" s="266">
        <v>1.0</v>
      </c>
      <c r="K361" s="266" t="s">
        <v>166</v>
      </c>
      <c r="L361" s="266" t="s">
        <v>166</v>
      </c>
      <c r="M361" s="266">
        <v>1.0</v>
      </c>
      <c r="N361" s="266" t="s">
        <v>166</v>
      </c>
      <c r="O361" s="266" t="s">
        <v>174</v>
      </c>
      <c r="P361" s="266" t="s">
        <v>174</v>
      </c>
      <c r="Q361" s="266" t="s">
        <v>166</v>
      </c>
      <c r="R361" s="266">
        <v>2.0</v>
      </c>
      <c r="S361" s="266" t="s">
        <v>3149</v>
      </c>
      <c r="T361" s="266">
        <v>64.0</v>
      </c>
      <c r="U361" s="266" t="s">
        <v>5286</v>
      </c>
      <c r="V361" s="266">
        <v>4.0</v>
      </c>
      <c r="W361" s="710" t="s">
        <v>5126</v>
      </c>
      <c r="X361" s="266">
        <v>2.0</v>
      </c>
      <c r="Y361" s="266">
        <v>3.0</v>
      </c>
      <c r="Z361" s="266">
        <v>1.0</v>
      </c>
      <c r="AA361" s="266" t="s">
        <v>166</v>
      </c>
      <c r="AB361" s="266" t="s">
        <v>166</v>
      </c>
      <c r="AC361" s="266" t="s">
        <v>166</v>
      </c>
      <c r="AD361" s="266" t="s">
        <v>166</v>
      </c>
      <c r="AE361" s="266" t="s">
        <v>166</v>
      </c>
      <c r="AF361" s="266">
        <f t="shared" si="1"/>
        <v>6</v>
      </c>
      <c r="AG361" s="266">
        <v>2.0</v>
      </c>
      <c r="AH361" s="266">
        <v>1.0</v>
      </c>
      <c r="AI361" s="266" t="s">
        <v>166</v>
      </c>
      <c r="AJ361" s="266">
        <v>1.0</v>
      </c>
      <c r="AK361" s="48" t="s">
        <v>5038</v>
      </c>
      <c r="AL361" s="48">
        <v>2.5</v>
      </c>
      <c r="AM361" s="48" t="s">
        <v>166</v>
      </c>
      <c r="AN361" s="48" t="s">
        <v>166</v>
      </c>
      <c r="AO361" s="48" t="s">
        <v>166</v>
      </c>
      <c r="AP361" s="266" t="s">
        <v>166</v>
      </c>
      <c r="AQ361" s="266" t="s">
        <v>166</v>
      </c>
      <c r="AR361" s="48" t="s">
        <v>5039</v>
      </c>
      <c r="AS361" s="266" t="s">
        <v>166</v>
      </c>
      <c r="AT361" s="266">
        <v>3.0</v>
      </c>
      <c r="AU361" s="266">
        <v>1.0</v>
      </c>
      <c r="AV361" s="266">
        <v>1.0</v>
      </c>
      <c r="AW361" s="266">
        <v>1.0</v>
      </c>
      <c r="AX361" s="266" t="s">
        <v>166</v>
      </c>
      <c r="AY361" s="266">
        <v>1.0</v>
      </c>
      <c r="AZ361" s="266">
        <v>4.0</v>
      </c>
      <c r="BA361" s="266">
        <v>1.0</v>
      </c>
      <c r="BB361" s="266">
        <v>1.0</v>
      </c>
      <c r="BC361" s="266" t="s">
        <v>166</v>
      </c>
      <c r="BD361" s="266" t="s">
        <v>166</v>
      </c>
      <c r="BE361" s="48" t="s">
        <v>5331</v>
      </c>
      <c r="BF361" s="48" t="s">
        <v>4954</v>
      </c>
      <c r="BG361" s="48" t="s">
        <v>4963</v>
      </c>
      <c r="BH361" s="48">
        <v>6.0</v>
      </c>
      <c r="BI361" s="698" t="s">
        <v>5205</v>
      </c>
      <c r="BJ361" s="698"/>
      <c r="BK361" s="394"/>
      <c r="BL361" s="394"/>
      <c r="BM361" s="394"/>
      <c r="BN361" s="394"/>
      <c r="BO361" s="394"/>
      <c r="BP361" s="394"/>
    </row>
    <row r="362">
      <c r="A362" s="266" t="s">
        <v>1688</v>
      </c>
      <c r="B362" s="48">
        <v>1700.0</v>
      </c>
      <c r="C362" s="266" t="s">
        <v>5333</v>
      </c>
      <c r="D362" s="452" t="str">
        <f t="shared" si="52"/>
        <v>Gigabyte</v>
      </c>
      <c r="E362" s="174" t="s">
        <v>5878</v>
      </c>
      <c r="F362" s="266">
        <v>244.0</v>
      </c>
      <c r="G362" s="266">
        <v>225.0</v>
      </c>
      <c r="H362" s="266">
        <v>4.0</v>
      </c>
      <c r="I362" s="266" t="s">
        <v>166</v>
      </c>
      <c r="J362" s="266">
        <v>1.0</v>
      </c>
      <c r="K362" s="266" t="s">
        <v>166</v>
      </c>
      <c r="L362" s="266" t="s">
        <v>166</v>
      </c>
      <c r="M362" s="266">
        <v>1.0</v>
      </c>
      <c r="N362" s="266" t="s">
        <v>166</v>
      </c>
      <c r="O362" s="266" t="s">
        <v>174</v>
      </c>
      <c r="P362" s="266" t="s">
        <v>174</v>
      </c>
      <c r="Q362" s="266" t="s">
        <v>166</v>
      </c>
      <c r="R362" s="266">
        <v>2.0</v>
      </c>
      <c r="S362" s="266" t="s">
        <v>3149</v>
      </c>
      <c r="T362" s="266">
        <v>64.0</v>
      </c>
      <c r="U362" s="266" t="s">
        <v>5286</v>
      </c>
      <c r="V362" s="266">
        <v>4.0</v>
      </c>
      <c r="W362" s="710" t="s">
        <v>5126</v>
      </c>
      <c r="X362" s="266">
        <v>2.0</v>
      </c>
      <c r="Y362" s="266">
        <v>3.0</v>
      </c>
      <c r="Z362" s="266">
        <v>1.0</v>
      </c>
      <c r="AA362" s="266" t="s">
        <v>166</v>
      </c>
      <c r="AB362" s="266" t="s">
        <v>166</v>
      </c>
      <c r="AC362" s="266" t="s">
        <v>166</v>
      </c>
      <c r="AD362" s="266" t="s">
        <v>166</v>
      </c>
      <c r="AE362" s="266" t="s">
        <v>166</v>
      </c>
      <c r="AF362" s="266">
        <f t="shared" si="1"/>
        <v>6</v>
      </c>
      <c r="AG362" s="266">
        <v>2.0</v>
      </c>
      <c r="AH362" s="266">
        <v>1.0</v>
      </c>
      <c r="AI362" s="266" t="s">
        <v>166</v>
      </c>
      <c r="AJ362" s="266">
        <v>1.0</v>
      </c>
      <c r="AK362" s="48" t="s">
        <v>5038</v>
      </c>
      <c r="AL362" s="48">
        <v>2.5</v>
      </c>
      <c r="AM362" s="48">
        <v>1.0</v>
      </c>
      <c r="AN362" s="48" t="s">
        <v>4966</v>
      </c>
      <c r="AO362" s="48" t="s">
        <v>4967</v>
      </c>
      <c r="AP362" s="266">
        <v>433.0</v>
      </c>
      <c r="AQ362" s="266">
        <v>4.2</v>
      </c>
      <c r="AR362" s="48" t="s">
        <v>5039</v>
      </c>
      <c r="AS362" s="266" t="s">
        <v>166</v>
      </c>
      <c r="AT362" s="266">
        <v>3.0</v>
      </c>
      <c r="AU362" s="266">
        <v>1.0</v>
      </c>
      <c r="AV362" s="266">
        <v>1.0</v>
      </c>
      <c r="AW362" s="266">
        <v>1.0</v>
      </c>
      <c r="AX362" s="266" t="s">
        <v>166</v>
      </c>
      <c r="AY362" s="266">
        <v>1.0</v>
      </c>
      <c r="AZ362" s="266">
        <v>4.0</v>
      </c>
      <c r="BA362" s="266">
        <v>1.0</v>
      </c>
      <c r="BB362" s="266">
        <v>1.0</v>
      </c>
      <c r="BC362" s="266" t="s">
        <v>166</v>
      </c>
      <c r="BD362" s="266" t="s">
        <v>166</v>
      </c>
      <c r="BE362" s="48" t="s">
        <v>5331</v>
      </c>
      <c r="BF362" s="48" t="s">
        <v>4954</v>
      </c>
      <c r="BG362" s="48" t="s">
        <v>4963</v>
      </c>
      <c r="BH362" s="48">
        <v>6.0</v>
      </c>
      <c r="BI362" s="698" t="s">
        <v>5205</v>
      </c>
      <c r="BJ362" s="698"/>
      <c r="BK362" s="394"/>
      <c r="BL362" s="394"/>
      <c r="BM362" s="394"/>
      <c r="BN362" s="394"/>
      <c r="BO362" s="394"/>
      <c r="BP362" s="394"/>
    </row>
    <row r="363">
      <c r="A363" s="266" t="s">
        <v>1688</v>
      </c>
      <c r="B363" s="48">
        <v>1700.0</v>
      </c>
      <c r="C363" s="266" t="s">
        <v>5333</v>
      </c>
      <c r="D363" s="452" t="str">
        <f t="shared" si="52"/>
        <v>Gigabyte</v>
      </c>
      <c r="E363" s="174" t="s">
        <v>5879</v>
      </c>
      <c r="F363" s="266">
        <v>244.0</v>
      </c>
      <c r="G363" s="266">
        <v>244.0</v>
      </c>
      <c r="H363" s="266">
        <v>4.0</v>
      </c>
      <c r="I363" s="266" t="s">
        <v>166</v>
      </c>
      <c r="J363" s="266" t="s">
        <v>166</v>
      </c>
      <c r="K363" s="266" t="s">
        <v>166</v>
      </c>
      <c r="L363" s="507" t="s">
        <v>166</v>
      </c>
      <c r="M363" s="507">
        <v>2.0</v>
      </c>
      <c r="N363" s="266" t="s">
        <v>166</v>
      </c>
      <c r="O363" s="266" t="s">
        <v>174</v>
      </c>
      <c r="P363" s="266" t="s">
        <v>174</v>
      </c>
      <c r="Q363" s="266" t="s">
        <v>166</v>
      </c>
      <c r="R363" s="266">
        <v>4.0</v>
      </c>
      <c r="S363" s="266" t="s">
        <v>3151</v>
      </c>
      <c r="T363" s="266">
        <v>192.0</v>
      </c>
      <c r="U363" s="266" t="s">
        <v>5323</v>
      </c>
      <c r="V363" s="266">
        <v>4.0</v>
      </c>
      <c r="W363" s="710" t="s">
        <v>5126</v>
      </c>
      <c r="X363" s="266">
        <v>5.0</v>
      </c>
      <c r="Y363" s="266">
        <v>3.0</v>
      </c>
      <c r="Z363" s="266" t="s">
        <v>166</v>
      </c>
      <c r="AA363" s="266" t="s">
        <v>166</v>
      </c>
      <c r="AB363" s="266" t="s">
        <v>166</v>
      </c>
      <c r="AC363" s="266" t="s">
        <v>166</v>
      </c>
      <c r="AD363" s="266" t="s">
        <v>166</v>
      </c>
      <c r="AE363" s="266" t="s">
        <v>166</v>
      </c>
      <c r="AF363" s="266">
        <f t="shared" si="1"/>
        <v>8</v>
      </c>
      <c r="AG363" s="266">
        <v>2.0</v>
      </c>
      <c r="AH363" s="266">
        <v>1.0</v>
      </c>
      <c r="AI363" s="266" t="s">
        <v>5025</v>
      </c>
      <c r="AJ363" s="266">
        <v>1.0</v>
      </c>
      <c r="AK363" s="48" t="s">
        <v>5038</v>
      </c>
      <c r="AL363" s="48">
        <v>2.5</v>
      </c>
      <c r="AM363" s="48" t="s">
        <v>166</v>
      </c>
      <c r="AN363" s="48" t="s">
        <v>166</v>
      </c>
      <c r="AO363" s="48" t="s">
        <v>166</v>
      </c>
      <c r="AP363" s="266" t="s">
        <v>166</v>
      </c>
      <c r="AQ363" s="266" t="s">
        <v>166</v>
      </c>
      <c r="AR363" s="48" t="s">
        <v>5039</v>
      </c>
      <c r="AS363" s="266" t="s">
        <v>166</v>
      </c>
      <c r="AT363" s="266">
        <v>3.0</v>
      </c>
      <c r="AU363" s="266" t="s">
        <v>166</v>
      </c>
      <c r="AV363" s="266">
        <v>1.0</v>
      </c>
      <c r="AW363" s="266">
        <v>1.0</v>
      </c>
      <c r="AX363" s="266" t="s">
        <v>166</v>
      </c>
      <c r="AY363" s="266" t="s">
        <v>166</v>
      </c>
      <c r="AZ363" s="266">
        <v>4.0</v>
      </c>
      <c r="BA363" s="266">
        <v>2.0</v>
      </c>
      <c r="BB363" s="266">
        <v>2.0</v>
      </c>
      <c r="BC363" s="266" t="s">
        <v>166</v>
      </c>
      <c r="BD363" s="266" t="s">
        <v>174</v>
      </c>
      <c r="BE363" s="48" t="s">
        <v>5331</v>
      </c>
      <c r="BF363" s="48" t="s">
        <v>5226</v>
      </c>
      <c r="BG363" s="48" t="s">
        <v>4963</v>
      </c>
      <c r="BH363" s="48">
        <v>8.0</v>
      </c>
      <c r="BI363" s="698" t="s">
        <v>5272</v>
      </c>
      <c r="BJ363" s="698"/>
      <c r="BK363" s="394"/>
      <c r="BL363" s="394"/>
      <c r="BM363" s="394"/>
      <c r="BN363" s="394"/>
      <c r="BO363" s="394"/>
      <c r="BP363" s="394"/>
    </row>
    <row r="364">
      <c r="A364" s="266" t="s">
        <v>1688</v>
      </c>
      <c r="B364" s="48">
        <v>1700.0</v>
      </c>
      <c r="C364" s="266" t="s">
        <v>5333</v>
      </c>
      <c r="D364" s="452" t="str">
        <f t="shared" si="52"/>
        <v>Gigabyte</v>
      </c>
      <c r="E364" s="174" t="s">
        <v>5880</v>
      </c>
      <c r="F364" s="266">
        <v>244.0</v>
      </c>
      <c r="G364" s="266">
        <v>244.0</v>
      </c>
      <c r="H364" s="266">
        <v>4.0</v>
      </c>
      <c r="I364" s="266" t="s">
        <v>166</v>
      </c>
      <c r="J364" s="266" t="s">
        <v>166</v>
      </c>
      <c r="K364" s="266" t="s">
        <v>166</v>
      </c>
      <c r="L364" s="507" t="s">
        <v>166</v>
      </c>
      <c r="M364" s="507">
        <v>2.0</v>
      </c>
      <c r="N364" s="266" t="s">
        <v>166</v>
      </c>
      <c r="O364" s="266" t="s">
        <v>174</v>
      </c>
      <c r="P364" s="266" t="s">
        <v>174</v>
      </c>
      <c r="Q364" s="266" t="s">
        <v>166</v>
      </c>
      <c r="R364" s="266">
        <v>4.0</v>
      </c>
      <c r="S364" s="266" t="s">
        <v>3151</v>
      </c>
      <c r="T364" s="266">
        <v>192.0</v>
      </c>
      <c r="U364" s="266" t="s">
        <v>5323</v>
      </c>
      <c r="V364" s="266">
        <v>4.0</v>
      </c>
      <c r="W364" s="710" t="s">
        <v>5126</v>
      </c>
      <c r="X364" s="266">
        <v>5.0</v>
      </c>
      <c r="Y364" s="266">
        <v>3.0</v>
      </c>
      <c r="Z364" s="266" t="s">
        <v>166</v>
      </c>
      <c r="AA364" s="266" t="s">
        <v>166</v>
      </c>
      <c r="AB364" s="266" t="s">
        <v>166</v>
      </c>
      <c r="AC364" s="266" t="s">
        <v>166</v>
      </c>
      <c r="AD364" s="266" t="s">
        <v>166</v>
      </c>
      <c r="AE364" s="266" t="s">
        <v>166</v>
      </c>
      <c r="AF364" s="266">
        <f t="shared" si="1"/>
        <v>8</v>
      </c>
      <c r="AG364" s="266">
        <v>2.0</v>
      </c>
      <c r="AH364" s="266">
        <v>1.0</v>
      </c>
      <c r="AI364" s="266" t="s">
        <v>5025</v>
      </c>
      <c r="AJ364" s="266">
        <v>1.0</v>
      </c>
      <c r="AK364" s="48" t="s">
        <v>5038</v>
      </c>
      <c r="AL364" s="48">
        <v>2.5</v>
      </c>
      <c r="AM364" s="705">
        <v>1.0</v>
      </c>
      <c r="AN364" s="48" t="s">
        <v>5044</v>
      </c>
      <c r="AO364" s="705" t="s">
        <v>5376</v>
      </c>
      <c r="AP364" s="266">
        <v>2400.0</v>
      </c>
      <c r="AQ364" s="266">
        <v>5.2</v>
      </c>
      <c r="AR364" s="48" t="s">
        <v>5039</v>
      </c>
      <c r="AS364" s="266" t="s">
        <v>166</v>
      </c>
      <c r="AT364" s="266">
        <v>3.0</v>
      </c>
      <c r="AU364" s="266" t="s">
        <v>166</v>
      </c>
      <c r="AV364" s="266">
        <v>1.0</v>
      </c>
      <c r="AW364" s="266">
        <v>1.0</v>
      </c>
      <c r="AX364" s="266" t="s">
        <v>166</v>
      </c>
      <c r="AY364" s="266" t="s">
        <v>166</v>
      </c>
      <c r="AZ364" s="266">
        <v>4.0</v>
      </c>
      <c r="BA364" s="266">
        <v>2.0</v>
      </c>
      <c r="BB364" s="266">
        <v>2.0</v>
      </c>
      <c r="BC364" s="266" t="s">
        <v>166</v>
      </c>
      <c r="BD364" s="266" t="s">
        <v>174</v>
      </c>
      <c r="BE364" s="48" t="s">
        <v>5331</v>
      </c>
      <c r="BF364" s="48" t="s">
        <v>5226</v>
      </c>
      <c r="BG364" s="48" t="s">
        <v>4963</v>
      </c>
      <c r="BH364" s="48">
        <v>8.0</v>
      </c>
      <c r="BI364" s="698" t="s">
        <v>5272</v>
      </c>
      <c r="BJ364" s="698"/>
      <c r="BK364" s="394"/>
      <c r="BL364" s="394"/>
      <c r="BM364" s="394"/>
      <c r="BN364" s="394"/>
      <c r="BO364" s="394"/>
      <c r="BP364" s="394"/>
    </row>
    <row r="365">
      <c r="A365" s="266" t="s">
        <v>1688</v>
      </c>
      <c r="B365" s="48">
        <v>1700.0</v>
      </c>
      <c r="C365" s="266" t="s">
        <v>5333</v>
      </c>
      <c r="D365" s="452" t="str">
        <f t="shared" si="52"/>
        <v>Gigabyte</v>
      </c>
      <c r="E365" s="174" t="s">
        <v>5881</v>
      </c>
      <c r="F365" s="266">
        <v>244.0</v>
      </c>
      <c r="G365" s="266">
        <v>244.0</v>
      </c>
      <c r="H365" s="266">
        <v>4.0</v>
      </c>
      <c r="I365" s="266" t="s">
        <v>166</v>
      </c>
      <c r="J365" s="266" t="s">
        <v>166</v>
      </c>
      <c r="K365" s="266" t="s">
        <v>166</v>
      </c>
      <c r="L365" s="507" t="s">
        <v>166</v>
      </c>
      <c r="M365" s="507">
        <v>2.0</v>
      </c>
      <c r="N365" s="266" t="s">
        <v>166</v>
      </c>
      <c r="O365" s="266" t="s">
        <v>174</v>
      </c>
      <c r="P365" s="266" t="s">
        <v>174</v>
      </c>
      <c r="Q365" s="266" t="s">
        <v>166</v>
      </c>
      <c r="R365" s="266">
        <v>4.0</v>
      </c>
      <c r="S365" s="266" t="s">
        <v>3149</v>
      </c>
      <c r="T365" s="266">
        <v>128.0</v>
      </c>
      <c r="U365" s="266" t="s">
        <v>5213</v>
      </c>
      <c r="V365" s="266">
        <v>4.0</v>
      </c>
      <c r="W365" s="710" t="s">
        <v>5126</v>
      </c>
      <c r="X365" s="266">
        <v>5.0</v>
      </c>
      <c r="Y365" s="266">
        <v>3.0</v>
      </c>
      <c r="Z365" s="266" t="s">
        <v>166</v>
      </c>
      <c r="AA365" s="266" t="s">
        <v>166</v>
      </c>
      <c r="AB365" s="266" t="s">
        <v>166</v>
      </c>
      <c r="AC365" s="266" t="s">
        <v>166</v>
      </c>
      <c r="AD365" s="266" t="s">
        <v>166</v>
      </c>
      <c r="AE365" s="266" t="s">
        <v>166</v>
      </c>
      <c r="AF365" s="266">
        <f t="shared" si="1"/>
        <v>8</v>
      </c>
      <c r="AG365" s="266">
        <v>2.0</v>
      </c>
      <c r="AH365" s="266">
        <v>1.0</v>
      </c>
      <c r="AI365" s="266" t="s">
        <v>5025</v>
      </c>
      <c r="AJ365" s="266">
        <v>1.0</v>
      </c>
      <c r="AK365" s="48" t="s">
        <v>5038</v>
      </c>
      <c r="AL365" s="48">
        <v>2.5</v>
      </c>
      <c r="AM365" s="705">
        <v>1.0</v>
      </c>
      <c r="AN365" s="48" t="s">
        <v>5044</v>
      </c>
      <c r="AO365" s="705" t="s">
        <v>5376</v>
      </c>
      <c r="AP365" s="266">
        <v>2400.0</v>
      </c>
      <c r="AQ365" s="266">
        <v>5.2</v>
      </c>
      <c r="AR365" s="48" t="s">
        <v>5039</v>
      </c>
      <c r="AS365" s="266" t="s">
        <v>166</v>
      </c>
      <c r="AT365" s="266">
        <v>3.0</v>
      </c>
      <c r="AU365" s="266" t="s">
        <v>166</v>
      </c>
      <c r="AV365" s="266">
        <v>1.0</v>
      </c>
      <c r="AW365" s="266">
        <v>1.0</v>
      </c>
      <c r="AX365" s="266" t="s">
        <v>166</v>
      </c>
      <c r="AY365" s="266" t="s">
        <v>166</v>
      </c>
      <c r="AZ365" s="266">
        <v>4.0</v>
      </c>
      <c r="BA365" s="266">
        <v>2.0</v>
      </c>
      <c r="BB365" s="266">
        <v>2.0</v>
      </c>
      <c r="BC365" s="266" t="s">
        <v>166</v>
      </c>
      <c r="BD365" s="266" t="s">
        <v>174</v>
      </c>
      <c r="BE365" s="48" t="s">
        <v>5331</v>
      </c>
      <c r="BF365" s="48" t="s">
        <v>5226</v>
      </c>
      <c r="BG365" s="48" t="s">
        <v>4963</v>
      </c>
      <c r="BH365" s="48">
        <v>8.0</v>
      </c>
      <c r="BI365" s="698" t="s">
        <v>5272</v>
      </c>
      <c r="BJ365" s="698"/>
      <c r="BK365" s="394"/>
      <c r="BL365" s="394"/>
      <c r="BM365" s="394"/>
      <c r="BN365" s="394"/>
      <c r="BO365" s="394"/>
      <c r="BP365" s="394"/>
    </row>
    <row r="366">
      <c r="A366" s="266" t="s">
        <v>1688</v>
      </c>
      <c r="B366" s="48">
        <v>1700.0</v>
      </c>
      <c r="C366" s="266" t="s">
        <v>5333</v>
      </c>
      <c r="D366" s="452" t="str">
        <f t="shared" si="52"/>
        <v>Gigabyte</v>
      </c>
      <c r="E366" s="174" t="s">
        <v>5882</v>
      </c>
      <c r="F366" s="266">
        <v>244.0</v>
      </c>
      <c r="G366" s="266">
        <v>244.0</v>
      </c>
      <c r="H366" s="266">
        <v>4.0</v>
      </c>
      <c r="I366" s="266" t="s">
        <v>166</v>
      </c>
      <c r="J366" s="266" t="s">
        <v>166</v>
      </c>
      <c r="K366" s="266" t="s">
        <v>166</v>
      </c>
      <c r="L366" s="507" t="s">
        <v>166</v>
      </c>
      <c r="M366" s="507">
        <v>2.0</v>
      </c>
      <c r="N366" s="266" t="s">
        <v>166</v>
      </c>
      <c r="O366" s="266" t="s">
        <v>174</v>
      </c>
      <c r="P366" s="266" t="s">
        <v>174</v>
      </c>
      <c r="Q366" s="266" t="s">
        <v>166</v>
      </c>
      <c r="R366" s="266">
        <v>4.0</v>
      </c>
      <c r="S366" s="266" t="s">
        <v>3149</v>
      </c>
      <c r="T366" s="266">
        <v>128.0</v>
      </c>
      <c r="U366" s="266" t="s">
        <v>5213</v>
      </c>
      <c r="V366" s="266">
        <v>4.0</v>
      </c>
      <c r="W366" s="710" t="s">
        <v>5126</v>
      </c>
      <c r="X366" s="266">
        <v>5.0</v>
      </c>
      <c r="Y366" s="266">
        <v>3.0</v>
      </c>
      <c r="Z366" s="266" t="s">
        <v>166</v>
      </c>
      <c r="AA366" s="266" t="s">
        <v>166</v>
      </c>
      <c r="AB366" s="266" t="s">
        <v>166</v>
      </c>
      <c r="AC366" s="266" t="s">
        <v>166</v>
      </c>
      <c r="AD366" s="266" t="s">
        <v>166</v>
      </c>
      <c r="AE366" s="266" t="s">
        <v>166</v>
      </c>
      <c r="AF366" s="266">
        <f t="shared" si="1"/>
        <v>8</v>
      </c>
      <c r="AG366" s="266">
        <v>2.0</v>
      </c>
      <c r="AH366" s="266">
        <v>1.0</v>
      </c>
      <c r="AI366" s="266" t="s">
        <v>5025</v>
      </c>
      <c r="AJ366" s="266">
        <v>1.0</v>
      </c>
      <c r="AK366" s="48" t="s">
        <v>5038</v>
      </c>
      <c r="AL366" s="48">
        <v>2.5</v>
      </c>
      <c r="AM366" s="48" t="s">
        <v>166</v>
      </c>
      <c r="AN366" s="48" t="s">
        <v>166</v>
      </c>
      <c r="AO366" s="48" t="s">
        <v>166</v>
      </c>
      <c r="AP366" s="266" t="s">
        <v>166</v>
      </c>
      <c r="AQ366" s="266" t="s">
        <v>166</v>
      </c>
      <c r="AR366" s="48" t="s">
        <v>5039</v>
      </c>
      <c r="AS366" s="266" t="s">
        <v>166</v>
      </c>
      <c r="AT366" s="266">
        <v>3.0</v>
      </c>
      <c r="AU366" s="266" t="s">
        <v>166</v>
      </c>
      <c r="AV366" s="266">
        <v>1.0</v>
      </c>
      <c r="AW366" s="266">
        <v>1.0</v>
      </c>
      <c r="AX366" s="266" t="s">
        <v>166</v>
      </c>
      <c r="AY366" s="266" t="s">
        <v>166</v>
      </c>
      <c r="AZ366" s="266">
        <v>4.0</v>
      </c>
      <c r="BA366" s="266">
        <v>2.0</v>
      </c>
      <c r="BB366" s="266">
        <v>2.0</v>
      </c>
      <c r="BC366" s="266" t="s">
        <v>166</v>
      </c>
      <c r="BD366" s="266" t="s">
        <v>174</v>
      </c>
      <c r="BE366" s="48" t="s">
        <v>5331</v>
      </c>
      <c r="BF366" s="48" t="s">
        <v>5226</v>
      </c>
      <c r="BG366" s="48" t="s">
        <v>4963</v>
      </c>
      <c r="BH366" s="48">
        <v>8.0</v>
      </c>
      <c r="BI366" s="698" t="s">
        <v>5272</v>
      </c>
      <c r="BJ366" s="698"/>
      <c r="BK366" s="394"/>
      <c r="BL366" s="394"/>
      <c r="BM366" s="394"/>
      <c r="BN366" s="394"/>
      <c r="BO366" s="394"/>
      <c r="BP366" s="394"/>
    </row>
    <row r="367">
      <c r="A367" s="266" t="s">
        <v>1688</v>
      </c>
      <c r="B367" s="48">
        <v>1700.0</v>
      </c>
      <c r="C367" s="266" t="s">
        <v>5333</v>
      </c>
      <c r="D367" s="452" t="str">
        <f t="shared" si="52"/>
        <v>Gigabyte</v>
      </c>
      <c r="E367" s="174" t="s">
        <v>5883</v>
      </c>
      <c r="F367" s="266">
        <v>244.0</v>
      </c>
      <c r="G367" s="266">
        <v>225.0</v>
      </c>
      <c r="H367" s="266">
        <v>4.0</v>
      </c>
      <c r="I367" s="266" t="s">
        <v>166</v>
      </c>
      <c r="J367" s="266">
        <v>2.0</v>
      </c>
      <c r="K367" s="266" t="s">
        <v>166</v>
      </c>
      <c r="L367" s="266" t="s">
        <v>166</v>
      </c>
      <c r="M367" s="266">
        <v>1.0</v>
      </c>
      <c r="N367" s="266" t="s">
        <v>166</v>
      </c>
      <c r="O367" s="266" t="s">
        <v>174</v>
      </c>
      <c r="P367" s="266" t="s">
        <v>174</v>
      </c>
      <c r="Q367" s="266" t="s">
        <v>166</v>
      </c>
      <c r="R367" s="266">
        <v>2.0</v>
      </c>
      <c r="S367" s="266" t="s">
        <v>3149</v>
      </c>
      <c r="T367" s="266">
        <v>64.0</v>
      </c>
      <c r="U367" s="266" t="s">
        <v>5286</v>
      </c>
      <c r="V367" s="266">
        <v>4.0</v>
      </c>
      <c r="W367" s="710" t="s">
        <v>5126</v>
      </c>
      <c r="X367" s="266">
        <v>2.0</v>
      </c>
      <c r="Y367" s="266">
        <v>4.0</v>
      </c>
      <c r="Z367" s="266" t="s">
        <v>166</v>
      </c>
      <c r="AA367" s="266" t="s">
        <v>166</v>
      </c>
      <c r="AB367" s="266" t="s">
        <v>166</v>
      </c>
      <c r="AC367" s="266" t="s">
        <v>166</v>
      </c>
      <c r="AD367" s="266" t="s">
        <v>166</v>
      </c>
      <c r="AE367" s="266" t="s">
        <v>166</v>
      </c>
      <c r="AF367" s="266">
        <f t="shared" si="1"/>
        <v>6</v>
      </c>
      <c r="AG367" s="266">
        <v>3.0</v>
      </c>
      <c r="AH367" s="266">
        <v>1.0</v>
      </c>
      <c r="AI367" s="266" t="s">
        <v>166</v>
      </c>
      <c r="AJ367" s="266">
        <v>1.0</v>
      </c>
      <c r="AK367" s="48" t="s">
        <v>5133</v>
      </c>
      <c r="AL367" s="48">
        <v>1.0</v>
      </c>
      <c r="AM367" s="48" t="s">
        <v>166</v>
      </c>
      <c r="AN367" s="48" t="s">
        <v>166</v>
      </c>
      <c r="AO367" s="48" t="s">
        <v>166</v>
      </c>
      <c r="AP367" s="266" t="s">
        <v>166</v>
      </c>
      <c r="AQ367" s="266" t="s">
        <v>166</v>
      </c>
      <c r="AR367" s="48" t="s">
        <v>5039</v>
      </c>
      <c r="AS367" s="266" t="s">
        <v>166</v>
      </c>
      <c r="AT367" s="266">
        <v>3.0</v>
      </c>
      <c r="AU367" s="266">
        <v>1.0</v>
      </c>
      <c r="AV367" s="266" t="s">
        <v>166</v>
      </c>
      <c r="AW367" s="266">
        <v>1.0</v>
      </c>
      <c r="AX367" s="266" t="s">
        <v>166</v>
      </c>
      <c r="AY367" s="266" t="s">
        <v>166</v>
      </c>
      <c r="AZ367" s="266">
        <v>3.0</v>
      </c>
      <c r="BA367" s="266">
        <v>1.0</v>
      </c>
      <c r="BB367" s="266">
        <v>1.0</v>
      </c>
      <c r="BC367" s="266" t="s">
        <v>166</v>
      </c>
      <c r="BD367" s="266" t="s">
        <v>166</v>
      </c>
      <c r="BE367" s="48" t="s">
        <v>5331</v>
      </c>
      <c r="BF367" s="48" t="s">
        <v>4954</v>
      </c>
      <c r="BG367" s="48" t="s">
        <v>4963</v>
      </c>
      <c r="BH367" s="48">
        <v>6.0</v>
      </c>
      <c r="BI367" s="698" t="s">
        <v>5205</v>
      </c>
      <c r="BJ367" s="698"/>
      <c r="BK367" s="394"/>
      <c r="BL367" s="394"/>
      <c r="BM367" s="394"/>
      <c r="BN367" s="394"/>
      <c r="BO367" s="394"/>
      <c r="BP367" s="394"/>
    </row>
    <row r="368">
      <c r="A368" s="266" t="s">
        <v>1688</v>
      </c>
      <c r="B368" s="48">
        <v>1700.0</v>
      </c>
      <c r="C368" s="266" t="s">
        <v>5333</v>
      </c>
      <c r="D368" s="174" t="s">
        <v>3565</v>
      </c>
      <c r="E368" s="174" t="s">
        <v>5884</v>
      </c>
      <c r="F368" s="266">
        <v>230.0</v>
      </c>
      <c r="G368" s="266">
        <v>205.0</v>
      </c>
      <c r="H368" s="266">
        <v>4.0</v>
      </c>
      <c r="I368" s="266" t="s">
        <v>166</v>
      </c>
      <c r="J368" s="266">
        <v>1.0</v>
      </c>
      <c r="K368" s="266" t="s">
        <v>166</v>
      </c>
      <c r="L368" s="507" t="s">
        <v>166</v>
      </c>
      <c r="M368" s="507">
        <v>1.0</v>
      </c>
      <c r="N368" s="266" t="s">
        <v>166</v>
      </c>
      <c r="O368" s="266" t="s">
        <v>174</v>
      </c>
      <c r="P368" s="266" t="s">
        <v>166</v>
      </c>
      <c r="Q368" s="266" t="s">
        <v>166</v>
      </c>
      <c r="R368" s="266">
        <v>2.0</v>
      </c>
      <c r="S368" s="266" t="s">
        <v>3149</v>
      </c>
      <c r="T368" s="266">
        <v>64.0</v>
      </c>
      <c r="U368" s="266" t="s">
        <v>170</v>
      </c>
      <c r="V368" s="266">
        <v>3.0</v>
      </c>
      <c r="W368" s="710" t="s">
        <v>5126</v>
      </c>
      <c r="X368" s="266">
        <v>2.0</v>
      </c>
      <c r="Y368" s="266">
        <v>4.0</v>
      </c>
      <c r="Z368" s="266" t="s">
        <v>166</v>
      </c>
      <c r="AA368" s="266" t="s">
        <v>166</v>
      </c>
      <c r="AB368" s="266" t="s">
        <v>166</v>
      </c>
      <c r="AC368" s="266" t="s">
        <v>166</v>
      </c>
      <c r="AD368" s="266" t="s">
        <v>166</v>
      </c>
      <c r="AE368" s="266" t="s">
        <v>166</v>
      </c>
      <c r="AF368" s="266">
        <f t="shared" si="1"/>
        <v>6</v>
      </c>
      <c r="AG368" s="266">
        <v>2.0</v>
      </c>
      <c r="AH368" s="266">
        <v>1.0</v>
      </c>
      <c r="AI368" s="266" t="s">
        <v>166</v>
      </c>
      <c r="AJ368" s="266">
        <v>1.0</v>
      </c>
      <c r="AK368" s="48" t="s">
        <v>170</v>
      </c>
      <c r="AL368" s="48">
        <v>1.0</v>
      </c>
      <c r="AM368" s="48" t="s">
        <v>166</v>
      </c>
      <c r="AN368" s="48" t="s">
        <v>166</v>
      </c>
      <c r="AO368" s="48" t="s">
        <v>166</v>
      </c>
      <c r="AP368" s="266" t="s">
        <v>166</v>
      </c>
      <c r="AQ368" s="266" t="s">
        <v>166</v>
      </c>
      <c r="AR368" s="48" t="s">
        <v>5039</v>
      </c>
      <c r="AS368" s="266" t="s">
        <v>166</v>
      </c>
      <c r="AT368" s="266">
        <v>3.0</v>
      </c>
      <c r="AU368" s="266" t="s">
        <v>166</v>
      </c>
      <c r="AV368" s="266">
        <v>2.0</v>
      </c>
      <c r="AW368" s="266">
        <v>1.0</v>
      </c>
      <c r="AX368" s="266" t="s">
        <v>166</v>
      </c>
      <c r="AY368" s="266">
        <v>1.0</v>
      </c>
      <c r="AZ368" s="266">
        <v>4.0</v>
      </c>
      <c r="BA368" s="266" t="s">
        <v>166</v>
      </c>
      <c r="BB368" s="266" t="s">
        <v>166</v>
      </c>
      <c r="BC368" s="266" t="s">
        <v>174</v>
      </c>
      <c r="BD368" s="266" t="s">
        <v>166</v>
      </c>
      <c r="BE368" s="48" t="s">
        <v>170</v>
      </c>
      <c r="BF368" s="48" t="s">
        <v>5226</v>
      </c>
      <c r="BG368" s="48" t="s">
        <v>4963</v>
      </c>
      <c r="BH368" s="48">
        <v>8.0</v>
      </c>
      <c r="BI368" s="698" t="s">
        <v>5009</v>
      </c>
      <c r="BJ368" s="698"/>
      <c r="BK368" s="394"/>
      <c r="BL368" s="394"/>
      <c r="BM368" s="394"/>
      <c r="BN368" s="394"/>
      <c r="BO368" s="394"/>
      <c r="BP368" s="394"/>
    </row>
    <row r="369">
      <c r="A369" s="266" t="s">
        <v>1688</v>
      </c>
      <c r="B369" s="48">
        <v>1700.0</v>
      </c>
      <c r="C369" s="266" t="s">
        <v>5333</v>
      </c>
      <c r="D369" s="174" t="s">
        <v>3565</v>
      </c>
      <c r="E369" s="174" t="s">
        <v>5885</v>
      </c>
      <c r="F369" s="266">
        <v>244.0</v>
      </c>
      <c r="G369" s="266">
        <v>244.0</v>
      </c>
      <c r="H369" s="266">
        <v>4.0</v>
      </c>
      <c r="I369" s="266" t="s">
        <v>166</v>
      </c>
      <c r="J369" s="266">
        <v>1.0</v>
      </c>
      <c r="K369" s="266">
        <v>1.0</v>
      </c>
      <c r="L369" s="507" t="s">
        <v>166</v>
      </c>
      <c r="M369" s="507">
        <v>1.0</v>
      </c>
      <c r="N369" s="266" t="s">
        <v>166</v>
      </c>
      <c r="O369" s="266" t="s">
        <v>174</v>
      </c>
      <c r="P369" s="266" t="s">
        <v>166</v>
      </c>
      <c r="Q369" s="266" t="s">
        <v>166</v>
      </c>
      <c r="R369" s="266">
        <v>4.0</v>
      </c>
      <c r="S369" s="266" t="s">
        <v>3149</v>
      </c>
      <c r="T369" s="266">
        <v>128.0</v>
      </c>
      <c r="U369" s="266" t="s">
        <v>5304</v>
      </c>
      <c r="V369" s="266">
        <v>4.0</v>
      </c>
      <c r="W369" s="710" t="s">
        <v>5576</v>
      </c>
      <c r="X369" s="266">
        <v>4.0</v>
      </c>
      <c r="Y369" s="266">
        <v>2.0</v>
      </c>
      <c r="Z369" s="266" t="s">
        <v>166</v>
      </c>
      <c r="AA369" s="266" t="s">
        <v>166</v>
      </c>
      <c r="AB369" s="266" t="s">
        <v>166</v>
      </c>
      <c r="AC369" s="266" t="s">
        <v>166</v>
      </c>
      <c r="AD369" s="266" t="s">
        <v>166</v>
      </c>
      <c r="AE369" s="266" t="s">
        <v>166</v>
      </c>
      <c r="AF369" s="266">
        <f t="shared" si="1"/>
        <v>6</v>
      </c>
      <c r="AG369" s="266">
        <v>1.0</v>
      </c>
      <c r="AH369" s="266">
        <v>1.0</v>
      </c>
      <c r="AI369" s="266" t="s">
        <v>5025</v>
      </c>
      <c r="AJ369" s="266">
        <v>1.0</v>
      </c>
      <c r="AK369" s="48" t="s">
        <v>5038</v>
      </c>
      <c r="AL369" s="48">
        <v>2.5</v>
      </c>
      <c r="AM369" s="48">
        <v>1.0</v>
      </c>
      <c r="AN369" s="48" t="s">
        <v>166</v>
      </c>
      <c r="AO369" s="48" t="s">
        <v>232</v>
      </c>
      <c r="AP369" s="266" t="s">
        <v>166</v>
      </c>
      <c r="AQ369" s="266" t="s">
        <v>166</v>
      </c>
      <c r="AR369" s="48" t="s">
        <v>5039</v>
      </c>
      <c r="AS369" s="266" t="s">
        <v>166</v>
      </c>
      <c r="AT369" s="266">
        <v>3.0</v>
      </c>
      <c r="AU369" s="266" t="s">
        <v>166</v>
      </c>
      <c r="AV369" s="266">
        <v>1.0</v>
      </c>
      <c r="AW369" s="266">
        <v>2.0</v>
      </c>
      <c r="AX369" s="266" t="s">
        <v>166</v>
      </c>
      <c r="AY369" s="266">
        <v>1.0</v>
      </c>
      <c r="AZ369" s="266">
        <v>4.0</v>
      </c>
      <c r="BA369" s="266">
        <v>1.0</v>
      </c>
      <c r="BB369" s="266">
        <v>1.0</v>
      </c>
      <c r="BC369" s="266" t="s">
        <v>174</v>
      </c>
      <c r="BD369" s="266" t="s">
        <v>166</v>
      </c>
      <c r="BE369" s="48" t="s">
        <v>170</v>
      </c>
      <c r="BF369" s="48" t="s">
        <v>5226</v>
      </c>
      <c r="BG369" s="48" t="s">
        <v>4963</v>
      </c>
      <c r="BH369" s="48">
        <v>8.0</v>
      </c>
      <c r="BI369" s="698" t="s">
        <v>5009</v>
      </c>
      <c r="BJ369" s="698"/>
      <c r="BK369" s="394"/>
      <c r="BL369" s="394"/>
      <c r="BM369" s="394"/>
      <c r="BN369" s="394"/>
      <c r="BO369" s="394"/>
      <c r="BP369" s="394"/>
    </row>
    <row r="370">
      <c r="A370" s="266" t="s">
        <v>1688</v>
      </c>
      <c r="B370" s="48">
        <v>1700.0</v>
      </c>
      <c r="C370" s="266" t="s">
        <v>5333</v>
      </c>
      <c r="D370" s="174" t="s">
        <v>3565</v>
      </c>
      <c r="E370" s="174" t="s">
        <v>5886</v>
      </c>
      <c r="F370" s="266">
        <v>244.0</v>
      </c>
      <c r="G370" s="266">
        <v>244.0</v>
      </c>
      <c r="H370" s="266">
        <v>4.0</v>
      </c>
      <c r="I370" s="266" t="s">
        <v>166</v>
      </c>
      <c r="J370" s="266" t="s">
        <v>166</v>
      </c>
      <c r="K370" s="266">
        <v>1.0</v>
      </c>
      <c r="L370" s="507" t="s">
        <v>166</v>
      </c>
      <c r="M370" s="507">
        <v>2.0</v>
      </c>
      <c r="N370" s="266" t="s">
        <v>166</v>
      </c>
      <c r="O370" s="266" t="s">
        <v>174</v>
      </c>
      <c r="P370" s="266" t="s">
        <v>166</v>
      </c>
      <c r="Q370" s="266" t="s">
        <v>166</v>
      </c>
      <c r="R370" s="266">
        <v>4.0</v>
      </c>
      <c r="S370" s="266" t="s">
        <v>3149</v>
      </c>
      <c r="T370" s="266">
        <v>128.0</v>
      </c>
      <c r="U370" s="266" t="s">
        <v>170</v>
      </c>
      <c r="V370" s="266">
        <v>4.0</v>
      </c>
      <c r="W370" s="710" t="s">
        <v>5126</v>
      </c>
      <c r="X370" s="266">
        <v>2.0</v>
      </c>
      <c r="Y370" s="266">
        <v>4.0</v>
      </c>
      <c r="Z370" s="266" t="s">
        <v>166</v>
      </c>
      <c r="AA370" s="266" t="s">
        <v>166</v>
      </c>
      <c r="AB370" s="266" t="s">
        <v>166</v>
      </c>
      <c r="AC370" s="266" t="s">
        <v>166</v>
      </c>
      <c r="AD370" s="266" t="s">
        <v>166</v>
      </c>
      <c r="AE370" s="266" t="s">
        <v>166</v>
      </c>
      <c r="AF370" s="266">
        <f t="shared" si="1"/>
        <v>6</v>
      </c>
      <c r="AG370" s="266">
        <v>1.0</v>
      </c>
      <c r="AH370" s="266">
        <v>1.0</v>
      </c>
      <c r="AI370" s="266" t="s">
        <v>166</v>
      </c>
      <c r="AJ370" s="266">
        <v>1.0</v>
      </c>
      <c r="AK370" s="48" t="s">
        <v>5038</v>
      </c>
      <c r="AL370" s="48">
        <v>2.5</v>
      </c>
      <c r="AM370" s="705">
        <v>1.0</v>
      </c>
      <c r="AN370" s="48" t="s">
        <v>5044</v>
      </c>
      <c r="AO370" s="705" t="s">
        <v>5376</v>
      </c>
      <c r="AP370" s="266">
        <v>2400.0</v>
      </c>
      <c r="AQ370" s="266">
        <v>5.2</v>
      </c>
      <c r="AR370" s="48" t="s">
        <v>5039</v>
      </c>
      <c r="AS370" s="266" t="s">
        <v>174</v>
      </c>
      <c r="AT370" s="266">
        <v>5.0</v>
      </c>
      <c r="AU370" s="266">
        <v>1.0</v>
      </c>
      <c r="AV370" s="266">
        <v>1.0</v>
      </c>
      <c r="AW370" s="266">
        <v>1.0</v>
      </c>
      <c r="AX370" s="266" t="s">
        <v>166</v>
      </c>
      <c r="AY370" s="266">
        <v>1.0</v>
      </c>
      <c r="AZ370" s="266">
        <v>4.0</v>
      </c>
      <c r="BA370" s="266">
        <v>1.0</v>
      </c>
      <c r="BB370" s="266">
        <v>1.0</v>
      </c>
      <c r="BC370" s="266" t="s">
        <v>174</v>
      </c>
      <c r="BD370" s="266" t="s">
        <v>174</v>
      </c>
      <c r="BE370" s="48" t="s">
        <v>5887</v>
      </c>
      <c r="BF370" s="48" t="s">
        <v>5888</v>
      </c>
      <c r="BG370" s="48" t="s">
        <v>4955</v>
      </c>
      <c r="BH370" s="48">
        <v>16.0</v>
      </c>
      <c r="BI370" s="698" t="s">
        <v>5889</v>
      </c>
      <c r="BJ370" s="698"/>
      <c r="BK370" s="394"/>
      <c r="BL370" s="394"/>
      <c r="BM370" s="394"/>
      <c r="BN370" s="394"/>
      <c r="BO370" s="394"/>
      <c r="BP370" s="394"/>
    </row>
    <row r="371">
      <c r="A371" s="738" t="s">
        <v>1688</v>
      </c>
      <c r="B371" s="753">
        <v>1700.0</v>
      </c>
      <c r="C371" s="739" t="s">
        <v>5333</v>
      </c>
      <c r="D371" s="754" t="str">
        <f t="shared" ref="D371:D389" si="53">HYPERLINK("https://www.msi.com/index.php","MSI")</f>
        <v>MSI</v>
      </c>
      <c r="E371" s="174" t="s">
        <v>5890</v>
      </c>
      <c r="F371" s="266">
        <v>244.0</v>
      </c>
      <c r="G371" s="266">
        <v>244.0</v>
      </c>
      <c r="H371" s="266">
        <v>4.0</v>
      </c>
      <c r="I371" s="266" t="s">
        <v>166</v>
      </c>
      <c r="J371" s="266">
        <v>1.0</v>
      </c>
      <c r="K371" s="266" t="s">
        <v>166</v>
      </c>
      <c r="L371" s="507" t="s">
        <v>166</v>
      </c>
      <c r="M371" s="507">
        <v>2.0</v>
      </c>
      <c r="N371" s="266" t="s">
        <v>166</v>
      </c>
      <c r="O371" s="266" t="s">
        <v>174</v>
      </c>
      <c r="P371" s="266" t="s">
        <v>166</v>
      </c>
      <c r="Q371" s="266" t="s">
        <v>166</v>
      </c>
      <c r="R371" s="266">
        <v>4.0</v>
      </c>
      <c r="S371" s="266" t="s">
        <v>3151</v>
      </c>
      <c r="T371" s="266">
        <v>192.0</v>
      </c>
      <c r="U371" s="266" t="s">
        <v>5336</v>
      </c>
      <c r="V371" s="266">
        <v>4.0</v>
      </c>
      <c r="W371" s="710" t="s">
        <v>5305</v>
      </c>
      <c r="X371" s="266">
        <v>2.0</v>
      </c>
      <c r="Y371" s="266">
        <v>2.0</v>
      </c>
      <c r="Z371" s="266" t="s">
        <v>166</v>
      </c>
      <c r="AA371" s="266">
        <v>2.0</v>
      </c>
      <c r="AB371" s="266" t="s">
        <v>166</v>
      </c>
      <c r="AC371" s="266" t="s">
        <v>166</v>
      </c>
      <c r="AD371" s="266" t="s">
        <v>166</v>
      </c>
      <c r="AE371" s="266" t="s">
        <v>166</v>
      </c>
      <c r="AF371" s="266">
        <f t="shared" si="1"/>
        <v>6</v>
      </c>
      <c r="AG371" s="266">
        <v>2.0</v>
      </c>
      <c r="AH371" s="266">
        <v>1.0</v>
      </c>
      <c r="AI371" s="266" t="s">
        <v>5049</v>
      </c>
      <c r="AJ371" s="266">
        <v>1.0</v>
      </c>
      <c r="AK371" s="48" t="s">
        <v>5038</v>
      </c>
      <c r="AL371" s="48">
        <v>2.5</v>
      </c>
      <c r="AM371" s="48" t="s">
        <v>166</v>
      </c>
      <c r="AN371" s="48" t="s">
        <v>166</v>
      </c>
      <c r="AO371" s="48" t="s">
        <v>166</v>
      </c>
      <c r="AP371" s="266" t="s">
        <v>166</v>
      </c>
      <c r="AQ371" s="266" t="s">
        <v>166</v>
      </c>
      <c r="AR371" s="48" t="s">
        <v>5039</v>
      </c>
      <c r="AS371" s="266" t="s">
        <v>166</v>
      </c>
      <c r="AT371" s="266">
        <v>3.0</v>
      </c>
      <c r="AU371" s="266">
        <v>1.0</v>
      </c>
      <c r="AV371" s="266">
        <v>1.0</v>
      </c>
      <c r="AW371" s="266">
        <v>1.0</v>
      </c>
      <c r="AX371" s="266" t="s">
        <v>166</v>
      </c>
      <c r="AY371" s="266" t="s">
        <v>166</v>
      </c>
      <c r="AZ371" s="266">
        <v>4.0</v>
      </c>
      <c r="BA371" s="266">
        <v>1.0</v>
      </c>
      <c r="BB371" s="266">
        <v>2.0</v>
      </c>
      <c r="BC371" s="266" t="s">
        <v>174</v>
      </c>
      <c r="BD371" s="266" t="s">
        <v>174</v>
      </c>
      <c r="BE371" s="48" t="s">
        <v>5328</v>
      </c>
      <c r="BF371" s="48" t="s">
        <v>5800</v>
      </c>
      <c r="BG371" s="48" t="s">
        <v>4955</v>
      </c>
      <c r="BH371" s="48">
        <v>12.0</v>
      </c>
      <c r="BI371" s="698" t="s">
        <v>5891</v>
      </c>
      <c r="BJ371" s="698"/>
      <c r="BK371" s="394"/>
      <c r="BL371" s="394"/>
      <c r="BM371" s="394"/>
      <c r="BN371" s="394"/>
      <c r="BO371" s="394"/>
      <c r="BP371" s="394"/>
    </row>
    <row r="372">
      <c r="A372" s="738" t="s">
        <v>1688</v>
      </c>
      <c r="B372" s="753">
        <v>1700.0</v>
      </c>
      <c r="C372" s="739" t="s">
        <v>5333</v>
      </c>
      <c r="D372" s="754" t="str">
        <f t="shared" si="53"/>
        <v>MSI</v>
      </c>
      <c r="E372" s="174" t="s">
        <v>5892</v>
      </c>
      <c r="F372" s="266">
        <v>244.0</v>
      </c>
      <c r="G372" s="266">
        <v>244.0</v>
      </c>
      <c r="H372" s="266">
        <v>4.0</v>
      </c>
      <c r="I372" s="266" t="s">
        <v>166</v>
      </c>
      <c r="J372" s="266">
        <v>1.0</v>
      </c>
      <c r="K372" s="266" t="s">
        <v>166</v>
      </c>
      <c r="L372" s="507" t="s">
        <v>166</v>
      </c>
      <c r="M372" s="507">
        <v>2.0</v>
      </c>
      <c r="N372" s="266" t="s">
        <v>166</v>
      </c>
      <c r="O372" s="266" t="s">
        <v>174</v>
      </c>
      <c r="P372" s="266" t="s">
        <v>166</v>
      </c>
      <c r="Q372" s="266" t="s">
        <v>166</v>
      </c>
      <c r="R372" s="266">
        <v>4.0</v>
      </c>
      <c r="S372" s="266" t="s">
        <v>3149</v>
      </c>
      <c r="T372" s="266">
        <v>128.0</v>
      </c>
      <c r="U372" s="266" t="s">
        <v>5223</v>
      </c>
      <c r="V372" s="266">
        <v>4.0</v>
      </c>
      <c r="W372" s="710" t="s">
        <v>5305</v>
      </c>
      <c r="X372" s="266">
        <v>2.0</v>
      </c>
      <c r="Y372" s="266">
        <v>2.0</v>
      </c>
      <c r="Z372" s="266" t="s">
        <v>166</v>
      </c>
      <c r="AA372" s="266">
        <v>2.0</v>
      </c>
      <c r="AB372" s="266" t="s">
        <v>166</v>
      </c>
      <c r="AC372" s="266" t="s">
        <v>166</v>
      </c>
      <c r="AD372" s="266" t="s">
        <v>166</v>
      </c>
      <c r="AE372" s="266" t="s">
        <v>166</v>
      </c>
      <c r="AF372" s="266">
        <f t="shared" si="1"/>
        <v>6</v>
      </c>
      <c r="AG372" s="266">
        <v>2.0</v>
      </c>
      <c r="AH372" s="266">
        <v>1.0</v>
      </c>
      <c r="AI372" s="266" t="s">
        <v>5049</v>
      </c>
      <c r="AJ372" s="266">
        <v>1.0</v>
      </c>
      <c r="AK372" s="48" t="s">
        <v>5038</v>
      </c>
      <c r="AL372" s="48">
        <v>2.5</v>
      </c>
      <c r="AM372" s="48" t="s">
        <v>166</v>
      </c>
      <c r="AN372" s="48" t="s">
        <v>166</v>
      </c>
      <c r="AO372" s="48" t="s">
        <v>166</v>
      </c>
      <c r="AP372" s="266" t="s">
        <v>166</v>
      </c>
      <c r="AQ372" s="266" t="s">
        <v>166</v>
      </c>
      <c r="AR372" s="48" t="s">
        <v>5039</v>
      </c>
      <c r="AS372" s="266" t="s">
        <v>166</v>
      </c>
      <c r="AT372" s="266">
        <v>3.0</v>
      </c>
      <c r="AU372" s="266">
        <v>1.0</v>
      </c>
      <c r="AV372" s="266">
        <v>1.0</v>
      </c>
      <c r="AW372" s="266">
        <v>1.0</v>
      </c>
      <c r="AX372" s="266" t="s">
        <v>166</v>
      </c>
      <c r="AY372" s="266" t="s">
        <v>166</v>
      </c>
      <c r="AZ372" s="266">
        <v>4.0</v>
      </c>
      <c r="BA372" s="266">
        <v>1.0</v>
      </c>
      <c r="BB372" s="266">
        <v>2.0</v>
      </c>
      <c r="BC372" s="266" t="s">
        <v>174</v>
      </c>
      <c r="BD372" s="266" t="s">
        <v>174</v>
      </c>
      <c r="BE372" s="48" t="s">
        <v>5328</v>
      </c>
      <c r="BF372" s="48" t="s">
        <v>5800</v>
      </c>
      <c r="BG372" s="48" t="s">
        <v>4955</v>
      </c>
      <c r="BH372" s="48">
        <v>12.0</v>
      </c>
      <c r="BI372" s="698" t="s">
        <v>5891</v>
      </c>
      <c r="BJ372" s="698"/>
      <c r="BK372" s="394"/>
      <c r="BL372" s="394"/>
      <c r="BM372" s="394"/>
      <c r="BN372" s="394"/>
      <c r="BO372" s="394"/>
      <c r="BP372" s="394"/>
    </row>
    <row r="373">
      <c r="A373" s="738" t="s">
        <v>1688</v>
      </c>
      <c r="B373" s="753">
        <v>1700.0</v>
      </c>
      <c r="C373" s="739" t="s">
        <v>5333</v>
      </c>
      <c r="D373" s="754" t="str">
        <f t="shared" si="53"/>
        <v>MSI</v>
      </c>
      <c r="E373" s="174" t="s">
        <v>5893</v>
      </c>
      <c r="F373" s="266">
        <v>244.0</v>
      </c>
      <c r="G373" s="266">
        <v>244.0</v>
      </c>
      <c r="H373" s="266">
        <v>4.0</v>
      </c>
      <c r="I373" s="266" t="s">
        <v>166</v>
      </c>
      <c r="J373" s="266">
        <v>1.0</v>
      </c>
      <c r="K373" s="266" t="s">
        <v>166</v>
      </c>
      <c r="L373" s="507" t="s">
        <v>166</v>
      </c>
      <c r="M373" s="507">
        <v>2.0</v>
      </c>
      <c r="N373" s="266" t="s">
        <v>166</v>
      </c>
      <c r="O373" s="266" t="s">
        <v>174</v>
      </c>
      <c r="P373" s="266" t="s">
        <v>166</v>
      </c>
      <c r="Q373" s="266" t="s">
        <v>166</v>
      </c>
      <c r="R373" s="266">
        <v>4.0</v>
      </c>
      <c r="S373" s="266" t="s">
        <v>3151</v>
      </c>
      <c r="T373" s="266">
        <v>192.0</v>
      </c>
      <c r="U373" s="266" t="s">
        <v>5336</v>
      </c>
      <c r="V373" s="266">
        <v>6.0</v>
      </c>
      <c r="W373" s="710" t="s">
        <v>5305</v>
      </c>
      <c r="X373" s="266">
        <v>4.0</v>
      </c>
      <c r="Y373" s="266" t="s">
        <v>166</v>
      </c>
      <c r="Z373" s="266" t="s">
        <v>166</v>
      </c>
      <c r="AA373" s="266">
        <v>3.0</v>
      </c>
      <c r="AB373" s="266" t="s">
        <v>166</v>
      </c>
      <c r="AC373" s="266">
        <v>1.0</v>
      </c>
      <c r="AD373" s="266" t="s">
        <v>166</v>
      </c>
      <c r="AE373" s="266" t="s">
        <v>166</v>
      </c>
      <c r="AF373" s="266">
        <f t="shared" si="1"/>
        <v>8</v>
      </c>
      <c r="AG373" s="266">
        <v>2.0</v>
      </c>
      <c r="AH373" s="266">
        <v>1.0</v>
      </c>
      <c r="AI373" s="266" t="s">
        <v>5025</v>
      </c>
      <c r="AJ373" s="266">
        <v>1.0</v>
      </c>
      <c r="AK373" s="48" t="s">
        <v>5038</v>
      </c>
      <c r="AL373" s="48">
        <v>2.5</v>
      </c>
      <c r="AM373" s="48" t="s">
        <v>166</v>
      </c>
      <c r="AN373" s="48" t="s">
        <v>166</v>
      </c>
      <c r="AO373" s="48" t="s">
        <v>166</v>
      </c>
      <c r="AP373" s="266" t="s">
        <v>166</v>
      </c>
      <c r="AQ373" s="266" t="s">
        <v>166</v>
      </c>
      <c r="AR373" s="48" t="s">
        <v>5050</v>
      </c>
      <c r="AS373" s="266" t="s">
        <v>174</v>
      </c>
      <c r="AT373" s="266">
        <v>5.0</v>
      </c>
      <c r="AU373" s="266" t="s">
        <v>166</v>
      </c>
      <c r="AV373" s="266">
        <v>1.0</v>
      </c>
      <c r="AW373" s="266">
        <v>1.0</v>
      </c>
      <c r="AX373" s="266" t="s">
        <v>166</v>
      </c>
      <c r="AY373" s="266" t="s">
        <v>166</v>
      </c>
      <c r="AZ373" s="266">
        <v>4.0</v>
      </c>
      <c r="BA373" s="266">
        <v>1.0</v>
      </c>
      <c r="BB373" s="266">
        <v>2.0</v>
      </c>
      <c r="BC373" s="266" t="s">
        <v>174</v>
      </c>
      <c r="BD373" s="266" t="s">
        <v>174</v>
      </c>
      <c r="BE373" s="48" t="s">
        <v>5342</v>
      </c>
      <c r="BF373" s="48" t="s">
        <v>5800</v>
      </c>
      <c r="BG373" s="48" t="s">
        <v>4963</v>
      </c>
      <c r="BH373" s="48">
        <v>12.0</v>
      </c>
      <c r="BI373" s="698" t="s">
        <v>5343</v>
      </c>
      <c r="BJ373" s="698"/>
      <c r="BK373" s="394"/>
      <c r="BL373" s="394"/>
      <c r="BM373" s="394"/>
      <c r="BN373" s="394"/>
      <c r="BO373" s="394"/>
      <c r="BP373" s="394"/>
    </row>
    <row r="374">
      <c r="A374" s="738" t="s">
        <v>1688</v>
      </c>
      <c r="B374" s="753">
        <v>1700.0</v>
      </c>
      <c r="C374" s="739" t="s">
        <v>5333</v>
      </c>
      <c r="D374" s="754" t="str">
        <f t="shared" si="53"/>
        <v>MSI</v>
      </c>
      <c r="E374" s="174" t="s">
        <v>5894</v>
      </c>
      <c r="F374" s="266">
        <v>244.0</v>
      </c>
      <c r="G374" s="266">
        <v>244.0</v>
      </c>
      <c r="H374" s="266">
        <v>4.0</v>
      </c>
      <c r="I374" s="266" t="s">
        <v>166</v>
      </c>
      <c r="J374" s="266">
        <v>1.0</v>
      </c>
      <c r="K374" s="266" t="s">
        <v>166</v>
      </c>
      <c r="L374" s="507" t="s">
        <v>166</v>
      </c>
      <c r="M374" s="507">
        <v>2.0</v>
      </c>
      <c r="N374" s="266" t="s">
        <v>166</v>
      </c>
      <c r="O374" s="266" t="s">
        <v>174</v>
      </c>
      <c r="P374" s="266" t="s">
        <v>166</v>
      </c>
      <c r="Q374" s="266" t="s">
        <v>166</v>
      </c>
      <c r="R374" s="266">
        <v>4.0</v>
      </c>
      <c r="S374" s="266" t="s">
        <v>3149</v>
      </c>
      <c r="T374" s="266">
        <v>128.0</v>
      </c>
      <c r="U374" s="266" t="s">
        <v>5223</v>
      </c>
      <c r="V374" s="266">
        <v>6.0</v>
      </c>
      <c r="W374" s="710" t="s">
        <v>5305</v>
      </c>
      <c r="X374" s="266">
        <v>4.0</v>
      </c>
      <c r="Y374" s="266" t="s">
        <v>166</v>
      </c>
      <c r="Z374" s="266" t="s">
        <v>166</v>
      </c>
      <c r="AA374" s="266">
        <v>3.0</v>
      </c>
      <c r="AB374" s="266" t="s">
        <v>166</v>
      </c>
      <c r="AC374" s="266">
        <v>1.0</v>
      </c>
      <c r="AD374" s="266" t="s">
        <v>166</v>
      </c>
      <c r="AE374" s="266" t="s">
        <v>166</v>
      </c>
      <c r="AF374" s="266">
        <f t="shared" si="1"/>
        <v>8</v>
      </c>
      <c r="AG374" s="266">
        <v>2.0</v>
      </c>
      <c r="AH374" s="266">
        <v>1.0</v>
      </c>
      <c r="AI374" s="266" t="s">
        <v>5025</v>
      </c>
      <c r="AJ374" s="266">
        <v>1.0</v>
      </c>
      <c r="AK374" s="48" t="s">
        <v>5038</v>
      </c>
      <c r="AL374" s="48">
        <v>2.5</v>
      </c>
      <c r="AM374" s="48" t="s">
        <v>166</v>
      </c>
      <c r="AN374" s="48" t="s">
        <v>166</v>
      </c>
      <c r="AO374" s="48" t="s">
        <v>166</v>
      </c>
      <c r="AP374" s="266" t="s">
        <v>166</v>
      </c>
      <c r="AQ374" s="266" t="s">
        <v>166</v>
      </c>
      <c r="AR374" s="48" t="s">
        <v>5050</v>
      </c>
      <c r="AS374" s="266" t="s">
        <v>174</v>
      </c>
      <c r="AT374" s="266">
        <v>5.0</v>
      </c>
      <c r="AU374" s="266" t="s">
        <v>166</v>
      </c>
      <c r="AV374" s="266">
        <v>1.0</v>
      </c>
      <c r="AW374" s="266">
        <v>1.0</v>
      </c>
      <c r="AX374" s="266" t="s">
        <v>166</v>
      </c>
      <c r="AY374" s="266" t="s">
        <v>166</v>
      </c>
      <c r="AZ374" s="266">
        <v>4.0</v>
      </c>
      <c r="BA374" s="266">
        <v>1.0</v>
      </c>
      <c r="BB374" s="266">
        <v>2.0</v>
      </c>
      <c r="BC374" s="266" t="s">
        <v>174</v>
      </c>
      <c r="BD374" s="266" t="s">
        <v>174</v>
      </c>
      <c r="BE374" s="48" t="s">
        <v>5342</v>
      </c>
      <c r="BF374" s="48" t="s">
        <v>5800</v>
      </c>
      <c r="BG374" s="48" t="s">
        <v>4963</v>
      </c>
      <c r="BH374" s="48">
        <v>12.0</v>
      </c>
      <c r="BI374" s="698" t="s">
        <v>5343</v>
      </c>
      <c r="BJ374" s="698"/>
      <c r="BK374" s="394"/>
      <c r="BL374" s="394"/>
      <c r="BM374" s="394"/>
      <c r="BN374" s="394"/>
      <c r="BO374" s="394"/>
      <c r="BP374" s="394"/>
    </row>
    <row r="375">
      <c r="A375" s="738" t="s">
        <v>1688</v>
      </c>
      <c r="B375" s="753">
        <v>1700.0</v>
      </c>
      <c r="C375" s="739" t="s">
        <v>5333</v>
      </c>
      <c r="D375" s="754" t="str">
        <f t="shared" si="53"/>
        <v>MSI</v>
      </c>
      <c r="E375" s="174" t="s">
        <v>5895</v>
      </c>
      <c r="F375" s="266">
        <v>244.0</v>
      </c>
      <c r="G375" s="266">
        <v>244.0</v>
      </c>
      <c r="H375" s="266">
        <v>5.0</v>
      </c>
      <c r="I375" s="266" t="s">
        <v>166</v>
      </c>
      <c r="J375" s="266">
        <v>1.0</v>
      </c>
      <c r="K375" s="266" t="s">
        <v>166</v>
      </c>
      <c r="L375" s="507" t="s">
        <v>166</v>
      </c>
      <c r="M375" s="507">
        <v>2.0</v>
      </c>
      <c r="N375" s="266" t="s">
        <v>166</v>
      </c>
      <c r="O375" s="266" t="s">
        <v>174</v>
      </c>
      <c r="P375" s="266" t="s">
        <v>166</v>
      </c>
      <c r="Q375" s="266" t="s">
        <v>166</v>
      </c>
      <c r="R375" s="266">
        <v>4.0</v>
      </c>
      <c r="S375" s="266" t="s">
        <v>3149</v>
      </c>
      <c r="T375" s="266">
        <v>128.0</v>
      </c>
      <c r="U375" s="266" t="s">
        <v>5223</v>
      </c>
      <c r="V375" s="266">
        <v>6.0</v>
      </c>
      <c r="W375" s="710" t="s">
        <v>5305</v>
      </c>
      <c r="X375" s="266">
        <v>4.0</v>
      </c>
      <c r="Y375" s="266" t="s">
        <v>166</v>
      </c>
      <c r="Z375" s="266" t="s">
        <v>166</v>
      </c>
      <c r="AA375" s="266">
        <v>3.0</v>
      </c>
      <c r="AB375" s="266" t="s">
        <v>166</v>
      </c>
      <c r="AC375" s="266">
        <v>1.0</v>
      </c>
      <c r="AD375" s="266" t="s">
        <v>166</v>
      </c>
      <c r="AE375" s="266" t="s">
        <v>166</v>
      </c>
      <c r="AF375" s="266">
        <f t="shared" si="1"/>
        <v>8</v>
      </c>
      <c r="AG375" s="266">
        <v>2.0</v>
      </c>
      <c r="AH375" s="266">
        <v>1.0</v>
      </c>
      <c r="AI375" s="266" t="s">
        <v>5025</v>
      </c>
      <c r="AJ375" s="266">
        <v>1.0</v>
      </c>
      <c r="AK375" s="48" t="s">
        <v>5038</v>
      </c>
      <c r="AL375" s="48">
        <v>2.5</v>
      </c>
      <c r="AM375" s="705">
        <v>1.0</v>
      </c>
      <c r="AN375" s="48" t="s">
        <v>5044</v>
      </c>
      <c r="AO375" s="705" t="s">
        <v>5376</v>
      </c>
      <c r="AP375" s="266">
        <v>2400.0</v>
      </c>
      <c r="AQ375" s="266">
        <v>5.2</v>
      </c>
      <c r="AR375" s="48" t="s">
        <v>5039</v>
      </c>
      <c r="AS375" s="266" t="s">
        <v>174</v>
      </c>
      <c r="AT375" s="266">
        <v>5.0</v>
      </c>
      <c r="AU375" s="266" t="s">
        <v>166</v>
      </c>
      <c r="AV375" s="266">
        <v>1.0</v>
      </c>
      <c r="AW375" s="266">
        <v>1.0</v>
      </c>
      <c r="AX375" s="266" t="s">
        <v>166</v>
      </c>
      <c r="AY375" s="266" t="s">
        <v>166</v>
      </c>
      <c r="AZ375" s="266">
        <v>4.0</v>
      </c>
      <c r="BA375" s="266">
        <v>1.0</v>
      </c>
      <c r="BB375" s="266">
        <v>2.0</v>
      </c>
      <c r="BC375" s="266" t="s">
        <v>174</v>
      </c>
      <c r="BD375" s="266" t="s">
        <v>174</v>
      </c>
      <c r="BE375" s="48" t="s">
        <v>5342</v>
      </c>
      <c r="BF375" s="48" t="s">
        <v>5800</v>
      </c>
      <c r="BG375" s="48" t="s">
        <v>4963</v>
      </c>
      <c r="BH375" s="48">
        <v>12.0</v>
      </c>
      <c r="BI375" s="698" t="s">
        <v>5343</v>
      </c>
      <c r="BJ375" s="698"/>
      <c r="BK375" s="394"/>
      <c r="BL375" s="394"/>
      <c r="BM375" s="394"/>
      <c r="BN375" s="394"/>
      <c r="BO375" s="394"/>
      <c r="BP375" s="394"/>
    </row>
    <row r="376">
      <c r="A376" s="738" t="s">
        <v>1688</v>
      </c>
      <c r="B376" s="753">
        <v>1700.0</v>
      </c>
      <c r="C376" s="739" t="s">
        <v>5333</v>
      </c>
      <c r="D376" s="754" t="str">
        <f t="shared" si="53"/>
        <v>MSI</v>
      </c>
      <c r="E376" s="174" t="s">
        <v>5896</v>
      </c>
      <c r="F376" s="266">
        <v>244.0</v>
      </c>
      <c r="G376" s="266">
        <v>244.0</v>
      </c>
      <c r="H376" s="266">
        <v>4.0</v>
      </c>
      <c r="I376" s="266" t="s">
        <v>166</v>
      </c>
      <c r="J376" s="266">
        <v>1.0</v>
      </c>
      <c r="K376" s="266" t="s">
        <v>166</v>
      </c>
      <c r="L376" s="507" t="s">
        <v>166</v>
      </c>
      <c r="M376" s="507">
        <v>2.0</v>
      </c>
      <c r="N376" s="266" t="s">
        <v>166</v>
      </c>
      <c r="O376" s="266" t="s">
        <v>174</v>
      </c>
      <c r="P376" s="266" t="s">
        <v>166</v>
      </c>
      <c r="Q376" s="266" t="s">
        <v>166</v>
      </c>
      <c r="R376" s="266">
        <v>4.0</v>
      </c>
      <c r="S376" s="266" t="s">
        <v>3151</v>
      </c>
      <c r="T376" s="266">
        <v>192.0</v>
      </c>
      <c r="U376" s="266" t="s">
        <v>5336</v>
      </c>
      <c r="V376" s="266">
        <v>6.0</v>
      </c>
      <c r="W376" s="710" t="s">
        <v>5305</v>
      </c>
      <c r="X376" s="266">
        <v>4.0</v>
      </c>
      <c r="Y376" s="266" t="s">
        <v>166</v>
      </c>
      <c r="Z376" s="266" t="s">
        <v>166</v>
      </c>
      <c r="AA376" s="266">
        <v>3.0</v>
      </c>
      <c r="AB376" s="266" t="s">
        <v>166</v>
      </c>
      <c r="AC376" s="266">
        <v>1.0</v>
      </c>
      <c r="AD376" s="266" t="s">
        <v>166</v>
      </c>
      <c r="AE376" s="266" t="s">
        <v>166</v>
      </c>
      <c r="AF376" s="266">
        <f t="shared" si="1"/>
        <v>8</v>
      </c>
      <c r="AG376" s="266">
        <v>2.0</v>
      </c>
      <c r="AH376" s="266">
        <v>1.0</v>
      </c>
      <c r="AI376" s="266" t="s">
        <v>5025</v>
      </c>
      <c r="AJ376" s="266">
        <v>1.0</v>
      </c>
      <c r="AK376" s="48" t="s">
        <v>5038</v>
      </c>
      <c r="AL376" s="48">
        <v>2.5</v>
      </c>
      <c r="AM376" s="705">
        <v>1.0</v>
      </c>
      <c r="AN376" s="48" t="s">
        <v>5044</v>
      </c>
      <c r="AO376" s="705" t="s">
        <v>5376</v>
      </c>
      <c r="AP376" s="266">
        <v>2400.0</v>
      </c>
      <c r="AQ376" s="266">
        <v>5.2</v>
      </c>
      <c r="AR376" s="48" t="s">
        <v>5050</v>
      </c>
      <c r="AS376" s="266" t="s">
        <v>174</v>
      </c>
      <c r="AT376" s="266">
        <v>5.0</v>
      </c>
      <c r="AU376" s="266" t="s">
        <v>166</v>
      </c>
      <c r="AV376" s="266">
        <v>1.0</v>
      </c>
      <c r="AW376" s="266">
        <v>1.0</v>
      </c>
      <c r="AX376" s="266" t="s">
        <v>166</v>
      </c>
      <c r="AY376" s="266" t="s">
        <v>166</v>
      </c>
      <c r="AZ376" s="266">
        <v>4.0</v>
      </c>
      <c r="BA376" s="266">
        <v>1.0</v>
      </c>
      <c r="BB376" s="266">
        <v>2.0</v>
      </c>
      <c r="BC376" s="266" t="s">
        <v>174</v>
      </c>
      <c r="BD376" s="266" t="s">
        <v>174</v>
      </c>
      <c r="BE376" s="48" t="s">
        <v>5342</v>
      </c>
      <c r="BF376" s="48" t="s">
        <v>5800</v>
      </c>
      <c r="BG376" s="48" t="s">
        <v>4963</v>
      </c>
      <c r="BH376" s="48">
        <v>12.0</v>
      </c>
      <c r="BI376" s="698" t="s">
        <v>5343</v>
      </c>
      <c r="BJ376" s="698"/>
      <c r="BK376" s="394"/>
      <c r="BL376" s="394"/>
      <c r="BM376" s="394"/>
      <c r="BN376" s="394"/>
      <c r="BO376" s="394"/>
      <c r="BP376" s="394"/>
    </row>
    <row r="377">
      <c r="A377" s="738" t="s">
        <v>1688</v>
      </c>
      <c r="B377" s="753">
        <v>1700.0</v>
      </c>
      <c r="C377" s="739" t="s">
        <v>5333</v>
      </c>
      <c r="D377" s="754" t="str">
        <f t="shared" si="53"/>
        <v>MSI</v>
      </c>
      <c r="E377" s="174" t="s">
        <v>5897</v>
      </c>
      <c r="F377" s="266">
        <v>244.0</v>
      </c>
      <c r="G377" s="266">
        <v>244.0</v>
      </c>
      <c r="H377" s="266">
        <v>4.0</v>
      </c>
      <c r="I377" s="266" t="s">
        <v>166</v>
      </c>
      <c r="J377" s="266">
        <v>1.0</v>
      </c>
      <c r="K377" s="266" t="s">
        <v>166</v>
      </c>
      <c r="L377" s="507" t="s">
        <v>166</v>
      </c>
      <c r="M377" s="507">
        <v>2.0</v>
      </c>
      <c r="N377" s="266" t="s">
        <v>166</v>
      </c>
      <c r="O377" s="266" t="s">
        <v>174</v>
      </c>
      <c r="P377" s="266" t="s">
        <v>166</v>
      </c>
      <c r="Q377" s="266" t="s">
        <v>166</v>
      </c>
      <c r="R377" s="266">
        <v>4.0</v>
      </c>
      <c r="S377" s="266" t="s">
        <v>3149</v>
      </c>
      <c r="T377" s="266">
        <v>128.0</v>
      </c>
      <c r="U377" s="266" t="s">
        <v>5223</v>
      </c>
      <c r="V377" s="266">
        <v>6.0</v>
      </c>
      <c r="W377" s="710" t="s">
        <v>5305</v>
      </c>
      <c r="X377" s="266">
        <v>4.0</v>
      </c>
      <c r="Y377" s="266" t="s">
        <v>166</v>
      </c>
      <c r="Z377" s="266" t="s">
        <v>166</v>
      </c>
      <c r="AA377" s="266">
        <v>3.0</v>
      </c>
      <c r="AB377" s="266" t="s">
        <v>166</v>
      </c>
      <c r="AC377" s="266">
        <v>1.0</v>
      </c>
      <c r="AD377" s="266" t="s">
        <v>166</v>
      </c>
      <c r="AE377" s="266" t="s">
        <v>166</v>
      </c>
      <c r="AF377" s="266">
        <f t="shared" si="1"/>
        <v>8</v>
      </c>
      <c r="AG377" s="266">
        <v>2.0</v>
      </c>
      <c r="AH377" s="266">
        <v>1.0</v>
      </c>
      <c r="AI377" s="266" t="s">
        <v>5025</v>
      </c>
      <c r="AJ377" s="266">
        <v>1.0</v>
      </c>
      <c r="AK377" s="48" t="s">
        <v>5038</v>
      </c>
      <c r="AL377" s="48">
        <v>2.5</v>
      </c>
      <c r="AM377" s="705">
        <v>1.0</v>
      </c>
      <c r="AN377" s="48" t="s">
        <v>5027</v>
      </c>
      <c r="AO377" s="705" t="s">
        <v>5028</v>
      </c>
      <c r="AP377" s="266">
        <v>2400.0</v>
      </c>
      <c r="AQ377" s="266">
        <v>5.2</v>
      </c>
      <c r="AR377" s="48" t="s">
        <v>5050</v>
      </c>
      <c r="AS377" s="266" t="s">
        <v>174</v>
      </c>
      <c r="AT377" s="266">
        <v>5.0</v>
      </c>
      <c r="AU377" s="266" t="s">
        <v>166</v>
      </c>
      <c r="AV377" s="266">
        <v>1.0</v>
      </c>
      <c r="AW377" s="266">
        <v>1.0</v>
      </c>
      <c r="AX377" s="266" t="s">
        <v>166</v>
      </c>
      <c r="AY377" s="266" t="s">
        <v>166</v>
      </c>
      <c r="AZ377" s="266">
        <v>4.0</v>
      </c>
      <c r="BA377" s="266">
        <v>1.0</v>
      </c>
      <c r="BB377" s="266">
        <v>2.0</v>
      </c>
      <c r="BC377" s="266" t="s">
        <v>174</v>
      </c>
      <c r="BD377" s="266" t="s">
        <v>174</v>
      </c>
      <c r="BE377" s="48" t="s">
        <v>5342</v>
      </c>
      <c r="BF377" s="48" t="s">
        <v>5800</v>
      </c>
      <c r="BG377" s="48" t="s">
        <v>4963</v>
      </c>
      <c r="BH377" s="48">
        <v>12.0</v>
      </c>
      <c r="BI377" s="698" t="s">
        <v>5343</v>
      </c>
      <c r="BJ377" s="698"/>
      <c r="BK377" s="394"/>
      <c r="BL377" s="394"/>
      <c r="BM377" s="394"/>
      <c r="BN377" s="394"/>
      <c r="BO377" s="394"/>
      <c r="BP377" s="394"/>
    </row>
    <row r="378">
      <c r="A378" s="738" t="s">
        <v>1688</v>
      </c>
      <c r="B378" s="753">
        <v>1700.0</v>
      </c>
      <c r="C378" s="739" t="s">
        <v>5333</v>
      </c>
      <c r="D378" s="754" t="str">
        <f t="shared" si="53"/>
        <v>MSI</v>
      </c>
      <c r="E378" s="174" t="s">
        <v>5898</v>
      </c>
      <c r="F378" s="266">
        <v>244.0</v>
      </c>
      <c r="G378" s="266">
        <v>244.0</v>
      </c>
      <c r="H378" s="266">
        <v>4.0</v>
      </c>
      <c r="I378" s="266" t="s">
        <v>166</v>
      </c>
      <c r="J378" s="266">
        <v>1.0</v>
      </c>
      <c r="K378" s="266" t="s">
        <v>166</v>
      </c>
      <c r="L378" s="507" t="s">
        <v>166</v>
      </c>
      <c r="M378" s="507">
        <v>2.0</v>
      </c>
      <c r="N378" s="266" t="s">
        <v>166</v>
      </c>
      <c r="O378" s="266" t="s">
        <v>174</v>
      </c>
      <c r="P378" s="266" t="s">
        <v>166</v>
      </c>
      <c r="Q378" s="266" t="s">
        <v>166</v>
      </c>
      <c r="R378" s="266">
        <v>4.0</v>
      </c>
      <c r="S378" s="266" t="s">
        <v>3151</v>
      </c>
      <c r="T378" s="266">
        <v>192.0</v>
      </c>
      <c r="U378" s="266" t="s">
        <v>5336</v>
      </c>
      <c r="V378" s="266">
        <v>4.0</v>
      </c>
      <c r="W378" s="710" t="s">
        <v>5305</v>
      </c>
      <c r="X378" s="266">
        <v>2.0</v>
      </c>
      <c r="Y378" s="266">
        <v>2.0</v>
      </c>
      <c r="Z378" s="266" t="s">
        <v>166</v>
      </c>
      <c r="AA378" s="266">
        <v>2.0</v>
      </c>
      <c r="AB378" s="266" t="s">
        <v>166</v>
      </c>
      <c r="AC378" s="266" t="s">
        <v>166</v>
      </c>
      <c r="AD378" s="266" t="s">
        <v>166</v>
      </c>
      <c r="AE378" s="266" t="s">
        <v>166</v>
      </c>
      <c r="AF378" s="266">
        <f t="shared" si="1"/>
        <v>6</v>
      </c>
      <c r="AG378" s="266">
        <v>2.0</v>
      </c>
      <c r="AH378" s="266">
        <v>1.0</v>
      </c>
      <c r="AI378" s="266" t="s">
        <v>5049</v>
      </c>
      <c r="AJ378" s="266">
        <v>1.0</v>
      </c>
      <c r="AK378" s="48" t="s">
        <v>5038</v>
      </c>
      <c r="AL378" s="48">
        <v>2.5</v>
      </c>
      <c r="AM378" s="48" t="s">
        <v>166</v>
      </c>
      <c r="AN378" s="48" t="s">
        <v>166</v>
      </c>
      <c r="AO378" s="48" t="s">
        <v>166</v>
      </c>
      <c r="AP378" s="266" t="s">
        <v>166</v>
      </c>
      <c r="AQ378" s="266" t="s">
        <v>166</v>
      </c>
      <c r="AR378" s="48" t="s">
        <v>5039</v>
      </c>
      <c r="AS378" s="266" t="s">
        <v>166</v>
      </c>
      <c r="AT378" s="266">
        <v>3.0</v>
      </c>
      <c r="AU378" s="266">
        <v>1.0</v>
      </c>
      <c r="AV378" s="266">
        <v>2.0</v>
      </c>
      <c r="AW378" s="266">
        <v>2.0</v>
      </c>
      <c r="AX378" s="266" t="s">
        <v>166</v>
      </c>
      <c r="AY378" s="266" t="s">
        <v>166</v>
      </c>
      <c r="AZ378" s="266">
        <v>4.0</v>
      </c>
      <c r="BA378" s="266">
        <v>1.0</v>
      </c>
      <c r="BB378" s="266">
        <v>2.0</v>
      </c>
      <c r="BC378" s="266" t="s">
        <v>174</v>
      </c>
      <c r="BD378" s="266" t="s">
        <v>166</v>
      </c>
      <c r="BE378" s="48" t="s">
        <v>5328</v>
      </c>
      <c r="BF378" s="48" t="s">
        <v>5384</v>
      </c>
      <c r="BG378" s="48" t="s">
        <v>4955</v>
      </c>
      <c r="BH378" s="48">
        <v>14.0</v>
      </c>
      <c r="BI378" s="698" t="s">
        <v>5891</v>
      </c>
      <c r="BJ378" s="698"/>
      <c r="BK378" s="394"/>
      <c r="BL378" s="394"/>
      <c r="BM378" s="394"/>
      <c r="BN378" s="394"/>
      <c r="BO378" s="394"/>
      <c r="BP378" s="394"/>
    </row>
    <row r="379">
      <c r="A379" s="738" t="s">
        <v>1688</v>
      </c>
      <c r="B379" s="753">
        <v>1700.0</v>
      </c>
      <c r="C379" s="739" t="s">
        <v>5333</v>
      </c>
      <c r="D379" s="754" t="str">
        <f t="shared" si="53"/>
        <v>MSI</v>
      </c>
      <c r="E379" s="174" t="s">
        <v>5899</v>
      </c>
      <c r="F379" s="266">
        <v>244.0</v>
      </c>
      <c r="G379" s="266">
        <v>244.0</v>
      </c>
      <c r="H379" s="266">
        <v>4.0</v>
      </c>
      <c r="I379" s="266" t="s">
        <v>166</v>
      </c>
      <c r="J379" s="266" t="s">
        <v>166</v>
      </c>
      <c r="K379" s="266" t="s">
        <v>166</v>
      </c>
      <c r="L379" s="507" t="s">
        <v>166</v>
      </c>
      <c r="M379" s="507">
        <v>4.0</v>
      </c>
      <c r="N379" s="266" t="s">
        <v>166</v>
      </c>
      <c r="O379" s="266" t="s">
        <v>174</v>
      </c>
      <c r="P379" s="266" t="s">
        <v>166</v>
      </c>
      <c r="Q379" s="266" t="s">
        <v>166</v>
      </c>
      <c r="R379" s="266">
        <v>4.0</v>
      </c>
      <c r="S379" s="266" t="s">
        <v>3149</v>
      </c>
      <c r="T379" s="266">
        <v>128.0</v>
      </c>
      <c r="U379" s="266" t="s">
        <v>5223</v>
      </c>
      <c r="V379" s="266">
        <v>6.0</v>
      </c>
      <c r="W379" s="710" t="s">
        <v>5305</v>
      </c>
      <c r="X379" s="266">
        <v>2.0</v>
      </c>
      <c r="Y379" s="266">
        <v>4.0</v>
      </c>
      <c r="Z379" s="266" t="s">
        <v>166</v>
      </c>
      <c r="AA379" s="266">
        <v>1.0</v>
      </c>
      <c r="AB379" s="266">
        <v>1.0</v>
      </c>
      <c r="AC379" s="266" t="s">
        <v>166</v>
      </c>
      <c r="AD379" s="266" t="s">
        <v>166</v>
      </c>
      <c r="AE379" s="266" t="s">
        <v>166</v>
      </c>
      <c r="AF379" s="266">
        <f t="shared" si="1"/>
        <v>8</v>
      </c>
      <c r="AG379" s="266">
        <v>2.0</v>
      </c>
      <c r="AH379" s="266">
        <v>1.0</v>
      </c>
      <c r="AI379" s="266" t="s">
        <v>5049</v>
      </c>
      <c r="AJ379" s="266">
        <v>1.0</v>
      </c>
      <c r="AK379" s="48" t="s">
        <v>5038</v>
      </c>
      <c r="AL379" s="48">
        <v>2.5</v>
      </c>
      <c r="AM379" s="705">
        <v>1.0</v>
      </c>
      <c r="AN379" s="48" t="s">
        <v>5027</v>
      </c>
      <c r="AO379" s="705" t="s">
        <v>5865</v>
      </c>
      <c r="AP379" s="266">
        <v>2400.0</v>
      </c>
      <c r="AQ379" s="266">
        <v>5.2</v>
      </c>
      <c r="AR379" s="48" t="s">
        <v>5039</v>
      </c>
      <c r="AS379" s="266" t="s">
        <v>166</v>
      </c>
      <c r="AT379" s="266">
        <v>3.0</v>
      </c>
      <c r="AU379" s="266">
        <v>1.0</v>
      </c>
      <c r="AV379" s="266" t="s">
        <v>166</v>
      </c>
      <c r="AW379" s="266">
        <v>1.0</v>
      </c>
      <c r="AX379" s="266" t="s">
        <v>166</v>
      </c>
      <c r="AY379" s="266" t="s">
        <v>166</v>
      </c>
      <c r="AZ379" s="266">
        <v>4.0</v>
      </c>
      <c r="BA379" s="266">
        <v>1.0</v>
      </c>
      <c r="BB379" s="266">
        <v>2.0</v>
      </c>
      <c r="BC379" s="266" t="s">
        <v>174</v>
      </c>
      <c r="BD379" s="266" t="s">
        <v>166</v>
      </c>
      <c r="BE379" s="48" t="s">
        <v>170</v>
      </c>
      <c r="BF379" s="48" t="s">
        <v>170</v>
      </c>
      <c r="BG379" s="48" t="s">
        <v>170</v>
      </c>
      <c r="BH379" s="48" t="s">
        <v>170</v>
      </c>
      <c r="BI379" s="698" t="s">
        <v>170</v>
      </c>
      <c r="BJ379" s="698"/>
      <c r="BK379" s="394"/>
      <c r="BL379" s="394"/>
      <c r="BM379" s="394"/>
      <c r="BN379" s="394"/>
      <c r="BO379" s="394"/>
      <c r="BP379" s="394"/>
    </row>
    <row r="380">
      <c r="A380" s="738" t="s">
        <v>1688</v>
      </c>
      <c r="B380" s="753">
        <v>1700.0</v>
      </c>
      <c r="C380" s="739" t="s">
        <v>5333</v>
      </c>
      <c r="D380" s="754" t="str">
        <f t="shared" si="53"/>
        <v>MSI</v>
      </c>
      <c r="E380" s="174" t="s">
        <v>5900</v>
      </c>
      <c r="F380" s="266">
        <v>244.0</v>
      </c>
      <c r="G380" s="266">
        <v>244.0</v>
      </c>
      <c r="H380" s="266">
        <v>4.0</v>
      </c>
      <c r="I380" s="266" t="s">
        <v>166</v>
      </c>
      <c r="J380" s="266">
        <v>1.0</v>
      </c>
      <c r="K380" s="266" t="s">
        <v>166</v>
      </c>
      <c r="L380" s="507" t="s">
        <v>166</v>
      </c>
      <c r="M380" s="507">
        <v>2.0</v>
      </c>
      <c r="N380" s="266" t="s">
        <v>166</v>
      </c>
      <c r="O380" s="266" t="s">
        <v>174</v>
      </c>
      <c r="P380" s="266" t="s">
        <v>166</v>
      </c>
      <c r="Q380" s="266" t="s">
        <v>166</v>
      </c>
      <c r="R380" s="266">
        <v>4.0</v>
      </c>
      <c r="S380" s="266" t="s">
        <v>3149</v>
      </c>
      <c r="T380" s="266">
        <v>128.0</v>
      </c>
      <c r="U380" s="266" t="s">
        <v>5223</v>
      </c>
      <c r="V380" s="266">
        <v>4.0</v>
      </c>
      <c r="W380" s="710" t="s">
        <v>5305</v>
      </c>
      <c r="X380" s="266">
        <v>2.0</v>
      </c>
      <c r="Y380" s="266">
        <v>2.0</v>
      </c>
      <c r="Z380" s="266" t="s">
        <v>166</v>
      </c>
      <c r="AA380" s="266">
        <v>2.0</v>
      </c>
      <c r="AB380" s="266" t="s">
        <v>166</v>
      </c>
      <c r="AC380" s="266" t="s">
        <v>166</v>
      </c>
      <c r="AD380" s="266" t="s">
        <v>166</v>
      </c>
      <c r="AE380" s="266" t="s">
        <v>166</v>
      </c>
      <c r="AF380" s="266">
        <f t="shared" si="1"/>
        <v>6</v>
      </c>
      <c r="AG380" s="266">
        <v>2.0</v>
      </c>
      <c r="AH380" s="266">
        <v>1.0</v>
      </c>
      <c r="AI380" s="266" t="s">
        <v>5049</v>
      </c>
      <c r="AJ380" s="266">
        <v>1.0</v>
      </c>
      <c r="AK380" s="48" t="s">
        <v>5038</v>
      </c>
      <c r="AL380" s="48">
        <v>2.5</v>
      </c>
      <c r="AM380" s="48" t="s">
        <v>166</v>
      </c>
      <c r="AN380" s="48" t="s">
        <v>166</v>
      </c>
      <c r="AO380" s="48" t="s">
        <v>166</v>
      </c>
      <c r="AP380" s="266" t="s">
        <v>166</v>
      </c>
      <c r="AQ380" s="266" t="s">
        <v>166</v>
      </c>
      <c r="AR380" s="48" t="s">
        <v>5039</v>
      </c>
      <c r="AS380" s="266" t="s">
        <v>166</v>
      </c>
      <c r="AT380" s="266">
        <v>3.0</v>
      </c>
      <c r="AU380" s="266">
        <v>1.0</v>
      </c>
      <c r="AV380" s="266">
        <v>2.0</v>
      </c>
      <c r="AW380" s="266">
        <v>2.0</v>
      </c>
      <c r="AX380" s="266" t="s">
        <v>166</v>
      </c>
      <c r="AY380" s="266" t="s">
        <v>166</v>
      </c>
      <c r="AZ380" s="266">
        <v>4.0</v>
      </c>
      <c r="BA380" s="266">
        <v>1.0</v>
      </c>
      <c r="BB380" s="266">
        <v>2.0</v>
      </c>
      <c r="BC380" s="266" t="s">
        <v>174</v>
      </c>
      <c r="BD380" s="266" t="s">
        <v>166</v>
      </c>
      <c r="BE380" s="48" t="s">
        <v>5328</v>
      </c>
      <c r="BF380" s="48" t="s">
        <v>5384</v>
      </c>
      <c r="BG380" s="48" t="s">
        <v>4955</v>
      </c>
      <c r="BH380" s="48">
        <v>14.0</v>
      </c>
      <c r="BI380" s="698" t="s">
        <v>5891</v>
      </c>
      <c r="BJ380" s="698"/>
      <c r="BK380" s="394"/>
      <c r="BL380" s="394"/>
      <c r="BM380" s="394"/>
      <c r="BN380" s="394"/>
      <c r="BO380" s="394"/>
      <c r="BP380" s="394"/>
    </row>
    <row r="381">
      <c r="A381" s="738" t="s">
        <v>1688</v>
      </c>
      <c r="B381" s="753">
        <v>1700.0</v>
      </c>
      <c r="C381" s="739" t="s">
        <v>5333</v>
      </c>
      <c r="D381" s="754" t="str">
        <f t="shared" si="53"/>
        <v>MSI</v>
      </c>
      <c r="E381" s="174" t="s">
        <v>5901</v>
      </c>
      <c r="F381" s="266">
        <v>244.0</v>
      </c>
      <c r="G381" s="266">
        <v>244.0</v>
      </c>
      <c r="H381" s="266">
        <v>4.0</v>
      </c>
      <c r="I381" s="266" t="s">
        <v>166</v>
      </c>
      <c r="J381" s="266">
        <v>1.0</v>
      </c>
      <c r="K381" s="266" t="s">
        <v>166</v>
      </c>
      <c r="L381" s="507" t="s">
        <v>166</v>
      </c>
      <c r="M381" s="507">
        <v>2.0</v>
      </c>
      <c r="N381" s="266" t="s">
        <v>166</v>
      </c>
      <c r="O381" s="266" t="s">
        <v>174</v>
      </c>
      <c r="P381" s="266" t="s">
        <v>166</v>
      </c>
      <c r="Q381" s="266" t="s">
        <v>166</v>
      </c>
      <c r="R381" s="266">
        <v>4.0</v>
      </c>
      <c r="S381" s="266" t="s">
        <v>3151</v>
      </c>
      <c r="T381" s="266">
        <v>192.0</v>
      </c>
      <c r="U381" s="266" t="s">
        <v>5336</v>
      </c>
      <c r="V381" s="266">
        <v>4.0</v>
      </c>
      <c r="W381" s="710" t="s">
        <v>5305</v>
      </c>
      <c r="X381" s="266">
        <v>2.0</v>
      </c>
      <c r="Y381" s="266">
        <v>2.0</v>
      </c>
      <c r="Z381" s="266" t="s">
        <v>166</v>
      </c>
      <c r="AA381" s="266">
        <v>2.0</v>
      </c>
      <c r="AB381" s="266" t="s">
        <v>166</v>
      </c>
      <c r="AC381" s="266" t="s">
        <v>166</v>
      </c>
      <c r="AD381" s="266" t="s">
        <v>166</v>
      </c>
      <c r="AE381" s="266" t="s">
        <v>166</v>
      </c>
      <c r="AF381" s="266">
        <f t="shared" si="1"/>
        <v>6</v>
      </c>
      <c r="AG381" s="266">
        <v>2.0</v>
      </c>
      <c r="AH381" s="266">
        <v>1.0</v>
      </c>
      <c r="AI381" s="266" t="s">
        <v>5049</v>
      </c>
      <c r="AJ381" s="266">
        <v>1.0</v>
      </c>
      <c r="AK381" s="48" t="s">
        <v>5038</v>
      </c>
      <c r="AL381" s="48">
        <v>2.5</v>
      </c>
      <c r="AM381" s="705">
        <v>1.0</v>
      </c>
      <c r="AN381" s="48" t="s">
        <v>5027</v>
      </c>
      <c r="AO381" s="705" t="s">
        <v>5257</v>
      </c>
      <c r="AP381" s="266">
        <v>2400.0</v>
      </c>
      <c r="AQ381" s="266">
        <v>5.2</v>
      </c>
      <c r="AR381" s="48" t="s">
        <v>5039</v>
      </c>
      <c r="AS381" s="266" t="s">
        <v>166</v>
      </c>
      <c r="AT381" s="266">
        <v>3.0</v>
      </c>
      <c r="AU381" s="266">
        <v>1.0</v>
      </c>
      <c r="AV381" s="266">
        <v>2.0</v>
      </c>
      <c r="AW381" s="266">
        <v>2.0</v>
      </c>
      <c r="AX381" s="266" t="s">
        <v>166</v>
      </c>
      <c r="AY381" s="266" t="s">
        <v>166</v>
      </c>
      <c r="AZ381" s="266">
        <v>4.0</v>
      </c>
      <c r="BA381" s="266">
        <v>1.0</v>
      </c>
      <c r="BB381" s="266">
        <v>2.0</v>
      </c>
      <c r="BC381" s="266" t="s">
        <v>174</v>
      </c>
      <c r="BD381" s="266" t="s">
        <v>166</v>
      </c>
      <c r="BE381" s="48" t="s">
        <v>5328</v>
      </c>
      <c r="BF381" s="48" t="s">
        <v>5384</v>
      </c>
      <c r="BG381" s="48" t="s">
        <v>4955</v>
      </c>
      <c r="BH381" s="48">
        <v>14.0</v>
      </c>
      <c r="BI381" s="698" t="s">
        <v>5891</v>
      </c>
      <c r="BJ381" s="698"/>
      <c r="BK381" s="394"/>
      <c r="BL381" s="394"/>
      <c r="BM381" s="394"/>
      <c r="BN381" s="394"/>
      <c r="BO381" s="394"/>
      <c r="BP381" s="394"/>
    </row>
    <row r="382">
      <c r="A382" s="738" t="s">
        <v>1688</v>
      </c>
      <c r="B382" s="753">
        <v>1700.0</v>
      </c>
      <c r="C382" s="739" t="s">
        <v>5333</v>
      </c>
      <c r="D382" s="754" t="str">
        <f t="shared" si="53"/>
        <v>MSI</v>
      </c>
      <c r="E382" s="174" t="s">
        <v>5902</v>
      </c>
      <c r="F382" s="266">
        <v>244.0</v>
      </c>
      <c r="G382" s="266">
        <v>244.0</v>
      </c>
      <c r="H382" s="266">
        <v>4.0</v>
      </c>
      <c r="I382" s="266" t="s">
        <v>166</v>
      </c>
      <c r="J382" s="266">
        <v>1.0</v>
      </c>
      <c r="K382" s="266" t="s">
        <v>166</v>
      </c>
      <c r="L382" s="507" t="s">
        <v>166</v>
      </c>
      <c r="M382" s="507">
        <v>2.0</v>
      </c>
      <c r="N382" s="266" t="s">
        <v>166</v>
      </c>
      <c r="O382" s="266" t="s">
        <v>174</v>
      </c>
      <c r="P382" s="266" t="s">
        <v>166</v>
      </c>
      <c r="Q382" s="266" t="s">
        <v>166</v>
      </c>
      <c r="R382" s="266">
        <v>4.0</v>
      </c>
      <c r="S382" s="266" t="s">
        <v>3149</v>
      </c>
      <c r="T382" s="266">
        <v>128.0</v>
      </c>
      <c r="U382" s="266" t="s">
        <v>5223</v>
      </c>
      <c r="V382" s="266">
        <v>4.0</v>
      </c>
      <c r="W382" s="710" t="s">
        <v>5305</v>
      </c>
      <c r="X382" s="266">
        <v>2.0</v>
      </c>
      <c r="Y382" s="266">
        <v>2.0</v>
      </c>
      <c r="Z382" s="266" t="s">
        <v>166</v>
      </c>
      <c r="AA382" s="266">
        <v>2.0</v>
      </c>
      <c r="AB382" s="266" t="s">
        <v>166</v>
      </c>
      <c r="AC382" s="266" t="s">
        <v>166</v>
      </c>
      <c r="AD382" s="266" t="s">
        <v>166</v>
      </c>
      <c r="AE382" s="266" t="s">
        <v>166</v>
      </c>
      <c r="AF382" s="266">
        <f t="shared" si="1"/>
        <v>6</v>
      </c>
      <c r="AG382" s="266">
        <v>2.0</v>
      </c>
      <c r="AH382" s="266">
        <v>1.0</v>
      </c>
      <c r="AI382" s="266" t="s">
        <v>5049</v>
      </c>
      <c r="AJ382" s="266">
        <v>1.0</v>
      </c>
      <c r="AK382" s="48" t="s">
        <v>5038</v>
      </c>
      <c r="AL382" s="48">
        <v>2.5</v>
      </c>
      <c r="AM382" s="705">
        <v>1.0</v>
      </c>
      <c r="AN382" s="48" t="s">
        <v>5027</v>
      </c>
      <c r="AO382" s="705" t="s">
        <v>5257</v>
      </c>
      <c r="AP382" s="266">
        <v>2400.0</v>
      </c>
      <c r="AQ382" s="266">
        <v>5.2</v>
      </c>
      <c r="AR382" s="48" t="s">
        <v>5039</v>
      </c>
      <c r="AS382" s="266" t="s">
        <v>166</v>
      </c>
      <c r="AT382" s="266">
        <v>3.0</v>
      </c>
      <c r="AU382" s="266">
        <v>1.0</v>
      </c>
      <c r="AV382" s="266">
        <v>2.0</v>
      </c>
      <c r="AW382" s="266">
        <v>2.0</v>
      </c>
      <c r="AX382" s="266" t="s">
        <v>166</v>
      </c>
      <c r="AY382" s="266" t="s">
        <v>166</v>
      </c>
      <c r="AZ382" s="266">
        <v>4.0</v>
      </c>
      <c r="BA382" s="266">
        <v>1.0</v>
      </c>
      <c r="BB382" s="266">
        <v>2.0</v>
      </c>
      <c r="BC382" s="266" t="s">
        <v>174</v>
      </c>
      <c r="BD382" s="266" t="s">
        <v>166</v>
      </c>
      <c r="BE382" s="48" t="s">
        <v>5328</v>
      </c>
      <c r="BF382" s="48" t="s">
        <v>5384</v>
      </c>
      <c r="BG382" s="48" t="s">
        <v>4955</v>
      </c>
      <c r="BH382" s="48">
        <v>14.0</v>
      </c>
      <c r="BI382" s="698" t="s">
        <v>5891</v>
      </c>
      <c r="BJ382" s="698"/>
      <c r="BK382" s="394"/>
      <c r="BL382" s="394"/>
      <c r="BM382" s="394"/>
      <c r="BN382" s="394"/>
      <c r="BO382" s="394"/>
      <c r="BP382" s="394"/>
    </row>
    <row r="383">
      <c r="A383" s="738" t="s">
        <v>1688</v>
      </c>
      <c r="B383" s="753">
        <v>1700.0</v>
      </c>
      <c r="C383" s="739" t="s">
        <v>5333</v>
      </c>
      <c r="D383" s="754" t="str">
        <f t="shared" si="53"/>
        <v>MSI</v>
      </c>
      <c r="E383" s="174" t="s">
        <v>5903</v>
      </c>
      <c r="F383" s="266">
        <v>244.0</v>
      </c>
      <c r="G383" s="266">
        <v>220.0</v>
      </c>
      <c r="H383" s="266">
        <v>4.0</v>
      </c>
      <c r="I383" s="266" t="s">
        <v>166</v>
      </c>
      <c r="J383" s="266">
        <v>1.0</v>
      </c>
      <c r="K383" s="266" t="s">
        <v>166</v>
      </c>
      <c r="L383" s="266" t="s">
        <v>166</v>
      </c>
      <c r="M383" s="266">
        <v>1.0</v>
      </c>
      <c r="N383" s="266" t="s">
        <v>166</v>
      </c>
      <c r="O383" s="266" t="s">
        <v>174</v>
      </c>
      <c r="P383" s="266" t="s">
        <v>166</v>
      </c>
      <c r="Q383" s="266" t="s">
        <v>166</v>
      </c>
      <c r="R383" s="266">
        <v>2.0</v>
      </c>
      <c r="S383" s="266" t="s">
        <v>3149</v>
      </c>
      <c r="T383" s="266">
        <v>64.0</v>
      </c>
      <c r="U383" s="266" t="s">
        <v>5047</v>
      </c>
      <c r="V383" s="266">
        <v>4.0</v>
      </c>
      <c r="W383" s="710" t="s">
        <v>4950</v>
      </c>
      <c r="X383" s="266">
        <v>2.0</v>
      </c>
      <c r="Y383" s="266">
        <v>4.0</v>
      </c>
      <c r="Z383" s="266" t="s">
        <v>166</v>
      </c>
      <c r="AA383" s="266" t="s">
        <v>166</v>
      </c>
      <c r="AB383" s="266" t="s">
        <v>166</v>
      </c>
      <c r="AC383" s="266" t="s">
        <v>166</v>
      </c>
      <c r="AD383" s="266" t="s">
        <v>166</v>
      </c>
      <c r="AE383" s="266" t="s">
        <v>166</v>
      </c>
      <c r="AF383" s="266">
        <f t="shared" si="1"/>
        <v>6</v>
      </c>
      <c r="AG383" s="266">
        <v>2.0</v>
      </c>
      <c r="AH383" s="266">
        <v>1.0</v>
      </c>
      <c r="AI383" s="266" t="s">
        <v>166</v>
      </c>
      <c r="AJ383" s="266">
        <v>1.0</v>
      </c>
      <c r="AK383" s="48" t="s">
        <v>5038</v>
      </c>
      <c r="AL383" s="48">
        <v>2.5</v>
      </c>
      <c r="AM383" s="48" t="s">
        <v>166</v>
      </c>
      <c r="AN383" s="48" t="s">
        <v>166</v>
      </c>
      <c r="AO383" s="48" t="s">
        <v>166</v>
      </c>
      <c r="AP383" s="266" t="s">
        <v>166</v>
      </c>
      <c r="AQ383" s="266" t="s">
        <v>166</v>
      </c>
      <c r="AR383" s="48" t="s">
        <v>5039</v>
      </c>
      <c r="AS383" s="266" t="s">
        <v>166</v>
      </c>
      <c r="AT383" s="266">
        <v>3.0</v>
      </c>
      <c r="AU383" s="266">
        <v>1.0</v>
      </c>
      <c r="AV383" s="266" t="s">
        <v>166</v>
      </c>
      <c r="AW383" s="266">
        <v>1.0</v>
      </c>
      <c r="AX383" s="266" t="s">
        <v>166</v>
      </c>
      <c r="AY383" s="266">
        <v>1.0</v>
      </c>
      <c r="AZ383" s="266">
        <v>3.0</v>
      </c>
      <c r="BA383" s="266" t="s">
        <v>166</v>
      </c>
      <c r="BB383" s="266" t="s">
        <v>166</v>
      </c>
      <c r="BC383" s="266" t="s">
        <v>174</v>
      </c>
      <c r="BD383" s="266" t="s">
        <v>166</v>
      </c>
      <c r="BE383" s="48" t="s">
        <v>5328</v>
      </c>
      <c r="BF383" s="48" t="s">
        <v>5226</v>
      </c>
      <c r="BG383" s="48" t="s">
        <v>4955</v>
      </c>
      <c r="BH383" s="48">
        <v>8.0</v>
      </c>
      <c r="BI383" s="698" t="s">
        <v>5904</v>
      </c>
      <c r="BJ383" s="698"/>
      <c r="BK383" s="394"/>
      <c r="BL383" s="394"/>
      <c r="BM383" s="394"/>
      <c r="BN383" s="394"/>
      <c r="BO383" s="394"/>
      <c r="BP383" s="394"/>
    </row>
    <row r="384">
      <c r="A384" s="738" t="s">
        <v>1688</v>
      </c>
      <c r="B384" s="753">
        <v>1700.0</v>
      </c>
      <c r="C384" s="739" t="s">
        <v>5333</v>
      </c>
      <c r="D384" s="754" t="str">
        <f t="shared" si="53"/>
        <v>MSI</v>
      </c>
      <c r="E384" s="174" t="s">
        <v>5905</v>
      </c>
      <c r="F384" s="266">
        <v>244.0</v>
      </c>
      <c r="G384" s="266">
        <v>220.0</v>
      </c>
      <c r="H384" s="266">
        <v>4.0</v>
      </c>
      <c r="I384" s="266" t="s">
        <v>166</v>
      </c>
      <c r="J384" s="266">
        <v>1.0</v>
      </c>
      <c r="K384" s="266" t="s">
        <v>166</v>
      </c>
      <c r="L384" s="266" t="s">
        <v>166</v>
      </c>
      <c r="M384" s="266">
        <v>1.0</v>
      </c>
      <c r="N384" s="266" t="s">
        <v>166</v>
      </c>
      <c r="O384" s="266" t="s">
        <v>174</v>
      </c>
      <c r="P384" s="266" t="s">
        <v>166</v>
      </c>
      <c r="Q384" s="266" t="s">
        <v>166</v>
      </c>
      <c r="R384" s="266">
        <v>2.0</v>
      </c>
      <c r="S384" s="266" t="s">
        <v>3151</v>
      </c>
      <c r="T384" s="266">
        <v>96.0</v>
      </c>
      <c r="U384" s="266" t="s">
        <v>5223</v>
      </c>
      <c r="V384" s="266">
        <v>4.0</v>
      </c>
      <c r="W384" s="710" t="s">
        <v>5062</v>
      </c>
      <c r="X384" s="266">
        <v>2.0</v>
      </c>
      <c r="Y384" s="266">
        <v>4.0</v>
      </c>
      <c r="Z384" s="266" t="s">
        <v>166</v>
      </c>
      <c r="AA384" s="266" t="s">
        <v>166</v>
      </c>
      <c r="AB384" s="266" t="s">
        <v>166</v>
      </c>
      <c r="AC384" s="266" t="s">
        <v>166</v>
      </c>
      <c r="AD384" s="266" t="s">
        <v>166</v>
      </c>
      <c r="AE384" s="266" t="s">
        <v>166</v>
      </c>
      <c r="AF384" s="266">
        <f t="shared" si="1"/>
        <v>6</v>
      </c>
      <c r="AG384" s="266">
        <v>2.0</v>
      </c>
      <c r="AH384" s="266">
        <v>1.0</v>
      </c>
      <c r="AI384" s="266" t="s">
        <v>166</v>
      </c>
      <c r="AJ384" s="266">
        <v>1.0</v>
      </c>
      <c r="AK384" s="48" t="s">
        <v>5038</v>
      </c>
      <c r="AL384" s="48">
        <v>2.5</v>
      </c>
      <c r="AM384" s="48" t="s">
        <v>166</v>
      </c>
      <c r="AN384" s="48" t="s">
        <v>166</v>
      </c>
      <c r="AO384" s="48" t="s">
        <v>166</v>
      </c>
      <c r="AP384" s="266" t="s">
        <v>166</v>
      </c>
      <c r="AQ384" s="266" t="s">
        <v>166</v>
      </c>
      <c r="AR384" s="48" t="s">
        <v>5039</v>
      </c>
      <c r="AS384" s="266" t="s">
        <v>166</v>
      </c>
      <c r="AT384" s="266">
        <v>3.0</v>
      </c>
      <c r="AU384" s="266">
        <v>1.0</v>
      </c>
      <c r="AV384" s="266" t="s">
        <v>166</v>
      </c>
      <c r="AW384" s="266">
        <v>1.0</v>
      </c>
      <c r="AX384" s="266" t="s">
        <v>166</v>
      </c>
      <c r="AY384" s="266">
        <v>1.0</v>
      </c>
      <c r="AZ384" s="266">
        <v>3.0</v>
      </c>
      <c r="BA384" s="266" t="s">
        <v>166</v>
      </c>
      <c r="BB384" s="266" t="s">
        <v>166</v>
      </c>
      <c r="BC384" s="266" t="s">
        <v>174</v>
      </c>
      <c r="BD384" s="266" t="s">
        <v>166</v>
      </c>
      <c r="BE384" s="48" t="s">
        <v>5328</v>
      </c>
      <c r="BF384" s="48" t="s">
        <v>5226</v>
      </c>
      <c r="BG384" s="48" t="s">
        <v>4955</v>
      </c>
      <c r="BH384" s="48">
        <v>8.0</v>
      </c>
      <c r="BI384" s="698" t="s">
        <v>5904</v>
      </c>
      <c r="BJ384" s="698"/>
      <c r="BK384" s="394"/>
      <c r="BL384" s="394"/>
      <c r="BM384" s="394"/>
      <c r="BN384" s="394"/>
      <c r="BO384" s="394"/>
      <c r="BP384" s="394"/>
    </row>
    <row r="385">
      <c r="A385" s="266" t="s">
        <v>1688</v>
      </c>
      <c r="B385" s="48">
        <v>1700.0</v>
      </c>
      <c r="C385" s="266" t="s">
        <v>5333</v>
      </c>
      <c r="D385" s="452" t="str">
        <f t="shared" si="53"/>
        <v>MSI</v>
      </c>
      <c r="E385" s="174" t="s">
        <v>5906</v>
      </c>
      <c r="F385" s="266">
        <v>244.0</v>
      </c>
      <c r="G385" s="266">
        <v>211.0</v>
      </c>
      <c r="H385" s="266">
        <v>4.0</v>
      </c>
      <c r="I385" s="266" t="s">
        <v>166</v>
      </c>
      <c r="J385" s="266">
        <v>1.0</v>
      </c>
      <c r="K385" s="266" t="s">
        <v>166</v>
      </c>
      <c r="L385" s="266" t="s">
        <v>166</v>
      </c>
      <c r="M385" s="266">
        <v>1.0</v>
      </c>
      <c r="N385" s="266" t="s">
        <v>166</v>
      </c>
      <c r="O385" s="266" t="s">
        <v>174</v>
      </c>
      <c r="P385" s="266" t="s">
        <v>166</v>
      </c>
      <c r="Q385" s="266" t="s">
        <v>166</v>
      </c>
      <c r="R385" s="266">
        <v>2.0</v>
      </c>
      <c r="S385" s="266" t="s">
        <v>3149</v>
      </c>
      <c r="T385" s="266">
        <v>64.0</v>
      </c>
      <c r="U385" s="266" t="s">
        <v>5047</v>
      </c>
      <c r="V385" s="266">
        <v>4.0</v>
      </c>
      <c r="W385" s="710" t="s">
        <v>4950</v>
      </c>
      <c r="X385" s="266">
        <v>4.0</v>
      </c>
      <c r="Y385" s="266">
        <v>2.0</v>
      </c>
      <c r="Z385" s="266" t="s">
        <v>166</v>
      </c>
      <c r="AA385" s="266" t="s">
        <v>166</v>
      </c>
      <c r="AB385" s="266" t="s">
        <v>166</v>
      </c>
      <c r="AC385" s="266" t="s">
        <v>166</v>
      </c>
      <c r="AD385" s="266" t="s">
        <v>166</v>
      </c>
      <c r="AE385" s="266" t="s">
        <v>166</v>
      </c>
      <c r="AF385" s="266">
        <f t="shared" si="1"/>
        <v>6</v>
      </c>
      <c r="AG385" s="266">
        <v>1.0</v>
      </c>
      <c r="AH385" s="266">
        <v>1.0</v>
      </c>
      <c r="AI385" s="266" t="s">
        <v>166</v>
      </c>
      <c r="AJ385" s="266">
        <v>1.0</v>
      </c>
      <c r="AK385" s="48" t="s">
        <v>5133</v>
      </c>
      <c r="AL385" s="48">
        <v>1.0</v>
      </c>
      <c r="AM385" s="48" t="s">
        <v>166</v>
      </c>
      <c r="AN385" s="48" t="s">
        <v>166</v>
      </c>
      <c r="AO385" s="48" t="s">
        <v>166</v>
      </c>
      <c r="AP385" s="266" t="s">
        <v>166</v>
      </c>
      <c r="AQ385" s="266" t="s">
        <v>166</v>
      </c>
      <c r="AR385" s="48" t="s">
        <v>5039</v>
      </c>
      <c r="AS385" s="266" t="s">
        <v>166</v>
      </c>
      <c r="AT385" s="266">
        <v>3.0</v>
      </c>
      <c r="AU385" s="266">
        <v>1.0</v>
      </c>
      <c r="AV385" s="266" t="s">
        <v>166</v>
      </c>
      <c r="AW385" s="266">
        <v>1.0</v>
      </c>
      <c r="AX385" s="266" t="s">
        <v>166</v>
      </c>
      <c r="AY385" s="266">
        <v>1.0</v>
      </c>
      <c r="AZ385" s="266">
        <v>2.0</v>
      </c>
      <c r="BA385" s="266" t="s">
        <v>166</v>
      </c>
      <c r="BB385" s="266" t="s">
        <v>166</v>
      </c>
      <c r="BC385" s="266" t="s">
        <v>174</v>
      </c>
      <c r="BD385" s="266" t="s">
        <v>166</v>
      </c>
      <c r="BE385" s="48" t="s">
        <v>5328</v>
      </c>
      <c r="BF385" s="48" t="s">
        <v>5226</v>
      </c>
      <c r="BG385" s="48" t="s">
        <v>4955</v>
      </c>
      <c r="BH385" s="48">
        <v>8.0</v>
      </c>
      <c r="BI385" s="698" t="s">
        <v>5904</v>
      </c>
      <c r="BJ385" s="698"/>
      <c r="BK385" s="394"/>
      <c r="BL385" s="394"/>
      <c r="BM385" s="394"/>
      <c r="BN385" s="394"/>
      <c r="BO385" s="394"/>
      <c r="BP385" s="394"/>
    </row>
    <row r="386">
      <c r="A386" s="266" t="s">
        <v>1688</v>
      </c>
      <c r="B386" s="48">
        <v>1700.0</v>
      </c>
      <c r="C386" s="266" t="s">
        <v>5333</v>
      </c>
      <c r="D386" s="452" t="str">
        <f t="shared" si="53"/>
        <v>MSI</v>
      </c>
      <c r="E386" s="174" t="s">
        <v>5907</v>
      </c>
      <c r="F386" s="266">
        <v>244.0</v>
      </c>
      <c r="G386" s="266">
        <v>220.0</v>
      </c>
      <c r="H386" s="266">
        <v>4.0</v>
      </c>
      <c r="I386" s="266" t="s">
        <v>166</v>
      </c>
      <c r="J386" s="266">
        <v>1.0</v>
      </c>
      <c r="K386" s="266" t="s">
        <v>166</v>
      </c>
      <c r="L386" s="266" t="s">
        <v>166</v>
      </c>
      <c r="M386" s="266">
        <v>1.0</v>
      </c>
      <c r="N386" s="266" t="s">
        <v>166</v>
      </c>
      <c r="O386" s="266" t="s">
        <v>174</v>
      </c>
      <c r="P386" s="266" t="s">
        <v>166</v>
      </c>
      <c r="Q386" s="266" t="s">
        <v>166</v>
      </c>
      <c r="R386" s="266">
        <v>2.0</v>
      </c>
      <c r="S386" s="266" t="s">
        <v>3149</v>
      </c>
      <c r="T386" s="266">
        <v>64.0</v>
      </c>
      <c r="U386" s="266" t="s">
        <v>5047</v>
      </c>
      <c r="V386" s="266">
        <v>4.0</v>
      </c>
      <c r="W386" s="710" t="s">
        <v>5305</v>
      </c>
      <c r="X386" s="266">
        <v>4.0</v>
      </c>
      <c r="Y386" s="266">
        <v>2.0</v>
      </c>
      <c r="Z386" s="266" t="s">
        <v>166</v>
      </c>
      <c r="AA386" s="266" t="s">
        <v>166</v>
      </c>
      <c r="AB386" s="266" t="s">
        <v>166</v>
      </c>
      <c r="AC386" s="266" t="s">
        <v>166</v>
      </c>
      <c r="AD386" s="266" t="s">
        <v>166</v>
      </c>
      <c r="AE386" s="266" t="s">
        <v>166</v>
      </c>
      <c r="AF386" s="266">
        <f t="shared" si="1"/>
        <v>6</v>
      </c>
      <c r="AG386" s="266">
        <v>2.0</v>
      </c>
      <c r="AH386" s="266">
        <v>1.0</v>
      </c>
      <c r="AI386" s="266" t="s">
        <v>166</v>
      </c>
      <c r="AJ386" s="266">
        <v>1.0</v>
      </c>
      <c r="AK386" s="48" t="s">
        <v>5038</v>
      </c>
      <c r="AL386" s="48">
        <v>2.5</v>
      </c>
      <c r="AM386" s="48" t="s">
        <v>166</v>
      </c>
      <c r="AN386" s="48" t="s">
        <v>166</v>
      </c>
      <c r="AO386" s="48" t="s">
        <v>166</v>
      </c>
      <c r="AP386" s="266" t="s">
        <v>166</v>
      </c>
      <c r="AQ386" s="266" t="s">
        <v>166</v>
      </c>
      <c r="AR386" s="48" t="s">
        <v>5039</v>
      </c>
      <c r="AS386" s="266" t="s">
        <v>166</v>
      </c>
      <c r="AT386" s="266">
        <v>3.0</v>
      </c>
      <c r="AU386" s="266">
        <v>1.0</v>
      </c>
      <c r="AV386" s="266">
        <v>1.0</v>
      </c>
      <c r="AW386" s="266">
        <v>1.0</v>
      </c>
      <c r="AX386" s="266" t="s">
        <v>166</v>
      </c>
      <c r="AY386" s="266">
        <v>1.0</v>
      </c>
      <c r="AZ386" s="266">
        <v>3.0</v>
      </c>
      <c r="BA386" s="266">
        <v>1.0</v>
      </c>
      <c r="BB386" s="266">
        <v>1.0</v>
      </c>
      <c r="BC386" s="266" t="s">
        <v>174</v>
      </c>
      <c r="BD386" s="266" t="s">
        <v>166</v>
      </c>
      <c r="BE386" s="48" t="s">
        <v>5328</v>
      </c>
      <c r="BF386" s="48" t="s">
        <v>5226</v>
      </c>
      <c r="BG386" s="48" t="s">
        <v>4955</v>
      </c>
      <c r="BH386" s="48">
        <v>8.0</v>
      </c>
      <c r="BI386" s="698" t="s">
        <v>5904</v>
      </c>
      <c r="BJ386" s="698"/>
      <c r="BK386" s="394"/>
      <c r="BL386" s="394"/>
      <c r="BM386" s="394"/>
      <c r="BN386" s="394"/>
      <c r="BO386" s="394"/>
      <c r="BP386" s="394"/>
    </row>
    <row r="387">
      <c r="A387" s="266" t="s">
        <v>1688</v>
      </c>
      <c r="B387" s="48">
        <v>1700.0</v>
      </c>
      <c r="C387" s="266" t="s">
        <v>5333</v>
      </c>
      <c r="D387" s="452" t="str">
        <f t="shared" si="53"/>
        <v>MSI</v>
      </c>
      <c r="E387" s="174" t="s">
        <v>5908</v>
      </c>
      <c r="F387" s="266">
        <v>244.0</v>
      </c>
      <c r="G387" s="266">
        <v>220.0</v>
      </c>
      <c r="H387" s="266">
        <v>4.0</v>
      </c>
      <c r="I387" s="266" t="s">
        <v>166</v>
      </c>
      <c r="J387" s="266">
        <v>1.0</v>
      </c>
      <c r="K387" s="266" t="s">
        <v>166</v>
      </c>
      <c r="L387" s="266" t="s">
        <v>166</v>
      </c>
      <c r="M387" s="266">
        <v>1.0</v>
      </c>
      <c r="N387" s="266" t="s">
        <v>166</v>
      </c>
      <c r="O387" s="266" t="s">
        <v>174</v>
      </c>
      <c r="P387" s="266" t="s">
        <v>166</v>
      </c>
      <c r="Q387" s="266" t="s">
        <v>166</v>
      </c>
      <c r="R387" s="266">
        <v>2.0</v>
      </c>
      <c r="S387" s="266" t="s">
        <v>3151</v>
      </c>
      <c r="T387" s="266">
        <v>96.0</v>
      </c>
      <c r="U387" s="266" t="s">
        <v>5223</v>
      </c>
      <c r="V387" s="266">
        <v>4.0</v>
      </c>
      <c r="W387" s="710" t="s">
        <v>5305</v>
      </c>
      <c r="X387" s="266">
        <v>2.0</v>
      </c>
      <c r="Y387" s="266">
        <v>4.0</v>
      </c>
      <c r="Z387" s="266" t="s">
        <v>166</v>
      </c>
      <c r="AA387" s="266" t="s">
        <v>166</v>
      </c>
      <c r="AB387" s="266" t="s">
        <v>166</v>
      </c>
      <c r="AC387" s="266" t="s">
        <v>166</v>
      </c>
      <c r="AD387" s="266" t="s">
        <v>166</v>
      </c>
      <c r="AE387" s="266" t="s">
        <v>166</v>
      </c>
      <c r="AF387" s="266">
        <f t="shared" si="1"/>
        <v>6</v>
      </c>
      <c r="AG387" s="266">
        <v>2.0</v>
      </c>
      <c r="AH387" s="266">
        <v>1.0</v>
      </c>
      <c r="AI387" s="266" t="s">
        <v>166</v>
      </c>
      <c r="AJ387" s="266">
        <v>1.0</v>
      </c>
      <c r="AK387" s="48" t="s">
        <v>5038</v>
      </c>
      <c r="AL387" s="48">
        <v>2.5</v>
      </c>
      <c r="AM387" s="48" t="s">
        <v>166</v>
      </c>
      <c r="AN387" s="48" t="s">
        <v>166</v>
      </c>
      <c r="AO387" s="48" t="s">
        <v>166</v>
      </c>
      <c r="AP387" s="266" t="s">
        <v>166</v>
      </c>
      <c r="AQ387" s="266" t="s">
        <v>166</v>
      </c>
      <c r="AR387" s="48" t="s">
        <v>5039</v>
      </c>
      <c r="AS387" s="266" t="s">
        <v>166</v>
      </c>
      <c r="AT387" s="266">
        <v>3.0</v>
      </c>
      <c r="AU387" s="266">
        <v>1.0</v>
      </c>
      <c r="AV387" s="266">
        <v>1.0</v>
      </c>
      <c r="AW387" s="266">
        <v>1.0</v>
      </c>
      <c r="AX387" s="266" t="s">
        <v>166</v>
      </c>
      <c r="AY387" s="266">
        <v>1.0</v>
      </c>
      <c r="AZ387" s="266">
        <v>3.0</v>
      </c>
      <c r="BA387" s="266">
        <v>1.0</v>
      </c>
      <c r="BB387" s="266">
        <v>2.0</v>
      </c>
      <c r="BC387" s="266" t="s">
        <v>174</v>
      </c>
      <c r="BD387" s="266" t="s">
        <v>166</v>
      </c>
      <c r="BE387" s="48" t="s">
        <v>5328</v>
      </c>
      <c r="BF387" s="48" t="s">
        <v>5226</v>
      </c>
      <c r="BG387" s="48" t="s">
        <v>4955</v>
      </c>
      <c r="BH387" s="48">
        <v>8.0</v>
      </c>
      <c r="BI387" s="698" t="s">
        <v>5904</v>
      </c>
      <c r="BJ387" s="698"/>
      <c r="BK387" s="394"/>
      <c r="BL387" s="394"/>
      <c r="BM387" s="394"/>
      <c r="BN387" s="394"/>
      <c r="BO387" s="394"/>
      <c r="BP387" s="394"/>
    </row>
    <row r="388">
      <c r="A388" s="266" t="s">
        <v>1688</v>
      </c>
      <c r="B388" s="48">
        <v>1700.0</v>
      </c>
      <c r="C388" s="266" t="s">
        <v>5333</v>
      </c>
      <c r="D388" s="452" t="str">
        <f t="shared" si="53"/>
        <v>MSI</v>
      </c>
      <c r="E388" s="174" t="s">
        <v>5909</v>
      </c>
      <c r="F388" s="266">
        <v>244.0</v>
      </c>
      <c r="G388" s="266">
        <v>244.0</v>
      </c>
      <c r="H388" s="266">
        <v>4.0</v>
      </c>
      <c r="I388" s="266" t="s">
        <v>166</v>
      </c>
      <c r="J388" s="266">
        <v>2.0</v>
      </c>
      <c r="K388" s="266" t="s">
        <v>166</v>
      </c>
      <c r="L388" s="266" t="s">
        <v>166</v>
      </c>
      <c r="M388" s="266">
        <v>1.0</v>
      </c>
      <c r="N388" s="266" t="s">
        <v>166</v>
      </c>
      <c r="O388" s="266" t="s">
        <v>174</v>
      </c>
      <c r="P388" s="266" t="s">
        <v>166</v>
      </c>
      <c r="Q388" s="266" t="s">
        <v>166</v>
      </c>
      <c r="R388" s="266">
        <v>4.0</v>
      </c>
      <c r="S388" s="266" t="s">
        <v>3149</v>
      </c>
      <c r="T388" s="266">
        <v>128.0</v>
      </c>
      <c r="U388" s="266" t="s">
        <v>5047</v>
      </c>
      <c r="V388" s="266">
        <v>4.0</v>
      </c>
      <c r="W388" s="710" t="s">
        <v>5062</v>
      </c>
      <c r="X388" s="266">
        <v>4.0</v>
      </c>
      <c r="Y388" s="266">
        <v>1.0</v>
      </c>
      <c r="Z388" s="266" t="s">
        <v>166</v>
      </c>
      <c r="AA388" s="266" t="s">
        <v>166</v>
      </c>
      <c r="AB388" s="266">
        <v>1.0</v>
      </c>
      <c r="AC388" s="266" t="s">
        <v>166</v>
      </c>
      <c r="AD388" s="266" t="s">
        <v>166</v>
      </c>
      <c r="AE388" s="266" t="s">
        <v>166</v>
      </c>
      <c r="AF388" s="266">
        <f t="shared" si="1"/>
        <v>6</v>
      </c>
      <c r="AG388" s="266">
        <v>1.0</v>
      </c>
      <c r="AH388" s="266">
        <v>1.0</v>
      </c>
      <c r="AI388" s="266" t="s">
        <v>166</v>
      </c>
      <c r="AJ388" s="266">
        <v>1.0</v>
      </c>
      <c r="AK388" s="48" t="s">
        <v>4959</v>
      </c>
      <c r="AL388" s="48">
        <v>1.0</v>
      </c>
      <c r="AM388" s="48" t="s">
        <v>166</v>
      </c>
      <c r="AN388" s="48" t="s">
        <v>166</v>
      </c>
      <c r="AO388" s="48" t="s">
        <v>166</v>
      </c>
      <c r="AP388" s="266" t="s">
        <v>166</v>
      </c>
      <c r="AQ388" s="266" t="s">
        <v>166</v>
      </c>
      <c r="AR388" s="48" t="s">
        <v>5039</v>
      </c>
      <c r="AS388" s="266" t="s">
        <v>166</v>
      </c>
      <c r="AT388" s="266">
        <v>3.0</v>
      </c>
      <c r="AU388" s="266">
        <v>2.0</v>
      </c>
      <c r="AV388" s="266">
        <v>1.0</v>
      </c>
      <c r="AW388" s="266">
        <v>1.0</v>
      </c>
      <c r="AX388" s="266" t="s">
        <v>166</v>
      </c>
      <c r="AY388" s="266">
        <v>1.0</v>
      </c>
      <c r="AZ388" s="266">
        <v>2.0</v>
      </c>
      <c r="BA388" s="266" t="s">
        <v>166</v>
      </c>
      <c r="BB388" s="266" t="s">
        <v>166</v>
      </c>
      <c r="BC388" s="266" t="s">
        <v>174</v>
      </c>
      <c r="BD388" s="266" t="s">
        <v>166</v>
      </c>
      <c r="BE388" s="48" t="s">
        <v>170</v>
      </c>
      <c r="BF388" s="48" t="s">
        <v>5143</v>
      </c>
      <c r="BG388" s="48" t="s">
        <v>4963</v>
      </c>
      <c r="BH388" s="48">
        <v>5.0</v>
      </c>
      <c r="BI388" s="698" t="s">
        <v>170</v>
      </c>
      <c r="BJ388" s="698"/>
      <c r="BK388" s="394"/>
      <c r="BL388" s="394"/>
      <c r="BM388" s="394"/>
      <c r="BN388" s="394"/>
      <c r="BO388" s="394"/>
      <c r="BP388" s="394"/>
    </row>
    <row r="389">
      <c r="A389" s="519" t="s">
        <v>1688</v>
      </c>
      <c r="B389" s="700">
        <v>1700.0</v>
      </c>
      <c r="C389" s="501" t="s">
        <v>5333</v>
      </c>
      <c r="D389" s="391" t="str">
        <f t="shared" si="53"/>
        <v>MSI</v>
      </c>
      <c r="E389" s="291" t="s">
        <v>5910</v>
      </c>
      <c r="F389" s="501">
        <v>244.0</v>
      </c>
      <c r="G389" s="501">
        <v>244.0</v>
      </c>
      <c r="H389" s="501">
        <v>4.0</v>
      </c>
      <c r="I389" s="501" t="s">
        <v>166</v>
      </c>
      <c r="J389" s="501">
        <v>2.0</v>
      </c>
      <c r="K389" s="501" t="s">
        <v>166</v>
      </c>
      <c r="L389" s="519" t="s">
        <v>166</v>
      </c>
      <c r="M389" s="519">
        <v>1.0</v>
      </c>
      <c r="N389" s="501" t="s">
        <v>166</v>
      </c>
      <c r="O389" s="501" t="s">
        <v>174</v>
      </c>
      <c r="P389" s="501" t="s">
        <v>166</v>
      </c>
      <c r="Q389" s="501" t="s">
        <v>166</v>
      </c>
      <c r="R389" s="501">
        <v>4.0</v>
      </c>
      <c r="S389" s="501" t="s">
        <v>3149</v>
      </c>
      <c r="T389" s="501">
        <v>128.0</v>
      </c>
      <c r="U389" s="501" t="s">
        <v>5047</v>
      </c>
      <c r="V389" s="501">
        <v>4.0</v>
      </c>
      <c r="W389" s="701" t="s">
        <v>5062</v>
      </c>
      <c r="X389" s="501">
        <v>4.0</v>
      </c>
      <c r="Y389" s="501">
        <v>1.0</v>
      </c>
      <c r="Z389" s="501" t="s">
        <v>166</v>
      </c>
      <c r="AA389" s="501" t="s">
        <v>166</v>
      </c>
      <c r="AB389" s="501">
        <v>1.0</v>
      </c>
      <c r="AC389" s="501" t="s">
        <v>166</v>
      </c>
      <c r="AD389" s="501" t="s">
        <v>166</v>
      </c>
      <c r="AE389" s="501" t="s">
        <v>166</v>
      </c>
      <c r="AF389" s="519">
        <f t="shared" si="1"/>
        <v>6</v>
      </c>
      <c r="AG389" s="501">
        <v>1.0</v>
      </c>
      <c r="AH389" s="501">
        <v>1.0</v>
      </c>
      <c r="AI389" s="501" t="s">
        <v>166</v>
      </c>
      <c r="AJ389" s="501">
        <v>1.0</v>
      </c>
      <c r="AK389" s="700" t="s">
        <v>4959</v>
      </c>
      <c r="AL389" s="700">
        <v>1.0</v>
      </c>
      <c r="AM389" s="712" t="s">
        <v>166</v>
      </c>
      <c r="AN389" s="712" t="s">
        <v>4966</v>
      </c>
      <c r="AO389" s="712" t="s">
        <v>4967</v>
      </c>
      <c r="AP389" s="519">
        <v>433.0</v>
      </c>
      <c r="AQ389" s="519">
        <v>4.2</v>
      </c>
      <c r="AR389" s="700" t="s">
        <v>5039</v>
      </c>
      <c r="AS389" s="501" t="s">
        <v>166</v>
      </c>
      <c r="AT389" s="501">
        <v>3.0</v>
      </c>
      <c r="AU389" s="501">
        <v>2.0</v>
      </c>
      <c r="AV389" s="501">
        <v>1.0</v>
      </c>
      <c r="AW389" s="501">
        <v>1.0</v>
      </c>
      <c r="AX389" s="501" t="s">
        <v>166</v>
      </c>
      <c r="AY389" s="501">
        <v>1.0</v>
      </c>
      <c r="AZ389" s="501">
        <v>2.0</v>
      </c>
      <c r="BA389" s="501" t="s">
        <v>166</v>
      </c>
      <c r="BB389" s="501" t="s">
        <v>166</v>
      </c>
      <c r="BC389" s="501" t="s">
        <v>174</v>
      </c>
      <c r="BD389" s="501" t="s">
        <v>166</v>
      </c>
      <c r="BE389" s="700" t="s">
        <v>170</v>
      </c>
      <c r="BF389" s="700" t="s">
        <v>5143</v>
      </c>
      <c r="BG389" s="700" t="s">
        <v>4963</v>
      </c>
      <c r="BH389" s="700">
        <v>5.0</v>
      </c>
      <c r="BI389" s="703" t="s">
        <v>170</v>
      </c>
      <c r="BJ389" s="703"/>
      <c r="BK389" s="394"/>
      <c r="BL389" s="394"/>
      <c r="BM389" s="394"/>
      <c r="BN389" s="394"/>
      <c r="BO389" s="394"/>
      <c r="BP389" s="394"/>
    </row>
    <row r="390">
      <c r="A390" s="519" t="s">
        <v>1688</v>
      </c>
      <c r="B390" s="700">
        <v>1700.0</v>
      </c>
      <c r="C390" s="501" t="s">
        <v>5352</v>
      </c>
      <c r="D390" s="391" t="s">
        <v>169</v>
      </c>
      <c r="E390" s="291" t="s">
        <v>5911</v>
      </c>
      <c r="F390" s="501">
        <v>244.0</v>
      </c>
      <c r="G390" s="501">
        <v>244.0</v>
      </c>
      <c r="H390" s="501">
        <v>4.0</v>
      </c>
      <c r="I390" s="501" t="s">
        <v>166</v>
      </c>
      <c r="J390" s="501">
        <v>1.0</v>
      </c>
      <c r="K390" s="501" t="s">
        <v>166</v>
      </c>
      <c r="L390" s="519" t="s">
        <v>166</v>
      </c>
      <c r="M390" s="519">
        <v>2.0</v>
      </c>
      <c r="N390" s="501" t="s">
        <v>166</v>
      </c>
      <c r="O390" s="501" t="s">
        <v>174</v>
      </c>
      <c r="P390" s="501" t="s">
        <v>166</v>
      </c>
      <c r="Q390" s="501" t="s">
        <v>166</v>
      </c>
      <c r="R390" s="501">
        <v>4.0</v>
      </c>
      <c r="S390" s="501" t="s">
        <v>3149</v>
      </c>
      <c r="T390" s="501">
        <v>128.0</v>
      </c>
      <c r="U390" s="501" t="s">
        <v>5286</v>
      </c>
      <c r="V390" s="501">
        <v>4.0</v>
      </c>
      <c r="W390" s="701" t="s">
        <v>5305</v>
      </c>
      <c r="X390" s="501" t="s">
        <v>166</v>
      </c>
      <c r="Y390" s="501">
        <v>4.0</v>
      </c>
      <c r="Z390" s="501" t="s">
        <v>166</v>
      </c>
      <c r="AA390" s="501">
        <v>2.0</v>
      </c>
      <c r="AB390" s="501" t="s">
        <v>166</v>
      </c>
      <c r="AC390" s="501" t="s">
        <v>166</v>
      </c>
      <c r="AD390" s="501" t="s">
        <v>166</v>
      </c>
      <c r="AE390" s="501" t="s">
        <v>166</v>
      </c>
      <c r="AF390" s="519">
        <f t="shared" si="1"/>
        <v>6</v>
      </c>
      <c r="AG390" s="501">
        <v>2.0</v>
      </c>
      <c r="AH390" s="501">
        <v>2.0</v>
      </c>
      <c r="AI390" s="501" t="s">
        <v>5049</v>
      </c>
      <c r="AJ390" s="501">
        <v>1.0</v>
      </c>
      <c r="AK390" s="700" t="s">
        <v>5133</v>
      </c>
      <c r="AL390" s="700">
        <v>1.0</v>
      </c>
      <c r="AM390" s="712">
        <v>1.0</v>
      </c>
      <c r="AN390" s="712" t="s">
        <v>166</v>
      </c>
      <c r="AO390" s="712" t="s">
        <v>232</v>
      </c>
      <c r="AP390" s="519" t="s">
        <v>166</v>
      </c>
      <c r="AQ390" s="519" t="s">
        <v>166</v>
      </c>
      <c r="AR390" s="700" t="s">
        <v>5039</v>
      </c>
      <c r="AS390" s="501" t="s">
        <v>166</v>
      </c>
      <c r="AT390" s="501">
        <v>3.0</v>
      </c>
      <c r="AU390" s="501" t="s">
        <v>166</v>
      </c>
      <c r="AV390" s="501">
        <v>1.0</v>
      </c>
      <c r="AW390" s="501">
        <v>1.0</v>
      </c>
      <c r="AX390" s="501" t="s">
        <v>166</v>
      </c>
      <c r="AY390" s="501" t="s">
        <v>166</v>
      </c>
      <c r="AZ390" s="501">
        <v>6.0</v>
      </c>
      <c r="BA390" s="501">
        <v>1.0</v>
      </c>
      <c r="BB390" s="501">
        <v>3.0</v>
      </c>
      <c r="BC390" s="501" t="s">
        <v>174</v>
      </c>
      <c r="BD390" s="501" t="s">
        <v>166</v>
      </c>
      <c r="BE390" s="700" t="s">
        <v>5328</v>
      </c>
      <c r="BF390" s="700" t="s">
        <v>4973</v>
      </c>
      <c r="BG390" s="700" t="s">
        <v>4963</v>
      </c>
      <c r="BH390" s="700">
        <v>6.0</v>
      </c>
      <c r="BI390" s="703" t="s">
        <v>5573</v>
      </c>
      <c r="BJ390" s="703"/>
      <c r="BK390" s="394"/>
      <c r="BL390" s="394"/>
      <c r="BM390" s="394"/>
      <c r="BN390" s="394"/>
      <c r="BO390" s="394"/>
      <c r="BP390" s="394"/>
    </row>
    <row r="391">
      <c r="A391" s="507" t="s">
        <v>1688</v>
      </c>
      <c r="B391" s="705">
        <v>1700.0</v>
      </c>
      <c r="C391" s="507" t="s">
        <v>5355</v>
      </c>
      <c r="D391" s="506" t="s">
        <v>169</v>
      </c>
      <c r="E391" s="174" t="s">
        <v>5912</v>
      </c>
      <c r="F391" s="266">
        <v>244.0</v>
      </c>
      <c r="G391" s="266">
        <v>244.0</v>
      </c>
      <c r="H391" s="266">
        <v>5.0</v>
      </c>
      <c r="I391" s="266" t="s">
        <v>166</v>
      </c>
      <c r="J391" s="266">
        <v>1.0</v>
      </c>
      <c r="K391" s="266" t="s">
        <v>166</v>
      </c>
      <c r="L391" s="507" t="s">
        <v>166</v>
      </c>
      <c r="M391" s="507">
        <v>2.0</v>
      </c>
      <c r="N391" s="266" t="s">
        <v>174</v>
      </c>
      <c r="O391" s="266" t="s">
        <v>174</v>
      </c>
      <c r="P391" s="266" t="s">
        <v>174</v>
      </c>
      <c r="Q391" s="266" t="s">
        <v>166</v>
      </c>
      <c r="R391" s="266">
        <v>4.0</v>
      </c>
      <c r="S391" s="266" t="s">
        <v>3151</v>
      </c>
      <c r="T391" s="266">
        <v>192.0</v>
      </c>
      <c r="U391" s="266" t="s">
        <v>5368</v>
      </c>
      <c r="V391" s="266">
        <v>4.0</v>
      </c>
      <c r="W391" s="711" t="s">
        <v>5305</v>
      </c>
      <c r="X391" s="266" t="s">
        <v>166</v>
      </c>
      <c r="Y391" s="266">
        <v>6.0</v>
      </c>
      <c r="Z391" s="266" t="s">
        <v>166</v>
      </c>
      <c r="AA391" s="266">
        <v>1.0</v>
      </c>
      <c r="AB391" s="266">
        <v>1.0</v>
      </c>
      <c r="AC391" s="266" t="s">
        <v>166</v>
      </c>
      <c r="AD391" s="266" t="s">
        <v>166</v>
      </c>
      <c r="AE391" s="266" t="s">
        <v>166</v>
      </c>
      <c r="AF391" s="507">
        <f t="shared" si="1"/>
        <v>8</v>
      </c>
      <c r="AG391" s="266">
        <v>1.0</v>
      </c>
      <c r="AH391" s="266">
        <v>1.0</v>
      </c>
      <c r="AI391" s="266" t="s">
        <v>5049</v>
      </c>
      <c r="AJ391" s="266">
        <v>1.0</v>
      </c>
      <c r="AK391" s="48" t="s">
        <v>5114</v>
      </c>
      <c r="AL391" s="48">
        <v>2.5</v>
      </c>
      <c r="AM391" s="705">
        <v>1.0</v>
      </c>
      <c r="AN391" s="705" t="s">
        <v>166</v>
      </c>
      <c r="AO391" s="705" t="s">
        <v>232</v>
      </c>
      <c r="AP391" s="507" t="s">
        <v>166</v>
      </c>
      <c r="AQ391" s="507" t="s">
        <v>166</v>
      </c>
      <c r="AR391" s="705" t="s">
        <v>5039</v>
      </c>
      <c r="AS391" s="266" t="s">
        <v>166</v>
      </c>
      <c r="AT391" s="266">
        <v>3.0</v>
      </c>
      <c r="AU391" s="266" t="s">
        <v>166</v>
      </c>
      <c r="AV391" s="266">
        <v>1.0</v>
      </c>
      <c r="AW391" s="507">
        <v>1.0</v>
      </c>
      <c r="AX391" s="266" t="s">
        <v>166</v>
      </c>
      <c r="AY391" s="266" t="s">
        <v>166</v>
      </c>
      <c r="AZ391" s="266">
        <v>6.0</v>
      </c>
      <c r="BA391" s="266">
        <v>1.0</v>
      </c>
      <c r="BB391" s="266">
        <v>3.0</v>
      </c>
      <c r="BC391" s="266" t="s">
        <v>174</v>
      </c>
      <c r="BD391" s="266" t="s">
        <v>166</v>
      </c>
      <c r="BE391" s="48" t="s">
        <v>170</v>
      </c>
      <c r="BF391" s="48" t="s">
        <v>5913</v>
      </c>
      <c r="BG391" s="48" t="s">
        <v>170</v>
      </c>
      <c r="BH391" s="48" t="s">
        <v>170</v>
      </c>
      <c r="BI391" s="708" t="s">
        <v>5573</v>
      </c>
      <c r="BJ391" s="698"/>
      <c r="BK391" s="394"/>
      <c r="BL391" s="394"/>
      <c r="BM391" s="394"/>
      <c r="BN391" s="394"/>
      <c r="BO391" s="394"/>
      <c r="BP391" s="394"/>
    </row>
    <row r="392">
      <c r="A392" s="507" t="s">
        <v>1688</v>
      </c>
      <c r="B392" s="705">
        <v>1700.0</v>
      </c>
      <c r="C392" s="507" t="s">
        <v>5355</v>
      </c>
      <c r="D392" s="506" t="s">
        <v>169</v>
      </c>
      <c r="E392" s="282" t="s">
        <v>5914</v>
      </c>
      <c r="F392" s="507">
        <v>244.0</v>
      </c>
      <c r="G392" s="507">
        <v>244.0</v>
      </c>
      <c r="H392" s="507">
        <v>4.0</v>
      </c>
      <c r="I392" s="507" t="s">
        <v>166</v>
      </c>
      <c r="J392" s="507">
        <v>1.0</v>
      </c>
      <c r="K392" s="507" t="s">
        <v>166</v>
      </c>
      <c r="L392" s="507" t="s">
        <v>166</v>
      </c>
      <c r="M392" s="507">
        <v>2.0</v>
      </c>
      <c r="N392" s="507" t="s">
        <v>174</v>
      </c>
      <c r="O392" s="507" t="s">
        <v>174</v>
      </c>
      <c r="P392" s="507" t="s">
        <v>166</v>
      </c>
      <c r="Q392" s="507" t="s">
        <v>166</v>
      </c>
      <c r="R392" s="507">
        <v>4.0</v>
      </c>
      <c r="S392" s="507" t="s">
        <v>3149</v>
      </c>
      <c r="T392" s="507">
        <v>128.0</v>
      </c>
      <c r="U392" s="507" t="s">
        <v>5286</v>
      </c>
      <c r="V392" s="507">
        <v>4.0</v>
      </c>
      <c r="W392" s="711" t="s">
        <v>5305</v>
      </c>
      <c r="X392" s="507" t="s">
        <v>166</v>
      </c>
      <c r="Y392" s="507">
        <v>4.0</v>
      </c>
      <c r="Z392" s="507" t="s">
        <v>166</v>
      </c>
      <c r="AA392" s="507">
        <v>2.0</v>
      </c>
      <c r="AB392" s="507" t="s">
        <v>166</v>
      </c>
      <c r="AC392" s="507" t="s">
        <v>166</v>
      </c>
      <c r="AD392" s="507" t="s">
        <v>166</v>
      </c>
      <c r="AE392" s="507" t="s">
        <v>166</v>
      </c>
      <c r="AF392" s="507">
        <f t="shared" si="1"/>
        <v>6</v>
      </c>
      <c r="AG392" s="507">
        <v>2.0</v>
      </c>
      <c r="AH392" s="507">
        <v>2.0</v>
      </c>
      <c r="AI392" s="507" t="s">
        <v>166</v>
      </c>
      <c r="AJ392" s="507">
        <v>1.0</v>
      </c>
      <c r="AK392" s="705" t="s">
        <v>5133</v>
      </c>
      <c r="AL392" s="705">
        <v>1.0</v>
      </c>
      <c r="AM392" s="705">
        <v>1.0</v>
      </c>
      <c r="AN392" s="705" t="s">
        <v>166</v>
      </c>
      <c r="AO392" s="705" t="s">
        <v>232</v>
      </c>
      <c r="AP392" s="507" t="s">
        <v>166</v>
      </c>
      <c r="AQ392" s="507" t="s">
        <v>166</v>
      </c>
      <c r="AR392" s="705" t="s">
        <v>5039</v>
      </c>
      <c r="AS392" s="507" t="s">
        <v>166</v>
      </c>
      <c r="AT392" s="507">
        <v>3.0</v>
      </c>
      <c r="AU392" s="507" t="s">
        <v>166</v>
      </c>
      <c r="AV392" s="507" t="s">
        <v>166</v>
      </c>
      <c r="AW392" s="507">
        <v>1.0</v>
      </c>
      <c r="AX392" s="507" t="s">
        <v>166</v>
      </c>
      <c r="AY392" s="507" t="s">
        <v>166</v>
      </c>
      <c r="AZ392" s="507">
        <v>6.0</v>
      </c>
      <c r="BA392" s="507">
        <v>1.0</v>
      </c>
      <c r="BB392" s="507">
        <v>3.0</v>
      </c>
      <c r="BC392" s="507" t="s">
        <v>174</v>
      </c>
      <c r="BD392" s="507" t="s">
        <v>166</v>
      </c>
      <c r="BE392" s="48" t="s">
        <v>5328</v>
      </c>
      <c r="BF392" s="705" t="s">
        <v>4973</v>
      </c>
      <c r="BG392" s="705" t="s">
        <v>4963</v>
      </c>
      <c r="BH392" s="705">
        <v>6.0</v>
      </c>
      <c r="BI392" s="708" t="s">
        <v>5009</v>
      </c>
      <c r="BJ392" s="708"/>
      <c r="BK392" s="394"/>
      <c r="BL392" s="394"/>
      <c r="BM392" s="394"/>
      <c r="BN392" s="394"/>
      <c r="BO392" s="394"/>
      <c r="BP392" s="394"/>
    </row>
    <row r="393">
      <c r="A393" s="507" t="s">
        <v>1688</v>
      </c>
      <c r="B393" s="705">
        <v>1700.0</v>
      </c>
      <c r="C393" s="507" t="s">
        <v>5355</v>
      </c>
      <c r="D393" s="506" t="s">
        <v>5067</v>
      </c>
      <c r="E393" s="282" t="s">
        <v>5915</v>
      </c>
      <c r="F393" s="507">
        <v>170.0</v>
      </c>
      <c r="G393" s="507">
        <v>208.0</v>
      </c>
      <c r="H393" s="507">
        <v>5.0</v>
      </c>
      <c r="I393" s="507" t="s">
        <v>166</v>
      </c>
      <c r="J393" s="507" t="s">
        <v>166</v>
      </c>
      <c r="K393" s="507" t="s">
        <v>166</v>
      </c>
      <c r="L393" s="507" t="s">
        <v>166</v>
      </c>
      <c r="M393" s="507">
        <v>1.0</v>
      </c>
      <c r="N393" s="507" t="s">
        <v>174</v>
      </c>
      <c r="O393" s="507" t="s">
        <v>174</v>
      </c>
      <c r="P393" s="507" t="s">
        <v>166</v>
      </c>
      <c r="Q393" s="507" t="s">
        <v>166</v>
      </c>
      <c r="R393" s="507">
        <v>4.0</v>
      </c>
      <c r="S393" s="266" t="s">
        <v>3151</v>
      </c>
      <c r="T393" s="507">
        <v>192.0</v>
      </c>
      <c r="U393" s="266" t="s">
        <v>5213</v>
      </c>
      <c r="V393" s="507">
        <v>8.0</v>
      </c>
      <c r="W393" s="710" t="s">
        <v>5126</v>
      </c>
      <c r="X393" s="507" t="s">
        <v>166</v>
      </c>
      <c r="Y393" s="507">
        <v>2.0</v>
      </c>
      <c r="Z393" s="507" t="s">
        <v>166</v>
      </c>
      <c r="AA393" s="507" t="s">
        <v>166</v>
      </c>
      <c r="AB393" s="507" t="s">
        <v>166</v>
      </c>
      <c r="AC393" s="507" t="s">
        <v>166</v>
      </c>
      <c r="AD393" s="507" t="s">
        <v>166</v>
      </c>
      <c r="AE393" s="507" t="s">
        <v>166</v>
      </c>
      <c r="AF393" s="266">
        <f t="shared" si="1"/>
        <v>2</v>
      </c>
      <c r="AG393" s="507" t="s">
        <v>166</v>
      </c>
      <c r="AH393" s="507">
        <v>1.0</v>
      </c>
      <c r="AI393" s="507" t="s">
        <v>166</v>
      </c>
      <c r="AJ393" s="507">
        <v>2.0</v>
      </c>
      <c r="AK393" s="705" t="s">
        <v>5516</v>
      </c>
      <c r="AL393" s="705">
        <v>10.0</v>
      </c>
      <c r="AM393" s="705" t="s">
        <v>166</v>
      </c>
      <c r="AN393" s="705" t="s">
        <v>166</v>
      </c>
      <c r="AO393" s="705" t="s">
        <v>166</v>
      </c>
      <c r="AP393" s="507" t="s">
        <v>166</v>
      </c>
      <c r="AQ393" s="507" t="s">
        <v>166</v>
      </c>
      <c r="AR393" s="705" t="s">
        <v>166</v>
      </c>
      <c r="AS393" s="507" t="s">
        <v>166</v>
      </c>
      <c r="AT393" s="507" t="s">
        <v>166</v>
      </c>
      <c r="AU393" s="507" t="s">
        <v>166</v>
      </c>
      <c r="AV393" s="507" t="s">
        <v>166</v>
      </c>
      <c r="AW393" s="507">
        <v>1.0</v>
      </c>
      <c r="AX393" s="507" t="s">
        <v>166</v>
      </c>
      <c r="AY393" s="507">
        <v>1.0</v>
      </c>
      <c r="AZ393" s="507">
        <v>3.0</v>
      </c>
      <c r="BA393" s="507" t="s">
        <v>166</v>
      </c>
      <c r="BB393" s="507" t="s">
        <v>166</v>
      </c>
      <c r="BC393" s="507" t="s">
        <v>166</v>
      </c>
      <c r="BD393" s="507" t="s">
        <v>166</v>
      </c>
      <c r="BE393" s="48" t="s">
        <v>170</v>
      </c>
      <c r="BF393" s="705" t="s">
        <v>170</v>
      </c>
      <c r="BG393" s="705" t="s">
        <v>170</v>
      </c>
      <c r="BH393" s="705" t="s">
        <v>170</v>
      </c>
      <c r="BI393" s="708" t="s">
        <v>170</v>
      </c>
      <c r="BJ393" s="708"/>
      <c r="BK393" s="394"/>
      <c r="BL393" s="394"/>
      <c r="BM393" s="394"/>
      <c r="BN393" s="394"/>
      <c r="BO393" s="394"/>
      <c r="BP393" s="394"/>
    </row>
    <row r="394">
      <c r="A394" s="266" t="s">
        <v>1688</v>
      </c>
      <c r="B394" s="48">
        <v>1700.0</v>
      </c>
      <c r="C394" s="266" t="s">
        <v>5355</v>
      </c>
      <c r="D394" s="452" t="str">
        <f t="shared" ref="D394:D395" si="54">HYPERLINK("https://www.asus.com/","Asus")</f>
        <v>Asus</v>
      </c>
      <c r="E394" s="174" t="s">
        <v>5916</v>
      </c>
      <c r="F394" s="266">
        <v>244.0</v>
      </c>
      <c r="G394" s="266">
        <v>244.0</v>
      </c>
      <c r="H394" s="266">
        <v>5.0</v>
      </c>
      <c r="I394" s="266" t="s">
        <v>166</v>
      </c>
      <c r="J394" s="266">
        <v>2.0</v>
      </c>
      <c r="K394" s="266" t="s">
        <v>166</v>
      </c>
      <c r="L394" s="266" t="s">
        <v>166</v>
      </c>
      <c r="M394" s="266">
        <v>2.0</v>
      </c>
      <c r="N394" s="266" t="s">
        <v>174</v>
      </c>
      <c r="O394" s="266" t="s">
        <v>174</v>
      </c>
      <c r="P394" s="266" t="s">
        <v>166</v>
      </c>
      <c r="Q394" s="266" t="s">
        <v>166</v>
      </c>
      <c r="R394" s="266">
        <v>4.0</v>
      </c>
      <c r="S394" s="266" t="s">
        <v>3149</v>
      </c>
      <c r="T394" s="266">
        <v>128.0</v>
      </c>
      <c r="U394" s="507" t="s">
        <v>5286</v>
      </c>
      <c r="V394" s="266">
        <v>4.0</v>
      </c>
      <c r="W394" s="710" t="s">
        <v>5793</v>
      </c>
      <c r="X394" s="266">
        <v>2.0</v>
      </c>
      <c r="Y394" s="266">
        <v>4.0</v>
      </c>
      <c r="Z394" s="266" t="s">
        <v>166</v>
      </c>
      <c r="AA394" s="266">
        <v>1.0</v>
      </c>
      <c r="AB394" s="266" t="s">
        <v>166</v>
      </c>
      <c r="AC394" s="266">
        <v>1.0</v>
      </c>
      <c r="AD394" s="266" t="s">
        <v>166</v>
      </c>
      <c r="AE394" s="266" t="s">
        <v>166</v>
      </c>
      <c r="AF394" s="266">
        <f t="shared" si="1"/>
        <v>8</v>
      </c>
      <c r="AG394" s="266">
        <v>2.0</v>
      </c>
      <c r="AH394" s="266">
        <v>1.0</v>
      </c>
      <c r="AI394" s="266" t="s">
        <v>5049</v>
      </c>
      <c r="AJ394" s="266">
        <v>1.0</v>
      </c>
      <c r="AK394" s="48" t="s">
        <v>5133</v>
      </c>
      <c r="AL394" s="48">
        <v>1.0</v>
      </c>
      <c r="AM394" s="705">
        <v>1.0</v>
      </c>
      <c r="AN394" s="705" t="s">
        <v>166</v>
      </c>
      <c r="AO394" s="705" t="s">
        <v>232</v>
      </c>
      <c r="AP394" s="507" t="s">
        <v>166</v>
      </c>
      <c r="AQ394" s="507" t="s">
        <v>166</v>
      </c>
      <c r="AR394" s="48" t="s">
        <v>5039</v>
      </c>
      <c r="AS394" s="266" t="s">
        <v>166</v>
      </c>
      <c r="AT394" s="266">
        <v>3.0</v>
      </c>
      <c r="AU394" s="266" t="s">
        <v>166</v>
      </c>
      <c r="AV394" s="266">
        <v>1.0</v>
      </c>
      <c r="AW394" s="266">
        <v>1.0</v>
      </c>
      <c r="AX394" s="266" t="s">
        <v>166</v>
      </c>
      <c r="AY394" s="266" t="s">
        <v>166</v>
      </c>
      <c r="AZ394" s="266">
        <v>6.0</v>
      </c>
      <c r="BA394" s="266">
        <v>1.0</v>
      </c>
      <c r="BB394" s="266">
        <v>3.0</v>
      </c>
      <c r="BC394" s="266" t="s">
        <v>166</v>
      </c>
      <c r="BD394" s="266" t="s">
        <v>166</v>
      </c>
      <c r="BE394" s="48" t="s">
        <v>5338</v>
      </c>
      <c r="BF394" s="48" t="s">
        <v>5318</v>
      </c>
      <c r="BG394" s="48" t="s">
        <v>4955</v>
      </c>
      <c r="BH394" s="48">
        <v>10.0</v>
      </c>
      <c r="BI394" s="708" t="s">
        <v>5009</v>
      </c>
      <c r="BJ394" s="698"/>
      <c r="BK394" s="394"/>
      <c r="BL394" s="394"/>
      <c r="BM394" s="394"/>
      <c r="BN394" s="394"/>
      <c r="BO394" s="394"/>
      <c r="BP394" s="394"/>
    </row>
    <row r="395">
      <c r="A395" s="266" t="s">
        <v>1688</v>
      </c>
      <c r="B395" s="48">
        <v>1700.0</v>
      </c>
      <c r="C395" s="266" t="s">
        <v>5355</v>
      </c>
      <c r="D395" s="452" t="str">
        <f t="shared" si="54"/>
        <v>Asus</v>
      </c>
      <c r="E395" s="174" t="s">
        <v>5917</v>
      </c>
      <c r="F395" s="266">
        <v>244.0</v>
      </c>
      <c r="G395" s="266">
        <v>244.0</v>
      </c>
      <c r="H395" s="266">
        <v>5.0</v>
      </c>
      <c r="I395" s="266" t="s">
        <v>166</v>
      </c>
      <c r="J395" s="266">
        <v>1.0</v>
      </c>
      <c r="K395" s="266" t="s">
        <v>166</v>
      </c>
      <c r="L395" s="266" t="s">
        <v>166</v>
      </c>
      <c r="M395" s="266">
        <v>2.0</v>
      </c>
      <c r="N395" s="266" t="s">
        <v>174</v>
      </c>
      <c r="O395" s="266" t="s">
        <v>174</v>
      </c>
      <c r="P395" s="266" t="s">
        <v>174</v>
      </c>
      <c r="Q395" s="266" t="s">
        <v>174</v>
      </c>
      <c r="R395" s="266">
        <v>4.0</v>
      </c>
      <c r="S395" s="266" t="s">
        <v>3151</v>
      </c>
      <c r="T395" s="266">
        <v>192.0</v>
      </c>
      <c r="U395" s="266" t="s">
        <v>5368</v>
      </c>
      <c r="V395" s="266">
        <v>6.0</v>
      </c>
      <c r="W395" s="710" t="s">
        <v>5793</v>
      </c>
      <c r="X395" s="266">
        <v>2.0</v>
      </c>
      <c r="Y395" s="266">
        <v>4.0</v>
      </c>
      <c r="Z395" s="266" t="s">
        <v>166</v>
      </c>
      <c r="AA395" s="266">
        <v>2.0</v>
      </c>
      <c r="AB395" s="266">
        <v>1.0</v>
      </c>
      <c r="AC395" s="266">
        <v>1.0</v>
      </c>
      <c r="AD395" s="266" t="s">
        <v>166</v>
      </c>
      <c r="AE395" s="266" t="s">
        <v>166</v>
      </c>
      <c r="AF395" s="266">
        <f t="shared" si="1"/>
        <v>10</v>
      </c>
      <c r="AG395" s="266">
        <v>2.0</v>
      </c>
      <c r="AH395" s="266">
        <v>1.0</v>
      </c>
      <c r="AI395" s="266" t="s">
        <v>5843</v>
      </c>
      <c r="AJ395" s="266">
        <v>1.0</v>
      </c>
      <c r="AK395" s="48" t="s">
        <v>5026</v>
      </c>
      <c r="AL395" s="48">
        <v>2.5</v>
      </c>
      <c r="AM395" s="48">
        <v>1.0</v>
      </c>
      <c r="AN395" s="48" t="s">
        <v>5044</v>
      </c>
      <c r="AO395" s="705" t="s">
        <v>5300</v>
      </c>
      <c r="AP395" s="266">
        <v>2400.0</v>
      </c>
      <c r="AQ395" s="266">
        <v>5.2</v>
      </c>
      <c r="AR395" s="48" t="s">
        <v>5121</v>
      </c>
      <c r="AS395" s="266" t="s">
        <v>174</v>
      </c>
      <c r="AT395" s="266">
        <v>5.0</v>
      </c>
      <c r="AU395" s="266" t="s">
        <v>166</v>
      </c>
      <c r="AV395" s="266">
        <v>1.0</v>
      </c>
      <c r="AW395" s="266">
        <v>1.0</v>
      </c>
      <c r="AX395" s="266" t="s">
        <v>166</v>
      </c>
      <c r="AY395" s="266" t="s">
        <v>166</v>
      </c>
      <c r="AZ395" s="266">
        <v>6.0</v>
      </c>
      <c r="BA395" s="266">
        <v>1.0</v>
      </c>
      <c r="BB395" s="266">
        <v>3.0</v>
      </c>
      <c r="BC395" s="266" t="s">
        <v>174</v>
      </c>
      <c r="BD395" s="266" t="s">
        <v>174</v>
      </c>
      <c r="BE395" s="48" t="s">
        <v>5338</v>
      </c>
      <c r="BF395" s="48" t="s">
        <v>5384</v>
      </c>
      <c r="BG395" s="48" t="s">
        <v>4955</v>
      </c>
      <c r="BH395" s="48">
        <v>14.0</v>
      </c>
      <c r="BI395" s="698" t="s">
        <v>5087</v>
      </c>
      <c r="BJ395" s="698"/>
      <c r="BK395" s="394"/>
      <c r="BL395" s="394"/>
      <c r="BM395" s="394"/>
      <c r="BN395" s="394"/>
      <c r="BO395" s="394"/>
      <c r="BP395" s="394"/>
    </row>
    <row r="396">
      <c r="A396" s="266" t="s">
        <v>1688</v>
      </c>
      <c r="B396" s="48">
        <v>1700.0</v>
      </c>
      <c r="C396" s="266" t="s">
        <v>5355</v>
      </c>
      <c r="D396" s="174" t="s">
        <v>3575</v>
      </c>
      <c r="E396" s="174" t="s">
        <v>5918</v>
      </c>
      <c r="F396" s="266">
        <v>244.0</v>
      </c>
      <c r="G396" s="266">
        <v>244.0</v>
      </c>
      <c r="H396" s="266">
        <v>5.0</v>
      </c>
      <c r="I396" s="266" t="s">
        <v>166</v>
      </c>
      <c r="J396" s="266">
        <v>1.0</v>
      </c>
      <c r="K396" s="266">
        <v>1.0</v>
      </c>
      <c r="L396" s="266" t="s">
        <v>166</v>
      </c>
      <c r="M396" s="266">
        <v>1.0</v>
      </c>
      <c r="N396" s="266" t="s">
        <v>174</v>
      </c>
      <c r="O396" s="266" t="s">
        <v>174</v>
      </c>
      <c r="P396" s="266" t="s">
        <v>174</v>
      </c>
      <c r="Q396" s="266" t="s">
        <v>166</v>
      </c>
      <c r="R396" s="266">
        <v>4.0</v>
      </c>
      <c r="S396" s="266" t="s">
        <v>3149</v>
      </c>
      <c r="T396" s="266">
        <v>128.0</v>
      </c>
      <c r="U396" s="266" t="s">
        <v>5213</v>
      </c>
      <c r="V396" s="266">
        <v>6.0</v>
      </c>
      <c r="W396" s="711" t="s">
        <v>5305</v>
      </c>
      <c r="X396" s="266">
        <v>4.0</v>
      </c>
      <c r="Y396" s="266">
        <v>2.0</v>
      </c>
      <c r="Z396" s="266" t="s">
        <v>166</v>
      </c>
      <c r="AA396" s="266">
        <v>1.0</v>
      </c>
      <c r="AB396" s="266">
        <v>1.0</v>
      </c>
      <c r="AC396" s="266" t="s">
        <v>166</v>
      </c>
      <c r="AD396" s="266" t="s">
        <v>166</v>
      </c>
      <c r="AE396" s="266" t="s">
        <v>166</v>
      </c>
      <c r="AF396" s="266">
        <f t="shared" si="1"/>
        <v>8</v>
      </c>
      <c r="AG396" s="266">
        <v>1.0</v>
      </c>
      <c r="AH396" s="266">
        <v>1.0</v>
      </c>
      <c r="AI396" s="266" t="s">
        <v>5049</v>
      </c>
      <c r="AJ396" s="266">
        <v>1.0</v>
      </c>
      <c r="AK396" s="48" t="s">
        <v>5026</v>
      </c>
      <c r="AL396" s="48">
        <v>2.5</v>
      </c>
      <c r="AM396" s="48">
        <v>1.0</v>
      </c>
      <c r="AN396" s="48" t="s">
        <v>5027</v>
      </c>
      <c r="AO396" s="705" t="s">
        <v>5865</v>
      </c>
      <c r="AP396" s="266">
        <v>2400.0</v>
      </c>
      <c r="AQ396" s="266">
        <v>5.2</v>
      </c>
      <c r="AR396" s="48" t="s">
        <v>5039</v>
      </c>
      <c r="AS396" s="266" t="s">
        <v>166</v>
      </c>
      <c r="AT396" s="266">
        <v>6.0</v>
      </c>
      <c r="AU396" s="266" t="s">
        <v>166</v>
      </c>
      <c r="AV396" s="266">
        <v>1.0</v>
      </c>
      <c r="AW396" s="266">
        <v>1.0</v>
      </c>
      <c r="AX396" s="266" t="s">
        <v>166</v>
      </c>
      <c r="AY396" s="266" t="s">
        <v>166</v>
      </c>
      <c r="AZ396" s="266">
        <v>5.0</v>
      </c>
      <c r="BA396" s="266">
        <v>2.0</v>
      </c>
      <c r="BB396" s="266">
        <v>2.0</v>
      </c>
      <c r="BC396" s="266" t="s">
        <v>166</v>
      </c>
      <c r="BD396" s="266" t="s">
        <v>174</v>
      </c>
      <c r="BE396" s="48" t="s">
        <v>5328</v>
      </c>
      <c r="BF396" s="48" t="s">
        <v>5384</v>
      </c>
      <c r="BG396" s="48" t="s">
        <v>4955</v>
      </c>
      <c r="BH396" s="48">
        <v>14.0</v>
      </c>
      <c r="BI396" s="698" t="s">
        <v>5245</v>
      </c>
      <c r="BJ396" s="698"/>
      <c r="BK396" s="394"/>
      <c r="BL396" s="394"/>
      <c r="BM396" s="394"/>
      <c r="BN396" s="394"/>
      <c r="BO396" s="394"/>
      <c r="BP396" s="394"/>
    </row>
    <row r="397">
      <c r="A397" s="266" t="s">
        <v>1688</v>
      </c>
      <c r="B397" s="48">
        <v>1700.0</v>
      </c>
      <c r="C397" s="266" t="s">
        <v>5355</v>
      </c>
      <c r="D397" s="174" t="s">
        <v>3575</v>
      </c>
      <c r="E397" s="174" t="s">
        <v>5919</v>
      </c>
      <c r="F397" s="266">
        <v>244.0</v>
      </c>
      <c r="G397" s="266">
        <v>244.0</v>
      </c>
      <c r="H397" s="266">
        <v>5.0</v>
      </c>
      <c r="I397" s="266" t="s">
        <v>166</v>
      </c>
      <c r="J397" s="266">
        <v>1.0</v>
      </c>
      <c r="K397" s="266">
        <v>1.0</v>
      </c>
      <c r="L397" s="266" t="s">
        <v>166</v>
      </c>
      <c r="M397" s="266">
        <v>1.0</v>
      </c>
      <c r="N397" s="266" t="s">
        <v>174</v>
      </c>
      <c r="O397" s="266" t="s">
        <v>174</v>
      </c>
      <c r="P397" s="266" t="s">
        <v>174</v>
      </c>
      <c r="Q397" s="266" t="s">
        <v>166</v>
      </c>
      <c r="R397" s="266">
        <v>4.0</v>
      </c>
      <c r="S397" s="266" t="s">
        <v>3149</v>
      </c>
      <c r="T397" s="266">
        <v>128.0</v>
      </c>
      <c r="U397" s="266" t="s">
        <v>5213</v>
      </c>
      <c r="V397" s="266">
        <v>6.0</v>
      </c>
      <c r="W397" s="711" t="s">
        <v>5305</v>
      </c>
      <c r="X397" s="266">
        <v>4.0</v>
      </c>
      <c r="Y397" s="266">
        <v>2.0</v>
      </c>
      <c r="Z397" s="266" t="s">
        <v>166</v>
      </c>
      <c r="AA397" s="266">
        <v>1.0</v>
      </c>
      <c r="AB397" s="266">
        <v>1.0</v>
      </c>
      <c r="AC397" s="266" t="s">
        <v>166</v>
      </c>
      <c r="AD397" s="266" t="s">
        <v>166</v>
      </c>
      <c r="AE397" s="266" t="s">
        <v>166</v>
      </c>
      <c r="AF397" s="266">
        <f t="shared" si="1"/>
        <v>8</v>
      </c>
      <c r="AG397" s="266">
        <v>1.0</v>
      </c>
      <c r="AH397" s="266">
        <v>1.0</v>
      </c>
      <c r="AI397" s="266" t="s">
        <v>5049</v>
      </c>
      <c r="AJ397" s="266">
        <v>1.0</v>
      </c>
      <c r="AK397" s="48" t="s">
        <v>5026</v>
      </c>
      <c r="AL397" s="48">
        <v>2.5</v>
      </c>
      <c r="AM397" s="48" t="s">
        <v>166</v>
      </c>
      <c r="AN397" s="48" t="s">
        <v>166</v>
      </c>
      <c r="AO397" s="705" t="s">
        <v>166</v>
      </c>
      <c r="AP397" s="266" t="s">
        <v>166</v>
      </c>
      <c r="AQ397" s="266" t="s">
        <v>166</v>
      </c>
      <c r="AR397" s="48" t="s">
        <v>5039</v>
      </c>
      <c r="AS397" s="266" t="s">
        <v>166</v>
      </c>
      <c r="AT397" s="266">
        <v>6.0</v>
      </c>
      <c r="AU397" s="266" t="s">
        <v>166</v>
      </c>
      <c r="AV397" s="266">
        <v>1.0</v>
      </c>
      <c r="AW397" s="266">
        <v>1.0</v>
      </c>
      <c r="AX397" s="266" t="s">
        <v>166</v>
      </c>
      <c r="AY397" s="266" t="s">
        <v>166</v>
      </c>
      <c r="AZ397" s="266">
        <v>5.0</v>
      </c>
      <c r="BA397" s="266">
        <v>2.0</v>
      </c>
      <c r="BB397" s="266">
        <v>2.0</v>
      </c>
      <c r="BC397" s="266" t="s">
        <v>166</v>
      </c>
      <c r="BD397" s="266" t="s">
        <v>174</v>
      </c>
      <c r="BE397" s="48" t="s">
        <v>5328</v>
      </c>
      <c r="BF397" s="48" t="s">
        <v>5384</v>
      </c>
      <c r="BG397" s="48" t="s">
        <v>4955</v>
      </c>
      <c r="BH397" s="48">
        <v>14.0</v>
      </c>
      <c r="BI397" s="698" t="s">
        <v>5245</v>
      </c>
      <c r="BJ397" s="698"/>
      <c r="BK397" s="394"/>
      <c r="BL397" s="394"/>
      <c r="BM397" s="394"/>
      <c r="BN397" s="394"/>
      <c r="BO397" s="394"/>
      <c r="BP397" s="394"/>
    </row>
    <row r="398">
      <c r="A398" s="266" t="s">
        <v>1688</v>
      </c>
      <c r="B398" s="48">
        <v>1700.0</v>
      </c>
      <c r="C398" s="266" t="s">
        <v>5355</v>
      </c>
      <c r="D398" s="452" t="str">
        <f t="shared" ref="D398:D400" si="55">HYPERLINK("https://www.gigabyte.com/","Gigabyte")</f>
        <v>Gigabyte</v>
      </c>
      <c r="E398" s="174" t="s">
        <v>5920</v>
      </c>
      <c r="F398" s="266">
        <v>244.0</v>
      </c>
      <c r="G398" s="266">
        <v>244.0</v>
      </c>
      <c r="H398" s="266">
        <v>5.0</v>
      </c>
      <c r="I398" s="266" t="s">
        <v>166</v>
      </c>
      <c r="J398" s="266" t="s">
        <v>166</v>
      </c>
      <c r="K398" s="266" t="s">
        <v>166</v>
      </c>
      <c r="L398" s="266" t="s">
        <v>166</v>
      </c>
      <c r="M398" s="266">
        <v>2.0</v>
      </c>
      <c r="N398" s="266" t="s">
        <v>174</v>
      </c>
      <c r="O398" s="266" t="s">
        <v>174</v>
      </c>
      <c r="P398" s="266" t="s">
        <v>174</v>
      </c>
      <c r="Q398" s="266" t="s">
        <v>166</v>
      </c>
      <c r="R398" s="266">
        <v>4.0</v>
      </c>
      <c r="S398" s="266" t="s">
        <v>3149</v>
      </c>
      <c r="T398" s="266">
        <v>128.0</v>
      </c>
      <c r="U398" s="507" t="s">
        <v>5286</v>
      </c>
      <c r="V398" s="266">
        <v>6.0</v>
      </c>
      <c r="W398" s="710" t="s">
        <v>5576</v>
      </c>
      <c r="X398" s="266">
        <v>4.0</v>
      </c>
      <c r="Y398" s="266">
        <v>4.0</v>
      </c>
      <c r="Z398" s="266" t="s">
        <v>166</v>
      </c>
      <c r="AA398" s="266">
        <v>1.0</v>
      </c>
      <c r="AB398" s="266" t="s">
        <v>166</v>
      </c>
      <c r="AC398" s="266">
        <v>1.0</v>
      </c>
      <c r="AD398" s="266" t="s">
        <v>166</v>
      </c>
      <c r="AE398" s="266" t="s">
        <v>166</v>
      </c>
      <c r="AF398" s="266">
        <f t="shared" si="1"/>
        <v>10</v>
      </c>
      <c r="AG398" s="266">
        <v>2.0</v>
      </c>
      <c r="AH398" s="266">
        <v>1.0</v>
      </c>
      <c r="AI398" s="266" t="s">
        <v>5025</v>
      </c>
      <c r="AJ398" s="266">
        <v>1.0</v>
      </c>
      <c r="AK398" s="48" t="s">
        <v>5026</v>
      </c>
      <c r="AL398" s="48">
        <v>2.5</v>
      </c>
      <c r="AM398" s="48" t="s">
        <v>166</v>
      </c>
      <c r="AN398" s="48" t="s">
        <v>166</v>
      </c>
      <c r="AO398" s="48" t="s">
        <v>166</v>
      </c>
      <c r="AP398" s="266" t="s">
        <v>166</v>
      </c>
      <c r="AQ398" s="266" t="s">
        <v>166</v>
      </c>
      <c r="AR398" s="48" t="s">
        <v>5039</v>
      </c>
      <c r="AS398" s="266" t="s">
        <v>174</v>
      </c>
      <c r="AT398" s="266">
        <v>2.0</v>
      </c>
      <c r="AU398" s="266" t="s">
        <v>166</v>
      </c>
      <c r="AV398" s="266">
        <v>1.0</v>
      </c>
      <c r="AW398" s="266">
        <v>1.0</v>
      </c>
      <c r="AX398" s="266" t="s">
        <v>166</v>
      </c>
      <c r="AY398" s="266" t="s">
        <v>166</v>
      </c>
      <c r="AZ398" s="266">
        <v>6.0</v>
      </c>
      <c r="BA398" s="266">
        <v>2.0</v>
      </c>
      <c r="BB398" s="266">
        <v>2.0</v>
      </c>
      <c r="BC398" s="266" t="s">
        <v>166</v>
      </c>
      <c r="BD398" s="266" t="s">
        <v>174</v>
      </c>
      <c r="BE398" s="48" t="s">
        <v>5359</v>
      </c>
      <c r="BF398" s="48" t="s">
        <v>5800</v>
      </c>
      <c r="BG398" s="48" t="s">
        <v>4963</v>
      </c>
      <c r="BH398" s="48">
        <v>12.0</v>
      </c>
      <c r="BI398" s="698" t="s">
        <v>5921</v>
      </c>
      <c r="BJ398" s="698"/>
      <c r="BK398" s="394"/>
      <c r="BL398" s="394"/>
      <c r="BM398" s="394"/>
      <c r="BN398" s="394"/>
      <c r="BO398" s="394"/>
      <c r="BP398" s="394"/>
    </row>
    <row r="399">
      <c r="A399" s="266" t="s">
        <v>1688</v>
      </c>
      <c r="B399" s="48">
        <v>1700.0</v>
      </c>
      <c r="C399" s="266" t="s">
        <v>5355</v>
      </c>
      <c r="D399" s="452" t="str">
        <f t="shared" si="55"/>
        <v>Gigabyte</v>
      </c>
      <c r="E399" s="174" t="s">
        <v>5922</v>
      </c>
      <c r="F399" s="266">
        <v>244.0</v>
      </c>
      <c r="G399" s="266">
        <v>244.0</v>
      </c>
      <c r="H399" s="266">
        <v>5.0</v>
      </c>
      <c r="I399" s="266" t="s">
        <v>166</v>
      </c>
      <c r="J399" s="266" t="s">
        <v>166</v>
      </c>
      <c r="K399" s="266" t="s">
        <v>166</v>
      </c>
      <c r="L399" s="266" t="s">
        <v>166</v>
      </c>
      <c r="M399" s="266">
        <v>2.0</v>
      </c>
      <c r="N399" s="266" t="s">
        <v>174</v>
      </c>
      <c r="O399" s="266" t="s">
        <v>174</v>
      </c>
      <c r="P399" s="266" t="s">
        <v>174</v>
      </c>
      <c r="Q399" s="266" t="s">
        <v>166</v>
      </c>
      <c r="R399" s="266">
        <v>4.0</v>
      </c>
      <c r="S399" s="266" t="s">
        <v>3149</v>
      </c>
      <c r="T399" s="266">
        <v>128.0</v>
      </c>
      <c r="U399" s="507" t="s">
        <v>5286</v>
      </c>
      <c r="V399" s="266">
        <v>6.0</v>
      </c>
      <c r="W399" s="710" t="s">
        <v>5576</v>
      </c>
      <c r="X399" s="266">
        <v>4.0</v>
      </c>
      <c r="Y399" s="266">
        <v>4.0</v>
      </c>
      <c r="Z399" s="266" t="s">
        <v>166</v>
      </c>
      <c r="AA399" s="266">
        <v>1.0</v>
      </c>
      <c r="AB399" s="266" t="s">
        <v>166</v>
      </c>
      <c r="AC399" s="266">
        <v>1.0</v>
      </c>
      <c r="AD399" s="266" t="s">
        <v>166</v>
      </c>
      <c r="AE399" s="266" t="s">
        <v>166</v>
      </c>
      <c r="AF399" s="266">
        <f t="shared" si="1"/>
        <v>10</v>
      </c>
      <c r="AG399" s="266">
        <v>2.0</v>
      </c>
      <c r="AH399" s="266">
        <v>1.0</v>
      </c>
      <c r="AI399" s="266" t="s">
        <v>5025</v>
      </c>
      <c r="AJ399" s="266">
        <v>1.0</v>
      </c>
      <c r="AK399" s="48" t="s">
        <v>5026</v>
      </c>
      <c r="AL399" s="48">
        <v>2.5</v>
      </c>
      <c r="AM399" s="48">
        <v>1.0</v>
      </c>
      <c r="AN399" s="48" t="s">
        <v>5027</v>
      </c>
      <c r="AO399" s="705" t="s">
        <v>5257</v>
      </c>
      <c r="AP399" s="266">
        <v>2400.0</v>
      </c>
      <c r="AQ399" s="266">
        <v>5.2</v>
      </c>
      <c r="AR399" s="48" t="s">
        <v>5039</v>
      </c>
      <c r="AS399" s="266" t="s">
        <v>174</v>
      </c>
      <c r="AT399" s="266">
        <v>2.0</v>
      </c>
      <c r="AU399" s="266" t="s">
        <v>166</v>
      </c>
      <c r="AV399" s="266">
        <v>1.0</v>
      </c>
      <c r="AW399" s="266">
        <v>1.0</v>
      </c>
      <c r="AX399" s="266" t="s">
        <v>166</v>
      </c>
      <c r="AY399" s="266" t="s">
        <v>166</v>
      </c>
      <c r="AZ399" s="266">
        <v>6.0</v>
      </c>
      <c r="BA399" s="266">
        <v>2.0</v>
      </c>
      <c r="BB399" s="266">
        <v>2.0</v>
      </c>
      <c r="BC399" s="266" t="s">
        <v>166</v>
      </c>
      <c r="BD399" s="266" t="s">
        <v>174</v>
      </c>
      <c r="BE399" s="48" t="s">
        <v>5359</v>
      </c>
      <c r="BF399" s="48" t="s">
        <v>5800</v>
      </c>
      <c r="BG399" s="48" t="s">
        <v>4963</v>
      </c>
      <c r="BH399" s="48">
        <v>12.0</v>
      </c>
      <c r="BI399" s="698" t="s">
        <v>5921</v>
      </c>
      <c r="BJ399" s="698"/>
      <c r="BK399" s="394"/>
      <c r="BL399" s="394"/>
      <c r="BM399" s="394"/>
      <c r="BN399" s="394"/>
      <c r="BO399" s="394"/>
      <c r="BP399" s="394"/>
    </row>
    <row r="400">
      <c r="A400" s="266" t="s">
        <v>1688</v>
      </c>
      <c r="B400" s="48">
        <v>1700.0</v>
      </c>
      <c r="C400" s="266" t="s">
        <v>5355</v>
      </c>
      <c r="D400" s="452" t="str">
        <f t="shared" si="55"/>
        <v>Gigabyte</v>
      </c>
      <c r="E400" s="174" t="s">
        <v>5923</v>
      </c>
      <c r="F400" s="266">
        <v>244.0</v>
      </c>
      <c r="G400" s="266">
        <v>244.0</v>
      </c>
      <c r="H400" s="266">
        <v>4.0</v>
      </c>
      <c r="I400" s="266" t="s">
        <v>166</v>
      </c>
      <c r="J400" s="266">
        <v>2.0</v>
      </c>
      <c r="K400" s="266" t="s">
        <v>166</v>
      </c>
      <c r="L400" s="266" t="s">
        <v>166</v>
      </c>
      <c r="M400" s="266">
        <v>2.0</v>
      </c>
      <c r="N400" s="266" t="s">
        <v>174</v>
      </c>
      <c r="O400" s="266" t="s">
        <v>174</v>
      </c>
      <c r="P400" s="266" t="s">
        <v>174</v>
      </c>
      <c r="Q400" s="266" t="s">
        <v>166</v>
      </c>
      <c r="R400" s="266">
        <v>4.0</v>
      </c>
      <c r="S400" s="266" t="s">
        <v>3149</v>
      </c>
      <c r="T400" s="266">
        <v>128.0</v>
      </c>
      <c r="U400" s="507" t="s">
        <v>5286</v>
      </c>
      <c r="V400" s="266">
        <v>4.0</v>
      </c>
      <c r="W400" s="710" t="s">
        <v>5126</v>
      </c>
      <c r="X400" s="266">
        <v>2.0</v>
      </c>
      <c r="Y400" s="266">
        <v>3.0</v>
      </c>
      <c r="Z400" s="266" t="s">
        <v>166</v>
      </c>
      <c r="AA400" s="266" t="s">
        <v>166</v>
      </c>
      <c r="AB400" s="266">
        <v>1.0</v>
      </c>
      <c r="AC400" s="266" t="s">
        <v>166</v>
      </c>
      <c r="AD400" s="266" t="s">
        <v>166</v>
      </c>
      <c r="AE400" s="266" t="s">
        <v>166</v>
      </c>
      <c r="AF400" s="266">
        <f t="shared" si="1"/>
        <v>6</v>
      </c>
      <c r="AG400" s="266">
        <v>2.0</v>
      </c>
      <c r="AH400" s="266">
        <v>1.0</v>
      </c>
      <c r="AI400" s="266" t="s">
        <v>166</v>
      </c>
      <c r="AJ400" s="266">
        <v>1.0</v>
      </c>
      <c r="AK400" s="48" t="s">
        <v>5038</v>
      </c>
      <c r="AL400" s="48">
        <v>2.5</v>
      </c>
      <c r="AM400" s="48" t="s">
        <v>166</v>
      </c>
      <c r="AN400" s="48" t="s">
        <v>166</v>
      </c>
      <c r="AO400" s="48" t="s">
        <v>166</v>
      </c>
      <c r="AP400" s="266" t="s">
        <v>166</v>
      </c>
      <c r="AQ400" s="266" t="s">
        <v>166</v>
      </c>
      <c r="AR400" s="48" t="s">
        <v>5039</v>
      </c>
      <c r="AS400" s="266" t="s">
        <v>166</v>
      </c>
      <c r="AT400" s="266">
        <v>3.0</v>
      </c>
      <c r="AU400" s="266">
        <v>1.0</v>
      </c>
      <c r="AV400" s="266">
        <v>2.0</v>
      </c>
      <c r="AW400" s="266">
        <v>1.0</v>
      </c>
      <c r="AX400" s="266" t="s">
        <v>166</v>
      </c>
      <c r="AY400" s="266">
        <v>1.0</v>
      </c>
      <c r="AZ400" s="266">
        <v>4.0</v>
      </c>
      <c r="BA400" s="266">
        <v>1.0</v>
      </c>
      <c r="BB400" s="266">
        <v>1.0</v>
      </c>
      <c r="BC400" s="266" t="s">
        <v>166</v>
      </c>
      <c r="BD400" s="266" t="s">
        <v>166</v>
      </c>
      <c r="BE400" s="48" t="s">
        <v>170</v>
      </c>
      <c r="BF400" s="48" t="s">
        <v>170</v>
      </c>
      <c r="BG400" s="48" t="s">
        <v>170</v>
      </c>
      <c r="BH400" s="48" t="s">
        <v>170</v>
      </c>
      <c r="BI400" s="698" t="s">
        <v>170</v>
      </c>
      <c r="BJ400" s="698"/>
      <c r="BK400" s="394"/>
      <c r="BL400" s="394"/>
      <c r="BM400" s="394"/>
      <c r="BN400" s="394"/>
      <c r="BO400" s="394"/>
      <c r="BP400" s="394"/>
    </row>
    <row r="401">
      <c r="A401" s="501" t="s">
        <v>1688</v>
      </c>
      <c r="B401" s="700">
        <v>1700.0</v>
      </c>
      <c r="C401" s="501" t="s">
        <v>5355</v>
      </c>
      <c r="D401" s="500" t="str">
        <f>HYPERLINK("https://www.msi.com/index.php","MSI")</f>
        <v>MSI</v>
      </c>
      <c r="E401" s="291" t="s">
        <v>5924</v>
      </c>
      <c r="F401" s="501">
        <v>244.0</v>
      </c>
      <c r="G401" s="501">
        <v>244.0</v>
      </c>
      <c r="H401" s="501">
        <v>4.0</v>
      </c>
      <c r="I401" s="501" t="s">
        <v>166</v>
      </c>
      <c r="J401" s="501">
        <v>1.0</v>
      </c>
      <c r="K401" s="501" t="s">
        <v>166</v>
      </c>
      <c r="L401" s="501" t="s">
        <v>166</v>
      </c>
      <c r="M401" s="501">
        <v>2.0</v>
      </c>
      <c r="N401" s="501" t="s">
        <v>174</v>
      </c>
      <c r="O401" s="501" t="s">
        <v>174</v>
      </c>
      <c r="P401" s="501" t="s">
        <v>166</v>
      </c>
      <c r="Q401" s="501" t="s">
        <v>166</v>
      </c>
      <c r="R401" s="501">
        <v>4.0</v>
      </c>
      <c r="S401" s="501" t="s">
        <v>3151</v>
      </c>
      <c r="T401" s="501">
        <v>192.0</v>
      </c>
      <c r="U401" s="501" t="s">
        <v>5336</v>
      </c>
      <c r="V401" s="501">
        <v>6.0</v>
      </c>
      <c r="W401" s="701" t="s">
        <v>5305</v>
      </c>
      <c r="X401" s="501">
        <v>4.0</v>
      </c>
      <c r="Y401" s="501">
        <v>3.0</v>
      </c>
      <c r="Z401" s="501" t="s">
        <v>166</v>
      </c>
      <c r="AA401" s="501" t="s">
        <v>166</v>
      </c>
      <c r="AB401" s="501" t="s">
        <v>166</v>
      </c>
      <c r="AC401" s="501">
        <v>1.0</v>
      </c>
      <c r="AD401" s="501" t="s">
        <v>166</v>
      </c>
      <c r="AE401" s="501" t="s">
        <v>166</v>
      </c>
      <c r="AF401" s="501">
        <f t="shared" si="1"/>
        <v>8</v>
      </c>
      <c r="AG401" s="501">
        <v>2.0</v>
      </c>
      <c r="AH401" s="501">
        <v>1.0</v>
      </c>
      <c r="AI401" s="501" t="s">
        <v>5025</v>
      </c>
      <c r="AJ401" s="501">
        <v>1.0</v>
      </c>
      <c r="AK401" s="700" t="s">
        <v>5038</v>
      </c>
      <c r="AL401" s="700">
        <v>2.5</v>
      </c>
      <c r="AM401" s="700">
        <v>1.0</v>
      </c>
      <c r="AN401" s="700" t="s">
        <v>5044</v>
      </c>
      <c r="AO401" s="712" t="s">
        <v>5300</v>
      </c>
      <c r="AP401" s="501">
        <v>2400.0</v>
      </c>
      <c r="AQ401" s="501">
        <v>5.2</v>
      </c>
      <c r="AR401" s="700" t="s">
        <v>5050</v>
      </c>
      <c r="AS401" s="501" t="s">
        <v>174</v>
      </c>
      <c r="AT401" s="501">
        <v>5.0</v>
      </c>
      <c r="AU401" s="501" t="s">
        <v>166</v>
      </c>
      <c r="AV401" s="501">
        <v>1.0</v>
      </c>
      <c r="AW401" s="501">
        <v>1.0</v>
      </c>
      <c r="AX401" s="501" t="s">
        <v>166</v>
      </c>
      <c r="AY401" s="501" t="s">
        <v>166</v>
      </c>
      <c r="AZ401" s="501">
        <v>4.0</v>
      </c>
      <c r="BA401" s="501">
        <v>1.0</v>
      </c>
      <c r="BB401" s="501">
        <v>2.0</v>
      </c>
      <c r="BC401" s="501" t="s">
        <v>174</v>
      </c>
      <c r="BD401" s="501" t="s">
        <v>174</v>
      </c>
      <c r="BE401" s="700" t="s">
        <v>5342</v>
      </c>
      <c r="BF401" s="700" t="s">
        <v>5800</v>
      </c>
      <c r="BG401" s="700" t="s">
        <v>4963</v>
      </c>
      <c r="BH401" s="700">
        <v>12.0</v>
      </c>
      <c r="BI401" s="703" t="s">
        <v>5343</v>
      </c>
      <c r="BJ401" s="703"/>
      <c r="BK401" s="394"/>
      <c r="BL401" s="394"/>
      <c r="BM401" s="394"/>
      <c r="BN401" s="394"/>
      <c r="BO401" s="394"/>
      <c r="BP401" s="394"/>
    </row>
    <row r="402">
      <c r="A402" s="266" t="s">
        <v>1688</v>
      </c>
      <c r="B402" s="48">
        <v>1700.0</v>
      </c>
      <c r="C402" s="266" t="s">
        <v>5379</v>
      </c>
      <c r="D402" s="174" t="s">
        <v>169</v>
      </c>
      <c r="E402" s="174" t="s">
        <v>5925</v>
      </c>
      <c r="F402" s="507">
        <v>244.0</v>
      </c>
      <c r="G402" s="507">
        <v>201.0</v>
      </c>
      <c r="H402" s="266">
        <v>4.0</v>
      </c>
      <c r="I402" s="266" t="s">
        <v>166</v>
      </c>
      <c r="J402" s="266">
        <v>2.0</v>
      </c>
      <c r="K402" s="266" t="s">
        <v>166</v>
      </c>
      <c r="L402" s="266" t="s">
        <v>166</v>
      </c>
      <c r="M402" s="266">
        <v>1.0</v>
      </c>
      <c r="N402" s="266" t="s">
        <v>166</v>
      </c>
      <c r="O402" s="266" t="s">
        <v>174</v>
      </c>
      <c r="P402" s="266" t="s">
        <v>166</v>
      </c>
      <c r="Q402" s="266" t="s">
        <v>166</v>
      </c>
      <c r="R402" s="266">
        <v>2.0</v>
      </c>
      <c r="S402" s="266" t="s">
        <v>3151</v>
      </c>
      <c r="T402" s="266">
        <v>96.0</v>
      </c>
      <c r="U402" s="266" t="s">
        <v>5084</v>
      </c>
      <c r="V402" s="266">
        <v>4.0</v>
      </c>
      <c r="W402" s="711" t="s">
        <v>5305</v>
      </c>
      <c r="X402" s="266">
        <v>2.0</v>
      </c>
      <c r="Y402" s="266">
        <v>3.0</v>
      </c>
      <c r="Z402" s="266">
        <v>1.0</v>
      </c>
      <c r="AA402" s="266" t="s">
        <v>166</v>
      </c>
      <c r="AB402" s="266" t="s">
        <v>166</v>
      </c>
      <c r="AC402" s="266" t="s">
        <v>166</v>
      </c>
      <c r="AD402" s="266" t="s">
        <v>166</v>
      </c>
      <c r="AE402" s="266" t="s">
        <v>166</v>
      </c>
      <c r="AF402" s="266">
        <f t="shared" si="1"/>
        <v>6</v>
      </c>
      <c r="AG402" s="266">
        <v>2.0</v>
      </c>
      <c r="AH402" s="266">
        <v>1.0</v>
      </c>
      <c r="AI402" s="507" t="s">
        <v>166</v>
      </c>
      <c r="AJ402" s="266">
        <v>1.0</v>
      </c>
      <c r="AK402" s="48" t="s">
        <v>4959</v>
      </c>
      <c r="AL402" s="48">
        <v>1.0</v>
      </c>
      <c r="AM402" s="705">
        <v>1.0</v>
      </c>
      <c r="AN402" s="705" t="s">
        <v>166</v>
      </c>
      <c r="AO402" s="705" t="s">
        <v>232</v>
      </c>
      <c r="AP402" s="507" t="s">
        <v>166</v>
      </c>
      <c r="AQ402" s="507" t="s">
        <v>166</v>
      </c>
      <c r="AR402" s="48" t="s">
        <v>5039</v>
      </c>
      <c r="AS402" s="266" t="s">
        <v>166</v>
      </c>
      <c r="AT402" s="266">
        <v>3.0</v>
      </c>
      <c r="AU402" s="266">
        <v>1.0</v>
      </c>
      <c r="AV402" s="266">
        <v>1.0</v>
      </c>
      <c r="AW402" s="266">
        <v>1.0</v>
      </c>
      <c r="AX402" s="266" t="s">
        <v>166</v>
      </c>
      <c r="AY402" s="266" t="s">
        <v>166</v>
      </c>
      <c r="AZ402" s="266">
        <v>4.0</v>
      </c>
      <c r="BA402" s="266" t="s">
        <v>166</v>
      </c>
      <c r="BB402" s="266" t="s">
        <v>166</v>
      </c>
      <c r="BC402" s="266" t="s">
        <v>166</v>
      </c>
      <c r="BD402" s="266" t="s">
        <v>166</v>
      </c>
      <c r="BE402" s="48" t="s">
        <v>170</v>
      </c>
      <c r="BF402" s="48" t="s">
        <v>5143</v>
      </c>
      <c r="BG402" s="48" t="s">
        <v>4963</v>
      </c>
      <c r="BH402" s="48">
        <v>5.0</v>
      </c>
      <c r="BI402" s="698" t="s">
        <v>170</v>
      </c>
      <c r="BJ402" s="698"/>
      <c r="BK402" s="394"/>
      <c r="BL402" s="394"/>
      <c r="BM402" s="394"/>
      <c r="BN402" s="394"/>
      <c r="BO402" s="394"/>
      <c r="BP402" s="394"/>
    </row>
    <row r="403">
      <c r="A403" s="266" t="s">
        <v>1688</v>
      </c>
      <c r="B403" s="48">
        <v>1700.0</v>
      </c>
      <c r="C403" s="266" t="s">
        <v>5379</v>
      </c>
      <c r="D403" s="174" t="s">
        <v>169</v>
      </c>
      <c r="E403" s="174" t="s">
        <v>5926</v>
      </c>
      <c r="F403" s="507">
        <v>244.0</v>
      </c>
      <c r="G403" s="507">
        <v>201.0</v>
      </c>
      <c r="H403" s="266">
        <v>4.0</v>
      </c>
      <c r="I403" s="266" t="s">
        <v>166</v>
      </c>
      <c r="J403" s="266">
        <v>2.0</v>
      </c>
      <c r="K403" s="266" t="s">
        <v>166</v>
      </c>
      <c r="L403" s="266" t="s">
        <v>166</v>
      </c>
      <c r="M403" s="266">
        <v>1.0</v>
      </c>
      <c r="N403" s="266" t="s">
        <v>166</v>
      </c>
      <c r="O403" s="266" t="s">
        <v>174</v>
      </c>
      <c r="P403" s="266" t="s">
        <v>166</v>
      </c>
      <c r="Q403" s="266" t="s">
        <v>166</v>
      </c>
      <c r="R403" s="266">
        <v>2.0</v>
      </c>
      <c r="S403" s="266" t="s">
        <v>3151</v>
      </c>
      <c r="T403" s="266">
        <v>96.0</v>
      </c>
      <c r="U403" s="266" t="s">
        <v>5084</v>
      </c>
      <c r="V403" s="266">
        <v>4.0</v>
      </c>
      <c r="W403" s="710" t="s">
        <v>5126</v>
      </c>
      <c r="X403" s="266">
        <v>2.0</v>
      </c>
      <c r="Y403" s="266">
        <v>3.0</v>
      </c>
      <c r="Z403" s="266">
        <v>1.0</v>
      </c>
      <c r="AA403" s="266" t="s">
        <v>166</v>
      </c>
      <c r="AB403" s="266" t="s">
        <v>166</v>
      </c>
      <c r="AC403" s="266" t="s">
        <v>166</v>
      </c>
      <c r="AD403" s="266" t="s">
        <v>166</v>
      </c>
      <c r="AE403" s="266" t="s">
        <v>166</v>
      </c>
      <c r="AF403" s="266">
        <f t="shared" si="1"/>
        <v>6</v>
      </c>
      <c r="AG403" s="266">
        <v>2.0</v>
      </c>
      <c r="AH403" s="266">
        <v>1.0</v>
      </c>
      <c r="AI403" s="507" t="s">
        <v>166</v>
      </c>
      <c r="AJ403" s="266">
        <v>1.0</v>
      </c>
      <c r="AK403" s="48" t="s">
        <v>5043</v>
      </c>
      <c r="AL403" s="48">
        <v>2.5</v>
      </c>
      <c r="AM403" s="705">
        <v>1.0</v>
      </c>
      <c r="AN403" s="705" t="s">
        <v>166</v>
      </c>
      <c r="AO403" s="705" t="s">
        <v>232</v>
      </c>
      <c r="AP403" s="507" t="s">
        <v>166</v>
      </c>
      <c r="AQ403" s="507" t="s">
        <v>166</v>
      </c>
      <c r="AR403" s="48" t="s">
        <v>5039</v>
      </c>
      <c r="AS403" s="266" t="s">
        <v>166</v>
      </c>
      <c r="AT403" s="266">
        <v>3.0</v>
      </c>
      <c r="AU403" s="266" t="s">
        <v>166</v>
      </c>
      <c r="AV403" s="266">
        <v>1.0</v>
      </c>
      <c r="AW403" s="266">
        <v>1.0</v>
      </c>
      <c r="AX403" s="266" t="s">
        <v>166</v>
      </c>
      <c r="AY403" s="266">
        <v>1.0</v>
      </c>
      <c r="AZ403" s="266">
        <v>4.0</v>
      </c>
      <c r="BA403" s="266">
        <v>1.0</v>
      </c>
      <c r="BB403" s="266">
        <v>3.0</v>
      </c>
      <c r="BC403" s="266" t="s">
        <v>166</v>
      </c>
      <c r="BD403" s="266" t="s">
        <v>166</v>
      </c>
      <c r="BE403" s="48" t="s">
        <v>170</v>
      </c>
      <c r="BF403" s="48" t="s">
        <v>5354</v>
      </c>
      <c r="BG403" s="48" t="s">
        <v>4963</v>
      </c>
      <c r="BH403" s="48">
        <v>7.0</v>
      </c>
      <c r="BI403" s="698" t="s">
        <v>170</v>
      </c>
      <c r="BJ403" s="698"/>
      <c r="BK403" s="394"/>
      <c r="BL403" s="394"/>
      <c r="BM403" s="394"/>
      <c r="BN403" s="394"/>
      <c r="BO403" s="394"/>
      <c r="BP403" s="394"/>
    </row>
    <row r="404">
      <c r="A404" s="266" t="s">
        <v>1688</v>
      </c>
      <c r="B404" s="48">
        <v>1700.0</v>
      </c>
      <c r="C404" s="266" t="s">
        <v>5379</v>
      </c>
      <c r="D404" s="174" t="s">
        <v>169</v>
      </c>
      <c r="E404" s="174" t="s">
        <v>5927</v>
      </c>
      <c r="F404" s="507">
        <v>244.0</v>
      </c>
      <c r="G404" s="507">
        <v>201.0</v>
      </c>
      <c r="H404" s="266">
        <v>4.0</v>
      </c>
      <c r="I404" s="266" t="s">
        <v>166</v>
      </c>
      <c r="J404" s="266">
        <v>2.0</v>
      </c>
      <c r="K404" s="266" t="s">
        <v>166</v>
      </c>
      <c r="L404" s="266" t="s">
        <v>166</v>
      </c>
      <c r="M404" s="266">
        <v>1.0</v>
      </c>
      <c r="N404" s="266" t="s">
        <v>166</v>
      </c>
      <c r="O404" s="266" t="s">
        <v>174</v>
      </c>
      <c r="P404" s="266" t="s">
        <v>166</v>
      </c>
      <c r="Q404" s="266" t="s">
        <v>166</v>
      </c>
      <c r="R404" s="266">
        <v>2.0</v>
      </c>
      <c r="S404" s="266" t="s">
        <v>3149</v>
      </c>
      <c r="T404" s="266">
        <v>64.0</v>
      </c>
      <c r="U404" s="266" t="s">
        <v>5286</v>
      </c>
      <c r="V404" s="266">
        <v>4.0</v>
      </c>
      <c r="W404" s="711" t="s">
        <v>5305</v>
      </c>
      <c r="X404" s="266">
        <v>2.0</v>
      </c>
      <c r="Y404" s="266">
        <v>3.0</v>
      </c>
      <c r="Z404" s="266">
        <v>1.0</v>
      </c>
      <c r="AA404" s="266" t="s">
        <v>166</v>
      </c>
      <c r="AB404" s="266" t="s">
        <v>166</v>
      </c>
      <c r="AC404" s="266" t="s">
        <v>166</v>
      </c>
      <c r="AD404" s="266" t="s">
        <v>166</v>
      </c>
      <c r="AE404" s="266" t="s">
        <v>166</v>
      </c>
      <c r="AF404" s="266">
        <f t="shared" si="1"/>
        <v>6</v>
      </c>
      <c r="AG404" s="266">
        <v>2.0</v>
      </c>
      <c r="AH404" s="266">
        <v>1.0</v>
      </c>
      <c r="AI404" s="507" t="s">
        <v>166</v>
      </c>
      <c r="AJ404" s="266">
        <v>1.0</v>
      </c>
      <c r="AK404" s="48" t="s">
        <v>4959</v>
      </c>
      <c r="AL404" s="48">
        <v>1.0</v>
      </c>
      <c r="AM404" s="705">
        <v>1.0</v>
      </c>
      <c r="AN404" s="705" t="s">
        <v>166</v>
      </c>
      <c r="AO404" s="705" t="s">
        <v>232</v>
      </c>
      <c r="AP404" s="507" t="s">
        <v>166</v>
      </c>
      <c r="AQ404" s="507" t="s">
        <v>166</v>
      </c>
      <c r="AR404" s="48" t="s">
        <v>5039</v>
      </c>
      <c r="AS404" s="266" t="s">
        <v>166</v>
      </c>
      <c r="AT404" s="266">
        <v>3.0</v>
      </c>
      <c r="AU404" s="266">
        <v>1.0</v>
      </c>
      <c r="AV404" s="266">
        <v>1.0</v>
      </c>
      <c r="AW404" s="266">
        <v>1.0</v>
      </c>
      <c r="AX404" s="266" t="s">
        <v>166</v>
      </c>
      <c r="AY404" s="266">
        <v>1.0</v>
      </c>
      <c r="AZ404" s="266">
        <v>4.0</v>
      </c>
      <c r="BA404" s="266" t="s">
        <v>166</v>
      </c>
      <c r="BB404" s="266" t="s">
        <v>166</v>
      </c>
      <c r="BC404" s="266" t="s">
        <v>166</v>
      </c>
      <c r="BD404" s="266" t="s">
        <v>166</v>
      </c>
      <c r="BE404" s="48" t="s">
        <v>170</v>
      </c>
      <c r="BF404" s="48" t="s">
        <v>5143</v>
      </c>
      <c r="BG404" s="48" t="s">
        <v>4963</v>
      </c>
      <c r="BH404" s="48">
        <v>5.0</v>
      </c>
      <c r="BI404" s="698" t="s">
        <v>170</v>
      </c>
      <c r="BJ404" s="698"/>
      <c r="BK404" s="394"/>
      <c r="BL404" s="394"/>
      <c r="BM404" s="394"/>
      <c r="BN404" s="394"/>
      <c r="BO404" s="394"/>
      <c r="BP404" s="394"/>
    </row>
    <row r="405">
      <c r="A405" s="266" t="s">
        <v>1688</v>
      </c>
      <c r="B405" s="48">
        <v>1700.0</v>
      </c>
      <c r="C405" s="266" t="s">
        <v>5379</v>
      </c>
      <c r="D405" s="174" t="s">
        <v>169</v>
      </c>
      <c r="E405" s="174" t="s">
        <v>5928</v>
      </c>
      <c r="F405" s="507">
        <v>244.0</v>
      </c>
      <c r="G405" s="507">
        <v>198.0</v>
      </c>
      <c r="H405" s="266">
        <v>5.0</v>
      </c>
      <c r="I405" s="266">
        <v>1.0</v>
      </c>
      <c r="J405" s="266">
        <v>2.0</v>
      </c>
      <c r="K405" s="266" t="s">
        <v>166</v>
      </c>
      <c r="L405" s="266" t="s">
        <v>166</v>
      </c>
      <c r="M405" s="266">
        <v>1.0</v>
      </c>
      <c r="N405" s="266" t="s">
        <v>166</v>
      </c>
      <c r="O405" s="266" t="s">
        <v>174</v>
      </c>
      <c r="P405" s="266" t="s">
        <v>166</v>
      </c>
      <c r="Q405" s="266" t="s">
        <v>166</v>
      </c>
      <c r="R405" s="266">
        <v>2.0</v>
      </c>
      <c r="S405" s="266" t="s">
        <v>3151</v>
      </c>
      <c r="T405" s="266">
        <v>96.0</v>
      </c>
      <c r="U405" s="266" t="s">
        <v>5411</v>
      </c>
      <c r="V405" s="266">
        <v>4.0</v>
      </c>
      <c r="W405" s="710" t="s">
        <v>5126</v>
      </c>
      <c r="X405" s="266">
        <v>2.0</v>
      </c>
      <c r="Y405" s="266">
        <v>2.0</v>
      </c>
      <c r="Z405" s="266" t="s">
        <v>166</v>
      </c>
      <c r="AA405" s="266">
        <v>2.0</v>
      </c>
      <c r="AB405" s="266" t="s">
        <v>166</v>
      </c>
      <c r="AC405" s="266" t="s">
        <v>166</v>
      </c>
      <c r="AD405" s="266" t="s">
        <v>166</v>
      </c>
      <c r="AE405" s="266" t="s">
        <v>166</v>
      </c>
      <c r="AF405" s="266">
        <f t="shared" si="1"/>
        <v>6</v>
      </c>
      <c r="AG405" s="266">
        <v>2.0</v>
      </c>
      <c r="AH405" s="266">
        <v>1.0</v>
      </c>
      <c r="AI405" s="507" t="s">
        <v>166</v>
      </c>
      <c r="AJ405" s="266">
        <v>1.0</v>
      </c>
      <c r="AK405" s="48" t="s">
        <v>4959</v>
      </c>
      <c r="AL405" s="48">
        <v>1.0</v>
      </c>
      <c r="AM405" s="705" t="s">
        <v>166</v>
      </c>
      <c r="AN405" s="705" t="s">
        <v>166</v>
      </c>
      <c r="AO405" s="705" t="s">
        <v>166</v>
      </c>
      <c r="AP405" s="507" t="s">
        <v>166</v>
      </c>
      <c r="AQ405" s="507" t="s">
        <v>166</v>
      </c>
      <c r="AR405" s="48" t="s">
        <v>5039</v>
      </c>
      <c r="AS405" s="266" t="s">
        <v>166</v>
      </c>
      <c r="AT405" s="266">
        <v>3.0</v>
      </c>
      <c r="AU405" s="266">
        <v>2.0</v>
      </c>
      <c r="AV405" s="266">
        <v>1.0</v>
      </c>
      <c r="AW405" s="266">
        <v>1.0</v>
      </c>
      <c r="AX405" s="266">
        <v>1.0</v>
      </c>
      <c r="AY405" s="266">
        <v>1.0</v>
      </c>
      <c r="AZ405" s="266">
        <v>3.0</v>
      </c>
      <c r="BA405" s="266" t="s">
        <v>166</v>
      </c>
      <c r="BB405" s="266" t="s">
        <v>166</v>
      </c>
      <c r="BC405" s="266" t="s">
        <v>166</v>
      </c>
      <c r="BD405" s="266" t="s">
        <v>166</v>
      </c>
      <c r="BE405" s="48" t="s">
        <v>170</v>
      </c>
      <c r="BF405" s="48" t="s">
        <v>5354</v>
      </c>
      <c r="BG405" s="48" t="s">
        <v>4963</v>
      </c>
      <c r="BH405" s="48">
        <v>7.0</v>
      </c>
      <c r="BI405" s="698" t="s">
        <v>170</v>
      </c>
      <c r="BJ405" s="698"/>
      <c r="BK405" s="394"/>
      <c r="BL405" s="394"/>
      <c r="BM405" s="394"/>
      <c r="BN405" s="394"/>
      <c r="BO405" s="394"/>
      <c r="BP405" s="394"/>
    </row>
    <row r="406">
      <c r="A406" s="266" t="s">
        <v>1688</v>
      </c>
      <c r="B406" s="48">
        <v>1700.0</v>
      </c>
      <c r="C406" s="266" t="s">
        <v>5379</v>
      </c>
      <c r="D406" s="174" t="s">
        <v>169</v>
      </c>
      <c r="E406" s="174" t="s">
        <v>5929</v>
      </c>
      <c r="F406" s="507">
        <v>244.0</v>
      </c>
      <c r="G406" s="507">
        <v>244.0</v>
      </c>
      <c r="H406" s="266">
        <v>4.0</v>
      </c>
      <c r="I406" s="266" t="s">
        <v>166</v>
      </c>
      <c r="J406" s="266">
        <v>1.0</v>
      </c>
      <c r="K406" s="266" t="s">
        <v>166</v>
      </c>
      <c r="L406" s="266" t="s">
        <v>166</v>
      </c>
      <c r="M406" s="266">
        <v>2.0</v>
      </c>
      <c r="N406" s="266" t="s">
        <v>166</v>
      </c>
      <c r="O406" s="266" t="s">
        <v>174</v>
      </c>
      <c r="P406" s="266" t="s">
        <v>166</v>
      </c>
      <c r="Q406" s="266" t="s">
        <v>166</v>
      </c>
      <c r="R406" s="266">
        <v>4.0</v>
      </c>
      <c r="S406" s="266" t="s">
        <v>3149</v>
      </c>
      <c r="T406" s="266">
        <v>128.0</v>
      </c>
      <c r="U406" s="266" t="s">
        <v>5286</v>
      </c>
      <c r="V406" s="266">
        <v>4.0</v>
      </c>
      <c r="W406" s="710" t="s">
        <v>5126</v>
      </c>
      <c r="X406" s="266">
        <v>2.0</v>
      </c>
      <c r="Y406" s="266">
        <v>3.0</v>
      </c>
      <c r="Z406" s="266">
        <v>1.0</v>
      </c>
      <c r="AA406" s="266" t="s">
        <v>166</v>
      </c>
      <c r="AB406" s="266" t="s">
        <v>166</v>
      </c>
      <c r="AC406" s="266" t="s">
        <v>166</v>
      </c>
      <c r="AD406" s="266" t="s">
        <v>166</v>
      </c>
      <c r="AE406" s="266" t="s">
        <v>166</v>
      </c>
      <c r="AF406" s="266">
        <f t="shared" si="1"/>
        <v>6</v>
      </c>
      <c r="AG406" s="266">
        <v>2.0</v>
      </c>
      <c r="AH406" s="266">
        <v>1.0</v>
      </c>
      <c r="AI406" s="507" t="s">
        <v>166</v>
      </c>
      <c r="AJ406" s="266">
        <v>1.0</v>
      </c>
      <c r="AK406" s="48" t="s">
        <v>4959</v>
      </c>
      <c r="AL406" s="48">
        <v>1.0</v>
      </c>
      <c r="AM406" s="705">
        <v>1.0</v>
      </c>
      <c r="AN406" s="705" t="s">
        <v>166</v>
      </c>
      <c r="AO406" s="705" t="s">
        <v>232</v>
      </c>
      <c r="AP406" s="507" t="s">
        <v>166</v>
      </c>
      <c r="AQ406" s="507" t="s">
        <v>166</v>
      </c>
      <c r="AR406" s="48" t="s">
        <v>5039</v>
      </c>
      <c r="AS406" s="266" t="s">
        <v>166</v>
      </c>
      <c r="AT406" s="266">
        <v>3.0</v>
      </c>
      <c r="AU406" s="266">
        <v>1.0</v>
      </c>
      <c r="AV406" s="266">
        <v>1.0</v>
      </c>
      <c r="AW406" s="266">
        <v>1.0</v>
      </c>
      <c r="AX406" s="266" t="s">
        <v>166</v>
      </c>
      <c r="AY406" s="266" t="s">
        <v>166</v>
      </c>
      <c r="AZ406" s="266">
        <v>6.0</v>
      </c>
      <c r="BA406" s="266" t="s">
        <v>166</v>
      </c>
      <c r="BB406" s="266" t="s">
        <v>166</v>
      </c>
      <c r="BC406" s="266" t="s">
        <v>174</v>
      </c>
      <c r="BD406" s="266" t="s">
        <v>166</v>
      </c>
      <c r="BE406" s="48" t="s">
        <v>170</v>
      </c>
      <c r="BF406" s="48" t="s">
        <v>5354</v>
      </c>
      <c r="BG406" s="48" t="s">
        <v>4963</v>
      </c>
      <c r="BH406" s="48">
        <v>7.0</v>
      </c>
      <c r="BI406" s="698" t="s">
        <v>5573</v>
      </c>
      <c r="BJ406" s="698"/>
      <c r="BK406" s="394"/>
      <c r="BL406" s="394"/>
      <c r="BM406" s="394"/>
      <c r="BN406" s="394"/>
      <c r="BO406" s="394"/>
      <c r="BP406" s="394"/>
    </row>
    <row r="407">
      <c r="A407" s="266" t="s">
        <v>1688</v>
      </c>
      <c r="B407" s="48">
        <v>1700.0</v>
      </c>
      <c r="C407" s="266" t="s">
        <v>5379</v>
      </c>
      <c r="D407" s="174" t="s">
        <v>169</v>
      </c>
      <c r="E407" s="174" t="s">
        <v>5930</v>
      </c>
      <c r="F407" s="507">
        <v>244.0</v>
      </c>
      <c r="G407" s="507">
        <v>244.0</v>
      </c>
      <c r="H407" s="266">
        <v>5.0</v>
      </c>
      <c r="I407" s="266" t="s">
        <v>166</v>
      </c>
      <c r="J407" s="266" t="s">
        <v>166</v>
      </c>
      <c r="K407" s="266" t="s">
        <v>166</v>
      </c>
      <c r="L407" s="266" t="s">
        <v>166</v>
      </c>
      <c r="M407" s="266">
        <v>2.0</v>
      </c>
      <c r="N407" s="266" t="s">
        <v>166</v>
      </c>
      <c r="O407" s="266" t="s">
        <v>174</v>
      </c>
      <c r="P407" s="266" t="s">
        <v>166</v>
      </c>
      <c r="Q407" s="266" t="s">
        <v>166</v>
      </c>
      <c r="R407" s="266">
        <v>4.0</v>
      </c>
      <c r="S407" s="266" t="s">
        <v>3151</v>
      </c>
      <c r="T407" s="266">
        <v>192.0</v>
      </c>
      <c r="U407" s="266" t="s">
        <v>5084</v>
      </c>
      <c r="V407" s="266">
        <v>4.0</v>
      </c>
      <c r="W407" s="710" t="s">
        <v>5576</v>
      </c>
      <c r="X407" s="266">
        <v>2.0</v>
      </c>
      <c r="Y407" s="266">
        <v>3.0</v>
      </c>
      <c r="Z407" s="266">
        <v>1.0</v>
      </c>
      <c r="AA407" s="266" t="s">
        <v>166</v>
      </c>
      <c r="AB407" s="266" t="s">
        <v>166</v>
      </c>
      <c r="AC407" s="266" t="s">
        <v>166</v>
      </c>
      <c r="AD407" s="266" t="s">
        <v>166</v>
      </c>
      <c r="AE407" s="266" t="s">
        <v>166</v>
      </c>
      <c r="AF407" s="266">
        <f t="shared" si="1"/>
        <v>6</v>
      </c>
      <c r="AG407" s="266">
        <v>2.0</v>
      </c>
      <c r="AH407" s="266">
        <v>1.0</v>
      </c>
      <c r="AI407" s="507" t="s">
        <v>166</v>
      </c>
      <c r="AJ407" s="266">
        <v>1.0</v>
      </c>
      <c r="AK407" s="48" t="s">
        <v>5043</v>
      </c>
      <c r="AL407" s="48">
        <v>2.5</v>
      </c>
      <c r="AM407" s="705">
        <v>1.0</v>
      </c>
      <c r="AN407" s="705" t="s">
        <v>166</v>
      </c>
      <c r="AO407" s="705" t="s">
        <v>232</v>
      </c>
      <c r="AP407" s="507" t="s">
        <v>166</v>
      </c>
      <c r="AQ407" s="507" t="s">
        <v>166</v>
      </c>
      <c r="AR407" s="48" t="s">
        <v>5039</v>
      </c>
      <c r="AS407" s="266" t="s">
        <v>166</v>
      </c>
      <c r="AT407" s="266">
        <v>3.0</v>
      </c>
      <c r="AU407" s="266">
        <v>1.0</v>
      </c>
      <c r="AV407" s="266">
        <v>1.0</v>
      </c>
      <c r="AW407" s="266">
        <v>1.0</v>
      </c>
      <c r="AX407" s="266" t="s">
        <v>166</v>
      </c>
      <c r="AY407" s="266" t="s">
        <v>166</v>
      </c>
      <c r="AZ407" s="266">
        <v>6.0</v>
      </c>
      <c r="BA407" s="266" t="s">
        <v>166</v>
      </c>
      <c r="BB407" s="266" t="s">
        <v>166</v>
      </c>
      <c r="BC407" s="266" t="s">
        <v>174</v>
      </c>
      <c r="BD407" s="266" t="s">
        <v>166</v>
      </c>
      <c r="BE407" s="48" t="s">
        <v>170</v>
      </c>
      <c r="BF407" s="48" t="s">
        <v>5354</v>
      </c>
      <c r="BG407" s="48" t="s">
        <v>4963</v>
      </c>
      <c r="BH407" s="48">
        <v>7.0</v>
      </c>
      <c r="BI407" s="698" t="s">
        <v>5573</v>
      </c>
      <c r="BJ407" s="698"/>
      <c r="BK407" s="394"/>
      <c r="BL407" s="394"/>
      <c r="BM407" s="394"/>
      <c r="BN407" s="394"/>
      <c r="BO407" s="394"/>
      <c r="BP407" s="394"/>
    </row>
    <row r="408">
      <c r="A408" s="266" t="s">
        <v>1688</v>
      </c>
      <c r="B408" s="48">
        <v>1700.0</v>
      </c>
      <c r="C408" s="266" t="s">
        <v>5379</v>
      </c>
      <c r="D408" s="174" t="s">
        <v>169</v>
      </c>
      <c r="E408" s="174" t="s">
        <v>5931</v>
      </c>
      <c r="F408" s="507">
        <v>244.0</v>
      </c>
      <c r="G408" s="507">
        <v>244.0</v>
      </c>
      <c r="H408" s="266">
        <v>5.0</v>
      </c>
      <c r="I408" s="266" t="s">
        <v>166</v>
      </c>
      <c r="J408" s="266" t="s">
        <v>166</v>
      </c>
      <c r="K408" s="266" t="s">
        <v>166</v>
      </c>
      <c r="L408" s="266" t="s">
        <v>166</v>
      </c>
      <c r="M408" s="266">
        <v>2.0</v>
      </c>
      <c r="N408" s="266" t="s">
        <v>166</v>
      </c>
      <c r="O408" s="266" t="s">
        <v>174</v>
      </c>
      <c r="P408" s="266" t="s">
        <v>166</v>
      </c>
      <c r="Q408" s="266" t="s">
        <v>166</v>
      </c>
      <c r="R408" s="266">
        <v>4.0</v>
      </c>
      <c r="S408" s="266" t="s">
        <v>3151</v>
      </c>
      <c r="T408" s="266">
        <v>192.0</v>
      </c>
      <c r="U408" s="266" t="s">
        <v>5084</v>
      </c>
      <c r="V408" s="266">
        <v>4.0</v>
      </c>
      <c r="W408" s="710" t="s">
        <v>5576</v>
      </c>
      <c r="X408" s="266">
        <v>2.0</v>
      </c>
      <c r="Y408" s="266">
        <v>3.0</v>
      </c>
      <c r="Z408" s="266">
        <v>1.0</v>
      </c>
      <c r="AA408" s="266" t="s">
        <v>166</v>
      </c>
      <c r="AB408" s="266" t="s">
        <v>166</v>
      </c>
      <c r="AC408" s="266" t="s">
        <v>166</v>
      </c>
      <c r="AD408" s="266" t="s">
        <v>166</v>
      </c>
      <c r="AE408" s="266" t="s">
        <v>166</v>
      </c>
      <c r="AF408" s="266">
        <f t="shared" si="1"/>
        <v>6</v>
      </c>
      <c r="AG408" s="266">
        <v>2.0</v>
      </c>
      <c r="AH408" s="266">
        <v>1.0</v>
      </c>
      <c r="AI408" s="507" t="s">
        <v>166</v>
      </c>
      <c r="AJ408" s="266">
        <v>1.0</v>
      </c>
      <c r="AK408" s="48" t="s">
        <v>5043</v>
      </c>
      <c r="AL408" s="48">
        <v>2.5</v>
      </c>
      <c r="AM408" s="705">
        <v>1.0</v>
      </c>
      <c r="AN408" s="48" t="s">
        <v>5044</v>
      </c>
      <c r="AO408" s="705" t="s">
        <v>5932</v>
      </c>
      <c r="AP408" s="266">
        <v>2400.0</v>
      </c>
      <c r="AQ408" s="507">
        <v>5.3</v>
      </c>
      <c r="AR408" s="48" t="s">
        <v>5039</v>
      </c>
      <c r="AS408" s="266" t="s">
        <v>166</v>
      </c>
      <c r="AT408" s="266">
        <v>3.0</v>
      </c>
      <c r="AU408" s="266">
        <v>1.0</v>
      </c>
      <c r="AV408" s="266">
        <v>1.0</v>
      </c>
      <c r="AW408" s="266">
        <v>1.0</v>
      </c>
      <c r="AX408" s="266" t="s">
        <v>166</v>
      </c>
      <c r="AY408" s="266" t="s">
        <v>166</v>
      </c>
      <c r="AZ408" s="266">
        <v>6.0</v>
      </c>
      <c r="BA408" s="266" t="s">
        <v>166</v>
      </c>
      <c r="BB408" s="266" t="s">
        <v>166</v>
      </c>
      <c r="BC408" s="266" t="s">
        <v>174</v>
      </c>
      <c r="BD408" s="266" t="s">
        <v>166</v>
      </c>
      <c r="BE408" s="48" t="s">
        <v>170</v>
      </c>
      <c r="BF408" s="48" t="s">
        <v>5354</v>
      </c>
      <c r="BG408" s="48" t="s">
        <v>4963</v>
      </c>
      <c r="BH408" s="48">
        <v>7.0</v>
      </c>
      <c r="BI408" s="698" t="s">
        <v>5573</v>
      </c>
      <c r="BJ408" s="698"/>
      <c r="BK408" s="394"/>
      <c r="BL408" s="394"/>
      <c r="BM408" s="394"/>
      <c r="BN408" s="394"/>
      <c r="BO408" s="394"/>
      <c r="BP408" s="394"/>
    </row>
    <row r="409">
      <c r="A409" s="266" t="s">
        <v>1688</v>
      </c>
      <c r="B409" s="48">
        <v>1700.0</v>
      </c>
      <c r="C409" s="266" t="s">
        <v>5379</v>
      </c>
      <c r="D409" s="174" t="s">
        <v>169</v>
      </c>
      <c r="E409" s="174" t="s">
        <v>5933</v>
      </c>
      <c r="F409" s="507">
        <v>244.0</v>
      </c>
      <c r="G409" s="507">
        <v>244.0</v>
      </c>
      <c r="H409" s="266">
        <v>4.0</v>
      </c>
      <c r="I409" s="266" t="s">
        <v>166</v>
      </c>
      <c r="J409" s="266">
        <v>1.0</v>
      </c>
      <c r="K409" s="266" t="s">
        <v>166</v>
      </c>
      <c r="L409" s="266" t="s">
        <v>166</v>
      </c>
      <c r="M409" s="266">
        <v>1.0</v>
      </c>
      <c r="N409" s="266" t="s">
        <v>166</v>
      </c>
      <c r="O409" s="266" t="s">
        <v>174</v>
      </c>
      <c r="P409" s="266" t="s">
        <v>166</v>
      </c>
      <c r="Q409" s="266" t="s">
        <v>166</v>
      </c>
      <c r="R409" s="266">
        <v>4.0</v>
      </c>
      <c r="S409" s="266" t="s">
        <v>3151</v>
      </c>
      <c r="T409" s="266">
        <v>192.0</v>
      </c>
      <c r="U409" s="266" t="s">
        <v>5084</v>
      </c>
      <c r="V409" s="266">
        <v>4.0</v>
      </c>
      <c r="W409" s="710" t="s">
        <v>5126</v>
      </c>
      <c r="X409" s="266">
        <v>4.0</v>
      </c>
      <c r="Y409" s="266">
        <v>3.0</v>
      </c>
      <c r="Z409" s="266">
        <v>1.0</v>
      </c>
      <c r="AA409" s="266" t="s">
        <v>166</v>
      </c>
      <c r="AB409" s="266" t="s">
        <v>166</v>
      </c>
      <c r="AC409" s="266" t="s">
        <v>166</v>
      </c>
      <c r="AD409" s="266" t="s">
        <v>166</v>
      </c>
      <c r="AE409" s="266" t="s">
        <v>166</v>
      </c>
      <c r="AF409" s="266">
        <f t="shared" si="1"/>
        <v>8</v>
      </c>
      <c r="AG409" s="266">
        <v>1.0</v>
      </c>
      <c r="AH409" s="266">
        <v>1.0</v>
      </c>
      <c r="AI409" s="507" t="s">
        <v>5049</v>
      </c>
      <c r="AJ409" s="266">
        <v>1.0</v>
      </c>
      <c r="AK409" s="48" t="s">
        <v>5043</v>
      </c>
      <c r="AL409" s="48">
        <v>2.5</v>
      </c>
      <c r="AM409" s="705">
        <v>1.0</v>
      </c>
      <c r="AN409" s="705" t="s">
        <v>166</v>
      </c>
      <c r="AO409" s="705" t="s">
        <v>232</v>
      </c>
      <c r="AP409" s="507" t="s">
        <v>166</v>
      </c>
      <c r="AQ409" s="507" t="s">
        <v>166</v>
      </c>
      <c r="AR409" s="48" t="s">
        <v>5039</v>
      </c>
      <c r="AS409" s="266" t="s">
        <v>166</v>
      </c>
      <c r="AT409" s="266">
        <v>3.0</v>
      </c>
      <c r="AU409" s="266">
        <v>1.0</v>
      </c>
      <c r="AV409" s="266">
        <v>1.0</v>
      </c>
      <c r="AW409" s="266">
        <v>1.0</v>
      </c>
      <c r="AX409" s="266" t="s">
        <v>166</v>
      </c>
      <c r="AY409" s="266" t="s">
        <v>166</v>
      </c>
      <c r="AZ409" s="266">
        <v>5.0</v>
      </c>
      <c r="BA409" s="266">
        <v>1.0</v>
      </c>
      <c r="BB409" s="266">
        <v>3.0</v>
      </c>
      <c r="BC409" s="266" t="s">
        <v>174</v>
      </c>
      <c r="BD409" s="266" t="s">
        <v>174</v>
      </c>
      <c r="BE409" s="48" t="s">
        <v>170</v>
      </c>
      <c r="BF409" s="48" t="s">
        <v>5384</v>
      </c>
      <c r="BG409" s="48" t="s">
        <v>4955</v>
      </c>
      <c r="BH409" s="48">
        <v>14.0</v>
      </c>
      <c r="BI409" s="698" t="s">
        <v>170</v>
      </c>
      <c r="BJ409" s="698"/>
      <c r="BK409" s="394"/>
      <c r="BL409" s="394"/>
      <c r="BM409" s="394"/>
      <c r="BN409" s="394"/>
      <c r="BO409" s="394"/>
      <c r="BP409" s="394"/>
    </row>
    <row r="410">
      <c r="A410" s="266" t="s">
        <v>1688</v>
      </c>
      <c r="B410" s="48">
        <v>1700.0</v>
      </c>
      <c r="C410" s="266" t="s">
        <v>5379</v>
      </c>
      <c r="D410" s="174" t="s">
        <v>169</v>
      </c>
      <c r="E410" s="174" t="s">
        <v>5934</v>
      </c>
      <c r="F410" s="507">
        <v>244.0</v>
      </c>
      <c r="G410" s="507">
        <v>244.0</v>
      </c>
      <c r="H410" s="266">
        <v>4.0</v>
      </c>
      <c r="I410" s="266" t="s">
        <v>166</v>
      </c>
      <c r="J410" s="266">
        <v>1.0</v>
      </c>
      <c r="K410" s="266" t="s">
        <v>166</v>
      </c>
      <c r="L410" s="266" t="s">
        <v>166</v>
      </c>
      <c r="M410" s="266">
        <v>1.0</v>
      </c>
      <c r="N410" s="266" t="s">
        <v>166</v>
      </c>
      <c r="O410" s="266" t="s">
        <v>174</v>
      </c>
      <c r="P410" s="266" t="s">
        <v>166</v>
      </c>
      <c r="Q410" s="266" t="s">
        <v>166</v>
      </c>
      <c r="R410" s="266">
        <v>4.0</v>
      </c>
      <c r="S410" s="266" t="s">
        <v>3151</v>
      </c>
      <c r="T410" s="266">
        <v>192.0</v>
      </c>
      <c r="U410" s="266" t="s">
        <v>5084</v>
      </c>
      <c r="V410" s="266">
        <v>4.0</v>
      </c>
      <c r="W410" s="710" t="s">
        <v>5126</v>
      </c>
      <c r="X410" s="266">
        <v>4.0</v>
      </c>
      <c r="Y410" s="266">
        <v>3.0</v>
      </c>
      <c r="Z410" s="266">
        <v>1.0</v>
      </c>
      <c r="AA410" s="266" t="s">
        <v>166</v>
      </c>
      <c r="AB410" s="266" t="s">
        <v>166</v>
      </c>
      <c r="AC410" s="266" t="s">
        <v>166</v>
      </c>
      <c r="AD410" s="266" t="s">
        <v>166</v>
      </c>
      <c r="AE410" s="266" t="s">
        <v>166</v>
      </c>
      <c r="AF410" s="266">
        <f t="shared" si="1"/>
        <v>8</v>
      </c>
      <c r="AG410" s="266">
        <v>1.0</v>
      </c>
      <c r="AH410" s="266">
        <v>1.0</v>
      </c>
      <c r="AI410" s="507" t="s">
        <v>5049</v>
      </c>
      <c r="AJ410" s="266">
        <v>1.0</v>
      </c>
      <c r="AK410" s="48" t="s">
        <v>5043</v>
      </c>
      <c r="AL410" s="48">
        <v>2.5</v>
      </c>
      <c r="AM410" s="705">
        <v>1.0</v>
      </c>
      <c r="AN410" s="48" t="s">
        <v>5044</v>
      </c>
      <c r="AO410" s="705" t="s">
        <v>5932</v>
      </c>
      <c r="AP410" s="266">
        <v>2400.0</v>
      </c>
      <c r="AQ410" s="507">
        <v>5.3</v>
      </c>
      <c r="AR410" s="48" t="s">
        <v>5039</v>
      </c>
      <c r="AS410" s="266" t="s">
        <v>166</v>
      </c>
      <c r="AT410" s="266">
        <v>3.0</v>
      </c>
      <c r="AU410" s="266">
        <v>1.0</v>
      </c>
      <c r="AV410" s="266">
        <v>1.0</v>
      </c>
      <c r="AW410" s="266">
        <v>1.0</v>
      </c>
      <c r="AX410" s="266" t="s">
        <v>166</v>
      </c>
      <c r="AY410" s="266" t="s">
        <v>166</v>
      </c>
      <c r="AZ410" s="266">
        <v>5.0</v>
      </c>
      <c r="BA410" s="266">
        <v>1.0</v>
      </c>
      <c r="BB410" s="266">
        <v>3.0</v>
      </c>
      <c r="BC410" s="266" t="s">
        <v>174</v>
      </c>
      <c r="BD410" s="266" t="s">
        <v>174</v>
      </c>
      <c r="BE410" s="48" t="s">
        <v>170</v>
      </c>
      <c r="BF410" s="48" t="s">
        <v>5384</v>
      </c>
      <c r="BG410" s="48" t="s">
        <v>4955</v>
      </c>
      <c r="BH410" s="48">
        <v>14.0</v>
      </c>
      <c r="BI410" s="698" t="s">
        <v>170</v>
      </c>
      <c r="BJ410" s="698"/>
      <c r="BK410" s="394"/>
      <c r="BL410" s="394"/>
      <c r="BM410" s="394"/>
      <c r="BN410" s="394"/>
      <c r="BO410" s="394"/>
      <c r="BP410" s="394"/>
    </row>
    <row r="411">
      <c r="A411" s="266" t="s">
        <v>1688</v>
      </c>
      <c r="B411" s="48">
        <v>1700.0</v>
      </c>
      <c r="C411" s="266" t="s">
        <v>5379</v>
      </c>
      <c r="D411" s="174" t="s">
        <v>169</v>
      </c>
      <c r="E411" s="174" t="s">
        <v>5935</v>
      </c>
      <c r="F411" s="507">
        <v>244.0</v>
      </c>
      <c r="G411" s="507">
        <v>244.0</v>
      </c>
      <c r="H411" s="266">
        <v>5.0</v>
      </c>
      <c r="I411" s="266" t="s">
        <v>166</v>
      </c>
      <c r="J411" s="266">
        <v>1.0</v>
      </c>
      <c r="K411" s="266" t="s">
        <v>166</v>
      </c>
      <c r="L411" s="266" t="s">
        <v>166</v>
      </c>
      <c r="M411" s="266">
        <v>1.0</v>
      </c>
      <c r="N411" s="266" t="s">
        <v>166</v>
      </c>
      <c r="O411" s="266" t="s">
        <v>174</v>
      </c>
      <c r="P411" s="266" t="s">
        <v>166</v>
      </c>
      <c r="Q411" s="266" t="s">
        <v>166</v>
      </c>
      <c r="R411" s="266">
        <v>4.0</v>
      </c>
      <c r="S411" s="266" t="s">
        <v>3151</v>
      </c>
      <c r="T411" s="266">
        <v>192.0</v>
      </c>
      <c r="U411" s="266" t="s">
        <v>5084</v>
      </c>
      <c r="V411" s="266">
        <v>4.0</v>
      </c>
      <c r="W411" s="710" t="s">
        <v>5576</v>
      </c>
      <c r="X411" s="266">
        <v>2.0</v>
      </c>
      <c r="Y411" s="266">
        <v>4.0</v>
      </c>
      <c r="Z411" s="266" t="s">
        <v>166</v>
      </c>
      <c r="AA411" s="266">
        <v>1.0</v>
      </c>
      <c r="AB411" s="266">
        <v>1.0</v>
      </c>
      <c r="AC411" s="266" t="s">
        <v>166</v>
      </c>
      <c r="AD411" s="266" t="s">
        <v>166</v>
      </c>
      <c r="AE411" s="266" t="s">
        <v>166</v>
      </c>
      <c r="AF411" s="266">
        <f t="shared" si="1"/>
        <v>8</v>
      </c>
      <c r="AG411" s="266">
        <v>2.0</v>
      </c>
      <c r="AH411" s="266">
        <v>1.0</v>
      </c>
      <c r="AI411" s="266" t="s">
        <v>5025</v>
      </c>
      <c r="AJ411" s="266">
        <v>1.0</v>
      </c>
      <c r="AK411" s="48" t="s">
        <v>5043</v>
      </c>
      <c r="AL411" s="48">
        <v>2.5</v>
      </c>
      <c r="AM411" s="705">
        <v>1.0</v>
      </c>
      <c r="AN411" s="48" t="s">
        <v>5044</v>
      </c>
      <c r="AO411" s="705" t="s">
        <v>5932</v>
      </c>
      <c r="AP411" s="266">
        <v>2400.0</v>
      </c>
      <c r="AQ411" s="266">
        <v>5.2</v>
      </c>
      <c r="AR411" s="48" t="s">
        <v>5039</v>
      </c>
      <c r="AS411" s="266" t="s">
        <v>166</v>
      </c>
      <c r="AT411" s="266">
        <v>3.0</v>
      </c>
      <c r="AU411" s="266">
        <v>1.0</v>
      </c>
      <c r="AV411" s="266">
        <v>1.0</v>
      </c>
      <c r="AW411" s="266">
        <v>1.0</v>
      </c>
      <c r="AX411" s="266" t="s">
        <v>166</v>
      </c>
      <c r="AY411" s="266" t="s">
        <v>166</v>
      </c>
      <c r="AZ411" s="266">
        <v>5.0</v>
      </c>
      <c r="BA411" s="266">
        <v>1.0</v>
      </c>
      <c r="BB411" s="266">
        <v>3.0</v>
      </c>
      <c r="BC411" s="266" t="s">
        <v>174</v>
      </c>
      <c r="BD411" s="266" t="s">
        <v>174</v>
      </c>
      <c r="BE411" s="48" t="s">
        <v>170</v>
      </c>
      <c r="BF411" s="48" t="s">
        <v>5800</v>
      </c>
      <c r="BG411" s="48" t="s">
        <v>4955</v>
      </c>
      <c r="BH411" s="48">
        <v>12.0</v>
      </c>
      <c r="BI411" s="698" t="s">
        <v>5573</v>
      </c>
      <c r="BJ411" s="698"/>
      <c r="BK411" s="394"/>
      <c r="BL411" s="394"/>
      <c r="BM411" s="394"/>
      <c r="BN411" s="394"/>
      <c r="BO411" s="394"/>
      <c r="BP411" s="394"/>
    </row>
    <row r="412">
      <c r="A412" s="266" t="s">
        <v>1688</v>
      </c>
      <c r="B412" s="48">
        <v>1700.0</v>
      </c>
      <c r="C412" s="266" t="s">
        <v>5379</v>
      </c>
      <c r="D412" s="174" t="s">
        <v>169</v>
      </c>
      <c r="E412" s="174" t="s">
        <v>5936</v>
      </c>
      <c r="F412" s="507">
        <v>244.0</v>
      </c>
      <c r="G412" s="507">
        <v>244.0</v>
      </c>
      <c r="H412" s="266">
        <v>5.0</v>
      </c>
      <c r="I412" s="266" t="s">
        <v>166</v>
      </c>
      <c r="J412" s="266" t="s">
        <v>166</v>
      </c>
      <c r="K412" s="266" t="s">
        <v>166</v>
      </c>
      <c r="L412" s="266" t="s">
        <v>166</v>
      </c>
      <c r="M412" s="266">
        <v>2.0</v>
      </c>
      <c r="N412" s="266" t="s">
        <v>166</v>
      </c>
      <c r="O412" s="266" t="s">
        <v>174</v>
      </c>
      <c r="P412" s="266" t="s">
        <v>166</v>
      </c>
      <c r="Q412" s="266" t="s">
        <v>166</v>
      </c>
      <c r="R412" s="266">
        <v>4.0</v>
      </c>
      <c r="S412" s="266" t="s">
        <v>3151</v>
      </c>
      <c r="T412" s="266">
        <v>192.0</v>
      </c>
      <c r="U412" s="266" t="s">
        <v>5084</v>
      </c>
      <c r="V412" s="266">
        <v>4.0</v>
      </c>
      <c r="W412" s="710" t="s">
        <v>5576</v>
      </c>
      <c r="X412" s="266">
        <v>2.0</v>
      </c>
      <c r="Y412" s="266">
        <v>3.0</v>
      </c>
      <c r="Z412" s="266">
        <v>1.0</v>
      </c>
      <c r="AA412" s="266" t="s">
        <v>166</v>
      </c>
      <c r="AB412" s="266" t="s">
        <v>166</v>
      </c>
      <c r="AC412" s="266" t="s">
        <v>166</v>
      </c>
      <c r="AD412" s="266" t="s">
        <v>166</v>
      </c>
      <c r="AE412" s="266" t="s">
        <v>166</v>
      </c>
      <c r="AF412" s="266">
        <f t="shared" si="1"/>
        <v>6</v>
      </c>
      <c r="AG412" s="266">
        <v>2.0</v>
      </c>
      <c r="AH412" s="266">
        <v>1.0</v>
      </c>
      <c r="AI412" s="507" t="s">
        <v>5049</v>
      </c>
      <c r="AJ412" s="266">
        <v>1.0</v>
      </c>
      <c r="AK412" s="48" t="s">
        <v>5043</v>
      </c>
      <c r="AL412" s="48">
        <v>2.5</v>
      </c>
      <c r="AM412" s="705">
        <v>1.0</v>
      </c>
      <c r="AN412" s="705" t="s">
        <v>166</v>
      </c>
      <c r="AO412" s="705" t="s">
        <v>232</v>
      </c>
      <c r="AP412" s="507" t="s">
        <v>166</v>
      </c>
      <c r="AQ412" s="507" t="s">
        <v>166</v>
      </c>
      <c r="AR412" s="48" t="s">
        <v>5039</v>
      </c>
      <c r="AS412" s="266" t="s">
        <v>166</v>
      </c>
      <c r="AT412" s="266">
        <v>3.0</v>
      </c>
      <c r="AU412" s="266">
        <v>1.0</v>
      </c>
      <c r="AV412" s="266">
        <v>1.0</v>
      </c>
      <c r="AW412" s="266">
        <v>1.0</v>
      </c>
      <c r="AX412" s="266" t="s">
        <v>166</v>
      </c>
      <c r="AY412" s="266" t="s">
        <v>166</v>
      </c>
      <c r="AZ412" s="266">
        <v>6.0</v>
      </c>
      <c r="BA412" s="266">
        <v>1.0</v>
      </c>
      <c r="BB412" s="266">
        <v>3.0</v>
      </c>
      <c r="BC412" s="266" t="s">
        <v>174</v>
      </c>
      <c r="BD412" s="266" t="s">
        <v>174</v>
      </c>
      <c r="BE412" s="48" t="s">
        <v>170</v>
      </c>
      <c r="BF412" s="48" t="s">
        <v>5354</v>
      </c>
      <c r="BG412" s="48" t="s">
        <v>4963</v>
      </c>
      <c r="BH412" s="48">
        <v>7.0</v>
      </c>
      <c r="BI412" s="698" t="s">
        <v>5573</v>
      </c>
      <c r="BJ412" s="698"/>
      <c r="BK412" s="394"/>
      <c r="BL412" s="394"/>
      <c r="BM412" s="394"/>
      <c r="BN412" s="394"/>
      <c r="BO412" s="394"/>
      <c r="BP412" s="394"/>
    </row>
    <row r="413">
      <c r="A413" s="266" t="s">
        <v>1688</v>
      </c>
      <c r="B413" s="48">
        <v>1700.0</v>
      </c>
      <c r="C413" s="266" t="s">
        <v>5379</v>
      </c>
      <c r="D413" s="174" t="s">
        <v>169</v>
      </c>
      <c r="E413" s="174" t="s">
        <v>5937</v>
      </c>
      <c r="F413" s="507">
        <v>244.0</v>
      </c>
      <c r="G413" s="507">
        <v>244.0</v>
      </c>
      <c r="H413" s="266">
        <v>4.0</v>
      </c>
      <c r="I413" s="266" t="s">
        <v>166</v>
      </c>
      <c r="J413" s="266">
        <v>1.0</v>
      </c>
      <c r="K413" s="266" t="s">
        <v>166</v>
      </c>
      <c r="L413" s="266" t="s">
        <v>166</v>
      </c>
      <c r="M413" s="266">
        <v>2.0</v>
      </c>
      <c r="N413" s="266" t="s">
        <v>166</v>
      </c>
      <c r="O413" s="266" t="s">
        <v>174</v>
      </c>
      <c r="P413" s="266" t="s">
        <v>166</v>
      </c>
      <c r="Q413" s="266" t="s">
        <v>166</v>
      </c>
      <c r="R413" s="266">
        <v>4.0</v>
      </c>
      <c r="S413" s="266" t="s">
        <v>3149</v>
      </c>
      <c r="T413" s="266">
        <v>128.0</v>
      </c>
      <c r="U413" s="266" t="s">
        <v>5286</v>
      </c>
      <c r="V413" s="266">
        <v>4.0</v>
      </c>
      <c r="W413" s="710" t="s">
        <v>5126</v>
      </c>
      <c r="X413" s="266">
        <v>2.0</v>
      </c>
      <c r="Y413" s="266">
        <v>3.0</v>
      </c>
      <c r="Z413" s="266">
        <v>1.0</v>
      </c>
      <c r="AA413" s="266" t="s">
        <v>166</v>
      </c>
      <c r="AB413" s="266" t="s">
        <v>166</v>
      </c>
      <c r="AC413" s="266" t="s">
        <v>166</v>
      </c>
      <c r="AD413" s="266" t="s">
        <v>166</v>
      </c>
      <c r="AE413" s="266" t="s">
        <v>166</v>
      </c>
      <c r="AF413" s="266">
        <f t="shared" si="1"/>
        <v>6</v>
      </c>
      <c r="AG413" s="266">
        <v>2.0</v>
      </c>
      <c r="AH413" s="266">
        <v>1.0</v>
      </c>
      <c r="AI413" s="507" t="s">
        <v>5049</v>
      </c>
      <c r="AJ413" s="266">
        <v>1.0</v>
      </c>
      <c r="AK413" s="48" t="s">
        <v>5043</v>
      </c>
      <c r="AL413" s="48">
        <v>2.5</v>
      </c>
      <c r="AM413" s="705">
        <v>1.0</v>
      </c>
      <c r="AN413" s="705" t="s">
        <v>166</v>
      </c>
      <c r="AO413" s="705" t="s">
        <v>232</v>
      </c>
      <c r="AP413" s="507" t="s">
        <v>166</v>
      </c>
      <c r="AQ413" s="507" t="s">
        <v>166</v>
      </c>
      <c r="AR413" s="48" t="s">
        <v>5039</v>
      </c>
      <c r="AS413" s="266" t="s">
        <v>166</v>
      </c>
      <c r="AT413" s="266">
        <v>3.0</v>
      </c>
      <c r="AU413" s="266">
        <v>1.0</v>
      </c>
      <c r="AV413" s="266">
        <v>1.0</v>
      </c>
      <c r="AW413" s="266">
        <v>1.0</v>
      </c>
      <c r="AX413" s="266" t="s">
        <v>166</v>
      </c>
      <c r="AY413" s="266" t="s">
        <v>166</v>
      </c>
      <c r="AZ413" s="266">
        <v>6.0</v>
      </c>
      <c r="BA413" s="266">
        <v>1.0</v>
      </c>
      <c r="BB413" s="266">
        <v>3.0</v>
      </c>
      <c r="BC413" s="266" t="s">
        <v>174</v>
      </c>
      <c r="BD413" s="266" t="s">
        <v>174</v>
      </c>
      <c r="BE413" s="48" t="s">
        <v>170</v>
      </c>
      <c r="BF413" s="48" t="s">
        <v>5354</v>
      </c>
      <c r="BG413" s="48" t="s">
        <v>4963</v>
      </c>
      <c r="BH413" s="48">
        <v>7.0</v>
      </c>
      <c r="BI413" s="698" t="s">
        <v>5573</v>
      </c>
      <c r="BJ413" s="698"/>
      <c r="BK413" s="394"/>
      <c r="BL413" s="394"/>
      <c r="BM413" s="394"/>
      <c r="BN413" s="394"/>
      <c r="BO413" s="394"/>
      <c r="BP413" s="394"/>
    </row>
    <row r="414">
      <c r="A414" s="266" t="s">
        <v>1688</v>
      </c>
      <c r="B414" s="48">
        <v>1700.0</v>
      </c>
      <c r="C414" s="266" t="s">
        <v>5379</v>
      </c>
      <c r="D414" s="174" t="s">
        <v>169</v>
      </c>
      <c r="E414" s="174" t="s">
        <v>5938</v>
      </c>
      <c r="F414" s="507">
        <v>244.0</v>
      </c>
      <c r="G414" s="507">
        <v>244.0</v>
      </c>
      <c r="H414" s="266">
        <v>4.0</v>
      </c>
      <c r="I414" s="266" t="s">
        <v>166</v>
      </c>
      <c r="J414" s="266">
        <v>1.0</v>
      </c>
      <c r="K414" s="266" t="s">
        <v>166</v>
      </c>
      <c r="L414" s="266" t="s">
        <v>166</v>
      </c>
      <c r="M414" s="266">
        <v>2.0</v>
      </c>
      <c r="N414" s="266" t="s">
        <v>166</v>
      </c>
      <c r="O414" s="266" t="s">
        <v>174</v>
      </c>
      <c r="P414" s="266" t="s">
        <v>166</v>
      </c>
      <c r="Q414" s="266" t="s">
        <v>166</v>
      </c>
      <c r="R414" s="266">
        <v>4.0</v>
      </c>
      <c r="S414" s="266" t="s">
        <v>3149</v>
      </c>
      <c r="T414" s="266">
        <v>128.0</v>
      </c>
      <c r="U414" s="266" t="s">
        <v>5286</v>
      </c>
      <c r="V414" s="266">
        <v>4.0</v>
      </c>
      <c r="W414" s="710" t="s">
        <v>5126</v>
      </c>
      <c r="X414" s="266">
        <v>2.0</v>
      </c>
      <c r="Y414" s="266">
        <v>3.0</v>
      </c>
      <c r="Z414" s="266">
        <v>1.0</v>
      </c>
      <c r="AA414" s="266" t="s">
        <v>166</v>
      </c>
      <c r="AB414" s="266" t="s">
        <v>166</v>
      </c>
      <c r="AC414" s="266" t="s">
        <v>166</v>
      </c>
      <c r="AD414" s="266" t="s">
        <v>166</v>
      </c>
      <c r="AE414" s="266" t="s">
        <v>166</v>
      </c>
      <c r="AF414" s="266">
        <f t="shared" si="1"/>
        <v>6</v>
      </c>
      <c r="AG414" s="266">
        <v>2.0</v>
      </c>
      <c r="AH414" s="266">
        <v>1.0</v>
      </c>
      <c r="AI414" s="507" t="s">
        <v>5049</v>
      </c>
      <c r="AJ414" s="266">
        <v>1.0</v>
      </c>
      <c r="AK414" s="48" t="s">
        <v>5043</v>
      </c>
      <c r="AL414" s="48">
        <v>2.5</v>
      </c>
      <c r="AM414" s="705">
        <v>1.0</v>
      </c>
      <c r="AN414" s="48" t="s">
        <v>5044</v>
      </c>
      <c r="AO414" s="705" t="s">
        <v>5932</v>
      </c>
      <c r="AP414" s="266">
        <v>2400.0</v>
      </c>
      <c r="AQ414" s="266">
        <v>5.2</v>
      </c>
      <c r="AR414" s="48" t="s">
        <v>5039</v>
      </c>
      <c r="AS414" s="266" t="s">
        <v>166</v>
      </c>
      <c r="AT414" s="266">
        <v>3.0</v>
      </c>
      <c r="AU414" s="266">
        <v>1.0</v>
      </c>
      <c r="AV414" s="266">
        <v>1.0</v>
      </c>
      <c r="AW414" s="266">
        <v>1.0</v>
      </c>
      <c r="AX414" s="266" t="s">
        <v>166</v>
      </c>
      <c r="AY414" s="266" t="s">
        <v>166</v>
      </c>
      <c r="AZ414" s="266">
        <v>6.0</v>
      </c>
      <c r="BA414" s="266">
        <v>1.0</v>
      </c>
      <c r="BB414" s="266">
        <v>3.0</v>
      </c>
      <c r="BC414" s="266" t="s">
        <v>174</v>
      </c>
      <c r="BD414" s="266" t="s">
        <v>174</v>
      </c>
      <c r="BE414" s="48" t="s">
        <v>170</v>
      </c>
      <c r="BF414" s="48" t="s">
        <v>5354</v>
      </c>
      <c r="BG414" s="48" t="s">
        <v>4963</v>
      </c>
      <c r="BH414" s="48">
        <v>7.0</v>
      </c>
      <c r="BI414" s="698" t="s">
        <v>5573</v>
      </c>
      <c r="BJ414" s="698"/>
      <c r="BK414" s="394"/>
      <c r="BL414" s="394"/>
      <c r="BM414" s="394"/>
      <c r="BN414" s="394"/>
      <c r="BO414" s="394"/>
      <c r="BP414" s="394"/>
    </row>
    <row r="415">
      <c r="A415" s="266" t="s">
        <v>1688</v>
      </c>
      <c r="B415" s="48">
        <v>1700.0</v>
      </c>
      <c r="C415" s="266" t="s">
        <v>5379</v>
      </c>
      <c r="D415" s="174" t="s">
        <v>169</v>
      </c>
      <c r="E415" s="174" t="s">
        <v>5939</v>
      </c>
      <c r="F415" s="507">
        <v>244.0</v>
      </c>
      <c r="G415" s="507">
        <v>244.0</v>
      </c>
      <c r="H415" s="266">
        <v>5.0</v>
      </c>
      <c r="I415" s="266" t="s">
        <v>166</v>
      </c>
      <c r="J415" s="266">
        <v>1.0</v>
      </c>
      <c r="K415" s="266" t="s">
        <v>166</v>
      </c>
      <c r="L415" s="266" t="s">
        <v>166</v>
      </c>
      <c r="M415" s="266">
        <v>1.0</v>
      </c>
      <c r="N415" s="266" t="s">
        <v>166</v>
      </c>
      <c r="O415" s="266" t="s">
        <v>174</v>
      </c>
      <c r="P415" s="266" t="s">
        <v>166</v>
      </c>
      <c r="Q415" s="266" t="s">
        <v>166</v>
      </c>
      <c r="R415" s="266">
        <v>4.0</v>
      </c>
      <c r="S415" s="266" t="s">
        <v>3151</v>
      </c>
      <c r="T415" s="266">
        <v>192.0</v>
      </c>
      <c r="U415" s="266" t="s">
        <v>5084</v>
      </c>
      <c r="V415" s="266">
        <v>4.0</v>
      </c>
      <c r="W415" s="710" t="s">
        <v>5576</v>
      </c>
      <c r="X415" s="266">
        <v>2.0</v>
      </c>
      <c r="Y415" s="266">
        <v>4.0</v>
      </c>
      <c r="Z415" s="266" t="s">
        <v>166</v>
      </c>
      <c r="AA415" s="266">
        <v>1.0</v>
      </c>
      <c r="AB415" s="266">
        <v>1.0</v>
      </c>
      <c r="AC415" s="266" t="s">
        <v>166</v>
      </c>
      <c r="AD415" s="266" t="s">
        <v>166</v>
      </c>
      <c r="AE415" s="266" t="s">
        <v>166</v>
      </c>
      <c r="AF415" s="266">
        <f t="shared" si="1"/>
        <v>8</v>
      </c>
      <c r="AG415" s="266">
        <v>2.0</v>
      </c>
      <c r="AH415" s="266">
        <v>1.0</v>
      </c>
      <c r="AI415" s="266" t="s">
        <v>5025</v>
      </c>
      <c r="AJ415" s="266">
        <v>1.0</v>
      </c>
      <c r="AK415" s="48" t="s">
        <v>5043</v>
      </c>
      <c r="AL415" s="48">
        <v>2.5</v>
      </c>
      <c r="AM415" s="705">
        <v>1.0</v>
      </c>
      <c r="AN415" s="48" t="s">
        <v>5044</v>
      </c>
      <c r="AO415" s="705" t="s">
        <v>5932</v>
      </c>
      <c r="AP415" s="266">
        <v>2400.0</v>
      </c>
      <c r="AQ415" s="507">
        <v>5.3</v>
      </c>
      <c r="AR415" s="48" t="s">
        <v>5039</v>
      </c>
      <c r="AS415" s="266" t="s">
        <v>166</v>
      </c>
      <c r="AT415" s="266">
        <v>3.0</v>
      </c>
      <c r="AU415" s="266">
        <v>1.0</v>
      </c>
      <c r="AV415" s="266">
        <v>1.0</v>
      </c>
      <c r="AW415" s="266">
        <v>1.0</v>
      </c>
      <c r="AX415" s="266" t="s">
        <v>166</v>
      </c>
      <c r="AY415" s="266" t="s">
        <v>166</v>
      </c>
      <c r="AZ415" s="266">
        <v>5.0</v>
      </c>
      <c r="BA415" s="266">
        <v>1.0</v>
      </c>
      <c r="BB415" s="266">
        <v>3.0</v>
      </c>
      <c r="BC415" s="266" t="s">
        <v>174</v>
      </c>
      <c r="BD415" s="266" t="s">
        <v>174</v>
      </c>
      <c r="BE415" s="48" t="s">
        <v>170</v>
      </c>
      <c r="BF415" s="48" t="s">
        <v>5800</v>
      </c>
      <c r="BG415" s="48" t="s">
        <v>4955</v>
      </c>
      <c r="BH415" s="48">
        <v>12.0</v>
      </c>
      <c r="BI415" s="698" t="s">
        <v>5573</v>
      </c>
      <c r="BJ415" s="698"/>
      <c r="BK415" s="394"/>
      <c r="BL415" s="394"/>
      <c r="BM415" s="394"/>
      <c r="BN415" s="394"/>
      <c r="BO415" s="394"/>
      <c r="BP415" s="394"/>
    </row>
    <row r="416">
      <c r="A416" s="266" t="s">
        <v>1688</v>
      </c>
      <c r="B416" s="48">
        <v>1700.0</v>
      </c>
      <c r="C416" s="266" t="s">
        <v>5379</v>
      </c>
      <c r="D416" s="452" t="str">
        <f t="shared" ref="D416:D432" si="56">HYPERLINK("https://www.asus.com/","Asus")</f>
        <v>Asus</v>
      </c>
      <c r="E416" s="174" t="s">
        <v>5940</v>
      </c>
      <c r="F416" s="507">
        <v>244.0</v>
      </c>
      <c r="G416" s="507">
        <v>211.0</v>
      </c>
      <c r="H416" s="266">
        <v>4.0</v>
      </c>
      <c r="I416" s="266" t="s">
        <v>166</v>
      </c>
      <c r="J416" s="266">
        <v>2.0</v>
      </c>
      <c r="K416" s="266" t="s">
        <v>166</v>
      </c>
      <c r="L416" s="266" t="s">
        <v>166</v>
      </c>
      <c r="M416" s="266">
        <v>1.0</v>
      </c>
      <c r="N416" s="266" t="s">
        <v>166</v>
      </c>
      <c r="O416" s="266" t="s">
        <v>174</v>
      </c>
      <c r="P416" s="266" t="s">
        <v>166</v>
      </c>
      <c r="Q416" s="266" t="s">
        <v>166</v>
      </c>
      <c r="R416" s="266">
        <v>2.0</v>
      </c>
      <c r="S416" s="266" t="s">
        <v>3151</v>
      </c>
      <c r="T416" s="266">
        <v>96.0</v>
      </c>
      <c r="U416" s="266" t="s">
        <v>5119</v>
      </c>
      <c r="V416" s="266">
        <v>4.0</v>
      </c>
      <c r="W416" s="710" t="s">
        <v>5126</v>
      </c>
      <c r="X416" s="266">
        <v>2.0</v>
      </c>
      <c r="Y416" s="266">
        <v>4.0</v>
      </c>
      <c r="Z416" s="266" t="s">
        <v>166</v>
      </c>
      <c r="AA416" s="266" t="s">
        <v>166</v>
      </c>
      <c r="AB416" s="266" t="s">
        <v>166</v>
      </c>
      <c r="AC416" s="266" t="s">
        <v>166</v>
      </c>
      <c r="AD416" s="266" t="s">
        <v>166</v>
      </c>
      <c r="AE416" s="266" t="s">
        <v>166</v>
      </c>
      <c r="AF416" s="266">
        <f t="shared" si="1"/>
        <v>6</v>
      </c>
      <c r="AG416" s="266">
        <v>2.0</v>
      </c>
      <c r="AH416" s="266">
        <v>1.0</v>
      </c>
      <c r="AI416" s="507" t="s">
        <v>166</v>
      </c>
      <c r="AJ416" s="266">
        <v>1.0</v>
      </c>
      <c r="AK416" s="48" t="s">
        <v>5043</v>
      </c>
      <c r="AL416" s="48">
        <v>2.5</v>
      </c>
      <c r="AM416" s="705" t="s">
        <v>166</v>
      </c>
      <c r="AN416" s="705" t="s">
        <v>166</v>
      </c>
      <c r="AO416" s="705" t="s">
        <v>166</v>
      </c>
      <c r="AP416" s="507" t="s">
        <v>166</v>
      </c>
      <c r="AQ416" s="507" t="s">
        <v>166</v>
      </c>
      <c r="AR416" s="48" t="s">
        <v>5039</v>
      </c>
      <c r="AS416" s="266" t="s">
        <v>166</v>
      </c>
      <c r="AT416" s="266">
        <v>3.0</v>
      </c>
      <c r="AU416" s="266">
        <v>1.0</v>
      </c>
      <c r="AV416" s="266" t="s">
        <v>166</v>
      </c>
      <c r="AW416" s="266">
        <v>1.0</v>
      </c>
      <c r="AX416" s="266" t="s">
        <v>166</v>
      </c>
      <c r="AY416" s="266">
        <v>1.0</v>
      </c>
      <c r="AZ416" s="266">
        <v>2.0</v>
      </c>
      <c r="BA416" s="266" t="s">
        <v>166</v>
      </c>
      <c r="BB416" s="266" t="s">
        <v>166</v>
      </c>
      <c r="BC416" s="266" t="s">
        <v>166</v>
      </c>
      <c r="BD416" s="266" t="s">
        <v>166</v>
      </c>
      <c r="BE416" s="48" t="s">
        <v>170</v>
      </c>
      <c r="BF416" s="48" t="s">
        <v>170</v>
      </c>
      <c r="BG416" s="48" t="s">
        <v>170</v>
      </c>
      <c r="BH416" s="48" t="s">
        <v>170</v>
      </c>
      <c r="BI416" s="698" t="s">
        <v>170</v>
      </c>
      <c r="BJ416" s="698"/>
      <c r="BK416" s="394"/>
      <c r="BL416" s="394"/>
      <c r="BM416" s="394"/>
      <c r="BN416" s="394"/>
      <c r="BO416" s="394"/>
      <c r="BP416" s="394"/>
    </row>
    <row r="417">
      <c r="A417" s="266" t="s">
        <v>1688</v>
      </c>
      <c r="B417" s="48">
        <v>1700.0</v>
      </c>
      <c r="C417" s="266" t="s">
        <v>5379</v>
      </c>
      <c r="D417" s="452" t="str">
        <f t="shared" si="56"/>
        <v>Asus</v>
      </c>
      <c r="E417" s="174" t="s">
        <v>5941</v>
      </c>
      <c r="F417" s="507">
        <v>244.0</v>
      </c>
      <c r="G417" s="507">
        <v>211.0</v>
      </c>
      <c r="H417" s="266">
        <v>4.0</v>
      </c>
      <c r="I417" s="266" t="s">
        <v>166</v>
      </c>
      <c r="J417" s="266">
        <v>2.0</v>
      </c>
      <c r="K417" s="266" t="s">
        <v>166</v>
      </c>
      <c r="L417" s="266" t="s">
        <v>166</v>
      </c>
      <c r="M417" s="266">
        <v>1.0</v>
      </c>
      <c r="N417" s="266" t="s">
        <v>166</v>
      </c>
      <c r="O417" s="266" t="s">
        <v>174</v>
      </c>
      <c r="P417" s="266" t="s">
        <v>166</v>
      </c>
      <c r="Q417" s="266" t="s">
        <v>166</v>
      </c>
      <c r="R417" s="266">
        <v>2.0</v>
      </c>
      <c r="S417" s="266" t="s">
        <v>3149</v>
      </c>
      <c r="T417" s="266">
        <v>64.0</v>
      </c>
      <c r="U417" s="266" t="s">
        <v>5286</v>
      </c>
      <c r="V417" s="266">
        <v>4.0</v>
      </c>
      <c r="W417" s="710" t="s">
        <v>5126</v>
      </c>
      <c r="X417" s="266">
        <v>2.0</v>
      </c>
      <c r="Y417" s="266">
        <v>4.0</v>
      </c>
      <c r="Z417" s="266" t="s">
        <v>166</v>
      </c>
      <c r="AA417" s="266" t="s">
        <v>166</v>
      </c>
      <c r="AB417" s="266" t="s">
        <v>166</v>
      </c>
      <c r="AC417" s="266" t="s">
        <v>166</v>
      </c>
      <c r="AD417" s="266" t="s">
        <v>166</v>
      </c>
      <c r="AE417" s="266" t="s">
        <v>166</v>
      </c>
      <c r="AF417" s="266">
        <f t="shared" si="1"/>
        <v>6</v>
      </c>
      <c r="AG417" s="266">
        <v>2.0</v>
      </c>
      <c r="AH417" s="266">
        <v>1.0</v>
      </c>
      <c r="AI417" s="507" t="s">
        <v>166</v>
      </c>
      <c r="AJ417" s="266">
        <v>1.0</v>
      </c>
      <c r="AK417" s="48" t="s">
        <v>5043</v>
      </c>
      <c r="AL417" s="48">
        <v>2.5</v>
      </c>
      <c r="AM417" s="705" t="s">
        <v>166</v>
      </c>
      <c r="AN417" s="705" t="s">
        <v>166</v>
      </c>
      <c r="AO417" s="705" t="s">
        <v>166</v>
      </c>
      <c r="AP417" s="507" t="s">
        <v>166</v>
      </c>
      <c r="AQ417" s="507" t="s">
        <v>166</v>
      </c>
      <c r="AR417" s="48" t="s">
        <v>5039</v>
      </c>
      <c r="AS417" s="266" t="s">
        <v>166</v>
      </c>
      <c r="AT417" s="266">
        <v>3.0</v>
      </c>
      <c r="AU417" s="266">
        <v>1.0</v>
      </c>
      <c r="AV417" s="266" t="s">
        <v>166</v>
      </c>
      <c r="AW417" s="266">
        <v>1.0</v>
      </c>
      <c r="AX417" s="266" t="s">
        <v>166</v>
      </c>
      <c r="AY417" s="266">
        <v>1.0</v>
      </c>
      <c r="AZ417" s="266">
        <v>2.0</v>
      </c>
      <c r="BA417" s="266" t="s">
        <v>166</v>
      </c>
      <c r="BB417" s="266" t="s">
        <v>166</v>
      </c>
      <c r="BC417" s="266" t="s">
        <v>166</v>
      </c>
      <c r="BD417" s="266" t="s">
        <v>166</v>
      </c>
      <c r="BE417" s="48" t="s">
        <v>170</v>
      </c>
      <c r="BF417" s="48" t="s">
        <v>170</v>
      </c>
      <c r="BG417" s="48" t="s">
        <v>170</v>
      </c>
      <c r="BH417" s="48" t="s">
        <v>170</v>
      </c>
      <c r="BI417" s="698" t="s">
        <v>170</v>
      </c>
      <c r="BJ417" s="698"/>
      <c r="BK417" s="394"/>
      <c r="BL417" s="394"/>
      <c r="BM417" s="394"/>
      <c r="BN417" s="394"/>
      <c r="BO417" s="394"/>
      <c r="BP417" s="394"/>
    </row>
    <row r="418">
      <c r="A418" s="266" t="s">
        <v>1688</v>
      </c>
      <c r="B418" s="48">
        <v>1700.0</v>
      </c>
      <c r="C418" s="266" t="s">
        <v>5379</v>
      </c>
      <c r="D418" s="452" t="str">
        <f t="shared" si="56"/>
        <v>Asus</v>
      </c>
      <c r="E418" s="174" t="s">
        <v>5942</v>
      </c>
      <c r="F418" s="507">
        <v>244.0</v>
      </c>
      <c r="G418" s="507">
        <v>244.0</v>
      </c>
      <c r="H418" s="266">
        <v>4.0</v>
      </c>
      <c r="I418" s="266" t="s">
        <v>166</v>
      </c>
      <c r="J418" s="266" t="s">
        <v>166</v>
      </c>
      <c r="K418" s="266" t="s">
        <v>166</v>
      </c>
      <c r="L418" s="266" t="s">
        <v>166</v>
      </c>
      <c r="M418" s="266">
        <v>3.0</v>
      </c>
      <c r="N418" s="266" t="s">
        <v>166</v>
      </c>
      <c r="O418" s="266" t="s">
        <v>174</v>
      </c>
      <c r="P418" s="266" t="s">
        <v>166</v>
      </c>
      <c r="Q418" s="266" t="s">
        <v>166</v>
      </c>
      <c r="R418" s="266">
        <v>4.0</v>
      </c>
      <c r="S418" s="266" t="s">
        <v>3151</v>
      </c>
      <c r="T418" s="266">
        <v>192.0</v>
      </c>
      <c r="U418" s="266" t="s">
        <v>5084</v>
      </c>
      <c r="V418" s="266">
        <v>4.0</v>
      </c>
      <c r="W418" s="710" t="s">
        <v>5126</v>
      </c>
      <c r="X418" s="266">
        <v>4.0</v>
      </c>
      <c r="Y418" s="266" t="s">
        <v>166</v>
      </c>
      <c r="Z418" s="266" t="s">
        <v>166</v>
      </c>
      <c r="AA418" s="266">
        <v>2.0</v>
      </c>
      <c r="AB418" s="266" t="s">
        <v>166</v>
      </c>
      <c r="AC418" s="266" t="s">
        <v>166</v>
      </c>
      <c r="AD418" s="266" t="s">
        <v>166</v>
      </c>
      <c r="AE418" s="266" t="s">
        <v>166</v>
      </c>
      <c r="AF418" s="266">
        <f t="shared" si="1"/>
        <v>6</v>
      </c>
      <c r="AG418" s="266">
        <v>3.0</v>
      </c>
      <c r="AH418" s="266">
        <v>2.0</v>
      </c>
      <c r="AI418" s="507" t="s">
        <v>5049</v>
      </c>
      <c r="AJ418" s="266">
        <v>1.0</v>
      </c>
      <c r="AK418" s="48" t="s">
        <v>5038</v>
      </c>
      <c r="AL418" s="48">
        <v>2.5</v>
      </c>
      <c r="AM418" s="705" t="s">
        <v>166</v>
      </c>
      <c r="AN418" s="705" t="s">
        <v>166</v>
      </c>
      <c r="AO418" s="705" t="s">
        <v>166</v>
      </c>
      <c r="AP418" s="507" t="s">
        <v>166</v>
      </c>
      <c r="AQ418" s="507" t="s">
        <v>166</v>
      </c>
      <c r="AR418" s="48" t="s">
        <v>5039</v>
      </c>
      <c r="AS418" s="266" t="s">
        <v>166</v>
      </c>
      <c r="AT418" s="266">
        <v>3.0</v>
      </c>
      <c r="AU418" s="266">
        <v>1.0</v>
      </c>
      <c r="AV418" s="266">
        <v>1.0</v>
      </c>
      <c r="AW418" s="266">
        <v>2.0</v>
      </c>
      <c r="AX418" s="266" t="s">
        <v>166</v>
      </c>
      <c r="AY418" s="266" t="s">
        <v>166</v>
      </c>
      <c r="AZ418" s="266">
        <v>4.0</v>
      </c>
      <c r="BA418" s="266">
        <v>1.0</v>
      </c>
      <c r="BB418" s="266">
        <v>3.0</v>
      </c>
      <c r="BC418" s="266" t="s">
        <v>166</v>
      </c>
      <c r="BD418" s="266" t="s">
        <v>166</v>
      </c>
      <c r="BE418" s="48" t="s">
        <v>170</v>
      </c>
      <c r="BF418" s="48" t="s">
        <v>170</v>
      </c>
      <c r="BG418" s="48" t="s">
        <v>170</v>
      </c>
      <c r="BH418" s="48" t="s">
        <v>170</v>
      </c>
      <c r="BI418" s="698" t="s">
        <v>170</v>
      </c>
      <c r="BJ418" s="698"/>
      <c r="BK418" s="394"/>
      <c r="BL418" s="394"/>
      <c r="BM418" s="394"/>
      <c r="BN418" s="394"/>
      <c r="BO418" s="394"/>
      <c r="BP418" s="394"/>
    </row>
    <row r="419">
      <c r="A419" s="266" t="s">
        <v>1688</v>
      </c>
      <c r="B419" s="48">
        <v>1700.0</v>
      </c>
      <c r="C419" s="266" t="s">
        <v>5379</v>
      </c>
      <c r="D419" s="452" t="str">
        <f t="shared" si="56"/>
        <v>Asus</v>
      </c>
      <c r="E419" s="174" t="s">
        <v>5943</v>
      </c>
      <c r="F419" s="507">
        <v>244.0</v>
      </c>
      <c r="G419" s="507">
        <v>244.0</v>
      </c>
      <c r="H419" s="266">
        <v>4.0</v>
      </c>
      <c r="I419" s="266" t="s">
        <v>166</v>
      </c>
      <c r="J419" s="266" t="s">
        <v>166</v>
      </c>
      <c r="K419" s="266" t="s">
        <v>166</v>
      </c>
      <c r="L419" s="266" t="s">
        <v>166</v>
      </c>
      <c r="M419" s="266">
        <v>3.0</v>
      </c>
      <c r="N419" s="266" t="s">
        <v>166</v>
      </c>
      <c r="O419" s="266" t="s">
        <v>174</v>
      </c>
      <c r="P419" s="266" t="s">
        <v>166</v>
      </c>
      <c r="Q419" s="266" t="s">
        <v>166</v>
      </c>
      <c r="R419" s="266">
        <v>4.0</v>
      </c>
      <c r="S419" s="266" t="s">
        <v>3149</v>
      </c>
      <c r="T419" s="266">
        <v>128.0</v>
      </c>
      <c r="U419" s="266" t="s">
        <v>5286</v>
      </c>
      <c r="V419" s="266">
        <v>4.0</v>
      </c>
      <c r="W419" s="710" t="s">
        <v>5126</v>
      </c>
      <c r="X419" s="266">
        <v>4.0</v>
      </c>
      <c r="Y419" s="266" t="s">
        <v>166</v>
      </c>
      <c r="Z419" s="266" t="s">
        <v>166</v>
      </c>
      <c r="AA419" s="266">
        <v>2.0</v>
      </c>
      <c r="AB419" s="266" t="s">
        <v>166</v>
      </c>
      <c r="AC419" s="266" t="s">
        <v>166</v>
      </c>
      <c r="AD419" s="266" t="s">
        <v>166</v>
      </c>
      <c r="AE419" s="266" t="s">
        <v>166</v>
      </c>
      <c r="AF419" s="266">
        <f t="shared" si="1"/>
        <v>6</v>
      </c>
      <c r="AG419" s="266">
        <v>3.0</v>
      </c>
      <c r="AH419" s="266">
        <v>2.0</v>
      </c>
      <c r="AI419" s="507" t="s">
        <v>5049</v>
      </c>
      <c r="AJ419" s="266">
        <v>1.0</v>
      </c>
      <c r="AK419" s="48" t="s">
        <v>5038</v>
      </c>
      <c r="AL419" s="48">
        <v>2.5</v>
      </c>
      <c r="AM419" s="705" t="s">
        <v>166</v>
      </c>
      <c r="AN419" s="705" t="s">
        <v>166</v>
      </c>
      <c r="AO419" s="705" t="s">
        <v>166</v>
      </c>
      <c r="AP419" s="507" t="s">
        <v>166</v>
      </c>
      <c r="AQ419" s="507" t="s">
        <v>166</v>
      </c>
      <c r="AR419" s="48" t="s">
        <v>5039</v>
      </c>
      <c r="AS419" s="266" t="s">
        <v>166</v>
      </c>
      <c r="AT419" s="266">
        <v>3.0</v>
      </c>
      <c r="AU419" s="266">
        <v>1.0</v>
      </c>
      <c r="AV419" s="266">
        <v>1.0</v>
      </c>
      <c r="AW419" s="266">
        <v>2.0</v>
      </c>
      <c r="AX419" s="266" t="s">
        <v>166</v>
      </c>
      <c r="AY419" s="266" t="s">
        <v>166</v>
      </c>
      <c r="AZ419" s="266">
        <v>4.0</v>
      </c>
      <c r="BA419" s="266">
        <v>1.0</v>
      </c>
      <c r="BB419" s="266">
        <v>3.0</v>
      </c>
      <c r="BC419" s="266" t="s">
        <v>166</v>
      </c>
      <c r="BD419" s="266" t="s">
        <v>166</v>
      </c>
      <c r="BE419" s="48" t="s">
        <v>170</v>
      </c>
      <c r="BF419" s="48" t="s">
        <v>170</v>
      </c>
      <c r="BG419" s="48" t="s">
        <v>170</v>
      </c>
      <c r="BH419" s="48" t="s">
        <v>170</v>
      </c>
      <c r="BI419" s="698" t="s">
        <v>170</v>
      </c>
      <c r="BJ419" s="698"/>
      <c r="BK419" s="394"/>
      <c r="BL419" s="394"/>
      <c r="BM419" s="394"/>
      <c r="BN419" s="394"/>
      <c r="BO419" s="394"/>
      <c r="BP419" s="394"/>
    </row>
    <row r="420">
      <c r="A420" s="266" t="s">
        <v>1688</v>
      </c>
      <c r="B420" s="48">
        <v>1700.0</v>
      </c>
      <c r="C420" s="266" t="s">
        <v>5379</v>
      </c>
      <c r="D420" s="452" t="str">
        <f t="shared" si="56"/>
        <v>Asus</v>
      </c>
      <c r="E420" s="174" t="s">
        <v>5944</v>
      </c>
      <c r="F420" s="507">
        <v>244.0</v>
      </c>
      <c r="G420" s="507">
        <v>244.0</v>
      </c>
      <c r="H420" s="266">
        <v>4.0</v>
      </c>
      <c r="I420" s="266" t="s">
        <v>166</v>
      </c>
      <c r="J420" s="266" t="s">
        <v>166</v>
      </c>
      <c r="K420" s="266" t="s">
        <v>166</v>
      </c>
      <c r="L420" s="266" t="s">
        <v>166</v>
      </c>
      <c r="M420" s="266">
        <v>3.0</v>
      </c>
      <c r="N420" s="266" t="s">
        <v>166</v>
      </c>
      <c r="O420" s="266" t="s">
        <v>174</v>
      </c>
      <c r="P420" s="266" t="s">
        <v>166</v>
      </c>
      <c r="Q420" s="266" t="s">
        <v>166</v>
      </c>
      <c r="R420" s="266">
        <v>4.0</v>
      </c>
      <c r="S420" s="266" t="s">
        <v>3149</v>
      </c>
      <c r="T420" s="266">
        <v>128.0</v>
      </c>
      <c r="U420" s="266" t="s">
        <v>5286</v>
      </c>
      <c r="V420" s="266">
        <v>6.0</v>
      </c>
      <c r="W420" s="710" t="s">
        <v>5126</v>
      </c>
      <c r="X420" s="266">
        <v>4.0</v>
      </c>
      <c r="Y420" s="266" t="s">
        <v>166</v>
      </c>
      <c r="Z420" s="266" t="s">
        <v>166</v>
      </c>
      <c r="AA420" s="266">
        <v>2.0</v>
      </c>
      <c r="AB420" s="266" t="s">
        <v>166</v>
      </c>
      <c r="AC420" s="266" t="s">
        <v>166</v>
      </c>
      <c r="AD420" s="266" t="s">
        <v>166</v>
      </c>
      <c r="AE420" s="266" t="s">
        <v>166</v>
      </c>
      <c r="AF420" s="266">
        <f t="shared" si="1"/>
        <v>6</v>
      </c>
      <c r="AG420" s="266">
        <v>2.0</v>
      </c>
      <c r="AH420" s="266">
        <v>2.0</v>
      </c>
      <c r="AI420" s="507" t="s">
        <v>5049</v>
      </c>
      <c r="AJ420" s="266">
        <v>1.0</v>
      </c>
      <c r="AK420" s="48" t="s">
        <v>5038</v>
      </c>
      <c r="AL420" s="48">
        <v>2.5</v>
      </c>
      <c r="AM420" s="705">
        <v>1.0</v>
      </c>
      <c r="AN420" s="48" t="s">
        <v>5027</v>
      </c>
      <c r="AO420" s="705" t="s">
        <v>5601</v>
      </c>
      <c r="AP420" s="507">
        <v>1800.0</v>
      </c>
      <c r="AQ420" s="507">
        <v>5.2</v>
      </c>
      <c r="AR420" s="48" t="s">
        <v>5039</v>
      </c>
      <c r="AS420" s="266" t="s">
        <v>166</v>
      </c>
      <c r="AT420" s="266">
        <v>3.0</v>
      </c>
      <c r="AU420" s="266">
        <v>1.0</v>
      </c>
      <c r="AV420" s="266">
        <v>1.0</v>
      </c>
      <c r="AW420" s="266">
        <v>2.0</v>
      </c>
      <c r="AX420" s="266" t="s">
        <v>166</v>
      </c>
      <c r="AY420" s="266" t="s">
        <v>166</v>
      </c>
      <c r="AZ420" s="266">
        <v>4.0</v>
      </c>
      <c r="BA420" s="266">
        <v>1.0</v>
      </c>
      <c r="BB420" s="266">
        <v>3.0</v>
      </c>
      <c r="BC420" s="266" t="s">
        <v>166</v>
      </c>
      <c r="BD420" s="266" t="s">
        <v>166</v>
      </c>
      <c r="BE420" s="48" t="s">
        <v>170</v>
      </c>
      <c r="BF420" s="48" t="s">
        <v>170</v>
      </c>
      <c r="BG420" s="48" t="s">
        <v>170</v>
      </c>
      <c r="BH420" s="48" t="s">
        <v>170</v>
      </c>
      <c r="BI420" s="698" t="s">
        <v>170</v>
      </c>
      <c r="BJ420" s="698"/>
      <c r="BK420" s="394"/>
      <c r="BL420" s="394"/>
      <c r="BM420" s="394"/>
      <c r="BN420" s="394"/>
      <c r="BO420" s="394"/>
      <c r="BP420" s="394"/>
    </row>
    <row r="421">
      <c r="A421" s="266" t="s">
        <v>1688</v>
      </c>
      <c r="B421" s="48">
        <v>1700.0</v>
      </c>
      <c r="C421" s="266" t="s">
        <v>5379</v>
      </c>
      <c r="D421" s="452" t="str">
        <f t="shared" si="56"/>
        <v>Asus</v>
      </c>
      <c r="E421" s="174" t="s">
        <v>5945</v>
      </c>
      <c r="F421" s="507">
        <v>244.0</v>
      </c>
      <c r="G421" s="507">
        <v>244.0</v>
      </c>
      <c r="H421" s="266">
        <v>4.0</v>
      </c>
      <c r="I421" s="266" t="s">
        <v>166</v>
      </c>
      <c r="J421" s="266" t="s">
        <v>166</v>
      </c>
      <c r="K421" s="266" t="s">
        <v>166</v>
      </c>
      <c r="L421" s="266" t="s">
        <v>166</v>
      </c>
      <c r="M421" s="266">
        <v>3.0</v>
      </c>
      <c r="N421" s="266" t="s">
        <v>166</v>
      </c>
      <c r="O421" s="266" t="s">
        <v>174</v>
      </c>
      <c r="P421" s="266" t="s">
        <v>166</v>
      </c>
      <c r="Q421" s="266" t="s">
        <v>166</v>
      </c>
      <c r="R421" s="266">
        <v>4.0</v>
      </c>
      <c r="S421" s="266" t="s">
        <v>3151</v>
      </c>
      <c r="T421" s="266">
        <v>192.0</v>
      </c>
      <c r="U421" s="266" t="s">
        <v>5084</v>
      </c>
      <c r="V421" s="266">
        <v>4.0</v>
      </c>
      <c r="W421" s="710" t="s">
        <v>5126</v>
      </c>
      <c r="X421" s="266">
        <v>4.0</v>
      </c>
      <c r="Y421" s="266" t="s">
        <v>166</v>
      </c>
      <c r="Z421" s="266" t="s">
        <v>166</v>
      </c>
      <c r="AA421" s="266">
        <v>2.0</v>
      </c>
      <c r="AB421" s="266" t="s">
        <v>166</v>
      </c>
      <c r="AC421" s="266" t="s">
        <v>166</v>
      </c>
      <c r="AD421" s="266" t="s">
        <v>166</v>
      </c>
      <c r="AE421" s="266" t="s">
        <v>166</v>
      </c>
      <c r="AF421" s="266">
        <f t="shared" si="1"/>
        <v>6</v>
      </c>
      <c r="AG421" s="266">
        <v>3.0</v>
      </c>
      <c r="AH421" s="266">
        <v>2.0</v>
      </c>
      <c r="AI421" s="507" t="s">
        <v>5049</v>
      </c>
      <c r="AJ421" s="266">
        <v>1.0</v>
      </c>
      <c r="AK421" s="48" t="s">
        <v>5038</v>
      </c>
      <c r="AL421" s="48">
        <v>2.5</v>
      </c>
      <c r="AM421" s="705">
        <v>1.0</v>
      </c>
      <c r="AN421" s="48" t="s">
        <v>5027</v>
      </c>
      <c r="AO421" s="705" t="s">
        <v>5257</v>
      </c>
      <c r="AP421" s="507">
        <v>2400.0</v>
      </c>
      <c r="AQ421" s="507">
        <v>5.2</v>
      </c>
      <c r="AR421" s="48" t="s">
        <v>5039</v>
      </c>
      <c r="AS421" s="266" t="s">
        <v>166</v>
      </c>
      <c r="AT421" s="266">
        <v>3.0</v>
      </c>
      <c r="AU421" s="266">
        <v>1.0</v>
      </c>
      <c r="AV421" s="266">
        <v>1.0</v>
      </c>
      <c r="AW421" s="266">
        <v>2.0</v>
      </c>
      <c r="AX421" s="266" t="s">
        <v>166</v>
      </c>
      <c r="AY421" s="266" t="s">
        <v>166</v>
      </c>
      <c r="AZ421" s="266">
        <v>4.0</v>
      </c>
      <c r="BA421" s="266">
        <v>1.0</v>
      </c>
      <c r="BB421" s="266">
        <v>3.0</v>
      </c>
      <c r="BC421" s="266" t="s">
        <v>166</v>
      </c>
      <c r="BD421" s="266" t="s">
        <v>166</v>
      </c>
      <c r="BE421" s="48" t="s">
        <v>170</v>
      </c>
      <c r="BF421" s="48" t="s">
        <v>170</v>
      </c>
      <c r="BG421" s="48" t="s">
        <v>170</v>
      </c>
      <c r="BH421" s="48" t="s">
        <v>170</v>
      </c>
      <c r="BI421" s="698" t="s">
        <v>170</v>
      </c>
      <c r="BJ421" s="698"/>
      <c r="BK421" s="394"/>
      <c r="BL421" s="394"/>
      <c r="BM421" s="394"/>
      <c r="BN421" s="394"/>
      <c r="BO421" s="394"/>
      <c r="BP421" s="394"/>
    </row>
    <row r="422">
      <c r="A422" s="266" t="s">
        <v>1688</v>
      </c>
      <c r="B422" s="48">
        <v>1700.0</v>
      </c>
      <c r="C422" s="266" t="s">
        <v>5379</v>
      </c>
      <c r="D422" s="452" t="str">
        <f t="shared" si="56"/>
        <v>Asus</v>
      </c>
      <c r="E422" s="174" t="s">
        <v>5946</v>
      </c>
      <c r="F422" s="507">
        <v>244.0</v>
      </c>
      <c r="G422" s="507">
        <v>244.0</v>
      </c>
      <c r="H422" s="266">
        <v>4.0</v>
      </c>
      <c r="I422" s="266" t="s">
        <v>166</v>
      </c>
      <c r="J422" s="266" t="s">
        <v>166</v>
      </c>
      <c r="K422" s="266" t="s">
        <v>166</v>
      </c>
      <c r="L422" s="266" t="s">
        <v>166</v>
      </c>
      <c r="M422" s="266">
        <v>3.0</v>
      </c>
      <c r="N422" s="266" t="s">
        <v>166</v>
      </c>
      <c r="O422" s="266" t="s">
        <v>174</v>
      </c>
      <c r="P422" s="266" t="s">
        <v>166</v>
      </c>
      <c r="Q422" s="266" t="s">
        <v>166</v>
      </c>
      <c r="R422" s="266">
        <v>4.0</v>
      </c>
      <c r="S422" s="266" t="s">
        <v>3149</v>
      </c>
      <c r="T422" s="266">
        <v>128.0</v>
      </c>
      <c r="U422" s="266" t="s">
        <v>5286</v>
      </c>
      <c r="V422" s="266">
        <v>4.0</v>
      </c>
      <c r="W422" s="710" t="s">
        <v>5126</v>
      </c>
      <c r="X422" s="266">
        <v>4.0</v>
      </c>
      <c r="Y422" s="266" t="s">
        <v>166</v>
      </c>
      <c r="Z422" s="266" t="s">
        <v>166</v>
      </c>
      <c r="AA422" s="266">
        <v>2.0</v>
      </c>
      <c r="AB422" s="266" t="s">
        <v>166</v>
      </c>
      <c r="AC422" s="266" t="s">
        <v>166</v>
      </c>
      <c r="AD422" s="266" t="s">
        <v>166</v>
      </c>
      <c r="AE422" s="266" t="s">
        <v>166</v>
      </c>
      <c r="AF422" s="266">
        <f t="shared" si="1"/>
        <v>6</v>
      </c>
      <c r="AG422" s="266">
        <v>3.0</v>
      </c>
      <c r="AH422" s="266">
        <v>2.0</v>
      </c>
      <c r="AI422" s="507" t="s">
        <v>5049</v>
      </c>
      <c r="AJ422" s="266">
        <v>1.0</v>
      </c>
      <c r="AK422" s="48" t="s">
        <v>5038</v>
      </c>
      <c r="AL422" s="48">
        <v>2.5</v>
      </c>
      <c r="AM422" s="705">
        <v>1.0</v>
      </c>
      <c r="AN422" s="48" t="s">
        <v>5027</v>
      </c>
      <c r="AO422" s="705" t="s">
        <v>5257</v>
      </c>
      <c r="AP422" s="507">
        <v>2400.0</v>
      </c>
      <c r="AQ422" s="507">
        <v>5.2</v>
      </c>
      <c r="AR422" s="48" t="s">
        <v>5039</v>
      </c>
      <c r="AS422" s="266" t="s">
        <v>166</v>
      </c>
      <c r="AT422" s="266">
        <v>3.0</v>
      </c>
      <c r="AU422" s="266">
        <v>1.0</v>
      </c>
      <c r="AV422" s="266">
        <v>1.0</v>
      </c>
      <c r="AW422" s="266">
        <v>2.0</v>
      </c>
      <c r="AX422" s="266" t="s">
        <v>166</v>
      </c>
      <c r="AY422" s="266" t="s">
        <v>166</v>
      </c>
      <c r="AZ422" s="266">
        <v>4.0</v>
      </c>
      <c r="BA422" s="266">
        <v>1.0</v>
      </c>
      <c r="BB422" s="266">
        <v>3.0</v>
      </c>
      <c r="BC422" s="266" t="s">
        <v>166</v>
      </c>
      <c r="BD422" s="266" t="s">
        <v>166</v>
      </c>
      <c r="BE422" s="48" t="s">
        <v>170</v>
      </c>
      <c r="BF422" s="48" t="s">
        <v>170</v>
      </c>
      <c r="BG422" s="48" t="s">
        <v>170</v>
      </c>
      <c r="BH422" s="48" t="s">
        <v>170</v>
      </c>
      <c r="BI422" s="698" t="s">
        <v>170</v>
      </c>
      <c r="BJ422" s="698"/>
      <c r="BK422" s="394"/>
      <c r="BL422" s="394"/>
      <c r="BM422" s="394"/>
      <c r="BN422" s="394"/>
      <c r="BO422" s="394"/>
      <c r="BP422" s="394"/>
    </row>
    <row r="423">
      <c r="A423" s="266" t="s">
        <v>1688</v>
      </c>
      <c r="B423" s="48">
        <v>1700.0</v>
      </c>
      <c r="C423" s="266" t="s">
        <v>5379</v>
      </c>
      <c r="D423" s="452" t="str">
        <f t="shared" si="56"/>
        <v>Asus</v>
      </c>
      <c r="E423" s="174" t="s">
        <v>5947</v>
      </c>
      <c r="F423" s="507">
        <v>244.0</v>
      </c>
      <c r="G423" s="507">
        <v>244.0</v>
      </c>
      <c r="H423" s="266">
        <v>4.0</v>
      </c>
      <c r="I423" s="266" t="s">
        <v>166</v>
      </c>
      <c r="J423" s="266" t="s">
        <v>166</v>
      </c>
      <c r="K423" s="266" t="s">
        <v>166</v>
      </c>
      <c r="L423" s="266" t="s">
        <v>166</v>
      </c>
      <c r="M423" s="266">
        <v>3.0</v>
      </c>
      <c r="N423" s="266" t="s">
        <v>166</v>
      </c>
      <c r="O423" s="266" t="s">
        <v>174</v>
      </c>
      <c r="P423" s="266" t="s">
        <v>166</v>
      </c>
      <c r="Q423" s="266" t="s">
        <v>166</v>
      </c>
      <c r="R423" s="266">
        <v>4.0</v>
      </c>
      <c r="S423" s="266" t="s">
        <v>3149</v>
      </c>
      <c r="T423" s="266">
        <v>128.0</v>
      </c>
      <c r="U423" s="266" t="s">
        <v>5286</v>
      </c>
      <c r="V423" s="266">
        <v>4.0</v>
      </c>
      <c r="W423" s="710" t="s">
        <v>5126</v>
      </c>
      <c r="X423" s="266">
        <v>4.0</v>
      </c>
      <c r="Y423" s="266" t="s">
        <v>166</v>
      </c>
      <c r="Z423" s="266" t="s">
        <v>166</v>
      </c>
      <c r="AA423" s="266">
        <v>2.0</v>
      </c>
      <c r="AB423" s="266" t="s">
        <v>166</v>
      </c>
      <c r="AC423" s="266" t="s">
        <v>166</v>
      </c>
      <c r="AD423" s="266" t="s">
        <v>166</v>
      </c>
      <c r="AE423" s="266" t="s">
        <v>166</v>
      </c>
      <c r="AF423" s="266">
        <f t="shared" si="1"/>
        <v>6</v>
      </c>
      <c r="AG423" s="266">
        <v>3.0</v>
      </c>
      <c r="AH423" s="266">
        <v>2.0</v>
      </c>
      <c r="AI423" s="507" t="s">
        <v>166</v>
      </c>
      <c r="AJ423" s="266">
        <v>1.0</v>
      </c>
      <c r="AK423" s="48" t="s">
        <v>5038</v>
      </c>
      <c r="AL423" s="48">
        <v>2.5</v>
      </c>
      <c r="AM423" s="705" t="s">
        <v>166</v>
      </c>
      <c r="AN423" s="705" t="s">
        <v>166</v>
      </c>
      <c r="AO423" s="705" t="s">
        <v>166</v>
      </c>
      <c r="AP423" s="507" t="s">
        <v>166</v>
      </c>
      <c r="AQ423" s="507" t="s">
        <v>166</v>
      </c>
      <c r="AR423" s="48" t="s">
        <v>5039</v>
      </c>
      <c r="AS423" s="266" t="s">
        <v>166</v>
      </c>
      <c r="AT423" s="266">
        <v>3.0</v>
      </c>
      <c r="AU423" s="266">
        <v>1.0</v>
      </c>
      <c r="AV423" s="266">
        <v>1.0</v>
      </c>
      <c r="AW423" s="266">
        <v>2.0</v>
      </c>
      <c r="AX423" s="266" t="s">
        <v>166</v>
      </c>
      <c r="AY423" s="266" t="s">
        <v>166</v>
      </c>
      <c r="AZ423" s="266">
        <v>4.0</v>
      </c>
      <c r="BA423" s="266">
        <v>2.0</v>
      </c>
      <c r="BB423" s="266">
        <v>2.0</v>
      </c>
      <c r="BC423" s="266" t="s">
        <v>166</v>
      </c>
      <c r="BD423" s="266" t="s">
        <v>166</v>
      </c>
      <c r="BE423" s="48" t="s">
        <v>170</v>
      </c>
      <c r="BF423" s="48" t="s">
        <v>170</v>
      </c>
      <c r="BG423" s="48" t="s">
        <v>170</v>
      </c>
      <c r="BH423" s="48" t="s">
        <v>170</v>
      </c>
      <c r="BI423" s="698" t="s">
        <v>170</v>
      </c>
      <c r="BJ423" s="698"/>
      <c r="BK423" s="394"/>
      <c r="BL423" s="394"/>
      <c r="BM423" s="394"/>
      <c r="BN423" s="394"/>
      <c r="BO423" s="394"/>
      <c r="BP423" s="394"/>
    </row>
    <row r="424">
      <c r="A424" s="266" t="s">
        <v>1688</v>
      </c>
      <c r="B424" s="48">
        <v>1700.0</v>
      </c>
      <c r="C424" s="266" t="s">
        <v>5379</v>
      </c>
      <c r="D424" s="452" t="str">
        <f t="shared" si="56"/>
        <v>Asus</v>
      </c>
      <c r="E424" s="174" t="s">
        <v>5948</v>
      </c>
      <c r="F424" s="507">
        <v>244.0</v>
      </c>
      <c r="G424" s="507">
        <v>211.0</v>
      </c>
      <c r="H424" s="266">
        <v>4.0</v>
      </c>
      <c r="I424" s="266" t="s">
        <v>166</v>
      </c>
      <c r="J424" s="266">
        <v>2.0</v>
      </c>
      <c r="K424" s="266" t="s">
        <v>166</v>
      </c>
      <c r="L424" s="266" t="s">
        <v>166</v>
      </c>
      <c r="M424" s="266">
        <v>1.0</v>
      </c>
      <c r="N424" s="266" t="s">
        <v>166</v>
      </c>
      <c r="O424" s="266" t="s">
        <v>174</v>
      </c>
      <c r="P424" s="266" t="s">
        <v>166</v>
      </c>
      <c r="Q424" s="266" t="s">
        <v>166</v>
      </c>
      <c r="R424" s="266">
        <v>2.0</v>
      </c>
      <c r="S424" s="266" t="s">
        <v>3151</v>
      </c>
      <c r="T424" s="266">
        <v>96.0</v>
      </c>
      <c r="U424" s="266" t="s">
        <v>5119</v>
      </c>
      <c r="V424" s="266">
        <v>4.0</v>
      </c>
      <c r="W424" s="710" t="s">
        <v>5126</v>
      </c>
      <c r="X424" s="266">
        <v>2.0</v>
      </c>
      <c r="Y424" s="266">
        <v>4.0</v>
      </c>
      <c r="Z424" s="266" t="s">
        <v>166</v>
      </c>
      <c r="AA424" s="266" t="s">
        <v>166</v>
      </c>
      <c r="AB424" s="266" t="s">
        <v>166</v>
      </c>
      <c r="AC424" s="266" t="s">
        <v>166</v>
      </c>
      <c r="AD424" s="266" t="s">
        <v>166</v>
      </c>
      <c r="AE424" s="266" t="s">
        <v>166</v>
      </c>
      <c r="AF424" s="266">
        <f t="shared" si="1"/>
        <v>6</v>
      </c>
      <c r="AG424" s="266">
        <v>2.0</v>
      </c>
      <c r="AH424" s="266">
        <v>1.0</v>
      </c>
      <c r="AI424" s="507" t="s">
        <v>166</v>
      </c>
      <c r="AJ424" s="266">
        <v>1.0</v>
      </c>
      <c r="AK424" s="48" t="s">
        <v>5038</v>
      </c>
      <c r="AL424" s="48">
        <v>2.5</v>
      </c>
      <c r="AM424" s="705" t="s">
        <v>166</v>
      </c>
      <c r="AN424" s="705" t="s">
        <v>166</v>
      </c>
      <c r="AO424" s="705" t="s">
        <v>166</v>
      </c>
      <c r="AP424" s="507" t="s">
        <v>166</v>
      </c>
      <c r="AQ424" s="507" t="s">
        <v>166</v>
      </c>
      <c r="AR424" s="48" t="s">
        <v>5039</v>
      </c>
      <c r="AS424" s="266" t="s">
        <v>166</v>
      </c>
      <c r="AT424" s="266">
        <v>3.0</v>
      </c>
      <c r="AU424" s="266">
        <v>1.0</v>
      </c>
      <c r="AV424" s="266" t="s">
        <v>166</v>
      </c>
      <c r="AW424" s="266">
        <v>1.0</v>
      </c>
      <c r="AX424" s="266" t="s">
        <v>166</v>
      </c>
      <c r="AY424" s="266">
        <v>1.0</v>
      </c>
      <c r="AZ424" s="266">
        <v>2.0</v>
      </c>
      <c r="BA424" s="266">
        <v>1.0</v>
      </c>
      <c r="BB424" s="266">
        <v>2.0</v>
      </c>
      <c r="BC424" s="266"/>
      <c r="BD424" s="266" t="s">
        <v>166</v>
      </c>
      <c r="BE424" s="48" t="s">
        <v>170</v>
      </c>
      <c r="BF424" s="48" t="s">
        <v>170</v>
      </c>
      <c r="BG424" s="48" t="s">
        <v>170</v>
      </c>
      <c r="BH424" s="48" t="s">
        <v>170</v>
      </c>
      <c r="BI424" s="698" t="s">
        <v>170</v>
      </c>
      <c r="BJ424" s="698"/>
      <c r="BK424" s="394"/>
      <c r="BL424" s="394"/>
      <c r="BM424" s="394"/>
      <c r="BN424" s="394"/>
      <c r="BO424" s="394"/>
      <c r="BP424" s="394"/>
    </row>
    <row r="425">
      <c r="A425" s="266" t="s">
        <v>1688</v>
      </c>
      <c r="B425" s="48">
        <v>1700.0</v>
      </c>
      <c r="C425" s="266" t="s">
        <v>5379</v>
      </c>
      <c r="D425" s="452" t="str">
        <f t="shared" si="56"/>
        <v>Asus</v>
      </c>
      <c r="E425" s="174" t="s">
        <v>5949</v>
      </c>
      <c r="F425" s="507">
        <v>244.0</v>
      </c>
      <c r="G425" s="507">
        <v>211.0</v>
      </c>
      <c r="H425" s="266">
        <v>4.0</v>
      </c>
      <c r="I425" s="266" t="s">
        <v>166</v>
      </c>
      <c r="J425" s="266">
        <v>2.0</v>
      </c>
      <c r="K425" s="266" t="s">
        <v>166</v>
      </c>
      <c r="L425" s="266" t="s">
        <v>166</v>
      </c>
      <c r="M425" s="266">
        <v>1.0</v>
      </c>
      <c r="N425" s="266" t="s">
        <v>166</v>
      </c>
      <c r="O425" s="266" t="s">
        <v>174</v>
      </c>
      <c r="P425" s="266" t="s">
        <v>166</v>
      </c>
      <c r="Q425" s="266" t="s">
        <v>166</v>
      </c>
      <c r="R425" s="266">
        <v>2.0</v>
      </c>
      <c r="S425" s="266" t="s">
        <v>3149</v>
      </c>
      <c r="T425" s="266">
        <v>64.0</v>
      </c>
      <c r="U425" s="266" t="s">
        <v>5286</v>
      </c>
      <c r="V425" s="266">
        <v>4.0</v>
      </c>
      <c r="W425" s="710" t="s">
        <v>5126</v>
      </c>
      <c r="X425" s="266">
        <v>2.0</v>
      </c>
      <c r="Y425" s="266">
        <v>4.0</v>
      </c>
      <c r="Z425" s="266" t="s">
        <v>166</v>
      </c>
      <c r="AA425" s="266" t="s">
        <v>166</v>
      </c>
      <c r="AB425" s="266" t="s">
        <v>166</v>
      </c>
      <c r="AC425" s="266" t="s">
        <v>166</v>
      </c>
      <c r="AD425" s="266" t="s">
        <v>166</v>
      </c>
      <c r="AE425" s="266" t="s">
        <v>166</v>
      </c>
      <c r="AF425" s="266">
        <f t="shared" si="1"/>
        <v>6</v>
      </c>
      <c r="AG425" s="266">
        <v>2.0</v>
      </c>
      <c r="AH425" s="266">
        <v>1.0</v>
      </c>
      <c r="AI425" s="507" t="s">
        <v>166</v>
      </c>
      <c r="AJ425" s="266">
        <v>1.0</v>
      </c>
      <c r="AK425" s="48" t="s">
        <v>5038</v>
      </c>
      <c r="AL425" s="48">
        <v>2.5</v>
      </c>
      <c r="AM425" s="705" t="s">
        <v>166</v>
      </c>
      <c r="AN425" s="705" t="s">
        <v>166</v>
      </c>
      <c r="AO425" s="705" t="s">
        <v>166</v>
      </c>
      <c r="AP425" s="507" t="s">
        <v>166</v>
      </c>
      <c r="AQ425" s="507" t="s">
        <v>166</v>
      </c>
      <c r="AR425" s="48" t="s">
        <v>5039</v>
      </c>
      <c r="AS425" s="266" t="s">
        <v>166</v>
      </c>
      <c r="AT425" s="266">
        <v>3.0</v>
      </c>
      <c r="AU425" s="266">
        <v>1.0</v>
      </c>
      <c r="AV425" s="266" t="s">
        <v>166</v>
      </c>
      <c r="AW425" s="266">
        <v>1.0</v>
      </c>
      <c r="AX425" s="266" t="s">
        <v>166</v>
      </c>
      <c r="AY425" s="266">
        <v>1.0</v>
      </c>
      <c r="AZ425" s="266">
        <v>2.0</v>
      </c>
      <c r="BA425" s="266">
        <v>1.0</v>
      </c>
      <c r="BB425" s="266">
        <v>2.0</v>
      </c>
      <c r="BC425" s="266"/>
      <c r="BD425" s="266" t="s">
        <v>166</v>
      </c>
      <c r="BE425" s="48" t="s">
        <v>170</v>
      </c>
      <c r="BF425" s="48" t="s">
        <v>170</v>
      </c>
      <c r="BG425" s="48" t="s">
        <v>170</v>
      </c>
      <c r="BH425" s="48" t="s">
        <v>170</v>
      </c>
      <c r="BI425" s="698" t="s">
        <v>170</v>
      </c>
      <c r="BJ425" s="698"/>
      <c r="BK425" s="394"/>
      <c r="BL425" s="394"/>
      <c r="BM425" s="394"/>
      <c r="BN425" s="394"/>
      <c r="BO425" s="394"/>
      <c r="BP425" s="394"/>
    </row>
    <row r="426">
      <c r="A426" s="266" t="s">
        <v>1688</v>
      </c>
      <c r="B426" s="48">
        <v>1700.0</v>
      </c>
      <c r="C426" s="266" t="s">
        <v>5379</v>
      </c>
      <c r="D426" s="452" t="str">
        <f t="shared" si="56"/>
        <v>Asus</v>
      </c>
      <c r="E426" s="174" t="s">
        <v>5950</v>
      </c>
      <c r="F426" s="507">
        <v>244.0</v>
      </c>
      <c r="G426" s="507">
        <v>244.0</v>
      </c>
      <c r="H426" s="266">
        <v>5.0</v>
      </c>
      <c r="I426" s="266" t="s">
        <v>166</v>
      </c>
      <c r="J426" s="266">
        <v>2.0</v>
      </c>
      <c r="K426" s="266" t="s">
        <v>166</v>
      </c>
      <c r="L426" s="266" t="s">
        <v>166</v>
      </c>
      <c r="M426" s="266">
        <v>2.0</v>
      </c>
      <c r="N426" s="266" t="s">
        <v>166</v>
      </c>
      <c r="O426" s="266" t="s">
        <v>174</v>
      </c>
      <c r="P426" s="266" t="s">
        <v>174</v>
      </c>
      <c r="Q426" s="266" t="s">
        <v>166</v>
      </c>
      <c r="R426" s="266">
        <v>4.0</v>
      </c>
      <c r="S426" s="266" t="s">
        <v>3149</v>
      </c>
      <c r="T426" s="266">
        <v>128.0</v>
      </c>
      <c r="U426" s="266" t="s">
        <v>5286</v>
      </c>
      <c r="V426" s="266">
        <v>4.0</v>
      </c>
      <c r="W426" s="710" t="s">
        <v>5126</v>
      </c>
      <c r="X426" s="266">
        <v>4.0</v>
      </c>
      <c r="Y426" s="266">
        <v>2.0</v>
      </c>
      <c r="Z426" s="266">
        <v>1.0</v>
      </c>
      <c r="AA426" s="266">
        <v>1.0</v>
      </c>
      <c r="AB426" s="266" t="s">
        <v>166</v>
      </c>
      <c r="AC426" s="266">
        <v>1.0</v>
      </c>
      <c r="AD426" s="266" t="s">
        <v>166</v>
      </c>
      <c r="AE426" s="266" t="s">
        <v>166</v>
      </c>
      <c r="AF426" s="266">
        <f t="shared" si="1"/>
        <v>9</v>
      </c>
      <c r="AG426" s="266">
        <v>2.0</v>
      </c>
      <c r="AH426" s="266">
        <v>1.0</v>
      </c>
      <c r="AI426" s="266" t="s">
        <v>5025</v>
      </c>
      <c r="AJ426" s="266">
        <v>1.0</v>
      </c>
      <c r="AK426" s="48" t="s">
        <v>5026</v>
      </c>
      <c r="AL426" s="48">
        <v>2.5</v>
      </c>
      <c r="AM426" s="705">
        <v>1.0</v>
      </c>
      <c r="AN426" s="48" t="s">
        <v>5044</v>
      </c>
      <c r="AO426" s="705" t="s">
        <v>5376</v>
      </c>
      <c r="AP426" s="266">
        <v>2400.0</v>
      </c>
      <c r="AQ426" s="507">
        <v>5.3</v>
      </c>
      <c r="AR426" s="48" t="s">
        <v>5288</v>
      </c>
      <c r="AS426" s="266" t="s">
        <v>166</v>
      </c>
      <c r="AT426" s="266">
        <v>5.0</v>
      </c>
      <c r="AU426" s="266" t="s">
        <v>166</v>
      </c>
      <c r="AV426" s="266">
        <v>1.0</v>
      </c>
      <c r="AW426" s="266">
        <v>1.0</v>
      </c>
      <c r="AX426" s="266" t="s">
        <v>166</v>
      </c>
      <c r="AY426" s="266" t="s">
        <v>166</v>
      </c>
      <c r="AZ426" s="266">
        <v>5.0</v>
      </c>
      <c r="BA426" s="266">
        <v>1.0</v>
      </c>
      <c r="BB426" s="266">
        <v>3.0</v>
      </c>
      <c r="BC426" s="266" t="s">
        <v>174</v>
      </c>
      <c r="BD426" s="266" t="s">
        <v>174</v>
      </c>
      <c r="BE426" s="48" t="s">
        <v>170</v>
      </c>
      <c r="BF426" s="48" t="s">
        <v>5800</v>
      </c>
      <c r="BG426" s="48" t="s">
        <v>4955</v>
      </c>
      <c r="BH426" s="48">
        <v>12.0</v>
      </c>
      <c r="BI426" s="698" t="s">
        <v>5087</v>
      </c>
      <c r="BJ426" s="698"/>
      <c r="BK426" s="394"/>
      <c r="BL426" s="394"/>
      <c r="BM426" s="394"/>
      <c r="BN426" s="394"/>
      <c r="BO426" s="394"/>
      <c r="BP426" s="394"/>
    </row>
    <row r="427">
      <c r="A427" s="266" t="s">
        <v>1688</v>
      </c>
      <c r="B427" s="48">
        <v>1700.0</v>
      </c>
      <c r="C427" s="266" t="s">
        <v>5379</v>
      </c>
      <c r="D427" s="452" t="str">
        <f t="shared" si="56"/>
        <v>Asus</v>
      </c>
      <c r="E427" s="174" t="s">
        <v>5951</v>
      </c>
      <c r="F427" s="507">
        <v>244.0</v>
      </c>
      <c r="G427" s="507">
        <v>244.0</v>
      </c>
      <c r="H427" s="266">
        <v>5.0</v>
      </c>
      <c r="I427" s="266" t="s">
        <v>166</v>
      </c>
      <c r="J427" s="266">
        <v>2.0</v>
      </c>
      <c r="K427" s="266" t="s">
        <v>166</v>
      </c>
      <c r="L427" s="266" t="s">
        <v>166</v>
      </c>
      <c r="M427" s="266">
        <v>2.0</v>
      </c>
      <c r="N427" s="266" t="s">
        <v>166</v>
      </c>
      <c r="O427" s="266" t="s">
        <v>174</v>
      </c>
      <c r="P427" s="266" t="s">
        <v>174</v>
      </c>
      <c r="Q427" s="266" t="s">
        <v>166</v>
      </c>
      <c r="R427" s="266">
        <v>4.0</v>
      </c>
      <c r="S427" s="266" t="s">
        <v>3151</v>
      </c>
      <c r="T427" s="266">
        <v>192.0</v>
      </c>
      <c r="U427" s="266" t="s">
        <v>5952</v>
      </c>
      <c r="V427" s="266">
        <v>4.0</v>
      </c>
      <c r="W427" s="710" t="s">
        <v>5126</v>
      </c>
      <c r="X427" s="266">
        <v>4.0</v>
      </c>
      <c r="Y427" s="266">
        <v>2.0</v>
      </c>
      <c r="Z427" s="266">
        <v>1.0</v>
      </c>
      <c r="AA427" s="266">
        <v>1.0</v>
      </c>
      <c r="AB427" s="266" t="s">
        <v>166</v>
      </c>
      <c r="AC427" s="266">
        <v>1.0</v>
      </c>
      <c r="AD427" s="266" t="s">
        <v>166</v>
      </c>
      <c r="AE427" s="266" t="s">
        <v>166</v>
      </c>
      <c r="AF427" s="266">
        <f t="shared" si="1"/>
        <v>9</v>
      </c>
      <c r="AG427" s="266">
        <v>2.0</v>
      </c>
      <c r="AH427" s="266">
        <v>1.0</v>
      </c>
      <c r="AI427" s="266" t="s">
        <v>5025</v>
      </c>
      <c r="AJ427" s="266">
        <v>1.0</v>
      </c>
      <c r="AK427" s="48" t="s">
        <v>5026</v>
      </c>
      <c r="AL427" s="48">
        <v>2.5</v>
      </c>
      <c r="AM427" s="705">
        <v>1.0</v>
      </c>
      <c r="AN427" s="48" t="s">
        <v>5044</v>
      </c>
      <c r="AO427" s="705" t="s">
        <v>5376</v>
      </c>
      <c r="AP427" s="266">
        <v>2400.0</v>
      </c>
      <c r="AQ427" s="507">
        <v>5.3</v>
      </c>
      <c r="AR427" s="48" t="s">
        <v>5288</v>
      </c>
      <c r="AS427" s="266" t="s">
        <v>166</v>
      </c>
      <c r="AT427" s="266">
        <v>5.0</v>
      </c>
      <c r="AU427" s="266" t="s">
        <v>166</v>
      </c>
      <c r="AV427" s="266">
        <v>1.0</v>
      </c>
      <c r="AW427" s="266">
        <v>1.0</v>
      </c>
      <c r="AX427" s="266" t="s">
        <v>166</v>
      </c>
      <c r="AY427" s="266" t="s">
        <v>166</v>
      </c>
      <c r="AZ427" s="266">
        <v>5.0</v>
      </c>
      <c r="BA427" s="266">
        <v>1.0</v>
      </c>
      <c r="BB427" s="266">
        <v>3.0</v>
      </c>
      <c r="BC427" s="266" t="s">
        <v>174</v>
      </c>
      <c r="BD427" s="266" t="s">
        <v>174</v>
      </c>
      <c r="BE427" s="48" t="s">
        <v>170</v>
      </c>
      <c r="BF427" s="48" t="s">
        <v>5800</v>
      </c>
      <c r="BG427" s="48" t="s">
        <v>4955</v>
      </c>
      <c r="BH427" s="48">
        <v>12.0</v>
      </c>
      <c r="BI427" s="698" t="s">
        <v>5087</v>
      </c>
      <c r="BJ427" s="698"/>
      <c r="BK427" s="394"/>
      <c r="BL427" s="394"/>
      <c r="BM427" s="394"/>
      <c r="BN427" s="394"/>
      <c r="BO427" s="394"/>
      <c r="BP427" s="394"/>
    </row>
    <row r="428">
      <c r="A428" s="266" t="s">
        <v>1688</v>
      </c>
      <c r="B428" s="48">
        <v>1700.0</v>
      </c>
      <c r="C428" s="266" t="s">
        <v>5379</v>
      </c>
      <c r="D428" s="452" t="str">
        <f t="shared" si="56"/>
        <v>Asus</v>
      </c>
      <c r="E428" s="174" t="s">
        <v>5953</v>
      </c>
      <c r="F428" s="507">
        <v>244.0</v>
      </c>
      <c r="G428" s="507">
        <v>244.0</v>
      </c>
      <c r="H428" s="266">
        <v>4.0</v>
      </c>
      <c r="I428" s="266" t="s">
        <v>166</v>
      </c>
      <c r="J428" s="266">
        <v>1.0</v>
      </c>
      <c r="K428" s="266" t="s">
        <v>166</v>
      </c>
      <c r="L428" s="266" t="s">
        <v>166</v>
      </c>
      <c r="M428" s="266">
        <v>2.0</v>
      </c>
      <c r="N428" s="266" t="s">
        <v>166</v>
      </c>
      <c r="O428" s="266" t="s">
        <v>174</v>
      </c>
      <c r="P428" s="266" t="s">
        <v>166</v>
      </c>
      <c r="Q428" s="266" t="s">
        <v>166</v>
      </c>
      <c r="R428" s="266">
        <v>4.0</v>
      </c>
      <c r="S428" s="266" t="s">
        <v>3149</v>
      </c>
      <c r="T428" s="266">
        <v>128.0</v>
      </c>
      <c r="U428" s="266" t="s">
        <v>5286</v>
      </c>
      <c r="V428" s="266">
        <v>4.0</v>
      </c>
      <c r="W428" s="710" t="s">
        <v>5126</v>
      </c>
      <c r="X428" s="266">
        <v>2.0</v>
      </c>
      <c r="Y428" s="266">
        <v>2.0</v>
      </c>
      <c r="Z428" s="266" t="s">
        <v>166</v>
      </c>
      <c r="AA428" s="266">
        <v>2.0</v>
      </c>
      <c r="AB428" s="266" t="s">
        <v>166</v>
      </c>
      <c r="AC428" s="266" t="s">
        <v>166</v>
      </c>
      <c r="AD428" s="266" t="s">
        <v>166</v>
      </c>
      <c r="AE428" s="266" t="s">
        <v>166</v>
      </c>
      <c r="AF428" s="266">
        <f t="shared" si="1"/>
        <v>6</v>
      </c>
      <c r="AG428" s="266">
        <v>2.0</v>
      </c>
      <c r="AH428" s="266">
        <v>1.0</v>
      </c>
      <c r="AI428" s="266" t="s">
        <v>5025</v>
      </c>
      <c r="AJ428" s="266">
        <v>1.0</v>
      </c>
      <c r="AK428" s="48" t="s">
        <v>5038</v>
      </c>
      <c r="AL428" s="48">
        <v>2.5</v>
      </c>
      <c r="AM428" s="705">
        <v>1.0</v>
      </c>
      <c r="AN428" s="705" t="s">
        <v>166</v>
      </c>
      <c r="AO428" s="705" t="s">
        <v>232</v>
      </c>
      <c r="AP428" s="507" t="s">
        <v>166</v>
      </c>
      <c r="AQ428" s="507" t="s">
        <v>166</v>
      </c>
      <c r="AR428" s="48" t="s">
        <v>5039</v>
      </c>
      <c r="AS428" s="266" t="s">
        <v>166</v>
      </c>
      <c r="AT428" s="266">
        <v>3.0</v>
      </c>
      <c r="AU428" s="266">
        <v>1.0</v>
      </c>
      <c r="AV428" s="266">
        <v>1.0</v>
      </c>
      <c r="AW428" s="266">
        <v>1.0</v>
      </c>
      <c r="AX428" s="266" t="s">
        <v>166</v>
      </c>
      <c r="AY428" s="266" t="s">
        <v>166</v>
      </c>
      <c r="AZ428" s="266">
        <v>4.0</v>
      </c>
      <c r="BA428" s="266">
        <v>1.0</v>
      </c>
      <c r="BB428" s="266">
        <v>3.0</v>
      </c>
      <c r="BC428" s="266" t="s">
        <v>174</v>
      </c>
      <c r="BD428" s="266" t="s">
        <v>166</v>
      </c>
      <c r="BE428" s="48" t="s">
        <v>170</v>
      </c>
      <c r="BF428" s="48" t="s">
        <v>5318</v>
      </c>
      <c r="BG428" s="48" t="s">
        <v>4955</v>
      </c>
      <c r="BH428" s="48">
        <v>10.0</v>
      </c>
      <c r="BI428" s="698" t="s">
        <v>170</v>
      </c>
      <c r="BJ428" s="698"/>
      <c r="BK428" s="394"/>
      <c r="BL428" s="394"/>
      <c r="BM428" s="394"/>
      <c r="BN428" s="394"/>
      <c r="BO428" s="394"/>
      <c r="BP428" s="394"/>
    </row>
    <row r="429">
      <c r="A429" s="266" t="s">
        <v>1688</v>
      </c>
      <c r="B429" s="48">
        <v>1700.0</v>
      </c>
      <c r="C429" s="266" t="s">
        <v>5379</v>
      </c>
      <c r="D429" s="452" t="str">
        <f t="shared" si="56"/>
        <v>Asus</v>
      </c>
      <c r="E429" s="174" t="s">
        <v>5954</v>
      </c>
      <c r="F429" s="507">
        <v>244.0</v>
      </c>
      <c r="G429" s="507">
        <v>244.0</v>
      </c>
      <c r="H429" s="266">
        <v>5.0</v>
      </c>
      <c r="I429" s="266" t="s">
        <v>166</v>
      </c>
      <c r="J429" s="266">
        <v>1.0</v>
      </c>
      <c r="K429" s="266" t="s">
        <v>166</v>
      </c>
      <c r="L429" s="266" t="s">
        <v>166</v>
      </c>
      <c r="M429" s="266">
        <v>2.0</v>
      </c>
      <c r="N429" s="266" t="s">
        <v>166</v>
      </c>
      <c r="O429" s="266" t="s">
        <v>174</v>
      </c>
      <c r="P429" s="266" t="s">
        <v>166</v>
      </c>
      <c r="Q429" s="266" t="s">
        <v>166</v>
      </c>
      <c r="R429" s="266">
        <v>4.0</v>
      </c>
      <c r="S429" s="266" t="s">
        <v>3151</v>
      </c>
      <c r="T429" s="266">
        <v>192.0</v>
      </c>
      <c r="U429" s="266" t="s">
        <v>5084</v>
      </c>
      <c r="V429" s="266">
        <v>4.0</v>
      </c>
      <c r="W429" s="710" t="s">
        <v>5126</v>
      </c>
      <c r="X429" s="266">
        <v>2.0</v>
      </c>
      <c r="Y429" s="266">
        <v>3.0</v>
      </c>
      <c r="Z429" s="266" t="s">
        <v>166</v>
      </c>
      <c r="AA429" s="266">
        <v>2.0</v>
      </c>
      <c r="AB429" s="266" t="s">
        <v>166</v>
      </c>
      <c r="AC429" s="266">
        <v>1.0</v>
      </c>
      <c r="AD429" s="266" t="s">
        <v>166</v>
      </c>
      <c r="AE429" s="266" t="s">
        <v>166</v>
      </c>
      <c r="AF429" s="266">
        <f t="shared" si="1"/>
        <v>8</v>
      </c>
      <c r="AG429" s="266">
        <v>2.0</v>
      </c>
      <c r="AH429" s="266">
        <v>1.0</v>
      </c>
      <c r="AI429" s="266" t="s">
        <v>5025</v>
      </c>
      <c r="AJ429" s="266">
        <v>1.0</v>
      </c>
      <c r="AK429" s="48" t="s">
        <v>5038</v>
      </c>
      <c r="AL429" s="48">
        <v>2.5</v>
      </c>
      <c r="AM429" s="705" t="s">
        <v>166</v>
      </c>
      <c r="AN429" s="705" t="s">
        <v>166</v>
      </c>
      <c r="AO429" s="705" t="s">
        <v>166</v>
      </c>
      <c r="AP429" s="507" t="s">
        <v>166</v>
      </c>
      <c r="AQ429" s="507" t="s">
        <v>166</v>
      </c>
      <c r="AR429" s="48" t="s">
        <v>5039</v>
      </c>
      <c r="AS429" s="266" t="s">
        <v>174</v>
      </c>
      <c r="AT429" s="266">
        <v>5.0</v>
      </c>
      <c r="AU429" s="266" t="s">
        <v>166</v>
      </c>
      <c r="AV429" s="266">
        <v>1.0</v>
      </c>
      <c r="AW429" s="266">
        <v>1.0</v>
      </c>
      <c r="AX429" s="266" t="s">
        <v>166</v>
      </c>
      <c r="AY429" s="266" t="s">
        <v>166</v>
      </c>
      <c r="AZ429" s="266">
        <v>6.0</v>
      </c>
      <c r="BA429" s="266">
        <v>1.0</v>
      </c>
      <c r="BB429" s="266">
        <v>3.0</v>
      </c>
      <c r="BC429" s="266" t="s">
        <v>174</v>
      </c>
      <c r="BD429" s="266" t="s">
        <v>174</v>
      </c>
      <c r="BE429" s="48" t="s">
        <v>170</v>
      </c>
      <c r="BF429" s="48" t="s">
        <v>5800</v>
      </c>
      <c r="BG429" s="48" t="s">
        <v>4955</v>
      </c>
      <c r="BH429" s="48">
        <v>12.0</v>
      </c>
      <c r="BI429" s="698" t="s">
        <v>170</v>
      </c>
      <c r="BJ429" s="698"/>
      <c r="BK429" s="394"/>
      <c r="BL429" s="394"/>
      <c r="BM429" s="394"/>
      <c r="BN429" s="394"/>
      <c r="BO429" s="394"/>
      <c r="BP429" s="394"/>
    </row>
    <row r="430">
      <c r="A430" s="266" t="s">
        <v>1688</v>
      </c>
      <c r="B430" s="48">
        <v>1700.0</v>
      </c>
      <c r="C430" s="266" t="s">
        <v>5379</v>
      </c>
      <c r="D430" s="452" t="str">
        <f t="shared" si="56"/>
        <v>Asus</v>
      </c>
      <c r="E430" s="174" t="s">
        <v>5955</v>
      </c>
      <c r="F430" s="507">
        <v>244.0</v>
      </c>
      <c r="G430" s="507">
        <v>244.0</v>
      </c>
      <c r="H430" s="266">
        <v>5.0</v>
      </c>
      <c r="I430" s="266" t="s">
        <v>166</v>
      </c>
      <c r="J430" s="266">
        <v>1.0</v>
      </c>
      <c r="K430" s="266" t="s">
        <v>166</v>
      </c>
      <c r="L430" s="266" t="s">
        <v>166</v>
      </c>
      <c r="M430" s="266">
        <v>2.0</v>
      </c>
      <c r="N430" s="266" t="s">
        <v>166</v>
      </c>
      <c r="O430" s="266" t="s">
        <v>174</v>
      </c>
      <c r="P430" s="266" t="s">
        <v>166</v>
      </c>
      <c r="Q430" s="266" t="s">
        <v>166</v>
      </c>
      <c r="R430" s="266">
        <v>4.0</v>
      </c>
      <c r="S430" s="266" t="s">
        <v>3149</v>
      </c>
      <c r="T430" s="266">
        <v>128.0</v>
      </c>
      <c r="U430" s="266" t="s">
        <v>5286</v>
      </c>
      <c r="V430" s="266">
        <v>4.0</v>
      </c>
      <c r="W430" s="710" t="s">
        <v>5126</v>
      </c>
      <c r="X430" s="266">
        <v>2.0</v>
      </c>
      <c r="Y430" s="266">
        <v>1.0</v>
      </c>
      <c r="Z430" s="266" t="s">
        <v>166</v>
      </c>
      <c r="AA430" s="266">
        <v>4.0</v>
      </c>
      <c r="AB430" s="266" t="s">
        <v>166</v>
      </c>
      <c r="AC430" s="266">
        <v>1.0</v>
      </c>
      <c r="AD430" s="266" t="s">
        <v>166</v>
      </c>
      <c r="AE430" s="266" t="s">
        <v>166</v>
      </c>
      <c r="AF430" s="266">
        <f t="shared" si="1"/>
        <v>8</v>
      </c>
      <c r="AG430" s="266">
        <v>2.0</v>
      </c>
      <c r="AH430" s="266">
        <v>1.0</v>
      </c>
      <c r="AI430" s="507" t="s">
        <v>5049</v>
      </c>
      <c r="AJ430" s="266">
        <v>1.0</v>
      </c>
      <c r="AK430" s="48" t="s">
        <v>5038</v>
      </c>
      <c r="AL430" s="48">
        <v>2.5</v>
      </c>
      <c r="AM430" s="705" t="s">
        <v>166</v>
      </c>
      <c r="AN430" s="705" t="s">
        <v>166</v>
      </c>
      <c r="AO430" s="705" t="s">
        <v>166</v>
      </c>
      <c r="AP430" s="507" t="s">
        <v>166</v>
      </c>
      <c r="AQ430" s="507" t="s">
        <v>166</v>
      </c>
      <c r="AR430" s="48" t="s">
        <v>5039</v>
      </c>
      <c r="AS430" s="266" t="s">
        <v>174</v>
      </c>
      <c r="AT430" s="266">
        <v>5.0</v>
      </c>
      <c r="AU430" s="266" t="s">
        <v>166</v>
      </c>
      <c r="AV430" s="266">
        <v>1.0</v>
      </c>
      <c r="AW430" s="266">
        <v>1.0</v>
      </c>
      <c r="AX430" s="266" t="s">
        <v>166</v>
      </c>
      <c r="AY430" s="266" t="s">
        <v>166</v>
      </c>
      <c r="AZ430" s="266">
        <v>5.0</v>
      </c>
      <c r="BA430" s="266">
        <v>1.0</v>
      </c>
      <c r="BB430" s="266">
        <v>3.0</v>
      </c>
      <c r="BC430" s="266" t="s">
        <v>174</v>
      </c>
      <c r="BD430" s="266" t="s">
        <v>174</v>
      </c>
      <c r="BE430" s="48" t="s">
        <v>170</v>
      </c>
      <c r="BF430" s="48" t="s">
        <v>5800</v>
      </c>
      <c r="BG430" s="48" t="s">
        <v>4955</v>
      </c>
      <c r="BH430" s="48">
        <v>12.0</v>
      </c>
      <c r="BI430" s="698" t="s">
        <v>170</v>
      </c>
      <c r="BJ430" s="698"/>
      <c r="BK430" s="394"/>
      <c r="BL430" s="394"/>
      <c r="BM430" s="394"/>
      <c r="BN430" s="394"/>
      <c r="BO430" s="394"/>
      <c r="BP430" s="394"/>
    </row>
    <row r="431">
      <c r="A431" s="266" t="s">
        <v>1688</v>
      </c>
      <c r="B431" s="48">
        <v>1700.0</v>
      </c>
      <c r="C431" s="266" t="s">
        <v>5379</v>
      </c>
      <c r="D431" s="452" t="str">
        <f t="shared" si="56"/>
        <v>Asus</v>
      </c>
      <c r="E431" s="174" t="s">
        <v>5956</v>
      </c>
      <c r="F431" s="507">
        <v>244.0</v>
      </c>
      <c r="G431" s="507">
        <v>244.0</v>
      </c>
      <c r="H431" s="266">
        <v>5.0</v>
      </c>
      <c r="I431" s="266" t="s">
        <v>166</v>
      </c>
      <c r="J431" s="266">
        <v>1.0</v>
      </c>
      <c r="K431" s="266" t="s">
        <v>166</v>
      </c>
      <c r="L431" s="266" t="s">
        <v>166</v>
      </c>
      <c r="M431" s="266">
        <v>2.0</v>
      </c>
      <c r="N431" s="266" t="s">
        <v>166</v>
      </c>
      <c r="O431" s="266" t="s">
        <v>174</v>
      </c>
      <c r="P431" s="266" t="s">
        <v>166</v>
      </c>
      <c r="Q431" s="266" t="s">
        <v>166</v>
      </c>
      <c r="R431" s="266">
        <v>4.0</v>
      </c>
      <c r="S431" s="266" t="s">
        <v>3151</v>
      </c>
      <c r="T431" s="266">
        <v>192.0</v>
      </c>
      <c r="U431" s="266" t="s">
        <v>5084</v>
      </c>
      <c r="V431" s="266">
        <v>4.0</v>
      </c>
      <c r="W431" s="710" t="s">
        <v>5126</v>
      </c>
      <c r="X431" s="266">
        <v>2.0</v>
      </c>
      <c r="Y431" s="266">
        <v>3.0</v>
      </c>
      <c r="Z431" s="266" t="s">
        <v>166</v>
      </c>
      <c r="AA431" s="266">
        <v>2.0</v>
      </c>
      <c r="AB431" s="266" t="s">
        <v>166</v>
      </c>
      <c r="AC431" s="266">
        <v>1.0</v>
      </c>
      <c r="AD431" s="266" t="s">
        <v>166</v>
      </c>
      <c r="AE431" s="266" t="s">
        <v>166</v>
      </c>
      <c r="AF431" s="266">
        <f t="shared" si="1"/>
        <v>8</v>
      </c>
      <c r="AG431" s="266">
        <v>2.0</v>
      </c>
      <c r="AH431" s="266">
        <v>1.0</v>
      </c>
      <c r="AI431" s="266" t="s">
        <v>5025</v>
      </c>
      <c r="AJ431" s="266">
        <v>1.0</v>
      </c>
      <c r="AK431" s="48" t="s">
        <v>5038</v>
      </c>
      <c r="AL431" s="48">
        <v>2.5</v>
      </c>
      <c r="AM431" s="705">
        <v>1.0</v>
      </c>
      <c r="AN431" s="48" t="s">
        <v>5027</v>
      </c>
      <c r="AO431" s="705" t="s">
        <v>5257</v>
      </c>
      <c r="AP431" s="266">
        <v>2400.0</v>
      </c>
      <c r="AQ431" s="507">
        <v>5.2</v>
      </c>
      <c r="AR431" s="48" t="s">
        <v>5039</v>
      </c>
      <c r="AS431" s="266" t="s">
        <v>174</v>
      </c>
      <c r="AT431" s="266">
        <v>5.0</v>
      </c>
      <c r="AU431" s="266" t="s">
        <v>166</v>
      </c>
      <c r="AV431" s="266">
        <v>1.0</v>
      </c>
      <c r="AW431" s="266">
        <v>1.0</v>
      </c>
      <c r="AX431" s="266" t="s">
        <v>166</v>
      </c>
      <c r="AY431" s="266" t="s">
        <v>166</v>
      </c>
      <c r="AZ431" s="266">
        <v>6.0</v>
      </c>
      <c r="BA431" s="266">
        <v>1.0</v>
      </c>
      <c r="BB431" s="266">
        <v>3.0</v>
      </c>
      <c r="BC431" s="266" t="s">
        <v>174</v>
      </c>
      <c r="BD431" s="266" t="s">
        <v>174</v>
      </c>
      <c r="BE431" s="48" t="s">
        <v>170</v>
      </c>
      <c r="BF431" s="48" t="s">
        <v>5800</v>
      </c>
      <c r="BG431" s="48" t="s">
        <v>4955</v>
      </c>
      <c r="BH431" s="48">
        <v>12.0</v>
      </c>
      <c r="BI431" s="698" t="s">
        <v>170</v>
      </c>
      <c r="BJ431" s="698"/>
      <c r="BK431" s="394"/>
      <c r="BL431" s="394"/>
      <c r="BM431" s="394"/>
      <c r="BN431" s="394"/>
      <c r="BO431" s="394"/>
      <c r="BP431" s="394"/>
    </row>
    <row r="432">
      <c r="A432" s="266" t="s">
        <v>1688</v>
      </c>
      <c r="B432" s="48">
        <v>1700.0</v>
      </c>
      <c r="C432" s="266" t="s">
        <v>5379</v>
      </c>
      <c r="D432" s="452" t="str">
        <f t="shared" si="56"/>
        <v>Asus</v>
      </c>
      <c r="E432" s="174" t="s">
        <v>5957</v>
      </c>
      <c r="F432" s="507">
        <v>244.0</v>
      </c>
      <c r="G432" s="507">
        <v>244.0</v>
      </c>
      <c r="H432" s="266">
        <v>5.0</v>
      </c>
      <c r="I432" s="266" t="s">
        <v>166</v>
      </c>
      <c r="J432" s="266">
        <v>1.0</v>
      </c>
      <c r="K432" s="266" t="s">
        <v>166</v>
      </c>
      <c r="L432" s="266" t="s">
        <v>166</v>
      </c>
      <c r="M432" s="266">
        <v>2.0</v>
      </c>
      <c r="N432" s="266" t="s">
        <v>166</v>
      </c>
      <c r="O432" s="266" t="s">
        <v>174</v>
      </c>
      <c r="P432" s="266" t="s">
        <v>166</v>
      </c>
      <c r="Q432" s="266" t="s">
        <v>166</v>
      </c>
      <c r="R432" s="266">
        <v>4.0</v>
      </c>
      <c r="S432" s="266" t="s">
        <v>3149</v>
      </c>
      <c r="T432" s="266">
        <v>128.0</v>
      </c>
      <c r="U432" s="266" t="s">
        <v>5286</v>
      </c>
      <c r="V432" s="266">
        <v>4.0</v>
      </c>
      <c r="W432" s="710" t="s">
        <v>5126</v>
      </c>
      <c r="X432" s="266">
        <v>2.0</v>
      </c>
      <c r="Y432" s="266">
        <v>1.0</v>
      </c>
      <c r="Z432" s="266" t="s">
        <v>166</v>
      </c>
      <c r="AA432" s="266">
        <v>4.0</v>
      </c>
      <c r="AB432" s="266" t="s">
        <v>166</v>
      </c>
      <c r="AC432" s="266">
        <v>1.0</v>
      </c>
      <c r="AD432" s="266" t="s">
        <v>166</v>
      </c>
      <c r="AE432" s="266" t="s">
        <v>166</v>
      </c>
      <c r="AF432" s="266">
        <f t="shared" si="1"/>
        <v>8</v>
      </c>
      <c r="AG432" s="266">
        <v>2.0</v>
      </c>
      <c r="AH432" s="266">
        <v>1.0</v>
      </c>
      <c r="AI432" s="507" t="s">
        <v>5049</v>
      </c>
      <c r="AJ432" s="266">
        <v>1.0</v>
      </c>
      <c r="AK432" s="48" t="s">
        <v>5038</v>
      </c>
      <c r="AL432" s="48">
        <v>2.5</v>
      </c>
      <c r="AM432" s="705">
        <v>1.0</v>
      </c>
      <c r="AN432" s="48" t="s">
        <v>5027</v>
      </c>
      <c r="AO432" s="705" t="s">
        <v>5257</v>
      </c>
      <c r="AP432" s="266">
        <v>2400.0</v>
      </c>
      <c r="AQ432" s="507">
        <v>5.2</v>
      </c>
      <c r="AR432" s="48" t="s">
        <v>5039</v>
      </c>
      <c r="AS432" s="266" t="s">
        <v>174</v>
      </c>
      <c r="AT432" s="266">
        <v>5.0</v>
      </c>
      <c r="AU432" s="266" t="s">
        <v>166</v>
      </c>
      <c r="AV432" s="266">
        <v>1.0</v>
      </c>
      <c r="AW432" s="266">
        <v>1.0</v>
      </c>
      <c r="AX432" s="266" t="s">
        <v>166</v>
      </c>
      <c r="AY432" s="266" t="s">
        <v>166</v>
      </c>
      <c r="AZ432" s="266">
        <v>5.0</v>
      </c>
      <c r="BA432" s="266">
        <v>1.0</v>
      </c>
      <c r="BB432" s="266">
        <v>3.0</v>
      </c>
      <c r="BC432" s="266" t="s">
        <v>174</v>
      </c>
      <c r="BD432" s="266" t="s">
        <v>174</v>
      </c>
      <c r="BE432" s="48" t="s">
        <v>170</v>
      </c>
      <c r="BF432" s="48" t="s">
        <v>5800</v>
      </c>
      <c r="BG432" s="48" t="s">
        <v>4955</v>
      </c>
      <c r="BH432" s="48">
        <v>12.0</v>
      </c>
      <c r="BI432" s="698" t="s">
        <v>170</v>
      </c>
      <c r="BJ432" s="698"/>
      <c r="BK432" s="394"/>
      <c r="BL432" s="394"/>
      <c r="BM432" s="394"/>
      <c r="BN432" s="394"/>
      <c r="BO432" s="394"/>
      <c r="BP432" s="394"/>
    </row>
    <row r="433">
      <c r="A433" s="266" t="s">
        <v>1688</v>
      </c>
      <c r="B433" s="48">
        <v>1700.0</v>
      </c>
      <c r="C433" s="266" t="s">
        <v>5379</v>
      </c>
      <c r="D433" s="506" t="str">
        <f t="shared" ref="D433:D442" si="57">HYPERLINK("https://www.biostar.com.tw/app/en/","Biostar")</f>
        <v>Biostar</v>
      </c>
      <c r="E433" s="174" t="s">
        <v>5958</v>
      </c>
      <c r="F433" s="507">
        <v>244.0</v>
      </c>
      <c r="G433" s="507">
        <v>244.0</v>
      </c>
      <c r="H433" s="266">
        <v>5.0</v>
      </c>
      <c r="I433" s="266" t="s">
        <v>166</v>
      </c>
      <c r="J433" s="266">
        <v>1.0</v>
      </c>
      <c r="K433" s="266" t="s">
        <v>166</v>
      </c>
      <c r="L433" s="266" t="s">
        <v>166</v>
      </c>
      <c r="M433" s="266">
        <v>2.0</v>
      </c>
      <c r="N433" s="266" t="s">
        <v>166</v>
      </c>
      <c r="O433" s="266" t="s">
        <v>174</v>
      </c>
      <c r="P433" s="266" t="s">
        <v>174</v>
      </c>
      <c r="Q433" s="266" t="s">
        <v>166</v>
      </c>
      <c r="R433" s="266">
        <v>4.0</v>
      </c>
      <c r="S433" s="266" t="s">
        <v>3151</v>
      </c>
      <c r="T433" s="266">
        <v>192.0</v>
      </c>
      <c r="U433" s="266" t="s">
        <v>5368</v>
      </c>
      <c r="V433" s="266">
        <v>6.0</v>
      </c>
      <c r="W433" s="711" t="s">
        <v>5305</v>
      </c>
      <c r="X433" s="266">
        <v>2.0</v>
      </c>
      <c r="Y433" s="266" t="s">
        <v>166</v>
      </c>
      <c r="Z433" s="266" t="s">
        <v>166</v>
      </c>
      <c r="AA433" s="266">
        <v>5.0</v>
      </c>
      <c r="AB433" s="266">
        <v>1.0</v>
      </c>
      <c r="AC433" s="266" t="s">
        <v>166</v>
      </c>
      <c r="AD433" s="266" t="s">
        <v>166</v>
      </c>
      <c r="AE433" s="266" t="s">
        <v>166</v>
      </c>
      <c r="AF433" s="266">
        <f t="shared" si="1"/>
        <v>8</v>
      </c>
      <c r="AG433" s="266">
        <v>2.0</v>
      </c>
      <c r="AH433" s="266">
        <v>1.0</v>
      </c>
      <c r="AI433" s="266" t="s">
        <v>5025</v>
      </c>
      <c r="AJ433" s="266">
        <v>1.0</v>
      </c>
      <c r="AK433" s="48" t="s">
        <v>5038</v>
      </c>
      <c r="AL433" s="48">
        <v>2.5</v>
      </c>
      <c r="AM433" s="705">
        <v>1.0</v>
      </c>
      <c r="AN433" s="705" t="s">
        <v>166</v>
      </c>
      <c r="AO433" s="705" t="s">
        <v>232</v>
      </c>
      <c r="AP433" s="507" t="s">
        <v>166</v>
      </c>
      <c r="AQ433" s="507" t="s">
        <v>166</v>
      </c>
      <c r="AR433" s="48" t="s">
        <v>4952</v>
      </c>
      <c r="AS433" s="266" t="s">
        <v>166</v>
      </c>
      <c r="AT433" s="266">
        <v>3.0</v>
      </c>
      <c r="AU433" s="266" t="s">
        <v>166</v>
      </c>
      <c r="AV433" s="266">
        <v>1.0</v>
      </c>
      <c r="AW433" s="266">
        <v>1.0</v>
      </c>
      <c r="AX433" s="266" t="s">
        <v>166</v>
      </c>
      <c r="AY433" s="266" t="s">
        <v>166</v>
      </c>
      <c r="AZ433" s="266">
        <v>6.0</v>
      </c>
      <c r="BA433" s="266">
        <v>1.0</v>
      </c>
      <c r="BB433" s="266">
        <v>2.0</v>
      </c>
      <c r="BC433" s="266" t="s">
        <v>174</v>
      </c>
      <c r="BD433" s="266" t="s">
        <v>166</v>
      </c>
      <c r="BE433" s="48" t="s">
        <v>170</v>
      </c>
      <c r="BF433" s="48" t="s">
        <v>170</v>
      </c>
      <c r="BG433" s="48" t="s">
        <v>170</v>
      </c>
      <c r="BH433" s="48" t="s">
        <v>170</v>
      </c>
      <c r="BI433" s="698" t="s">
        <v>170</v>
      </c>
      <c r="BJ433" s="698"/>
      <c r="BK433" s="394"/>
      <c r="BL433" s="394"/>
      <c r="BM433" s="394"/>
      <c r="BN433" s="394"/>
      <c r="BO433" s="394"/>
      <c r="BP433" s="394"/>
    </row>
    <row r="434">
      <c r="A434" s="266" t="s">
        <v>1688</v>
      </c>
      <c r="B434" s="48">
        <v>1700.0</v>
      </c>
      <c r="C434" s="266" t="s">
        <v>5379</v>
      </c>
      <c r="D434" s="506" t="str">
        <f t="shared" si="57"/>
        <v>Biostar</v>
      </c>
      <c r="E434" s="174" t="s">
        <v>5959</v>
      </c>
      <c r="F434" s="507">
        <v>236.0</v>
      </c>
      <c r="G434" s="507">
        <v>208.0</v>
      </c>
      <c r="H434" s="266">
        <v>4.0</v>
      </c>
      <c r="I434" s="266" t="s">
        <v>166</v>
      </c>
      <c r="J434" s="266">
        <v>1.0</v>
      </c>
      <c r="K434" s="266" t="s">
        <v>166</v>
      </c>
      <c r="L434" s="266" t="s">
        <v>166</v>
      </c>
      <c r="M434" s="266">
        <v>1.0</v>
      </c>
      <c r="N434" s="266" t="s">
        <v>166</v>
      </c>
      <c r="O434" s="266" t="s">
        <v>174</v>
      </c>
      <c r="P434" s="266" t="s">
        <v>166</v>
      </c>
      <c r="Q434" s="266" t="s">
        <v>166</v>
      </c>
      <c r="R434" s="266">
        <v>2.0</v>
      </c>
      <c r="S434" s="266" t="s">
        <v>3149</v>
      </c>
      <c r="T434" s="266">
        <v>64.0</v>
      </c>
      <c r="U434" s="266" t="s">
        <v>5213</v>
      </c>
      <c r="V434" s="266">
        <v>4.0</v>
      </c>
      <c r="W434" s="710" t="s">
        <v>4950</v>
      </c>
      <c r="X434" s="266">
        <v>4.0</v>
      </c>
      <c r="Y434" s="266">
        <v>2.0</v>
      </c>
      <c r="Z434" s="266" t="s">
        <v>166</v>
      </c>
      <c r="AA434" s="266" t="s">
        <v>166</v>
      </c>
      <c r="AB434" s="266" t="s">
        <v>166</v>
      </c>
      <c r="AC434" s="266" t="s">
        <v>166</v>
      </c>
      <c r="AD434" s="266" t="s">
        <v>166</v>
      </c>
      <c r="AE434" s="266" t="s">
        <v>166</v>
      </c>
      <c r="AF434" s="266">
        <f t="shared" si="1"/>
        <v>6</v>
      </c>
      <c r="AG434" s="266">
        <v>2.0</v>
      </c>
      <c r="AH434" s="266">
        <v>1.0</v>
      </c>
      <c r="AI434" s="266" t="s">
        <v>166</v>
      </c>
      <c r="AJ434" s="266">
        <v>1.0</v>
      </c>
      <c r="AK434" s="705" t="s">
        <v>5133</v>
      </c>
      <c r="AL434" s="48">
        <v>1.0</v>
      </c>
      <c r="AM434" s="705" t="s">
        <v>166</v>
      </c>
      <c r="AN434" s="705" t="s">
        <v>166</v>
      </c>
      <c r="AO434" s="705" t="s">
        <v>166</v>
      </c>
      <c r="AP434" s="507" t="s">
        <v>166</v>
      </c>
      <c r="AQ434" s="507" t="s">
        <v>166</v>
      </c>
      <c r="AR434" s="48" t="s">
        <v>5039</v>
      </c>
      <c r="AS434" s="266" t="s">
        <v>166</v>
      </c>
      <c r="AT434" s="266">
        <v>3.0</v>
      </c>
      <c r="AU434" s="266">
        <v>1.0</v>
      </c>
      <c r="AV434" s="266" t="s">
        <v>166</v>
      </c>
      <c r="AW434" s="266">
        <v>1.0</v>
      </c>
      <c r="AX434" s="266" t="s">
        <v>166</v>
      </c>
      <c r="AY434" s="266">
        <v>1.0</v>
      </c>
      <c r="AZ434" s="266">
        <v>2.0</v>
      </c>
      <c r="BA434" s="266" t="s">
        <v>166</v>
      </c>
      <c r="BB434" s="266" t="s">
        <v>166</v>
      </c>
      <c r="BC434" s="266" t="s">
        <v>174</v>
      </c>
      <c r="BD434" s="266" t="s">
        <v>166</v>
      </c>
      <c r="BE434" s="48" t="s">
        <v>170</v>
      </c>
      <c r="BF434" s="48" t="s">
        <v>170</v>
      </c>
      <c r="BG434" s="48" t="s">
        <v>170</v>
      </c>
      <c r="BH434" s="48" t="s">
        <v>170</v>
      </c>
      <c r="BI434" s="698" t="s">
        <v>170</v>
      </c>
      <c r="BJ434" s="698"/>
      <c r="BK434" s="394"/>
      <c r="BL434" s="394"/>
      <c r="BM434" s="394"/>
      <c r="BN434" s="394"/>
      <c r="BO434" s="394"/>
      <c r="BP434" s="394"/>
    </row>
    <row r="435">
      <c r="A435" s="266" t="s">
        <v>1688</v>
      </c>
      <c r="B435" s="48">
        <v>1700.0</v>
      </c>
      <c r="C435" s="266" t="s">
        <v>5379</v>
      </c>
      <c r="D435" s="506" t="str">
        <f t="shared" si="57"/>
        <v>Biostar</v>
      </c>
      <c r="E435" s="174" t="s">
        <v>5960</v>
      </c>
      <c r="F435" s="507">
        <v>236.0</v>
      </c>
      <c r="G435" s="507">
        <v>208.0</v>
      </c>
      <c r="H435" s="266">
        <v>4.0</v>
      </c>
      <c r="I435" s="266" t="s">
        <v>166</v>
      </c>
      <c r="J435" s="266">
        <v>1.0</v>
      </c>
      <c r="K435" s="266" t="s">
        <v>166</v>
      </c>
      <c r="L435" s="266" t="s">
        <v>166</v>
      </c>
      <c r="M435" s="266">
        <v>1.0</v>
      </c>
      <c r="N435" s="266" t="s">
        <v>166</v>
      </c>
      <c r="O435" s="266" t="s">
        <v>174</v>
      </c>
      <c r="P435" s="266" t="s">
        <v>166</v>
      </c>
      <c r="Q435" s="266" t="s">
        <v>166</v>
      </c>
      <c r="R435" s="266">
        <v>2.0</v>
      </c>
      <c r="S435" s="266" t="s">
        <v>3151</v>
      </c>
      <c r="T435" s="266">
        <v>96.0</v>
      </c>
      <c r="U435" s="266" t="s">
        <v>5368</v>
      </c>
      <c r="V435" s="266">
        <v>4.0</v>
      </c>
      <c r="W435" s="710" t="s">
        <v>4950</v>
      </c>
      <c r="X435" s="266">
        <v>4.0</v>
      </c>
      <c r="Y435" s="266">
        <v>2.0</v>
      </c>
      <c r="Z435" s="266" t="s">
        <v>166</v>
      </c>
      <c r="AA435" s="266" t="s">
        <v>166</v>
      </c>
      <c r="AB435" s="266" t="s">
        <v>166</v>
      </c>
      <c r="AC435" s="266" t="s">
        <v>166</v>
      </c>
      <c r="AD435" s="266" t="s">
        <v>166</v>
      </c>
      <c r="AE435" s="266" t="s">
        <v>166</v>
      </c>
      <c r="AF435" s="266">
        <f t="shared" si="1"/>
        <v>6</v>
      </c>
      <c r="AG435" s="266">
        <v>2.0</v>
      </c>
      <c r="AH435" s="266">
        <v>1.0</v>
      </c>
      <c r="AI435" s="266" t="s">
        <v>166</v>
      </c>
      <c r="AJ435" s="266">
        <v>1.0</v>
      </c>
      <c r="AK435" s="705" t="s">
        <v>5133</v>
      </c>
      <c r="AL435" s="48">
        <v>1.0</v>
      </c>
      <c r="AM435" s="705">
        <v>1.0</v>
      </c>
      <c r="AN435" s="705" t="s">
        <v>166</v>
      </c>
      <c r="AO435" s="705" t="s">
        <v>232</v>
      </c>
      <c r="AP435" s="507" t="s">
        <v>166</v>
      </c>
      <c r="AQ435" s="507" t="s">
        <v>166</v>
      </c>
      <c r="AR435" s="48" t="s">
        <v>5039</v>
      </c>
      <c r="AS435" s="266" t="s">
        <v>166</v>
      </c>
      <c r="AT435" s="266">
        <v>3.0</v>
      </c>
      <c r="AU435" s="266">
        <v>1.0</v>
      </c>
      <c r="AV435" s="266" t="s">
        <v>166</v>
      </c>
      <c r="AW435" s="266">
        <v>1.0</v>
      </c>
      <c r="AX435" s="266">
        <v>1.0</v>
      </c>
      <c r="AY435" s="266">
        <v>1.0</v>
      </c>
      <c r="AZ435" s="266">
        <v>2.0</v>
      </c>
      <c r="BA435" s="266" t="s">
        <v>166</v>
      </c>
      <c r="BB435" s="266" t="s">
        <v>166</v>
      </c>
      <c r="BC435" s="266" t="s">
        <v>174</v>
      </c>
      <c r="BD435" s="266" t="s">
        <v>166</v>
      </c>
      <c r="BE435" s="48" t="s">
        <v>170</v>
      </c>
      <c r="BF435" s="48" t="s">
        <v>170</v>
      </c>
      <c r="BG435" s="48" t="s">
        <v>170</v>
      </c>
      <c r="BH435" s="48" t="s">
        <v>170</v>
      </c>
      <c r="BI435" s="698" t="s">
        <v>170</v>
      </c>
      <c r="BJ435" s="698"/>
      <c r="BK435" s="394"/>
      <c r="BL435" s="394"/>
      <c r="BM435" s="394"/>
      <c r="BN435" s="394"/>
      <c r="BO435" s="394"/>
      <c r="BP435" s="394"/>
    </row>
    <row r="436">
      <c r="A436" s="266" t="s">
        <v>1688</v>
      </c>
      <c r="B436" s="48">
        <v>1700.0</v>
      </c>
      <c r="C436" s="266" t="s">
        <v>5379</v>
      </c>
      <c r="D436" s="506" t="str">
        <f t="shared" si="57"/>
        <v>Biostar</v>
      </c>
      <c r="E436" s="174" t="s">
        <v>5961</v>
      </c>
      <c r="F436" s="507">
        <v>236.0</v>
      </c>
      <c r="G436" s="507">
        <v>208.0</v>
      </c>
      <c r="H436" s="266">
        <v>4.0</v>
      </c>
      <c r="I436" s="266" t="s">
        <v>166</v>
      </c>
      <c r="J436" s="266">
        <v>1.0</v>
      </c>
      <c r="K436" s="266" t="s">
        <v>166</v>
      </c>
      <c r="L436" s="266" t="s">
        <v>166</v>
      </c>
      <c r="M436" s="266">
        <v>1.0</v>
      </c>
      <c r="N436" s="266" t="s">
        <v>166</v>
      </c>
      <c r="O436" s="266" t="s">
        <v>174</v>
      </c>
      <c r="P436" s="266" t="s">
        <v>166</v>
      </c>
      <c r="Q436" s="266" t="s">
        <v>166</v>
      </c>
      <c r="R436" s="266">
        <v>2.0</v>
      </c>
      <c r="S436" s="266" t="s">
        <v>3149</v>
      </c>
      <c r="T436" s="266">
        <v>64.0</v>
      </c>
      <c r="U436" s="266" t="s">
        <v>5213</v>
      </c>
      <c r="V436" s="266">
        <v>4.0</v>
      </c>
      <c r="W436" s="710" t="s">
        <v>4950</v>
      </c>
      <c r="X436" s="266">
        <v>4.0</v>
      </c>
      <c r="Y436" s="266">
        <v>2.0</v>
      </c>
      <c r="Z436" s="266" t="s">
        <v>166</v>
      </c>
      <c r="AA436" s="266" t="s">
        <v>166</v>
      </c>
      <c r="AB436" s="266" t="s">
        <v>166</v>
      </c>
      <c r="AC436" s="266" t="s">
        <v>166</v>
      </c>
      <c r="AD436" s="266" t="s">
        <v>166</v>
      </c>
      <c r="AE436" s="266" t="s">
        <v>166</v>
      </c>
      <c r="AF436" s="266">
        <f t="shared" si="1"/>
        <v>6</v>
      </c>
      <c r="AG436" s="266">
        <v>2.0</v>
      </c>
      <c r="AH436" s="266">
        <v>1.0</v>
      </c>
      <c r="AI436" s="266" t="s">
        <v>166</v>
      </c>
      <c r="AJ436" s="266">
        <v>1.0</v>
      </c>
      <c r="AK436" s="705" t="s">
        <v>5133</v>
      </c>
      <c r="AL436" s="48">
        <v>1.0</v>
      </c>
      <c r="AM436" s="705">
        <v>1.0</v>
      </c>
      <c r="AN436" s="705" t="s">
        <v>166</v>
      </c>
      <c r="AO436" s="705" t="s">
        <v>232</v>
      </c>
      <c r="AP436" s="507" t="s">
        <v>166</v>
      </c>
      <c r="AQ436" s="507" t="s">
        <v>166</v>
      </c>
      <c r="AR436" s="48" t="s">
        <v>5039</v>
      </c>
      <c r="AS436" s="266" t="s">
        <v>166</v>
      </c>
      <c r="AT436" s="266">
        <v>3.0</v>
      </c>
      <c r="AU436" s="266">
        <v>1.0</v>
      </c>
      <c r="AV436" s="266" t="s">
        <v>166</v>
      </c>
      <c r="AW436" s="266">
        <v>1.0</v>
      </c>
      <c r="AX436" s="266">
        <v>1.0</v>
      </c>
      <c r="AY436" s="266">
        <v>1.0</v>
      </c>
      <c r="AZ436" s="266">
        <v>2.0</v>
      </c>
      <c r="BA436" s="266" t="s">
        <v>166</v>
      </c>
      <c r="BB436" s="266" t="s">
        <v>166</v>
      </c>
      <c r="BC436" s="266" t="s">
        <v>174</v>
      </c>
      <c r="BD436" s="266" t="s">
        <v>166</v>
      </c>
      <c r="BE436" s="48" t="s">
        <v>170</v>
      </c>
      <c r="BF436" s="48" t="s">
        <v>170</v>
      </c>
      <c r="BG436" s="48" t="s">
        <v>170</v>
      </c>
      <c r="BH436" s="48" t="s">
        <v>170</v>
      </c>
      <c r="BI436" s="698" t="s">
        <v>170</v>
      </c>
      <c r="BJ436" s="698"/>
      <c r="BK436" s="394"/>
      <c r="BL436" s="394"/>
      <c r="BM436" s="394"/>
      <c r="BN436" s="394"/>
      <c r="BO436" s="394"/>
      <c r="BP436" s="394"/>
    </row>
    <row r="437">
      <c r="A437" s="266" t="s">
        <v>1688</v>
      </c>
      <c r="B437" s="48">
        <v>1700.0</v>
      </c>
      <c r="C437" s="266" t="s">
        <v>5379</v>
      </c>
      <c r="D437" s="506" t="str">
        <f t="shared" si="57"/>
        <v>Biostar</v>
      </c>
      <c r="E437" s="174" t="s">
        <v>5962</v>
      </c>
      <c r="F437" s="507">
        <v>236.0</v>
      </c>
      <c r="G437" s="507">
        <v>208.0</v>
      </c>
      <c r="H437" s="266">
        <v>4.0</v>
      </c>
      <c r="I437" s="266" t="s">
        <v>166</v>
      </c>
      <c r="J437" s="266">
        <v>1.0</v>
      </c>
      <c r="K437" s="266" t="s">
        <v>166</v>
      </c>
      <c r="L437" s="266" t="s">
        <v>166</v>
      </c>
      <c r="M437" s="266">
        <v>1.0</v>
      </c>
      <c r="N437" s="266" t="s">
        <v>166</v>
      </c>
      <c r="O437" s="266" t="s">
        <v>174</v>
      </c>
      <c r="P437" s="266" t="s">
        <v>166</v>
      </c>
      <c r="Q437" s="266" t="s">
        <v>166</v>
      </c>
      <c r="R437" s="266">
        <v>2.0</v>
      </c>
      <c r="S437" s="266" t="s">
        <v>3151</v>
      </c>
      <c r="T437" s="266">
        <v>96.0</v>
      </c>
      <c r="U437" s="266" t="s">
        <v>5368</v>
      </c>
      <c r="V437" s="266">
        <v>4.0</v>
      </c>
      <c r="W437" s="710" t="s">
        <v>4950</v>
      </c>
      <c r="X437" s="266">
        <v>4.0</v>
      </c>
      <c r="Y437" s="266">
        <v>2.0</v>
      </c>
      <c r="Z437" s="266" t="s">
        <v>166</v>
      </c>
      <c r="AA437" s="266" t="s">
        <v>166</v>
      </c>
      <c r="AB437" s="266" t="s">
        <v>166</v>
      </c>
      <c r="AC437" s="266" t="s">
        <v>166</v>
      </c>
      <c r="AD437" s="266" t="s">
        <v>166</v>
      </c>
      <c r="AE437" s="266" t="s">
        <v>166</v>
      </c>
      <c r="AF437" s="266">
        <f t="shared" si="1"/>
        <v>6</v>
      </c>
      <c r="AG437" s="266">
        <v>2.0</v>
      </c>
      <c r="AH437" s="266">
        <v>1.0</v>
      </c>
      <c r="AI437" s="266" t="s">
        <v>166</v>
      </c>
      <c r="AJ437" s="266">
        <v>1.0</v>
      </c>
      <c r="AK437" s="48" t="s">
        <v>5038</v>
      </c>
      <c r="AL437" s="48">
        <v>2.5</v>
      </c>
      <c r="AM437" s="705">
        <v>1.0</v>
      </c>
      <c r="AN437" s="705" t="s">
        <v>166</v>
      </c>
      <c r="AO437" s="705" t="s">
        <v>232</v>
      </c>
      <c r="AP437" s="507" t="s">
        <v>166</v>
      </c>
      <c r="AQ437" s="507" t="s">
        <v>166</v>
      </c>
      <c r="AR437" s="48" t="s">
        <v>5039</v>
      </c>
      <c r="AS437" s="266" t="s">
        <v>166</v>
      </c>
      <c r="AT437" s="266">
        <v>3.0</v>
      </c>
      <c r="AU437" s="266">
        <v>1.0</v>
      </c>
      <c r="AV437" s="266" t="s">
        <v>166</v>
      </c>
      <c r="AW437" s="266">
        <v>1.0</v>
      </c>
      <c r="AX437" s="266">
        <v>1.0</v>
      </c>
      <c r="AY437" s="266">
        <v>1.0</v>
      </c>
      <c r="AZ437" s="266">
        <v>2.0</v>
      </c>
      <c r="BA437" s="266" t="s">
        <v>166</v>
      </c>
      <c r="BB437" s="266" t="s">
        <v>166</v>
      </c>
      <c r="BC437" s="266" t="s">
        <v>174</v>
      </c>
      <c r="BD437" s="266" t="s">
        <v>166</v>
      </c>
      <c r="BE437" s="48" t="s">
        <v>170</v>
      </c>
      <c r="BF437" s="48" t="s">
        <v>170</v>
      </c>
      <c r="BG437" s="48" t="s">
        <v>170</v>
      </c>
      <c r="BH437" s="48" t="s">
        <v>170</v>
      </c>
      <c r="BI437" s="698" t="s">
        <v>170</v>
      </c>
      <c r="BJ437" s="698"/>
      <c r="BK437" s="394"/>
      <c r="BL437" s="394"/>
      <c r="BM437" s="394"/>
      <c r="BN437" s="394"/>
      <c r="BO437" s="394"/>
      <c r="BP437" s="394"/>
    </row>
    <row r="438">
      <c r="A438" s="266" t="s">
        <v>1688</v>
      </c>
      <c r="B438" s="48">
        <v>1700.0</v>
      </c>
      <c r="C438" s="266" t="s">
        <v>5379</v>
      </c>
      <c r="D438" s="506" t="str">
        <f t="shared" si="57"/>
        <v>Biostar</v>
      </c>
      <c r="E438" s="174" t="s">
        <v>5963</v>
      </c>
      <c r="F438" s="507">
        <v>236.0</v>
      </c>
      <c r="G438" s="507">
        <v>208.0</v>
      </c>
      <c r="H438" s="266">
        <v>4.0</v>
      </c>
      <c r="I438" s="266" t="s">
        <v>166</v>
      </c>
      <c r="J438" s="266">
        <v>1.0</v>
      </c>
      <c r="K438" s="266" t="s">
        <v>166</v>
      </c>
      <c r="L438" s="266" t="s">
        <v>166</v>
      </c>
      <c r="M438" s="266">
        <v>1.0</v>
      </c>
      <c r="N438" s="266" t="s">
        <v>166</v>
      </c>
      <c r="O438" s="266" t="s">
        <v>174</v>
      </c>
      <c r="P438" s="266" t="s">
        <v>166</v>
      </c>
      <c r="Q438" s="266" t="s">
        <v>166</v>
      </c>
      <c r="R438" s="266">
        <v>2.0</v>
      </c>
      <c r="S438" s="266" t="s">
        <v>3149</v>
      </c>
      <c r="T438" s="266">
        <v>64.0</v>
      </c>
      <c r="U438" s="266" t="s">
        <v>5213</v>
      </c>
      <c r="V438" s="266">
        <v>4.0</v>
      </c>
      <c r="W438" s="710" t="s">
        <v>4950</v>
      </c>
      <c r="X438" s="266">
        <v>4.0</v>
      </c>
      <c r="Y438" s="266">
        <v>2.0</v>
      </c>
      <c r="Z438" s="266" t="s">
        <v>166</v>
      </c>
      <c r="AA438" s="266" t="s">
        <v>166</v>
      </c>
      <c r="AB438" s="266" t="s">
        <v>166</v>
      </c>
      <c r="AC438" s="266" t="s">
        <v>166</v>
      </c>
      <c r="AD438" s="266" t="s">
        <v>166</v>
      </c>
      <c r="AE438" s="266" t="s">
        <v>166</v>
      </c>
      <c r="AF438" s="266">
        <f t="shared" si="1"/>
        <v>6</v>
      </c>
      <c r="AG438" s="266">
        <v>2.0</v>
      </c>
      <c r="AH438" s="266">
        <v>1.0</v>
      </c>
      <c r="AI438" s="266" t="s">
        <v>166</v>
      </c>
      <c r="AJ438" s="266">
        <v>1.0</v>
      </c>
      <c r="AK438" s="48" t="s">
        <v>5038</v>
      </c>
      <c r="AL438" s="48">
        <v>2.5</v>
      </c>
      <c r="AM438" s="705">
        <v>1.0</v>
      </c>
      <c r="AN438" s="705" t="s">
        <v>166</v>
      </c>
      <c r="AO438" s="705" t="s">
        <v>232</v>
      </c>
      <c r="AP438" s="507" t="s">
        <v>166</v>
      </c>
      <c r="AQ438" s="507" t="s">
        <v>166</v>
      </c>
      <c r="AR438" s="48" t="s">
        <v>5039</v>
      </c>
      <c r="AS438" s="266" t="s">
        <v>166</v>
      </c>
      <c r="AT438" s="266">
        <v>3.0</v>
      </c>
      <c r="AU438" s="266">
        <v>1.0</v>
      </c>
      <c r="AV438" s="266" t="s">
        <v>166</v>
      </c>
      <c r="AW438" s="266">
        <v>1.0</v>
      </c>
      <c r="AX438" s="266">
        <v>1.0</v>
      </c>
      <c r="AY438" s="266">
        <v>1.0</v>
      </c>
      <c r="AZ438" s="266">
        <v>2.0</v>
      </c>
      <c r="BA438" s="266" t="s">
        <v>166</v>
      </c>
      <c r="BB438" s="266" t="s">
        <v>166</v>
      </c>
      <c r="BC438" s="266" t="s">
        <v>174</v>
      </c>
      <c r="BD438" s="266" t="s">
        <v>166</v>
      </c>
      <c r="BE438" s="48" t="s">
        <v>170</v>
      </c>
      <c r="BF438" s="48" t="s">
        <v>170</v>
      </c>
      <c r="BG438" s="48" t="s">
        <v>170</v>
      </c>
      <c r="BH438" s="48" t="s">
        <v>170</v>
      </c>
      <c r="BI438" s="698" t="s">
        <v>170</v>
      </c>
      <c r="BJ438" s="698"/>
      <c r="BK438" s="394"/>
      <c r="BL438" s="394"/>
      <c r="BM438" s="394"/>
      <c r="BN438" s="394"/>
      <c r="BO438" s="394"/>
      <c r="BP438" s="394"/>
    </row>
    <row r="439">
      <c r="A439" s="266" t="s">
        <v>1688</v>
      </c>
      <c r="B439" s="48">
        <v>1700.0</v>
      </c>
      <c r="C439" s="266" t="s">
        <v>5379</v>
      </c>
      <c r="D439" s="506" t="str">
        <f t="shared" si="57"/>
        <v>Biostar</v>
      </c>
      <c r="E439" s="174" t="s">
        <v>5964</v>
      </c>
      <c r="F439" s="507">
        <v>244.0</v>
      </c>
      <c r="G439" s="507">
        <v>244.0</v>
      </c>
      <c r="H439" s="266">
        <v>4.0</v>
      </c>
      <c r="I439" s="266" t="s">
        <v>166</v>
      </c>
      <c r="J439" s="266">
        <v>3.0</v>
      </c>
      <c r="K439" s="266" t="s">
        <v>166</v>
      </c>
      <c r="L439" s="266" t="s">
        <v>166</v>
      </c>
      <c r="M439" s="266">
        <v>1.0</v>
      </c>
      <c r="N439" s="266" t="s">
        <v>166</v>
      </c>
      <c r="O439" s="266" t="s">
        <v>174</v>
      </c>
      <c r="P439" s="266" t="s">
        <v>166</v>
      </c>
      <c r="Q439" s="266" t="s">
        <v>166</v>
      </c>
      <c r="R439" s="266">
        <v>4.0</v>
      </c>
      <c r="S439" s="266" t="s">
        <v>3149</v>
      </c>
      <c r="T439" s="266">
        <v>128.0</v>
      </c>
      <c r="U439" s="266" t="s">
        <v>5047</v>
      </c>
      <c r="V439" s="266">
        <v>8.0</v>
      </c>
      <c r="W439" s="710" t="s">
        <v>5126</v>
      </c>
      <c r="X439" s="266">
        <v>2.0</v>
      </c>
      <c r="Y439" s="266">
        <v>3.0</v>
      </c>
      <c r="Z439" s="266" t="s">
        <v>166</v>
      </c>
      <c r="AA439" s="266" t="s">
        <v>166</v>
      </c>
      <c r="AB439" s="266" t="s">
        <v>166</v>
      </c>
      <c r="AC439" s="266" t="s">
        <v>166</v>
      </c>
      <c r="AD439" s="266" t="s">
        <v>166</v>
      </c>
      <c r="AE439" s="266" t="s">
        <v>166</v>
      </c>
      <c r="AF439" s="266">
        <f t="shared" si="1"/>
        <v>5</v>
      </c>
      <c r="AG439" s="266">
        <v>3.0</v>
      </c>
      <c r="AH439" s="266">
        <v>1.0</v>
      </c>
      <c r="AI439" s="266" t="s">
        <v>5025</v>
      </c>
      <c r="AJ439" s="266">
        <v>1.0</v>
      </c>
      <c r="AK439" s="48" t="s">
        <v>5038</v>
      </c>
      <c r="AL439" s="48">
        <v>2.5</v>
      </c>
      <c r="AM439" s="705">
        <v>1.0</v>
      </c>
      <c r="AN439" s="705" t="s">
        <v>166</v>
      </c>
      <c r="AO439" s="705" t="s">
        <v>232</v>
      </c>
      <c r="AP439" s="507" t="s">
        <v>166</v>
      </c>
      <c r="AQ439" s="507" t="s">
        <v>166</v>
      </c>
      <c r="AR439" s="48" t="s">
        <v>5039</v>
      </c>
      <c r="AS439" s="266" t="s">
        <v>166</v>
      </c>
      <c r="AT439" s="266">
        <v>3.0</v>
      </c>
      <c r="AU439" s="266">
        <v>1.0</v>
      </c>
      <c r="AV439" s="266">
        <v>1.0</v>
      </c>
      <c r="AW439" s="266">
        <v>1.0</v>
      </c>
      <c r="AX439" s="266" t="s">
        <v>166</v>
      </c>
      <c r="AY439" s="266">
        <v>1.0</v>
      </c>
      <c r="AZ439" s="266">
        <v>2.0</v>
      </c>
      <c r="BA439" s="266">
        <v>1.0</v>
      </c>
      <c r="BB439" s="266">
        <v>2.0</v>
      </c>
      <c r="BC439" s="266" t="s">
        <v>174</v>
      </c>
      <c r="BD439" s="266" t="s">
        <v>166</v>
      </c>
      <c r="BE439" s="48" t="s">
        <v>170</v>
      </c>
      <c r="BF439" s="48" t="s">
        <v>170</v>
      </c>
      <c r="BG439" s="48" t="s">
        <v>170</v>
      </c>
      <c r="BH439" s="48" t="s">
        <v>170</v>
      </c>
      <c r="BI439" s="698" t="s">
        <v>170</v>
      </c>
      <c r="BJ439" s="698"/>
      <c r="BK439" s="394"/>
      <c r="BL439" s="394"/>
      <c r="BM439" s="394"/>
      <c r="BN439" s="394"/>
      <c r="BO439" s="394"/>
      <c r="BP439" s="394"/>
    </row>
    <row r="440">
      <c r="A440" s="266" t="s">
        <v>1688</v>
      </c>
      <c r="B440" s="48">
        <v>1700.0</v>
      </c>
      <c r="C440" s="266" t="s">
        <v>5379</v>
      </c>
      <c r="D440" s="506" t="str">
        <f t="shared" si="57"/>
        <v>Biostar</v>
      </c>
      <c r="E440" s="174" t="s">
        <v>5965</v>
      </c>
      <c r="F440" s="507">
        <v>244.0</v>
      </c>
      <c r="G440" s="507">
        <v>244.0</v>
      </c>
      <c r="H440" s="266">
        <v>4.0</v>
      </c>
      <c r="I440" s="266" t="s">
        <v>166</v>
      </c>
      <c r="J440" s="266" t="s">
        <v>166</v>
      </c>
      <c r="K440" s="266" t="s">
        <v>166</v>
      </c>
      <c r="L440" s="266" t="s">
        <v>166</v>
      </c>
      <c r="M440" s="266">
        <v>4.0</v>
      </c>
      <c r="N440" s="266" t="s">
        <v>166</v>
      </c>
      <c r="O440" s="266" t="s">
        <v>174</v>
      </c>
      <c r="P440" s="266" t="s">
        <v>166</v>
      </c>
      <c r="Q440" s="266" t="s">
        <v>166</v>
      </c>
      <c r="R440" s="266">
        <v>4.0</v>
      </c>
      <c r="S440" s="266" t="s">
        <v>3151</v>
      </c>
      <c r="T440" s="266">
        <v>192.0</v>
      </c>
      <c r="U440" s="266" t="s">
        <v>5368</v>
      </c>
      <c r="V440" s="266">
        <v>8.0</v>
      </c>
      <c r="W440" s="710" t="s">
        <v>5126</v>
      </c>
      <c r="X440" s="266">
        <v>2.0</v>
      </c>
      <c r="Y440" s="266">
        <v>3.0</v>
      </c>
      <c r="Z440" s="266" t="s">
        <v>166</v>
      </c>
      <c r="AA440" s="266" t="s">
        <v>166</v>
      </c>
      <c r="AB440" s="266" t="s">
        <v>166</v>
      </c>
      <c r="AC440" s="266" t="s">
        <v>166</v>
      </c>
      <c r="AD440" s="266" t="s">
        <v>166</v>
      </c>
      <c r="AE440" s="266" t="s">
        <v>166</v>
      </c>
      <c r="AF440" s="266">
        <f t="shared" si="1"/>
        <v>5</v>
      </c>
      <c r="AG440" s="266">
        <v>3.0</v>
      </c>
      <c r="AH440" s="266">
        <v>1.0</v>
      </c>
      <c r="AI440" s="266" t="s">
        <v>5025</v>
      </c>
      <c r="AJ440" s="266">
        <v>1.0</v>
      </c>
      <c r="AK440" s="48" t="s">
        <v>5038</v>
      </c>
      <c r="AL440" s="48">
        <v>2.5</v>
      </c>
      <c r="AM440" s="705">
        <v>1.0</v>
      </c>
      <c r="AN440" s="705" t="s">
        <v>166</v>
      </c>
      <c r="AO440" s="705" t="s">
        <v>232</v>
      </c>
      <c r="AP440" s="507" t="s">
        <v>166</v>
      </c>
      <c r="AQ440" s="507" t="s">
        <v>166</v>
      </c>
      <c r="AR440" s="48" t="s">
        <v>5039</v>
      </c>
      <c r="AS440" s="266" t="s">
        <v>166</v>
      </c>
      <c r="AT440" s="266">
        <v>3.0</v>
      </c>
      <c r="AU440" s="266">
        <v>1.0</v>
      </c>
      <c r="AV440" s="266" t="s">
        <v>166</v>
      </c>
      <c r="AW440" s="266">
        <v>1.0</v>
      </c>
      <c r="AX440" s="266">
        <v>1.0</v>
      </c>
      <c r="AY440" s="266">
        <v>1.0</v>
      </c>
      <c r="AZ440" s="266">
        <v>2.0</v>
      </c>
      <c r="BA440" s="266">
        <v>1.0</v>
      </c>
      <c r="BB440" s="266">
        <v>2.0</v>
      </c>
      <c r="BC440" s="266" t="s">
        <v>174</v>
      </c>
      <c r="BD440" s="266" t="s">
        <v>166</v>
      </c>
      <c r="BE440" s="48" t="s">
        <v>170</v>
      </c>
      <c r="BF440" s="48" t="s">
        <v>170</v>
      </c>
      <c r="BG440" s="48" t="s">
        <v>170</v>
      </c>
      <c r="BH440" s="48" t="s">
        <v>170</v>
      </c>
      <c r="BI440" s="698" t="s">
        <v>170</v>
      </c>
      <c r="BJ440" s="698"/>
      <c r="BK440" s="394"/>
      <c r="BL440" s="394"/>
      <c r="BM440" s="394"/>
      <c r="BN440" s="394"/>
      <c r="BO440" s="394"/>
      <c r="BP440" s="394"/>
    </row>
    <row r="441">
      <c r="A441" s="266" t="s">
        <v>1688</v>
      </c>
      <c r="B441" s="48">
        <v>1700.0</v>
      </c>
      <c r="C441" s="266" t="s">
        <v>5379</v>
      </c>
      <c r="D441" s="506" t="str">
        <f t="shared" si="57"/>
        <v>Biostar</v>
      </c>
      <c r="E441" s="174" t="s">
        <v>5966</v>
      </c>
      <c r="F441" s="507">
        <v>244.0</v>
      </c>
      <c r="G441" s="507">
        <v>244.0</v>
      </c>
      <c r="H441" s="266">
        <v>4.0</v>
      </c>
      <c r="I441" s="266" t="s">
        <v>166</v>
      </c>
      <c r="J441" s="266" t="s">
        <v>166</v>
      </c>
      <c r="K441" s="266" t="s">
        <v>166</v>
      </c>
      <c r="L441" s="266" t="s">
        <v>166</v>
      </c>
      <c r="M441" s="266">
        <v>4.0</v>
      </c>
      <c r="N441" s="266" t="s">
        <v>166</v>
      </c>
      <c r="O441" s="266" t="s">
        <v>174</v>
      </c>
      <c r="P441" s="266" t="s">
        <v>166</v>
      </c>
      <c r="Q441" s="266" t="s">
        <v>166</v>
      </c>
      <c r="R441" s="266">
        <v>4.0</v>
      </c>
      <c r="S441" s="266" t="s">
        <v>3149</v>
      </c>
      <c r="T441" s="266">
        <v>128.0</v>
      </c>
      <c r="U441" s="266" t="s">
        <v>5047</v>
      </c>
      <c r="V441" s="266">
        <v>8.0</v>
      </c>
      <c r="W441" s="711" t="s">
        <v>5305</v>
      </c>
      <c r="X441" s="266">
        <v>2.0</v>
      </c>
      <c r="Y441" s="266" t="s">
        <v>166</v>
      </c>
      <c r="Z441" s="266" t="s">
        <v>166</v>
      </c>
      <c r="AA441" s="266">
        <v>4.0</v>
      </c>
      <c r="AB441" s="266" t="s">
        <v>166</v>
      </c>
      <c r="AC441" s="266" t="s">
        <v>166</v>
      </c>
      <c r="AD441" s="266" t="s">
        <v>166</v>
      </c>
      <c r="AE441" s="266" t="s">
        <v>166</v>
      </c>
      <c r="AF441" s="266">
        <f t="shared" si="1"/>
        <v>6</v>
      </c>
      <c r="AG441" s="266">
        <v>3.0</v>
      </c>
      <c r="AH441" s="266">
        <v>1.0</v>
      </c>
      <c r="AI441" s="266" t="s">
        <v>166</v>
      </c>
      <c r="AJ441" s="266">
        <v>1.0</v>
      </c>
      <c r="AK441" s="705" t="s">
        <v>5133</v>
      </c>
      <c r="AL441" s="48">
        <v>1.0</v>
      </c>
      <c r="AM441" s="705">
        <v>1.0</v>
      </c>
      <c r="AN441" s="705" t="s">
        <v>166</v>
      </c>
      <c r="AO441" s="705" t="s">
        <v>232</v>
      </c>
      <c r="AP441" s="507" t="s">
        <v>166</v>
      </c>
      <c r="AQ441" s="507" t="s">
        <v>166</v>
      </c>
      <c r="AR441" s="48" t="s">
        <v>5039</v>
      </c>
      <c r="AS441" s="266" t="s">
        <v>166</v>
      </c>
      <c r="AT441" s="266">
        <v>3.0</v>
      </c>
      <c r="AU441" s="266">
        <v>1.0</v>
      </c>
      <c r="AV441" s="266" t="s">
        <v>166</v>
      </c>
      <c r="AW441" s="266">
        <v>1.0</v>
      </c>
      <c r="AX441" s="266">
        <v>1.0</v>
      </c>
      <c r="AY441" s="266">
        <v>1.0</v>
      </c>
      <c r="AZ441" s="266">
        <v>2.0</v>
      </c>
      <c r="BA441" s="266">
        <v>1.0</v>
      </c>
      <c r="BB441" s="266">
        <v>2.0</v>
      </c>
      <c r="BC441" s="266" t="s">
        <v>174</v>
      </c>
      <c r="BD441" s="266" t="s">
        <v>166</v>
      </c>
      <c r="BE441" s="48" t="s">
        <v>170</v>
      </c>
      <c r="BF441" s="48" t="s">
        <v>170</v>
      </c>
      <c r="BG441" s="48" t="s">
        <v>170</v>
      </c>
      <c r="BH441" s="48" t="s">
        <v>170</v>
      </c>
      <c r="BI441" s="698" t="s">
        <v>170</v>
      </c>
      <c r="BJ441" s="698"/>
      <c r="BK441" s="394"/>
      <c r="BL441" s="394"/>
      <c r="BM441" s="394"/>
      <c r="BN441" s="394"/>
      <c r="BO441" s="394"/>
      <c r="BP441" s="394"/>
    </row>
    <row r="442">
      <c r="A442" s="266" t="s">
        <v>1688</v>
      </c>
      <c r="B442" s="48">
        <v>1700.0</v>
      </c>
      <c r="C442" s="266" t="s">
        <v>5379</v>
      </c>
      <c r="D442" s="506" t="str">
        <f t="shared" si="57"/>
        <v>Biostar</v>
      </c>
      <c r="E442" s="174" t="s">
        <v>5967</v>
      </c>
      <c r="F442" s="507">
        <v>244.0</v>
      </c>
      <c r="G442" s="507">
        <v>244.0</v>
      </c>
      <c r="H442" s="266">
        <v>4.0</v>
      </c>
      <c r="I442" s="266" t="s">
        <v>166</v>
      </c>
      <c r="J442" s="266">
        <v>1.0</v>
      </c>
      <c r="K442" s="266" t="s">
        <v>166</v>
      </c>
      <c r="L442" s="266" t="s">
        <v>166</v>
      </c>
      <c r="M442" s="266">
        <v>2.0</v>
      </c>
      <c r="N442" s="266" t="s">
        <v>166</v>
      </c>
      <c r="O442" s="266" t="s">
        <v>174</v>
      </c>
      <c r="P442" s="266" t="s">
        <v>166</v>
      </c>
      <c r="Q442" s="266" t="s">
        <v>166</v>
      </c>
      <c r="R442" s="266">
        <v>4.0</v>
      </c>
      <c r="S442" s="266" t="s">
        <v>3151</v>
      </c>
      <c r="T442" s="266">
        <v>192.0</v>
      </c>
      <c r="U442" s="266" t="s">
        <v>5368</v>
      </c>
      <c r="V442" s="266">
        <v>4.0</v>
      </c>
      <c r="W442" s="710" t="s">
        <v>5126</v>
      </c>
      <c r="X442" s="266">
        <v>2.0</v>
      </c>
      <c r="Y442" s="266">
        <v>3.0</v>
      </c>
      <c r="Z442" s="266" t="s">
        <v>166</v>
      </c>
      <c r="AA442" s="266" t="s">
        <v>166</v>
      </c>
      <c r="AB442" s="266" t="s">
        <v>166</v>
      </c>
      <c r="AC442" s="266" t="s">
        <v>166</v>
      </c>
      <c r="AD442" s="266" t="s">
        <v>166</v>
      </c>
      <c r="AE442" s="266" t="s">
        <v>166</v>
      </c>
      <c r="AF442" s="266">
        <f t="shared" si="1"/>
        <v>5</v>
      </c>
      <c r="AG442" s="266">
        <v>2.0</v>
      </c>
      <c r="AH442" s="266">
        <v>1.0</v>
      </c>
      <c r="AI442" s="266" t="s">
        <v>5025</v>
      </c>
      <c r="AJ442" s="266">
        <v>1.0</v>
      </c>
      <c r="AK442" s="48" t="s">
        <v>5038</v>
      </c>
      <c r="AL442" s="48">
        <v>2.5</v>
      </c>
      <c r="AM442" s="705">
        <v>1.0</v>
      </c>
      <c r="AN442" s="705" t="s">
        <v>166</v>
      </c>
      <c r="AO442" s="705" t="s">
        <v>232</v>
      </c>
      <c r="AP442" s="507" t="s">
        <v>166</v>
      </c>
      <c r="AQ442" s="507" t="s">
        <v>166</v>
      </c>
      <c r="AR442" s="48" t="s">
        <v>5039</v>
      </c>
      <c r="AS442" s="266" t="s">
        <v>166</v>
      </c>
      <c r="AT442" s="266">
        <v>3.0</v>
      </c>
      <c r="AU442" s="266">
        <v>1.0</v>
      </c>
      <c r="AV442" s="266">
        <v>1.0</v>
      </c>
      <c r="AW442" s="266">
        <v>1.0</v>
      </c>
      <c r="AX442" s="266">
        <v>1.0</v>
      </c>
      <c r="AY442" s="266">
        <v>1.0</v>
      </c>
      <c r="AZ442" s="266">
        <v>3.0</v>
      </c>
      <c r="BA442" s="266">
        <v>1.0</v>
      </c>
      <c r="BB442" s="266">
        <v>2.0</v>
      </c>
      <c r="BC442" s="266" t="s">
        <v>174</v>
      </c>
      <c r="BD442" s="266" t="s">
        <v>166</v>
      </c>
      <c r="BE442" s="48" t="s">
        <v>170</v>
      </c>
      <c r="BF442" s="48" t="s">
        <v>170</v>
      </c>
      <c r="BG442" s="48" t="s">
        <v>170</v>
      </c>
      <c r="BH442" s="48" t="s">
        <v>170</v>
      </c>
      <c r="BI442" s="698" t="s">
        <v>170</v>
      </c>
      <c r="BJ442" s="698"/>
      <c r="BK442" s="394"/>
      <c r="BL442" s="394"/>
      <c r="BM442" s="394"/>
      <c r="BN442" s="394"/>
      <c r="BO442" s="394"/>
      <c r="BP442" s="394"/>
    </row>
    <row r="443">
      <c r="A443" s="266" t="s">
        <v>1688</v>
      </c>
      <c r="B443" s="48">
        <v>1700.0</v>
      </c>
      <c r="C443" s="266" t="s">
        <v>5379</v>
      </c>
      <c r="D443" s="174" t="s">
        <v>3575</v>
      </c>
      <c r="E443" s="174" t="s">
        <v>5968</v>
      </c>
      <c r="F443" s="507">
        <v>230.0</v>
      </c>
      <c r="G443" s="507">
        <v>210.0</v>
      </c>
      <c r="H443" s="266">
        <v>4.0</v>
      </c>
      <c r="I443" s="266" t="s">
        <v>166</v>
      </c>
      <c r="J443" s="266">
        <v>1.0</v>
      </c>
      <c r="K443" s="266" t="s">
        <v>166</v>
      </c>
      <c r="L443" s="266" t="s">
        <v>166</v>
      </c>
      <c r="M443" s="266">
        <v>1.0</v>
      </c>
      <c r="N443" s="266" t="s">
        <v>166</v>
      </c>
      <c r="O443" s="266" t="s">
        <v>174</v>
      </c>
      <c r="P443" s="266" t="s">
        <v>166</v>
      </c>
      <c r="Q443" s="266" t="s">
        <v>166</v>
      </c>
      <c r="R443" s="266">
        <v>2.0</v>
      </c>
      <c r="S443" s="266" t="s">
        <v>3149</v>
      </c>
      <c r="T443" s="266">
        <v>128.0</v>
      </c>
      <c r="U443" s="266" t="s">
        <v>5223</v>
      </c>
      <c r="V443" s="266">
        <v>4.0</v>
      </c>
      <c r="W443" s="711" t="s">
        <v>5305</v>
      </c>
      <c r="X443" s="266">
        <v>2.0</v>
      </c>
      <c r="Y443" s="266">
        <v>2.0</v>
      </c>
      <c r="Z443" s="266" t="s">
        <v>166</v>
      </c>
      <c r="AA443" s="266" t="s">
        <v>166</v>
      </c>
      <c r="AB443" s="266" t="s">
        <v>166</v>
      </c>
      <c r="AC443" s="266" t="s">
        <v>166</v>
      </c>
      <c r="AD443" s="266" t="s">
        <v>166</v>
      </c>
      <c r="AE443" s="266" t="s">
        <v>166</v>
      </c>
      <c r="AF443" s="266">
        <f t="shared" si="1"/>
        <v>4</v>
      </c>
      <c r="AG443" s="266">
        <v>1.0</v>
      </c>
      <c r="AH443" s="266">
        <v>1.0</v>
      </c>
      <c r="AI443" s="507" t="s">
        <v>166</v>
      </c>
      <c r="AJ443" s="266">
        <v>1.0</v>
      </c>
      <c r="AK443" s="48" t="s">
        <v>4959</v>
      </c>
      <c r="AL443" s="48">
        <v>1.0</v>
      </c>
      <c r="AM443" s="705" t="s">
        <v>166</v>
      </c>
      <c r="AN443" s="705" t="s">
        <v>166</v>
      </c>
      <c r="AO443" s="705" t="s">
        <v>166</v>
      </c>
      <c r="AP443" s="507" t="s">
        <v>166</v>
      </c>
      <c r="AQ443" s="507" t="s">
        <v>166</v>
      </c>
      <c r="AR443" s="48" t="s">
        <v>5039</v>
      </c>
      <c r="AS443" s="266" t="s">
        <v>166</v>
      </c>
      <c r="AT443" s="266">
        <v>3.0</v>
      </c>
      <c r="AU443" s="266">
        <v>1.0</v>
      </c>
      <c r="AV443" s="266">
        <v>1.0</v>
      </c>
      <c r="AW443" s="266">
        <v>1.0</v>
      </c>
      <c r="AX443" s="266" t="s">
        <v>166</v>
      </c>
      <c r="AY443" s="266" t="s">
        <v>166</v>
      </c>
      <c r="AZ443" s="266">
        <v>3.0</v>
      </c>
      <c r="BA443" s="266">
        <v>1.0</v>
      </c>
      <c r="BB443" s="266">
        <v>1.0</v>
      </c>
      <c r="BC443" s="266" t="s">
        <v>174</v>
      </c>
      <c r="BD443" s="266" t="s">
        <v>166</v>
      </c>
      <c r="BE443" s="48" t="s">
        <v>170</v>
      </c>
      <c r="BF443" s="48" t="s">
        <v>5226</v>
      </c>
      <c r="BG443" s="48" t="s">
        <v>4963</v>
      </c>
      <c r="BH443" s="48">
        <v>8.0</v>
      </c>
      <c r="BI443" s="698" t="s">
        <v>5398</v>
      </c>
      <c r="BJ443" s="698"/>
      <c r="BK443" s="394"/>
      <c r="BL443" s="394"/>
      <c r="BM443" s="394"/>
      <c r="BN443" s="394"/>
      <c r="BO443" s="394"/>
      <c r="BP443" s="394"/>
    </row>
    <row r="444">
      <c r="A444" s="266" t="s">
        <v>1688</v>
      </c>
      <c r="B444" s="48">
        <v>1700.0</v>
      </c>
      <c r="C444" s="266" t="s">
        <v>5379</v>
      </c>
      <c r="D444" s="174" t="s">
        <v>3575</v>
      </c>
      <c r="E444" s="174" t="s">
        <v>5969</v>
      </c>
      <c r="F444" s="507">
        <v>244.0</v>
      </c>
      <c r="G444" s="507">
        <v>244.0</v>
      </c>
      <c r="H444" s="266">
        <v>5.0</v>
      </c>
      <c r="I444" s="266" t="s">
        <v>166</v>
      </c>
      <c r="J444" s="266" t="s">
        <v>166</v>
      </c>
      <c r="K444" s="266">
        <v>1.0</v>
      </c>
      <c r="L444" s="266" t="s">
        <v>166</v>
      </c>
      <c r="M444" s="266">
        <v>1.0</v>
      </c>
      <c r="N444" s="266" t="s">
        <v>166</v>
      </c>
      <c r="O444" s="266" t="s">
        <v>174</v>
      </c>
      <c r="P444" s="266" t="s">
        <v>166</v>
      </c>
      <c r="Q444" s="266" t="s">
        <v>166</v>
      </c>
      <c r="R444" s="266">
        <v>4.0</v>
      </c>
      <c r="S444" s="266" t="s">
        <v>3151</v>
      </c>
      <c r="T444" s="266">
        <v>192.0</v>
      </c>
      <c r="U444" s="266" t="s">
        <v>5089</v>
      </c>
      <c r="V444" s="266">
        <v>4.0</v>
      </c>
      <c r="W444" s="710" t="s">
        <v>5576</v>
      </c>
      <c r="X444" s="266">
        <v>4.0</v>
      </c>
      <c r="Y444" s="266">
        <v>2.0</v>
      </c>
      <c r="Z444" s="266" t="s">
        <v>166</v>
      </c>
      <c r="AA444" s="266" t="s">
        <v>166</v>
      </c>
      <c r="AB444" s="266">
        <v>1.0</v>
      </c>
      <c r="AC444" s="266" t="s">
        <v>166</v>
      </c>
      <c r="AD444" s="266" t="s">
        <v>166</v>
      </c>
      <c r="AE444" s="266" t="s">
        <v>166</v>
      </c>
      <c r="AF444" s="266">
        <f t="shared" si="1"/>
        <v>7</v>
      </c>
      <c r="AG444" s="266">
        <v>1.0</v>
      </c>
      <c r="AH444" s="266">
        <v>1.0</v>
      </c>
      <c r="AI444" s="507" t="s">
        <v>5049</v>
      </c>
      <c r="AJ444" s="266">
        <v>1.0</v>
      </c>
      <c r="AK444" s="48" t="s">
        <v>5038</v>
      </c>
      <c r="AL444" s="48">
        <v>2.5</v>
      </c>
      <c r="AM444" s="705">
        <v>1.0</v>
      </c>
      <c r="AN444" s="705" t="s">
        <v>166</v>
      </c>
      <c r="AO444" s="705" t="s">
        <v>232</v>
      </c>
      <c r="AP444" s="507" t="s">
        <v>166</v>
      </c>
      <c r="AQ444" s="507" t="s">
        <v>166</v>
      </c>
      <c r="AR444" s="48" t="s">
        <v>5039</v>
      </c>
      <c r="AS444" s="266" t="s">
        <v>166</v>
      </c>
      <c r="AT444" s="266">
        <v>3.0</v>
      </c>
      <c r="AU444" s="266" t="s">
        <v>166</v>
      </c>
      <c r="AV444" s="266">
        <v>1.0</v>
      </c>
      <c r="AW444" s="266">
        <v>1.0</v>
      </c>
      <c r="AX444" s="266" t="s">
        <v>166</v>
      </c>
      <c r="AY444" s="266" t="s">
        <v>166</v>
      </c>
      <c r="AZ444" s="266">
        <v>5.0</v>
      </c>
      <c r="BA444" s="266">
        <v>2.0</v>
      </c>
      <c r="BB444" s="266">
        <v>2.0</v>
      </c>
      <c r="BC444" s="266" t="s">
        <v>174</v>
      </c>
      <c r="BD444" s="266" t="s">
        <v>166</v>
      </c>
      <c r="BE444" s="48" t="s">
        <v>170</v>
      </c>
      <c r="BF444" s="48" t="s">
        <v>5800</v>
      </c>
      <c r="BG444" s="48" t="s">
        <v>4955</v>
      </c>
      <c r="BH444" s="48">
        <v>12.0</v>
      </c>
      <c r="BI444" s="698" t="s">
        <v>170</v>
      </c>
      <c r="BJ444" s="698"/>
      <c r="BK444" s="394"/>
      <c r="BL444" s="394"/>
      <c r="BM444" s="394"/>
      <c r="BN444" s="394"/>
      <c r="BO444" s="394"/>
      <c r="BP444" s="394"/>
    </row>
    <row r="445">
      <c r="A445" s="266" t="s">
        <v>1688</v>
      </c>
      <c r="B445" s="48">
        <v>1700.0</v>
      </c>
      <c r="C445" s="266" t="s">
        <v>5379</v>
      </c>
      <c r="D445" s="174" t="s">
        <v>3575</v>
      </c>
      <c r="E445" s="174" t="s">
        <v>5970</v>
      </c>
      <c r="F445" s="507">
        <v>244.0</v>
      </c>
      <c r="G445" s="507">
        <v>244.0</v>
      </c>
      <c r="H445" s="266">
        <v>5.0</v>
      </c>
      <c r="I445" s="266" t="s">
        <v>166</v>
      </c>
      <c r="J445" s="266" t="s">
        <v>166</v>
      </c>
      <c r="K445" s="266">
        <v>1.0</v>
      </c>
      <c r="L445" s="266" t="s">
        <v>166</v>
      </c>
      <c r="M445" s="266">
        <v>1.0</v>
      </c>
      <c r="N445" s="266" t="s">
        <v>166</v>
      </c>
      <c r="O445" s="266" t="s">
        <v>174</v>
      </c>
      <c r="P445" s="266" t="s">
        <v>174</v>
      </c>
      <c r="Q445" s="266" t="s">
        <v>166</v>
      </c>
      <c r="R445" s="266">
        <v>4.0</v>
      </c>
      <c r="S445" s="266" t="s">
        <v>3149</v>
      </c>
      <c r="T445" s="266">
        <v>128.0</v>
      </c>
      <c r="U445" s="266" t="s">
        <v>5223</v>
      </c>
      <c r="V445" s="266">
        <v>4.0</v>
      </c>
      <c r="W445" s="710" t="s">
        <v>5576</v>
      </c>
      <c r="X445" s="266">
        <v>4.0</v>
      </c>
      <c r="Y445" s="266">
        <v>2.0</v>
      </c>
      <c r="Z445" s="266" t="s">
        <v>166</v>
      </c>
      <c r="AA445" s="266" t="s">
        <v>166</v>
      </c>
      <c r="AB445" s="266">
        <v>1.0</v>
      </c>
      <c r="AC445" s="266" t="s">
        <v>166</v>
      </c>
      <c r="AD445" s="266" t="s">
        <v>166</v>
      </c>
      <c r="AE445" s="266" t="s">
        <v>166</v>
      </c>
      <c r="AF445" s="266">
        <f t="shared" si="1"/>
        <v>7</v>
      </c>
      <c r="AG445" s="266">
        <v>1.0</v>
      </c>
      <c r="AH445" s="266">
        <v>1.0</v>
      </c>
      <c r="AI445" s="507" t="s">
        <v>5049</v>
      </c>
      <c r="AJ445" s="266">
        <v>1.0</v>
      </c>
      <c r="AK445" s="48" t="s">
        <v>5038</v>
      </c>
      <c r="AL445" s="48">
        <v>2.5</v>
      </c>
      <c r="AM445" s="705">
        <v>1.0</v>
      </c>
      <c r="AN445" s="48" t="s">
        <v>5027</v>
      </c>
      <c r="AO445" s="705" t="s">
        <v>5257</v>
      </c>
      <c r="AP445" s="266">
        <v>2400.0</v>
      </c>
      <c r="AQ445" s="507">
        <v>5.2</v>
      </c>
      <c r="AR445" s="48" t="s">
        <v>5039</v>
      </c>
      <c r="AS445" s="266" t="s">
        <v>166</v>
      </c>
      <c r="AT445" s="266">
        <v>3.0</v>
      </c>
      <c r="AU445" s="266" t="s">
        <v>166</v>
      </c>
      <c r="AV445" s="266">
        <v>1.0</v>
      </c>
      <c r="AW445" s="266">
        <v>1.0</v>
      </c>
      <c r="AX445" s="266" t="s">
        <v>166</v>
      </c>
      <c r="AY445" s="266" t="s">
        <v>166</v>
      </c>
      <c r="AZ445" s="266">
        <v>5.0</v>
      </c>
      <c r="BA445" s="266">
        <v>2.0</v>
      </c>
      <c r="BB445" s="266">
        <v>2.0</v>
      </c>
      <c r="BC445" s="266" t="s">
        <v>174</v>
      </c>
      <c r="BD445" s="266" t="s">
        <v>174</v>
      </c>
      <c r="BE445" s="48" t="s">
        <v>170</v>
      </c>
      <c r="BF445" s="48" t="s">
        <v>5800</v>
      </c>
      <c r="BG445" s="48" t="s">
        <v>4955</v>
      </c>
      <c r="BH445" s="48">
        <v>12.0</v>
      </c>
      <c r="BI445" s="698" t="s">
        <v>5018</v>
      </c>
      <c r="BJ445" s="698"/>
      <c r="BK445" s="394"/>
      <c r="BL445" s="394"/>
      <c r="BM445" s="394"/>
      <c r="BN445" s="394"/>
      <c r="BO445" s="394"/>
      <c r="BP445" s="394"/>
    </row>
    <row r="446">
      <c r="A446" s="266" t="s">
        <v>1688</v>
      </c>
      <c r="B446" s="48">
        <v>1700.0</v>
      </c>
      <c r="C446" s="266" t="s">
        <v>5379</v>
      </c>
      <c r="D446" s="174" t="s">
        <v>3575</v>
      </c>
      <c r="E446" s="174" t="s">
        <v>5971</v>
      </c>
      <c r="F446" s="507">
        <v>244.0</v>
      </c>
      <c r="G446" s="507">
        <v>244.0</v>
      </c>
      <c r="H446" s="266">
        <v>5.0</v>
      </c>
      <c r="I446" s="266" t="s">
        <v>166</v>
      </c>
      <c r="J446" s="266" t="s">
        <v>166</v>
      </c>
      <c r="K446" s="266">
        <v>1.0</v>
      </c>
      <c r="L446" s="266" t="s">
        <v>166</v>
      </c>
      <c r="M446" s="266">
        <v>1.0</v>
      </c>
      <c r="N446" s="266" t="s">
        <v>166</v>
      </c>
      <c r="O446" s="266" t="s">
        <v>174</v>
      </c>
      <c r="P446" s="266" t="s">
        <v>174</v>
      </c>
      <c r="Q446" s="266" t="s">
        <v>166</v>
      </c>
      <c r="R446" s="266">
        <v>4.0</v>
      </c>
      <c r="S446" s="266" t="s">
        <v>3151</v>
      </c>
      <c r="T446" s="266">
        <v>192.0</v>
      </c>
      <c r="U446" s="266" t="s">
        <v>5089</v>
      </c>
      <c r="V446" s="266">
        <v>4.0</v>
      </c>
      <c r="W446" s="710" t="s">
        <v>5576</v>
      </c>
      <c r="X446" s="266">
        <v>4.0</v>
      </c>
      <c r="Y446" s="266">
        <v>2.0</v>
      </c>
      <c r="Z446" s="266" t="s">
        <v>166</v>
      </c>
      <c r="AA446" s="266" t="s">
        <v>166</v>
      </c>
      <c r="AB446" s="266">
        <v>1.0</v>
      </c>
      <c r="AC446" s="266" t="s">
        <v>166</v>
      </c>
      <c r="AD446" s="266" t="s">
        <v>166</v>
      </c>
      <c r="AE446" s="266" t="s">
        <v>166</v>
      </c>
      <c r="AF446" s="266">
        <f t="shared" si="1"/>
        <v>7</v>
      </c>
      <c r="AG446" s="266">
        <v>1.0</v>
      </c>
      <c r="AH446" s="266">
        <v>1.0</v>
      </c>
      <c r="AI446" s="507" t="s">
        <v>5049</v>
      </c>
      <c r="AJ446" s="266">
        <v>1.0</v>
      </c>
      <c r="AK446" s="48" t="s">
        <v>5038</v>
      </c>
      <c r="AL446" s="48">
        <v>2.5</v>
      </c>
      <c r="AM446" s="705">
        <v>1.0</v>
      </c>
      <c r="AN446" s="48" t="s">
        <v>5027</v>
      </c>
      <c r="AO446" s="705" t="s">
        <v>5257</v>
      </c>
      <c r="AP446" s="266">
        <v>2400.0</v>
      </c>
      <c r="AQ446" s="507">
        <v>5.2</v>
      </c>
      <c r="AR446" s="48" t="s">
        <v>5039</v>
      </c>
      <c r="AS446" s="266" t="s">
        <v>166</v>
      </c>
      <c r="AT446" s="266">
        <v>3.0</v>
      </c>
      <c r="AU446" s="266" t="s">
        <v>166</v>
      </c>
      <c r="AV446" s="266">
        <v>1.0</v>
      </c>
      <c r="AW446" s="266">
        <v>1.0</v>
      </c>
      <c r="AX446" s="266" t="s">
        <v>166</v>
      </c>
      <c r="AY446" s="266" t="s">
        <v>166</v>
      </c>
      <c r="AZ446" s="266">
        <v>5.0</v>
      </c>
      <c r="BA446" s="266">
        <v>2.0</v>
      </c>
      <c r="BB446" s="266">
        <v>2.0</v>
      </c>
      <c r="BC446" s="266" t="s">
        <v>174</v>
      </c>
      <c r="BD446" s="266" t="s">
        <v>174</v>
      </c>
      <c r="BE446" s="48" t="s">
        <v>170</v>
      </c>
      <c r="BF446" s="48" t="s">
        <v>5800</v>
      </c>
      <c r="BG446" s="48" t="s">
        <v>4955</v>
      </c>
      <c r="BH446" s="48">
        <v>12.0</v>
      </c>
      <c r="BI446" s="698" t="s">
        <v>5018</v>
      </c>
      <c r="BJ446" s="698"/>
      <c r="BK446" s="394"/>
      <c r="BL446" s="394"/>
      <c r="BM446" s="394"/>
      <c r="BN446" s="394"/>
      <c r="BO446" s="394"/>
      <c r="BP446" s="394"/>
    </row>
    <row r="447">
      <c r="A447" s="266" t="s">
        <v>1688</v>
      </c>
      <c r="B447" s="48">
        <v>1700.0</v>
      </c>
      <c r="C447" s="266" t="s">
        <v>5379</v>
      </c>
      <c r="D447" s="452" t="str">
        <f t="shared" ref="D447:D478" si="58">HYPERLINK("https://www.gigabyte.com/","Gigabyte")</f>
        <v>Gigabyte</v>
      </c>
      <c r="E447" s="174" t="s">
        <v>5972</v>
      </c>
      <c r="F447" s="507">
        <v>244.0</v>
      </c>
      <c r="G447" s="507">
        <v>244.0</v>
      </c>
      <c r="H447" s="266">
        <v>4.0</v>
      </c>
      <c r="I447" s="266" t="s">
        <v>166</v>
      </c>
      <c r="J447" s="266" t="s">
        <v>166</v>
      </c>
      <c r="K447" s="266" t="s">
        <v>166</v>
      </c>
      <c r="L447" s="266" t="s">
        <v>166</v>
      </c>
      <c r="M447" s="266">
        <v>2.0</v>
      </c>
      <c r="N447" s="266" t="s">
        <v>166</v>
      </c>
      <c r="O447" s="266" t="s">
        <v>174</v>
      </c>
      <c r="P447" s="266" t="s">
        <v>174</v>
      </c>
      <c r="Q447" s="266" t="s">
        <v>166</v>
      </c>
      <c r="R447" s="266">
        <v>4.0</v>
      </c>
      <c r="S447" s="266" t="s">
        <v>3151</v>
      </c>
      <c r="T447" s="266">
        <v>192.0</v>
      </c>
      <c r="U447" s="266" t="s">
        <v>5387</v>
      </c>
      <c r="V447" s="266">
        <v>4.0</v>
      </c>
      <c r="W447" s="710" t="s">
        <v>5126</v>
      </c>
      <c r="X447" s="266">
        <v>4.0</v>
      </c>
      <c r="Y447" s="266">
        <v>3.0</v>
      </c>
      <c r="Z447" s="266" t="s">
        <v>166</v>
      </c>
      <c r="AA447" s="266">
        <v>1.0</v>
      </c>
      <c r="AB447" s="266" t="s">
        <v>166</v>
      </c>
      <c r="AC447" s="266">
        <v>1.0</v>
      </c>
      <c r="AD447" s="266" t="s">
        <v>166</v>
      </c>
      <c r="AE447" s="266" t="s">
        <v>166</v>
      </c>
      <c r="AF447" s="266">
        <f t="shared" si="1"/>
        <v>9</v>
      </c>
      <c r="AG447" s="266">
        <v>2.0</v>
      </c>
      <c r="AH447" s="266">
        <v>1.0</v>
      </c>
      <c r="AI447" s="266" t="s">
        <v>5025</v>
      </c>
      <c r="AJ447" s="266">
        <v>1.0</v>
      </c>
      <c r="AK447" s="48" t="s">
        <v>5038</v>
      </c>
      <c r="AL447" s="48">
        <v>2.5</v>
      </c>
      <c r="AM447" s="705" t="s">
        <v>166</v>
      </c>
      <c r="AN447" s="705" t="s">
        <v>166</v>
      </c>
      <c r="AO447" s="705" t="s">
        <v>166</v>
      </c>
      <c r="AP447" s="507" t="s">
        <v>166</v>
      </c>
      <c r="AQ447" s="507" t="s">
        <v>166</v>
      </c>
      <c r="AR447" s="48" t="s">
        <v>5039</v>
      </c>
      <c r="AS447" s="266" t="s">
        <v>174</v>
      </c>
      <c r="AT447" s="266">
        <v>2.0</v>
      </c>
      <c r="AU447" s="266" t="s">
        <v>166</v>
      </c>
      <c r="AV447" s="266">
        <v>1.0</v>
      </c>
      <c r="AW447" s="266">
        <v>1.0</v>
      </c>
      <c r="AX447" s="266" t="s">
        <v>166</v>
      </c>
      <c r="AY447" s="266" t="s">
        <v>166</v>
      </c>
      <c r="AZ447" s="266">
        <v>4.0</v>
      </c>
      <c r="BA447" s="266">
        <v>2.0</v>
      </c>
      <c r="BB447" s="266">
        <v>2.0</v>
      </c>
      <c r="BC447" s="266" t="s">
        <v>166</v>
      </c>
      <c r="BD447" s="266" t="s">
        <v>174</v>
      </c>
      <c r="BE447" s="48" t="s">
        <v>170</v>
      </c>
      <c r="BF447" s="48" t="s">
        <v>5800</v>
      </c>
      <c r="BG447" s="48" t="s">
        <v>4955</v>
      </c>
      <c r="BH447" s="48">
        <v>12.0</v>
      </c>
      <c r="BI447" s="698" t="s">
        <v>5087</v>
      </c>
      <c r="BJ447" s="698"/>
      <c r="BK447" s="394"/>
      <c r="BL447" s="394"/>
      <c r="BM447" s="394"/>
      <c r="BN447" s="394"/>
      <c r="BO447" s="394"/>
      <c r="BP447" s="394"/>
    </row>
    <row r="448">
      <c r="A448" s="266" t="s">
        <v>1688</v>
      </c>
      <c r="B448" s="48">
        <v>1700.0</v>
      </c>
      <c r="C448" s="266" t="s">
        <v>5379</v>
      </c>
      <c r="D448" s="452" t="str">
        <f t="shared" si="58"/>
        <v>Gigabyte</v>
      </c>
      <c r="E448" s="174" t="s">
        <v>5973</v>
      </c>
      <c r="F448" s="507">
        <v>244.0</v>
      </c>
      <c r="G448" s="507">
        <v>244.0</v>
      </c>
      <c r="H448" s="266">
        <v>4.0</v>
      </c>
      <c r="I448" s="266" t="s">
        <v>166</v>
      </c>
      <c r="J448" s="266" t="s">
        <v>166</v>
      </c>
      <c r="K448" s="266" t="s">
        <v>166</v>
      </c>
      <c r="L448" s="266" t="s">
        <v>166</v>
      </c>
      <c r="M448" s="266">
        <v>2.0</v>
      </c>
      <c r="N448" s="266" t="s">
        <v>166</v>
      </c>
      <c r="O448" s="266" t="s">
        <v>174</v>
      </c>
      <c r="P448" s="266" t="s">
        <v>174</v>
      </c>
      <c r="Q448" s="266" t="s">
        <v>166</v>
      </c>
      <c r="R448" s="266">
        <v>4.0</v>
      </c>
      <c r="S448" s="266" t="s">
        <v>3151</v>
      </c>
      <c r="T448" s="266">
        <v>192.0</v>
      </c>
      <c r="U448" s="266" t="s">
        <v>5387</v>
      </c>
      <c r="V448" s="266">
        <v>4.0</v>
      </c>
      <c r="W448" s="710" t="s">
        <v>5126</v>
      </c>
      <c r="X448" s="266">
        <v>4.0</v>
      </c>
      <c r="Y448" s="266">
        <v>3.0</v>
      </c>
      <c r="Z448" s="266" t="s">
        <v>166</v>
      </c>
      <c r="AA448" s="266">
        <v>1.0</v>
      </c>
      <c r="AB448" s="266" t="s">
        <v>166</v>
      </c>
      <c r="AC448" s="266">
        <v>1.0</v>
      </c>
      <c r="AD448" s="266" t="s">
        <v>166</v>
      </c>
      <c r="AE448" s="266" t="s">
        <v>166</v>
      </c>
      <c r="AF448" s="266">
        <f t="shared" si="1"/>
        <v>9</v>
      </c>
      <c r="AG448" s="266">
        <v>2.0</v>
      </c>
      <c r="AH448" s="266">
        <v>1.0</v>
      </c>
      <c r="AI448" s="266" t="s">
        <v>5025</v>
      </c>
      <c r="AJ448" s="266">
        <v>1.0</v>
      </c>
      <c r="AK448" s="48" t="s">
        <v>5038</v>
      </c>
      <c r="AL448" s="48">
        <v>2.5</v>
      </c>
      <c r="AM448" s="705">
        <v>1.0</v>
      </c>
      <c r="AN448" s="48" t="s">
        <v>5044</v>
      </c>
      <c r="AO448" s="705" t="s">
        <v>5974</v>
      </c>
      <c r="AP448" s="266">
        <v>2400.0</v>
      </c>
      <c r="AQ448" s="507">
        <v>5.3</v>
      </c>
      <c r="AR448" s="48" t="s">
        <v>5039</v>
      </c>
      <c r="AS448" s="266" t="s">
        <v>174</v>
      </c>
      <c r="AT448" s="266">
        <v>2.0</v>
      </c>
      <c r="AU448" s="266" t="s">
        <v>166</v>
      </c>
      <c r="AV448" s="266">
        <v>1.0</v>
      </c>
      <c r="AW448" s="266">
        <v>1.0</v>
      </c>
      <c r="AX448" s="266" t="s">
        <v>166</v>
      </c>
      <c r="AY448" s="266" t="s">
        <v>166</v>
      </c>
      <c r="AZ448" s="266">
        <v>4.0</v>
      </c>
      <c r="BA448" s="266">
        <v>2.0</v>
      </c>
      <c r="BB448" s="266">
        <v>2.0</v>
      </c>
      <c r="BC448" s="266" t="s">
        <v>166</v>
      </c>
      <c r="BD448" s="266" t="s">
        <v>174</v>
      </c>
      <c r="BE448" s="48" t="s">
        <v>170</v>
      </c>
      <c r="BF448" s="48" t="s">
        <v>5800</v>
      </c>
      <c r="BG448" s="48" t="s">
        <v>4955</v>
      </c>
      <c r="BH448" s="48">
        <v>12.0</v>
      </c>
      <c r="BI448" s="698" t="s">
        <v>5087</v>
      </c>
      <c r="BJ448" s="698"/>
      <c r="BK448" s="394"/>
      <c r="BL448" s="394"/>
      <c r="BM448" s="394"/>
      <c r="BN448" s="394"/>
      <c r="BO448" s="394"/>
      <c r="BP448" s="394"/>
    </row>
    <row r="449">
      <c r="A449" s="266" t="s">
        <v>1688</v>
      </c>
      <c r="B449" s="48">
        <v>1700.0</v>
      </c>
      <c r="C449" s="266" t="s">
        <v>5379</v>
      </c>
      <c r="D449" s="452" t="str">
        <f t="shared" si="58"/>
        <v>Gigabyte</v>
      </c>
      <c r="E449" s="174" t="s">
        <v>5975</v>
      </c>
      <c r="F449" s="507">
        <v>244.0</v>
      </c>
      <c r="G449" s="507">
        <v>244.0</v>
      </c>
      <c r="H449" s="266">
        <v>4.0</v>
      </c>
      <c r="I449" s="266" t="s">
        <v>166</v>
      </c>
      <c r="J449" s="266" t="s">
        <v>166</v>
      </c>
      <c r="K449" s="266" t="s">
        <v>166</v>
      </c>
      <c r="L449" s="266" t="s">
        <v>166</v>
      </c>
      <c r="M449" s="266">
        <v>2.0</v>
      </c>
      <c r="N449" s="266" t="s">
        <v>166</v>
      </c>
      <c r="O449" s="266" t="s">
        <v>174</v>
      </c>
      <c r="P449" s="266" t="s">
        <v>174</v>
      </c>
      <c r="Q449" s="266" t="s">
        <v>166</v>
      </c>
      <c r="R449" s="266">
        <v>4.0</v>
      </c>
      <c r="S449" s="266" t="s">
        <v>3151</v>
      </c>
      <c r="T449" s="266">
        <v>192.0</v>
      </c>
      <c r="U449" s="266" t="s">
        <v>5387</v>
      </c>
      <c r="V449" s="266">
        <v>4.0</v>
      </c>
      <c r="W449" s="710" t="s">
        <v>5126</v>
      </c>
      <c r="X449" s="266">
        <v>4.0</v>
      </c>
      <c r="Y449" s="266">
        <v>3.0</v>
      </c>
      <c r="Z449" s="266" t="s">
        <v>166</v>
      </c>
      <c r="AA449" s="266">
        <v>1.0</v>
      </c>
      <c r="AB449" s="266" t="s">
        <v>166</v>
      </c>
      <c r="AC449" s="266">
        <v>1.0</v>
      </c>
      <c r="AD449" s="266" t="s">
        <v>166</v>
      </c>
      <c r="AE449" s="266" t="s">
        <v>166</v>
      </c>
      <c r="AF449" s="266">
        <f t="shared" si="1"/>
        <v>9</v>
      </c>
      <c r="AG449" s="266">
        <v>2.0</v>
      </c>
      <c r="AH449" s="266">
        <v>1.0</v>
      </c>
      <c r="AI449" s="266" t="s">
        <v>5025</v>
      </c>
      <c r="AJ449" s="266">
        <v>1.0</v>
      </c>
      <c r="AK449" s="48" t="s">
        <v>5038</v>
      </c>
      <c r="AL449" s="48">
        <v>2.5</v>
      </c>
      <c r="AM449" s="705">
        <v>1.0</v>
      </c>
      <c r="AN449" s="48" t="s">
        <v>5044</v>
      </c>
      <c r="AO449" s="705" t="s">
        <v>5976</v>
      </c>
      <c r="AP449" s="266">
        <v>2400.0</v>
      </c>
      <c r="AQ449" s="507">
        <v>5.3</v>
      </c>
      <c r="AR449" s="48" t="s">
        <v>5039</v>
      </c>
      <c r="AS449" s="266" t="s">
        <v>174</v>
      </c>
      <c r="AT449" s="266">
        <v>2.0</v>
      </c>
      <c r="AU449" s="266" t="s">
        <v>166</v>
      </c>
      <c r="AV449" s="266">
        <v>1.0</v>
      </c>
      <c r="AW449" s="266">
        <v>1.0</v>
      </c>
      <c r="AX449" s="266" t="s">
        <v>166</v>
      </c>
      <c r="AY449" s="266" t="s">
        <v>166</v>
      </c>
      <c r="AZ449" s="266">
        <v>4.0</v>
      </c>
      <c r="BA449" s="266">
        <v>2.0</v>
      </c>
      <c r="BB449" s="266">
        <v>2.0</v>
      </c>
      <c r="BC449" s="266" t="s">
        <v>166</v>
      </c>
      <c r="BD449" s="266" t="s">
        <v>174</v>
      </c>
      <c r="BE449" s="48" t="s">
        <v>170</v>
      </c>
      <c r="BF449" s="48" t="s">
        <v>5800</v>
      </c>
      <c r="BG449" s="48" t="s">
        <v>4955</v>
      </c>
      <c r="BH449" s="48">
        <v>12.0</v>
      </c>
      <c r="BI449" s="698" t="s">
        <v>5087</v>
      </c>
      <c r="BJ449" s="698"/>
      <c r="BK449" s="394"/>
      <c r="BL449" s="394"/>
      <c r="BM449" s="394"/>
      <c r="BN449" s="394"/>
      <c r="BO449" s="394"/>
      <c r="BP449" s="394"/>
    </row>
    <row r="450">
      <c r="A450" s="266" t="s">
        <v>1688</v>
      </c>
      <c r="B450" s="48">
        <v>1700.0</v>
      </c>
      <c r="C450" s="266" t="s">
        <v>5379</v>
      </c>
      <c r="D450" s="452" t="str">
        <f t="shared" si="58"/>
        <v>Gigabyte</v>
      </c>
      <c r="E450" s="174" t="s">
        <v>5977</v>
      </c>
      <c r="F450" s="507">
        <v>244.0</v>
      </c>
      <c r="G450" s="507">
        <v>244.0</v>
      </c>
      <c r="H450" s="266">
        <v>4.0</v>
      </c>
      <c r="I450" s="266" t="s">
        <v>166</v>
      </c>
      <c r="J450" s="266" t="s">
        <v>166</v>
      </c>
      <c r="K450" s="266" t="s">
        <v>166</v>
      </c>
      <c r="L450" s="266" t="s">
        <v>166</v>
      </c>
      <c r="M450" s="266">
        <v>2.0</v>
      </c>
      <c r="N450" s="266" t="s">
        <v>166</v>
      </c>
      <c r="O450" s="266" t="s">
        <v>174</v>
      </c>
      <c r="P450" s="266" t="s">
        <v>174</v>
      </c>
      <c r="Q450" s="266" t="s">
        <v>166</v>
      </c>
      <c r="R450" s="266">
        <v>4.0</v>
      </c>
      <c r="S450" s="266" t="s">
        <v>3149</v>
      </c>
      <c r="T450" s="266">
        <v>128.0</v>
      </c>
      <c r="U450" s="266" t="s">
        <v>5286</v>
      </c>
      <c r="V450" s="266">
        <v>4.0</v>
      </c>
      <c r="W450" s="710" t="s">
        <v>5126</v>
      </c>
      <c r="X450" s="266">
        <v>4.0</v>
      </c>
      <c r="Y450" s="266">
        <v>3.0</v>
      </c>
      <c r="Z450" s="266" t="s">
        <v>166</v>
      </c>
      <c r="AA450" s="266">
        <v>1.0</v>
      </c>
      <c r="AB450" s="266" t="s">
        <v>166</v>
      </c>
      <c r="AC450" s="266">
        <v>1.0</v>
      </c>
      <c r="AD450" s="266" t="s">
        <v>166</v>
      </c>
      <c r="AE450" s="266" t="s">
        <v>166</v>
      </c>
      <c r="AF450" s="266">
        <f t="shared" si="1"/>
        <v>9</v>
      </c>
      <c r="AG450" s="266">
        <v>2.0</v>
      </c>
      <c r="AH450" s="266">
        <v>1.0</v>
      </c>
      <c r="AI450" s="266" t="s">
        <v>5025</v>
      </c>
      <c r="AJ450" s="266">
        <v>1.0</v>
      </c>
      <c r="AK450" s="48" t="s">
        <v>5038</v>
      </c>
      <c r="AL450" s="48">
        <v>2.5</v>
      </c>
      <c r="AM450" s="705">
        <v>1.0</v>
      </c>
      <c r="AN450" s="48" t="s">
        <v>5044</v>
      </c>
      <c r="AO450" s="705" t="s">
        <v>5978</v>
      </c>
      <c r="AP450" s="266">
        <v>2400.0</v>
      </c>
      <c r="AQ450" s="507">
        <v>5.3</v>
      </c>
      <c r="AR450" s="48" t="s">
        <v>5039</v>
      </c>
      <c r="AS450" s="266" t="s">
        <v>174</v>
      </c>
      <c r="AT450" s="266">
        <v>2.0</v>
      </c>
      <c r="AU450" s="266" t="s">
        <v>166</v>
      </c>
      <c r="AV450" s="266">
        <v>1.0</v>
      </c>
      <c r="AW450" s="266">
        <v>1.0</v>
      </c>
      <c r="AX450" s="266" t="s">
        <v>166</v>
      </c>
      <c r="AY450" s="266" t="s">
        <v>166</v>
      </c>
      <c r="AZ450" s="266">
        <v>4.0</v>
      </c>
      <c r="BA450" s="266">
        <v>2.0</v>
      </c>
      <c r="BB450" s="266">
        <v>2.0</v>
      </c>
      <c r="BC450" s="266" t="s">
        <v>166</v>
      </c>
      <c r="BD450" s="266" t="s">
        <v>174</v>
      </c>
      <c r="BE450" s="48" t="s">
        <v>170</v>
      </c>
      <c r="BF450" s="48" t="s">
        <v>5800</v>
      </c>
      <c r="BG450" s="48" t="s">
        <v>4955</v>
      </c>
      <c r="BH450" s="48">
        <v>12.0</v>
      </c>
      <c r="BI450" s="698" t="s">
        <v>5087</v>
      </c>
      <c r="BJ450" s="698"/>
      <c r="BK450" s="394"/>
      <c r="BL450" s="394"/>
      <c r="BM450" s="394"/>
      <c r="BN450" s="394"/>
      <c r="BO450" s="394"/>
      <c r="BP450" s="394"/>
    </row>
    <row r="451">
      <c r="A451" s="266" t="s">
        <v>1688</v>
      </c>
      <c r="B451" s="48">
        <v>1700.0</v>
      </c>
      <c r="C451" s="266" t="s">
        <v>5379</v>
      </c>
      <c r="D451" s="452" t="str">
        <f t="shared" si="58"/>
        <v>Gigabyte</v>
      </c>
      <c r="E451" s="174" t="s">
        <v>5979</v>
      </c>
      <c r="F451" s="507">
        <v>244.0</v>
      </c>
      <c r="G451" s="507">
        <v>244.0</v>
      </c>
      <c r="H451" s="266">
        <v>4.0</v>
      </c>
      <c r="I451" s="266" t="s">
        <v>166</v>
      </c>
      <c r="J451" s="266" t="s">
        <v>166</v>
      </c>
      <c r="K451" s="266" t="s">
        <v>166</v>
      </c>
      <c r="L451" s="266" t="s">
        <v>166</v>
      </c>
      <c r="M451" s="266">
        <v>2.0</v>
      </c>
      <c r="N451" s="266" t="s">
        <v>166</v>
      </c>
      <c r="O451" s="266" t="s">
        <v>174</v>
      </c>
      <c r="P451" s="266" t="s">
        <v>174</v>
      </c>
      <c r="Q451" s="266" t="s">
        <v>166</v>
      </c>
      <c r="R451" s="266">
        <v>4.0</v>
      </c>
      <c r="S451" s="266" t="s">
        <v>3149</v>
      </c>
      <c r="T451" s="266">
        <v>128.0</v>
      </c>
      <c r="U451" s="266" t="s">
        <v>5286</v>
      </c>
      <c r="V451" s="266">
        <v>4.0</v>
      </c>
      <c r="W451" s="710" t="s">
        <v>5126</v>
      </c>
      <c r="X451" s="266">
        <v>4.0</v>
      </c>
      <c r="Y451" s="266">
        <v>3.0</v>
      </c>
      <c r="Z451" s="266" t="s">
        <v>166</v>
      </c>
      <c r="AA451" s="266">
        <v>1.0</v>
      </c>
      <c r="AB451" s="266" t="s">
        <v>166</v>
      </c>
      <c r="AC451" s="266">
        <v>1.0</v>
      </c>
      <c r="AD451" s="266" t="s">
        <v>166</v>
      </c>
      <c r="AE451" s="266" t="s">
        <v>166</v>
      </c>
      <c r="AF451" s="266">
        <f t="shared" si="1"/>
        <v>9</v>
      </c>
      <c r="AG451" s="266">
        <v>2.0</v>
      </c>
      <c r="AH451" s="266">
        <v>1.0</v>
      </c>
      <c r="AI451" s="266" t="s">
        <v>5025</v>
      </c>
      <c r="AJ451" s="266">
        <v>1.0</v>
      </c>
      <c r="AK451" s="48" t="s">
        <v>5038</v>
      </c>
      <c r="AL451" s="48">
        <v>2.5</v>
      </c>
      <c r="AM451" s="705" t="s">
        <v>166</v>
      </c>
      <c r="AN451" s="48" t="s">
        <v>166</v>
      </c>
      <c r="AO451" s="705" t="s">
        <v>166</v>
      </c>
      <c r="AP451" s="266" t="s">
        <v>166</v>
      </c>
      <c r="AQ451" s="507" t="s">
        <v>166</v>
      </c>
      <c r="AR451" s="48" t="s">
        <v>5039</v>
      </c>
      <c r="AS451" s="266" t="s">
        <v>174</v>
      </c>
      <c r="AT451" s="266">
        <v>2.0</v>
      </c>
      <c r="AU451" s="266" t="s">
        <v>166</v>
      </c>
      <c r="AV451" s="266">
        <v>1.0</v>
      </c>
      <c r="AW451" s="266">
        <v>1.0</v>
      </c>
      <c r="AX451" s="266" t="s">
        <v>166</v>
      </c>
      <c r="AY451" s="266" t="s">
        <v>166</v>
      </c>
      <c r="AZ451" s="266">
        <v>4.0</v>
      </c>
      <c r="BA451" s="266">
        <v>2.0</v>
      </c>
      <c r="BB451" s="266">
        <v>2.0</v>
      </c>
      <c r="BC451" s="266" t="s">
        <v>166</v>
      </c>
      <c r="BD451" s="266" t="s">
        <v>174</v>
      </c>
      <c r="BE451" s="48" t="s">
        <v>170</v>
      </c>
      <c r="BF451" s="48" t="s">
        <v>5800</v>
      </c>
      <c r="BG451" s="48" t="s">
        <v>4955</v>
      </c>
      <c r="BH451" s="48">
        <v>12.0</v>
      </c>
      <c r="BI451" s="698" t="s">
        <v>5087</v>
      </c>
      <c r="BJ451" s="698"/>
      <c r="BK451" s="394"/>
      <c r="BL451" s="394"/>
      <c r="BM451" s="394"/>
      <c r="BN451" s="394"/>
      <c r="BO451" s="394"/>
      <c r="BP451" s="394"/>
    </row>
    <row r="452">
      <c r="A452" s="266" t="s">
        <v>1688</v>
      </c>
      <c r="B452" s="48">
        <v>1700.0</v>
      </c>
      <c r="C452" s="266" t="s">
        <v>5379</v>
      </c>
      <c r="D452" s="452" t="str">
        <f t="shared" si="58"/>
        <v>Gigabyte</v>
      </c>
      <c r="E452" s="174" t="s">
        <v>5980</v>
      </c>
      <c r="F452" s="507">
        <v>244.0</v>
      </c>
      <c r="G452" s="507">
        <v>244.0</v>
      </c>
      <c r="H452" s="266">
        <v>5.0</v>
      </c>
      <c r="I452" s="266" t="s">
        <v>166</v>
      </c>
      <c r="J452" s="266" t="s">
        <v>166</v>
      </c>
      <c r="K452" s="266" t="s">
        <v>166</v>
      </c>
      <c r="L452" s="266" t="s">
        <v>166</v>
      </c>
      <c r="M452" s="266">
        <v>2.0</v>
      </c>
      <c r="N452" s="266" t="s">
        <v>166</v>
      </c>
      <c r="O452" s="266" t="s">
        <v>174</v>
      </c>
      <c r="P452" s="266" t="s">
        <v>174</v>
      </c>
      <c r="Q452" s="266" t="s">
        <v>166</v>
      </c>
      <c r="R452" s="266">
        <v>4.0</v>
      </c>
      <c r="S452" s="266" t="s">
        <v>3151</v>
      </c>
      <c r="T452" s="266">
        <v>192.0</v>
      </c>
      <c r="U452" s="266" t="s">
        <v>5981</v>
      </c>
      <c r="V452" s="266">
        <v>4.0</v>
      </c>
      <c r="W452" s="710" t="s">
        <v>5126</v>
      </c>
      <c r="X452" s="266">
        <v>4.0</v>
      </c>
      <c r="Y452" s="266">
        <v>3.0</v>
      </c>
      <c r="Z452" s="266" t="s">
        <v>166</v>
      </c>
      <c r="AA452" s="266">
        <v>1.0</v>
      </c>
      <c r="AB452" s="266" t="s">
        <v>166</v>
      </c>
      <c r="AC452" s="266">
        <v>1.0</v>
      </c>
      <c r="AD452" s="266" t="s">
        <v>166</v>
      </c>
      <c r="AE452" s="266" t="s">
        <v>166</v>
      </c>
      <c r="AF452" s="266">
        <f t="shared" si="1"/>
        <v>9</v>
      </c>
      <c r="AG452" s="266">
        <v>2.0</v>
      </c>
      <c r="AH452" s="266">
        <v>1.0</v>
      </c>
      <c r="AI452" s="266" t="s">
        <v>5025</v>
      </c>
      <c r="AJ452" s="266">
        <v>1.0</v>
      </c>
      <c r="AK452" s="48" t="s">
        <v>5026</v>
      </c>
      <c r="AL452" s="48">
        <v>2.5</v>
      </c>
      <c r="AM452" s="705">
        <v>1.0</v>
      </c>
      <c r="AN452" s="48" t="s">
        <v>5044</v>
      </c>
      <c r="AO452" s="705" t="s">
        <v>5982</v>
      </c>
      <c r="AP452" s="266">
        <v>2400.0</v>
      </c>
      <c r="AQ452" s="507">
        <v>5.3</v>
      </c>
      <c r="AR452" s="48" t="s">
        <v>5039</v>
      </c>
      <c r="AS452" s="266" t="s">
        <v>174</v>
      </c>
      <c r="AT452" s="266">
        <v>2.0</v>
      </c>
      <c r="AU452" s="266" t="s">
        <v>166</v>
      </c>
      <c r="AV452" s="266">
        <v>1.0</v>
      </c>
      <c r="AW452" s="266">
        <v>1.0</v>
      </c>
      <c r="AX452" s="266" t="s">
        <v>166</v>
      </c>
      <c r="AY452" s="266" t="s">
        <v>166</v>
      </c>
      <c r="AZ452" s="266">
        <v>4.0</v>
      </c>
      <c r="BA452" s="266">
        <v>1.0</v>
      </c>
      <c r="BB452" s="266">
        <v>3.0</v>
      </c>
      <c r="BC452" s="266" t="s">
        <v>166</v>
      </c>
      <c r="BD452" s="266" t="s">
        <v>174</v>
      </c>
      <c r="BE452" s="48" t="s">
        <v>170</v>
      </c>
      <c r="BF452" s="48" t="s">
        <v>5384</v>
      </c>
      <c r="BG452" s="48" t="s">
        <v>4955</v>
      </c>
      <c r="BH452" s="48">
        <v>14.0</v>
      </c>
      <c r="BI452" s="698" t="s">
        <v>5087</v>
      </c>
      <c r="BJ452" s="698"/>
      <c r="BK452" s="394"/>
      <c r="BL452" s="394"/>
      <c r="BM452" s="394"/>
      <c r="BN452" s="394"/>
      <c r="BO452" s="394"/>
      <c r="BP452" s="394"/>
    </row>
    <row r="453">
      <c r="A453" s="266" t="s">
        <v>1688</v>
      </c>
      <c r="B453" s="48">
        <v>1700.0</v>
      </c>
      <c r="C453" s="266" t="s">
        <v>5379</v>
      </c>
      <c r="D453" s="452" t="str">
        <f t="shared" si="58"/>
        <v>Gigabyte</v>
      </c>
      <c r="E453" s="174" t="s">
        <v>5983</v>
      </c>
      <c r="F453" s="507">
        <v>244.0</v>
      </c>
      <c r="G453" s="507">
        <v>244.0</v>
      </c>
      <c r="H453" s="266">
        <v>4.0</v>
      </c>
      <c r="I453" s="266" t="s">
        <v>166</v>
      </c>
      <c r="J453" s="266" t="s">
        <v>166</v>
      </c>
      <c r="K453" s="266" t="s">
        <v>166</v>
      </c>
      <c r="L453" s="266" t="s">
        <v>166</v>
      </c>
      <c r="M453" s="266">
        <v>2.0</v>
      </c>
      <c r="N453" s="266" t="s">
        <v>166</v>
      </c>
      <c r="O453" s="266" t="s">
        <v>174</v>
      </c>
      <c r="P453" s="266" t="s">
        <v>174</v>
      </c>
      <c r="Q453" s="266" t="s">
        <v>166</v>
      </c>
      <c r="R453" s="266">
        <v>4.0</v>
      </c>
      <c r="S453" s="266" t="s">
        <v>3151</v>
      </c>
      <c r="T453" s="266">
        <v>192.0</v>
      </c>
      <c r="U453" s="266" t="s">
        <v>5387</v>
      </c>
      <c r="V453" s="266">
        <v>4.0</v>
      </c>
      <c r="W453" s="710" t="s">
        <v>5126</v>
      </c>
      <c r="X453" s="266">
        <v>4.0</v>
      </c>
      <c r="Y453" s="266">
        <v>3.0</v>
      </c>
      <c r="Z453" s="266" t="s">
        <v>166</v>
      </c>
      <c r="AA453" s="266">
        <v>1.0</v>
      </c>
      <c r="AB453" s="266" t="s">
        <v>166</v>
      </c>
      <c r="AC453" s="266">
        <v>1.0</v>
      </c>
      <c r="AD453" s="266" t="s">
        <v>166</v>
      </c>
      <c r="AE453" s="266" t="s">
        <v>166</v>
      </c>
      <c r="AF453" s="266">
        <f t="shared" si="1"/>
        <v>9</v>
      </c>
      <c r="AG453" s="266">
        <v>2.0</v>
      </c>
      <c r="AH453" s="266">
        <v>1.0</v>
      </c>
      <c r="AI453" s="266" t="s">
        <v>5025</v>
      </c>
      <c r="AJ453" s="266">
        <v>1.0</v>
      </c>
      <c r="AK453" s="48" t="s">
        <v>5038</v>
      </c>
      <c r="AL453" s="48">
        <v>2.5</v>
      </c>
      <c r="AM453" s="705" t="s">
        <v>166</v>
      </c>
      <c r="AN453" s="705" t="s">
        <v>166</v>
      </c>
      <c r="AO453" s="705" t="s">
        <v>166</v>
      </c>
      <c r="AP453" s="507" t="s">
        <v>166</v>
      </c>
      <c r="AQ453" s="507" t="s">
        <v>166</v>
      </c>
      <c r="AR453" s="48" t="s">
        <v>5039</v>
      </c>
      <c r="AS453" s="266" t="s">
        <v>174</v>
      </c>
      <c r="AT453" s="266">
        <v>2.0</v>
      </c>
      <c r="AU453" s="266" t="s">
        <v>166</v>
      </c>
      <c r="AV453" s="266">
        <v>1.0</v>
      </c>
      <c r="AW453" s="266">
        <v>1.0</v>
      </c>
      <c r="AX453" s="266" t="s">
        <v>166</v>
      </c>
      <c r="AY453" s="266" t="s">
        <v>166</v>
      </c>
      <c r="AZ453" s="266">
        <v>6.0</v>
      </c>
      <c r="BA453" s="266">
        <v>2.0</v>
      </c>
      <c r="BB453" s="266">
        <v>2.0</v>
      </c>
      <c r="BC453" s="266" t="s">
        <v>166</v>
      </c>
      <c r="BD453" s="266" t="s">
        <v>174</v>
      </c>
      <c r="BE453" s="48" t="s">
        <v>170</v>
      </c>
      <c r="BF453" s="48" t="s">
        <v>5384</v>
      </c>
      <c r="BG453" s="48" t="s">
        <v>4955</v>
      </c>
      <c r="BH453" s="48">
        <v>14.0</v>
      </c>
      <c r="BI453" s="698" t="s">
        <v>5087</v>
      </c>
      <c r="BJ453" s="698"/>
      <c r="BK453" s="394"/>
      <c r="BL453" s="394"/>
      <c r="BM453" s="394"/>
      <c r="BN453" s="394"/>
      <c r="BO453" s="394"/>
      <c r="BP453" s="394"/>
    </row>
    <row r="454">
      <c r="A454" s="266" t="s">
        <v>1688</v>
      </c>
      <c r="B454" s="48">
        <v>1700.0</v>
      </c>
      <c r="C454" s="266" t="s">
        <v>5379</v>
      </c>
      <c r="D454" s="452" t="str">
        <f t="shared" si="58"/>
        <v>Gigabyte</v>
      </c>
      <c r="E454" s="174" t="s">
        <v>5984</v>
      </c>
      <c r="F454" s="507">
        <v>244.0</v>
      </c>
      <c r="G454" s="507">
        <v>244.0</v>
      </c>
      <c r="H454" s="266">
        <v>4.0</v>
      </c>
      <c r="I454" s="266" t="s">
        <v>166</v>
      </c>
      <c r="J454" s="266" t="s">
        <v>166</v>
      </c>
      <c r="K454" s="266" t="s">
        <v>166</v>
      </c>
      <c r="L454" s="266" t="s">
        <v>166</v>
      </c>
      <c r="M454" s="266">
        <v>2.0</v>
      </c>
      <c r="N454" s="266" t="s">
        <v>166</v>
      </c>
      <c r="O454" s="266" t="s">
        <v>174</v>
      </c>
      <c r="P454" s="266" t="s">
        <v>174</v>
      </c>
      <c r="Q454" s="266" t="s">
        <v>166</v>
      </c>
      <c r="R454" s="266">
        <v>4.0</v>
      </c>
      <c r="S454" s="266" t="s">
        <v>3151</v>
      </c>
      <c r="T454" s="266">
        <v>192.0</v>
      </c>
      <c r="U454" s="266" t="s">
        <v>5387</v>
      </c>
      <c r="V454" s="266">
        <v>4.0</v>
      </c>
      <c r="W454" s="710" t="s">
        <v>5126</v>
      </c>
      <c r="X454" s="266">
        <v>4.0</v>
      </c>
      <c r="Y454" s="266">
        <v>3.0</v>
      </c>
      <c r="Z454" s="266" t="s">
        <v>166</v>
      </c>
      <c r="AA454" s="266">
        <v>1.0</v>
      </c>
      <c r="AB454" s="266" t="s">
        <v>166</v>
      </c>
      <c r="AC454" s="266">
        <v>1.0</v>
      </c>
      <c r="AD454" s="266" t="s">
        <v>166</v>
      </c>
      <c r="AE454" s="266" t="s">
        <v>166</v>
      </c>
      <c r="AF454" s="266">
        <f t="shared" si="1"/>
        <v>9</v>
      </c>
      <c r="AG454" s="266">
        <v>2.0</v>
      </c>
      <c r="AH454" s="266">
        <v>1.0</v>
      </c>
      <c r="AI454" s="266" t="s">
        <v>5025</v>
      </c>
      <c r="AJ454" s="266">
        <v>1.0</v>
      </c>
      <c r="AK454" s="48" t="s">
        <v>5038</v>
      </c>
      <c r="AL454" s="48">
        <v>2.5</v>
      </c>
      <c r="AM454" s="705">
        <v>1.0</v>
      </c>
      <c r="AN454" s="48" t="s">
        <v>5044</v>
      </c>
      <c r="AO454" s="705" t="s">
        <v>5974</v>
      </c>
      <c r="AP454" s="266">
        <v>2400.0</v>
      </c>
      <c r="AQ454" s="507">
        <v>5.3</v>
      </c>
      <c r="AR454" s="48" t="s">
        <v>5039</v>
      </c>
      <c r="AS454" s="266" t="s">
        <v>174</v>
      </c>
      <c r="AT454" s="266">
        <v>2.0</v>
      </c>
      <c r="AU454" s="266" t="s">
        <v>166</v>
      </c>
      <c r="AV454" s="266">
        <v>1.0</v>
      </c>
      <c r="AW454" s="266">
        <v>1.0</v>
      </c>
      <c r="AX454" s="266" t="s">
        <v>166</v>
      </c>
      <c r="AY454" s="266" t="s">
        <v>166</v>
      </c>
      <c r="AZ454" s="266">
        <v>6.0</v>
      </c>
      <c r="BA454" s="266">
        <v>2.0</v>
      </c>
      <c r="BB454" s="266">
        <v>2.0</v>
      </c>
      <c r="BC454" s="266" t="s">
        <v>166</v>
      </c>
      <c r="BD454" s="266" t="s">
        <v>174</v>
      </c>
      <c r="BE454" s="48" t="s">
        <v>170</v>
      </c>
      <c r="BF454" s="48" t="s">
        <v>5384</v>
      </c>
      <c r="BG454" s="48" t="s">
        <v>4955</v>
      </c>
      <c r="BH454" s="48">
        <v>14.0</v>
      </c>
      <c r="BI454" s="698" t="s">
        <v>5087</v>
      </c>
      <c r="BJ454" s="698"/>
      <c r="BK454" s="394"/>
      <c r="BL454" s="394"/>
      <c r="BM454" s="394"/>
      <c r="BN454" s="394"/>
      <c r="BO454" s="394"/>
      <c r="BP454" s="394"/>
    </row>
    <row r="455">
      <c r="A455" s="266" t="s">
        <v>1688</v>
      </c>
      <c r="B455" s="48">
        <v>1700.0</v>
      </c>
      <c r="C455" s="266" t="s">
        <v>5379</v>
      </c>
      <c r="D455" s="452" t="str">
        <f t="shared" si="58"/>
        <v>Gigabyte</v>
      </c>
      <c r="E455" s="174" t="s">
        <v>5985</v>
      </c>
      <c r="F455" s="507">
        <v>244.0</v>
      </c>
      <c r="G455" s="507">
        <v>244.0</v>
      </c>
      <c r="H455" s="266">
        <v>4.0</v>
      </c>
      <c r="I455" s="266" t="s">
        <v>166</v>
      </c>
      <c r="J455" s="266" t="s">
        <v>166</v>
      </c>
      <c r="K455" s="266" t="s">
        <v>166</v>
      </c>
      <c r="L455" s="266" t="s">
        <v>166</v>
      </c>
      <c r="M455" s="266">
        <v>2.0</v>
      </c>
      <c r="N455" s="266" t="s">
        <v>166</v>
      </c>
      <c r="O455" s="266" t="s">
        <v>174</v>
      </c>
      <c r="P455" s="266" t="s">
        <v>174</v>
      </c>
      <c r="Q455" s="266" t="s">
        <v>166</v>
      </c>
      <c r="R455" s="266">
        <v>4.0</v>
      </c>
      <c r="S455" s="266" t="s">
        <v>3149</v>
      </c>
      <c r="T455" s="266">
        <v>128.0</v>
      </c>
      <c r="U455" s="266" t="s">
        <v>5286</v>
      </c>
      <c r="V455" s="266">
        <v>4.0</v>
      </c>
      <c r="W455" s="710" t="s">
        <v>5126</v>
      </c>
      <c r="X455" s="266">
        <v>4.0</v>
      </c>
      <c r="Y455" s="266">
        <v>3.0</v>
      </c>
      <c r="Z455" s="266" t="s">
        <v>166</v>
      </c>
      <c r="AA455" s="266">
        <v>1.0</v>
      </c>
      <c r="AB455" s="266" t="s">
        <v>166</v>
      </c>
      <c r="AC455" s="266">
        <v>1.0</v>
      </c>
      <c r="AD455" s="266" t="s">
        <v>166</v>
      </c>
      <c r="AE455" s="266" t="s">
        <v>166</v>
      </c>
      <c r="AF455" s="266">
        <f t="shared" si="1"/>
        <v>9</v>
      </c>
      <c r="AG455" s="266">
        <v>2.0</v>
      </c>
      <c r="AH455" s="266">
        <v>1.0</v>
      </c>
      <c r="AI455" s="266" t="s">
        <v>5025</v>
      </c>
      <c r="AJ455" s="266">
        <v>1.0</v>
      </c>
      <c r="AK455" s="48" t="s">
        <v>5038</v>
      </c>
      <c r="AL455" s="48">
        <v>2.5</v>
      </c>
      <c r="AM455" s="705">
        <v>1.0</v>
      </c>
      <c r="AN455" s="48" t="s">
        <v>5044</v>
      </c>
      <c r="AO455" s="705" t="s">
        <v>5974</v>
      </c>
      <c r="AP455" s="266">
        <v>2400.0</v>
      </c>
      <c r="AQ455" s="507">
        <v>5.3</v>
      </c>
      <c r="AR455" s="48" t="s">
        <v>5039</v>
      </c>
      <c r="AS455" s="266" t="s">
        <v>174</v>
      </c>
      <c r="AT455" s="266">
        <v>2.0</v>
      </c>
      <c r="AU455" s="266" t="s">
        <v>166</v>
      </c>
      <c r="AV455" s="266">
        <v>1.0</v>
      </c>
      <c r="AW455" s="266">
        <v>1.0</v>
      </c>
      <c r="AX455" s="266" t="s">
        <v>166</v>
      </c>
      <c r="AY455" s="266" t="s">
        <v>166</v>
      </c>
      <c r="AZ455" s="266">
        <v>6.0</v>
      </c>
      <c r="BA455" s="266">
        <v>2.0</v>
      </c>
      <c r="BB455" s="266">
        <v>2.0</v>
      </c>
      <c r="BC455" s="266" t="s">
        <v>166</v>
      </c>
      <c r="BD455" s="266" t="s">
        <v>174</v>
      </c>
      <c r="BE455" s="48" t="s">
        <v>170</v>
      </c>
      <c r="BF455" s="48" t="s">
        <v>5384</v>
      </c>
      <c r="BG455" s="48" t="s">
        <v>4955</v>
      </c>
      <c r="BH455" s="48">
        <v>14.0</v>
      </c>
      <c r="BI455" s="698" t="s">
        <v>5087</v>
      </c>
      <c r="BJ455" s="698"/>
      <c r="BK455" s="394"/>
      <c r="BL455" s="394"/>
      <c r="BM455" s="394"/>
      <c r="BN455" s="394"/>
      <c r="BO455" s="394"/>
      <c r="BP455" s="394"/>
    </row>
    <row r="456">
      <c r="A456" s="266" t="s">
        <v>1688</v>
      </c>
      <c r="B456" s="48">
        <v>1700.0</v>
      </c>
      <c r="C456" s="266" t="s">
        <v>5379</v>
      </c>
      <c r="D456" s="452" t="str">
        <f t="shared" si="58"/>
        <v>Gigabyte</v>
      </c>
      <c r="E456" s="174" t="s">
        <v>5986</v>
      </c>
      <c r="F456" s="507">
        <v>244.0</v>
      </c>
      <c r="G456" s="507">
        <v>244.0</v>
      </c>
      <c r="H456" s="266">
        <v>4.0</v>
      </c>
      <c r="I456" s="266" t="s">
        <v>166</v>
      </c>
      <c r="J456" s="266" t="s">
        <v>166</v>
      </c>
      <c r="K456" s="266" t="s">
        <v>166</v>
      </c>
      <c r="L456" s="266" t="s">
        <v>166</v>
      </c>
      <c r="M456" s="266">
        <v>2.0</v>
      </c>
      <c r="N456" s="266" t="s">
        <v>166</v>
      </c>
      <c r="O456" s="266" t="s">
        <v>174</v>
      </c>
      <c r="P456" s="266" t="s">
        <v>174</v>
      </c>
      <c r="Q456" s="266" t="s">
        <v>166</v>
      </c>
      <c r="R456" s="266">
        <v>4.0</v>
      </c>
      <c r="S456" s="266" t="s">
        <v>3149</v>
      </c>
      <c r="T456" s="266">
        <v>128.0</v>
      </c>
      <c r="U456" s="266" t="s">
        <v>5286</v>
      </c>
      <c r="V456" s="266">
        <v>4.0</v>
      </c>
      <c r="W456" s="710" t="s">
        <v>5126</v>
      </c>
      <c r="X456" s="266">
        <v>4.0</v>
      </c>
      <c r="Y456" s="266">
        <v>3.0</v>
      </c>
      <c r="Z456" s="266" t="s">
        <v>166</v>
      </c>
      <c r="AA456" s="266">
        <v>1.0</v>
      </c>
      <c r="AB456" s="266" t="s">
        <v>166</v>
      </c>
      <c r="AC456" s="266">
        <v>1.0</v>
      </c>
      <c r="AD456" s="266" t="s">
        <v>166</v>
      </c>
      <c r="AE456" s="266" t="s">
        <v>166</v>
      </c>
      <c r="AF456" s="266">
        <f t="shared" si="1"/>
        <v>9</v>
      </c>
      <c r="AG456" s="266">
        <v>2.0</v>
      </c>
      <c r="AH456" s="266">
        <v>1.0</v>
      </c>
      <c r="AI456" s="266" t="s">
        <v>5025</v>
      </c>
      <c r="AJ456" s="266">
        <v>1.0</v>
      </c>
      <c r="AK456" s="48" t="s">
        <v>5038</v>
      </c>
      <c r="AL456" s="48">
        <v>2.5</v>
      </c>
      <c r="AM456" s="705" t="s">
        <v>166</v>
      </c>
      <c r="AN456" s="705" t="s">
        <v>166</v>
      </c>
      <c r="AO456" s="705" t="s">
        <v>166</v>
      </c>
      <c r="AP456" s="507" t="s">
        <v>166</v>
      </c>
      <c r="AQ456" s="507" t="s">
        <v>166</v>
      </c>
      <c r="AR456" s="48" t="s">
        <v>5039</v>
      </c>
      <c r="AS456" s="266" t="s">
        <v>174</v>
      </c>
      <c r="AT456" s="266">
        <v>2.0</v>
      </c>
      <c r="AU456" s="266" t="s">
        <v>166</v>
      </c>
      <c r="AV456" s="266">
        <v>1.0</v>
      </c>
      <c r="AW456" s="266">
        <v>1.0</v>
      </c>
      <c r="AX456" s="266" t="s">
        <v>166</v>
      </c>
      <c r="AY456" s="266" t="s">
        <v>166</v>
      </c>
      <c r="AZ456" s="266">
        <v>6.0</v>
      </c>
      <c r="BA456" s="266">
        <v>2.0</v>
      </c>
      <c r="BB456" s="266">
        <v>2.0</v>
      </c>
      <c r="BC456" s="266" t="s">
        <v>166</v>
      </c>
      <c r="BD456" s="266" t="s">
        <v>174</v>
      </c>
      <c r="BE456" s="48" t="s">
        <v>170</v>
      </c>
      <c r="BF456" s="48" t="s">
        <v>5384</v>
      </c>
      <c r="BG456" s="48" t="s">
        <v>4955</v>
      </c>
      <c r="BH456" s="48">
        <v>14.0</v>
      </c>
      <c r="BI456" s="698" t="s">
        <v>5087</v>
      </c>
      <c r="BJ456" s="698"/>
      <c r="BK456" s="394"/>
      <c r="BL456" s="394"/>
      <c r="BM456" s="394"/>
      <c r="BN456" s="394"/>
      <c r="BO456" s="394"/>
      <c r="BP456" s="394"/>
    </row>
    <row r="457">
      <c r="A457" s="266" t="s">
        <v>1688</v>
      </c>
      <c r="B457" s="48">
        <v>1700.0</v>
      </c>
      <c r="C457" s="266" t="s">
        <v>5379</v>
      </c>
      <c r="D457" s="452" t="str">
        <f t="shared" si="58"/>
        <v>Gigabyte</v>
      </c>
      <c r="E457" s="174" t="s">
        <v>5987</v>
      </c>
      <c r="F457" s="507">
        <v>244.0</v>
      </c>
      <c r="G457" s="507">
        <v>244.0</v>
      </c>
      <c r="H457" s="266">
        <v>4.0</v>
      </c>
      <c r="I457" s="266" t="s">
        <v>166</v>
      </c>
      <c r="J457" s="266" t="s">
        <v>166</v>
      </c>
      <c r="K457" s="266" t="s">
        <v>166</v>
      </c>
      <c r="L457" s="266" t="s">
        <v>166</v>
      </c>
      <c r="M457" s="266">
        <v>4.0</v>
      </c>
      <c r="N457" s="266" t="s">
        <v>166</v>
      </c>
      <c r="O457" s="266" t="s">
        <v>174</v>
      </c>
      <c r="P457" s="266" t="s">
        <v>174</v>
      </c>
      <c r="Q457" s="266" t="s">
        <v>166</v>
      </c>
      <c r="R457" s="266">
        <v>4.0</v>
      </c>
      <c r="S457" s="266" t="s">
        <v>3151</v>
      </c>
      <c r="T457" s="266">
        <v>192.0</v>
      </c>
      <c r="U457" s="266" t="s">
        <v>5387</v>
      </c>
      <c r="V457" s="266">
        <v>4.0</v>
      </c>
      <c r="W457" s="710" t="s">
        <v>5724</v>
      </c>
      <c r="X457" s="266">
        <v>4.0</v>
      </c>
      <c r="Y457" s="266" t="s">
        <v>166</v>
      </c>
      <c r="Z457" s="266" t="s">
        <v>166</v>
      </c>
      <c r="AA457" s="266">
        <v>1.0</v>
      </c>
      <c r="AB457" s="266" t="s">
        <v>166</v>
      </c>
      <c r="AC457" s="266">
        <v>1.0</v>
      </c>
      <c r="AD457" s="266" t="s">
        <v>166</v>
      </c>
      <c r="AE457" s="266" t="s">
        <v>166</v>
      </c>
      <c r="AF457" s="266">
        <f t="shared" si="1"/>
        <v>6</v>
      </c>
      <c r="AG457" s="266">
        <v>3.0</v>
      </c>
      <c r="AH457" s="266">
        <v>1.0</v>
      </c>
      <c r="AI457" s="507" t="s">
        <v>5049</v>
      </c>
      <c r="AJ457" s="266">
        <v>1.0</v>
      </c>
      <c r="AK457" s="48" t="s">
        <v>4959</v>
      </c>
      <c r="AL457" s="48">
        <v>1.0</v>
      </c>
      <c r="AM457" s="705">
        <v>1.0</v>
      </c>
      <c r="AN457" s="705" t="s">
        <v>4966</v>
      </c>
      <c r="AO457" s="705" t="s">
        <v>5988</v>
      </c>
      <c r="AP457" s="507">
        <v>433.0</v>
      </c>
      <c r="AQ457" s="507">
        <v>5.1</v>
      </c>
      <c r="AR457" s="48" t="s">
        <v>5039</v>
      </c>
      <c r="AS457" s="266" t="s">
        <v>166</v>
      </c>
      <c r="AT457" s="266">
        <v>3.0</v>
      </c>
      <c r="AU457" s="266">
        <v>1.0</v>
      </c>
      <c r="AV457" s="266">
        <v>1.0</v>
      </c>
      <c r="AW457" s="266">
        <v>1.0</v>
      </c>
      <c r="AX457" s="266" t="s">
        <v>166</v>
      </c>
      <c r="AY457" s="266" t="s">
        <v>166</v>
      </c>
      <c r="AZ457" s="266">
        <v>4.0</v>
      </c>
      <c r="BA457" s="266">
        <v>2.0</v>
      </c>
      <c r="BB457" s="266">
        <v>2.0</v>
      </c>
      <c r="BC457" s="266" t="s">
        <v>166</v>
      </c>
      <c r="BD457" s="266" t="s">
        <v>166</v>
      </c>
      <c r="BE457" s="48" t="s">
        <v>170</v>
      </c>
      <c r="BF457" s="48" t="s">
        <v>4973</v>
      </c>
      <c r="BG457" s="48" t="s">
        <v>4955</v>
      </c>
      <c r="BH457" s="48">
        <v>6.0</v>
      </c>
      <c r="BI457" s="698" t="s">
        <v>170</v>
      </c>
      <c r="BJ457" s="698"/>
      <c r="BK457" s="394"/>
      <c r="BL457" s="394"/>
      <c r="BM457" s="394"/>
      <c r="BN457" s="394"/>
      <c r="BO457" s="394"/>
      <c r="BP457" s="394"/>
    </row>
    <row r="458">
      <c r="A458" s="266" t="s">
        <v>1688</v>
      </c>
      <c r="B458" s="48">
        <v>1700.0</v>
      </c>
      <c r="C458" s="266" t="s">
        <v>5379</v>
      </c>
      <c r="D458" s="452" t="str">
        <f t="shared" si="58"/>
        <v>Gigabyte</v>
      </c>
      <c r="E458" s="174" t="s">
        <v>5989</v>
      </c>
      <c r="F458" s="507">
        <v>230.0</v>
      </c>
      <c r="G458" s="507">
        <v>215.0</v>
      </c>
      <c r="H458" s="266">
        <v>4.0</v>
      </c>
      <c r="I458" s="266" t="s">
        <v>166</v>
      </c>
      <c r="J458" s="266">
        <v>1.0</v>
      </c>
      <c r="K458" s="266" t="s">
        <v>166</v>
      </c>
      <c r="L458" s="266" t="s">
        <v>166</v>
      </c>
      <c r="M458" s="266">
        <v>1.0</v>
      </c>
      <c r="N458" s="266" t="s">
        <v>166</v>
      </c>
      <c r="O458" s="266" t="s">
        <v>174</v>
      </c>
      <c r="P458" s="266" t="s">
        <v>166</v>
      </c>
      <c r="Q458" s="266" t="s">
        <v>166</v>
      </c>
      <c r="R458" s="266">
        <v>2.0</v>
      </c>
      <c r="S458" s="266" t="s">
        <v>3149</v>
      </c>
      <c r="T458" s="266">
        <v>64.0</v>
      </c>
      <c r="U458" s="266" t="s">
        <v>4975</v>
      </c>
      <c r="V458" s="266">
        <v>4.0</v>
      </c>
      <c r="W458" s="710" t="s">
        <v>5126</v>
      </c>
      <c r="X458" s="266">
        <v>2.0</v>
      </c>
      <c r="Y458" s="266">
        <v>4.0</v>
      </c>
      <c r="Z458" s="266" t="s">
        <v>166</v>
      </c>
      <c r="AA458" s="266" t="s">
        <v>166</v>
      </c>
      <c r="AB458" s="266" t="s">
        <v>166</v>
      </c>
      <c r="AC458" s="266" t="s">
        <v>166</v>
      </c>
      <c r="AD458" s="266" t="s">
        <v>166</v>
      </c>
      <c r="AE458" s="266" t="s">
        <v>166</v>
      </c>
      <c r="AF458" s="266">
        <f t="shared" si="1"/>
        <v>6</v>
      </c>
      <c r="AG458" s="266">
        <v>2.0</v>
      </c>
      <c r="AH458" s="266">
        <v>1.0</v>
      </c>
      <c r="AI458" s="507" t="s">
        <v>166</v>
      </c>
      <c r="AJ458" s="266">
        <v>1.0</v>
      </c>
      <c r="AK458" s="48" t="s">
        <v>4959</v>
      </c>
      <c r="AL458" s="48">
        <v>1.0</v>
      </c>
      <c r="AM458" s="705" t="s">
        <v>166</v>
      </c>
      <c r="AN458" s="705" t="s">
        <v>166</v>
      </c>
      <c r="AO458" s="705" t="s">
        <v>166</v>
      </c>
      <c r="AP458" s="507" t="s">
        <v>166</v>
      </c>
      <c r="AQ458" s="507" t="s">
        <v>166</v>
      </c>
      <c r="AR458" s="48" t="s">
        <v>5039</v>
      </c>
      <c r="AS458" s="266" t="s">
        <v>166</v>
      </c>
      <c r="AT458" s="266">
        <v>3.0</v>
      </c>
      <c r="AU458" s="266" t="s">
        <v>166</v>
      </c>
      <c r="AV458" s="266" t="s">
        <v>166</v>
      </c>
      <c r="AW458" s="266">
        <v>1.0</v>
      </c>
      <c r="AX458" s="266" t="s">
        <v>166</v>
      </c>
      <c r="AY458" s="266">
        <v>1.0</v>
      </c>
      <c r="AZ458" s="266">
        <v>3.0</v>
      </c>
      <c r="BA458" s="266">
        <v>1.0</v>
      </c>
      <c r="BB458" s="266" t="s">
        <v>166</v>
      </c>
      <c r="BC458" s="266" t="s">
        <v>166</v>
      </c>
      <c r="BD458" s="266" t="s">
        <v>166</v>
      </c>
      <c r="BE458" s="48" t="s">
        <v>170</v>
      </c>
      <c r="BF458" s="48" t="s">
        <v>4973</v>
      </c>
      <c r="BG458" s="48" t="s">
        <v>4955</v>
      </c>
      <c r="BH458" s="48">
        <v>6.0</v>
      </c>
      <c r="BI458" s="698" t="s">
        <v>170</v>
      </c>
      <c r="BJ458" s="698"/>
      <c r="BK458" s="394"/>
      <c r="BL458" s="394"/>
      <c r="BM458" s="394"/>
      <c r="BN458" s="394"/>
      <c r="BO458" s="394"/>
      <c r="BP458" s="394"/>
    </row>
    <row r="459">
      <c r="A459" s="266" t="s">
        <v>1688</v>
      </c>
      <c r="B459" s="48">
        <v>1700.0</v>
      </c>
      <c r="C459" s="266" t="s">
        <v>5379</v>
      </c>
      <c r="D459" s="452" t="str">
        <f t="shared" si="58"/>
        <v>Gigabyte</v>
      </c>
      <c r="E459" s="174" t="s">
        <v>5990</v>
      </c>
      <c r="F459" s="507">
        <v>244.0</v>
      </c>
      <c r="G459" s="507">
        <v>225.0</v>
      </c>
      <c r="H459" s="266">
        <v>4.0</v>
      </c>
      <c r="I459" s="266" t="s">
        <v>166</v>
      </c>
      <c r="J459" s="266">
        <v>2.0</v>
      </c>
      <c r="K459" s="266" t="s">
        <v>166</v>
      </c>
      <c r="L459" s="266" t="s">
        <v>166</v>
      </c>
      <c r="M459" s="266">
        <v>1.0</v>
      </c>
      <c r="N459" s="266" t="s">
        <v>166</v>
      </c>
      <c r="O459" s="266" t="s">
        <v>174</v>
      </c>
      <c r="P459" s="266" t="s">
        <v>174</v>
      </c>
      <c r="Q459" s="266" t="s">
        <v>166</v>
      </c>
      <c r="R459" s="266">
        <v>2.0</v>
      </c>
      <c r="S459" s="266" t="s">
        <v>3151</v>
      </c>
      <c r="T459" s="266">
        <v>96.0</v>
      </c>
      <c r="U459" s="266" t="s">
        <v>5119</v>
      </c>
      <c r="V459" s="266">
        <v>4.0</v>
      </c>
      <c r="W459" s="710" t="s">
        <v>5126</v>
      </c>
      <c r="X459" s="266">
        <v>2.0</v>
      </c>
      <c r="Y459" s="266">
        <v>4.0</v>
      </c>
      <c r="Z459" s="266" t="s">
        <v>166</v>
      </c>
      <c r="AA459" s="266" t="s">
        <v>166</v>
      </c>
      <c r="AB459" s="266" t="s">
        <v>166</v>
      </c>
      <c r="AC459" s="266" t="s">
        <v>166</v>
      </c>
      <c r="AD459" s="266" t="s">
        <v>166</v>
      </c>
      <c r="AE459" s="266" t="s">
        <v>166</v>
      </c>
      <c r="AF459" s="266">
        <f t="shared" si="1"/>
        <v>6</v>
      </c>
      <c r="AG459" s="266">
        <v>3.0</v>
      </c>
      <c r="AH459" s="266">
        <v>1.0</v>
      </c>
      <c r="AI459" s="507" t="s">
        <v>166</v>
      </c>
      <c r="AJ459" s="266">
        <v>1.0</v>
      </c>
      <c r="AK459" s="48" t="s">
        <v>5038</v>
      </c>
      <c r="AL459" s="48">
        <v>2.5</v>
      </c>
      <c r="AM459" s="705" t="s">
        <v>166</v>
      </c>
      <c r="AN459" s="705" t="s">
        <v>166</v>
      </c>
      <c r="AO459" s="705" t="s">
        <v>166</v>
      </c>
      <c r="AP459" s="507" t="s">
        <v>166</v>
      </c>
      <c r="AQ459" s="507" t="s">
        <v>166</v>
      </c>
      <c r="AR459" s="48" t="s">
        <v>5039</v>
      </c>
      <c r="AS459" s="266" t="s">
        <v>166</v>
      </c>
      <c r="AT459" s="266">
        <v>3.0</v>
      </c>
      <c r="AU459" s="266">
        <v>1.0</v>
      </c>
      <c r="AV459" s="266" t="s">
        <v>166</v>
      </c>
      <c r="AW459" s="266">
        <v>1.0</v>
      </c>
      <c r="AX459" s="266" t="s">
        <v>166</v>
      </c>
      <c r="AY459" s="266">
        <v>1.0</v>
      </c>
      <c r="AZ459" s="266">
        <v>3.0</v>
      </c>
      <c r="BA459" s="266">
        <v>1.0</v>
      </c>
      <c r="BB459" s="266">
        <v>1.0</v>
      </c>
      <c r="BC459" s="266" t="s">
        <v>166</v>
      </c>
      <c r="BD459" s="266" t="s">
        <v>166</v>
      </c>
      <c r="BE459" s="48" t="s">
        <v>170</v>
      </c>
      <c r="BF459" s="48" t="s">
        <v>4954</v>
      </c>
      <c r="BG459" s="48" t="s">
        <v>4955</v>
      </c>
      <c r="BH459" s="48">
        <v>6.0</v>
      </c>
      <c r="BI459" s="698" t="s">
        <v>170</v>
      </c>
      <c r="BJ459" s="698"/>
      <c r="BK459" s="394"/>
      <c r="BL459" s="394"/>
      <c r="BM459" s="394"/>
      <c r="BN459" s="394"/>
      <c r="BO459" s="394"/>
      <c r="BP459" s="394"/>
    </row>
    <row r="460">
      <c r="A460" s="266" t="s">
        <v>1688</v>
      </c>
      <c r="B460" s="48">
        <v>1700.0</v>
      </c>
      <c r="C460" s="266" t="s">
        <v>5379</v>
      </c>
      <c r="D460" s="452" t="str">
        <f t="shared" si="58"/>
        <v>Gigabyte</v>
      </c>
      <c r="E460" s="174" t="s">
        <v>5991</v>
      </c>
      <c r="F460" s="507">
        <v>244.0</v>
      </c>
      <c r="G460" s="507">
        <v>225.0</v>
      </c>
      <c r="H460" s="266">
        <v>4.0</v>
      </c>
      <c r="I460" s="266" t="s">
        <v>166</v>
      </c>
      <c r="J460" s="266">
        <v>2.0</v>
      </c>
      <c r="K460" s="266" t="s">
        <v>166</v>
      </c>
      <c r="L460" s="266" t="s">
        <v>166</v>
      </c>
      <c r="M460" s="266">
        <v>1.0</v>
      </c>
      <c r="N460" s="266" t="s">
        <v>166</v>
      </c>
      <c r="O460" s="266" t="s">
        <v>174</v>
      </c>
      <c r="P460" s="266" t="s">
        <v>174</v>
      </c>
      <c r="Q460" s="266" t="s">
        <v>166</v>
      </c>
      <c r="R460" s="266">
        <v>2.0</v>
      </c>
      <c r="S460" s="266" t="s">
        <v>3149</v>
      </c>
      <c r="T460" s="266">
        <v>64.0</v>
      </c>
      <c r="U460" s="266" t="s">
        <v>5286</v>
      </c>
      <c r="V460" s="266">
        <v>4.0</v>
      </c>
      <c r="W460" s="710" t="s">
        <v>5126</v>
      </c>
      <c r="X460" s="266">
        <v>2.0</v>
      </c>
      <c r="Y460" s="266">
        <v>4.0</v>
      </c>
      <c r="Z460" s="266" t="s">
        <v>166</v>
      </c>
      <c r="AA460" s="266" t="s">
        <v>166</v>
      </c>
      <c r="AB460" s="266" t="s">
        <v>166</v>
      </c>
      <c r="AC460" s="266" t="s">
        <v>166</v>
      </c>
      <c r="AD460" s="266" t="s">
        <v>166</v>
      </c>
      <c r="AE460" s="266" t="s">
        <v>166</v>
      </c>
      <c r="AF460" s="266">
        <f t="shared" si="1"/>
        <v>6</v>
      </c>
      <c r="AG460" s="266">
        <v>3.0</v>
      </c>
      <c r="AH460" s="266">
        <v>1.0</v>
      </c>
      <c r="AI460" s="507" t="s">
        <v>166</v>
      </c>
      <c r="AJ460" s="266">
        <v>1.0</v>
      </c>
      <c r="AK460" s="48" t="s">
        <v>5038</v>
      </c>
      <c r="AL460" s="48">
        <v>2.5</v>
      </c>
      <c r="AM460" s="705" t="s">
        <v>166</v>
      </c>
      <c r="AN460" s="705" t="s">
        <v>166</v>
      </c>
      <c r="AO460" s="705" t="s">
        <v>166</v>
      </c>
      <c r="AP460" s="507" t="s">
        <v>166</v>
      </c>
      <c r="AQ460" s="507" t="s">
        <v>166</v>
      </c>
      <c r="AR460" s="48" t="s">
        <v>5039</v>
      </c>
      <c r="AS460" s="266" t="s">
        <v>166</v>
      </c>
      <c r="AT460" s="266">
        <v>3.0</v>
      </c>
      <c r="AU460" s="266">
        <v>1.0</v>
      </c>
      <c r="AV460" s="266" t="s">
        <v>166</v>
      </c>
      <c r="AW460" s="266">
        <v>1.0</v>
      </c>
      <c r="AX460" s="266" t="s">
        <v>166</v>
      </c>
      <c r="AY460" s="266">
        <v>1.0</v>
      </c>
      <c r="AZ460" s="266">
        <v>3.0</v>
      </c>
      <c r="BA460" s="266">
        <v>1.0</v>
      </c>
      <c r="BB460" s="266">
        <v>1.0</v>
      </c>
      <c r="BC460" s="266" t="s">
        <v>166</v>
      </c>
      <c r="BD460" s="266" t="s">
        <v>166</v>
      </c>
      <c r="BE460" s="48" t="s">
        <v>170</v>
      </c>
      <c r="BF460" s="48" t="s">
        <v>4954</v>
      </c>
      <c r="BG460" s="48" t="s">
        <v>4955</v>
      </c>
      <c r="BH460" s="48">
        <v>6.0</v>
      </c>
      <c r="BI460" s="698" t="s">
        <v>170</v>
      </c>
      <c r="BJ460" s="698"/>
      <c r="BK460" s="394"/>
      <c r="BL460" s="394"/>
      <c r="BM460" s="394"/>
      <c r="BN460" s="394"/>
      <c r="BO460" s="394"/>
      <c r="BP460" s="394"/>
    </row>
    <row r="461">
      <c r="A461" s="266" t="s">
        <v>1688</v>
      </c>
      <c r="B461" s="48">
        <v>1700.0</v>
      </c>
      <c r="C461" s="266" t="s">
        <v>5379</v>
      </c>
      <c r="D461" s="452" t="str">
        <f t="shared" si="58"/>
        <v>Gigabyte</v>
      </c>
      <c r="E461" s="174" t="s">
        <v>5992</v>
      </c>
      <c r="F461" s="507">
        <v>244.0</v>
      </c>
      <c r="G461" s="507">
        <v>244.0</v>
      </c>
      <c r="H461" s="266">
        <v>4.0</v>
      </c>
      <c r="I461" s="266">
        <v>1.0</v>
      </c>
      <c r="J461" s="266">
        <v>1.0</v>
      </c>
      <c r="K461" s="266" t="s">
        <v>166</v>
      </c>
      <c r="L461" s="266" t="s">
        <v>166</v>
      </c>
      <c r="M461" s="266">
        <v>2.0</v>
      </c>
      <c r="N461" s="266" t="s">
        <v>166</v>
      </c>
      <c r="O461" s="266" t="s">
        <v>174</v>
      </c>
      <c r="P461" s="266" t="s">
        <v>174</v>
      </c>
      <c r="Q461" s="266" t="s">
        <v>166</v>
      </c>
      <c r="R461" s="266">
        <v>4.0</v>
      </c>
      <c r="S461" s="266" t="s">
        <v>3149</v>
      </c>
      <c r="T461" s="266">
        <v>128.0</v>
      </c>
      <c r="U461" s="266" t="s">
        <v>5286</v>
      </c>
      <c r="V461" s="266">
        <v>4.0</v>
      </c>
      <c r="W461" s="710" t="s">
        <v>5126</v>
      </c>
      <c r="X461" s="266">
        <v>2.0</v>
      </c>
      <c r="Y461" s="266">
        <v>2.0</v>
      </c>
      <c r="Z461" s="266" t="s">
        <v>166</v>
      </c>
      <c r="AA461" s="266">
        <v>1.0</v>
      </c>
      <c r="AB461" s="266">
        <v>1.0</v>
      </c>
      <c r="AC461" s="266" t="s">
        <v>166</v>
      </c>
      <c r="AD461" s="266" t="s">
        <v>166</v>
      </c>
      <c r="AE461" s="266" t="s">
        <v>166</v>
      </c>
      <c r="AF461" s="266">
        <f t="shared" si="1"/>
        <v>6</v>
      </c>
      <c r="AG461" s="266">
        <v>2.0</v>
      </c>
      <c r="AH461" s="266">
        <v>1.0</v>
      </c>
      <c r="AI461" s="507" t="s">
        <v>166</v>
      </c>
      <c r="AJ461" s="266">
        <v>1.0</v>
      </c>
      <c r="AK461" s="48" t="s">
        <v>5026</v>
      </c>
      <c r="AL461" s="48">
        <v>2.5</v>
      </c>
      <c r="AM461" s="705">
        <v>1.0</v>
      </c>
      <c r="AN461" s="705" t="s">
        <v>166</v>
      </c>
      <c r="AO461" s="705" t="s">
        <v>232</v>
      </c>
      <c r="AP461" s="507" t="s">
        <v>166</v>
      </c>
      <c r="AQ461" s="507" t="s">
        <v>166</v>
      </c>
      <c r="AR461" s="48" t="s">
        <v>5039</v>
      </c>
      <c r="AS461" s="266" t="s">
        <v>166</v>
      </c>
      <c r="AT461" s="266">
        <v>6.0</v>
      </c>
      <c r="AU461" s="266">
        <v>1.0</v>
      </c>
      <c r="AV461" s="266">
        <v>2.0</v>
      </c>
      <c r="AW461" s="266">
        <v>1.0</v>
      </c>
      <c r="AX461" s="266" t="s">
        <v>166</v>
      </c>
      <c r="AY461" s="266">
        <v>1.0</v>
      </c>
      <c r="AZ461" s="266">
        <v>4.0</v>
      </c>
      <c r="BA461" s="266">
        <v>1.0</v>
      </c>
      <c r="BB461" s="266">
        <v>1.0</v>
      </c>
      <c r="BC461" s="266" t="s">
        <v>166</v>
      </c>
      <c r="BD461" s="266" t="s">
        <v>166</v>
      </c>
      <c r="BE461" s="48" t="s">
        <v>170</v>
      </c>
      <c r="BF461" s="48" t="s">
        <v>4954</v>
      </c>
      <c r="BG461" s="48" t="s">
        <v>4955</v>
      </c>
      <c r="BH461" s="48">
        <v>6.0</v>
      </c>
      <c r="BI461" s="698" t="s">
        <v>170</v>
      </c>
      <c r="BJ461" s="698"/>
      <c r="BK461" s="394"/>
      <c r="BL461" s="394"/>
      <c r="BM461" s="394"/>
      <c r="BN461" s="394"/>
      <c r="BO461" s="394"/>
      <c r="BP461" s="394"/>
    </row>
    <row r="462">
      <c r="A462" s="266" t="s">
        <v>1688</v>
      </c>
      <c r="B462" s="48">
        <v>1700.0</v>
      </c>
      <c r="C462" s="266" t="s">
        <v>5379</v>
      </c>
      <c r="D462" s="452" t="str">
        <f t="shared" si="58"/>
        <v>Gigabyte</v>
      </c>
      <c r="E462" s="174" t="s">
        <v>5993</v>
      </c>
      <c r="F462" s="507">
        <v>244.0</v>
      </c>
      <c r="G462" s="507">
        <v>244.0</v>
      </c>
      <c r="H462" s="266">
        <v>4.0</v>
      </c>
      <c r="I462" s="266" t="s">
        <v>166</v>
      </c>
      <c r="J462" s="266">
        <v>2.0</v>
      </c>
      <c r="K462" s="266" t="s">
        <v>166</v>
      </c>
      <c r="L462" s="266" t="s">
        <v>166</v>
      </c>
      <c r="M462" s="266">
        <v>1.0</v>
      </c>
      <c r="N462" s="266" t="s">
        <v>166</v>
      </c>
      <c r="O462" s="266" t="s">
        <v>174</v>
      </c>
      <c r="P462" s="266" t="s">
        <v>174</v>
      </c>
      <c r="Q462" s="266" t="s">
        <v>166</v>
      </c>
      <c r="R462" s="266">
        <v>4.0</v>
      </c>
      <c r="S462" s="266" t="s">
        <v>3149</v>
      </c>
      <c r="T462" s="266">
        <v>128.0</v>
      </c>
      <c r="U462" s="266" t="s">
        <v>5286</v>
      </c>
      <c r="V462" s="266">
        <v>4.0</v>
      </c>
      <c r="W462" s="710" t="s">
        <v>5126</v>
      </c>
      <c r="X462" s="266">
        <v>2.0</v>
      </c>
      <c r="Y462" s="266">
        <v>3.0</v>
      </c>
      <c r="Z462" s="266" t="s">
        <v>166</v>
      </c>
      <c r="AA462" s="266" t="s">
        <v>166</v>
      </c>
      <c r="AB462" s="266">
        <v>1.0</v>
      </c>
      <c r="AC462" s="266" t="s">
        <v>166</v>
      </c>
      <c r="AD462" s="266" t="s">
        <v>166</v>
      </c>
      <c r="AE462" s="266" t="s">
        <v>166</v>
      </c>
      <c r="AF462" s="266">
        <f t="shared" si="1"/>
        <v>6</v>
      </c>
      <c r="AG462" s="266">
        <v>2.0</v>
      </c>
      <c r="AH462" s="266">
        <v>1.0</v>
      </c>
      <c r="AI462" s="507" t="s">
        <v>166</v>
      </c>
      <c r="AJ462" s="266">
        <v>1.0</v>
      </c>
      <c r="AK462" s="48" t="s">
        <v>5038</v>
      </c>
      <c r="AL462" s="48">
        <v>2.5</v>
      </c>
      <c r="AM462" s="705">
        <v>1.0</v>
      </c>
      <c r="AN462" s="48" t="s">
        <v>5044</v>
      </c>
      <c r="AO462" s="48" t="s">
        <v>5994</v>
      </c>
      <c r="AP462" s="507">
        <v>2400.0</v>
      </c>
      <c r="AQ462" s="507">
        <v>5.3</v>
      </c>
      <c r="AR462" s="48" t="s">
        <v>5039</v>
      </c>
      <c r="AS462" s="266" t="s">
        <v>166</v>
      </c>
      <c r="AT462" s="266">
        <v>3.0</v>
      </c>
      <c r="AU462" s="266">
        <v>1.0</v>
      </c>
      <c r="AV462" s="266">
        <v>2.0</v>
      </c>
      <c r="AW462" s="266">
        <v>1.0</v>
      </c>
      <c r="AX462" s="266" t="s">
        <v>166</v>
      </c>
      <c r="AY462" s="266" t="s">
        <v>166</v>
      </c>
      <c r="AZ462" s="266">
        <v>4.0</v>
      </c>
      <c r="BA462" s="266">
        <v>1.0</v>
      </c>
      <c r="BB462" s="266">
        <v>1.0</v>
      </c>
      <c r="BC462" s="266" t="s">
        <v>166</v>
      </c>
      <c r="BD462" s="266" t="s">
        <v>166</v>
      </c>
      <c r="BE462" s="48" t="s">
        <v>170</v>
      </c>
      <c r="BF462" s="48" t="s">
        <v>4954</v>
      </c>
      <c r="BG462" s="48" t="s">
        <v>4955</v>
      </c>
      <c r="BH462" s="48">
        <v>6.0</v>
      </c>
      <c r="BI462" s="698" t="s">
        <v>170</v>
      </c>
      <c r="BJ462" s="698"/>
      <c r="BK462" s="394"/>
      <c r="BL462" s="394"/>
      <c r="BM462" s="394"/>
      <c r="BN462" s="394"/>
      <c r="BO462" s="394"/>
      <c r="BP462" s="394"/>
    </row>
    <row r="463">
      <c r="A463" s="266" t="s">
        <v>1688</v>
      </c>
      <c r="B463" s="48">
        <v>1700.0</v>
      </c>
      <c r="C463" s="266" t="s">
        <v>5379</v>
      </c>
      <c r="D463" s="452" t="str">
        <f t="shared" si="58"/>
        <v>Gigabyte</v>
      </c>
      <c r="E463" s="174" t="s">
        <v>5995</v>
      </c>
      <c r="F463" s="507">
        <v>244.0</v>
      </c>
      <c r="G463" s="507">
        <v>244.0</v>
      </c>
      <c r="H463" s="266">
        <v>4.0</v>
      </c>
      <c r="I463" s="266" t="s">
        <v>166</v>
      </c>
      <c r="J463" s="266">
        <v>2.0</v>
      </c>
      <c r="K463" s="266" t="s">
        <v>166</v>
      </c>
      <c r="L463" s="266" t="s">
        <v>166</v>
      </c>
      <c r="M463" s="266">
        <v>1.0</v>
      </c>
      <c r="N463" s="266" t="s">
        <v>166</v>
      </c>
      <c r="O463" s="266" t="s">
        <v>174</v>
      </c>
      <c r="P463" s="266" t="s">
        <v>174</v>
      </c>
      <c r="Q463" s="266" t="s">
        <v>166</v>
      </c>
      <c r="R463" s="266">
        <v>4.0</v>
      </c>
      <c r="S463" s="266" t="s">
        <v>3151</v>
      </c>
      <c r="T463" s="266">
        <v>192.0</v>
      </c>
      <c r="U463" s="266" t="s">
        <v>5387</v>
      </c>
      <c r="V463" s="266">
        <v>4.0</v>
      </c>
      <c r="W463" s="710" t="s">
        <v>5126</v>
      </c>
      <c r="X463" s="266">
        <v>2.0</v>
      </c>
      <c r="Y463" s="266">
        <v>3.0</v>
      </c>
      <c r="Z463" s="266" t="s">
        <v>166</v>
      </c>
      <c r="AA463" s="266" t="s">
        <v>166</v>
      </c>
      <c r="AB463" s="266">
        <v>1.0</v>
      </c>
      <c r="AC463" s="266" t="s">
        <v>166</v>
      </c>
      <c r="AD463" s="266" t="s">
        <v>166</v>
      </c>
      <c r="AE463" s="266" t="s">
        <v>166</v>
      </c>
      <c r="AF463" s="266">
        <f t="shared" si="1"/>
        <v>6</v>
      </c>
      <c r="AG463" s="266">
        <v>2.0</v>
      </c>
      <c r="AH463" s="266">
        <v>1.0</v>
      </c>
      <c r="AI463" s="507" t="s">
        <v>166</v>
      </c>
      <c r="AJ463" s="266">
        <v>1.0</v>
      </c>
      <c r="AK463" s="48" t="s">
        <v>5038</v>
      </c>
      <c r="AL463" s="48">
        <v>2.5</v>
      </c>
      <c r="AM463" s="705" t="s">
        <v>166</v>
      </c>
      <c r="AN463" s="705" t="s">
        <v>166</v>
      </c>
      <c r="AO463" s="705" t="s">
        <v>166</v>
      </c>
      <c r="AP463" s="507" t="s">
        <v>166</v>
      </c>
      <c r="AQ463" s="507" t="s">
        <v>166</v>
      </c>
      <c r="AR463" s="48" t="s">
        <v>5039</v>
      </c>
      <c r="AS463" s="266" t="s">
        <v>166</v>
      </c>
      <c r="AT463" s="266">
        <v>3.0</v>
      </c>
      <c r="AU463" s="266">
        <v>1.0</v>
      </c>
      <c r="AV463" s="266">
        <v>2.0</v>
      </c>
      <c r="AW463" s="266">
        <v>1.0</v>
      </c>
      <c r="AX463" s="266" t="s">
        <v>166</v>
      </c>
      <c r="AY463" s="266" t="s">
        <v>166</v>
      </c>
      <c r="AZ463" s="266">
        <v>4.0</v>
      </c>
      <c r="BA463" s="266">
        <v>1.0</v>
      </c>
      <c r="BB463" s="266">
        <v>1.0</v>
      </c>
      <c r="BC463" s="266" t="s">
        <v>166</v>
      </c>
      <c r="BD463" s="266" t="s">
        <v>166</v>
      </c>
      <c r="BE463" s="48" t="s">
        <v>170</v>
      </c>
      <c r="BF463" s="48" t="s">
        <v>4954</v>
      </c>
      <c r="BG463" s="48" t="s">
        <v>4955</v>
      </c>
      <c r="BH463" s="48">
        <v>6.0</v>
      </c>
      <c r="BI463" s="698" t="s">
        <v>170</v>
      </c>
      <c r="BJ463" s="698"/>
      <c r="BK463" s="394"/>
      <c r="BL463" s="394"/>
      <c r="BM463" s="394"/>
      <c r="BN463" s="394"/>
      <c r="BO463" s="394"/>
      <c r="BP463" s="394"/>
    </row>
    <row r="464">
      <c r="A464" s="266" t="s">
        <v>1688</v>
      </c>
      <c r="B464" s="48">
        <v>1700.0</v>
      </c>
      <c r="C464" s="266" t="s">
        <v>5379</v>
      </c>
      <c r="D464" s="452" t="str">
        <f t="shared" si="58"/>
        <v>Gigabyte</v>
      </c>
      <c r="E464" s="174" t="s">
        <v>5996</v>
      </c>
      <c r="F464" s="507">
        <v>244.0</v>
      </c>
      <c r="G464" s="507">
        <v>244.0</v>
      </c>
      <c r="H464" s="266">
        <v>4.0</v>
      </c>
      <c r="I464" s="266" t="s">
        <v>166</v>
      </c>
      <c r="J464" s="266">
        <v>2.0</v>
      </c>
      <c r="K464" s="266" t="s">
        <v>166</v>
      </c>
      <c r="L464" s="266" t="s">
        <v>166</v>
      </c>
      <c r="M464" s="266">
        <v>1.0</v>
      </c>
      <c r="N464" s="266" t="s">
        <v>166</v>
      </c>
      <c r="O464" s="266" t="s">
        <v>174</v>
      </c>
      <c r="P464" s="266" t="s">
        <v>174</v>
      </c>
      <c r="Q464" s="266" t="s">
        <v>166</v>
      </c>
      <c r="R464" s="266">
        <v>4.0</v>
      </c>
      <c r="S464" s="266" t="s">
        <v>3149</v>
      </c>
      <c r="T464" s="266">
        <v>128.0</v>
      </c>
      <c r="U464" s="266" t="s">
        <v>5286</v>
      </c>
      <c r="V464" s="266">
        <v>4.0</v>
      </c>
      <c r="W464" s="710" t="s">
        <v>5126</v>
      </c>
      <c r="X464" s="266">
        <v>2.0</v>
      </c>
      <c r="Y464" s="266">
        <v>3.0</v>
      </c>
      <c r="Z464" s="266" t="s">
        <v>166</v>
      </c>
      <c r="AA464" s="266" t="s">
        <v>166</v>
      </c>
      <c r="AB464" s="266">
        <v>1.0</v>
      </c>
      <c r="AC464" s="266" t="s">
        <v>166</v>
      </c>
      <c r="AD464" s="266" t="s">
        <v>166</v>
      </c>
      <c r="AE464" s="266" t="s">
        <v>166</v>
      </c>
      <c r="AF464" s="266">
        <f t="shared" si="1"/>
        <v>6</v>
      </c>
      <c r="AG464" s="266">
        <v>2.0</v>
      </c>
      <c r="AH464" s="266">
        <v>1.0</v>
      </c>
      <c r="AI464" s="507" t="s">
        <v>166</v>
      </c>
      <c r="AJ464" s="266">
        <v>1.0</v>
      </c>
      <c r="AK464" s="48" t="s">
        <v>5038</v>
      </c>
      <c r="AL464" s="48">
        <v>2.5</v>
      </c>
      <c r="AM464" s="705" t="s">
        <v>166</v>
      </c>
      <c r="AN464" s="705" t="s">
        <v>166</v>
      </c>
      <c r="AO464" s="705" t="s">
        <v>166</v>
      </c>
      <c r="AP464" s="507" t="s">
        <v>166</v>
      </c>
      <c r="AQ464" s="507" t="s">
        <v>166</v>
      </c>
      <c r="AR464" s="48" t="s">
        <v>5039</v>
      </c>
      <c r="AS464" s="266" t="s">
        <v>166</v>
      </c>
      <c r="AT464" s="266">
        <v>3.0</v>
      </c>
      <c r="AU464" s="266">
        <v>1.0</v>
      </c>
      <c r="AV464" s="266">
        <v>2.0</v>
      </c>
      <c r="AW464" s="266">
        <v>1.0</v>
      </c>
      <c r="AX464" s="266" t="s">
        <v>166</v>
      </c>
      <c r="AY464" s="266" t="s">
        <v>166</v>
      </c>
      <c r="AZ464" s="266">
        <v>4.0</v>
      </c>
      <c r="BA464" s="266">
        <v>1.0</v>
      </c>
      <c r="BB464" s="266">
        <v>1.0</v>
      </c>
      <c r="BC464" s="266" t="s">
        <v>166</v>
      </c>
      <c r="BD464" s="266" t="s">
        <v>166</v>
      </c>
      <c r="BE464" s="48" t="s">
        <v>170</v>
      </c>
      <c r="BF464" s="48" t="s">
        <v>4954</v>
      </c>
      <c r="BG464" s="48" t="s">
        <v>4955</v>
      </c>
      <c r="BH464" s="48">
        <v>6.0</v>
      </c>
      <c r="BI464" s="698" t="s">
        <v>170</v>
      </c>
      <c r="BJ464" s="698"/>
      <c r="BK464" s="394"/>
      <c r="BL464" s="394"/>
      <c r="BM464" s="394"/>
      <c r="BN464" s="394"/>
      <c r="BO464" s="394"/>
      <c r="BP464" s="394"/>
    </row>
    <row r="465">
      <c r="A465" s="266" t="s">
        <v>1688</v>
      </c>
      <c r="B465" s="48">
        <v>1700.0</v>
      </c>
      <c r="C465" s="266" t="s">
        <v>5379</v>
      </c>
      <c r="D465" s="452" t="str">
        <f t="shared" si="58"/>
        <v>Gigabyte</v>
      </c>
      <c r="E465" s="174" t="s">
        <v>5997</v>
      </c>
      <c r="F465" s="507">
        <v>230.0</v>
      </c>
      <c r="G465" s="507">
        <v>215.0</v>
      </c>
      <c r="H465" s="266">
        <v>4.0</v>
      </c>
      <c r="I465" s="266" t="s">
        <v>166</v>
      </c>
      <c r="J465" s="266">
        <v>1.0</v>
      </c>
      <c r="K465" s="266" t="s">
        <v>166</v>
      </c>
      <c r="L465" s="266" t="s">
        <v>166</v>
      </c>
      <c r="M465" s="266">
        <v>1.0</v>
      </c>
      <c r="N465" s="266" t="s">
        <v>166</v>
      </c>
      <c r="O465" s="266" t="s">
        <v>174</v>
      </c>
      <c r="P465" s="266" t="s">
        <v>166</v>
      </c>
      <c r="Q465" s="266" t="s">
        <v>166</v>
      </c>
      <c r="R465" s="266">
        <v>2.0</v>
      </c>
      <c r="S465" s="266" t="s">
        <v>3151</v>
      </c>
      <c r="T465" s="266">
        <v>96.0</v>
      </c>
      <c r="U465" s="266" t="s">
        <v>5119</v>
      </c>
      <c r="V465" s="266">
        <v>4.0</v>
      </c>
      <c r="W465" s="710" t="s">
        <v>5126</v>
      </c>
      <c r="X465" s="266">
        <v>2.0</v>
      </c>
      <c r="Y465" s="266">
        <v>4.0</v>
      </c>
      <c r="Z465" s="266" t="s">
        <v>166</v>
      </c>
      <c r="AA465" s="266" t="s">
        <v>166</v>
      </c>
      <c r="AB465" s="266" t="s">
        <v>166</v>
      </c>
      <c r="AC465" s="266" t="s">
        <v>166</v>
      </c>
      <c r="AD465" s="266" t="s">
        <v>166</v>
      </c>
      <c r="AE465" s="266" t="s">
        <v>166</v>
      </c>
      <c r="AF465" s="266">
        <f t="shared" si="1"/>
        <v>6</v>
      </c>
      <c r="AG465" s="266">
        <v>2.0</v>
      </c>
      <c r="AH465" s="266">
        <v>1.0</v>
      </c>
      <c r="AI465" s="507" t="s">
        <v>166</v>
      </c>
      <c r="AJ465" s="266">
        <v>1.0</v>
      </c>
      <c r="AK465" s="48" t="s">
        <v>4959</v>
      </c>
      <c r="AL465" s="48">
        <v>1.0</v>
      </c>
      <c r="AM465" s="705" t="s">
        <v>166</v>
      </c>
      <c r="AN465" s="705" t="s">
        <v>166</v>
      </c>
      <c r="AO465" s="705" t="s">
        <v>166</v>
      </c>
      <c r="AP465" s="507" t="s">
        <v>166</v>
      </c>
      <c r="AQ465" s="507" t="s">
        <v>166</v>
      </c>
      <c r="AR465" s="48" t="s">
        <v>5039</v>
      </c>
      <c r="AS465" s="266" t="s">
        <v>166</v>
      </c>
      <c r="AT465" s="266">
        <v>3.0</v>
      </c>
      <c r="AU465" s="266" t="s">
        <v>166</v>
      </c>
      <c r="AV465" s="266">
        <v>1.0</v>
      </c>
      <c r="AW465" s="266">
        <v>1.0</v>
      </c>
      <c r="AX465" s="266" t="s">
        <v>166</v>
      </c>
      <c r="AY465" s="266">
        <v>1.0</v>
      </c>
      <c r="AZ465" s="266">
        <v>3.0</v>
      </c>
      <c r="BA465" s="266">
        <v>1.0</v>
      </c>
      <c r="BB465" s="266" t="s">
        <v>166</v>
      </c>
      <c r="BC465" s="266" t="s">
        <v>166</v>
      </c>
      <c r="BD465" s="266" t="s">
        <v>166</v>
      </c>
      <c r="BE465" s="48" t="s">
        <v>170</v>
      </c>
      <c r="BF465" s="48" t="s">
        <v>4973</v>
      </c>
      <c r="BG465" s="48" t="s">
        <v>4955</v>
      </c>
      <c r="BH465" s="48">
        <v>6.0</v>
      </c>
      <c r="BI465" s="698" t="s">
        <v>170</v>
      </c>
      <c r="BJ465" s="698"/>
      <c r="BK465" s="394"/>
      <c r="BL465" s="394"/>
      <c r="BM465" s="394"/>
      <c r="BN465" s="394"/>
      <c r="BO465" s="394"/>
      <c r="BP465" s="394"/>
    </row>
    <row r="466">
      <c r="A466" s="266" t="s">
        <v>1688</v>
      </c>
      <c r="B466" s="48">
        <v>1700.0</v>
      </c>
      <c r="C466" s="266" t="s">
        <v>5379</v>
      </c>
      <c r="D466" s="452" t="str">
        <f t="shared" si="58"/>
        <v>Gigabyte</v>
      </c>
      <c r="E466" s="174" t="s">
        <v>5998</v>
      </c>
      <c r="F466" s="507">
        <v>244.0</v>
      </c>
      <c r="G466" s="507">
        <v>225.0</v>
      </c>
      <c r="H466" s="266">
        <v>4.0</v>
      </c>
      <c r="I466" s="266" t="s">
        <v>166</v>
      </c>
      <c r="J466" s="266">
        <v>1.0</v>
      </c>
      <c r="K466" s="266" t="s">
        <v>166</v>
      </c>
      <c r="L466" s="266" t="s">
        <v>166</v>
      </c>
      <c r="M466" s="266">
        <v>1.0</v>
      </c>
      <c r="N466" s="266" t="s">
        <v>166</v>
      </c>
      <c r="O466" s="266" t="s">
        <v>174</v>
      </c>
      <c r="P466" s="266" t="s">
        <v>174</v>
      </c>
      <c r="Q466" s="266" t="s">
        <v>166</v>
      </c>
      <c r="R466" s="266">
        <v>2.0</v>
      </c>
      <c r="S466" s="266" t="s">
        <v>3151</v>
      </c>
      <c r="T466" s="266">
        <v>96.0</v>
      </c>
      <c r="U466" s="266" t="s">
        <v>5119</v>
      </c>
      <c r="V466" s="266">
        <v>4.0</v>
      </c>
      <c r="W466" s="710" t="s">
        <v>5126</v>
      </c>
      <c r="X466" s="266">
        <v>2.0</v>
      </c>
      <c r="Y466" s="266">
        <v>3.0</v>
      </c>
      <c r="Z466" s="266">
        <v>1.0</v>
      </c>
      <c r="AA466" s="266" t="s">
        <v>166</v>
      </c>
      <c r="AB466" s="266" t="s">
        <v>166</v>
      </c>
      <c r="AC466" s="266" t="s">
        <v>166</v>
      </c>
      <c r="AD466" s="266" t="s">
        <v>166</v>
      </c>
      <c r="AE466" s="266" t="s">
        <v>166</v>
      </c>
      <c r="AF466" s="266">
        <f t="shared" si="1"/>
        <v>6</v>
      </c>
      <c r="AG466" s="266">
        <v>2.0</v>
      </c>
      <c r="AH466" s="266">
        <v>1.0</v>
      </c>
      <c r="AI466" s="507" t="s">
        <v>166</v>
      </c>
      <c r="AJ466" s="266">
        <v>1.0</v>
      </c>
      <c r="AK466" s="48" t="s">
        <v>5038</v>
      </c>
      <c r="AL466" s="48">
        <v>2.5</v>
      </c>
      <c r="AM466" s="705" t="s">
        <v>166</v>
      </c>
      <c r="AN466" s="705" t="s">
        <v>166</v>
      </c>
      <c r="AO466" s="705" t="s">
        <v>166</v>
      </c>
      <c r="AP466" s="507" t="s">
        <v>166</v>
      </c>
      <c r="AQ466" s="507" t="s">
        <v>166</v>
      </c>
      <c r="AR466" s="48" t="s">
        <v>5039</v>
      </c>
      <c r="AS466" s="266" t="s">
        <v>166</v>
      </c>
      <c r="AT466" s="266">
        <v>3.0</v>
      </c>
      <c r="AU466" s="266">
        <v>1.0</v>
      </c>
      <c r="AV466" s="266">
        <v>1.0</v>
      </c>
      <c r="AW466" s="266">
        <v>1.0</v>
      </c>
      <c r="AX466" s="266" t="s">
        <v>166</v>
      </c>
      <c r="AY466" s="266">
        <v>1.0</v>
      </c>
      <c r="AZ466" s="266">
        <v>4.0</v>
      </c>
      <c r="BA466" s="266">
        <v>1.0</v>
      </c>
      <c r="BB466" s="266">
        <v>1.0</v>
      </c>
      <c r="BC466" s="266" t="s">
        <v>166</v>
      </c>
      <c r="BD466" s="266" t="s">
        <v>166</v>
      </c>
      <c r="BE466" s="48" t="s">
        <v>170</v>
      </c>
      <c r="BF466" s="48" t="s">
        <v>4954</v>
      </c>
      <c r="BG466" s="48" t="s">
        <v>4955</v>
      </c>
      <c r="BH466" s="48">
        <v>6.0</v>
      </c>
      <c r="BI466" s="698" t="s">
        <v>170</v>
      </c>
      <c r="BJ466" s="698"/>
      <c r="BK466" s="394"/>
      <c r="BL466" s="394"/>
      <c r="BM466" s="394"/>
      <c r="BN466" s="394"/>
      <c r="BO466" s="394"/>
      <c r="BP466" s="394"/>
    </row>
    <row r="467">
      <c r="A467" s="266" t="s">
        <v>1688</v>
      </c>
      <c r="B467" s="48">
        <v>1700.0</v>
      </c>
      <c r="C467" s="266" t="s">
        <v>5379</v>
      </c>
      <c r="D467" s="452" t="str">
        <f t="shared" si="58"/>
        <v>Gigabyte</v>
      </c>
      <c r="E467" s="174" t="s">
        <v>5999</v>
      </c>
      <c r="F467" s="507">
        <v>244.0</v>
      </c>
      <c r="G467" s="507">
        <v>225.0</v>
      </c>
      <c r="H467" s="266">
        <v>4.0</v>
      </c>
      <c r="I467" s="266" t="s">
        <v>166</v>
      </c>
      <c r="J467" s="266">
        <v>1.0</v>
      </c>
      <c r="K467" s="266" t="s">
        <v>166</v>
      </c>
      <c r="L467" s="266" t="s">
        <v>166</v>
      </c>
      <c r="M467" s="266">
        <v>1.0</v>
      </c>
      <c r="N467" s="266" t="s">
        <v>166</v>
      </c>
      <c r="O467" s="266" t="s">
        <v>174</v>
      </c>
      <c r="P467" s="266" t="s">
        <v>174</v>
      </c>
      <c r="Q467" s="266" t="s">
        <v>166</v>
      </c>
      <c r="R467" s="266">
        <v>2.0</v>
      </c>
      <c r="S467" s="266" t="s">
        <v>3149</v>
      </c>
      <c r="T467" s="266">
        <v>64.0</v>
      </c>
      <c r="U467" s="266" t="s">
        <v>5286</v>
      </c>
      <c r="V467" s="266">
        <v>4.0</v>
      </c>
      <c r="W467" s="710" t="s">
        <v>5126</v>
      </c>
      <c r="X467" s="266">
        <v>2.0</v>
      </c>
      <c r="Y467" s="266">
        <v>3.0</v>
      </c>
      <c r="Z467" s="266">
        <v>1.0</v>
      </c>
      <c r="AA467" s="266" t="s">
        <v>166</v>
      </c>
      <c r="AB467" s="266" t="s">
        <v>166</v>
      </c>
      <c r="AC467" s="266" t="s">
        <v>166</v>
      </c>
      <c r="AD467" s="266" t="s">
        <v>166</v>
      </c>
      <c r="AE467" s="266" t="s">
        <v>166</v>
      </c>
      <c r="AF467" s="266">
        <f t="shared" si="1"/>
        <v>6</v>
      </c>
      <c r="AG467" s="266">
        <v>2.0</v>
      </c>
      <c r="AH467" s="266">
        <v>1.0</v>
      </c>
      <c r="AI467" s="507" t="s">
        <v>166</v>
      </c>
      <c r="AJ467" s="266">
        <v>1.0</v>
      </c>
      <c r="AK467" s="48" t="s">
        <v>5038</v>
      </c>
      <c r="AL467" s="48">
        <v>2.5</v>
      </c>
      <c r="AM467" s="705" t="s">
        <v>166</v>
      </c>
      <c r="AN467" s="705" t="s">
        <v>166</v>
      </c>
      <c r="AO467" s="705" t="s">
        <v>166</v>
      </c>
      <c r="AP467" s="507" t="s">
        <v>166</v>
      </c>
      <c r="AQ467" s="507" t="s">
        <v>166</v>
      </c>
      <c r="AR467" s="48" t="s">
        <v>5039</v>
      </c>
      <c r="AS467" s="266" t="s">
        <v>166</v>
      </c>
      <c r="AT467" s="266">
        <v>3.0</v>
      </c>
      <c r="AU467" s="266">
        <v>1.0</v>
      </c>
      <c r="AV467" s="266">
        <v>1.0</v>
      </c>
      <c r="AW467" s="266">
        <v>1.0</v>
      </c>
      <c r="AX467" s="266" t="s">
        <v>166</v>
      </c>
      <c r="AY467" s="266">
        <v>1.0</v>
      </c>
      <c r="AZ467" s="266">
        <v>4.0</v>
      </c>
      <c r="BA467" s="266">
        <v>1.0</v>
      </c>
      <c r="BB467" s="266">
        <v>1.0</v>
      </c>
      <c r="BC467" s="266" t="s">
        <v>166</v>
      </c>
      <c r="BD467" s="266" t="s">
        <v>166</v>
      </c>
      <c r="BE467" s="48" t="s">
        <v>170</v>
      </c>
      <c r="BF467" s="48" t="s">
        <v>4954</v>
      </c>
      <c r="BG467" s="48" t="s">
        <v>4955</v>
      </c>
      <c r="BH467" s="48">
        <v>6.0</v>
      </c>
      <c r="BI467" s="698" t="s">
        <v>170</v>
      </c>
      <c r="BJ467" s="698"/>
      <c r="BK467" s="394"/>
      <c r="BL467" s="394"/>
      <c r="BM467" s="394"/>
      <c r="BN467" s="394"/>
      <c r="BO467" s="394"/>
      <c r="BP467" s="394"/>
    </row>
    <row r="468">
      <c r="A468" s="266" t="s">
        <v>1688</v>
      </c>
      <c r="B468" s="48">
        <v>1700.0</v>
      </c>
      <c r="C468" s="266" t="s">
        <v>5379</v>
      </c>
      <c r="D468" s="452" t="str">
        <f t="shared" si="58"/>
        <v>Gigabyte</v>
      </c>
      <c r="E468" s="174" t="s">
        <v>6000</v>
      </c>
      <c r="F468" s="507">
        <v>244.0</v>
      </c>
      <c r="G468" s="507">
        <v>225.0</v>
      </c>
      <c r="H468" s="266">
        <v>4.0</v>
      </c>
      <c r="I468" s="266" t="s">
        <v>166</v>
      </c>
      <c r="J468" s="266">
        <v>1.0</v>
      </c>
      <c r="K468" s="266" t="s">
        <v>166</v>
      </c>
      <c r="L468" s="266" t="s">
        <v>166</v>
      </c>
      <c r="M468" s="266">
        <v>1.0</v>
      </c>
      <c r="N468" s="266" t="s">
        <v>166</v>
      </c>
      <c r="O468" s="266" t="s">
        <v>174</v>
      </c>
      <c r="P468" s="266" t="s">
        <v>174</v>
      </c>
      <c r="Q468" s="266" t="s">
        <v>166</v>
      </c>
      <c r="R468" s="266">
        <v>2.0</v>
      </c>
      <c r="S468" s="266" t="s">
        <v>3151</v>
      </c>
      <c r="T468" s="266">
        <v>96.0</v>
      </c>
      <c r="U468" s="266" t="s">
        <v>5119</v>
      </c>
      <c r="V468" s="266">
        <v>4.0</v>
      </c>
      <c r="W468" s="710" t="s">
        <v>5126</v>
      </c>
      <c r="X468" s="266">
        <v>2.0</v>
      </c>
      <c r="Y468" s="266">
        <v>3.0</v>
      </c>
      <c r="Z468" s="266">
        <v>1.0</v>
      </c>
      <c r="AA468" s="266" t="s">
        <v>166</v>
      </c>
      <c r="AB468" s="266" t="s">
        <v>166</v>
      </c>
      <c r="AC468" s="266" t="s">
        <v>166</v>
      </c>
      <c r="AD468" s="266" t="s">
        <v>166</v>
      </c>
      <c r="AE468" s="266" t="s">
        <v>166</v>
      </c>
      <c r="AF468" s="266">
        <f t="shared" si="1"/>
        <v>6</v>
      </c>
      <c r="AG468" s="266">
        <v>2.0</v>
      </c>
      <c r="AH468" s="266">
        <v>1.0</v>
      </c>
      <c r="AI468" s="507" t="s">
        <v>166</v>
      </c>
      <c r="AJ468" s="266">
        <v>1.0</v>
      </c>
      <c r="AK468" s="48" t="s">
        <v>5038</v>
      </c>
      <c r="AL468" s="48">
        <v>2.5</v>
      </c>
      <c r="AM468" s="705">
        <v>1.0</v>
      </c>
      <c r="AN468" s="705" t="s">
        <v>4966</v>
      </c>
      <c r="AO468" s="705" t="s">
        <v>6001</v>
      </c>
      <c r="AP468" s="507">
        <v>433.0</v>
      </c>
      <c r="AQ468" s="507">
        <v>5.1</v>
      </c>
      <c r="AR468" s="48" t="s">
        <v>5039</v>
      </c>
      <c r="AS468" s="266" t="s">
        <v>166</v>
      </c>
      <c r="AT468" s="266">
        <v>3.0</v>
      </c>
      <c r="AU468" s="266">
        <v>1.0</v>
      </c>
      <c r="AV468" s="266">
        <v>1.0</v>
      </c>
      <c r="AW468" s="266">
        <v>1.0</v>
      </c>
      <c r="AX468" s="266" t="s">
        <v>166</v>
      </c>
      <c r="AY468" s="266">
        <v>1.0</v>
      </c>
      <c r="AZ468" s="266">
        <v>4.0</v>
      </c>
      <c r="BA468" s="266">
        <v>1.0</v>
      </c>
      <c r="BB468" s="266">
        <v>1.0</v>
      </c>
      <c r="BC468" s="266" t="s">
        <v>166</v>
      </c>
      <c r="BD468" s="266" t="s">
        <v>166</v>
      </c>
      <c r="BE468" s="48" t="s">
        <v>170</v>
      </c>
      <c r="BF468" s="48" t="s">
        <v>4954</v>
      </c>
      <c r="BG468" s="48" t="s">
        <v>4955</v>
      </c>
      <c r="BH468" s="48">
        <v>6.0</v>
      </c>
      <c r="BI468" s="698" t="s">
        <v>170</v>
      </c>
      <c r="BJ468" s="698"/>
      <c r="BK468" s="394"/>
      <c r="BL468" s="394"/>
      <c r="BM468" s="394"/>
      <c r="BN468" s="394"/>
      <c r="BO468" s="394"/>
      <c r="BP468" s="394"/>
    </row>
    <row r="469">
      <c r="A469" s="266" t="s">
        <v>1688</v>
      </c>
      <c r="B469" s="48">
        <v>1700.0</v>
      </c>
      <c r="C469" s="266" t="s">
        <v>5379</v>
      </c>
      <c r="D469" s="452" t="str">
        <f t="shared" si="58"/>
        <v>Gigabyte</v>
      </c>
      <c r="E469" s="174" t="s">
        <v>6002</v>
      </c>
      <c r="F469" s="507">
        <v>244.0</v>
      </c>
      <c r="G469" s="507">
        <v>225.0</v>
      </c>
      <c r="H469" s="266">
        <v>4.0</v>
      </c>
      <c r="I469" s="266" t="s">
        <v>166</v>
      </c>
      <c r="J469" s="266">
        <v>1.0</v>
      </c>
      <c r="K469" s="266" t="s">
        <v>166</v>
      </c>
      <c r="L469" s="266" t="s">
        <v>166</v>
      </c>
      <c r="M469" s="266">
        <v>1.0</v>
      </c>
      <c r="N469" s="266" t="s">
        <v>166</v>
      </c>
      <c r="O469" s="266" t="s">
        <v>174</v>
      </c>
      <c r="P469" s="266" t="s">
        <v>174</v>
      </c>
      <c r="Q469" s="266" t="s">
        <v>166</v>
      </c>
      <c r="R469" s="266">
        <v>2.0</v>
      </c>
      <c r="S469" s="266" t="s">
        <v>3149</v>
      </c>
      <c r="T469" s="266">
        <v>64.0</v>
      </c>
      <c r="U469" s="266" t="s">
        <v>5286</v>
      </c>
      <c r="V469" s="266">
        <v>4.0</v>
      </c>
      <c r="W469" s="710" t="s">
        <v>5126</v>
      </c>
      <c r="X469" s="266">
        <v>2.0</v>
      </c>
      <c r="Y469" s="266">
        <v>3.0</v>
      </c>
      <c r="Z469" s="266">
        <v>1.0</v>
      </c>
      <c r="AA469" s="266" t="s">
        <v>166</v>
      </c>
      <c r="AB469" s="266" t="s">
        <v>166</v>
      </c>
      <c r="AC469" s="266" t="s">
        <v>166</v>
      </c>
      <c r="AD469" s="266" t="s">
        <v>166</v>
      </c>
      <c r="AE469" s="266" t="s">
        <v>166</v>
      </c>
      <c r="AF469" s="266">
        <f t="shared" si="1"/>
        <v>6</v>
      </c>
      <c r="AG469" s="266">
        <v>2.0</v>
      </c>
      <c r="AH469" s="266">
        <v>1.0</v>
      </c>
      <c r="AI469" s="507" t="s">
        <v>166</v>
      </c>
      <c r="AJ469" s="266">
        <v>1.0</v>
      </c>
      <c r="AK469" s="48" t="s">
        <v>5038</v>
      </c>
      <c r="AL469" s="48">
        <v>2.5</v>
      </c>
      <c r="AM469" s="705">
        <v>1.0</v>
      </c>
      <c r="AN469" s="705" t="s">
        <v>4966</v>
      </c>
      <c r="AO469" s="705" t="s">
        <v>6001</v>
      </c>
      <c r="AP469" s="507">
        <v>433.0</v>
      </c>
      <c r="AQ469" s="507">
        <v>5.1</v>
      </c>
      <c r="AR469" s="48" t="s">
        <v>5039</v>
      </c>
      <c r="AS469" s="266" t="s">
        <v>166</v>
      </c>
      <c r="AT469" s="266">
        <v>3.0</v>
      </c>
      <c r="AU469" s="266">
        <v>1.0</v>
      </c>
      <c r="AV469" s="266">
        <v>1.0</v>
      </c>
      <c r="AW469" s="266">
        <v>1.0</v>
      </c>
      <c r="AX469" s="266" t="s">
        <v>166</v>
      </c>
      <c r="AY469" s="266">
        <v>1.0</v>
      </c>
      <c r="AZ469" s="266">
        <v>4.0</v>
      </c>
      <c r="BA469" s="266">
        <v>1.0</v>
      </c>
      <c r="BB469" s="266">
        <v>1.0</v>
      </c>
      <c r="BC469" s="266" t="s">
        <v>166</v>
      </c>
      <c r="BD469" s="266" t="s">
        <v>166</v>
      </c>
      <c r="BE469" s="48" t="s">
        <v>170</v>
      </c>
      <c r="BF469" s="48" t="s">
        <v>4954</v>
      </c>
      <c r="BG469" s="48" t="s">
        <v>4955</v>
      </c>
      <c r="BH469" s="48">
        <v>6.0</v>
      </c>
      <c r="BI469" s="698" t="s">
        <v>170</v>
      </c>
      <c r="BJ469" s="698"/>
      <c r="BK469" s="394"/>
      <c r="BL469" s="394"/>
      <c r="BM469" s="394"/>
      <c r="BN469" s="394"/>
      <c r="BO469" s="394"/>
      <c r="BP469" s="394"/>
    </row>
    <row r="470">
      <c r="A470" s="266" t="s">
        <v>1688</v>
      </c>
      <c r="B470" s="48">
        <v>1700.0</v>
      </c>
      <c r="C470" s="266" t="s">
        <v>5379</v>
      </c>
      <c r="D470" s="452" t="str">
        <f t="shared" si="58"/>
        <v>Gigabyte</v>
      </c>
      <c r="E470" s="174" t="s">
        <v>6003</v>
      </c>
      <c r="F470" s="507">
        <v>244.0</v>
      </c>
      <c r="G470" s="507">
        <v>225.0</v>
      </c>
      <c r="H470" s="266">
        <v>4.0</v>
      </c>
      <c r="I470" s="266" t="s">
        <v>166</v>
      </c>
      <c r="J470" s="266">
        <v>1.0</v>
      </c>
      <c r="K470" s="266" t="s">
        <v>166</v>
      </c>
      <c r="L470" s="266" t="s">
        <v>166</v>
      </c>
      <c r="M470" s="266">
        <v>1.0</v>
      </c>
      <c r="N470" s="266" t="s">
        <v>166</v>
      </c>
      <c r="O470" s="266" t="s">
        <v>174</v>
      </c>
      <c r="P470" s="266" t="s">
        <v>174</v>
      </c>
      <c r="Q470" s="266" t="s">
        <v>166</v>
      </c>
      <c r="R470" s="266">
        <v>2.0</v>
      </c>
      <c r="S470" s="266" t="s">
        <v>3151</v>
      </c>
      <c r="T470" s="266">
        <v>96.0</v>
      </c>
      <c r="U470" s="266" t="s">
        <v>5119</v>
      </c>
      <c r="V470" s="266">
        <v>4.0</v>
      </c>
      <c r="W470" s="710" t="s">
        <v>5126</v>
      </c>
      <c r="X470" s="266">
        <v>2.0</v>
      </c>
      <c r="Y470" s="266">
        <v>3.0</v>
      </c>
      <c r="Z470" s="266">
        <v>1.0</v>
      </c>
      <c r="AA470" s="266" t="s">
        <v>166</v>
      </c>
      <c r="AB470" s="266" t="s">
        <v>166</v>
      </c>
      <c r="AC470" s="266" t="s">
        <v>166</v>
      </c>
      <c r="AD470" s="266" t="s">
        <v>166</v>
      </c>
      <c r="AE470" s="266" t="s">
        <v>166</v>
      </c>
      <c r="AF470" s="266">
        <f t="shared" si="1"/>
        <v>6</v>
      </c>
      <c r="AG470" s="266">
        <v>2.0</v>
      </c>
      <c r="AH470" s="266">
        <v>1.0</v>
      </c>
      <c r="AI470" s="507" t="s">
        <v>166</v>
      </c>
      <c r="AJ470" s="266">
        <v>1.0</v>
      </c>
      <c r="AK470" s="48" t="s">
        <v>5038</v>
      </c>
      <c r="AL470" s="48">
        <v>2.5</v>
      </c>
      <c r="AM470" s="705">
        <v>1.0</v>
      </c>
      <c r="AN470" s="705" t="s">
        <v>4966</v>
      </c>
      <c r="AO470" s="705" t="s">
        <v>6004</v>
      </c>
      <c r="AP470" s="507">
        <v>433.0</v>
      </c>
      <c r="AQ470" s="507">
        <v>5.1</v>
      </c>
      <c r="AR470" s="48" t="s">
        <v>5039</v>
      </c>
      <c r="AS470" s="266" t="s">
        <v>166</v>
      </c>
      <c r="AT470" s="266">
        <v>3.0</v>
      </c>
      <c r="AU470" s="266">
        <v>1.0</v>
      </c>
      <c r="AV470" s="266">
        <v>1.0</v>
      </c>
      <c r="AW470" s="266">
        <v>1.0</v>
      </c>
      <c r="AX470" s="266" t="s">
        <v>166</v>
      </c>
      <c r="AY470" s="266">
        <v>1.0</v>
      </c>
      <c r="AZ470" s="266">
        <v>4.0</v>
      </c>
      <c r="BA470" s="266">
        <v>1.0</v>
      </c>
      <c r="BB470" s="266">
        <v>2.0</v>
      </c>
      <c r="BC470" s="266" t="s">
        <v>166</v>
      </c>
      <c r="BD470" s="266" t="s">
        <v>166</v>
      </c>
      <c r="BE470" s="48" t="s">
        <v>170</v>
      </c>
      <c r="BF470" s="48" t="s">
        <v>4954</v>
      </c>
      <c r="BG470" s="48" t="s">
        <v>4955</v>
      </c>
      <c r="BH470" s="48">
        <v>6.0</v>
      </c>
      <c r="BI470" s="698" t="s">
        <v>170</v>
      </c>
      <c r="BJ470" s="698"/>
      <c r="BK470" s="394"/>
      <c r="BL470" s="394"/>
      <c r="BM470" s="394"/>
      <c r="BN470" s="394"/>
      <c r="BO470" s="394"/>
      <c r="BP470" s="394"/>
    </row>
    <row r="471">
      <c r="A471" s="266" t="s">
        <v>1688</v>
      </c>
      <c r="B471" s="48">
        <v>1700.0</v>
      </c>
      <c r="C471" s="266" t="s">
        <v>5379</v>
      </c>
      <c r="D471" s="452" t="str">
        <f t="shared" si="58"/>
        <v>Gigabyte</v>
      </c>
      <c r="E471" s="174" t="s">
        <v>6005</v>
      </c>
      <c r="F471" s="507">
        <v>244.0</v>
      </c>
      <c r="G471" s="507">
        <v>244.0</v>
      </c>
      <c r="H471" s="266">
        <v>4.0</v>
      </c>
      <c r="I471" s="266" t="s">
        <v>166</v>
      </c>
      <c r="J471" s="266" t="s">
        <v>166</v>
      </c>
      <c r="K471" s="266" t="s">
        <v>166</v>
      </c>
      <c r="L471" s="266" t="s">
        <v>166</v>
      </c>
      <c r="M471" s="266">
        <v>2.0</v>
      </c>
      <c r="N471" s="266" t="s">
        <v>166</v>
      </c>
      <c r="O471" s="266" t="s">
        <v>174</v>
      </c>
      <c r="P471" s="266" t="s">
        <v>174</v>
      </c>
      <c r="Q471" s="266" t="s">
        <v>166</v>
      </c>
      <c r="R471" s="266">
        <v>4.0</v>
      </c>
      <c r="S471" s="266" t="s">
        <v>3151</v>
      </c>
      <c r="T471" s="266">
        <v>192.0</v>
      </c>
      <c r="U471" s="266" t="s">
        <v>5387</v>
      </c>
      <c r="V471" s="266">
        <v>4.0</v>
      </c>
      <c r="W471" s="710" t="s">
        <v>5126</v>
      </c>
      <c r="X471" s="266">
        <v>5.0</v>
      </c>
      <c r="Y471" s="266">
        <v>3.0</v>
      </c>
      <c r="Z471" s="266" t="s">
        <v>166</v>
      </c>
      <c r="AA471" s="266" t="s">
        <v>166</v>
      </c>
      <c r="AB471" s="266" t="s">
        <v>166</v>
      </c>
      <c r="AC471" s="266" t="s">
        <v>166</v>
      </c>
      <c r="AD471" s="266" t="s">
        <v>166</v>
      </c>
      <c r="AE471" s="266" t="s">
        <v>166</v>
      </c>
      <c r="AF471" s="266">
        <f t="shared" si="1"/>
        <v>8</v>
      </c>
      <c r="AG471" s="266">
        <v>2.0</v>
      </c>
      <c r="AH471" s="266">
        <v>1.0</v>
      </c>
      <c r="AI471" s="266" t="s">
        <v>5025</v>
      </c>
      <c r="AJ471" s="266">
        <v>1.0</v>
      </c>
      <c r="AK471" s="48" t="s">
        <v>5038</v>
      </c>
      <c r="AL471" s="48">
        <v>2.5</v>
      </c>
      <c r="AM471" s="705">
        <v>1.0</v>
      </c>
      <c r="AN471" s="48" t="s">
        <v>5044</v>
      </c>
      <c r="AO471" s="705" t="s">
        <v>6006</v>
      </c>
      <c r="AP471" s="507">
        <v>2400.0</v>
      </c>
      <c r="AQ471" s="507">
        <v>5.3</v>
      </c>
      <c r="AR471" s="48" t="s">
        <v>5039</v>
      </c>
      <c r="AS471" s="266" t="s">
        <v>166</v>
      </c>
      <c r="AT471" s="266">
        <v>3.0</v>
      </c>
      <c r="AU471" s="266" t="s">
        <v>166</v>
      </c>
      <c r="AV471" s="266">
        <v>1.0</v>
      </c>
      <c r="AW471" s="266">
        <v>1.0</v>
      </c>
      <c r="AX471" s="266" t="s">
        <v>166</v>
      </c>
      <c r="AY471" s="266" t="s">
        <v>166</v>
      </c>
      <c r="AZ471" s="266">
        <v>4.0</v>
      </c>
      <c r="BA471" s="266">
        <v>2.0</v>
      </c>
      <c r="BB471" s="266">
        <v>2.0</v>
      </c>
      <c r="BC471" s="266" t="s">
        <v>166</v>
      </c>
      <c r="BD471" s="266" t="s">
        <v>174</v>
      </c>
      <c r="BE471" s="48" t="s">
        <v>170</v>
      </c>
      <c r="BF471" s="48" t="s">
        <v>5226</v>
      </c>
      <c r="BG471" s="48" t="s">
        <v>4955</v>
      </c>
      <c r="BH471" s="48">
        <v>8.0</v>
      </c>
      <c r="BI471" s="698" t="s">
        <v>5087</v>
      </c>
      <c r="BJ471" s="698"/>
      <c r="BK471" s="394"/>
      <c r="BL471" s="394"/>
      <c r="BM471" s="394"/>
      <c r="BN471" s="394"/>
      <c r="BO471" s="394"/>
      <c r="BP471" s="394"/>
    </row>
    <row r="472">
      <c r="A472" s="266" t="s">
        <v>1688</v>
      </c>
      <c r="B472" s="48">
        <v>1700.0</v>
      </c>
      <c r="C472" s="266" t="s">
        <v>5379</v>
      </c>
      <c r="D472" s="452" t="str">
        <f t="shared" si="58"/>
        <v>Gigabyte</v>
      </c>
      <c r="E472" s="174" t="s">
        <v>6007</v>
      </c>
      <c r="F472" s="507">
        <v>244.0</v>
      </c>
      <c r="G472" s="507">
        <v>244.0</v>
      </c>
      <c r="H472" s="266">
        <v>4.0</v>
      </c>
      <c r="I472" s="266" t="s">
        <v>166</v>
      </c>
      <c r="J472" s="266" t="s">
        <v>166</v>
      </c>
      <c r="K472" s="266" t="s">
        <v>166</v>
      </c>
      <c r="L472" s="266" t="s">
        <v>166</v>
      </c>
      <c r="M472" s="266">
        <v>2.0</v>
      </c>
      <c r="N472" s="266" t="s">
        <v>166</v>
      </c>
      <c r="O472" s="266" t="s">
        <v>174</v>
      </c>
      <c r="P472" s="266" t="s">
        <v>174</v>
      </c>
      <c r="Q472" s="266" t="s">
        <v>166</v>
      </c>
      <c r="R472" s="266">
        <v>4.0</v>
      </c>
      <c r="S472" s="266" t="s">
        <v>3149</v>
      </c>
      <c r="T472" s="266">
        <v>128.0</v>
      </c>
      <c r="U472" s="266" t="s">
        <v>5286</v>
      </c>
      <c r="V472" s="266">
        <v>4.0</v>
      </c>
      <c r="W472" s="710" t="s">
        <v>5126</v>
      </c>
      <c r="X472" s="266">
        <v>5.0</v>
      </c>
      <c r="Y472" s="266">
        <v>3.0</v>
      </c>
      <c r="Z472" s="266" t="s">
        <v>166</v>
      </c>
      <c r="AA472" s="266" t="s">
        <v>166</v>
      </c>
      <c r="AB472" s="266" t="s">
        <v>166</v>
      </c>
      <c r="AC472" s="266" t="s">
        <v>166</v>
      </c>
      <c r="AD472" s="266" t="s">
        <v>166</v>
      </c>
      <c r="AE472" s="266" t="s">
        <v>166</v>
      </c>
      <c r="AF472" s="266">
        <f t="shared" si="1"/>
        <v>8</v>
      </c>
      <c r="AG472" s="266">
        <v>2.0</v>
      </c>
      <c r="AH472" s="266">
        <v>1.0</v>
      </c>
      <c r="AI472" s="266" t="s">
        <v>5025</v>
      </c>
      <c r="AJ472" s="266">
        <v>1.0</v>
      </c>
      <c r="AK472" s="48" t="s">
        <v>5038</v>
      </c>
      <c r="AL472" s="48">
        <v>2.5</v>
      </c>
      <c r="AM472" s="705">
        <v>1.0</v>
      </c>
      <c r="AN472" s="48" t="s">
        <v>5044</v>
      </c>
      <c r="AO472" s="48" t="s">
        <v>6008</v>
      </c>
      <c r="AP472" s="507">
        <v>2400.0</v>
      </c>
      <c r="AQ472" s="507">
        <v>5.3</v>
      </c>
      <c r="AR472" s="48" t="s">
        <v>5039</v>
      </c>
      <c r="AS472" s="266" t="s">
        <v>166</v>
      </c>
      <c r="AT472" s="266">
        <v>3.0</v>
      </c>
      <c r="AU472" s="266" t="s">
        <v>166</v>
      </c>
      <c r="AV472" s="266">
        <v>1.0</v>
      </c>
      <c r="AW472" s="266">
        <v>1.0</v>
      </c>
      <c r="AX472" s="266" t="s">
        <v>166</v>
      </c>
      <c r="AY472" s="266" t="s">
        <v>166</v>
      </c>
      <c r="AZ472" s="266">
        <v>4.0</v>
      </c>
      <c r="BA472" s="266">
        <v>2.0</v>
      </c>
      <c r="BB472" s="266">
        <v>2.0</v>
      </c>
      <c r="BC472" s="266" t="s">
        <v>166</v>
      </c>
      <c r="BD472" s="266" t="s">
        <v>174</v>
      </c>
      <c r="BE472" s="48" t="s">
        <v>170</v>
      </c>
      <c r="BF472" s="48" t="s">
        <v>5226</v>
      </c>
      <c r="BG472" s="48" t="s">
        <v>4955</v>
      </c>
      <c r="BH472" s="48">
        <v>8.0</v>
      </c>
      <c r="BI472" s="698" t="s">
        <v>5087</v>
      </c>
      <c r="BJ472" s="698"/>
      <c r="BK472" s="394"/>
      <c r="BL472" s="394"/>
      <c r="BM472" s="394"/>
      <c r="BN472" s="394"/>
      <c r="BO472" s="394"/>
      <c r="BP472" s="394"/>
    </row>
    <row r="473">
      <c r="A473" s="266" t="s">
        <v>1688</v>
      </c>
      <c r="B473" s="48">
        <v>1700.0</v>
      </c>
      <c r="C473" s="266" t="s">
        <v>5379</v>
      </c>
      <c r="D473" s="452" t="str">
        <f t="shared" si="58"/>
        <v>Gigabyte</v>
      </c>
      <c r="E473" s="174" t="s">
        <v>6009</v>
      </c>
      <c r="F473" s="507">
        <v>244.0</v>
      </c>
      <c r="G473" s="507">
        <v>244.0</v>
      </c>
      <c r="H473" s="266">
        <v>4.0</v>
      </c>
      <c r="I473" s="266" t="s">
        <v>166</v>
      </c>
      <c r="J473" s="266" t="s">
        <v>166</v>
      </c>
      <c r="K473" s="266" t="s">
        <v>166</v>
      </c>
      <c r="L473" s="266" t="s">
        <v>166</v>
      </c>
      <c r="M473" s="266">
        <v>2.0</v>
      </c>
      <c r="N473" s="266" t="s">
        <v>166</v>
      </c>
      <c r="O473" s="266" t="s">
        <v>174</v>
      </c>
      <c r="P473" s="266" t="s">
        <v>174</v>
      </c>
      <c r="Q473" s="266" t="s">
        <v>166</v>
      </c>
      <c r="R473" s="266">
        <v>4.0</v>
      </c>
      <c r="S473" s="266" t="s">
        <v>3151</v>
      </c>
      <c r="T473" s="266">
        <v>192.0</v>
      </c>
      <c r="U473" s="266" t="s">
        <v>5387</v>
      </c>
      <c r="V473" s="266">
        <v>4.0</v>
      </c>
      <c r="W473" s="710" t="s">
        <v>5126</v>
      </c>
      <c r="X473" s="266">
        <v>5.0</v>
      </c>
      <c r="Y473" s="266">
        <v>3.0</v>
      </c>
      <c r="Z473" s="266" t="s">
        <v>166</v>
      </c>
      <c r="AA473" s="266" t="s">
        <v>166</v>
      </c>
      <c r="AB473" s="266" t="s">
        <v>166</v>
      </c>
      <c r="AC473" s="266" t="s">
        <v>166</v>
      </c>
      <c r="AD473" s="266" t="s">
        <v>166</v>
      </c>
      <c r="AE473" s="266" t="s">
        <v>166</v>
      </c>
      <c r="AF473" s="266">
        <f t="shared" si="1"/>
        <v>8</v>
      </c>
      <c r="AG473" s="266">
        <v>2.0</v>
      </c>
      <c r="AH473" s="266">
        <v>1.0</v>
      </c>
      <c r="AI473" s="266" t="s">
        <v>5025</v>
      </c>
      <c r="AJ473" s="266">
        <v>1.0</v>
      </c>
      <c r="AK473" s="48" t="s">
        <v>5038</v>
      </c>
      <c r="AL473" s="48">
        <v>2.5</v>
      </c>
      <c r="AM473" s="705" t="s">
        <v>166</v>
      </c>
      <c r="AN473" s="705" t="s">
        <v>166</v>
      </c>
      <c r="AO473" s="705" t="s">
        <v>166</v>
      </c>
      <c r="AP473" s="507" t="s">
        <v>166</v>
      </c>
      <c r="AQ473" s="507" t="s">
        <v>166</v>
      </c>
      <c r="AR473" s="48" t="s">
        <v>5039</v>
      </c>
      <c r="AS473" s="266" t="s">
        <v>166</v>
      </c>
      <c r="AT473" s="266">
        <v>3.0</v>
      </c>
      <c r="AU473" s="266" t="s">
        <v>166</v>
      </c>
      <c r="AV473" s="266">
        <v>1.0</v>
      </c>
      <c r="AW473" s="266">
        <v>1.0</v>
      </c>
      <c r="AX473" s="266" t="s">
        <v>166</v>
      </c>
      <c r="AY473" s="266" t="s">
        <v>166</v>
      </c>
      <c r="AZ473" s="266">
        <v>4.0</v>
      </c>
      <c r="BA473" s="266">
        <v>2.0</v>
      </c>
      <c r="BB473" s="266">
        <v>2.0</v>
      </c>
      <c r="BC473" s="266" t="s">
        <v>166</v>
      </c>
      <c r="BD473" s="266" t="s">
        <v>174</v>
      </c>
      <c r="BE473" s="48" t="s">
        <v>170</v>
      </c>
      <c r="BF473" s="48" t="s">
        <v>5226</v>
      </c>
      <c r="BG473" s="48" t="s">
        <v>4955</v>
      </c>
      <c r="BH473" s="48">
        <v>8.0</v>
      </c>
      <c r="BI473" s="698" t="s">
        <v>5087</v>
      </c>
      <c r="BJ473" s="698"/>
      <c r="BK473" s="394"/>
      <c r="BL473" s="394"/>
      <c r="BM473" s="394"/>
      <c r="BN473" s="394"/>
      <c r="BO473" s="394"/>
      <c r="BP473" s="394"/>
    </row>
    <row r="474">
      <c r="A474" s="266" t="s">
        <v>1688</v>
      </c>
      <c r="B474" s="48">
        <v>1700.0</v>
      </c>
      <c r="C474" s="266" t="s">
        <v>5379</v>
      </c>
      <c r="D474" s="452" t="str">
        <f t="shared" si="58"/>
        <v>Gigabyte</v>
      </c>
      <c r="E474" s="174" t="s">
        <v>6010</v>
      </c>
      <c r="F474" s="507">
        <v>244.0</v>
      </c>
      <c r="G474" s="507">
        <v>244.0</v>
      </c>
      <c r="H474" s="266">
        <v>4.0</v>
      </c>
      <c r="I474" s="266" t="s">
        <v>166</v>
      </c>
      <c r="J474" s="266" t="s">
        <v>166</v>
      </c>
      <c r="K474" s="266" t="s">
        <v>166</v>
      </c>
      <c r="L474" s="266" t="s">
        <v>166</v>
      </c>
      <c r="M474" s="266">
        <v>2.0</v>
      </c>
      <c r="N474" s="266" t="s">
        <v>166</v>
      </c>
      <c r="O474" s="266" t="s">
        <v>174</v>
      </c>
      <c r="P474" s="266" t="s">
        <v>174</v>
      </c>
      <c r="Q474" s="266" t="s">
        <v>166</v>
      </c>
      <c r="R474" s="266">
        <v>4.0</v>
      </c>
      <c r="S474" s="266" t="s">
        <v>3149</v>
      </c>
      <c r="T474" s="266">
        <v>128.0</v>
      </c>
      <c r="U474" s="266" t="s">
        <v>5286</v>
      </c>
      <c r="V474" s="266">
        <v>4.0</v>
      </c>
      <c r="W474" s="710" t="s">
        <v>5126</v>
      </c>
      <c r="X474" s="266">
        <v>5.0</v>
      </c>
      <c r="Y474" s="266">
        <v>3.0</v>
      </c>
      <c r="Z474" s="266" t="s">
        <v>166</v>
      </c>
      <c r="AA474" s="266" t="s">
        <v>166</v>
      </c>
      <c r="AB474" s="266" t="s">
        <v>166</v>
      </c>
      <c r="AC474" s="266" t="s">
        <v>166</v>
      </c>
      <c r="AD474" s="266" t="s">
        <v>166</v>
      </c>
      <c r="AE474" s="266" t="s">
        <v>166</v>
      </c>
      <c r="AF474" s="266">
        <f t="shared" si="1"/>
        <v>8</v>
      </c>
      <c r="AG474" s="266">
        <v>2.0</v>
      </c>
      <c r="AH474" s="266">
        <v>1.0</v>
      </c>
      <c r="AI474" s="266" t="s">
        <v>5025</v>
      </c>
      <c r="AJ474" s="266">
        <v>1.0</v>
      </c>
      <c r="AK474" s="48" t="s">
        <v>5038</v>
      </c>
      <c r="AL474" s="48">
        <v>2.5</v>
      </c>
      <c r="AM474" s="705" t="s">
        <v>166</v>
      </c>
      <c r="AN474" s="705" t="s">
        <v>166</v>
      </c>
      <c r="AO474" s="705" t="s">
        <v>166</v>
      </c>
      <c r="AP474" s="507" t="s">
        <v>166</v>
      </c>
      <c r="AQ474" s="507" t="s">
        <v>166</v>
      </c>
      <c r="AR474" s="48" t="s">
        <v>5039</v>
      </c>
      <c r="AS474" s="266" t="s">
        <v>166</v>
      </c>
      <c r="AT474" s="266">
        <v>3.0</v>
      </c>
      <c r="AU474" s="266" t="s">
        <v>166</v>
      </c>
      <c r="AV474" s="266">
        <v>1.0</v>
      </c>
      <c r="AW474" s="266">
        <v>1.0</v>
      </c>
      <c r="AX474" s="266" t="s">
        <v>166</v>
      </c>
      <c r="AY474" s="266" t="s">
        <v>166</v>
      </c>
      <c r="AZ474" s="266">
        <v>4.0</v>
      </c>
      <c r="BA474" s="266">
        <v>2.0</v>
      </c>
      <c r="BB474" s="266">
        <v>2.0</v>
      </c>
      <c r="BC474" s="266" t="s">
        <v>166</v>
      </c>
      <c r="BD474" s="266" t="s">
        <v>174</v>
      </c>
      <c r="BE474" s="48" t="s">
        <v>170</v>
      </c>
      <c r="BF474" s="48" t="s">
        <v>5226</v>
      </c>
      <c r="BG474" s="48" t="s">
        <v>4955</v>
      </c>
      <c r="BH474" s="48">
        <v>8.0</v>
      </c>
      <c r="BI474" s="698" t="s">
        <v>5087</v>
      </c>
      <c r="BJ474" s="698"/>
      <c r="BK474" s="394"/>
      <c r="BL474" s="394"/>
      <c r="BM474" s="394"/>
      <c r="BN474" s="394"/>
      <c r="BO474" s="394"/>
      <c r="BP474" s="394"/>
    </row>
    <row r="475">
      <c r="A475" s="266" t="s">
        <v>1688</v>
      </c>
      <c r="B475" s="48">
        <v>1700.0</v>
      </c>
      <c r="C475" s="266" t="s">
        <v>5379</v>
      </c>
      <c r="D475" s="452" t="str">
        <f t="shared" si="58"/>
        <v>Gigabyte</v>
      </c>
      <c r="E475" s="174" t="s">
        <v>6011</v>
      </c>
      <c r="F475" s="507">
        <v>230.0</v>
      </c>
      <c r="G475" s="507">
        <v>215.0</v>
      </c>
      <c r="H475" s="266">
        <v>4.0</v>
      </c>
      <c r="I475" s="266" t="s">
        <v>166</v>
      </c>
      <c r="J475" s="266">
        <v>1.0</v>
      </c>
      <c r="K475" s="266" t="s">
        <v>166</v>
      </c>
      <c r="L475" s="266" t="s">
        <v>166</v>
      </c>
      <c r="M475" s="266">
        <v>1.0</v>
      </c>
      <c r="N475" s="266" t="s">
        <v>166</v>
      </c>
      <c r="O475" s="266" t="s">
        <v>174</v>
      </c>
      <c r="P475" s="266" t="s">
        <v>166</v>
      </c>
      <c r="Q475" s="266" t="s">
        <v>166</v>
      </c>
      <c r="R475" s="266">
        <v>2.0</v>
      </c>
      <c r="S475" s="266" t="s">
        <v>3151</v>
      </c>
      <c r="T475" s="266">
        <v>96.0</v>
      </c>
      <c r="U475" s="266" t="s">
        <v>5119</v>
      </c>
      <c r="V475" s="266">
        <v>4.0</v>
      </c>
      <c r="W475" s="710" t="s">
        <v>5126</v>
      </c>
      <c r="X475" s="266">
        <v>2.0</v>
      </c>
      <c r="Y475" s="266">
        <v>4.0</v>
      </c>
      <c r="Z475" s="266" t="s">
        <v>166</v>
      </c>
      <c r="AA475" s="266" t="s">
        <v>166</v>
      </c>
      <c r="AB475" s="266" t="s">
        <v>166</v>
      </c>
      <c r="AC475" s="266" t="s">
        <v>166</v>
      </c>
      <c r="AD475" s="266" t="s">
        <v>166</v>
      </c>
      <c r="AE475" s="266" t="s">
        <v>166</v>
      </c>
      <c r="AF475" s="266">
        <f t="shared" si="1"/>
        <v>6</v>
      </c>
      <c r="AG475" s="266">
        <v>2.0</v>
      </c>
      <c r="AH475" s="266">
        <v>1.0</v>
      </c>
      <c r="AI475" s="507" t="s">
        <v>166</v>
      </c>
      <c r="AJ475" s="266">
        <v>1.0</v>
      </c>
      <c r="AK475" s="48" t="s">
        <v>4959</v>
      </c>
      <c r="AL475" s="48">
        <v>1.0</v>
      </c>
      <c r="AM475" s="705" t="s">
        <v>166</v>
      </c>
      <c r="AN475" s="705" t="s">
        <v>166</v>
      </c>
      <c r="AO475" s="705" t="s">
        <v>166</v>
      </c>
      <c r="AP475" s="507" t="s">
        <v>166</v>
      </c>
      <c r="AQ475" s="507" t="s">
        <v>166</v>
      </c>
      <c r="AR475" s="48" t="s">
        <v>5039</v>
      </c>
      <c r="AS475" s="266" t="s">
        <v>166</v>
      </c>
      <c r="AT475" s="266">
        <v>3.0</v>
      </c>
      <c r="AU475" s="266" t="s">
        <v>166</v>
      </c>
      <c r="AV475" s="266" t="s">
        <v>166</v>
      </c>
      <c r="AW475" s="266">
        <v>1.0</v>
      </c>
      <c r="AX475" s="266" t="s">
        <v>166</v>
      </c>
      <c r="AY475" s="266">
        <v>1.0</v>
      </c>
      <c r="AZ475" s="266">
        <v>3.0</v>
      </c>
      <c r="BA475" s="266">
        <v>1.0</v>
      </c>
      <c r="BB475" s="266" t="s">
        <v>166</v>
      </c>
      <c r="BC475" s="266" t="s">
        <v>166</v>
      </c>
      <c r="BD475" s="266" t="s">
        <v>166</v>
      </c>
      <c r="BE475" s="48" t="s">
        <v>170</v>
      </c>
      <c r="BF475" s="48" t="s">
        <v>4973</v>
      </c>
      <c r="BG475" s="48" t="s">
        <v>4955</v>
      </c>
      <c r="BH475" s="48">
        <v>6.0</v>
      </c>
      <c r="BI475" s="698" t="s">
        <v>170</v>
      </c>
      <c r="BJ475" s="698"/>
      <c r="BK475" s="394"/>
      <c r="BL475" s="394"/>
      <c r="BM475" s="394"/>
      <c r="BN475" s="394"/>
      <c r="BO475" s="394"/>
      <c r="BP475" s="394"/>
    </row>
    <row r="476">
      <c r="A476" s="266" t="s">
        <v>1688</v>
      </c>
      <c r="B476" s="48">
        <v>1700.0</v>
      </c>
      <c r="C476" s="266" t="s">
        <v>5379</v>
      </c>
      <c r="D476" s="452" t="str">
        <f t="shared" si="58"/>
        <v>Gigabyte</v>
      </c>
      <c r="E476" s="174" t="s">
        <v>6012</v>
      </c>
      <c r="F476" s="507">
        <v>230.0</v>
      </c>
      <c r="G476" s="507">
        <v>215.0</v>
      </c>
      <c r="H476" s="266">
        <v>4.0</v>
      </c>
      <c r="I476" s="266" t="s">
        <v>166</v>
      </c>
      <c r="J476" s="266">
        <v>1.0</v>
      </c>
      <c r="K476" s="266" t="s">
        <v>166</v>
      </c>
      <c r="L476" s="266" t="s">
        <v>166</v>
      </c>
      <c r="M476" s="266">
        <v>1.0</v>
      </c>
      <c r="N476" s="266" t="s">
        <v>166</v>
      </c>
      <c r="O476" s="266" t="s">
        <v>174</v>
      </c>
      <c r="P476" s="266" t="s">
        <v>166</v>
      </c>
      <c r="Q476" s="266" t="s">
        <v>166</v>
      </c>
      <c r="R476" s="266">
        <v>2.0</v>
      </c>
      <c r="S476" s="266" t="s">
        <v>3149</v>
      </c>
      <c r="T476" s="266">
        <v>64.0</v>
      </c>
      <c r="U476" s="266" t="s">
        <v>4975</v>
      </c>
      <c r="V476" s="266">
        <v>4.0</v>
      </c>
      <c r="W476" s="710" t="s">
        <v>5126</v>
      </c>
      <c r="X476" s="266">
        <v>2.0</v>
      </c>
      <c r="Y476" s="266">
        <v>4.0</v>
      </c>
      <c r="Z476" s="266" t="s">
        <v>166</v>
      </c>
      <c r="AA476" s="266" t="s">
        <v>166</v>
      </c>
      <c r="AB476" s="266" t="s">
        <v>166</v>
      </c>
      <c r="AC476" s="266" t="s">
        <v>166</v>
      </c>
      <c r="AD476" s="266" t="s">
        <v>166</v>
      </c>
      <c r="AE476" s="266" t="s">
        <v>166</v>
      </c>
      <c r="AF476" s="266">
        <f t="shared" si="1"/>
        <v>6</v>
      </c>
      <c r="AG476" s="266">
        <v>2.0</v>
      </c>
      <c r="AH476" s="266">
        <v>1.0</v>
      </c>
      <c r="AI476" s="507" t="s">
        <v>166</v>
      </c>
      <c r="AJ476" s="266">
        <v>1.0</v>
      </c>
      <c r="AK476" s="48" t="s">
        <v>4959</v>
      </c>
      <c r="AL476" s="48">
        <v>1.0</v>
      </c>
      <c r="AM476" s="705" t="s">
        <v>166</v>
      </c>
      <c r="AN476" s="705" t="s">
        <v>166</v>
      </c>
      <c r="AO476" s="705" t="s">
        <v>166</v>
      </c>
      <c r="AP476" s="507" t="s">
        <v>166</v>
      </c>
      <c r="AQ476" s="507" t="s">
        <v>166</v>
      </c>
      <c r="AR476" s="48" t="s">
        <v>5039</v>
      </c>
      <c r="AS476" s="266" t="s">
        <v>166</v>
      </c>
      <c r="AT476" s="266">
        <v>3.0</v>
      </c>
      <c r="AU476" s="266" t="s">
        <v>166</v>
      </c>
      <c r="AV476" s="266" t="s">
        <v>166</v>
      </c>
      <c r="AW476" s="266">
        <v>1.0</v>
      </c>
      <c r="AX476" s="266" t="s">
        <v>166</v>
      </c>
      <c r="AY476" s="266">
        <v>1.0</v>
      </c>
      <c r="AZ476" s="266">
        <v>3.0</v>
      </c>
      <c r="BA476" s="266">
        <v>1.0</v>
      </c>
      <c r="BB476" s="266" t="s">
        <v>166</v>
      </c>
      <c r="BC476" s="266" t="s">
        <v>166</v>
      </c>
      <c r="BD476" s="266" t="s">
        <v>166</v>
      </c>
      <c r="BE476" s="48" t="s">
        <v>170</v>
      </c>
      <c r="BF476" s="48" t="s">
        <v>4973</v>
      </c>
      <c r="BG476" s="48" t="s">
        <v>4955</v>
      </c>
      <c r="BH476" s="48">
        <v>6.0</v>
      </c>
      <c r="BI476" s="698" t="s">
        <v>170</v>
      </c>
      <c r="BJ476" s="698"/>
      <c r="BK476" s="394"/>
      <c r="BL476" s="394"/>
      <c r="BM476" s="394"/>
      <c r="BN476" s="394"/>
      <c r="BO476" s="394"/>
      <c r="BP476" s="394"/>
    </row>
    <row r="477">
      <c r="A477" s="266" t="s">
        <v>1688</v>
      </c>
      <c r="B477" s="48">
        <v>1700.0</v>
      </c>
      <c r="C477" s="266" t="s">
        <v>5379</v>
      </c>
      <c r="D477" s="452" t="str">
        <f t="shared" si="58"/>
        <v>Gigabyte</v>
      </c>
      <c r="E477" s="174" t="s">
        <v>6013</v>
      </c>
      <c r="F477" s="507">
        <v>244.0</v>
      </c>
      <c r="G477" s="507">
        <v>225.0</v>
      </c>
      <c r="H477" s="266">
        <v>4.0</v>
      </c>
      <c r="I477" s="266" t="s">
        <v>166</v>
      </c>
      <c r="J477" s="266">
        <v>2.0</v>
      </c>
      <c r="K477" s="266" t="s">
        <v>166</v>
      </c>
      <c r="L477" s="266" t="s">
        <v>166</v>
      </c>
      <c r="M477" s="266">
        <v>1.0</v>
      </c>
      <c r="N477" s="266" t="s">
        <v>166</v>
      </c>
      <c r="O477" s="266" t="s">
        <v>174</v>
      </c>
      <c r="P477" s="266" t="s">
        <v>174</v>
      </c>
      <c r="Q477" s="266" t="s">
        <v>166</v>
      </c>
      <c r="R477" s="266">
        <v>2.0</v>
      </c>
      <c r="S477" s="266" t="s">
        <v>3151</v>
      </c>
      <c r="T477" s="266">
        <v>96.0</v>
      </c>
      <c r="U477" s="266" t="s">
        <v>5119</v>
      </c>
      <c r="V477" s="266">
        <v>4.0</v>
      </c>
      <c r="W477" s="710" t="s">
        <v>5126</v>
      </c>
      <c r="X477" s="266">
        <v>2.0</v>
      </c>
      <c r="Y477" s="266">
        <v>4.0</v>
      </c>
      <c r="Z477" s="266" t="s">
        <v>166</v>
      </c>
      <c r="AA477" s="266" t="s">
        <v>166</v>
      </c>
      <c r="AB477" s="266" t="s">
        <v>166</v>
      </c>
      <c r="AC477" s="266" t="s">
        <v>166</v>
      </c>
      <c r="AD477" s="266" t="s">
        <v>166</v>
      </c>
      <c r="AE477" s="266" t="s">
        <v>166</v>
      </c>
      <c r="AF477" s="266">
        <f t="shared" si="1"/>
        <v>6</v>
      </c>
      <c r="AG477" s="266">
        <v>3.0</v>
      </c>
      <c r="AH477" s="266">
        <v>1.0</v>
      </c>
      <c r="AI477" s="507" t="s">
        <v>166</v>
      </c>
      <c r="AJ477" s="266">
        <v>1.0</v>
      </c>
      <c r="AK477" s="48" t="s">
        <v>5038</v>
      </c>
      <c r="AL477" s="48">
        <v>2.5</v>
      </c>
      <c r="AM477" s="705" t="s">
        <v>166</v>
      </c>
      <c r="AN477" s="705" t="s">
        <v>166</v>
      </c>
      <c r="AO477" s="705" t="s">
        <v>166</v>
      </c>
      <c r="AP477" s="507" t="s">
        <v>166</v>
      </c>
      <c r="AQ477" s="507" t="s">
        <v>166</v>
      </c>
      <c r="AR477" s="48" t="s">
        <v>5039</v>
      </c>
      <c r="AS477" s="266" t="s">
        <v>166</v>
      </c>
      <c r="AT477" s="266">
        <v>3.0</v>
      </c>
      <c r="AU477" s="266">
        <v>1.0</v>
      </c>
      <c r="AV477" s="266" t="s">
        <v>166</v>
      </c>
      <c r="AW477" s="266">
        <v>1.0</v>
      </c>
      <c r="AX477" s="266" t="s">
        <v>166</v>
      </c>
      <c r="AY477" s="266" t="s">
        <v>166</v>
      </c>
      <c r="AZ477" s="266">
        <v>3.0</v>
      </c>
      <c r="BA477" s="266">
        <v>1.0</v>
      </c>
      <c r="BB477" s="266">
        <v>1.0</v>
      </c>
      <c r="BC477" s="266" t="s">
        <v>166</v>
      </c>
      <c r="BD477" s="266" t="s">
        <v>166</v>
      </c>
      <c r="BE477" s="48" t="s">
        <v>170</v>
      </c>
      <c r="BF477" s="48" t="s">
        <v>4954</v>
      </c>
      <c r="BG477" s="48" t="s">
        <v>4955</v>
      </c>
      <c r="BH477" s="48">
        <v>6.0</v>
      </c>
      <c r="BI477" s="698" t="s">
        <v>170</v>
      </c>
      <c r="BJ477" s="698"/>
      <c r="BK477" s="394"/>
      <c r="BL477" s="394"/>
      <c r="BM477" s="394"/>
      <c r="BN477" s="394"/>
      <c r="BO477" s="394"/>
      <c r="BP477" s="394"/>
    </row>
    <row r="478">
      <c r="A478" s="266" t="s">
        <v>1688</v>
      </c>
      <c r="B478" s="48">
        <v>1700.0</v>
      </c>
      <c r="C478" s="266" t="s">
        <v>5379</v>
      </c>
      <c r="D478" s="452" t="str">
        <f t="shared" si="58"/>
        <v>Gigabyte</v>
      </c>
      <c r="E478" s="174" t="s">
        <v>6014</v>
      </c>
      <c r="F478" s="507">
        <v>244.0</v>
      </c>
      <c r="G478" s="507">
        <v>225.0</v>
      </c>
      <c r="H478" s="266">
        <v>4.0</v>
      </c>
      <c r="I478" s="266" t="s">
        <v>166</v>
      </c>
      <c r="J478" s="266">
        <v>2.0</v>
      </c>
      <c r="K478" s="266" t="s">
        <v>166</v>
      </c>
      <c r="L478" s="266" t="s">
        <v>166</v>
      </c>
      <c r="M478" s="266">
        <v>1.0</v>
      </c>
      <c r="N478" s="266" t="s">
        <v>166</v>
      </c>
      <c r="O478" s="266" t="s">
        <v>174</v>
      </c>
      <c r="P478" s="266" t="s">
        <v>174</v>
      </c>
      <c r="Q478" s="266" t="s">
        <v>166</v>
      </c>
      <c r="R478" s="266">
        <v>2.0</v>
      </c>
      <c r="S478" s="266" t="s">
        <v>3149</v>
      </c>
      <c r="T478" s="266">
        <v>64.0</v>
      </c>
      <c r="U478" s="266" t="s">
        <v>5286</v>
      </c>
      <c r="V478" s="266">
        <v>4.0</v>
      </c>
      <c r="W478" s="710" t="s">
        <v>5126</v>
      </c>
      <c r="X478" s="266">
        <v>2.0</v>
      </c>
      <c r="Y478" s="266">
        <v>4.0</v>
      </c>
      <c r="Z478" s="266" t="s">
        <v>166</v>
      </c>
      <c r="AA478" s="266" t="s">
        <v>166</v>
      </c>
      <c r="AB478" s="266" t="s">
        <v>166</v>
      </c>
      <c r="AC478" s="266" t="s">
        <v>166</v>
      </c>
      <c r="AD478" s="266" t="s">
        <v>166</v>
      </c>
      <c r="AE478" s="266" t="s">
        <v>166</v>
      </c>
      <c r="AF478" s="266">
        <f t="shared" si="1"/>
        <v>6</v>
      </c>
      <c r="AG478" s="266">
        <v>3.0</v>
      </c>
      <c r="AH478" s="266">
        <v>1.0</v>
      </c>
      <c r="AI478" s="507" t="s">
        <v>166</v>
      </c>
      <c r="AJ478" s="266">
        <v>1.0</v>
      </c>
      <c r="AK478" s="48" t="s">
        <v>5038</v>
      </c>
      <c r="AL478" s="48">
        <v>2.5</v>
      </c>
      <c r="AM478" s="705" t="s">
        <v>166</v>
      </c>
      <c r="AN478" s="705" t="s">
        <v>166</v>
      </c>
      <c r="AO478" s="705" t="s">
        <v>166</v>
      </c>
      <c r="AP478" s="507" t="s">
        <v>166</v>
      </c>
      <c r="AQ478" s="507" t="s">
        <v>166</v>
      </c>
      <c r="AR478" s="48" t="s">
        <v>5039</v>
      </c>
      <c r="AS478" s="266" t="s">
        <v>166</v>
      </c>
      <c r="AT478" s="266">
        <v>3.0</v>
      </c>
      <c r="AU478" s="266">
        <v>1.0</v>
      </c>
      <c r="AV478" s="266" t="s">
        <v>166</v>
      </c>
      <c r="AW478" s="266">
        <v>1.0</v>
      </c>
      <c r="AX478" s="266" t="s">
        <v>166</v>
      </c>
      <c r="AY478" s="266" t="s">
        <v>166</v>
      </c>
      <c r="AZ478" s="266">
        <v>3.0</v>
      </c>
      <c r="BA478" s="266">
        <v>1.0</v>
      </c>
      <c r="BB478" s="266">
        <v>1.0</v>
      </c>
      <c r="BC478" s="266" t="s">
        <v>166</v>
      </c>
      <c r="BD478" s="266" t="s">
        <v>166</v>
      </c>
      <c r="BE478" s="48" t="s">
        <v>170</v>
      </c>
      <c r="BF478" s="48" t="s">
        <v>4954</v>
      </c>
      <c r="BG478" s="48" t="s">
        <v>4955</v>
      </c>
      <c r="BH478" s="48">
        <v>6.0</v>
      </c>
      <c r="BI478" s="698" t="s">
        <v>170</v>
      </c>
      <c r="BJ478" s="698"/>
      <c r="BK478" s="394"/>
      <c r="BL478" s="394"/>
      <c r="BM478" s="394"/>
      <c r="BN478" s="394"/>
      <c r="BO478" s="394"/>
      <c r="BP478" s="394"/>
    </row>
    <row r="479">
      <c r="A479" s="266" t="s">
        <v>1688</v>
      </c>
      <c r="B479" s="48">
        <v>1700.0</v>
      </c>
      <c r="C479" s="266" t="s">
        <v>5379</v>
      </c>
      <c r="D479" s="174" t="s">
        <v>3565</v>
      </c>
      <c r="E479" s="174" t="s">
        <v>6015</v>
      </c>
      <c r="F479" s="507">
        <v>244.0</v>
      </c>
      <c r="G479" s="507">
        <v>244.0</v>
      </c>
      <c r="H479" s="266">
        <v>5.0</v>
      </c>
      <c r="I479" s="266" t="s">
        <v>166</v>
      </c>
      <c r="J479" s="266" t="s">
        <v>166</v>
      </c>
      <c r="K479" s="266">
        <v>1.0</v>
      </c>
      <c r="L479" s="266" t="s">
        <v>166</v>
      </c>
      <c r="M479" s="266">
        <v>1.0</v>
      </c>
      <c r="N479" s="266" t="s">
        <v>166</v>
      </c>
      <c r="O479" s="266" t="s">
        <v>174</v>
      </c>
      <c r="P479" s="266" t="s">
        <v>166</v>
      </c>
      <c r="Q479" s="266" t="s">
        <v>174</v>
      </c>
      <c r="R479" s="266">
        <v>4.0</v>
      </c>
      <c r="S479" s="266" t="s">
        <v>3149</v>
      </c>
      <c r="T479" s="266">
        <v>128.0</v>
      </c>
      <c r="U479" s="266" t="s">
        <v>4975</v>
      </c>
      <c r="V479" s="266">
        <v>4.0</v>
      </c>
      <c r="W479" s="710" t="s">
        <v>5576</v>
      </c>
      <c r="X479" s="266">
        <v>6.0</v>
      </c>
      <c r="Y479" s="266">
        <v>2.0</v>
      </c>
      <c r="Z479" s="266" t="s">
        <v>166</v>
      </c>
      <c r="AA479" s="266" t="s">
        <v>166</v>
      </c>
      <c r="AB479" s="266" t="s">
        <v>166</v>
      </c>
      <c r="AC479" s="266" t="s">
        <v>166</v>
      </c>
      <c r="AD479" s="266" t="s">
        <v>166</v>
      </c>
      <c r="AE479" s="266" t="s">
        <v>166</v>
      </c>
      <c r="AF479" s="266">
        <f t="shared" si="1"/>
        <v>8</v>
      </c>
      <c r="AG479" s="266">
        <v>1.0</v>
      </c>
      <c r="AH479" s="266">
        <v>1.0</v>
      </c>
      <c r="AI479" s="266" t="s">
        <v>5097</v>
      </c>
      <c r="AJ479" s="266">
        <v>1.0</v>
      </c>
      <c r="AK479" s="48" t="s">
        <v>5038</v>
      </c>
      <c r="AL479" s="48">
        <v>2.5</v>
      </c>
      <c r="AM479" s="705">
        <v>1.0</v>
      </c>
      <c r="AN479" s="705" t="s">
        <v>166</v>
      </c>
      <c r="AO479" s="705" t="s">
        <v>232</v>
      </c>
      <c r="AP479" s="507" t="s">
        <v>166</v>
      </c>
      <c r="AQ479" s="507" t="s">
        <v>166</v>
      </c>
      <c r="AR479" s="48" t="s">
        <v>5039</v>
      </c>
      <c r="AS479" s="266" t="s">
        <v>166</v>
      </c>
      <c r="AT479" s="266">
        <v>3.0</v>
      </c>
      <c r="AU479" s="266" t="s">
        <v>166</v>
      </c>
      <c r="AV479" s="266">
        <v>1.0</v>
      </c>
      <c r="AW479" s="266">
        <v>1.0</v>
      </c>
      <c r="AX479" s="266" t="s">
        <v>166</v>
      </c>
      <c r="AY479" s="266" t="s">
        <v>166</v>
      </c>
      <c r="AZ479" s="266">
        <v>4.0</v>
      </c>
      <c r="BA479" s="266">
        <v>1.0</v>
      </c>
      <c r="BB479" s="266">
        <v>2.0</v>
      </c>
      <c r="BC479" s="266" t="s">
        <v>174</v>
      </c>
      <c r="BD479" s="266" t="s">
        <v>174</v>
      </c>
      <c r="BE479" s="48" t="s">
        <v>5328</v>
      </c>
      <c r="BF479" s="48" t="s">
        <v>5226</v>
      </c>
      <c r="BG479" s="48" t="s">
        <v>4963</v>
      </c>
      <c r="BH479" s="48">
        <v>8.0</v>
      </c>
      <c r="BI479" s="698" t="s">
        <v>5009</v>
      </c>
      <c r="BJ479" s="698"/>
      <c r="BK479" s="394"/>
      <c r="BL479" s="394"/>
      <c r="BM479" s="394"/>
      <c r="BN479" s="394"/>
      <c r="BO479" s="394"/>
      <c r="BP479" s="394"/>
    </row>
    <row r="480">
      <c r="A480" s="266" t="s">
        <v>1688</v>
      </c>
      <c r="B480" s="48">
        <v>1700.0</v>
      </c>
      <c r="C480" s="266" t="s">
        <v>5379</v>
      </c>
      <c r="D480" s="174" t="s">
        <v>3565</v>
      </c>
      <c r="E480" s="174" t="s">
        <v>6016</v>
      </c>
      <c r="F480" s="507">
        <v>244.0</v>
      </c>
      <c r="G480" s="507">
        <v>244.0</v>
      </c>
      <c r="H480" s="266">
        <v>5.0</v>
      </c>
      <c r="I480" s="266" t="s">
        <v>166</v>
      </c>
      <c r="J480" s="266" t="s">
        <v>166</v>
      </c>
      <c r="K480" s="266">
        <v>1.0</v>
      </c>
      <c r="L480" s="266" t="s">
        <v>166</v>
      </c>
      <c r="M480" s="266">
        <v>1.0</v>
      </c>
      <c r="N480" s="266" t="s">
        <v>166</v>
      </c>
      <c r="O480" s="266" t="s">
        <v>174</v>
      </c>
      <c r="P480" s="266" t="s">
        <v>166</v>
      </c>
      <c r="Q480" s="266" t="s">
        <v>174</v>
      </c>
      <c r="R480" s="266">
        <v>4.0</v>
      </c>
      <c r="S480" s="266" t="s">
        <v>3149</v>
      </c>
      <c r="T480" s="266">
        <v>128.0</v>
      </c>
      <c r="U480" s="266" t="s">
        <v>4975</v>
      </c>
      <c r="V480" s="266">
        <v>4.0</v>
      </c>
      <c r="W480" s="710" t="s">
        <v>5576</v>
      </c>
      <c r="X480" s="266">
        <v>6.0</v>
      </c>
      <c r="Y480" s="266">
        <v>2.0</v>
      </c>
      <c r="Z480" s="266" t="s">
        <v>166</v>
      </c>
      <c r="AA480" s="266" t="s">
        <v>166</v>
      </c>
      <c r="AB480" s="266" t="s">
        <v>166</v>
      </c>
      <c r="AC480" s="266" t="s">
        <v>166</v>
      </c>
      <c r="AD480" s="266" t="s">
        <v>166</v>
      </c>
      <c r="AE480" s="266" t="s">
        <v>166</v>
      </c>
      <c r="AF480" s="266">
        <f t="shared" si="1"/>
        <v>8</v>
      </c>
      <c r="AG480" s="266">
        <v>1.0</v>
      </c>
      <c r="AH480" s="266">
        <v>1.0</v>
      </c>
      <c r="AI480" s="266" t="s">
        <v>5097</v>
      </c>
      <c r="AJ480" s="266">
        <v>1.0</v>
      </c>
      <c r="AK480" s="48" t="s">
        <v>5038</v>
      </c>
      <c r="AL480" s="48">
        <v>2.5</v>
      </c>
      <c r="AM480" s="705">
        <v>1.0</v>
      </c>
      <c r="AN480" s="705" t="s">
        <v>5027</v>
      </c>
      <c r="AO480" s="705" t="s">
        <v>170</v>
      </c>
      <c r="AP480" s="507" t="s">
        <v>170</v>
      </c>
      <c r="AQ480" s="507" t="s">
        <v>170</v>
      </c>
      <c r="AR480" s="48" t="s">
        <v>5039</v>
      </c>
      <c r="AS480" s="266" t="s">
        <v>166</v>
      </c>
      <c r="AT480" s="266">
        <v>3.0</v>
      </c>
      <c r="AU480" s="266" t="s">
        <v>166</v>
      </c>
      <c r="AV480" s="266">
        <v>1.0</v>
      </c>
      <c r="AW480" s="266">
        <v>1.0</v>
      </c>
      <c r="AX480" s="266" t="s">
        <v>166</v>
      </c>
      <c r="AY480" s="266" t="s">
        <v>166</v>
      </c>
      <c r="AZ480" s="266">
        <v>4.0</v>
      </c>
      <c r="BA480" s="266">
        <v>1.0</v>
      </c>
      <c r="BB480" s="266">
        <v>2.0</v>
      </c>
      <c r="BC480" s="266" t="s">
        <v>174</v>
      </c>
      <c r="BD480" s="266" t="s">
        <v>174</v>
      </c>
      <c r="BE480" s="48" t="s">
        <v>5328</v>
      </c>
      <c r="BF480" s="48" t="s">
        <v>5226</v>
      </c>
      <c r="BG480" s="48" t="s">
        <v>4963</v>
      </c>
      <c r="BH480" s="48">
        <v>8.0</v>
      </c>
      <c r="BI480" s="698" t="s">
        <v>5009</v>
      </c>
      <c r="BJ480" s="698"/>
      <c r="BK480" s="394"/>
      <c r="BL480" s="394"/>
      <c r="BM480" s="394"/>
      <c r="BN480" s="394"/>
      <c r="BO480" s="394"/>
      <c r="BP480" s="394"/>
    </row>
    <row r="481">
      <c r="A481" s="266" t="s">
        <v>1688</v>
      </c>
      <c r="B481" s="48">
        <v>1700.0</v>
      </c>
      <c r="C481" s="266" t="s">
        <v>5379</v>
      </c>
      <c r="D481" s="452" t="str">
        <f t="shared" ref="D481:D500" si="59">HYPERLINK("https://www.msi.com/index.php","MSI")</f>
        <v>MSI</v>
      </c>
      <c r="E481" s="174" t="s">
        <v>6003</v>
      </c>
      <c r="F481" s="507">
        <v>244.0</v>
      </c>
      <c r="G481" s="507">
        <v>220.0</v>
      </c>
      <c r="H481" s="266">
        <v>4.0</v>
      </c>
      <c r="I481" s="266" t="s">
        <v>166</v>
      </c>
      <c r="J481" s="266">
        <v>1.0</v>
      </c>
      <c r="K481" s="266" t="s">
        <v>166</v>
      </c>
      <c r="L481" s="266" t="s">
        <v>166</v>
      </c>
      <c r="M481" s="266">
        <v>1.0</v>
      </c>
      <c r="N481" s="266" t="s">
        <v>166</v>
      </c>
      <c r="O481" s="266" t="s">
        <v>174</v>
      </c>
      <c r="P481" s="266" t="s">
        <v>166</v>
      </c>
      <c r="Q481" s="266" t="s">
        <v>166</v>
      </c>
      <c r="R481" s="266">
        <v>2.0</v>
      </c>
      <c r="S481" s="266" t="s">
        <v>3151</v>
      </c>
      <c r="T481" s="266">
        <v>128.0</v>
      </c>
      <c r="U481" s="266" t="s">
        <v>5089</v>
      </c>
      <c r="V481" s="266">
        <v>4.0</v>
      </c>
      <c r="W481" s="711" t="s">
        <v>5305</v>
      </c>
      <c r="X481" s="266">
        <v>2.0</v>
      </c>
      <c r="Y481" s="266">
        <v>4.0</v>
      </c>
      <c r="Z481" s="266" t="s">
        <v>166</v>
      </c>
      <c r="AA481" s="266" t="s">
        <v>166</v>
      </c>
      <c r="AB481" s="266" t="s">
        <v>166</v>
      </c>
      <c r="AC481" s="266" t="s">
        <v>166</v>
      </c>
      <c r="AD481" s="266" t="s">
        <v>166</v>
      </c>
      <c r="AE481" s="266" t="s">
        <v>166</v>
      </c>
      <c r="AF481" s="266">
        <f t="shared" si="1"/>
        <v>6</v>
      </c>
      <c r="AG481" s="266">
        <v>2.0</v>
      </c>
      <c r="AH481" s="266">
        <v>1.0</v>
      </c>
      <c r="AI481" s="266" t="s">
        <v>166</v>
      </c>
      <c r="AJ481" s="266">
        <v>1.0</v>
      </c>
      <c r="AK481" s="48" t="s">
        <v>5038</v>
      </c>
      <c r="AL481" s="48">
        <v>2.5</v>
      </c>
      <c r="AM481" s="705">
        <v>1.0</v>
      </c>
      <c r="AN481" s="48" t="s">
        <v>5044</v>
      </c>
      <c r="AO481" s="705" t="s">
        <v>6017</v>
      </c>
      <c r="AP481" s="507" t="s">
        <v>170</v>
      </c>
      <c r="AQ481" s="507">
        <v>5.3</v>
      </c>
      <c r="AR481" s="48" t="s">
        <v>5039</v>
      </c>
      <c r="AS481" s="266" t="s">
        <v>166</v>
      </c>
      <c r="AT481" s="266">
        <v>3.0</v>
      </c>
      <c r="AU481" s="266">
        <v>1.0</v>
      </c>
      <c r="AV481" s="266" t="s">
        <v>166</v>
      </c>
      <c r="AW481" s="266">
        <v>1.0</v>
      </c>
      <c r="AX481" s="266" t="s">
        <v>166</v>
      </c>
      <c r="AY481" s="266" t="s">
        <v>166</v>
      </c>
      <c r="AZ481" s="266">
        <v>3.0</v>
      </c>
      <c r="BA481" s="266">
        <v>1.0</v>
      </c>
      <c r="BB481" s="266">
        <v>2.0</v>
      </c>
      <c r="BC481" s="266" t="s">
        <v>174</v>
      </c>
      <c r="BD481" s="266" t="s">
        <v>166</v>
      </c>
      <c r="BE481" s="48" t="s">
        <v>170</v>
      </c>
      <c r="BF481" s="48" t="s">
        <v>170</v>
      </c>
      <c r="BG481" s="48" t="s">
        <v>170</v>
      </c>
      <c r="BH481" s="48" t="s">
        <v>170</v>
      </c>
      <c r="BI481" s="698" t="s">
        <v>170</v>
      </c>
      <c r="BJ481" s="698"/>
      <c r="BK481" s="394"/>
      <c r="BL481" s="394"/>
      <c r="BM481" s="394"/>
      <c r="BN481" s="394"/>
      <c r="BO481" s="394"/>
      <c r="BP481" s="394"/>
    </row>
    <row r="482">
      <c r="A482" s="266" t="s">
        <v>1688</v>
      </c>
      <c r="B482" s="48">
        <v>1700.0</v>
      </c>
      <c r="C482" s="266" t="s">
        <v>5379</v>
      </c>
      <c r="D482" s="452" t="str">
        <f t="shared" si="59"/>
        <v>MSI</v>
      </c>
      <c r="E482" s="174" t="s">
        <v>6018</v>
      </c>
      <c r="F482" s="507">
        <v>244.0</v>
      </c>
      <c r="G482" s="507">
        <v>244.0</v>
      </c>
      <c r="H482" s="266">
        <v>5.0</v>
      </c>
      <c r="I482" s="266" t="s">
        <v>166</v>
      </c>
      <c r="J482" s="266">
        <v>1.0</v>
      </c>
      <c r="K482" s="266" t="s">
        <v>166</v>
      </c>
      <c r="L482" s="266" t="s">
        <v>166</v>
      </c>
      <c r="M482" s="266">
        <v>2.0</v>
      </c>
      <c r="N482" s="266" t="s">
        <v>166</v>
      </c>
      <c r="O482" s="266" t="s">
        <v>174</v>
      </c>
      <c r="P482" s="266" t="s">
        <v>166</v>
      </c>
      <c r="Q482" s="266" t="s">
        <v>166</v>
      </c>
      <c r="R482" s="266">
        <v>4.0</v>
      </c>
      <c r="S482" s="266" t="s">
        <v>3151</v>
      </c>
      <c r="T482" s="266">
        <v>256.0</v>
      </c>
      <c r="U482" s="266" t="s">
        <v>5411</v>
      </c>
      <c r="V482" s="266">
        <v>4.0</v>
      </c>
      <c r="W482" s="710" t="s">
        <v>5126</v>
      </c>
      <c r="X482" s="266">
        <v>4.0</v>
      </c>
      <c r="Y482" s="266" t="s">
        <v>166</v>
      </c>
      <c r="Z482" s="266" t="s">
        <v>166</v>
      </c>
      <c r="AA482" s="266">
        <v>3.0</v>
      </c>
      <c r="AB482" s="266" t="s">
        <v>166</v>
      </c>
      <c r="AC482" s="266">
        <v>1.0</v>
      </c>
      <c r="AD482" s="266" t="s">
        <v>166</v>
      </c>
      <c r="AE482" s="266" t="s">
        <v>166</v>
      </c>
      <c r="AF482" s="266">
        <f t="shared" si="1"/>
        <v>8</v>
      </c>
      <c r="AG482" s="266">
        <v>2.0</v>
      </c>
      <c r="AH482" s="266">
        <v>1.0</v>
      </c>
      <c r="AI482" s="266" t="s">
        <v>5025</v>
      </c>
      <c r="AJ482" s="266">
        <v>1.0</v>
      </c>
      <c r="AK482" s="48" t="s">
        <v>5038</v>
      </c>
      <c r="AL482" s="48">
        <v>2.5</v>
      </c>
      <c r="AM482" s="705" t="s">
        <v>166</v>
      </c>
      <c r="AN482" s="705" t="s">
        <v>166</v>
      </c>
      <c r="AO482" s="705" t="s">
        <v>166</v>
      </c>
      <c r="AP482" s="507" t="s">
        <v>166</v>
      </c>
      <c r="AQ482" s="507" t="s">
        <v>166</v>
      </c>
      <c r="AR482" s="48" t="s">
        <v>5039</v>
      </c>
      <c r="AS482" s="266" t="s">
        <v>174</v>
      </c>
      <c r="AT482" s="266">
        <v>5.0</v>
      </c>
      <c r="AU482" s="266" t="s">
        <v>166</v>
      </c>
      <c r="AV482" s="266">
        <v>1.0</v>
      </c>
      <c r="AW482" s="266">
        <v>1.0</v>
      </c>
      <c r="AX482" s="266" t="s">
        <v>166</v>
      </c>
      <c r="AY482" s="266" t="s">
        <v>166</v>
      </c>
      <c r="AZ482" s="266">
        <v>6.0</v>
      </c>
      <c r="BA482" s="266">
        <v>1.0</v>
      </c>
      <c r="BB482" s="266">
        <v>2.0</v>
      </c>
      <c r="BC482" s="266" t="s">
        <v>174</v>
      </c>
      <c r="BD482" s="266" t="s">
        <v>174</v>
      </c>
      <c r="BE482" s="48" t="s">
        <v>170</v>
      </c>
      <c r="BF482" s="48" t="s">
        <v>5800</v>
      </c>
      <c r="BG482" s="48" t="s">
        <v>4955</v>
      </c>
      <c r="BH482" s="48">
        <v>12.0</v>
      </c>
      <c r="BI482" s="698" t="s">
        <v>6019</v>
      </c>
      <c r="BJ482" s="698"/>
      <c r="BK482" s="394"/>
      <c r="BL482" s="394"/>
      <c r="BM482" s="394"/>
      <c r="BN482" s="394"/>
      <c r="BO482" s="394"/>
      <c r="BP482" s="394"/>
    </row>
    <row r="483">
      <c r="A483" s="266" t="s">
        <v>1688</v>
      </c>
      <c r="B483" s="48">
        <v>1700.0</v>
      </c>
      <c r="C483" s="266" t="s">
        <v>5379</v>
      </c>
      <c r="D483" s="452" t="str">
        <f t="shared" si="59"/>
        <v>MSI</v>
      </c>
      <c r="E483" s="174" t="s">
        <v>6020</v>
      </c>
      <c r="F483" s="507">
        <v>244.0</v>
      </c>
      <c r="G483" s="507">
        <v>244.0</v>
      </c>
      <c r="H483" s="266">
        <v>5.0</v>
      </c>
      <c r="I483" s="266" t="s">
        <v>166</v>
      </c>
      <c r="J483" s="266" t="s">
        <v>166</v>
      </c>
      <c r="K483" s="266">
        <v>1.0</v>
      </c>
      <c r="L483" s="266" t="s">
        <v>166</v>
      </c>
      <c r="M483" s="266">
        <v>1.0</v>
      </c>
      <c r="N483" s="266" t="s">
        <v>166</v>
      </c>
      <c r="O483" s="266" t="s">
        <v>174</v>
      </c>
      <c r="P483" s="266" t="s">
        <v>166</v>
      </c>
      <c r="Q483" s="266" t="s">
        <v>166</v>
      </c>
      <c r="R483" s="266">
        <v>4.0</v>
      </c>
      <c r="S483" s="266" t="s">
        <v>3151</v>
      </c>
      <c r="T483" s="266">
        <v>256.0</v>
      </c>
      <c r="U483" s="266" t="s">
        <v>5952</v>
      </c>
      <c r="V483" s="266">
        <v>4.0</v>
      </c>
      <c r="W483" s="711" t="s">
        <v>5793</v>
      </c>
      <c r="X483" s="266">
        <v>4.0</v>
      </c>
      <c r="Y483" s="266" t="s">
        <v>166</v>
      </c>
      <c r="Z483" s="266" t="s">
        <v>166</v>
      </c>
      <c r="AA483" s="266">
        <v>3.0</v>
      </c>
      <c r="AB483" s="266" t="s">
        <v>166</v>
      </c>
      <c r="AC483" s="266">
        <v>1.0</v>
      </c>
      <c r="AD483" s="266" t="s">
        <v>166</v>
      </c>
      <c r="AE483" s="266" t="s">
        <v>166</v>
      </c>
      <c r="AF483" s="266">
        <f t="shared" si="1"/>
        <v>8</v>
      </c>
      <c r="AG483" s="266">
        <v>2.0</v>
      </c>
      <c r="AH483" s="266">
        <v>1.0</v>
      </c>
      <c r="AI483" s="266" t="s">
        <v>5025</v>
      </c>
      <c r="AJ483" s="266">
        <v>1.0</v>
      </c>
      <c r="AK483" s="48" t="s">
        <v>5038</v>
      </c>
      <c r="AL483" s="48">
        <v>2.5</v>
      </c>
      <c r="AM483" s="705" t="s">
        <v>166</v>
      </c>
      <c r="AN483" s="705" t="s">
        <v>166</v>
      </c>
      <c r="AO483" s="705" t="s">
        <v>166</v>
      </c>
      <c r="AP483" s="507" t="s">
        <v>166</v>
      </c>
      <c r="AQ483" s="507" t="s">
        <v>166</v>
      </c>
      <c r="AR483" s="48" t="s">
        <v>5039</v>
      </c>
      <c r="AS483" s="266" t="s">
        <v>174</v>
      </c>
      <c r="AT483" s="266">
        <v>5.0</v>
      </c>
      <c r="AU483" s="266" t="s">
        <v>166</v>
      </c>
      <c r="AV483" s="266">
        <v>1.0</v>
      </c>
      <c r="AW483" s="266">
        <v>1.0</v>
      </c>
      <c r="AX483" s="266" t="s">
        <v>166</v>
      </c>
      <c r="AY483" s="266" t="s">
        <v>166</v>
      </c>
      <c r="AZ483" s="266">
        <v>6.0</v>
      </c>
      <c r="BA483" s="266">
        <v>1.0</v>
      </c>
      <c r="BB483" s="266">
        <v>2.0</v>
      </c>
      <c r="BC483" s="266" t="s">
        <v>174</v>
      </c>
      <c r="BD483" s="266" t="s">
        <v>174</v>
      </c>
      <c r="BE483" s="48" t="s">
        <v>170</v>
      </c>
      <c r="BF483" s="48" t="s">
        <v>5800</v>
      </c>
      <c r="BG483" s="48" t="s">
        <v>4955</v>
      </c>
      <c r="BH483" s="48">
        <v>12.0</v>
      </c>
      <c r="BI483" s="698" t="s">
        <v>6019</v>
      </c>
      <c r="BJ483" s="698"/>
      <c r="BK483" s="394"/>
      <c r="BL483" s="394"/>
      <c r="BM483" s="394"/>
      <c r="BN483" s="394"/>
      <c r="BO483" s="394"/>
      <c r="BP483" s="394"/>
    </row>
    <row r="484">
      <c r="A484" s="266" t="s">
        <v>1688</v>
      </c>
      <c r="B484" s="48">
        <v>1700.0</v>
      </c>
      <c r="C484" s="266" t="s">
        <v>5379</v>
      </c>
      <c r="D484" s="452" t="str">
        <f t="shared" si="59"/>
        <v>MSI</v>
      </c>
      <c r="E484" s="174" t="s">
        <v>6021</v>
      </c>
      <c r="F484" s="507">
        <v>244.0</v>
      </c>
      <c r="G484" s="507">
        <v>244.0</v>
      </c>
      <c r="H484" s="266">
        <v>5.0</v>
      </c>
      <c r="I484" s="266" t="s">
        <v>166</v>
      </c>
      <c r="J484" s="266">
        <v>1.0</v>
      </c>
      <c r="K484" s="266" t="s">
        <v>166</v>
      </c>
      <c r="L484" s="266" t="s">
        <v>166</v>
      </c>
      <c r="M484" s="266">
        <v>2.0</v>
      </c>
      <c r="N484" s="266" t="s">
        <v>166</v>
      </c>
      <c r="O484" s="266" t="s">
        <v>174</v>
      </c>
      <c r="P484" s="266" t="s">
        <v>166</v>
      </c>
      <c r="Q484" s="266" t="s">
        <v>166</v>
      </c>
      <c r="R484" s="266">
        <v>4.0</v>
      </c>
      <c r="S484" s="266" t="s">
        <v>3149</v>
      </c>
      <c r="T484" s="266">
        <v>128.0</v>
      </c>
      <c r="U484" s="266" t="s">
        <v>5286</v>
      </c>
      <c r="V484" s="266">
        <v>4.0</v>
      </c>
      <c r="W484" s="710" t="s">
        <v>5126</v>
      </c>
      <c r="X484" s="266">
        <v>4.0</v>
      </c>
      <c r="Y484" s="266" t="s">
        <v>166</v>
      </c>
      <c r="Z484" s="266" t="s">
        <v>166</v>
      </c>
      <c r="AA484" s="266">
        <v>3.0</v>
      </c>
      <c r="AB484" s="266" t="s">
        <v>166</v>
      </c>
      <c r="AC484" s="266">
        <v>1.0</v>
      </c>
      <c r="AD484" s="266" t="s">
        <v>166</v>
      </c>
      <c r="AE484" s="266" t="s">
        <v>166</v>
      </c>
      <c r="AF484" s="266">
        <f t="shared" si="1"/>
        <v>8</v>
      </c>
      <c r="AG484" s="266">
        <v>2.0</v>
      </c>
      <c r="AH484" s="266">
        <v>1.0</v>
      </c>
      <c r="AI484" s="266" t="s">
        <v>5025</v>
      </c>
      <c r="AJ484" s="266">
        <v>1.0</v>
      </c>
      <c r="AK484" s="48" t="s">
        <v>5038</v>
      </c>
      <c r="AL484" s="48">
        <v>2.5</v>
      </c>
      <c r="AM484" s="705" t="s">
        <v>166</v>
      </c>
      <c r="AN484" s="705" t="s">
        <v>166</v>
      </c>
      <c r="AO484" s="705" t="s">
        <v>166</v>
      </c>
      <c r="AP484" s="507" t="s">
        <v>166</v>
      </c>
      <c r="AQ484" s="507" t="s">
        <v>166</v>
      </c>
      <c r="AR484" s="48" t="s">
        <v>5039</v>
      </c>
      <c r="AS484" s="266" t="s">
        <v>174</v>
      </c>
      <c r="AT484" s="266">
        <v>5.0</v>
      </c>
      <c r="AU484" s="266" t="s">
        <v>166</v>
      </c>
      <c r="AV484" s="266">
        <v>1.0</v>
      </c>
      <c r="AW484" s="266">
        <v>1.0</v>
      </c>
      <c r="AX484" s="266" t="s">
        <v>166</v>
      </c>
      <c r="AY484" s="266" t="s">
        <v>166</v>
      </c>
      <c r="AZ484" s="266">
        <v>6.0</v>
      </c>
      <c r="BA484" s="266">
        <v>1.0</v>
      </c>
      <c r="BB484" s="266">
        <v>2.0</v>
      </c>
      <c r="BC484" s="266" t="s">
        <v>174</v>
      </c>
      <c r="BD484" s="266" t="s">
        <v>174</v>
      </c>
      <c r="BE484" s="48" t="s">
        <v>170</v>
      </c>
      <c r="BF484" s="48" t="s">
        <v>5800</v>
      </c>
      <c r="BG484" s="48" t="s">
        <v>4955</v>
      </c>
      <c r="BH484" s="48">
        <v>12.0</v>
      </c>
      <c r="BI484" s="698" t="s">
        <v>6019</v>
      </c>
      <c r="BJ484" s="698"/>
      <c r="BK484" s="394"/>
      <c r="BL484" s="394"/>
      <c r="BM484" s="394"/>
      <c r="BN484" s="394"/>
      <c r="BO484" s="394"/>
      <c r="BP484" s="394"/>
    </row>
    <row r="485">
      <c r="A485" s="266" t="s">
        <v>1688</v>
      </c>
      <c r="B485" s="48">
        <v>1700.0</v>
      </c>
      <c r="C485" s="266" t="s">
        <v>5379</v>
      </c>
      <c r="D485" s="452" t="str">
        <f t="shared" si="59"/>
        <v>MSI</v>
      </c>
      <c r="E485" s="174" t="s">
        <v>6022</v>
      </c>
      <c r="F485" s="507">
        <v>244.0</v>
      </c>
      <c r="G485" s="507">
        <v>244.0</v>
      </c>
      <c r="H485" s="266">
        <v>5.0</v>
      </c>
      <c r="I485" s="266" t="s">
        <v>166</v>
      </c>
      <c r="J485" s="266">
        <v>1.0</v>
      </c>
      <c r="K485" s="266" t="s">
        <v>166</v>
      </c>
      <c r="L485" s="266" t="s">
        <v>166</v>
      </c>
      <c r="M485" s="266">
        <v>2.0</v>
      </c>
      <c r="N485" s="266" t="s">
        <v>166</v>
      </c>
      <c r="O485" s="266" t="s">
        <v>174</v>
      </c>
      <c r="P485" s="266" t="s">
        <v>166</v>
      </c>
      <c r="Q485" s="266" t="s">
        <v>166</v>
      </c>
      <c r="R485" s="266">
        <v>4.0</v>
      </c>
      <c r="S485" s="266" t="s">
        <v>3151</v>
      </c>
      <c r="T485" s="266">
        <v>256.0</v>
      </c>
      <c r="U485" s="266" t="s">
        <v>5411</v>
      </c>
      <c r="V485" s="266">
        <v>6.0</v>
      </c>
      <c r="W485" s="710" t="s">
        <v>5126</v>
      </c>
      <c r="X485" s="266">
        <v>4.0</v>
      </c>
      <c r="Y485" s="266" t="s">
        <v>166</v>
      </c>
      <c r="Z485" s="266" t="s">
        <v>166</v>
      </c>
      <c r="AA485" s="266">
        <v>3.0</v>
      </c>
      <c r="AB485" s="266" t="s">
        <v>166</v>
      </c>
      <c r="AC485" s="266">
        <v>1.0</v>
      </c>
      <c r="AD485" s="266" t="s">
        <v>166</v>
      </c>
      <c r="AE485" s="266" t="s">
        <v>166</v>
      </c>
      <c r="AF485" s="266">
        <f t="shared" si="1"/>
        <v>8</v>
      </c>
      <c r="AG485" s="266">
        <v>2.0</v>
      </c>
      <c r="AH485" s="266">
        <v>1.0</v>
      </c>
      <c r="AI485" s="266" t="s">
        <v>5025</v>
      </c>
      <c r="AJ485" s="266">
        <v>1.0</v>
      </c>
      <c r="AK485" s="48" t="s">
        <v>5038</v>
      </c>
      <c r="AL485" s="48">
        <v>2.5</v>
      </c>
      <c r="AM485" s="705">
        <v>1.0</v>
      </c>
      <c r="AN485" s="48" t="s">
        <v>5044</v>
      </c>
      <c r="AO485" s="705" t="s">
        <v>5932</v>
      </c>
      <c r="AP485" s="266">
        <v>2400.0</v>
      </c>
      <c r="AQ485" s="507">
        <v>5.3</v>
      </c>
      <c r="AR485" s="48" t="s">
        <v>5039</v>
      </c>
      <c r="AS485" s="266" t="s">
        <v>174</v>
      </c>
      <c r="AT485" s="266">
        <v>5.0</v>
      </c>
      <c r="AU485" s="266" t="s">
        <v>166</v>
      </c>
      <c r="AV485" s="266">
        <v>1.0</v>
      </c>
      <c r="AW485" s="266">
        <v>1.0</v>
      </c>
      <c r="AX485" s="266" t="s">
        <v>166</v>
      </c>
      <c r="AY485" s="266" t="s">
        <v>166</v>
      </c>
      <c r="AZ485" s="266">
        <v>6.0</v>
      </c>
      <c r="BA485" s="266">
        <v>1.0</v>
      </c>
      <c r="BB485" s="266">
        <v>2.0</v>
      </c>
      <c r="BC485" s="266" t="s">
        <v>174</v>
      </c>
      <c r="BD485" s="266" t="s">
        <v>174</v>
      </c>
      <c r="BE485" s="48" t="s">
        <v>170</v>
      </c>
      <c r="BF485" s="48" t="s">
        <v>5800</v>
      </c>
      <c r="BG485" s="48" t="s">
        <v>4955</v>
      </c>
      <c r="BH485" s="48">
        <v>12.0</v>
      </c>
      <c r="BI485" s="698" t="s">
        <v>6019</v>
      </c>
      <c r="BJ485" s="698"/>
      <c r="BK485" s="394"/>
      <c r="BL485" s="394"/>
      <c r="BM485" s="394"/>
      <c r="BN485" s="394"/>
      <c r="BO485" s="394"/>
      <c r="BP485" s="394"/>
    </row>
    <row r="486">
      <c r="A486" s="266" t="s">
        <v>1688</v>
      </c>
      <c r="B486" s="48">
        <v>1700.0</v>
      </c>
      <c r="C486" s="266" t="s">
        <v>5379</v>
      </c>
      <c r="D486" s="452" t="str">
        <f t="shared" si="59"/>
        <v>MSI</v>
      </c>
      <c r="E486" s="174" t="s">
        <v>6023</v>
      </c>
      <c r="F486" s="507">
        <v>244.0</v>
      </c>
      <c r="G486" s="507">
        <v>244.0</v>
      </c>
      <c r="H486" s="266">
        <v>5.0</v>
      </c>
      <c r="I486" s="266" t="s">
        <v>166</v>
      </c>
      <c r="J486" s="266">
        <v>1.0</v>
      </c>
      <c r="K486" s="266" t="s">
        <v>166</v>
      </c>
      <c r="L486" s="266" t="s">
        <v>166</v>
      </c>
      <c r="M486" s="266">
        <v>2.0</v>
      </c>
      <c r="N486" s="266" t="s">
        <v>166</v>
      </c>
      <c r="O486" s="266" t="s">
        <v>174</v>
      </c>
      <c r="P486" s="266" t="s">
        <v>166</v>
      </c>
      <c r="Q486" s="266" t="s">
        <v>166</v>
      </c>
      <c r="R486" s="266">
        <v>4.0</v>
      </c>
      <c r="S486" s="266" t="s">
        <v>3149</v>
      </c>
      <c r="T486" s="266">
        <v>128.0</v>
      </c>
      <c r="U486" s="266" t="s">
        <v>5286</v>
      </c>
      <c r="V486" s="266">
        <v>6.0</v>
      </c>
      <c r="W486" s="710" t="s">
        <v>5126</v>
      </c>
      <c r="X486" s="266">
        <v>4.0</v>
      </c>
      <c r="Y486" s="266" t="s">
        <v>166</v>
      </c>
      <c r="Z486" s="266" t="s">
        <v>166</v>
      </c>
      <c r="AA486" s="266">
        <v>3.0</v>
      </c>
      <c r="AB486" s="266" t="s">
        <v>166</v>
      </c>
      <c r="AC486" s="266">
        <v>1.0</v>
      </c>
      <c r="AD486" s="266" t="s">
        <v>166</v>
      </c>
      <c r="AE486" s="266" t="s">
        <v>166</v>
      </c>
      <c r="AF486" s="266">
        <f t="shared" si="1"/>
        <v>8</v>
      </c>
      <c r="AG486" s="266">
        <v>2.0</v>
      </c>
      <c r="AH486" s="266">
        <v>1.0</v>
      </c>
      <c r="AI486" s="266" t="s">
        <v>5025</v>
      </c>
      <c r="AJ486" s="266">
        <v>1.0</v>
      </c>
      <c r="AK486" s="48" t="s">
        <v>5038</v>
      </c>
      <c r="AL486" s="48">
        <v>2.5</v>
      </c>
      <c r="AM486" s="705">
        <v>1.0</v>
      </c>
      <c r="AN486" s="48" t="s">
        <v>5044</v>
      </c>
      <c r="AO486" s="705" t="s">
        <v>5932</v>
      </c>
      <c r="AP486" s="266">
        <v>2400.0</v>
      </c>
      <c r="AQ486" s="507">
        <v>5.3</v>
      </c>
      <c r="AR486" s="48" t="s">
        <v>5039</v>
      </c>
      <c r="AS486" s="266" t="s">
        <v>174</v>
      </c>
      <c r="AT486" s="266">
        <v>5.0</v>
      </c>
      <c r="AU486" s="266" t="s">
        <v>166</v>
      </c>
      <c r="AV486" s="266">
        <v>1.0</v>
      </c>
      <c r="AW486" s="266">
        <v>1.0</v>
      </c>
      <c r="AX486" s="266" t="s">
        <v>166</v>
      </c>
      <c r="AY486" s="266" t="s">
        <v>166</v>
      </c>
      <c r="AZ486" s="266">
        <v>6.0</v>
      </c>
      <c r="BA486" s="266">
        <v>1.0</v>
      </c>
      <c r="BB486" s="266">
        <v>2.0</v>
      </c>
      <c r="BC486" s="266" t="s">
        <v>174</v>
      </c>
      <c r="BD486" s="266" t="s">
        <v>174</v>
      </c>
      <c r="BE486" s="48" t="s">
        <v>170</v>
      </c>
      <c r="BF486" s="48" t="s">
        <v>5800</v>
      </c>
      <c r="BG486" s="48" t="s">
        <v>4955</v>
      </c>
      <c r="BH486" s="48">
        <v>12.0</v>
      </c>
      <c r="BI486" s="698" t="s">
        <v>6019</v>
      </c>
      <c r="BJ486" s="698"/>
      <c r="BK486" s="394"/>
      <c r="BL486" s="394"/>
      <c r="BM486" s="394"/>
      <c r="BN486" s="394"/>
      <c r="BO486" s="394"/>
      <c r="BP486" s="394"/>
    </row>
    <row r="487">
      <c r="A487" s="266" t="s">
        <v>1688</v>
      </c>
      <c r="B487" s="48">
        <v>1700.0</v>
      </c>
      <c r="C487" s="266" t="s">
        <v>5379</v>
      </c>
      <c r="D487" s="452" t="str">
        <f t="shared" si="59"/>
        <v>MSI</v>
      </c>
      <c r="E487" s="174" t="s">
        <v>6024</v>
      </c>
      <c r="F487" s="507">
        <v>244.0</v>
      </c>
      <c r="G487" s="507">
        <v>244.0</v>
      </c>
      <c r="H487" s="266">
        <v>5.0</v>
      </c>
      <c r="I487" s="266" t="s">
        <v>166</v>
      </c>
      <c r="J487" s="266">
        <v>1.0</v>
      </c>
      <c r="K487" s="266" t="s">
        <v>166</v>
      </c>
      <c r="L487" s="266" t="s">
        <v>166</v>
      </c>
      <c r="M487" s="266">
        <v>2.0</v>
      </c>
      <c r="N487" s="266" t="s">
        <v>166</v>
      </c>
      <c r="O487" s="266" t="s">
        <v>174</v>
      </c>
      <c r="P487" s="266" t="s">
        <v>166</v>
      </c>
      <c r="Q487" s="266" t="s">
        <v>166</v>
      </c>
      <c r="R487" s="266">
        <v>4.0</v>
      </c>
      <c r="S487" s="266" t="s">
        <v>3151</v>
      </c>
      <c r="T487" s="266">
        <v>256.0</v>
      </c>
      <c r="U487" s="266" t="s">
        <v>5411</v>
      </c>
      <c r="V487" s="266">
        <v>4.0</v>
      </c>
      <c r="W487" s="710" t="s">
        <v>5126</v>
      </c>
      <c r="X487" s="266">
        <v>4.0</v>
      </c>
      <c r="Y487" s="266" t="s">
        <v>166</v>
      </c>
      <c r="Z487" s="266" t="s">
        <v>166</v>
      </c>
      <c r="AA487" s="266">
        <v>3.0</v>
      </c>
      <c r="AB487" s="266" t="s">
        <v>166</v>
      </c>
      <c r="AC487" s="266">
        <v>1.0</v>
      </c>
      <c r="AD487" s="266" t="s">
        <v>166</v>
      </c>
      <c r="AE487" s="266" t="s">
        <v>166</v>
      </c>
      <c r="AF487" s="266">
        <f t="shared" si="1"/>
        <v>8</v>
      </c>
      <c r="AG487" s="266">
        <v>2.0</v>
      </c>
      <c r="AH487" s="266">
        <v>1.0</v>
      </c>
      <c r="AI487" s="266" t="s">
        <v>5025</v>
      </c>
      <c r="AJ487" s="266">
        <v>1.0</v>
      </c>
      <c r="AK487" s="48" t="s">
        <v>5038</v>
      </c>
      <c r="AL487" s="48">
        <v>2.5</v>
      </c>
      <c r="AM487" s="705">
        <v>1.0</v>
      </c>
      <c r="AN487" s="48" t="s">
        <v>5044</v>
      </c>
      <c r="AO487" s="705" t="s">
        <v>5932</v>
      </c>
      <c r="AP487" s="266">
        <v>2400.0</v>
      </c>
      <c r="AQ487" s="507">
        <v>5.3</v>
      </c>
      <c r="AR487" s="48" t="s">
        <v>5039</v>
      </c>
      <c r="AS487" s="266" t="s">
        <v>174</v>
      </c>
      <c r="AT487" s="266">
        <v>5.0</v>
      </c>
      <c r="AU487" s="266" t="s">
        <v>166</v>
      </c>
      <c r="AV487" s="266">
        <v>1.0</v>
      </c>
      <c r="AW487" s="266">
        <v>1.0</v>
      </c>
      <c r="AX487" s="266" t="s">
        <v>166</v>
      </c>
      <c r="AY487" s="266" t="s">
        <v>166</v>
      </c>
      <c r="AZ487" s="266">
        <v>6.0</v>
      </c>
      <c r="BA487" s="266">
        <v>1.0</v>
      </c>
      <c r="BB487" s="266">
        <v>2.0</v>
      </c>
      <c r="BC487" s="266" t="s">
        <v>174</v>
      </c>
      <c r="BD487" s="266" t="s">
        <v>174</v>
      </c>
      <c r="BE487" s="48" t="s">
        <v>170</v>
      </c>
      <c r="BF487" s="48" t="s">
        <v>5800</v>
      </c>
      <c r="BG487" s="48" t="s">
        <v>4955</v>
      </c>
      <c r="BH487" s="48">
        <v>12.0</v>
      </c>
      <c r="BI487" s="698" t="s">
        <v>6019</v>
      </c>
      <c r="BJ487" s="698"/>
      <c r="BK487" s="394"/>
      <c r="BL487" s="394"/>
      <c r="BM487" s="394"/>
      <c r="BN487" s="394"/>
      <c r="BO487" s="394"/>
      <c r="BP487" s="394"/>
    </row>
    <row r="488">
      <c r="A488" s="266" t="s">
        <v>1688</v>
      </c>
      <c r="B488" s="48">
        <v>1700.0</v>
      </c>
      <c r="C488" s="266" t="s">
        <v>5379</v>
      </c>
      <c r="D488" s="452" t="str">
        <f t="shared" si="59"/>
        <v>MSI</v>
      </c>
      <c r="E488" s="174" t="s">
        <v>6025</v>
      </c>
      <c r="F488" s="507">
        <v>244.0</v>
      </c>
      <c r="G488" s="507">
        <v>244.0</v>
      </c>
      <c r="H488" s="266">
        <v>5.0</v>
      </c>
      <c r="I488" s="266" t="s">
        <v>166</v>
      </c>
      <c r="J488" s="266" t="s">
        <v>166</v>
      </c>
      <c r="K488" s="266">
        <v>1.0</v>
      </c>
      <c r="L488" s="266" t="s">
        <v>166</v>
      </c>
      <c r="M488" s="266">
        <v>1.0</v>
      </c>
      <c r="N488" s="266" t="s">
        <v>166</v>
      </c>
      <c r="O488" s="266" t="s">
        <v>174</v>
      </c>
      <c r="P488" s="266" t="s">
        <v>166</v>
      </c>
      <c r="Q488" s="266" t="s">
        <v>166</v>
      </c>
      <c r="R488" s="266">
        <v>4.0</v>
      </c>
      <c r="S488" s="266" t="s">
        <v>3151</v>
      </c>
      <c r="T488" s="266">
        <v>256.0</v>
      </c>
      <c r="U488" s="266" t="s">
        <v>5952</v>
      </c>
      <c r="V488" s="266">
        <v>4.0</v>
      </c>
      <c r="W488" s="711" t="s">
        <v>5793</v>
      </c>
      <c r="X488" s="266">
        <v>4.0</v>
      </c>
      <c r="Y488" s="266" t="s">
        <v>166</v>
      </c>
      <c r="Z488" s="266" t="s">
        <v>166</v>
      </c>
      <c r="AA488" s="266">
        <v>3.0</v>
      </c>
      <c r="AB488" s="266" t="s">
        <v>166</v>
      </c>
      <c r="AC488" s="266">
        <v>1.0</v>
      </c>
      <c r="AD488" s="266" t="s">
        <v>166</v>
      </c>
      <c r="AE488" s="266" t="s">
        <v>166</v>
      </c>
      <c r="AF488" s="266">
        <f t="shared" si="1"/>
        <v>8</v>
      </c>
      <c r="AG488" s="266">
        <v>2.0</v>
      </c>
      <c r="AH488" s="266">
        <v>1.0</v>
      </c>
      <c r="AI488" s="266" t="s">
        <v>5025</v>
      </c>
      <c r="AJ488" s="266">
        <v>1.0</v>
      </c>
      <c r="AK488" s="48" t="s">
        <v>5038</v>
      </c>
      <c r="AL488" s="48">
        <v>2.5</v>
      </c>
      <c r="AM488" s="705">
        <v>1.0</v>
      </c>
      <c r="AN488" s="48" t="s">
        <v>5044</v>
      </c>
      <c r="AO488" s="705" t="s">
        <v>5932</v>
      </c>
      <c r="AP488" s="266">
        <v>2400.0</v>
      </c>
      <c r="AQ488" s="507">
        <v>5.3</v>
      </c>
      <c r="AR488" s="48" t="s">
        <v>5039</v>
      </c>
      <c r="AS488" s="266" t="s">
        <v>174</v>
      </c>
      <c r="AT488" s="266">
        <v>5.0</v>
      </c>
      <c r="AU488" s="266" t="s">
        <v>166</v>
      </c>
      <c r="AV488" s="266">
        <v>1.0</v>
      </c>
      <c r="AW488" s="266">
        <v>1.0</v>
      </c>
      <c r="AX488" s="266" t="s">
        <v>166</v>
      </c>
      <c r="AY488" s="266" t="s">
        <v>166</v>
      </c>
      <c r="AZ488" s="266">
        <v>6.0</v>
      </c>
      <c r="BA488" s="266">
        <v>1.0</v>
      </c>
      <c r="BB488" s="266">
        <v>2.0</v>
      </c>
      <c r="BC488" s="266" t="s">
        <v>174</v>
      </c>
      <c r="BD488" s="266" t="s">
        <v>174</v>
      </c>
      <c r="BE488" s="48" t="s">
        <v>170</v>
      </c>
      <c r="BF488" s="48" t="s">
        <v>5800</v>
      </c>
      <c r="BG488" s="48" t="s">
        <v>4955</v>
      </c>
      <c r="BH488" s="48">
        <v>12.0</v>
      </c>
      <c r="BI488" s="698" t="s">
        <v>6019</v>
      </c>
      <c r="BJ488" s="698"/>
      <c r="BK488" s="394"/>
      <c r="BL488" s="394"/>
      <c r="BM488" s="394"/>
      <c r="BN488" s="394"/>
      <c r="BO488" s="394"/>
      <c r="BP488" s="394"/>
    </row>
    <row r="489">
      <c r="A489" s="266" t="s">
        <v>1688</v>
      </c>
      <c r="B489" s="48">
        <v>1700.0</v>
      </c>
      <c r="C489" s="266" t="s">
        <v>5379</v>
      </c>
      <c r="D489" s="452" t="str">
        <f t="shared" si="59"/>
        <v>MSI</v>
      </c>
      <c r="E489" s="174" t="s">
        <v>6026</v>
      </c>
      <c r="F489" s="507">
        <v>244.0</v>
      </c>
      <c r="G489" s="507">
        <v>244.0</v>
      </c>
      <c r="H489" s="266">
        <v>5.0</v>
      </c>
      <c r="I489" s="266" t="s">
        <v>166</v>
      </c>
      <c r="J489" s="266">
        <v>1.0</v>
      </c>
      <c r="K489" s="266" t="s">
        <v>166</v>
      </c>
      <c r="L489" s="266" t="s">
        <v>166</v>
      </c>
      <c r="M489" s="266">
        <v>2.0</v>
      </c>
      <c r="N489" s="266" t="s">
        <v>166</v>
      </c>
      <c r="O489" s="266" t="s">
        <v>174</v>
      </c>
      <c r="P489" s="266" t="s">
        <v>166</v>
      </c>
      <c r="Q489" s="266" t="s">
        <v>166</v>
      </c>
      <c r="R489" s="266">
        <v>4.0</v>
      </c>
      <c r="S489" s="266" t="s">
        <v>3149</v>
      </c>
      <c r="T489" s="266">
        <v>128.0</v>
      </c>
      <c r="U489" s="266" t="s">
        <v>5286</v>
      </c>
      <c r="V489" s="266">
        <v>4.0</v>
      </c>
      <c r="W489" s="710" t="s">
        <v>5126</v>
      </c>
      <c r="X489" s="266">
        <v>4.0</v>
      </c>
      <c r="Y489" s="266" t="s">
        <v>166</v>
      </c>
      <c r="Z489" s="266" t="s">
        <v>166</v>
      </c>
      <c r="AA489" s="266">
        <v>3.0</v>
      </c>
      <c r="AB489" s="266" t="s">
        <v>166</v>
      </c>
      <c r="AC489" s="266">
        <v>1.0</v>
      </c>
      <c r="AD489" s="266" t="s">
        <v>166</v>
      </c>
      <c r="AE489" s="266" t="s">
        <v>166</v>
      </c>
      <c r="AF489" s="266">
        <f t="shared" si="1"/>
        <v>8</v>
      </c>
      <c r="AG489" s="266">
        <v>2.0</v>
      </c>
      <c r="AH489" s="266">
        <v>1.0</v>
      </c>
      <c r="AI489" s="266" t="s">
        <v>5025</v>
      </c>
      <c r="AJ489" s="266">
        <v>1.0</v>
      </c>
      <c r="AK489" s="48" t="s">
        <v>5038</v>
      </c>
      <c r="AL489" s="48">
        <v>2.5</v>
      </c>
      <c r="AM489" s="705">
        <v>1.0</v>
      </c>
      <c r="AN489" s="48" t="s">
        <v>5044</v>
      </c>
      <c r="AO489" s="705" t="s">
        <v>5932</v>
      </c>
      <c r="AP489" s="266">
        <v>2400.0</v>
      </c>
      <c r="AQ489" s="507">
        <v>5.3</v>
      </c>
      <c r="AR489" s="48" t="s">
        <v>5039</v>
      </c>
      <c r="AS489" s="266" t="s">
        <v>174</v>
      </c>
      <c r="AT489" s="266">
        <v>5.0</v>
      </c>
      <c r="AU489" s="266" t="s">
        <v>166</v>
      </c>
      <c r="AV489" s="266">
        <v>1.0</v>
      </c>
      <c r="AW489" s="266">
        <v>1.0</v>
      </c>
      <c r="AX489" s="266" t="s">
        <v>166</v>
      </c>
      <c r="AY489" s="266" t="s">
        <v>166</v>
      </c>
      <c r="AZ489" s="266">
        <v>6.0</v>
      </c>
      <c r="BA489" s="266">
        <v>1.0</v>
      </c>
      <c r="BB489" s="266">
        <v>2.0</v>
      </c>
      <c r="BC489" s="266" t="s">
        <v>174</v>
      </c>
      <c r="BD489" s="266" t="s">
        <v>174</v>
      </c>
      <c r="BE489" s="48" t="s">
        <v>170</v>
      </c>
      <c r="BF489" s="48" t="s">
        <v>5800</v>
      </c>
      <c r="BG489" s="48" t="s">
        <v>4955</v>
      </c>
      <c r="BH489" s="48">
        <v>12.0</v>
      </c>
      <c r="BI489" s="698" t="s">
        <v>6019</v>
      </c>
      <c r="BJ489" s="698"/>
      <c r="BK489" s="394"/>
      <c r="BL489" s="394"/>
      <c r="BM489" s="394"/>
      <c r="BN489" s="394"/>
      <c r="BO489" s="394"/>
      <c r="BP489" s="394"/>
    </row>
    <row r="490">
      <c r="A490" s="266" t="s">
        <v>1688</v>
      </c>
      <c r="B490" s="48">
        <v>1700.0</v>
      </c>
      <c r="C490" s="266" t="s">
        <v>5379</v>
      </c>
      <c r="D490" s="452" t="str">
        <f t="shared" si="59"/>
        <v>MSI</v>
      </c>
      <c r="E490" s="174" t="s">
        <v>6027</v>
      </c>
      <c r="F490" s="507">
        <v>244.0</v>
      </c>
      <c r="G490" s="507">
        <v>244.0</v>
      </c>
      <c r="H490" s="266">
        <v>5.0</v>
      </c>
      <c r="I490" s="266" t="s">
        <v>166</v>
      </c>
      <c r="J490" s="266" t="s">
        <v>166</v>
      </c>
      <c r="K490" s="266">
        <v>1.0</v>
      </c>
      <c r="L490" s="266" t="s">
        <v>166</v>
      </c>
      <c r="M490" s="266">
        <v>1.0</v>
      </c>
      <c r="N490" s="266" t="s">
        <v>166</v>
      </c>
      <c r="O490" s="266" t="s">
        <v>174</v>
      </c>
      <c r="P490" s="266" t="s">
        <v>166</v>
      </c>
      <c r="Q490" s="266" t="s">
        <v>174</v>
      </c>
      <c r="R490" s="266">
        <v>4.0</v>
      </c>
      <c r="S490" s="266" t="s">
        <v>3151</v>
      </c>
      <c r="T490" s="266">
        <v>256.0</v>
      </c>
      <c r="U490" s="266" t="s">
        <v>5952</v>
      </c>
      <c r="V490" s="266">
        <v>6.0</v>
      </c>
      <c r="W490" s="711" t="s">
        <v>5793</v>
      </c>
      <c r="X490" s="266">
        <v>4.0</v>
      </c>
      <c r="Y490" s="266" t="s">
        <v>166</v>
      </c>
      <c r="Z490" s="266" t="s">
        <v>166</v>
      </c>
      <c r="AA490" s="266">
        <v>3.0</v>
      </c>
      <c r="AB490" s="266" t="s">
        <v>166</v>
      </c>
      <c r="AC490" s="266">
        <v>1.0</v>
      </c>
      <c r="AD490" s="266" t="s">
        <v>166</v>
      </c>
      <c r="AE490" s="266" t="s">
        <v>166</v>
      </c>
      <c r="AF490" s="266">
        <f t="shared" si="1"/>
        <v>8</v>
      </c>
      <c r="AG490" s="266">
        <v>2.0</v>
      </c>
      <c r="AH490" s="266">
        <v>1.0</v>
      </c>
      <c r="AI490" s="266" t="s">
        <v>5025</v>
      </c>
      <c r="AJ490" s="266">
        <v>1.0</v>
      </c>
      <c r="AK490" s="48" t="s">
        <v>5038</v>
      </c>
      <c r="AL490" s="48">
        <v>2.5</v>
      </c>
      <c r="AM490" s="705">
        <v>1.0</v>
      </c>
      <c r="AN490" s="48" t="s">
        <v>5044</v>
      </c>
      <c r="AO490" s="705" t="s">
        <v>5932</v>
      </c>
      <c r="AP490" s="266">
        <v>2400.0</v>
      </c>
      <c r="AQ490" s="507">
        <v>5.3</v>
      </c>
      <c r="AR490" s="48" t="s">
        <v>5039</v>
      </c>
      <c r="AS490" s="266" t="s">
        <v>174</v>
      </c>
      <c r="AT490" s="266">
        <v>5.0</v>
      </c>
      <c r="AU490" s="266" t="s">
        <v>166</v>
      </c>
      <c r="AV490" s="266">
        <v>1.0</v>
      </c>
      <c r="AW490" s="266">
        <v>1.0</v>
      </c>
      <c r="AX490" s="266" t="s">
        <v>166</v>
      </c>
      <c r="AY490" s="266" t="s">
        <v>166</v>
      </c>
      <c r="AZ490" s="266">
        <v>6.0</v>
      </c>
      <c r="BA490" s="266">
        <v>1.0</v>
      </c>
      <c r="BB490" s="266">
        <v>2.0</v>
      </c>
      <c r="BC490" s="266" t="s">
        <v>174</v>
      </c>
      <c r="BD490" s="266" t="s">
        <v>174</v>
      </c>
      <c r="BE490" s="48" t="s">
        <v>170</v>
      </c>
      <c r="BF490" s="48" t="s">
        <v>5800</v>
      </c>
      <c r="BG490" s="48" t="s">
        <v>4955</v>
      </c>
      <c r="BH490" s="48">
        <v>12.0</v>
      </c>
      <c r="BI490" s="698" t="s">
        <v>6019</v>
      </c>
      <c r="BJ490" s="698"/>
      <c r="BK490" s="394"/>
      <c r="BL490" s="394"/>
      <c r="BM490" s="394"/>
      <c r="BN490" s="394"/>
      <c r="BO490" s="394"/>
      <c r="BP490" s="394"/>
    </row>
    <row r="491">
      <c r="A491" s="266" t="s">
        <v>1688</v>
      </c>
      <c r="B491" s="48">
        <v>1700.0</v>
      </c>
      <c r="C491" s="266" t="s">
        <v>5379</v>
      </c>
      <c r="D491" s="452" t="str">
        <f t="shared" si="59"/>
        <v>MSI</v>
      </c>
      <c r="E491" s="174" t="s">
        <v>6028</v>
      </c>
      <c r="F491" s="507">
        <v>244.0</v>
      </c>
      <c r="G491" s="507">
        <v>244.0</v>
      </c>
      <c r="H491" s="266">
        <v>4.0</v>
      </c>
      <c r="I491" s="266" t="s">
        <v>166</v>
      </c>
      <c r="J491" s="266">
        <v>1.0</v>
      </c>
      <c r="K491" s="266" t="s">
        <v>166</v>
      </c>
      <c r="L491" s="266" t="s">
        <v>166</v>
      </c>
      <c r="M491" s="266">
        <v>2.0</v>
      </c>
      <c r="N491" s="266" t="s">
        <v>166</v>
      </c>
      <c r="O491" s="266" t="s">
        <v>174</v>
      </c>
      <c r="P491" s="266" t="s">
        <v>166</v>
      </c>
      <c r="Q491" s="266" t="s">
        <v>166</v>
      </c>
      <c r="R491" s="266">
        <v>4.0</v>
      </c>
      <c r="S491" s="266" t="s">
        <v>3149</v>
      </c>
      <c r="T491" s="266">
        <v>128.0</v>
      </c>
      <c r="U491" s="266" t="s">
        <v>5286</v>
      </c>
      <c r="V491" s="266">
        <v>4.0</v>
      </c>
      <c r="W491" s="711" t="s">
        <v>5305</v>
      </c>
      <c r="X491" s="266">
        <v>2.0</v>
      </c>
      <c r="Y491" s="266">
        <v>2.0</v>
      </c>
      <c r="Z491" s="266" t="s">
        <v>166</v>
      </c>
      <c r="AA491" s="266">
        <v>2.0</v>
      </c>
      <c r="AB491" s="266" t="s">
        <v>166</v>
      </c>
      <c r="AC491" s="266" t="s">
        <v>166</v>
      </c>
      <c r="AD491" s="266" t="s">
        <v>166</v>
      </c>
      <c r="AE491" s="266" t="s">
        <v>166</v>
      </c>
      <c r="AF491" s="266">
        <f t="shared" si="1"/>
        <v>6</v>
      </c>
      <c r="AG491" s="266">
        <v>2.0</v>
      </c>
      <c r="AH491" s="266">
        <v>2.0</v>
      </c>
      <c r="AI491" s="507" t="s">
        <v>5049</v>
      </c>
      <c r="AJ491" s="266">
        <v>1.0</v>
      </c>
      <c r="AK491" s="48" t="s">
        <v>5043</v>
      </c>
      <c r="AL491" s="48">
        <v>2.5</v>
      </c>
      <c r="AM491" s="705" t="s">
        <v>166</v>
      </c>
      <c r="AN491" s="48" t="s">
        <v>166</v>
      </c>
      <c r="AO491" s="705" t="s">
        <v>166</v>
      </c>
      <c r="AP491" s="266" t="s">
        <v>166</v>
      </c>
      <c r="AQ491" s="507" t="s">
        <v>166</v>
      </c>
      <c r="AR491" s="48" t="s">
        <v>5039</v>
      </c>
      <c r="AS491" s="266" t="s">
        <v>166</v>
      </c>
      <c r="AT491" s="266">
        <v>3.0</v>
      </c>
      <c r="AU491" s="266">
        <v>1.0</v>
      </c>
      <c r="AV491" s="266">
        <v>2.0</v>
      </c>
      <c r="AW491" s="266">
        <v>2.0</v>
      </c>
      <c r="AX491" s="266" t="s">
        <v>166</v>
      </c>
      <c r="AY491" s="266" t="s">
        <v>166</v>
      </c>
      <c r="AZ491" s="266">
        <v>4.0</v>
      </c>
      <c r="BA491" s="266">
        <v>1.0</v>
      </c>
      <c r="BB491" s="266">
        <v>2.0</v>
      </c>
      <c r="BC491" s="266" t="s">
        <v>174</v>
      </c>
      <c r="BD491" s="266" t="s">
        <v>166</v>
      </c>
      <c r="BE491" s="48" t="s">
        <v>170</v>
      </c>
      <c r="BF491" s="48" t="s">
        <v>5800</v>
      </c>
      <c r="BG491" s="48" t="s">
        <v>4955</v>
      </c>
      <c r="BH491" s="48">
        <v>12.0</v>
      </c>
      <c r="BI491" s="698" t="s">
        <v>170</v>
      </c>
      <c r="BJ491" s="698"/>
      <c r="BK491" s="394"/>
      <c r="BL491" s="394"/>
      <c r="BM491" s="394"/>
      <c r="BN491" s="394"/>
      <c r="BO491" s="394"/>
      <c r="BP491" s="394"/>
    </row>
    <row r="492">
      <c r="A492" s="266" t="s">
        <v>1688</v>
      </c>
      <c r="B492" s="48">
        <v>1700.0</v>
      </c>
      <c r="C492" s="266" t="s">
        <v>5379</v>
      </c>
      <c r="D492" s="452" t="str">
        <f t="shared" si="59"/>
        <v>MSI</v>
      </c>
      <c r="E492" s="174" t="s">
        <v>6029</v>
      </c>
      <c r="F492" s="507">
        <v>244.0</v>
      </c>
      <c r="G492" s="507">
        <v>244.0</v>
      </c>
      <c r="H492" s="266">
        <v>4.0</v>
      </c>
      <c r="I492" s="266" t="s">
        <v>166</v>
      </c>
      <c r="J492" s="266">
        <v>1.0</v>
      </c>
      <c r="K492" s="266" t="s">
        <v>166</v>
      </c>
      <c r="L492" s="266" t="s">
        <v>166</v>
      </c>
      <c r="M492" s="266">
        <v>2.0</v>
      </c>
      <c r="N492" s="266" t="s">
        <v>166</v>
      </c>
      <c r="O492" s="266" t="s">
        <v>174</v>
      </c>
      <c r="P492" s="266" t="s">
        <v>166</v>
      </c>
      <c r="Q492" s="266" t="s">
        <v>166</v>
      </c>
      <c r="R492" s="266">
        <v>4.0</v>
      </c>
      <c r="S492" s="266" t="s">
        <v>3149</v>
      </c>
      <c r="T492" s="266">
        <v>128.0</v>
      </c>
      <c r="U492" s="266" t="s">
        <v>5286</v>
      </c>
      <c r="V492" s="266">
        <v>4.0</v>
      </c>
      <c r="W492" s="711" t="s">
        <v>5305</v>
      </c>
      <c r="X492" s="266">
        <v>2.0</v>
      </c>
      <c r="Y492" s="266">
        <v>2.0</v>
      </c>
      <c r="Z492" s="266" t="s">
        <v>166</v>
      </c>
      <c r="AA492" s="266">
        <v>2.0</v>
      </c>
      <c r="AB492" s="266" t="s">
        <v>166</v>
      </c>
      <c r="AC492" s="266" t="s">
        <v>166</v>
      </c>
      <c r="AD492" s="266" t="s">
        <v>166</v>
      </c>
      <c r="AE492" s="266" t="s">
        <v>166</v>
      </c>
      <c r="AF492" s="266">
        <f t="shared" si="1"/>
        <v>6</v>
      </c>
      <c r="AG492" s="266">
        <v>2.0</v>
      </c>
      <c r="AH492" s="266">
        <v>2.0</v>
      </c>
      <c r="AI492" s="507" t="s">
        <v>5049</v>
      </c>
      <c r="AJ492" s="266">
        <v>1.0</v>
      </c>
      <c r="AK492" s="48" t="s">
        <v>5043</v>
      </c>
      <c r="AL492" s="48">
        <v>2.5</v>
      </c>
      <c r="AM492" s="705" t="s">
        <v>166</v>
      </c>
      <c r="AN492" s="48" t="s">
        <v>166</v>
      </c>
      <c r="AO492" s="705" t="s">
        <v>166</v>
      </c>
      <c r="AP492" s="266" t="s">
        <v>166</v>
      </c>
      <c r="AQ492" s="507" t="s">
        <v>166</v>
      </c>
      <c r="AR492" s="48" t="s">
        <v>5039</v>
      </c>
      <c r="AS492" s="266" t="s">
        <v>166</v>
      </c>
      <c r="AT492" s="266">
        <v>3.0</v>
      </c>
      <c r="AU492" s="266">
        <v>1.0</v>
      </c>
      <c r="AV492" s="266">
        <v>2.0</v>
      </c>
      <c r="AW492" s="266">
        <v>2.0</v>
      </c>
      <c r="AX492" s="266" t="s">
        <v>166</v>
      </c>
      <c r="AY492" s="266" t="s">
        <v>166</v>
      </c>
      <c r="AZ492" s="266">
        <v>4.0</v>
      </c>
      <c r="BA492" s="266">
        <v>2.0</v>
      </c>
      <c r="BB492" s="266">
        <v>2.0</v>
      </c>
      <c r="BC492" s="266" t="s">
        <v>174</v>
      </c>
      <c r="BD492" s="266" t="s">
        <v>166</v>
      </c>
      <c r="BE492" s="48" t="s">
        <v>170</v>
      </c>
      <c r="BF492" s="48" t="s">
        <v>5800</v>
      </c>
      <c r="BG492" s="48" t="s">
        <v>4955</v>
      </c>
      <c r="BH492" s="48">
        <v>12.0</v>
      </c>
      <c r="BI492" s="698" t="s">
        <v>170</v>
      </c>
      <c r="BJ492" s="698"/>
      <c r="BK492" s="394"/>
      <c r="BL492" s="394"/>
      <c r="BM492" s="394"/>
      <c r="BN492" s="394"/>
      <c r="BO492" s="394"/>
      <c r="BP492" s="394"/>
    </row>
    <row r="493">
      <c r="A493" s="266" t="s">
        <v>1688</v>
      </c>
      <c r="B493" s="48">
        <v>1700.0</v>
      </c>
      <c r="C493" s="266" t="s">
        <v>5379</v>
      </c>
      <c r="D493" s="452" t="str">
        <f t="shared" si="59"/>
        <v>MSI</v>
      </c>
      <c r="E493" s="174" t="s">
        <v>6030</v>
      </c>
      <c r="F493" s="507">
        <v>244.0</v>
      </c>
      <c r="G493" s="507">
        <v>244.0</v>
      </c>
      <c r="H493" s="266">
        <v>4.0</v>
      </c>
      <c r="I493" s="266" t="s">
        <v>166</v>
      </c>
      <c r="J493" s="266">
        <v>1.0</v>
      </c>
      <c r="K493" s="266" t="s">
        <v>166</v>
      </c>
      <c r="L493" s="266" t="s">
        <v>166</v>
      </c>
      <c r="M493" s="266">
        <v>2.0</v>
      </c>
      <c r="N493" s="266" t="s">
        <v>166</v>
      </c>
      <c r="O493" s="266" t="s">
        <v>174</v>
      </c>
      <c r="P493" s="266" t="s">
        <v>166</v>
      </c>
      <c r="Q493" s="266" t="s">
        <v>166</v>
      </c>
      <c r="R493" s="266">
        <v>4.0</v>
      </c>
      <c r="S493" s="266" t="s">
        <v>3151</v>
      </c>
      <c r="T493" s="266">
        <v>256.0</v>
      </c>
      <c r="U493" s="266" t="s">
        <v>5112</v>
      </c>
      <c r="V493" s="266">
        <v>4.0</v>
      </c>
      <c r="W493" s="711" t="s">
        <v>5305</v>
      </c>
      <c r="X493" s="266">
        <v>2.0</v>
      </c>
      <c r="Y493" s="266">
        <v>2.0</v>
      </c>
      <c r="Z493" s="266" t="s">
        <v>166</v>
      </c>
      <c r="AA493" s="266">
        <v>2.0</v>
      </c>
      <c r="AB493" s="266" t="s">
        <v>166</v>
      </c>
      <c r="AC493" s="266" t="s">
        <v>166</v>
      </c>
      <c r="AD493" s="266" t="s">
        <v>166</v>
      </c>
      <c r="AE493" s="266" t="s">
        <v>166</v>
      </c>
      <c r="AF493" s="266">
        <f t="shared" si="1"/>
        <v>6</v>
      </c>
      <c r="AG493" s="266">
        <v>2.0</v>
      </c>
      <c r="AH493" s="266">
        <v>2.0</v>
      </c>
      <c r="AI493" s="507" t="s">
        <v>5049</v>
      </c>
      <c r="AJ493" s="266">
        <v>1.0</v>
      </c>
      <c r="AK493" s="48" t="s">
        <v>5043</v>
      </c>
      <c r="AL493" s="48">
        <v>2.5</v>
      </c>
      <c r="AM493" s="705">
        <v>1.0</v>
      </c>
      <c r="AN493" s="48" t="s">
        <v>5044</v>
      </c>
      <c r="AO493" s="705" t="s">
        <v>5932</v>
      </c>
      <c r="AP493" s="266">
        <v>2400.0</v>
      </c>
      <c r="AQ493" s="507">
        <v>5.3</v>
      </c>
      <c r="AR493" s="48" t="s">
        <v>5039</v>
      </c>
      <c r="AS493" s="266" t="s">
        <v>166</v>
      </c>
      <c r="AT493" s="266">
        <v>3.0</v>
      </c>
      <c r="AU493" s="266">
        <v>1.0</v>
      </c>
      <c r="AV493" s="266">
        <v>2.0</v>
      </c>
      <c r="AW493" s="266">
        <v>2.0</v>
      </c>
      <c r="AX493" s="266" t="s">
        <v>166</v>
      </c>
      <c r="AY493" s="266" t="s">
        <v>166</v>
      </c>
      <c r="AZ493" s="266">
        <v>4.0</v>
      </c>
      <c r="BA493" s="266">
        <v>1.0</v>
      </c>
      <c r="BB493" s="266">
        <v>2.0</v>
      </c>
      <c r="BC493" s="266" t="s">
        <v>174</v>
      </c>
      <c r="BD493" s="266" t="s">
        <v>166</v>
      </c>
      <c r="BE493" s="48" t="s">
        <v>170</v>
      </c>
      <c r="BF493" s="48" t="s">
        <v>5800</v>
      </c>
      <c r="BG493" s="48" t="s">
        <v>4955</v>
      </c>
      <c r="BH493" s="48">
        <v>12.0</v>
      </c>
      <c r="BI493" s="698" t="s">
        <v>170</v>
      </c>
      <c r="BJ493" s="698"/>
      <c r="BK493" s="394"/>
      <c r="BL493" s="394"/>
      <c r="BM493" s="394"/>
      <c r="BN493" s="394"/>
      <c r="BO493" s="394"/>
      <c r="BP493" s="394"/>
    </row>
    <row r="494">
      <c r="A494" s="266" t="s">
        <v>1688</v>
      </c>
      <c r="B494" s="48">
        <v>1700.0</v>
      </c>
      <c r="C494" s="266" t="s">
        <v>5379</v>
      </c>
      <c r="D494" s="452" t="str">
        <f t="shared" si="59"/>
        <v>MSI</v>
      </c>
      <c r="E494" s="174" t="s">
        <v>6031</v>
      </c>
      <c r="F494" s="507">
        <v>244.0</v>
      </c>
      <c r="G494" s="507">
        <v>244.0</v>
      </c>
      <c r="H494" s="266">
        <v>4.0</v>
      </c>
      <c r="I494" s="266" t="s">
        <v>166</v>
      </c>
      <c r="J494" s="266">
        <v>1.0</v>
      </c>
      <c r="K494" s="266" t="s">
        <v>166</v>
      </c>
      <c r="L494" s="266" t="s">
        <v>166</v>
      </c>
      <c r="M494" s="266">
        <v>2.0</v>
      </c>
      <c r="N494" s="266" t="s">
        <v>166</v>
      </c>
      <c r="O494" s="266" t="s">
        <v>174</v>
      </c>
      <c r="P494" s="266" t="s">
        <v>166</v>
      </c>
      <c r="Q494" s="266" t="s">
        <v>166</v>
      </c>
      <c r="R494" s="266">
        <v>4.0</v>
      </c>
      <c r="S494" s="266" t="s">
        <v>3149</v>
      </c>
      <c r="T494" s="266">
        <v>128.0</v>
      </c>
      <c r="U494" s="266" t="s">
        <v>5286</v>
      </c>
      <c r="V494" s="266">
        <v>4.0</v>
      </c>
      <c r="W494" s="711" t="s">
        <v>5305</v>
      </c>
      <c r="X494" s="266">
        <v>2.0</v>
      </c>
      <c r="Y494" s="266">
        <v>2.0</v>
      </c>
      <c r="Z494" s="266" t="s">
        <v>166</v>
      </c>
      <c r="AA494" s="266">
        <v>2.0</v>
      </c>
      <c r="AB494" s="266" t="s">
        <v>166</v>
      </c>
      <c r="AC494" s="266" t="s">
        <v>166</v>
      </c>
      <c r="AD494" s="266" t="s">
        <v>166</v>
      </c>
      <c r="AE494" s="266" t="s">
        <v>166</v>
      </c>
      <c r="AF494" s="266">
        <f t="shared" si="1"/>
        <v>6</v>
      </c>
      <c r="AG494" s="266">
        <v>2.0</v>
      </c>
      <c r="AH494" s="266">
        <v>2.0</v>
      </c>
      <c r="AI494" s="507" t="s">
        <v>5049</v>
      </c>
      <c r="AJ494" s="266">
        <v>1.0</v>
      </c>
      <c r="AK494" s="48" t="s">
        <v>5043</v>
      </c>
      <c r="AL494" s="48">
        <v>2.5</v>
      </c>
      <c r="AM494" s="705">
        <v>1.0</v>
      </c>
      <c r="AN494" s="48" t="s">
        <v>5044</v>
      </c>
      <c r="AO494" s="705" t="s">
        <v>5932</v>
      </c>
      <c r="AP494" s="266">
        <v>2400.0</v>
      </c>
      <c r="AQ494" s="507">
        <v>5.3</v>
      </c>
      <c r="AR494" s="48" t="s">
        <v>5039</v>
      </c>
      <c r="AS494" s="266" t="s">
        <v>166</v>
      </c>
      <c r="AT494" s="266">
        <v>3.0</v>
      </c>
      <c r="AU494" s="266">
        <v>1.0</v>
      </c>
      <c r="AV494" s="266">
        <v>2.0</v>
      </c>
      <c r="AW494" s="266">
        <v>2.0</v>
      </c>
      <c r="AX494" s="266" t="s">
        <v>166</v>
      </c>
      <c r="AY494" s="266" t="s">
        <v>166</v>
      </c>
      <c r="AZ494" s="266">
        <v>4.0</v>
      </c>
      <c r="BA494" s="266">
        <v>1.0</v>
      </c>
      <c r="BB494" s="266">
        <v>2.0</v>
      </c>
      <c r="BC494" s="266" t="s">
        <v>174</v>
      </c>
      <c r="BD494" s="266" t="s">
        <v>166</v>
      </c>
      <c r="BE494" s="48" t="s">
        <v>170</v>
      </c>
      <c r="BF494" s="48" t="s">
        <v>5800</v>
      </c>
      <c r="BG494" s="48" t="s">
        <v>4955</v>
      </c>
      <c r="BH494" s="48">
        <v>12.0</v>
      </c>
      <c r="BI494" s="698" t="s">
        <v>170</v>
      </c>
      <c r="BJ494" s="698"/>
      <c r="BK494" s="394"/>
      <c r="BL494" s="394"/>
      <c r="BM494" s="394"/>
      <c r="BN494" s="394"/>
      <c r="BO494" s="394"/>
      <c r="BP494" s="394"/>
    </row>
    <row r="495">
      <c r="A495" s="266" t="s">
        <v>1688</v>
      </c>
      <c r="B495" s="48">
        <v>1700.0</v>
      </c>
      <c r="C495" s="266" t="s">
        <v>5379</v>
      </c>
      <c r="D495" s="452" t="str">
        <f t="shared" si="59"/>
        <v>MSI</v>
      </c>
      <c r="E495" s="174" t="s">
        <v>6032</v>
      </c>
      <c r="F495" s="507">
        <v>244.0</v>
      </c>
      <c r="G495" s="507">
        <v>220.0</v>
      </c>
      <c r="H495" s="266">
        <v>4.0</v>
      </c>
      <c r="I495" s="266" t="s">
        <v>166</v>
      </c>
      <c r="J495" s="266">
        <v>1.0</v>
      </c>
      <c r="K495" s="266" t="s">
        <v>166</v>
      </c>
      <c r="L495" s="266" t="s">
        <v>166</v>
      </c>
      <c r="M495" s="266">
        <v>1.0</v>
      </c>
      <c r="N495" s="266" t="s">
        <v>166</v>
      </c>
      <c r="O495" s="266" t="s">
        <v>174</v>
      </c>
      <c r="P495" s="266" t="s">
        <v>166</v>
      </c>
      <c r="Q495" s="266" t="s">
        <v>166</v>
      </c>
      <c r="R495" s="266">
        <v>2.0</v>
      </c>
      <c r="S495" s="266" t="s">
        <v>3151</v>
      </c>
      <c r="T495" s="266">
        <v>128.0</v>
      </c>
      <c r="U495" s="266" t="s">
        <v>5089</v>
      </c>
      <c r="V495" s="266">
        <v>4.0</v>
      </c>
      <c r="W495" s="710" t="s">
        <v>5062</v>
      </c>
      <c r="X495" s="266">
        <v>2.0</v>
      </c>
      <c r="Y495" s="266">
        <v>4.0</v>
      </c>
      <c r="Z495" s="266" t="s">
        <v>166</v>
      </c>
      <c r="AA495" s="266" t="s">
        <v>166</v>
      </c>
      <c r="AB495" s="266" t="s">
        <v>166</v>
      </c>
      <c r="AC495" s="266" t="s">
        <v>166</v>
      </c>
      <c r="AD495" s="266" t="s">
        <v>166</v>
      </c>
      <c r="AE495" s="266" t="s">
        <v>166</v>
      </c>
      <c r="AF495" s="266">
        <f t="shared" si="1"/>
        <v>6</v>
      </c>
      <c r="AG495" s="266">
        <v>2.0</v>
      </c>
      <c r="AH495" s="266">
        <v>1.0</v>
      </c>
      <c r="AI495" s="507" t="s">
        <v>166</v>
      </c>
      <c r="AJ495" s="266">
        <v>1.0</v>
      </c>
      <c r="AK495" s="48" t="s">
        <v>5038</v>
      </c>
      <c r="AL495" s="48">
        <v>2.5</v>
      </c>
      <c r="AM495" s="705" t="s">
        <v>166</v>
      </c>
      <c r="AN495" s="705" t="s">
        <v>166</v>
      </c>
      <c r="AO495" s="705" t="s">
        <v>166</v>
      </c>
      <c r="AP495" s="507" t="s">
        <v>166</v>
      </c>
      <c r="AQ495" s="507" t="s">
        <v>166</v>
      </c>
      <c r="AR495" s="48" t="s">
        <v>5039</v>
      </c>
      <c r="AS495" s="266" t="s">
        <v>166</v>
      </c>
      <c r="AT495" s="266">
        <v>3.0</v>
      </c>
      <c r="AU495" s="266">
        <v>1.0</v>
      </c>
      <c r="AV495" s="266" t="s">
        <v>166</v>
      </c>
      <c r="AW495" s="266">
        <v>1.0</v>
      </c>
      <c r="AX495" s="266" t="s">
        <v>166</v>
      </c>
      <c r="AY495" s="266" t="s">
        <v>166</v>
      </c>
      <c r="AZ495" s="266">
        <v>3.0</v>
      </c>
      <c r="BA495" s="266">
        <v>1.0</v>
      </c>
      <c r="BB495" s="266">
        <v>2.0</v>
      </c>
      <c r="BC495" s="266" t="s">
        <v>174</v>
      </c>
      <c r="BD495" s="266" t="s">
        <v>166</v>
      </c>
      <c r="BE495" s="48" t="s">
        <v>170</v>
      </c>
      <c r="BF495" s="48" t="s">
        <v>170</v>
      </c>
      <c r="BG495" s="48" t="s">
        <v>170</v>
      </c>
      <c r="BH495" s="48" t="s">
        <v>170</v>
      </c>
      <c r="BI495" s="698" t="s">
        <v>170</v>
      </c>
      <c r="BJ495" s="698"/>
      <c r="BK495" s="394"/>
      <c r="BL495" s="394"/>
      <c r="BM495" s="394"/>
      <c r="BN495" s="394"/>
      <c r="BO495" s="394"/>
      <c r="BP495" s="394"/>
    </row>
    <row r="496">
      <c r="A496" s="266" t="s">
        <v>1688</v>
      </c>
      <c r="B496" s="48">
        <v>1700.0</v>
      </c>
      <c r="C496" s="266" t="s">
        <v>5379</v>
      </c>
      <c r="D496" s="452" t="str">
        <f t="shared" si="59"/>
        <v>MSI</v>
      </c>
      <c r="E496" s="174" t="s">
        <v>6033</v>
      </c>
      <c r="F496" s="507">
        <v>236.0</v>
      </c>
      <c r="G496" s="507">
        <v>200.0</v>
      </c>
      <c r="H496" s="266">
        <v>4.0</v>
      </c>
      <c r="I496" s="266" t="s">
        <v>166</v>
      </c>
      <c r="J496" s="266">
        <v>1.0</v>
      </c>
      <c r="K496" s="266" t="s">
        <v>166</v>
      </c>
      <c r="L496" s="266" t="s">
        <v>166</v>
      </c>
      <c r="M496" s="266">
        <v>1.0</v>
      </c>
      <c r="N496" s="266" t="s">
        <v>166</v>
      </c>
      <c r="O496" s="266" t="s">
        <v>174</v>
      </c>
      <c r="P496" s="266" t="s">
        <v>166</v>
      </c>
      <c r="Q496" s="266" t="s">
        <v>166</v>
      </c>
      <c r="R496" s="266">
        <v>2.0</v>
      </c>
      <c r="S496" s="266" t="s">
        <v>3149</v>
      </c>
      <c r="T496" s="266">
        <v>64.0</v>
      </c>
      <c r="U496" s="266" t="s">
        <v>5223</v>
      </c>
      <c r="V496" s="266">
        <v>4.0</v>
      </c>
      <c r="W496" s="710" t="s">
        <v>4950</v>
      </c>
      <c r="X496" s="266">
        <v>4.0</v>
      </c>
      <c r="Y496" s="266">
        <v>2.0</v>
      </c>
      <c r="Z496" s="266" t="s">
        <v>166</v>
      </c>
      <c r="AA496" s="266" t="s">
        <v>166</v>
      </c>
      <c r="AB496" s="266" t="s">
        <v>166</v>
      </c>
      <c r="AC496" s="266" t="s">
        <v>166</v>
      </c>
      <c r="AD496" s="266" t="s">
        <v>166</v>
      </c>
      <c r="AE496" s="266" t="s">
        <v>166</v>
      </c>
      <c r="AF496" s="266">
        <f t="shared" si="1"/>
        <v>6</v>
      </c>
      <c r="AG496" s="266">
        <v>1.0</v>
      </c>
      <c r="AH496" s="266">
        <v>1.0</v>
      </c>
      <c r="AI496" s="507" t="s">
        <v>166</v>
      </c>
      <c r="AJ496" s="266">
        <v>1.0</v>
      </c>
      <c r="AK496" s="48" t="s">
        <v>4959</v>
      </c>
      <c r="AL496" s="48">
        <v>1.0</v>
      </c>
      <c r="AM496" s="705" t="s">
        <v>166</v>
      </c>
      <c r="AN496" s="705" t="s">
        <v>166</v>
      </c>
      <c r="AO496" s="705" t="s">
        <v>166</v>
      </c>
      <c r="AP496" s="507" t="s">
        <v>166</v>
      </c>
      <c r="AQ496" s="507" t="s">
        <v>166</v>
      </c>
      <c r="AR496" s="48" t="s">
        <v>5039</v>
      </c>
      <c r="AS496" s="266" t="s">
        <v>166</v>
      </c>
      <c r="AT496" s="266">
        <v>3.0</v>
      </c>
      <c r="AU496" s="266">
        <v>1.0</v>
      </c>
      <c r="AV496" s="266" t="s">
        <v>166</v>
      </c>
      <c r="AW496" s="266">
        <v>1.0</v>
      </c>
      <c r="AX496" s="266" t="s">
        <v>166</v>
      </c>
      <c r="AY496" s="266">
        <v>1.0</v>
      </c>
      <c r="AZ496" s="266">
        <v>3.0</v>
      </c>
      <c r="BA496" s="266">
        <v>1.0</v>
      </c>
      <c r="BB496" s="266" t="s">
        <v>166</v>
      </c>
      <c r="BC496" s="266" t="s">
        <v>174</v>
      </c>
      <c r="BD496" s="266" t="s">
        <v>166</v>
      </c>
      <c r="BE496" s="48" t="s">
        <v>170</v>
      </c>
      <c r="BF496" s="48" t="s">
        <v>170</v>
      </c>
      <c r="BG496" s="48" t="s">
        <v>170</v>
      </c>
      <c r="BH496" s="48" t="s">
        <v>170</v>
      </c>
      <c r="BI496" s="698" t="s">
        <v>170</v>
      </c>
      <c r="BJ496" s="698"/>
      <c r="BK496" s="394"/>
      <c r="BL496" s="394"/>
      <c r="BM496" s="394"/>
      <c r="BN496" s="394"/>
      <c r="BO496" s="394"/>
      <c r="BP496" s="394"/>
    </row>
    <row r="497">
      <c r="A497" s="266" t="s">
        <v>1688</v>
      </c>
      <c r="B497" s="48">
        <v>1700.0</v>
      </c>
      <c r="C497" s="266" t="s">
        <v>5379</v>
      </c>
      <c r="D497" s="452" t="str">
        <f t="shared" si="59"/>
        <v>MSI</v>
      </c>
      <c r="E497" s="174" t="s">
        <v>6034</v>
      </c>
      <c r="F497" s="507">
        <v>244.0</v>
      </c>
      <c r="G497" s="507">
        <v>220.0</v>
      </c>
      <c r="H497" s="266">
        <v>4.0</v>
      </c>
      <c r="I497" s="266" t="s">
        <v>166</v>
      </c>
      <c r="J497" s="266">
        <v>1.0</v>
      </c>
      <c r="K497" s="266" t="s">
        <v>166</v>
      </c>
      <c r="L497" s="266" t="s">
        <v>166</v>
      </c>
      <c r="M497" s="266">
        <v>1.0</v>
      </c>
      <c r="N497" s="266" t="s">
        <v>166</v>
      </c>
      <c r="O497" s="266" t="s">
        <v>174</v>
      </c>
      <c r="P497" s="266" t="s">
        <v>166</v>
      </c>
      <c r="Q497" s="266" t="s">
        <v>166</v>
      </c>
      <c r="R497" s="266">
        <v>2.0</v>
      </c>
      <c r="S497" s="266" t="s">
        <v>3151</v>
      </c>
      <c r="T497" s="266">
        <v>128.0</v>
      </c>
      <c r="U497" s="266" t="s">
        <v>5089</v>
      </c>
      <c r="V497" s="266">
        <v>4.0</v>
      </c>
      <c r="W497" s="711" t="s">
        <v>5305</v>
      </c>
      <c r="X497" s="266">
        <v>2.0</v>
      </c>
      <c r="Y497" s="266">
        <v>4.0</v>
      </c>
      <c r="Z497" s="266" t="s">
        <v>166</v>
      </c>
      <c r="AA497" s="266" t="s">
        <v>166</v>
      </c>
      <c r="AB497" s="266" t="s">
        <v>166</v>
      </c>
      <c r="AC497" s="266" t="s">
        <v>166</v>
      </c>
      <c r="AD497" s="266" t="s">
        <v>166</v>
      </c>
      <c r="AE497" s="266" t="s">
        <v>166</v>
      </c>
      <c r="AF497" s="266">
        <f t="shared" si="1"/>
        <v>6</v>
      </c>
      <c r="AG497" s="266">
        <v>2.0</v>
      </c>
      <c r="AH497" s="266">
        <v>1.0</v>
      </c>
      <c r="AI497" s="507" t="s">
        <v>166</v>
      </c>
      <c r="AJ497" s="266">
        <v>1.0</v>
      </c>
      <c r="AK497" s="48" t="s">
        <v>5038</v>
      </c>
      <c r="AL497" s="48">
        <v>2.5</v>
      </c>
      <c r="AM497" s="705" t="s">
        <v>166</v>
      </c>
      <c r="AN497" s="705" t="s">
        <v>166</v>
      </c>
      <c r="AO497" s="705" t="s">
        <v>166</v>
      </c>
      <c r="AP497" s="507" t="s">
        <v>166</v>
      </c>
      <c r="AQ497" s="507" t="s">
        <v>166</v>
      </c>
      <c r="AR497" s="48" t="s">
        <v>5039</v>
      </c>
      <c r="AS497" s="266" t="s">
        <v>166</v>
      </c>
      <c r="AT497" s="266">
        <v>3.0</v>
      </c>
      <c r="AU497" s="266">
        <v>1.0</v>
      </c>
      <c r="AV497" s="266">
        <v>1.0</v>
      </c>
      <c r="AW497" s="266">
        <v>1.0</v>
      </c>
      <c r="AX497" s="266" t="s">
        <v>166</v>
      </c>
      <c r="AY497" s="266">
        <v>1.0</v>
      </c>
      <c r="AZ497" s="266">
        <v>3.0</v>
      </c>
      <c r="BA497" s="266">
        <v>1.0</v>
      </c>
      <c r="BB497" s="266">
        <v>2.0</v>
      </c>
      <c r="BC497" s="266" t="s">
        <v>174</v>
      </c>
      <c r="BD497" s="266" t="s">
        <v>166</v>
      </c>
      <c r="BE497" s="48" t="s">
        <v>170</v>
      </c>
      <c r="BF497" s="48" t="s">
        <v>170</v>
      </c>
      <c r="BG497" s="48" t="s">
        <v>170</v>
      </c>
      <c r="BH497" s="48" t="s">
        <v>170</v>
      </c>
      <c r="BI497" s="698" t="s">
        <v>170</v>
      </c>
      <c r="BJ497" s="698"/>
      <c r="BK497" s="394"/>
      <c r="BL497" s="394"/>
      <c r="BM497" s="394"/>
      <c r="BN497" s="394"/>
      <c r="BO497" s="394"/>
      <c r="BP497" s="394"/>
    </row>
    <row r="498">
      <c r="A498" s="266" t="s">
        <v>1688</v>
      </c>
      <c r="B498" s="48">
        <v>1700.0</v>
      </c>
      <c r="C498" s="266" t="s">
        <v>5379</v>
      </c>
      <c r="D498" s="452" t="str">
        <f t="shared" si="59"/>
        <v>MSI</v>
      </c>
      <c r="E498" s="174" t="s">
        <v>6035</v>
      </c>
      <c r="F498" s="507">
        <v>244.0</v>
      </c>
      <c r="G498" s="507">
        <v>220.0</v>
      </c>
      <c r="H498" s="266">
        <v>4.0</v>
      </c>
      <c r="I498" s="266" t="s">
        <v>166</v>
      </c>
      <c r="J498" s="266">
        <v>1.0</v>
      </c>
      <c r="K498" s="266" t="s">
        <v>166</v>
      </c>
      <c r="L498" s="266" t="s">
        <v>166</v>
      </c>
      <c r="M498" s="266">
        <v>1.0</v>
      </c>
      <c r="N498" s="266" t="s">
        <v>166</v>
      </c>
      <c r="O498" s="266" t="s">
        <v>174</v>
      </c>
      <c r="P498" s="266" t="s">
        <v>166</v>
      </c>
      <c r="Q498" s="266" t="s">
        <v>166</v>
      </c>
      <c r="R498" s="266">
        <v>2.0</v>
      </c>
      <c r="S498" s="266" t="s">
        <v>3149</v>
      </c>
      <c r="T498" s="266">
        <v>64.0</v>
      </c>
      <c r="U498" s="266" t="s">
        <v>5223</v>
      </c>
      <c r="V498" s="266">
        <v>4.0</v>
      </c>
      <c r="W498" s="711" t="s">
        <v>5305</v>
      </c>
      <c r="X498" s="266">
        <v>2.0</v>
      </c>
      <c r="Y498" s="266">
        <v>4.0</v>
      </c>
      <c r="Z498" s="266" t="s">
        <v>166</v>
      </c>
      <c r="AA498" s="266" t="s">
        <v>166</v>
      </c>
      <c r="AB498" s="266" t="s">
        <v>166</v>
      </c>
      <c r="AC498" s="266" t="s">
        <v>166</v>
      </c>
      <c r="AD498" s="266" t="s">
        <v>166</v>
      </c>
      <c r="AE498" s="266" t="s">
        <v>166</v>
      </c>
      <c r="AF498" s="266">
        <f t="shared" si="1"/>
        <v>6</v>
      </c>
      <c r="AG498" s="266">
        <v>2.0</v>
      </c>
      <c r="AH498" s="266">
        <v>1.0</v>
      </c>
      <c r="AI498" s="507" t="s">
        <v>166</v>
      </c>
      <c r="AJ498" s="266">
        <v>1.0</v>
      </c>
      <c r="AK498" s="48" t="s">
        <v>5038</v>
      </c>
      <c r="AL498" s="48">
        <v>2.5</v>
      </c>
      <c r="AM498" s="705" t="s">
        <v>166</v>
      </c>
      <c r="AN498" s="705" t="s">
        <v>166</v>
      </c>
      <c r="AO498" s="705" t="s">
        <v>166</v>
      </c>
      <c r="AP498" s="507" t="s">
        <v>166</v>
      </c>
      <c r="AQ498" s="507" t="s">
        <v>166</v>
      </c>
      <c r="AR498" s="48" t="s">
        <v>5039</v>
      </c>
      <c r="AS498" s="266" t="s">
        <v>166</v>
      </c>
      <c r="AT498" s="266">
        <v>3.0</v>
      </c>
      <c r="AU498" s="266">
        <v>1.0</v>
      </c>
      <c r="AV498" s="266">
        <v>1.0</v>
      </c>
      <c r="AW498" s="266">
        <v>1.0</v>
      </c>
      <c r="AX498" s="266" t="s">
        <v>166</v>
      </c>
      <c r="AY498" s="266">
        <v>1.0</v>
      </c>
      <c r="AZ498" s="266">
        <v>3.0</v>
      </c>
      <c r="BA498" s="266">
        <v>1.0</v>
      </c>
      <c r="BB498" s="266">
        <v>2.0</v>
      </c>
      <c r="BC498" s="266" t="s">
        <v>174</v>
      </c>
      <c r="BD498" s="266" t="s">
        <v>166</v>
      </c>
      <c r="BE498" s="48" t="s">
        <v>170</v>
      </c>
      <c r="BF498" s="48" t="s">
        <v>170</v>
      </c>
      <c r="BG498" s="48" t="s">
        <v>170</v>
      </c>
      <c r="BH498" s="48" t="s">
        <v>170</v>
      </c>
      <c r="BI498" s="698" t="s">
        <v>170</v>
      </c>
      <c r="BJ498" s="698"/>
      <c r="BK498" s="394"/>
      <c r="BL498" s="394"/>
      <c r="BM498" s="394"/>
      <c r="BN498" s="394"/>
      <c r="BO498" s="394"/>
      <c r="BP498" s="394"/>
    </row>
    <row r="499">
      <c r="A499" s="266" t="s">
        <v>1688</v>
      </c>
      <c r="B499" s="48">
        <v>1700.0</v>
      </c>
      <c r="C499" s="266" t="s">
        <v>5379</v>
      </c>
      <c r="D499" s="452" t="str">
        <f t="shared" si="59"/>
        <v>MSI</v>
      </c>
      <c r="E499" s="174" t="s">
        <v>6036</v>
      </c>
      <c r="F499" s="507">
        <v>244.0</v>
      </c>
      <c r="G499" s="507">
        <v>244.0</v>
      </c>
      <c r="H499" s="266">
        <v>4.0</v>
      </c>
      <c r="I499" s="266" t="s">
        <v>166</v>
      </c>
      <c r="J499" s="266">
        <v>2.0</v>
      </c>
      <c r="K499" s="266" t="s">
        <v>166</v>
      </c>
      <c r="L499" s="266" t="s">
        <v>166</v>
      </c>
      <c r="M499" s="266">
        <v>1.0</v>
      </c>
      <c r="N499" s="266" t="s">
        <v>166</v>
      </c>
      <c r="O499" s="266" t="s">
        <v>174</v>
      </c>
      <c r="P499" s="266" t="s">
        <v>166</v>
      </c>
      <c r="Q499" s="266" t="s">
        <v>166</v>
      </c>
      <c r="R499" s="266">
        <v>4.0</v>
      </c>
      <c r="S499" s="266" t="s">
        <v>3151</v>
      </c>
      <c r="T499" s="266">
        <v>192.0</v>
      </c>
      <c r="U499" s="266" t="s">
        <v>5112</v>
      </c>
      <c r="V499" s="266">
        <v>4.0</v>
      </c>
      <c r="W499" s="711" t="s">
        <v>5305</v>
      </c>
      <c r="X499" s="266">
        <v>4.0</v>
      </c>
      <c r="Y499" s="266">
        <v>1.0</v>
      </c>
      <c r="Z499" s="266" t="s">
        <v>166</v>
      </c>
      <c r="AA499" s="266" t="s">
        <v>166</v>
      </c>
      <c r="AB499" s="266">
        <v>1.0</v>
      </c>
      <c r="AC499" s="266" t="s">
        <v>166</v>
      </c>
      <c r="AD499" s="266" t="s">
        <v>166</v>
      </c>
      <c r="AE499" s="266" t="s">
        <v>166</v>
      </c>
      <c r="AF499" s="266">
        <f t="shared" si="1"/>
        <v>6</v>
      </c>
      <c r="AG499" s="266">
        <v>2.0</v>
      </c>
      <c r="AH499" s="266">
        <v>1.0</v>
      </c>
      <c r="AI499" s="507" t="s">
        <v>166</v>
      </c>
      <c r="AJ499" s="266">
        <v>1.0</v>
      </c>
      <c r="AK499" s="48" t="s">
        <v>4959</v>
      </c>
      <c r="AL499" s="48">
        <v>1.0</v>
      </c>
      <c r="AM499" s="705" t="s">
        <v>166</v>
      </c>
      <c r="AN499" s="705" t="s">
        <v>166</v>
      </c>
      <c r="AO499" s="705" t="s">
        <v>166</v>
      </c>
      <c r="AP499" s="507" t="s">
        <v>166</v>
      </c>
      <c r="AQ499" s="507" t="s">
        <v>166</v>
      </c>
      <c r="AR499" s="48" t="s">
        <v>5039</v>
      </c>
      <c r="AS499" s="266" t="s">
        <v>166</v>
      </c>
      <c r="AT499" s="266">
        <v>3.0</v>
      </c>
      <c r="AU499" s="266">
        <v>2.0</v>
      </c>
      <c r="AV499" s="266">
        <v>1.0</v>
      </c>
      <c r="AW499" s="266">
        <v>1.0</v>
      </c>
      <c r="AX499" s="266" t="s">
        <v>166</v>
      </c>
      <c r="AY499" s="266">
        <v>1.0</v>
      </c>
      <c r="AZ499" s="266">
        <v>3.0</v>
      </c>
      <c r="BA499" s="266">
        <v>1.0</v>
      </c>
      <c r="BB499" s="266" t="s">
        <v>166</v>
      </c>
      <c r="BC499" s="266" t="s">
        <v>174</v>
      </c>
      <c r="BD499" s="266" t="s">
        <v>166</v>
      </c>
      <c r="BE499" s="48" t="s">
        <v>170</v>
      </c>
      <c r="BF499" s="48" t="s">
        <v>170</v>
      </c>
      <c r="BG499" s="48" t="s">
        <v>170</v>
      </c>
      <c r="BH499" s="48" t="s">
        <v>170</v>
      </c>
      <c r="BI499" s="698" t="s">
        <v>170</v>
      </c>
      <c r="BJ499" s="698"/>
      <c r="BK499" s="394"/>
      <c r="BL499" s="394"/>
      <c r="BM499" s="394"/>
      <c r="BN499" s="394"/>
      <c r="BO499" s="394"/>
      <c r="BP499" s="394"/>
    </row>
    <row r="500">
      <c r="A500" s="501" t="s">
        <v>1688</v>
      </c>
      <c r="B500" s="700">
        <v>1700.0</v>
      </c>
      <c r="C500" s="501" t="s">
        <v>5379</v>
      </c>
      <c r="D500" s="500" t="str">
        <f t="shared" si="59"/>
        <v>MSI</v>
      </c>
      <c r="E500" s="291" t="s">
        <v>6037</v>
      </c>
      <c r="F500" s="519">
        <v>244.0</v>
      </c>
      <c r="G500" s="519">
        <v>244.0</v>
      </c>
      <c r="H500" s="501">
        <v>4.0</v>
      </c>
      <c r="I500" s="501" t="s">
        <v>166</v>
      </c>
      <c r="J500" s="501">
        <v>2.0</v>
      </c>
      <c r="K500" s="501" t="s">
        <v>166</v>
      </c>
      <c r="L500" s="501" t="s">
        <v>166</v>
      </c>
      <c r="M500" s="501">
        <v>1.0</v>
      </c>
      <c r="N500" s="501" t="s">
        <v>166</v>
      </c>
      <c r="O500" s="501" t="s">
        <v>174</v>
      </c>
      <c r="P500" s="501" t="s">
        <v>166</v>
      </c>
      <c r="Q500" s="501" t="s">
        <v>166</v>
      </c>
      <c r="R500" s="501">
        <v>4.0</v>
      </c>
      <c r="S500" s="501" t="s">
        <v>3149</v>
      </c>
      <c r="T500" s="501">
        <v>128.0</v>
      </c>
      <c r="U500" s="501" t="s">
        <v>5223</v>
      </c>
      <c r="V500" s="501">
        <v>4.0</v>
      </c>
      <c r="W500" s="701" t="s">
        <v>5305</v>
      </c>
      <c r="X500" s="501">
        <v>4.0</v>
      </c>
      <c r="Y500" s="501">
        <v>1.0</v>
      </c>
      <c r="Z500" s="501" t="s">
        <v>166</v>
      </c>
      <c r="AA500" s="501" t="s">
        <v>166</v>
      </c>
      <c r="AB500" s="501">
        <v>1.0</v>
      </c>
      <c r="AC500" s="501" t="s">
        <v>166</v>
      </c>
      <c r="AD500" s="501" t="s">
        <v>166</v>
      </c>
      <c r="AE500" s="501" t="s">
        <v>166</v>
      </c>
      <c r="AF500" s="501">
        <f t="shared" si="1"/>
        <v>6</v>
      </c>
      <c r="AG500" s="501">
        <v>2.0</v>
      </c>
      <c r="AH500" s="501">
        <v>1.0</v>
      </c>
      <c r="AI500" s="519" t="s">
        <v>166</v>
      </c>
      <c r="AJ500" s="501">
        <v>1.0</v>
      </c>
      <c r="AK500" s="700" t="s">
        <v>4959</v>
      </c>
      <c r="AL500" s="700">
        <v>1.0</v>
      </c>
      <c r="AM500" s="712" t="s">
        <v>166</v>
      </c>
      <c r="AN500" s="712" t="s">
        <v>166</v>
      </c>
      <c r="AO500" s="712" t="s">
        <v>166</v>
      </c>
      <c r="AP500" s="519" t="s">
        <v>166</v>
      </c>
      <c r="AQ500" s="519" t="s">
        <v>166</v>
      </c>
      <c r="AR500" s="700" t="s">
        <v>5039</v>
      </c>
      <c r="AS500" s="501" t="s">
        <v>166</v>
      </c>
      <c r="AT500" s="501">
        <v>3.0</v>
      </c>
      <c r="AU500" s="501">
        <v>2.0</v>
      </c>
      <c r="AV500" s="501">
        <v>1.0</v>
      </c>
      <c r="AW500" s="501">
        <v>1.0</v>
      </c>
      <c r="AX500" s="501" t="s">
        <v>166</v>
      </c>
      <c r="AY500" s="501">
        <v>1.0</v>
      </c>
      <c r="AZ500" s="501">
        <v>3.0</v>
      </c>
      <c r="BA500" s="501">
        <v>1.0</v>
      </c>
      <c r="BB500" s="501" t="s">
        <v>166</v>
      </c>
      <c r="BC500" s="501" t="s">
        <v>174</v>
      </c>
      <c r="BD500" s="501" t="s">
        <v>166</v>
      </c>
      <c r="BE500" s="700" t="s">
        <v>170</v>
      </c>
      <c r="BF500" s="700" t="s">
        <v>170</v>
      </c>
      <c r="BG500" s="700" t="s">
        <v>170</v>
      </c>
      <c r="BH500" s="700" t="s">
        <v>170</v>
      </c>
      <c r="BI500" s="703" t="s">
        <v>170</v>
      </c>
      <c r="BJ500" s="703"/>
      <c r="BK500" s="394"/>
      <c r="BL500" s="394"/>
      <c r="BM500" s="394"/>
      <c r="BN500" s="394"/>
      <c r="BO500" s="394"/>
      <c r="BP500" s="394"/>
    </row>
    <row r="501">
      <c r="A501" s="507" t="s">
        <v>1688</v>
      </c>
      <c r="B501" s="705">
        <v>1700.0</v>
      </c>
      <c r="C501" s="507" t="s">
        <v>5409</v>
      </c>
      <c r="D501" s="282" t="s">
        <v>169</v>
      </c>
      <c r="E501" s="282" t="s">
        <v>6038</v>
      </c>
      <c r="F501" s="507">
        <v>244.0</v>
      </c>
      <c r="G501" s="507">
        <v>244.0</v>
      </c>
      <c r="H501" s="507">
        <v>4.0</v>
      </c>
      <c r="I501" s="507" t="s">
        <v>166</v>
      </c>
      <c r="J501" s="507">
        <v>1.0</v>
      </c>
      <c r="K501" s="507" t="s">
        <v>166</v>
      </c>
      <c r="L501" s="507" t="s">
        <v>166</v>
      </c>
      <c r="M501" s="507">
        <v>2.0</v>
      </c>
      <c r="N501" s="507" t="s">
        <v>174</v>
      </c>
      <c r="O501" s="507" t="s">
        <v>174</v>
      </c>
      <c r="P501" s="507" t="s">
        <v>166</v>
      </c>
      <c r="Q501" s="507" t="s">
        <v>166</v>
      </c>
      <c r="R501" s="507">
        <v>4.0</v>
      </c>
      <c r="S501" s="507" t="s">
        <v>3149</v>
      </c>
      <c r="T501" s="507">
        <v>128.0</v>
      </c>
      <c r="U501" s="507" t="s">
        <v>5286</v>
      </c>
      <c r="V501" s="507">
        <v>4.0</v>
      </c>
      <c r="W501" s="711" t="s">
        <v>5305</v>
      </c>
      <c r="X501" s="507">
        <v>2.0</v>
      </c>
      <c r="Y501" s="507">
        <v>4.0</v>
      </c>
      <c r="Z501" s="507" t="s">
        <v>166</v>
      </c>
      <c r="AA501" s="507">
        <v>1.0</v>
      </c>
      <c r="AB501" s="507">
        <v>1.0</v>
      </c>
      <c r="AC501" s="507" t="s">
        <v>166</v>
      </c>
      <c r="AD501" s="507" t="s">
        <v>166</v>
      </c>
      <c r="AE501" s="507" t="s">
        <v>166</v>
      </c>
      <c r="AF501" s="507">
        <f t="shared" si="1"/>
        <v>8</v>
      </c>
      <c r="AG501" s="507">
        <v>2.0</v>
      </c>
      <c r="AH501" s="507">
        <v>1.0</v>
      </c>
      <c r="AI501" s="507" t="s">
        <v>5049</v>
      </c>
      <c r="AJ501" s="507">
        <v>1.0</v>
      </c>
      <c r="AK501" s="705" t="s">
        <v>5133</v>
      </c>
      <c r="AL501" s="705">
        <v>1.0</v>
      </c>
      <c r="AM501" s="705">
        <v>1.0</v>
      </c>
      <c r="AN501" s="705" t="s">
        <v>166</v>
      </c>
      <c r="AO501" s="705" t="s">
        <v>232</v>
      </c>
      <c r="AP501" s="507" t="s">
        <v>166</v>
      </c>
      <c r="AQ501" s="507" t="s">
        <v>166</v>
      </c>
      <c r="AR501" s="705" t="s">
        <v>5039</v>
      </c>
      <c r="AS501" s="507" t="s">
        <v>166</v>
      </c>
      <c r="AT501" s="507">
        <v>3.0</v>
      </c>
      <c r="AU501" s="507" t="s">
        <v>166</v>
      </c>
      <c r="AV501" s="507" t="s">
        <v>166</v>
      </c>
      <c r="AW501" s="507">
        <v>1.0</v>
      </c>
      <c r="AX501" s="507" t="s">
        <v>166</v>
      </c>
      <c r="AY501" s="507" t="s">
        <v>166</v>
      </c>
      <c r="AZ501" s="507">
        <v>6.0</v>
      </c>
      <c r="BA501" s="507">
        <v>1.0</v>
      </c>
      <c r="BB501" s="507">
        <v>3.0</v>
      </c>
      <c r="BC501" s="507" t="s">
        <v>174</v>
      </c>
      <c r="BD501" s="507" t="s">
        <v>174</v>
      </c>
      <c r="BE501" s="705" t="s">
        <v>170</v>
      </c>
      <c r="BF501" s="705" t="s">
        <v>5318</v>
      </c>
      <c r="BG501" s="705" t="s">
        <v>4963</v>
      </c>
      <c r="BH501" s="705">
        <v>10.0</v>
      </c>
      <c r="BI501" s="708" t="s">
        <v>5573</v>
      </c>
      <c r="BJ501" s="708"/>
      <c r="BK501" s="394"/>
      <c r="BL501" s="394"/>
      <c r="BM501" s="394"/>
      <c r="BN501" s="394"/>
      <c r="BO501" s="394"/>
      <c r="BP501" s="394"/>
    </row>
    <row r="502">
      <c r="A502" s="266" t="s">
        <v>1688</v>
      </c>
      <c r="B502" s="48">
        <v>1700.0</v>
      </c>
      <c r="C502" s="266" t="s">
        <v>5409</v>
      </c>
      <c r="D502" s="452" t="str">
        <f t="shared" ref="D502:D503" si="60">HYPERLINK("https://www.asus.com/","Asus")</f>
        <v>Asus</v>
      </c>
      <c r="E502" s="174" t="s">
        <v>6039</v>
      </c>
      <c r="F502" s="507">
        <v>244.0</v>
      </c>
      <c r="G502" s="507">
        <v>244.0</v>
      </c>
      <c r="H502" s="266">
        <v>5.0</v>
      </c>
      <c r="I502" s="266" t="s">
        <v>166</v>
      </c>
      <c r="J502" s="266">
        <v>2.0</v>
      </c>
      <c r="K502" s="266" t="s">
        <v>166</v>
      </c>
      <c r="L502" s="266" t="s">
        <v>166</v>
      </c>
      <c r="M502" s="266">
        <v>2.0</v>
      </c>
      <c r="N502" s="266" t="s">
        <v>174</v>
      </c>
      <c r="O502" s="266" t="s">
        <v>174</v>
      </c>
      <c r="P502" s="266" t="s">
        <v>166</v>
      </c>
      <c r="Q502" s="266" t="s">
        <v>166</v>
      </c>
      <c r="R502" s="266">
        <v>4.0</v>
      </c>
      <c r="S502" s="507" t="s">
        <v>3151</v>
      </c>
      <c r="T502" s="507">
        <v>192.0</v>
      </c>
      <c r="U502" s="266" t="s">
        <v>5084</v>
      </c>
      <c r="V502" s="266">
        <v>4.0</v>
      </c>
      <c r="W502" s="710" t="s">
        <v>5793</v>
      </c>
      <c r="X502" s="266">
        <v>2.0</v>
      </c>
      <c r="Y502" s="266">
        <v>4.0</v>
      </c>
      <c r="Z502" s="266" t="s">
        <v>166</v>
      </c>
      <c r="AA502" s="266">
        <v>1.0</v>
      </c>
      <c r="AB502" s="266" t="s">
        <v>166</v>
      </c>
      <c r="AC502" s="266">
        <v>1.0</v>
      </c>
      <c r="AD502" s="266" t="s">
        <v>166</v>
      </c>
      <c r="AE502" s="266" t="s">
        <v>166</v>
      </c>
      <c r="AF502" s="266">
        <f t="shared" si="1"/>
        <v>8</v>
      </c>
      <c r="AG502" s="266">
        <v>2.0</v>
      </c>
      <c r="AH502" s="266">
        <v>1.0</v>
      </c>
      <c r="AI502" s="507" t="s">
        <v>5049</v>
      </c>
      <c r="AJ502" s="507">
        <v>1.0</v>
      </c>
      <c r="AK502" s="705" t="s">
        <v>5133</v>
      </c>
      <c r="AL502" s="705">
        <v>1.0</v>
      </c>
      <c r="AM502" s="705">
        <v>1.0</v>
      </c>
      <c r="AN502" s="705" t="s">
        <v>166</v>
      </c>
      <c r="AO502" s="705" t="s">
        <v>232</v>
      </c>
      <c r="AP502" s="507" t="s">
        <v>166</v>
      </c>
      <c r="AQ502" s="507" t="s">
        <v>166</v>
      </c>
      <c r="AR502" s="48" t="s">
        <v>5039</v>
      </c>
      <c r="AS502" s="266" t="s">
        <v>166</v>
      </c>
      <c r="AT502" s="266">
        <v>3.0</v>
      </c>
      <c r="AU502" s="266" t="s">
        <v>166</v>
      </c>
      <c r="AV502" s="266">
        <v>1.0</v>
      </c>
      <c r="AW502" s="266">
        <v>1.0</v>
      </c>
      <c r="AX502" s="266" t="s">
        <v>166</v>
      </c>
      <c r="AY502" s="266" t="s">
        <v>166</v>
      </c>
      <c r="AZ502" s="266">
        <v>6.0</v>
      </c>
      <c r="BA502" s="266">
        <v>1.0</v>
      </c>
      <c r="BB502" s="266">
        <v>3.0</v>
      </c>
      <c r="BC502" s="266" t="s">
        <v>166</v>
      </c>
      <c r="BD502" s="266" t="s">
        <v>166</v>
      </c>
      <c r="BE502" s="48" t="s">
        <v>170</v>
      </c>
      <c r="BF502" s="705" t="s">
        <v>5318</v>
      </c>
      <c r="BG502" s="705" t="s">
        <v>4963</v>
      </c>
      <c r="BH502" s="705">
        <v>10.0</v>
      </c>
      <c r="BI502" s="698" t="s">
        <v>170</v>
      </c>
      <c r="BJ502" s="698"/>
      <c r="BK502" s="394"/>
      <c r="BL502" s="394"/>
      <c r="BM502" s="394"/>
      <c r="BN502" s="394"/>
      <c r="BO502" s="394"/>
      <c r="BP502" s="394"/>
    </row>
    <row r="503">
      <c r="A503" s="266" t="s">
        <v>1688</v>
      </c>
      <c r="B503" s="48">
        <v>1700.0</v>
      </c>
      <c r="C503" s="266" t="s">
        <v>5409</v>
      </c>
      <c r="D503" s="452" t="str">
        <f t="shared" si="60"/>
        <v>Asus</v>
      </c>
      <c r="E503" s="174" t="s">
        <v>6040</v>
      </c>
      <c r="F503" s="507">
        <v>244.0</v>
      </c>
      <c r="G503" s="507">
        <v>244.0</v>
      </c>
      <c r="H503" s="266">
        <v>5.0</v>
      </c>
      <c r="I503" s="266" t="s">
        <v>166</v>
      </c>
      <c r="J503" s="266">
        <v>2.0</v>
      </c>
      <c r="K503" s="266" t="s">
        <v>166</v>
      </c>
      <c r="L503" s="266" t="s">
        <v>166</v>
      </c>
      <c r="M503" s="266">
        <v>2.0</v>
      </c>
      <c r="N503" s="266" t="s">
        <v>174</v>
      </c>
      <c r="O503" s="266" t="s">
        <v>174</v>
      </c>
      <c r="P503" s="266" t="s">
        <v>166</v>
      </c>
      <c r="Q503" s="266" t="s">
        <v>166</v>
      </c>
      <c r="R503" s="266">
        <v>4.0</v>
      </c>
      <c r="S503" s="507" t="s">
        <v>3149</v>
      </c>
      <c r="T503" s="507">
        <v>128.0</v>
      </c>
      <c r="U503" s="507" t="s">
        <v>5286</v>
      </c>
      <c r="V503" s="266">
        <v>4.0</v>
      </c>
      <c r="W503" s="710" t="s">
        <v>5793</v>
      </c>
      <c r="X503" s="266">
        <v>2.0</v>
      </c>
      <c r="Y503" s="266">
        <v>4.0</v>
      </c>
      <c r="Z503" s="266" t="s">
        <v>166</v>
      </c>
      <c r="AA503" s="266">
        <v>1.0</v>
      </c>
      <c r="AB503" s="266" t="s">
        <v>166</v>
      </c>
      <c r="AC503" s="266">
        <v>1.0</v>
      </c>
      <c r="AD503" s="266" t="s">
        <v>166</v>
      </c>
      <c r="AE503" s="266" t="s">
        <v>166</v>
      </c>
      <c r="AF503" s="266">
        <f t="shared" si="1"/>
        <v>8</v>
      </c>
      <c r="AG503" s="266">
        <v>2.0</v>
      </c>
      <c r="AH503" s="266">
        <v>1.0</v>
      </c>
      <c r="AI503" s="507" t="s">
        <v>5049</v>
      </c>
      <c r="AJ503" s="507">
        <v>1.0</v>
      </c>
      <c r="AK503" s="705" t="s">
        <v>5133</v>
      </c>
      <c r="AL503" s="705">
        <v>1.0</v>
      </c>
      <c r="AM503" s="705">
        <v>1.0</v>
      </c>
      <c r="AN503" s="705" t="s">
        <v>166</v>
      </c>
      <c r="AO503" s="705" t="s">
        <v>232</v>
      </c>
      <c r="AP503" s="507" t="s">
        <v>166</v>
      </c>
      <c r="AQ503" s="507" t="s">
        <v>166</v>
      </c>
      <c r="AR503" s="48" t="s">
        <v>5039</v>
      </c>
      <c r="AS503" s="266" t="s">
        <v>166</v>
      </c>
      <c r="AT503" s="266">
        <v>3.0</v>
      </c>
      <c r="AU503" s="266" t="s">
        <v>166</v>
      </c>
      <c r="AV503" s="266">
        <v>1.0</v>
      </c>
      <c r="AW503" s="266">
        <v>1.0</v>
      </c>
      <c r="AX503" s="266" t="s">
        <v>166</v>
      </c>
      <c r="AY503" s="266" t="s">
        <v>166</v>
      </c>
      <c r="AZ503" s="266">
        <v>6.0</v>
      </c>
      <c r="BA503" s="266">
        <v>1.0</v>
      </c>
      <c r="BB503" s="266">
        <v>3.0</v>
      </c>
      <c r="BC503" s="266" t="s">
        <v>166</v>
      </c>
      <c r="BD503" s="266" t="s">
        <v>166</v>
      </c>
      <c r="BE503" s="48" t="s">
        <v>170</v>
      </c>
      <c r="BF503" s="705" t="s">
        <v>5318</v>
      </c>
      <c r="BG503" s="705" t="s">
        <v>4963</v>
      </c>
      <c r="BH503" s="705">
        <v>10.0</v>
      </c>
      <c r="BI503" s="698" t="s">
        <v>170</v>
      </c>
      <c r="BJ503" s="698"/>
      <c r="BK503" s="394"/>
      <c r="BL503" s="394"/>
      <c r="BM503" s="394"/>
      <c r="BN503" s="394"/>
      <c r="BO503" s="394"/>
      <c r="BP503" s="394"/>
    </row>
    <row r="504">
      <c r="A504" s="266" t="s">
        <v>1688</v>
      </c>
      <c r="B504" s="48">
        <v>1700.0</v>
      </c>
      <c r="C504" s="266" t="s">
        <v>5409</v>
      </c>
      <c r="D504" s="174" t="s">
        <v>3575</v>
      </c>
      <c r="E504" s="174" t="s">
        <v>6041</v>
      </c>
      <c r="F504" s="507">
        <v>244.0</v>
      </c>
      <c r="G504" s="507">
        <v>244.0</v>
      </c>
      <c r="H504" s="266">
        <v>5.0</v>
      </c>
      <c r="I504" s="266" t="s">
        <v>166</v>
      </c>
      <c r="J504" s="266" t="s">
        <v>166</v>
      </c>
      <c r="K504" s="266">
        <v>1.0</v>
      </c>
      <c r="L504" s="266" t="s">
        <v>166</v>
      </c>
      <c r="M504" s="266">
        <v>1.0</v>
      </c>
      <c r="N504" s="266" t="s">
        <v>174</v>
      </c>
      <c r="O504" s="266" t="s">
        <v>174</v>
      </c>
      <c r="P504" s="266" t="s">
        <v>174</v>
      </c>
      <c r="Q504" s="266" t="s">
        <v>166</v>
      </c>
      <c r="R504" s="266">
        <v>4.0</v>
      </c>
      <c r="S504" s="266" t="s">
        <v>3151</v>
      </c>
      <c r="T504" s="266">
        <v>192.0</v>
      </c>
      <c r="U504" s="266" t="s">
        <v>5089</v>
      </c>
      <c r="V504" s="266">
        <v>4.0</v>
      </c>
      <c r="W504" s="710" t="s">
        <v>5576</v>
      </c>
      <c r="X504" s="266">
        <v>4.0</v>
      </c>
      <c r="Y504" s="266">
        <v>2.0</v>
      </c>
      <c r="Z504" s="266" t="s">
        <v>166</v>
      </c>
      <c r="AA504" s="266">
        <v>1.0</v>
      </c>
      <c r="AB504" s="266">
        <v>1.0</v>
      </c>
      <c r="AC504" s="266" t="s">
        <v>166</v>
      </c>
      <c r="AD504" s="266" t="s">
        <v>166</v>
      </c>
      <c r="AE504" s="266" t="s">
        <v>166</v>
      </c>
      <c r="AF504" s="266">
        <f t="shared" si="1"/>
        <v>8</v>
      </c>
      <c r="AG504" s="266">
        <v>2.0</v>
      </c>
      <c r="AH504" s="266">
        <v>1.0</v>
      </c>
      <c r="AI504" s="507" t="s">
        <v>5049</v>
      </c>
      <c r="AJ504" s="266">
        <v>1.0</v>
      </c>
      <c r="AK504" s="48" t="s">
        <v>5038</v>
      </c>
      <c r="AL504" s="48">
        <v>2.5</v>
      </c>
      <c r="AM504" s="705" t="s">
        <v>166</v>
      </c>
      <c r="AN504" s="705" t="s">
        <v>166</v>
      </c>
      <c r="AO504" s="705" t="s">
        <v>166</v>
      </c>
      <c r="AP504" s="507" t="s">
        <v>166</v>
      </c>
      <c r="AQ504" s="507" t="s">
        <v>166</v>
      </c>
      <c r="AR504" s="48" t="s">
        <v>5039</v>
      </c>
      <c r="AS504" s="266" t="s">
        <v>166</v>
      </c>
      <c r="AT504" s="266">
        <v>3.0</v>
      </c>
      <c r="AU504" s="266" t="s">
        <v>166</v>
      </c>
      <c r="AV504" s="266">
        <v>1.0</v>
      </c>
      <c r="AW504" s="266">
        <v>1.0</v>
      </c>
      <c r="AX504" s="266" t="s">
        <v>166</v>
      </c>
      <c r="AY504" s="266" t="s">
        <v>166</v>
      </c>
      <c r="AZ504" s="266">
        <v>5.0</v>
      </c>
      <c r="BA504" s="266">
        <v>2.0</v>
      </c>
      <c r="BB504" s="266">
        <v>2.0</v>
      </c>
      <c r="BC504" s="266" t="s">
        <v>174</v>
      </c>
      <c r="BD504" s="266" t="s">
        <v>166</v>
      </c>
      <c r="BE504" s="48" t="s">
        <v>170</v>
      </c>
      <c r="BF504" s="48" t="s">
        <v>5800</v>
      </c>
      <c r="BG504" s="48" t="s">
        <v>4963</v>
      </c>
      <c r="BH504" s="48">
        <v>12.0</v>
      </c>
      <c r="BI504" s="698" t="s">
        <v>5018</v>
      </c>
      <c r="BJ504" s="698"/>
      <c r="BK504" s="394"/>
      <c r="BL504" s="394"/>
      <c r="BM504" s="394"/>
      <c r="BN504" s="394"/>
      <c r="BO504" s="394"/>
      <c r="BP504" s="394"/>
    </row>
    <row r="505">
      <c r="A505" s="266" t="s">
        <v>1688</v>
      </c>
      <c r="B505" s="48">
        <v>1700.0</v>
      </c>
      <c r="C505" s="266" t="s">
        <v>5409</v>
      </c>
      <c r="D505" s="174" t="s">
        <v>3575</v>
      </c>
      <c r="E505" s="174" t="s">
        <v>6042</v>
      </c>
      <c r="F505" s="266">
        <v>244.0</v>
      </c>
      <c r="G505" s="266">
        <v>244.0</v>
      </c>
      <c r="H505" s="266">
        <v>5.0</v>
      </c>
      <c r="I505" s="266" t="s">
        <v>166</v>
      </c>
      <c r="J505" s="266" t="s">
        <v>166</v>
      </c>
      <c r="K505" s="266">
        <v>1.0</v>
      </c>
      <c r="L505" s="266" t="s">
        <v>166</v>
      </c>
      <c r="M505" s="266">
        <v>1.0</v>
      </c>
      <c r="N505" s="266" t="s">
        <v>174</v>
      </c>
      <c r="O505" s="266" t="s">
        <v>174</v>
      </c>
      <c r="P505" s="266" t="s">
        <v>174</v>
      </c>
      <c r="Q505" s="266" t="s">
        <v>166</v>
      </c>
      <c r="R505" s="266">
        <v>4.0</v>
      </c>
      <c r="S505" s="266" t="s">
        <v>3149</v>
      </c>
      <c r="T505" s="266">
        <v>128.0</v>
      </c>
      <c r="U505" s="266" t="s">
        <v>5223</v>
      </c>
      <c r="V505" s="266">
        <v>4.0</v>
      </c>
      <c r="W505" s="710" t="s">
        <v>5576</v>
      </c>
      <c r="X505" s="266">
        <v>4.0</v>
      </c>
      <c r="Y505" s="266">
        <v>2.0</v>
      </c>
      <c r="Z505" s="266" t="s">
        <v>166</v>
      </c>
      <c r="AA505" s="266">
        <v>1.0</v>
      </c>
      <c r="AB505" s="266">
        <v>1.0</v>
      </c>
      <c r="AC505" s="266" t="s">
        <v>166</v>
      </c>
      <c r="AD505" s="266" t="s">
        <v>166</v>
      </c>
      <c r="AE505" s="266" t="s">
        <v>166</v>
      </c>
      <c r="AF505" s="266">
        <f t="shared" si="1"/>
        <v>8</v>
      </c>
      <c r="AG505" s="266">
        <v>2.0</v>
      </c>
      <c r="AH505" s="266">
        <v>1.0</v>
      </c>
      <c r="AI505" s="507" t="s">
        <v>5049</v>
      </c>
      <c r="AJ505" s="266">
        <v>1.0</v>
      </c>
      <c r="AK505" s="48" t="s">
        <v>5038</v>
      </c>
      <c r="AL505" s="48">
        <v>2.5</v>
      </c>
      <c r="AM505" s="48">
        <v>1.0</v>
      </c>
      <c r="AN505" s="48" t="s">
        <v>5027</v>
      </c>
      <c r="AO505" s="705" t="s">
        <v>5257</v>
      </c>
      <c r="AP505" s="266">
        <v>2400.0</v>
      </c>
      <c r="AQ505" s="266">
        <v>5.2</v>
      </c>
      <c r="AR505" s="48" t="s">
        <v>5039</v>
      </c>
      <c r="AS505" s="266" t="s">
        <v>166</v>
      </c>
      <c r="AT505" s="266">
        <v>3.0</v>
      </c>
      <c r="AU505" s="266" t="s">
        <v>166</v>
      </c>
      <c r="AV505" s="266">
        <v>1.0</v>
      </c>
      <c r="AW505" s="266">
        <v>1.0</v>
      </c>
      <c r="AX505" s="266" t="s">
        <v>166</v>
      </c>
      <c r="AY505" s="266" t="s">
        <v>166</v>
      </c>
      <c r="AZ505" s="266">
        <v>5.0</v>
      </c>
      <c r="BA505" s="266">
        <v>2.0</v>
      </c>
      <c r="BB505" s="266">
        <v>2.0</v>
      </c>
      <c r="BC505" s="266" t="s">
        <v>174</v>
      </c>
      <c r="BD505" s="266" t="s">
        <v>174</v>
      </c>
      <c r="BE505" s="48" t="s">
        <v>170</v>
      </c>
      <c r="BF505" s="48" t="s">
        <v>5800</v>
      </c>
      <c r="BG505" s="48" t="s">
        <v>4963</v>
      </c>
      <c r="BH505" s="48">
        <v>12.0</v>
      </c>
      <c r="BI505" s="698" t="s">
        <v>5018</v>
      </c>
      <c r="BJ505" s="698"/>
      <c r="BK505" s="394"/>
      <c r="BL505" s="394"/>
      <c r="BM505" s="394"/>
      <c r="BN505" s="394"/>
      <c r="BO505" s="394"/>
      <c r="BP505" s="394"/>
    </row>
    <row r="506">
      <c r="A506" s="266" t="s">
        <v>1688</v>
      </c>
      <c r="B506" s="48">
        <v>1700.0</v>
      </c>
      <c r="C506" s="266" t="s">
        <v>5409</v>
      </c>
      <c r="D506" s="174" t="s">
        <v>3575</v>
      </c>
      <c r="E506" s="174" t="s">
        <v>6043</v>
      </c>
      <c r="F506" s="266">
        <v>244.0</v>
      </c>
      <c r="G506" s="266">
        <v>244.0</v>
      </c>
      <c r="H506" s="266">
        <v>5.0</v>
      </c>
      <c r="I506" s="266" t="s">
        <v>166</v>
      </c>
      <c r="J506" s="266" t="s">
        <v>166</v>
      </c>
      <c r="K506" s="266">
        <v>1.0</v>
      </c>
      <c r="L506" s="266" t="s">
        <v>166</v>
      </c>
      <c r="M506" s="266">
        <v>1.0</v>
      </c>
      <c r="N506" s="266" t="s">
        <v>174</v>
      </c>
      <c r="O506" s="266" t="s">
        <v>174</v>
      </c>
      <c r="P506" s="266" t="s">
        <v>174</v>
      </c>
      <c r="Q506" s="266" t="s">
        <v>166</v>
      </c>
      <c r="R506" s="266">
        <v>4.0</v>
      </c>
      <c r="S506" s="266" t="s">
        <v>3151</v>
      </c>
      <c r="T506" s="266">
        <v>192.0</v>
      </c>
      <c r="U506" s="266" t="s">
        <v>5089</v>
      </c>
      <c r="V506" s="266">
        <v>6.0</v>
      </c>
      <c r="W506" s="710" t="s">
        <v>5576</v>
      </c>
      <c r="X506" s="266">
        <v>4.0</v>
      </c>
      <c r="Y506" s="266">
        <v>2.0</v>
      </c>
      <c r="Z506" s="266" t="s">
        <v>166</v>
      </c>
      <c r="AA506" s="266">
        <v>1.0</v>
      </c>
      <c r="AB506" s="266">
        <v>1.0</v>
      </c>
      <c r="AC506" s="266" t="s">
        <v>166</v>
      </c>
      <c r="AD506" s="266" t="s">
        <v>166</v>
      </c>
      <c r="AE506" s="266" t="s">
        <v>166</v>
      </c>
      <c r="AF506" s="266">
        <f t="shared" si="1"/>
        <v>8</v>
      </c>
      <c r="AG506" s="266">
        <v>1.0</v>
      </c>
      <c r="AH506" s="266">
        <v>1.0</v>
      </c>
      <c r="AI506" s="507" t="s">
        <v>5049</v>
      </c>
      <c r="AJ506" s="266">
        <v>1.0</v>
      </c>
      <c r="AK506" s="48" t="s">
        <v>5038</v>
      </c>
      <c r="AL506" s="48">
        <v>2.5</v>
      </c>
      <c r="AM506" s="48">
        <v>1.0</v>
      </c>
      <c r="AN506" s="48" t="s">
        <v>5027</v>
      </c>
      <c r="AO506" s="705" t="s">
        <v>5257</v>
      </c>
      <c r="AP506" s="266">
        <v>2400.0</v>
      </c>
      <c r="AQ506" s="266">
        <v>5.2</v>
      </c>
      <c r="AR506" s="48" t="s">
        <v>5039</v>
      </c>
      <c r="AS506" s="266" t="s">
        <v>166</v>
      </c>
      <c r="AT506" s="266">
        <v>3.0</v>
      </c>
      <c r="AU506" s="266" t="s">
        <v>166</v>
      </c>
      <c r="AV506" s="266">
        <v>1.0</v>
      </c>
      <c r="AW506" s="266">
        <v>1.0</v>
      </c>
      <c r="AX506" s="266" t="s">
        <v>166</v>
      </c>
      <c r="AY506" s="266" t="s">
        <v>166</v>
      </c>
      <c r="AZ506" s="266">
        <v>5.0</v>
      </c>
      <c r="BA506" s="266">
        <v>2.0</v>
      </c>
      <c r="BB506" s="266">
        <v>2.0</v>
      </c>
      <c r="BC506" s="266" t="s">
        <v>174</v>
      </c>
      <c r="BD506" s="266" t="s">
        <v>174</v>
      </c>
      <c r="BE506" s="48" t="s">
        <v>170</v>
      </c>
      <c r="BF506" s="48" t="s">
        <v>5800</v>
      </c>
      <c r="BG506" s="48" t="s">
        <v>4963</v>
      </c>
      <c r="BH506" s="48">
        <v>12.0</v>
      </c>
      <c r="BI506" s="698" t="s">
        <v>5018</v>
      </c>
      <c r="BJ506" s="698"/>
      <c r="BK506" s="394"/>
      <c r="BL506" s="394"/>
      <c r="BM506" s="394"/>
      <c r="BN506" s="394"/>
      <c r="BO506" s="394"/>
      <c r="BP506" s="394"/>
    </row>
    <row r="507">
      <c r="A507" s="266" t="s">
        <v>1688</v>
      </c>
      <c r="B507" s="48">
        <v>1700.0</v>
      </c>
      <c r="C507" s="266" t="s">
        <v>5409</v>
      </c>
      <c r="D507" s="452" t="str">
        <f t="shared" ref="D507:D510" si="61">HYPERLINK("https://www.gigabyte.com/","Gigabyte")</f>
        <v>Gigabyte</v>
      </c>
      <c r="E507" s="174" t="s">
        <v>6044</v>
      </c>
      <c r="F507" s="266">
        <v>244.0</v>
      </c>
      <c r="G507" s="266">
        <v>244.0</v>
      </c>
      <c r="H507" s="266">
        <v>5.0</v>
      </c>
      <c r="I507" s="266" t="s">
        <v>166</v>
      </c>
      <c r="J507" s="266" t="s">
        <v>166</v>
      </c>
      <c r="K507" s="266" t="s">
        <v>166</v>
      </c>
      <c r="L507" s="266" t="s">
        <v>166</v>
      </c>
      <c r="M507" s="266">
        <v>2.0</v>
      </c>
      <c r="N507" s="266" t="s">
        <v>174</v>
      </c>
      <c r="O507" s="266" t="s">
        <v>174</v>
      </c>
      <c r="P507" s="266" t="s">
        <v>174</v>
      </c>
      <c r="Q507" s="266" t="s">
        <v>174</v>
      </c>
      <c r="R507" s="266">
        <v>4.0</v>
      </c>
      <c r="S507" s="266" t="s">
        <v>3151</v>
      </c>
      <c r="T507" s="266">
        <v>192.0</v>
      </c>
      <c r="U507" s="266" t="s">
        <v>5387</v>
      </c>
      <c r="V507" s="266">
        <v>6.0</v>
      </c>
      <c r="W507" s="710" t="s">
        <v>5576</v>
      </c>
      <c r="X507" s="266">
        <v>4.0</v>
      </c>
      <c r="Y507" s="266">
        <v>4.0</v>
      </c>
      <c r="Z507" s="266" t="s">
        <v>166</v>
      </c>
      <c r="AA507" s="266">
        <v>1.0</v>
      </c>
      <c r="AB507" s="266" t="s">
        <v>166</v>
      </c>
      <c r="AC507" s="266">
        <v>1.0</v>
      </c>
      <c r="AD507" s="266" t="s">
        <v>166</v>
      </c>
      <c r="AE507" s="266" t="s">
        <v>166</v>
      </c>
      <c r="AF507" s="266">
        <f t="shared" si="1"/>
        <v>10</v>
      </c>
      <c r="AG507" s="266">
        <v>2.0</v>
      </c>
      <c r="AH507" s="266">
        <v>1.0</v>
      </c>
      <c r="AI507" s="266" t="s">
        <v>5025</v>
      </c>
      <c r="AJ507" s="266">
        <v>1.0</v>
      </c>
      <c r="AK507" s="48" t="s">
        <v>5038</v>
      </c>
      <c r="AL507" s="48">
        <v>2.5</v>
      </c>
      <c r="AM507" s="48" t="s">
        <v>166</v>
      </c>
      <c r="AN507" s="48" t="s">
        <v>166</v>
      </c>
      <c r="AO507" s="705" t="s">
        <v>166</v>
      </c>
      <c r="AP507" s="266" t="s">
        <v>166</v>
      </c>
      <c r="AQ507" s="266" t="s">
        <v>166</v>
      </c>
      <c r="AR507" s="48" t="s">
        <v>5050</v>
      </c>
      <c r="AS507" s="266" t="s">
        <v>174</v>
      </c>
      <c r="AT507" s="266">
        <v>2.0</v>
      </c>
      <c r="AU507" s="266" t="s">
        <v>166</v>
      </c>
      <c r="AV507" s="266">
        <v>1.0</v>
      </c>
      <c r="AW507" s="266">
        <v>1.0</v>
      </c>
      <c r="AX507" s="266" t="s">
        <v>166</v>
      </c>
      <c r="AY507" s="266" t="s">
        <v>166</v>
      </c>
      <c r="AZ507" s="266">
        <v>6.0</v>
      </c>
      <c r="BA507" s="266">
        <v>2.0</v>
      </c>
      <c r="BB507" s="266">
        <v>2.0</v>
      </c>
      <c r="BC507" s="266" t="s">
        <v>166</v>
      </c>
      <c r="BD507" s="266" t="s">
        <v>174</v>
      </c>
      <c r="BE507" s="48" t="s">
        <v>170</v>
      </c>
      <c r="BF507" s="48" t="s">
        <v>5800</v>
      </c>
      <c r="BG507" s="48" t="s">
        <v>4955</v>
      </c>
      <c r="BH507" s="48">
        <v>12.0</v>
      </c>
      <c r="BI507" s="698" t="s">
        <v>5087</v>
      </c>
      <c r="BJ507" s="698"/>
      <c r="BK507" s="394"/>
      <c r="BL507" s="394"/>
      <c r="BM507" s="394"/>
      <c r="BN507" s="394"/>
      <c r="BO507" s="394"/>
      <c r="BP507" s="394"/>
    </row>
    <row r="508">
      <c r="A508" s="266" t="s">
        <v>1688</v>
      </c>
      <c r="B508" s="48">
        <v>1700.0</v>
      </c>
      <c r="C508" s="266" t="s">
        <v>5409</v>
      </c>
      <c r="D508" s="452" t="str">
        <f t="shared" si="61"/>
        <v>Gigabyte</v>
      </c>
      <c r="E508" s="174" t="s">
        <v>6045</v>
      </c>
      <c r="F508" s="266">
        <v>244.0</v>
      </c>
      <c r="G508" s="266">
        <v>244.0</v>
      </c>
      <c r="H508" s="266">
        <v>5.0</v>
      </c>
      <c r="I508" s="266" t="s">
        <v>166</v>
      </c>
      <c r="J508" s="266" t="s">
        <v>166</v>
      </c>
      <c r="K508" s="266" t="s">
        <v>166</v>
      </c>
      <c r="L508" s="266" t="s">
        <v>166</v>
      </c>
      <c r="M508" s="266">
        <v>2.0</v>
      </c>
      <c r="N508" s="266" t="s">
        <v>174</v>
      </c>
      <c r="O508" s="266" t="s">
        <v>174</v>
      </c>
      <c r="P508" s="266" t="s">
        <v>174</v>
      </c>
      <c r="Q508" s="266" t="s">
        <v>174</v>
      </c>
      <c r="R508" s="266">
        <v>4.0</v>
      </c>
      <c r="S508" s="266" t="s">
        <v>3151</v>
      </c>
      <c r="T508" s="266">
        <v>192.0</v>
      </c>
      <c r="U508" s="266" t="s">
        <v>5387</v>
      </c>
      <c r="V508" s="266">
        <v>6.0</v>
      </c>
      <c r="W508" s="710" t="s">
        <v>5576</v>
      </c>
      <c r="X508" s="266">
        <v>4.0</v>
      </c>
      <c r="Y508" s="266">
        <v>4.0</v>
      </c>
      <c r="Z508" s="266" t="s">
        <v>166</v>
      </c>
      <c r="AA508" s="266">
        <v>1.0</v>
      </c>
      <c r="AB508" s="266" t="s">
        <v>166</v>
      </c>
      <c r="AC508" s="266">
        <v>1.0</v>
      </c>
      <c r="AD508" s="266" t="s">
        <v>166</v>
      </c>
      <c r="AE508" s="266" t="s">
        <v>166</v>
      </c>
      <c r="AF508" s="266">
        <f t="shared" si="1"/>
        <v>10</v>
      </c>
      <c r="AG508" s="266">
        <v>2.0</v>
      </c>
      <c r="AH508" s="266">
        <v>1.0</v>
      </c>
      <c r="AI508" s="266" t="s">
        <v>5025</v>
      </c>
      <c r="AJ508" s="266">
        <v>1.0</v>
      </c>
      <c r="AK508" s="48" t="s">
        <v>5038</v>
      </c>
      <c r="AL508" s="48">
        <v>2.5</v>
      </c>
      <c r="AM508" s="48" t="s">
        <v>166</v>
      </c>
      <c r="AN508" s="48" t="s">
        <v>166</v>
      </c>
      <c r="AO508" s="705" t="s">
        <v>166</v>
      </c>
      <c r="AP508" s="266" t="s">
        <v>166</v>
      </c>
      <c r="AQ508" s="266" t="s">
        <v>166</v>
      </c>
      <c r="AR508" s="48" t="s">
        <v>4952</v>
      </c>
      <c r="AS508" s="266" t="s">
        <v>174</v>
      </c>
      <c r="AT508" s="266">
        <v>2.0</v>
      </c>
      <c r="AU508" s="266" t="s">
        <v>166</v>
      </c>
      <c r="AV508" s="266">
        <v>1.0</v>
      </c>
      <c r="AW508" s="266">
        <v>1.0</v>
      </c>
      <c r="AX508" s="266" t="s">
        <v>166</v>
      </c>
      <c r="AY508" s="266" t="s">
        <v>166</v>
      </c>
      <c r="AZ508" s="266">
        <v>6.0</v>
      </c>
      <c r="BA508" s="266">
        <v>2.0</v>
      </c>
      <c r="BB508" s="266">
        <v>2.0</v>
      </c>
      <c r="BC508" s="266" t="s">
        <v>166</v>
      </c>
      <c r="BD508" s="266" t="s">
        <v>174</v>
      </c>
      <c r="BE508" s="48" t="s">
        <v>170</v>
      </c>
      <c r="BF508" s="48" t="s">
        <v>5800</v>
      </c>
      <c r="BG508" s="48" t="s">
        <v>4955</v>
      </c>
      <c r="BH508" s="48">
        <v>12.0</v>
      </c>
      <c r="BI508" s="698" t="s">
        <v>5087</v>
      </c>
      <c r="BJ508" s="698"/>
      <c r="BK508" s="394"/>
      <c r="BL508" s="394"/>
      <c r="BM508" s="394"/>
      <c r="BN508" s="394"/>
      <c r="BO508" s="394"/>
      <c r="BP508" s="394"/>
    </row>
    <row r="509">
      <c r="A509" s="266" t="s">
        <v>1688</v>
      </c>
      <c r="B509" s="48">
        <v>1700.0</v>
      </c>
      <c r="C509" s="266" t="s">
        <v>5409</v>
      </c>
      <c r="D509" s="452" t="str">
        <f t="shared" si="61"/>
        <v>Gigabyte</v>
      </c>
      <c r="E509" s="174" t="s">
        <v>6046</v>
      </c>
      <c r="F509" s="266">
        <v>244.0</v>
      </c>
      <c r="G509" s="266">
        <v>244.0</v>
      </c>
      <c r="H509" s="266">
        <v>5.0</v>
      </c>
      <c r="I509" s="266" t="s">
        <v>166</v>
      </c>
      <c r="J509" s="266" t="s">
        <v>166</v>
      </c>
      <c r="K509" s="266" t="s">
        <v>166</v>
      </c>
      <c r="L509" s="266" t="s">
        <v>166</v>
      </c>
      <c r="M509" s="266">
        <v>2.0</v>
      </c>
      <c r="N509" s="266" t="s">
        <v>174</v>
      </c>
      <c r="O509" s="266" t="s">
        <v>174</v>
      </c>
      <c r="P509" s="266" t="s">
        <v>174</v>
      </c>
      <c r="Q509" s="266" t="s">
        <v>174</v>
      </c>
      <c r="R509" s="266">
        <v>4.0</v>
      </c>
      <c r="S509" s="266" t="s">
        <v>3151</v>
      </c>
      <c r="T509" s="266">
        <v>192.0</v>
      </c>
      <c r="U509" s="266" t="s">
        <v>5387</v>
      </c>
      <c r="V509" s="266">
        <v>6.0</v>
      </c>
      <c r="W509" s="710" t="s">
        <v>5576</v>
      </c>
      <c r="X509" s="266">
        <v>4.0</v>
      </c>
      <c r="Y509" s="266">
        <v>4.0</v>
      </c>
      <c r="Z509" s="266" t="s">
        <v>166</v>
      </c>
      <c r="AA509" s="266">
        <v>1.0</v>
      </c>
      <c r="AB509" s="266" t="s">
        <v>166</v>
      </c>
      <c r="AC509" s="266">
        <v>1.0</v>
      </c>
      <c r="AD509" s="266" t="s">
        <v>166</v>
      </c>
      <c r="AE509" s="266" t="s">
        <v>166</v>
      </c>
      <c r="AF509" s="266">
        <f t="shared" si="1"/>
        <v>10</v>
      </c>
      <c r="AG509" s="266">
        <v>2.0</v>
      </c>
      <c r="AH509" s="266">
        <v>1.0</v>
      </c>
      <c r="AI509" s="266" t="s">
        <v>5025</v>
      </c>
      <c r="AJ509" s="266">
        <v>1.0</v>
      </c>
      <c r="AK509" s="48" t="s">
        <v>5038</v>
      </c>
      <c r="AL509" s="48">
        <v>2.5</v>
      </c>
      <c r="AM509" s="48">
        <v>1.0</v>
      </c>
      <c r="AN509" s="48" t="s">
        <v>5044</v>
      </c>
      <c r="AO509" s="705" t="s">
        <v>5376</v>
      </c>
      <c r="AP509" s="266">
        <v>2400.0</v>
      </c>
      <c r="AQ509" s="266">
        <v>5.2</v>
      </c>
      <c r="AR509" s="48" t="s">
        <v>5050</v>
      </c>
      <c r="AS509" s="266" t="s">
        <v>174</v>
      </c>
      <c r="AT509" s="266">
        <v>2.0</v>
      </c>
      <c r="AU509" s="266" t="s">
        <v>166</v>
      </c>
      <c r="AV509" s="266">
        <v>1.0</v>
      </c>
      <c r="AW509" s="266">
        <v>1.0</v>
      </c>
      <c r="AX509" s="266" t="s">
        <v>166</v>
      </c>
      <c r="AY509" s="266" t="s">
        <v>166</v>
      </c>
      <c r="AZ509" s="266">
        <v>6.0</v>
      </c>
      <c r="BA509" s="266">
        <v>2.0</v>
      </c>
      <c r="BB509" s="266">
        <v>2.0</v>
      </c>
      <c r="BC509" s="266" t="s">
        <v>166</v>
      </c>
      <c r="BD509" s="266" t="s">
        <v>174</v>
      </c>
      <c r="BE509" s="48" t="s">
        <v>170</v>
      </c>
      <c r="BF509" s="48" t="s">
        <v>5800</v>
      </c>
      <c r="BG509" s="48" t="s">
        <v>4955</v>
      </c>
      <c r="BH509" s="48">
        <v>12.0</v>
      </c>
      <c r="BI509" s="698" t="s">
        <v>5087</v>
      </c>
      <c r="BJ509" s="698"/>
      <c r="BK509" s="394"/>
      <c r="BL509" s="394"/>
      <c r="BM509" s="394"/>
      <c r="BN509" s="394"/>
      <c r="BO509" s="394"/>
      <c r="BP509" s="394"/>
    </row>
    <row r="510">
      <c r="A510" s="266" t="s">
        <v>1688</v>
      </c>
      <c r="B510" s="48">
        <v>1700.0</v>
      </c>
      <c r="C510" s="266" t="s">
        <v>5409</v>
      </c>
      <c r="D510" s="452" t="str">
        <f t="shared" si="61"/>
        <v>Gigabyte</v>
      </c>
      <c r="E510" s="174" t="s">
        <v>6047</v>
      </c>
      <c r="F510" s="266">
        <v>244.0</v>
      </c>
      <c r="G510" s="266">
        <v>244.0</v>
      </c>
      <c r="H510" s="266">
        <v>5.0</v>
      </c>
      <c r="I510" s="266" t="s">
        <v>166</v>
      </c>
      <c r="J510" s="266" t="s">
        <v>166</v>
      </c>
      <c r="K510" s="266" t="s">
        <v>166</v>
      </c>
      <c r="L510" s="266" t="s">
        <v>166</v>
      </c>
      <c r="M510" s="266">
        <v>2.0</v>
      </c>
      <c r="N510" s="266" t="s">
        <v>174</v>
      </c>
      <c r="O510" s="266" t="s">
        <v>174</v>
      </c>
      <c r="P510" s="266" t="s">
        <v>174</v>
      </c>
      <c r="Q510" s="266" t="s">
        <v>174</v>
      </c>
      <c r="R510" s="266">
        <v>4.0</v>
      </c>
      <c r="S510" s="266" t="s">
        <v>3151</v>
      </c>
      <c r="T510" s="266">
        <v>192.0</v>
      </c>
      <c r="U510" s="266" t="s">
        <v>5387</v>
      </c>
      <c r="V510" s="266">
        <v>6.0</v>
      </c>
      <c r="W510" s="710" t="s">
        <v>5576</v>
      </c>
      <c r="X510" s="266">
        <v>4.0</v>
      </c>
      <c r="Y510" s="266">
        <v>4.0</v>
      </c>
      <c r="Z510" s="266" t="s">
        <v>166</v>
      </c>
      <c r="AA510" s="266">
        <v>1.0</v>
      </c>
      <c r="AB510" s="266" t="s">
        <v>166</v>
      </c>
      <c r="AC510" s="266">
        <v>1.0</v>
      </c>
      <c r="AD510" s="266" t="s">
        <v>166</v>
      </c>
      <c r="AE510" s="266" t="s">
        <v>166</v>
      </c>
      <c r="AF510" s="266">
        <f t="shared" si="1"/>
        <v>10</v>
      </c>
      <c r="AG510" s="266">
        <v>2.0</v>
      </c>
      <c r="AH510" s="266">
        <v>1.0</v>
      </c>
      <c r="AI510" s="266" t="s">
        <v>5025</v>
      </c>
      <c r="AJ510" s="266">
        <v>1.0</v>
      </c>
      <c r="AK510" s="48" t="s">
        <v>5038</v>
      </c>
      <c r="AL510" s="48">
        <v>2.5</v>
      </c>
      <c r="AM510" s="48">
        <v>1.0</v>
      </c>
      <c r="AN510" s="48" t="s">
        <v>5044</v>
      </c>
      <c r="AO510" s="705" t="s">
        <v>5090</v>
      </c>
      <c r="AP510" s="266">
        <v>2400.0</v>
      </c>
      <c r="AQ510" s="266">
        <v>5.3</v>
      </c>
      <c r="AR510" s="48" t="s">
        <v>4952</v>
      </c>
      <c r="AS510" s="266" t="s">
        <v>174</v>
      </c>
      <c r="AT510" s="266">
        <v>2.0</v>
      </c>
      <c r="AU510" s="266" t="s">
        <v>166</v>
      </c>
      <c r="AV510" s="266">
        <v>1.0</v>
      </c>
      <c r="AW510" s="266">
        <v>1.0</v>
      </c>
      <c r="AX510" s="266" t="s">
        <v>166</v>
      </c>
      <c r="AY510" s="266" t="s">
        <v>166</v>
      </c>
      <c r="AZ510" s="266">
        <v>6.0</v>
      </c>
      <c r="BA510" s="266">
        <v>2.0</v>
      </c>
      <c r="BB510" s="266">
        <v>2.0</v>
      </c>
      <c r="BC510" s="266" t="s">
        <v>166</v>
      </c>
      <c r="BD510" s="266" t="s">
        <v>174</v>
      </c>
      <c r="BE510" s="48" t="s">
        <v>170</v>
      </c>
      <c r="BF510" s="48" t="s">
        <v>5800</v>
      </c>
      <c r="BG510" s="48" t="s">
        <v>4955</v>
      </c>
      <c r="BH510" s="48">
        <v>12.0</v>
      </c>
      <c r="BI510" s="698" t="s">
        <v>5087</v>
      </c>
      <c r="BJ510" s="698"/>
      <c r="BK510" s="394"/>
      <c r="BL510" s="394"/>
      <c r="BM510" s="394"/>
      <c r="BN510" s="394"/>
      <c r="BO510" s="394"/>
      <c r="BP510" s="394"/>
    </row>
    <row r="511">
      <c r="A511" s="266" t="s">
        <v>1688</v>
      </c>
      <c r="B511" s="48">
        <v>1700.0</v>
      </c>
      <c r="C511" s="266" t="s">
        <v>5409</v>
      </c>
      <c r="D511" s="174" t="s">
        <v>3565</v>
      </c>
      <c r="E511" s="174" t="s">
        <v>6048</v>
      </c>
      <c r="F511" s="266">
        <v>244.0</v>
      </c>
      <c r="G511" s="266">
        <v>244.0</v>
      </c>
      <c r="H511" s="266">
        <v>5.0</v>
      </c>
      <c r="I511" s="266" t="s">
        <v>166</v>
      </c>
      <c r="J511" s="266" t="s">
        <v>166</v>
      </c>
      <c r="K511" s="266">
        <v>1.0</v>
      </c>
      <c r="L511" s="266" t="s">
        <v>166</v>
      </c>
      <c r="M511" s="266">
        <v>1.0</v>
      </c>
      <c r="N511" s="266" t="s">
        <v>174</v>
      </c>
      <c r="O511" s="266" t="s">
        <v>174</v>
      </c>
      <c r="P511" s="266" t="s">
        <v>166</v>
      </c>
      <c r="Q511" s="266" t="s">
        <v>174</v>
      </c>
      <c r="R511" s="266">
        <v>4.0</v>
      </c>
      <c r="S511" s="266" t="s">
        <v>3151</v>
      </c>
      <c r="T511" s="266">
        <v>192.0</v>
      </c>
      <c r="U511" s="266" t="s">
        <v>5223</v>
      </c>
      <c r="V511" s="266">
        <v>4.0</v>
      </c>
      <c r="W511" s="710" t="s">
        <v>6049</v>
      </c>
      <c r="X511" s="266">
        <v>4.0</v>
      </c>
      <c r="Y511" s="266">
        <v>4.0</v>
      </c>
      <c r="Z511" s="266" t="s">
        <v>166</v>
      </c>
      <c r="AA511" s="266" t="s">
        <v>166</v>
      </c>
      <c r="AB511" s="266" t="s">
        <v>166</v>
      </c>
      <c r="AC511" s="266">
        <v>1.0</v>
      </c>
      <c r="AD511" s="266" t="s">
        <v>166</v>
      </c>
      <c r="AE511" s="266" t="s">
        <v>166</v>
      </c>
      <c r="AF511" s="266">
        <f t="shared" si="1"/>
        <v>9</v>
      </c>
      <c r="AG511" s="266">
        <v>1.0</v>
      </c>
      <c r="AH511" s="266">
        <v>1.0</v>
      </c>
      <c r="AI511" s="266" t="s">
        <v>5025</v>
      </c>
      <c r="AJ511" s="266">
        <v>1.0</v>
      </c>
      <c r="AK511" s="48" t="s">
        <v>5038</v>
      </c>
      <c r="AL511" s="48">
        <v>2.5</v>
      </c>
      <c r="AM511" s="48">
        <v>1.0</v>
      </c>
      <c r="AN511" s="48" t="s">
        <v>166</v>
      </c>
      <c r="AO511" s="705" t="s">
        <v>232</v>
      </c>
      <c r="AP511" s="266" t="s">
        <v>166</v>
      </c>
      <c r="AQ511" s="266" t="s">
        <v>166</v>
      </c>
      <c r="AR511" s="48" t="s">
        <v>5039</v>
      </c>
      <c r="AS511" s="266" t="s">
        <v>174</v>
      </c>
      <c r="AT511" s="266">
        <v>5.0</v>
      </c>
      <c r="AU511" s="266" t="s">
        <v>166</v>
      </c>
      <c r="AV511" s="266">
        <v>1.0</v>
      </c>
      <c r="AW511" s="266">
        <v>1.0</v>
      </c>
      <c r="AX511" s="266" t="s">
        <v>166</v>
      </c>
      <c r="AY511" s="266" t="s">
        <v>166</v>
      </c>
      <c r="AZ511" s="266">
        <v>6.0</v>
      </c>
      <c r="BA511" s="266">
        <v>1.0</v>
      </c>
      <c r="BB511" s="266">
        <v>2.0</v>
      </c>
      <c r="BC511" s="266" t="s">
        <v>174</v>
      </c>
      <c r="BD511" s="266" t="s">
        <v>174</v>
      </c>
      <c r="BE511" s="48" t="s">
        <v>5328</v>
      </c>
      <c r="BF511" s="48" t="s">
        <v>5226</v>
      </c>
      <c r="BG511" s="48" t="s">
        <v>4963</v>
      </c>
      <c r="BH511" s="48">
        <v>8.0</v>
      </c>
      <c r="BI511" s="698" t="s">
        <v>5009</v>
      </c>
      <c r="BJ511" s="698" t="s">
        <v>5035</v>
      </c>
      <c r="BK511" s="394"/>
      <c r="BL511" s="394"/>
      <c r="BM511" s="394"/>
      <c r="BN511" s="394"/>
      <c r="BO511" s="394"/>
      <c r="BP511" s="394"/>
    </row>
  </sheetData>
  <autoFilter ref="$A$1:$BJ$511"/>
  <customSheetViews>
    <customSheetView guid="{BE57C4BF-69E9-4827-9149-EC31389B5A17}" filter="1" showAutoFilter="1">
      <autoFilter ref="$A$1:$BJ$511">
        <filterColumn colId="0">
          <filters>
            <filter val="AMD"/>
          </filters>
        </filterColumn>
      </autoFilter>
    </customSheetView>
    <customSheetView guid="{5186E655-6EAC-4D79-B842-62727023EE74}" filter="1" showAutoFilter="1">
      <autoFilter ref="$A$1:$BJ$511">
        <filterColumn colId="16">
          <filters>
            <filter val="Y"/>
          </filters>
        </filterColumn>
      </autoFilter>
    </customSheetView>
    <customSheetView guid="{FEC9776A-FB8E-4FCD-8FB6-CF302DEEF00D}" filter="1" showAutoFilter="1">
      <autoFilter ref="$A$1:$BJ$511">
        <filterColumn colId="0">
          <filters>
            <filter val="Intel"/>
          </filters>
        </filterColumn>
        <filterColumn colId="1">
          <filters>
            <filter val="1151 v2"/>
            <filter val="SP3"/>
            <filter val="AM4"/>
            <filter val="AM5"/>
          </filters>
        </filterColumn>
      </autoFilter>
    </customSheetView>
    <customSheetView guid="{B4ED1059-3735-470A-B4E2-A780753516DA}" filter="1" showAutoFilter="1">
      <autoFilter ref="$A$1:$BJ$511">
        <filterColumn colId="0">
          <filters>
            <filter val="Intel"/>
          </filters>
        </filterColumn>
        <filterColumn colId="1">
          <filters>
            <filter val="1200"/>
            <filter val="SP3"/>
            <filter val="AM4"/>
            <filter val="AM5"/>
          </filters>
        </filterColumn>
      </autoFilter>
    </customSheetView>
    <customSheetView guid="{A629B1BA-189F-4114-87D5-8ECCF4F02AB1}" filter="1" showAutoFilter="1">
      <autoFilter ref="$A$1:$BJ$511">
        <filterColumn colId="44">
          <filters>
            <filter val="Y"/>
          </filters>
        </filterColumn>
      </autoFilter>
    </customSheetView>
    <customSheetView guid="{76A08345-79E7-48F6-B038-2C174A0EE745}" filter="1" showAutoFilter="1">
      <autoFilter ref="$A$1:$BJ$511">
        <filterColumn colId="0">
          <filters>
            <filter val="AMD"/>
          </filters>
        </filterColumn>
        <filterColumn colId="1">
          <filters>
            <filter val="1151 v2"/>
            <filter val="1700"/>
            <filter val="1200"/>
            <filter val="AM5"/>
          </filters>
        </filterColumn>
      </autoFilter>
    </customSheetView>
    <customSheetView guid="{6890B77D-197E-478A-9A61-D2A76B50FDCE}" filter="1" showAutoFilter="1">
      <autoFilter ref="$A$1:$BJ$511">
        <sortState ref="A1:BJ511">
          <sortCondition ref="D1:D511"/>
        </sortState>
      </autoFilter>
    </customSheetView>
    <customSheetView guid="{F897B97F-B171-4E8B-A78B-C117AEFB3DFC}" filter="1" showAutoFilter="1">
      <autoFilter ref="$A$1:$BJ$511">
        <filterColumn colId="5">
          <customFilters>
            <customFilter operator="lessThanOrEqual" val="226"/>
          </customFilters>
        </filterColumn>
        <filterColumn colId="6">
          <customFilters>
            <customFilter operator="lessThanOrEqual" val="173"/>
          </customFilters>
        </filterColumn>
      </autoFilter>
    </customSheetView>
    <customSheetView guid="{677EE374-6E09-4D7E-B493-0A41E30893FA}" filter="1" showAutoFilter="1">
      <autoFilter ref="$A$1:$BJ$511"/>
    </customSheetView>
    <customSheetView guid="{1303F21E-1A49-440C-B5F6-A976CE2E6597}" filter="1" showAutoFilter="1">
      <autoFilter ref="$A$1:$BJ$511">
        <filterColumn colId="15">
          <filters>
            <filter val="Y"/>
          </filters>
        </filterColumn>
      </autoFilter>
    </customSheetView>
    <customSheetView guid="{F073429D-2B61-407C-BCF4-9416A9221F14}" filter="1" showAutoFilter="1">
      <autoFilter ref="$A$1:$BJ$511">
        <filterColumn colId="5">
          <customFilters>
            <customFilter operator="lessThanOrEqual" val="226"/>
          </customFilters>
        </filterColumn>
        <filterColumn colId="6">
          <customFilters>
            <customFilter operator="lessThanOrEqual" val="244"/>
          </customFilters>
        </filterColumn>
      </autoFilter>
    </customSheetView>
    <customSheetView guid="{B5271078-FE6D-4C5D-9703-911A5D0A7416}" filter="1" showAutoFilter="1">
      <autoFilter ref="$A$1:$BJ$511">
        <filterColumn colId="13">
          <filters>
            <filter val="Y"/>
          </filters>
        </filterColumn>
      </autoFilter>
    </customSheetView>
    <customSheetView guid="{E8001174-015C-4430-9F21-728090371E9D}" filter="1" showAutoFilter="1">
      <autoFilter ref="$A$1:$BJ$511">
        <filterColumn colId="0">
          <filters>
            <filter val="Intel"/>
          </filters>
        </filterColumn>
      </autoFilter>
    </customSheetView>
    <customSheetView guid="{8C6CAA53-755F-4D7E-9ABD-2FAC383E5622}" filter="1" showAutoFilter="1">
      <autoFilter ref="$A$1:$BJ$511">
        <filterColumn colId="54">
          <filters>
            <filter val="Y"/>
          </filters>
        </filterColumn>
      </autoFilter>
    </customSheetView>
    <customSheetView guid="{B7BDA02A-DFE4-4636-A941-3478BCF006D1}" filter="1" showAutoFilter="1">
      <autoFilter ref="$A$1:$BJ$511">
        <filterColumn colId="0">
          <filters>
            <filter val="AMD"/>
          </filters>
        </filterColumn>
        <filterColumn colId="1">
          <filters>
            <filter val="1151 v2"/>
            <filter val="1700"/>
            <filter val="1200"/>
            <filter val="AM4"/>
          </filters>
        </filterColumn>
      </autoFilter>
    </customSheetView>
    <customSheetView guid="{3081402C-586B-4A7A-8352-EABE724DB239}" filter="1" showAutoFilter="1">
      <autoFilter ref="$A$1:$BJ$511">
        <filterColumn colId="0">
          <filters>
            <filter val="Intel"/>
          </filters>
        </filterColumn>
        <filterColumn colId="1">
          <filters>
            <filter val="1700"/>
            <filter val="SP3"/>
            <filter val="AM4"/>
            <filter val="AM5"/>
          </filters>
        </filterColumn>
      </autoFilter>
    </customSheetView>
  </customSheetViews>
  <conditionalFormatting sqref="AI2:AI511">
    <cfRule type="beginsWith" dxfId="3" priority="1" operator="beginsWith" text="Y">
      <formula>LEFT((AI2),LEN("Y"))=("Y")</formula>
    </cfRule>
  </conditionalFormatting>
  <conditionalFormatting sqref="N2:N511">
    <cfRule type="cellIs" dxfId="3" priority="2" operator="equal">
      <formula>"Y"</formula>
    </cfRule>
  </conditionalFormatting>
  <conditionalFormatting sqref="AP2:AP511">
    <cfRule type="colorScale" priority="3">
      <colorScale>
        <cfvo type="min"/>
        <cfvo type="percentile" val="50"/>
        <cfvo type="max"/>
        <color rgb="FFE67C73"/>
        <color rgb="FFFFD666"/>
        <color rgb="FF57BB8A"/>
      </colorScale>
    </cfRule>
  </conditionalFormatting>
  <conditionalFormatting sqref="BE2:BG511 BH25:BH34">
    <cfRule type="colorScale" priority="4">
      <colorScale>
        <cfvo type="min"/>
        <cfvo type="percentile" val="50"/>
        <cfvo type="max"/>
        <color rgb="FFE67C73"/>
        <color rgb="FFFFD666"/>
        <color rgb="FF57BB8A"/>
      </colorScale>
    </cfRule>
  </conditionalFormatting>
  <conditionalFormatting sqref="BH2:BH511">
    <cfRule type="colorScale" priority="5">
      <colorScale>
        <cfvo type="min"/>
        <cfvo type="percentile" val="50"/>
        <cfvo type="max"/>
        <color rgb="FFE67C73"/>
        <color rgb="FFFFD666"/>
        <color rgb="FF57BB8A"/>
      </colorScale>
    </cfRule>
  </conditionalFormatting>
  <conditionalFormatting sqref="BA2:BD511">
    <cfRule type="cellIs" dxfId="3" priority="6" operator="equal">
      <formula>"Y"</formula>
    </cfRule>
  </conditionalFormatting>
  <conditionalFormatting sqref="O2:Q511">
    <cfRule type="cellIs" dxfId="3" priority="7" operator="equal">
      <formula>"Y"</formula>
    </cfRule>
  </conditionalFormatting>
  <conditionalFormatting sqref="AS2:AS511">
    <cfRule type="cellIs" dxfId="3" priority="8" operator="equal">
      <formula>"Y"</formula>
    </cfRule>
  </conditionalFormatting>
  <hyperlinks>
    <hyperlink r:id="rId2" ref="D2"/>
    <hyperlink r:id="rId3" ref="E2"/>
    <hyperlink r:id="rId4" ref="E3"/>
    <hyperlink r:id="rId5" ref="E4"/>
    <hyperlink r:id="rId6" ref="E5"/>
    <hyperlink r:id="rId7" ref="E6"/>
    <hyperlink r:id="rId8" location="kf" ref="E7"/>
    <hyperlink r:id="rId9" ref="E8"/>
    <hyperlink r:id="rId10" location="kf" ref="E9"/>
    <hyperlink r:id="rId11" location="kf" ref="E10"/>
    <hyperlink r:id="rId12" location="kf" ref="E11"/>
    <hyperlink r:id="rId13" ref="E12"/>
    <hyperlink r:id="rId14" ref="E13"/>
    <hyperlink r:id="rId15" ref="E14"/>
    <hyperlink r:id="rId16" ref="E15"/>
    <hyperlink r:id="rId17" ref="E16"/>
    <hyperlink r:id="rId18" ref="E17"/>
    <hyperlink r:id="rId19" ref="E18"/>
    <hyperlink r:id="rId20" ref="E19"/>
    <hyperlink r:id="rId21" ref="D20"/>
    <hyperlink r:id="rId22" ref="E20"/>
    <hyperlink r:id="rId23" ref="D21"/>
    <hyperlink r:id="rId24" ref="E21"/>
    <hyperlink r:id="rId25" ref="D22"/>
    <hyperlink r:id="rId26" ref="E22"/>
    <hyperlink r:id="rId27" ref="D23"/>
    <hyperlink r:id="rId28" ref="E23"/>
    <hyperlink r:id="rId29" ref="D24"/>
    <hyperlink r:id="rId30" ref="E24"/>
    <hyperlink r:id="rId31" ref="D25"/>
    <hyperlink r:id="rId32" ref="E25"/>
    <hyperlink r:id="rId33" ref="D26"/>
    <hyperlink r:id="rId34" ref="E26"/>
    <hyperlink r:id="rId35" ref="E27"/>
    <hyperlink r:id="rId36" ref="E28"/>
    <hyperlink r:id="rId37" ref="E29"/>
    <hyperlink r:id="rId38" ref="E30"/>
    <hyperlink r:id="rId39" ref="E31"/>
    <hyperlink r:id="rId40" ref="E32"/>
    <hyperlink r:id="rId41" ref="E33"/>
    <hyperlink r:id="rId42" ref="E34"/>
    <hyperlink r:id="rId43" location="kf" ref="E35"/>
    <hyperlink r:id="rId44" location="kf" ref="E36"/>
    <hyperlink r:id="rId45" location="kf" ref="E37"/>
    <hyperlink r:id="rId46" ref="E38"/>
    <hyperlink r:id="rId47" ref="E39"/>
    <hyperlink r:id="rId48" ref="E40"/>
    <hyperlink r:id="rId49" ref="E41"/>
    <hyperlink r:id="rId50" ref="E42"/>
    <hyperlink r:id="rId51" ref="E43"/>
    <hyperlink r:id="rId52" ref="E44"/>
    <hyperlink r:id="rId53" ref="E45"/>
    <hyperlink r:id="rId54" ref="E46"/>
    <hyperlink r:id="rId55" ref="D47"/>
    <hyperlink r:id="rId56" ref="E47"/>
    <hyperlink r:id="rId57" ref="D48"/>
    <hyperlink r:id="rId58" ref="E48"/>
    <hyperlink r:id="rId59" ref="D49"/>
    <hyperlink r:id="rId60" ref="E49"/>
    <hyperlink r:id="rId61" ref="D50"/>
    <hyperlink r:id="rId62" ref="E50"/>
    <hyperlink r:id="rId63" ref="D51"/>
    <hyperlink r:id="rId64" ref="E51"/>
    <hyperlink r:id="rId65" ref="D52"/>
    <hyperlink r:id="rId66" ref="E52"/>
    <hyperlink r:id="rId67" ref="D53"/>
    <hyperlink r:id="rId68" location="Specifications" ref="E53"/>
    <hyperlink r:id="rId69" ref="D54"/>
    <hyperlink r:id="rId70" location="Specifications" ref="E54"/>
    <hyperlink r:id="rId71" ref="D55"/>
    <hyperlink r:id="rId72" location="Specifications" ref="E55"/>
    <hyperlink r:id="rId73" ref="E56"/>
    <hyperlink r:id="rId74" ref="E57"/>
    <hyperlink r:id="rId75" ref="E58"/>
    <hyperlink r:id="rId76" ref="E59"/>
    <hyperlink r:id="rId77" ref="E60"/>
    <hyperlink r:id="rId78" ref="E61"/>
    <hyperlink r:id="rId79" ref="E62"/>
    <hyperlink r:id="rId80" ref="E63"/>
    <hyperlink r:id="rId81" ref="E64"/>
    <hyperlink r:id="rId82" ref="E65"/>
    <hyperlink r:id="rId83" ref="E66"/>
    <hyperlink r:id="rId84" ref="E67"/>
    <hyperlink r:id="rId85" ref="E68"/>
    <hyperlink r:id="rId86" ref="E69"/>
    <hyperlink r:id="rId87" ref="E70"/>
    <hyperlink r:id="rId88" location="kf" ref="E71"/>
    <hyperlink r:id="rId89" location="kf" ref="E72"/>
    <hyperlink r:id="rId90" location="kf" ref="E73"/>
    <hyperlink r:id="rId91" location="kf" ref="E74"/>
    <hyperlink r:id="rId92" location="kf" ref="E75"/>
    <hyperlink r:id="rId93" location="kf" ref="E76"/>
    <hyperlink r:id="rId94" location="kf" ref="E77"/>
    <hyperlink r:id="rId95" location="kf" ref="E78"/>
    <hyperlink r:id="rId96" location="kf" ref="E79"/>
    <hyperlink r:id="rId97" ref="E80"/>
    <hyperlink r:id="rId98" ref="E81"/>
    <hyperlink r:id="rId99" ref="E82"/>
    <hyperlink r:id="rId100" ref="E83"/>
    <hyperlink r:id="rId101" ref="E84"/>
    <hyperlink r:id="rId102" ref="E85"/>
    <hyperlink r:id="rId103" ref="E86"/>
    <hyperlink r:id="rId104" ref="E87"/>
    <hyperlink r:id="rId105" ref="E88"/>
    <hyperlink r:id="rId106" ref="E89"/>
    <hyperlink r:id="rId107" ref="E90"/>
    <hyperlink r:id="rId108" ref="E91"/>
    <hyperlink r:id="rId109" ref="D92"/>
    <hyperlink r:id="rId110" ref="E92"/>
    <hyperlink r:id="rId111" ref="D93"/>
    <hyperlink r:id="rId112" location="Specifications" ref="E93"/>
    <hyperlink r:id="rId113" ref="E94"/>
    <hyperlink r:id="rId114" ref="D95"/>
    <hyperlink r:id="rId115" location="Specifications" ref="E95"/>
    <hyperlink r:id="rId116" ref="D96"/>
    <hyperlink r:id="rId117" location="Specifications" ref="E96"/>
    <hyperlink r:id="rId118" ref="D97"/>
    <hyperlink r:id="rId119" ref="E97"/>
    <hyperlink r:id="rId120" ref="D98"/>
    <hyperlink r:id="rId121" ref="E98"/>
    <hyperlink r:id="rId122" ref="D99"/>
    <hyperlink r:id="rId123" ref="E99"/>
    <hyperlink r:id="rId124" ref="D100"/>
    <hyperlink r:id="rId125" ref="E100"/>
    <hyperlink r:id="rId126" ref="E101"/>
    <hyperlink r:id="rId127" ref="E102"/>
    <hyperlink r:id="rId128" ref="E103"/>
    <hyperlink r:id="rId129" ref="E104"/>
    <hyperlink r:id="rId130" ref="E105"/>
    <hyperlink r:id="rId131" ref="E106"/>
    <hyperlink r:id="rId132" location="kf" ref="E107"/>
    <hyperlink r:id="rId133" location="kf" ref="E108"/>
    <hyperlink r:id="rId134" location="kf" ref="E109"/>
    <hyperlink r:id="rId135" ref="E110"/>
    <hyperlink r:id="rId136" location="kf" ref="E111"/>
    <hyperlink r:id="rId137" ref="E112"/>
    <hyperlink r:id="rId138" ref="D113"/>
    <hyperlink r:id="rId139" ref="E113"/>
    <hyperlink r:id="rId140" ref="D114"/>
    <hyperlink r:id="rId141" ref="E114"/>
    <hyperlink r:id="rId142" ref="D115"/>
    <hyperlink r:id="rId143" ref="E115"/>
    <hyperlink r:id="rId144" ref="D116"/>
    <hyperlink r:id="rId145" ref="E116"/>
    <hyperlink r:id="rId146" ref="D117"/>
    <hyperlink r:id="rId147" ref="E117"/>
    <hyperlink r:id="rId148" ref="E118"/>
    <hyperlink r:id="rId149" ref="E119"/>
    <hyperlink r:id="rId150" ref="E120"/>
    <hyperlink r:id="rId151" ref="E121"/>
    <hyperlink r:id="rId152" ref="E122"/>
    <hyperlink r:id="rId153" ref="E123"/>
    <hyperlink r:id="rId154" ref="E124"/>
    <hyperlink r:id="rId155" ref="E125"/>
    <hyperlink r:id="rId156" ref="E126"/>
    <hyperlink r:id="rId157" ref="E127"/>
    <hyperlink r:id="rId158" ref="E128"/>
    <hyperlink r:id="rId159" ref="E129"/>
    <hyperlink r:id="rId160" ref="E130"/>
    <hyperlink r:id="rId161" location="kf" ref="E131"/>
    <hyperlink r:id="rId162" location="kf" ref="E132"/>
    <hyperlink r:id="rId163" location="kf" ref="E133"/>
    <hyperlink r:id="rId164" location="kf" ref="E134"/>
    <hyperlink r:id="rId165" location="kf" ref="E135"/>
    <hyperlink r:id="rId166" location="kf" ref="E136"/>
    <hyperlink r:id="rId167" location="kf" ref="E137"/>
    <hyperlink r:id="rId168" ref="E138"/>
    <hyperlink r:id="rId169" ref="E139"/>
    <hyperlink r:id="rId170" ref="E140"/>
    <hyperlink r:id="rId171" ref="E141"/>
    <hyperlink r:id="rId172" ref="E142"/>
    <hyperlink r:id="rId173" ref="D143"/>
    <hyperlink r:id="rId174" location="Specifications" ref="E143"/>
    <hyperlink r:id="rId175" ref="D144"/>
    <hyperlink r:id="rId176" location="Specifications" ref="E144"/>
    <hyperlink r:id="rId177" ref="E145"/>
    <hyperlink r:id="rId178" ref="E146"/>
    <hyperlink r:id="rId179" ref="D147"/>
    <hyperlink r:id="rId180" location="Specifications" ref="E147"/>
    <hyperlink r:id="rId181" ref="D148"/>
    <hyperlink r:id="rId182" ref="E148"/>
    <hyperlink r:id="rId183" ref="D149"/>
    <hyperlink r:id="rId184" ref="E149"/>
    <hyperlink r:id="rId185" ref="D150"/>
    <hyperlink r:id="rId186" ref="E150"/>
    <hyperlink r:id="rId187" ref="D151"/>
    <hyperlink r:id="rId188" ref="E151"/>
    <hyperlink r:id="rId189" ref="D152"/>
    <hyperlink r:id="rId190" ref="E152"/>
    <hyperlink r:id="rId191" ref="D153"/>
    <hyperlink r:id="rId192" ref="E153"/>
    <hyperlink r:id="rId193" ref="D154"/>
    <hyperlink r:id="rId194" ref="E154"/>
    <hyperlink r:id="rId195" ref="E155"/>
    <hyperlink r:id="rId196" ref="E156"/>
    <hyperlink r:id="rId197" ref="E157"/>
    <hyperlink r:id="rId198" ref="E158"/>
    <hyperlink r:id="rId199" ref="E159"/>
    <hyperlink r:id="rId200" ref="E160"/>
    <hyperlink r:id="rId201" ref="E161"/>
    <hyperlink r:id="rId202" ref="E162"/>
    <hyperlink r:id="rId203" ref="E163"/>
    <hyperlink r:id="rId204" ref="E164"/>
    <hyperlink r:id="rId205" ref="E165"/>
    <hyperlink r:id="rId206" ref="E166"/>
    <hyperlink r:id="rId207" ref="E167"/>
    <hyperlink r:id="rId208" ref="E168"/>
    <hyperlink r:id="rId209" ref="E169"/>
    <hyperlink r:id="rId210" ref="E170"/>
    <hyperlink r:id="rId211" ref="E171"/>
    <hyperlink r:id="rId212" ref="E172"/>
    <hyperlink r:id="rId213" ref="E173"/>
    <hyperlink r:id="rId214" ref="E174"/>
    <hyperlink r:id="rId215" ref="E175"/>
    <hyperlink r:id="rId216" ref="E176"/>
    <hyperlink r:id="rId217" ref="E177"/>
    <hyperlink r:id="rId218" ref="E178"/>
    <hyperlink r:id="rId219" ref="E179"/>
    <hyperlink r:id="rId220" ref="E180"/>
    <hyperlink r:id="rId221" ref="E181"/>
    <hyperlink r:id="rId222" ref="E182"/>
    <hyperlink r:id="rId223" ref="E183"/>
    <hyperlink r:id="rId224" ref="E184"/>
    <hyperlink r:id="rId225" ref="E185"/>
    <hyperlink r:id="rId226" ref="E186"/>
    <hyperlink r:id="rId227" ref="D187"/>
    <hyperlink r:id="rId228" ref="E187"/>
    <hyperlink r:id="rId229" ref="E188"/>
    <hyperlink r:id="rId230" ref="E189"/>
    <hyperlink r:id="rId231" ref="E190"/>
    <hyperlink r:id="rId232" ref="E191"/>
    <hyperlink r:id="rId233" ref="E192"/>
    <hyperlink r:id="rId234" ref="E193"/>
    <hyperlink r:id="rId235" ref="E194"/>
    <hyperlink r:id="rId236" ref="E195"/>
    <hyperlink r:id="rId237" ref="E196"/>
    <hyperlink r:id="rId238" ref="E197"/>
    <hyperlink r:id="rId239" ref="E199"/>
    <hyperlink r:id="rId240" ref="E200"/>
    <hyperlink r:id="rId241" ref="E201"/>
    <hyperlink r:id="rId242" ref="E202"/>
    <hyperlink r:id="rId243" ref="E203"/>
    <hyperlink r:id="rId244" ref="E204"/>
    <hyperlink r:id="rId245" ref="E205"/>
    <hyperlink r:id="rId246" ref="E206"/>
    <hyperlink r:id="rId247" ref="E208"/>
    <hyperlink r:id="rId248" ref="D209"/>
    <hyperlink r:id="rId249" ref="E209"/>
    <hyperlink r:id="rId250" ref="D210"/>
    <hyperlink r:id="rId251" ref="E210"/>
    <hyperlink r:id="rId252" ref="E211"/>
    <hyperlink r:id="rId253" ref="E212"/>
    <hyperlink r:id="rId254" ref="E213"/>
    <hyperlink r:id="rId255" ref="E214"/>
    <hyperlink r:id="rId256" ref="E215"/>
    <hyperlink r:id="rId257" ref="E216"/>
    <hyperlink r:id="rId258" ref="E217"/>
    <hyperlink r:id="rId259" ref="E218"/>
    <hyperlink r:id="rId260" ref="E219"/>
    <hyperlink r:id="rId261" location="kf" ref="E220"/>
    <hyperlink r:id="rId262" ref="E221"/>
    <hyperlink r:id="rId263" ref="D222"/>
    <hyperlink r:id="rId264" ref="E222"/>
    <hyperlink r:id="rId265" ref="D223"/>
    <hyperlink r:id="rId266" ref="D224"/>
    <hyperlink r:id="rId267" ref="D225"/>
    <hyperlink r:id="rId268" ref="D226"/>
    <hyperlink r:id="rId269" ref="D227"/>
    <hyperlink r:id="rId270" ref="E228"/>
    <hyperlink r:id="rId271" ref="E229"/>
    <hyperlink r:id="rId272" ref="E230"/>
    <hyperlink r:id="rId273" ref="E231"/>
    <hyperlink r:id="rId274" ref="E232"/>
    <hyperlink r:id="rId275" location="kf" ref="E235"/>
    <hyperlink r:id="rId276" location="kf" ref="E236"/>
    <hyperlink r:id="rId277" location="kf" ref="E237"/>
    <hyperlink r:id="rId278" ref="E238"/>
    <hyperlink r:id="rId279" ref="E239"/>
    <hyperlink r:id="rId280" ref="D240"/>
    <hyperlink r:id="rId281" ref="D241"/>
    <hyperlink r:id="rId282" ref="E242"/>
    <hyperlink r:id="rId283" ref="E243"/>
    <hyperlink r:id="rId284" ref="E244"/>
    <hyperlink r:id="rId285" location="kf" ref="E245"/>
    <hyperlink r:id="rId286" location="kf" ref="E247"/>
    <hyperlink r:id="rId287" ref="E249"/>
    <hyperlink r:id="rId288" ref="E250"/>
    <hyperlink r:id="rId289" ref="D251"/>
    <hyperlink r:id="rId290" ref="E251"/>
    <hyperlink r:id="rId291" ref="D252"/>
    <hyperlink r:id="rId292" ref="E252"/>
    <hyperlink r:id="rId293" ref="D253"/>
    <hyperlink r:id="rId294" ref="E253"/>
    <hyperlink r:id="rId295" ref="D254"/>
    <hyperlink r:id="rId296" ref="E254"/>
    <hyperlink r:id="rId297" ref="E255"/>
    <hyperlink r:id="rId298" ref="E256"/>
    <hyperlink r:id="rId299" ref="E257"/>
    <hyperlink r:id="rId300" ref="E258"/>
    <hyperlink r:id="rId301" ref="E259"/>
    <hyperlink r:id="rId302" ref="E260"/>
    <hyperlink r:id="rId303" ref="E261"/>
    <hyperlink r:id="rId304" ref="E262"/>
    <hyperlink r:id="rId305" ref="E263"/>
    <hyperlink r:id="rId306" ref="E264"/>
    <hyperlink r:id="rId307" location="kf" ref="E265"/>
    <hyperlink r:id="rId308" location="kf" ref="E266"/>
    <hyperlink r:id="rId309" location="kf" ref="E267"/>
    <hyperlink r:id="rId310" location="kf" ref="E268"/>
    <hyperlink r:id="rId311" location="kf" ref="E269"/>
    <hyperlink r:id="rId312" location="kf" ref="E270"/>
    <hyperlink r:id="rId313" ref="E271"/>
    <hyperlink r:id="rId314" ref="E272"/>
    <hyperlink r:id="rId315" ref="D273"/>
    <hyperlink r:id="rId316" ref="E273"/>
    <hyperlink r:id="rId317" ref="D274"/>
    <hyperlink r:id="rId318" ref="E274"/>
    <hyperlink r:id="rId319" ref="E275"/>
    <hyperlink r:id="rId320" ref="E276"/>
    <hyperlink r:id="rId321" location="kf" ref="E277"/>
    <hyperlink r:id="rId322" location="kf" ref="E278"/>
    <hyperlink r:id="rId323" location="kf" ref="E279"/>
    <hyperlink r:id="rId324" location="kf" ref="E280"/>
    <hyperlink r:id="rId325" ref="E281"/>
    <hyperlink r:id="rId326" ref="E282"/>
    <hyperlink r:id="rId327" ref="E283"/>
    <hyperlink r:id="rId328" ref="E284"/>
    <hyperlink r:id="rId329" ref="D285"/>
    <hyperlink r:id="rId330" ref="E285"/>
    <hyperlink r:id="rId331" ref="D286"/>
    <hyperlink r:id="rId332" ref="E286"/>
    <hyperlink r:id="rId333" ref="E287"/>
    <hyperlink r:id="rId334" ref="D288"/>
    <hyperlink r:id="rId335" ref="E288"/>
    <hyperlink r:id="rId336" ref="D289"/>
    <hyperlink r:id="rId337" ref="E289"/>
    <hyperlink r:id="rId338" ref="D290"/>
    <hyperlink r:id="rId339" ref="E290"/>
    <hyperlink r:id="rId340" location="kf" ref="E291"/>
    <hyperlink r:id="rId341" location="kf" ref="E292"/>
    <hyperlink r:id="rId342" ref="E293"/>
    <hyperlink r:id="rId343" ref="E294"/>
    <hyperlink r:id="rId344" ref="D295"/>
    <hyperlink r:id="rId345" ref="E295"/>
    <hyperlink r:id="rId346" ref="D296"/>
    <hyperlink r:id="rId347" ref="E296"/>
    <hyperlink r:id="rId348" ref="D297"/>
    <hyperlink r:id="rId349" ref="E297"/>
    <hyperlink r:id="rId350" ref="D298"/>
    <hyperlink r:id="rId351" ref="E298"/>
    <hyperlink r:id="rId352" ref="E299"/>
    <hyperlink r:id="rId353" ref="E300"/>
    <hyperlink r:id="rId354" ref="E301"/>
    <hyperlink r:id="rId355" ref="E302"/>
    <hyperlink r:id="rId356" ref="E303"/>
    <hyperlink r:id="rId357" ref="E304"/>
    <hyperlink r:id="rId358" ref="E305"/>
    <hyperlink r:id="rId359" ref="E306"/>
    <hyperlink r:id="rId360" ref="E307"/>
    <hyperlink r:id="rId361" ref="E308"/>
    <hyperlink r:id="rId362" ref="E309"/>
    <hyperlink r:id="rId363" ref="E310"/>
    <hyperlink r:id="rId364" ref="E311"/>
    <hyperlink r:id="rId365" location="kf" ref="E312"/>
    <hyperlink r:id="rId366" location="kf" ref="E313"/>
    <hyperlink r:id="rId367" location="kf" ref="E314"/>
    <hyperlink r:id="rId368" location="kf" ref="E315"/>
    <hyperlink r:id="rId369" ref="D316"/>
    <hyperlink r:id="rId370" ref="E316"/>
    <hyperlink r:id="rId371" ref="E317"/>
    <hyperlink r:id="rId372" ref="E318"/>
    <hyperlink r:id="rId373" ref="E319"/>
    <hyperlink r:id="rId374" ref="E320"/>
    <hyperlink r:id="rId375" ref="E321"/>
    <hyperlink r:id="rId376" ref="E322"/>
    <hyperlink r:id="rId377" ref="E323"/>
    <hyperlink r:id="rId378" ref="D324"/>
    <hyperlink r:id="rId379" ref="E324"/>
    <hyperlink r:id="rId380" ref="D325"/>
    <hyperlink r:id="rId381" ref="E325"/>
    <hyperlink r:id="rId382" ref="D326"/>
    <hyperlink r:id="rId383" ref="E326"/>
    <hyperlink r:id="rId384" ref="D327"/>
    <hyperlink r:id="rId385" ref="E327"/>
    <hyperlink r:id="rId386" ref="D328"/>
    <hyperlink r:id="rId387" ref="E328"/>
    <hyperlink r:id="rId388" ref="D329"/>
    <hyperlink r:id="rId389" ref="E329"/>
    <hyperlink r:id="rId390" ref="D330"/>
    <hyperlink r:id="rId391" ref="E330"/>
    <hyperlink r:id="rId392" ref="E331"/>
    <hyperlink r:id="rId393" ref="E332"/>
    <hyperlink r:id="rId394" ref="E333"/>
    <hyperlink r:id="rId395" ref="E334"/>
    <hyperlink r:id="rId396" ref="E335"/>
    <hyperlink r:id="rId397" ref="E336"/>
    <hyperlink r:id="rId398" ref="E337"/>
    <hyperlink r:id="rId399" ref="E338"/>
    <hyperlink r:id="rId400" ref="E339"/>
    <hyperlink r:id="rId401" ref="E340"/>
    <hyperlink r:id="rId402" ref="E341"/>
    <hyperlink r:id="rId403" ref="E343"/>
    <hyperlink r:id="rId404" ref="E344"/>
    <hyperlink r:id="rId405" ref="E345"/>
    <hyperlink r:id="rId406" ref="E346"/>
    <hyperlink r:id="rId407" ref="E347"/>
    <hyperlink r:id="rId408" ref="D348"/>
    <hyperlink r:id="rId409" ref="E348"/>
    <hyperlink r:id="rId410" ref="D349"/>
    <hyperlink r:id="rId411" ref="E349"/>
    <hyperlink r:id="rId412" ref="D350"/>
    <hyperlink r:id="rId413" ref="E350"/>
    <hyperlink r:id="rId414" location="kf" ref="E351"/>
    <hyperlink r:id="rId415" location="kf" ref="E352"/>
    <hyperlink r:id="rId416" location="kf" ref="E353"/>
    <hyperlink r:id="rId417" location="kf" ref="E354"/>
    <hyperlink r:id="rId418" location="kf" ref="E355"/>
    <hyperlink r:id="rId419" location="kf" ref="E356"/>
    <hyperlink r:id="rId420" location="kf" ref="E357"/>
    <hyperlink r:id="rId421" location="kf" ref="E358"/>
    <hyperlink r:id="rId422" location="kf" ref="E359"/>
    <hyperlink r:id="rId423" location="kf" ref="E360"/>
    <hyperlink r:id="rId424" location="kf" ref="E361"/>
    <hyperlink r:id="rId425" location="kf" ref="E362"/>
    <hyperlink r:id="rId426" location="kf" ref="E363"/>
    <hyperlink r:id="rId427" location="kf" ref="E364"/>
    <hyperlink r:id="rId428" location="kf" ref="E365"/>
    <hyperlink r:id="rId429" location="kf" ref="E366"/>
    <hyperlink r:id="rId430" location="kf" ref="E367"/>
    <hyperlink r:id="rId431" ref="D368"/>
    <hyperlink r:id="rId432" ref="E368"/>
    <hyperlink r:id="rId433" ref="D369"/>
    <hyperlink r:id="rId434" ref="E369"/>
    <hyperlink r:id="rId435" ref="D370"/>
    <hyperlink r:id="rId436" ref="E370"/>
    <hyperlink r:id="rId437" ref="E371"/>
    <hyperlink r:id="rId438" ref="E372"/>
    <hyperlink r:id="rId439" ref="E373"/>
    <hyperlink r:id="rId440" ref="E374"/>
    <hyperlink r:id="rId441" ref="E375"/>
    <hyperlink r:id="rId442" ref="E376"/>
    <hyperlink r:id="rId443" ref="E377"/>
    <hyperlink r:id="rId444" ref="E378"/>
    <hyperlink r:id="rId445" ref="E379"/>
    <hyperlink r:id="rId446" ref="E380"/>
    <hyperlink r:id="rId447" ref="E381"/>
    <hyperlink r:id="rId448" ref="E382"/>
    <hyperlink r:id="rId449" ref="E383"/>
    <hyperlink r:id="rId450" ref="E384"/>
    <hyperlink r:id="rId451" ref="E385"/>
    <hyperlink r:id="rId452" ref="E386"/>
    <hyperlink r:id="rId453" ref="E387"/>
    <hyperlink r:id="rId454" ref="E388"/>
    <hyperlink r:id="rId455" ref="E389"/>
    <hyperlink r:id="rId456" ref="D390"/>
    <hyperlink r:id="rId457" ref="E390"/>
    <hyperlink r:id="rId458" ref="D391"/>
    <hyperlink r:id="rId459" ref="E391"/>
    <hyperlink r:id="rId460" ref="D392"/>
    <hyperlink r:id="rId461" ref="E392"/>
    <hyperlink r:id="rId462" ref="D393"/>
    <hyperlink r:id="rId463" location="Specifications" ref="E393"/>
    <hyperlink r:id="rId464" ref="E394"/>
    <hyperlink r:id="rId465" ref="E395"/>
    <hyperlink r:id="rId466" ref="D396"/>
    <hyperlink r:id="rId467" ref="E396"/>
    <hyperlink r:id="rId468" ref="D397"/>
    <hyperlink r:id="rId469" ref="E397"/>
    <hyperlink r:id="rId470" location="kf" ref="E398"/>
    <hyperlink r:id="rId471" location="ov" ref="E399"/>
    <hyperlink r:id="rId472" location="kf" ref="E400"/>
    <hyperlink r:id="rId473" ref="E401"/>
    <hyperlink r:id="rId474" ref="D402"/>
    <hyperlink r:id="rId475" ref="E402"/>
    <hyperlink r:id="rId476" ref="D403"/>
    <hyperlink r:id="rId477" ref="E403"/>
    <hyperlink r:id="rId478" ref="D404"/>
    <hyperlink r:id="rId479" ref="E404"/>
    <hyperlink r:id="rId480" ref="D405"/>
    <hyperlink r:id="rId481" ref="E405"/>
    <hyperlink r:id="rId482" ref="D406"/>
    <hyperlink r:id="rId483" ref="E406"/>
    <hyperlink r:id="rId484" ref="D407"/>
    <hyperlink r:id="rId485" ref="E407"/>
    <hyperlink r:id="rId486" ref="D408"/>
    <hyperlink r:id="rId487" ref="E408"/>
    <hyperlink r:id="rId488" ref="D409"/>
    <hyperlink r:id="rId489" ref="E409"/>
    <hyperlink r:id="rId490" ref="D410"/>
    <hyperlink r:id="rId491" ref="E410"/>
    <hyperlink r:id="rId492" ref="D411"/>
    <hyperlink r:id="rId493" ref="E411"/>
    <hyperlink r:id="rId494" ref="D412"/>
    <hyperlink r:id="rId495" ref="E412"/>
    <hyperlink r:id="rId496" ref="D413"/>
    <hyperlink r:id="rId497" ref="E413"/>
    <hyperlink r:id="rId498" ref="D414"/>
    <hyperlink r:id="rId499" ref="E414"/>
    <hyperlink r:id="rId500" ref="D415"/>
    <hyperlink r:id="rId501" ref="E415"/>
    <hyperlink r:id="rId502" ref="E416"/>
    <hyperlink r:id="rId503" ref="E417"/>
    <hyperlink r:id="rId504" ref="E418"/>
    <hyperlink r:id="rId505" ref="E419"/>
    <hyperlink r:id="rId506" ref="E420"/>
    <hyperlink r:id="rId507" ref="E421"/>
    <hyperlink r:id="rId508" ref="E422"/>
    <hyperlink r:id="rId509" ref="E423"/>
    <hyperlink r:id="rId510" ref="E424"/>
    <hyperlink r:id="rId511" ref="E425"/>
    <hyperlink r:id="rId512" ref="E426"/>
    <hyperlink r:id="rId513" ref="E427"/>
    <hyperlink r:id="rId514" ref="E428"/>
    <hyperlink r:id="rId515" ref="E429"/>
    <hyperlink r:id="rId516" ref="E430"/>
    <hyperlink r:id="rId517" ref="E431"/>
    <hyperlink r:id="rId518" ref="E432"/>
    <hyperlink r:id="rId519" ref="E433"/>
    <hyperlink r:id="rId520" ref="E434"/>
    <hyperlink r:id="rId521" ref="E435"/>
    <hyperlink r:id="rId522" ref="E436"/>
    <hyperlink r:id="rId523" ref="E437"/>
    <hyperlink r:id="rId524" ref="E438"/>
    <hyperlink r:id="rId525" ref="E439"/>
    <hyperlink r:id="rId526" ref="E440"/>
    <hyperlink r:id="rId527" ref="E441"/>
    <hyperlink r:id="rId528" ref="E442"/>
    <hyperlink r:id="rId529" ref="D443"/>
    <hyperlink r:id="rId530" ref="E443"/>
    <hyperlink r:id="rId531" ref="D444"/>
    <hyperlink r:id="rId532" ref="E444"/>
    <hyperlink r:id="rId533" ref="D445"/>
    <hyperlink r:id="rId534" ref="E445"/>
    <hyperlink r:id="rId535" ref="D446"/>
    <hyperlink r:id="rId536" ref="E446"/>
    <hyperlink r:id="rId537" location="kf" ref="E447"/>
    <hyperlink r:id="rId538" location="kf" ref="E448"/>
    <hyperlink r:id="rId539" location="kf" ref="E449"/>
    <hyperlink r:id="rId540" location="kf" ref="E450"/>
    <hyperlink r:id="rId541" location="kf" ref="E451"/>
    <hyperlink r:id="rId542" location="kf" ref="E452"/>
    <hyperlink r:id="rId543" location="kf" ref="E453"/>
    <hyperlink r:id="rId544" location="kf" ref="E454"/>
    <hyperlink r:id="rId545" location="kf" ref="E455"/>
    <hyperlink r:id="rId546" location="kf" ref="E456"/>
    <hyperlink r:id="rId547" location="kf" ref="E457"/>
    <hyperlink r:id="rId548" location="kf" ref="E458"/>
    <hyperlink r:id="rId549" location="kf" ref="E459"/>
    <hyperlink r:id="rId550" location="kf" ref="E460"/>
    <hyperlink r:id="rId551" location="kf" ref="E461"/>
    <hyperlink r:id="rId552" location="kf" ref="E462"/>
    <hyperlink r:id="rId553" location="kf" ref="E463"/>
    <hyperlink r:id="rId554" location="kf" ref="E464"/>
    <hyperlink r:id="rId555" location="kf" ref="E465"/>
    <hyperlink r:id="rId556" location="kf" ref="E466"/>
    <hyperlink r:id="rId557" location="kf" ref="E467"/>
    <hyperlink r:id="rId558" location="kf" ref="E468"/>
    <hyperlink r:id="rId559" location="kf" ref="E469"/>
    <hyperlink r:id="rId560" location="kf" ref="E470"/>
    <hyperlink r:id="rId561" location="kf" ref="E471"/>
    <hyperlink r:id="rId562" location="kf" ref="E472"/>
    <hyperlink r:id="rId563" location="kf" ref="E473"/>
    <hyperlink r:id="rId564" location="kf" ref="E474"/>
    <hyperlink r:id="rId565" location="kf" ref="E475"/>
    <hyperlink r:id="rId566" location="kf" ref="E476"/>
    <hyperlink r:id="rId567" location="kf" ref="E477"/>
    <hyperlink r:id="rId568" location="kf" ref="E478"/>
    <hyperlink r:id="rId569" ref="D479"/>
    <hyperlink r:id="rId570" ref="E479"/>
    <hyperlink r:id="rId571" ref="D480"/>
    <hyperlink r:id="rId572" ref="E480"/>
    <hyperlink r:id="rId573" ref="E481"/>
    <hyperlink r:id="rId574" ref="E482"/>
    <hyperlink r:id="rId575" ref="E483"/>
    <hyperlink r:id="rId576" ref="E484"/>
    <hyperlink r:id="rId577" ref="E485"/>
    <hyperlink r:id="rId578" ref="E486"/>
    <hyperlink r:id="rId579" ref="E487"/>
    <hyperlink r:id="rId580" ref="E488"/>
    <hyperlink r:id="rId581" ref="E489"/>
    <hyperlink r:id="rId582" ref="E490"/>
    <hyperlink r:id="rId583" ref="E491"/>
    <hyperlink r:id="rId584" ref="E492"/>
    <hyperlink r:id="rId585" ref="E493"/>
    <hyperlink r:id="rId586" ref="E494"/>
    <hyperlink r:id="rId587" ref="E495"/>
    <hyperlink r:id="rId588" ref="E496"/>
    <hyperlink r:id="rId589" ref="E497"/>
    <hyperlink r:id="rId590" ref="E498"/>
    <hyperlink r:id="rId591" ref="E499"/>
    <hyperlink r:id="rId592" ref="E500"/>
    <hyperlink r:id="rId593" ref="D501"/>
    <hyperlink r:id="rId594" ref="E501"/>
    <hyperlink r:id="rId595" ref="E502"/>
    <hyperlink r:id="rId596" ref="E503"/>
    <hyperlink r:id="rId597" ref="D504"/>
    <hyperlink r:id="rId598" ref="E504"/>
    <hyperlink r:id="rId599" ref="D505"/>
    <hyperlink r:id="rId600" ref="E505"/>
    <hyperlink r:id="rId601" ref="D506"/>
    <hyperlink r:id="rId602" ref="E506"/>
    <hyperlink r:id="rId603" location="kf" ref="E507"/>
    <hyperlink r:id="rId604" location="kf" ref="E508"/>
    <hyperlink r:id="rId605" location="kf" ref="E509"/>
    <hyperlink r:id="rId606" location="kf" ref="E510"/>
    <hyperlink r:id="rId607" ref="D511"/>
    <hyperlink r:id="rId608" ref="E511"/>
  </hyperlinks>
  <drawing r:id="rId609"/>
  <legacyDrawing r:id="rId610"/>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C113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1.63"/>
    <col customWidth="1" min="2" max="2" width="24.88"/>
    <col customWidth="1" min="3" max="3" width="7.13"/>
    <col customWidth="1" min="4" max="4" width="5.63"/>
    <col customWidth="1" min="5" max="5" width="8.0"/>
    <col customWidth="1" min="6" max="6" width="5.63"/>
    <col customWidth="1" min="7" max="7" width="7.63"/>
    <col customWidth="1" min="8" max="8" width="5.63"/>
    <col customWidth="1" min="9" max="10" width="7.63"/>
    <col customWidth="1" min="11" max="12" width="9.5"/>
    <col customWidth="1" min="13" max="15" width="5.63"/>
    <col customWidth="1" min="16" max="16" width="8.5"/>
    <col customWidth="1" min="17" max="18" width="5.63"/>
    <col customWidth="1" min="19" max="19" width="8.38"/>
    <col customWidth="1" min="20" max="20" width="10.5"/>
    <col customWidth="1" min="21" max="21" width="7.63"/>
    <col customWidth="1" min="22" max="22" width="9.75"/>
    <col customWidth="1" min="23" max="23" width="8.25"/>
    <col customWidth="1" min="24" max="24" width="8.38"/>
    <col customWidth="1" min="25" max="25" width="7.75"/>
    <col customWidth="1" min="26" max="26" width="9.75"/>
    <col customWidth="1" min="27" max="27" width="5.63"/>
    <col customWidth="1" min="28" max="28" width="9.75"/>
    <col customWidth="1" min="29" max="29" width="5.63"/>
    <col customWidth="1" min="30" max="30" width="9.75"/>
    <col customWidth="1" min="31" max="31" width="5.63"/>
    <col customWidth="1" min="32" max="32" width="19.88"/>
    <col customWidth="1" min="33" max="33" width="5.63"/>
  </cols>
  <sheetData>
    <row r="1" ht="87.75" customHeight="1">
      <c r="A1" s="398" t="s">
        <v>1579</v>
      </c>
      <c r="B1" s="398" t="s">
        <v>3346</v>
      </c>
      <c r="C1" s="399" t="s">
        <v>6050</v>
      </c>
      <c r="D1" s="399" t="s">
        <v>6051</v>
      </c>
      <c r="E1" s="399" t="s">
        <v>6052</v>
      </c>
      <c r="F1" s="399" t="s">
        <v>6053</v>
      </c>
      <c r="G1" s="399" t="s">
        <v>6054</v>
      </c>
      <c r="H1" s="399" t="s">
        <v>6055</v>
      </c>
      <c r="I1" s="399" t="s">
        <v>6056</v>
      </c>
      <c r="J1" s="399" t="s">
        <v>6057</v>
      </c>
      <c r="K1" s="399" t="s">
        <v>6058</v>
      </c>
      <c r="L1" s="399" t="s">
        <v>6059</v>
      </c>
      <c r="M1" s="755" t="s">
        <v>2764</v>
      </c>
      <c r="N1" s="756" t="s">
        <v>6060</v>
      </c>
      <c r="O1" s="399" t="s">
        <v>6061</v>
      </c>
      <c r="P1" s="398" t="s">
        <v>6062</v>
      </c>
      <c r="Q1" s="399" t="s">
        <v>1590</v>
      </c>
      <c r="R1" s="399" t="s">
        <v>6063</v>
      </c>
      <c r="S1" s="398" t="s">
        <v>6064</v>
      </c>
      <c r="T1" s="398" t="s">
        <v>6065</v>
      </c>
      <c r="U1" s="399" t="s">
        <v>6066</v>
      </c>
      <c r="V1" s="398" t="s">
        <v>6067</v>
      </c>
      <c r="W1" s="399" t="s">
        <v>6068</v>
      </c>
      <c r="X1" s="399" t="s">
        <v>6069</v>
      </c>
      <c r="Y1" s="399" t="s">
        <v>6070</v>
      </c>
      <c r="Z1" s="398" t="s">
        <v>6071</v>
      </c>
      <c r="AA1" s="399" t="s">
        <v>6072</v>
      </c>
      <c r="AB1" s="399" t="s">
        <v>6073</v>
      </c>
      <c r="AC1" s="399" t="s">
        <v>6074</v>
      </c>
      <c r="AD1" s="398" t="s">
        <v>1999</v>
      </c>
      <c r="AE1" s="399" t="s">
        <v>6075</v>
      </c>
      <c r="AF1" s="398" t="s">
        <v>1602</v>
      </c>
      <c r="AG1" s="399" t="s">
        <v>1759</v>
      </c>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row>
    <row r="2">
      <c r="A2" s="174" t="s">
        <v>6076</v>
      </c>
      <c r="B2" s="174" t="s">
        <v>6077</v>
      </c>
      <c r="C2" s="48" t="s">
        <v>324</v>
      </c>
      <c r="D2" s="48">
        <v>650.0</v>
      </c>
      <c r="E2" s="48" t="s">
        <v>6078</v>
      </c>
      <c r="F2" s="48" t="s">
        <v>166</v>
      </c>
      <c r="G2" s="48" t="s">
        <v>2965</v>
      </c>
      <c r="H2" s="182" t="s">
        <v>214</v>
      </c>
      <c r="I2" s="48" t="s">
        <v>166</v>
      </c>
      <c r="J2" s="48" t="s">
        <v>166</v>
      </c>
      <c r="K2" s="48" t="s">
        <v>166</v>
      </c>
      <c r="L2" s="48" t="s">
        <v>166</v>
      </c>
      <c r="M2" s="51" t="s">
        <v>166</v>
      </c>
      <c r="N2" s="757" t="s">
        <v>174</v>
      </c>
      <c r="O2" s="48" t="s">
        <v>174</v>
      </c>
      <c r="P2" s="48" t="s">
        <v>6079</v>
      </c>
      <c r="Q2" s="48">
        <v>80.0</v>
      </c>
      <c r="R2" s="48" t="s">
        <v>174</v>
      </c>
      <c r="S2" s="48" t="s">
        <v>6080</v>
      </c>
      <c r="T2" s="48" t="s">
        <v>6081</v>
      </c>
      <c r="U2" s="48">
        <v>2.0</v>
      </c>
      <c r="V2" s="48" t="s">
        <v>6082</v>
      </c>
      <c r="W2" s="48">
        <v>3.0</v>
      </c>
      <c r="X2" s="48" t="s">
        <v>166</v>
      </c>
      <c r="Y2" s="48" t="s">
        <v>166</v>
      </c>
      <c r="Z2" s="48" t="s">
        <v>6083</v>
      </c>
      <c r="AA2" s="48">
        <v>8.0</v>
      </c>
      <c r="AB2" s="48" t="s">
        <v>6084</v>
      </c>
      <c r="AC2" s="48">
        <v>4.0</v>
      </c>
      <c r="AD2" s="182" t="s">
        <v>6085</v>
      </c>
      <c r="AE2" s="48">
        <v>7.0</v>
      </c>
      <c r="AF2" s="699"/>
      <c r="AG2" s="758"/>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row>
    <row r="3">
      <c r="A3" s="174" t="s">
        <v>6076</v>
      </c>
      <c r="B3" s="174" t="s">
        <v>6086</v>
      </c>
      <c r="C3" s="48" t="s">
        <v>324</v>
      </c>
      <c r="D3" s="48">
        <v>750.0</v>
      </c>
      <c r="E3" s="48" t="s">
        <v>6078</v>
      </c>
      <c r="F3" s="48" t="s">
        <v>166</v>
      </c>
      <c r="G3" s="48" t="s">
        <v>2966</v>
      </c>
      <c r="H3" s="182" t="s">
        <v>214</v>
      </c>
      <c r="I3" s="48" t="s">
        <v>2966</v>
      </c>
      <c r="J3" s="48" t="s">
        <v>2966</v>
      </c>
      <c r="K3" s="48" t="s">
        <v>6087</v>
      </c>
      <c r="L3" s="48" t="s">
        <v>6087</v>
      </c>
      <c r="M3" s="759" t="s">
        <v>214</v>
      </c>
      <c r="N3" s="757" t="s">
        <v>174</v>
      </c>
      <c r="O3" s="48" t="s">
        <v>174</v>
      </c>
      <c r="P3" s="48" t="s">
        <v>6079</v>
      </c>
      <c r="Q3" s="48">
        <v>80.0</v>
      </c>
      <c r="R3" s="48" t="s">
        <v>174</v>
      </c>
      <c r="S3" s="48" t="s">
        <v>6080</v>
      </c>
      <c r="T3" s="48" t="s">
        <v>6081</v>
      </c>
      <c r="U3" s="48">
        <v>2.0</v>
      </c>
      <c r="V3" s="48" t="s">
        <v>6082</v>
      </c>
      <c r="W3" s="48">
        <v>3.0</v>
      </c>
      <c r="X3" s="48" t="s">
        <v>166</v>
      </c>
      <c r="Y3" s="48" t="s">
        <v>166</v>
      </c>
      <c r="Z3" s="48" t="s">
        <v>6083</v>
      </c>
      <c r="AA3" s="48">
        <v>8.0</v>
      </c>
      <c r="AB3" s="48" t="s">
        <v>6084</v>
      </c>
      <c r="AC3" s="48">
        <v>4.0</v>
      </c>
      <c r="AD3" s="182" t="s">
        <v>6085</v>
      </c>
      <c r="AE3" s="48">
        <v>7.0</v>
      </c>
      <c r="AF3" s="699"/>
      <c r="AG3" s="182" t="s">
        <v>214</v>
      </c>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row>
    <row r="4">
      <c r="A4" s="174" t="s">
        <v>6076</v>
      </c>
      <c r="B4" s="174" t="s">
        <v>6088</v>
      </c>
      <c r="C4" s="48" t="s">
        <v>324</v>
      </c>
      <c r="D4" s="48">
        <v>750.0</v>
      </c>
      <c r="E4" s="48" t="s">
        <v>6078</v>
      </c>
      <c r="F4" s="48" t="s">
        <v>166</v>
      </c>
      <c r="G4" s="48" t="s">
        <v>2966</v>
      </c>
      <c r="H4" s="182" t="s">
        <v>214</v>
      </c>
      <c r="I4" s="48" t="s">
        <v>2966</v>
      </c>
      <c r="J4" s="48" t="s">
        <v>2966</v>
      </c>
      <c r="K4" s="48" t="s">
        <v>6087</v>
      </c>
      <c r="L4" s="48" t="s">
        <v>6087</v>
      </c>
      <c r="M4" s="759" t="s">
        <v>214</v>
      </c>
      <c r="N4" s="757" t="s">
        <v>174</v>
      </c>
      <c r="O4" s="48" t="s">
        <v>174</v>
      </c>
      <c r="P4" s="48" t="s">
        <v>6079</v>
      </c>
      <c r="Q4" s="48">
        <v>80.0</v>
      </c>
      <c r="R4" s="48" t="s">
        <v>174</v>
      </c>
      <c r="S4" s="48" t="s">
        <v>6080</v>
      </c>
      <c r="T4" s="48" t="s">
        <v>6081</v>
      </c>
      <c r="U4" s="48">
        <v>2.0</v>
      </c>
      <c r="V4" s="48" t="s">
        <v>6082</v>
      </c>
      <c r="W4" s="48">
        <v>3.0</v>
      </c>
      <c r="X4" s="48" t="s">
        <v>166</v>
      </c>
      <c r="Y4" s="48" t="s">
        <v>166</v>
      </c>
      <c r="Z4" s="48" t="s">
        <v>6083</v>
      </c>
      <c r="AA4" s="48">
        <v>8.0</v>
      </c>
      <c r="AB4" s="48" t="s">
        <v>6084</v>
      </c>
      <c r="AC4" s="48">
        <v>4.0</v>
      </c>
      <c r="AD4" s="182" t="s">
        <v>6085</v>
      </c>
      <c r="AE4" s="48">
        <v>7.0</v>
      </c>
      <c r="AF4" s="699"/>
      <c r="AG4" s="182" t="s">
        <v>214</v>
      </c>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row>
    <row r="5">
      <c r="A5" s="291" t="s">
        <v>6076</v>
      </c>
      <c r="B5" s="291" t="s">
        <v>6089</v>
      </c>
      <c r="C5" s="700" t="s">
        <v>324</v>
      </c>
      <c r="D5" s="700">
        <v>850.0</v>
      </c>
      <c r="E5" s="700" t="s">
        <v>6078</v>
      </c>
      <c r="F5" s="700" t="s">
        <v>166</v>
      </c>
      <c r="G5" s="700" t="s">
        <v>2965</v>
      </c>
      <c r="H5" s="760" t="s">
        <v>214</v>
      </c>
      <c r="I5" s="700" t="s">
        <v>166</v>
      </c>
      <c r="J5" s="700" t="s">
        <v>166</v>
      </c>
      <c r="K5" s="700" t="s">
        <v>166</v>
      </c>
      <c r="L5" s="700" t="s">
        <v>166</v>
      </c>
      <c r="M5" s="761" t="s">
        <v>166</v>
      </c>
      <c r="N5" s="762" t="s">
        <v>174</v>
      </c>
      <c r="O5" s="700" t="s">
        <v>174</v>
      </c>
      <c r="P5" s="700" t="s">
        <v>6079</v>
      </c>
      <c r="Q5" s="700">
        <v>80.0</v>
      </c>
      <c r="R5" s="700" t="s">
        <v>174</v>
      </c>
      <c r="S5" s="700" t="s">
        <v>6080</v>
      </c>
      <c r="T5" s="700" t="s">
        <v>6081</v>
      </c>
      <c r="U5" s="700">
        <v>2.0</v>
      </c>
      <c r="V5" s="700" t="s">
        <v>6082</v>
      </c>
      <c r="W5" s="700">
        <v>3.0</v>
      </c>
      <c r="X5" s="700" t="s">
        <v>166</v>
      </c>
      <c r="Y5" s="700" t="s">
        <v>166</v>
      </c>
      <c r="Z5" s="700" t="s">
        <v>6083</v>
      </c>
      <c r="AA5" s="700">
        <v>8.0</v>
      </c>
      <c r="AB5" s="700" t="s">
        <v>6084</v>
      </c>
      <c r="AC5" s="700">
        <v>4.0</v>
      </c>
      <c r="AD5" s="760" t="s">
        <v>6085</v>
      </c>
      <c r="AE5" s="700">
        <v>7.0</v>
      </c>
      <c r="AF5" s="704"/>
      <c r="AG5" s="763"/>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row>
    <row r="6">
      <c r="A6" s="282" t="s">
        <v>1104</v>
      </c>
      <c r="B6" s="282" t="s">
        <v>6090</v>
      </c>
      <c r="C6" s="705" t="s">
        <v>324</v>
      </c>
      <c r="D6" s="705">
        <v>500.0</v>
      </c>
      <c r="E6" s="705" t="s">
        <v>6091</v>
      </c>
      <c r="F6" s="705" t="s">
        <v>166</v>
      </c>
      <c r="G6" s="705" t="s">
        <v>2965</v>
      </c>
      <c r="H6" s="764" t="s">
        <v>166</v>
      </c>
      <c r="I6" s="705" t="s">
        <v>166</v>
      </c>
      <c r="J6" s="705" t="s">
        <v>166</v>
      </c>
      <c r="K6" s="705" t="s">
        <v>166</v>
      </c>
      <c r="L6" s="705" t="s">
        <v>166</v>
      </c>
      <c r="M6" s="705" t="s">
        <v>166</v>
      </c>
      <c r="N6" s="705" t="s">
        <v>174</v>
      </c>
      <c r="O6" s="705" t="s">
        <v>174</v>
      </c>
      <c r="P6" s="705" t="s">
        <v>6092</v>
      </c>
      <c r="Q6" s="705">
        <v>80.0</v>
      </c>
      <c r="R6" s="705" t="s">
        <v>166</v>
      </c>
      <c r="S6" s="705" t="s">
        <v>6093</v>
      </c>
      <c r="T6" s="705" t="s">
        <v>6094</v>
      </c>
      <c r="U6" s="705">
        <v>1.0</v>
      </c>
      <c r="V6" s="705" t="s">
        <v>6095</v>
      </c>
      <c r="W6" s="705">
        <v>2.0</v>
      </c>
      <c r="X6" s="705" t="s">
        <v>166</v>
      </c>
      <c r="Y6" s="705" t="s">
        <v>166</v>
      </c>
      <c r="Z6" s="705" t="s">
        <v>6084</v>
      </c>
      <c r="AA6" s="705">
        <v>4.0</v>
      </c>
      <c r="AB6" s="705" t="s">
        <v>6096</v>
      </c>
      <c r="AC6" s="705">
        <v>3.0</v>
      </c>
      <c r="AD6" s="765" t="s">
        <v>170</v>
      </c>
      <c r="AE6" s="705" t="s">
        <v>170</v>
      </c>
      <c r="AF6" s="708"/>
      <c r="AG6" s="7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row>
    <row r="7">
      <c r="A7" s="282" t="s">
        <v>1104</v>
      </c>
      <c r="B7" s="282" t="s">
        <v>6097</v>
      </c>
      <c r="C7" s="705" t="s">
        <v>324</v>
      </c>
      <c r="D7" s="705">
        <v>500.0</v>
      </c>
      <c r="E7" s="705" t="s">
        <v>6091</v>
      </c>
      <c r="F7" s="705" t="s">
        <v>166</v>
      </c>
      <c r="G7" s="705" t="s">
        <v>2965</v>
      </c>
      <c r="H7" s="764" t="s">
        <v>166</v>
      </c>
      <c r="I7" s="48" t="s">
        <v>166</v>
      </c>
      <c r="J7" s="48" t="s">
        <v>166</v>
      </c>
      <c r="K7" s="48" t="s">
        <v>166</v>
      </c>
      <c r="L7" s="48" t="s">
        <v>166</v>
      </c>
      <c r="M7" s="48" t="s">
        <v>166</v>
      </c>
      <c r="N7" s="705" t="s">
        <v>174</v>
      </c>
      <c r="O7" s="705" t="s">
        <v>174</v>
      </c>
      <c r="P7" s="48" t="s">
        <v>6092</v>
      </c>
      <c r="Q7" s="705">
        <v>80.0</v>
      </c>
      <c r="R7" s="705" t="s">
        <v>166</v>
      </c>
      <c r="S7" s="705" t="s">
        <v>6093</v>
      </c>
      <c r="T7" s="705" t="s">
        <v>6094</v>
      </c>
      <c r="U7" s="705">
        <v>1.0</v>
      </c>
      <c r="V7" s="705" t="s">
        <v>6095</v>
      </c>
      <c r="W7" s="705">
        <v>2.0</v>
      </c>
      <c r="X7" s="705" t="s">
        <v>166</v>
      </c>
      <c r="Y7" s="705" t="s">
        <v>166</v>
      </c>
      <c r="Z7" s="705" t="s">
        <v>6084</v>
      </c>
      <c r="AA7" s="705">
        <v>4.0</v>
      </c>
      <c r="AB7" s="705" t="s">
        <v>6096</v>
      </c>
      <c r="AC7" s="705">
        <v>3.0</v>
      </c>
      <c r="AD7" s="765" t="s">
        <v>170</v>
      </c>
      <c r="AE7" s="705" t="s">
        <v>170</v>
      </c>
      <c r="AF7" s="708"/>
      <c r="AG7" s="7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row>
    <row r="8">
      <c r="A8" s="282" t="s">
        <v>1104</v>
      </c>
      <c r="B8" s="282" t="s">
        <v>6098</v>
      </c>
      <c r="C8" s="705" t="s">
        <v>324</v>
      </c>
      <c r="D8" s="705">
        <v>650.0</v>
      </c>
      <c r="E8" s="705" t="s">
        <v>6091</v>
      </c>
      <c r="F8" s="705" t="s">
        <v>166</v>
      </c>
      <c r="G8" s="705" t="s">
        <v>2965</v>
      </c>
      <c r="H8" s="767" t="s">
        <v>214</v>
      </c>
      <c r="I8" s="48" t="s">
        <v>166</v>
      </c>
      <c r="J8" s="48" t="s">
        <v>166</v>
      </c>
      <c r="K8" s="48" t="s">
        <v>166</v>
      </c>
      <c r="L8" s="48" t="s">
        <v>166</v>
      </c>
      <c r="M8" s="48" t="s">
        <v>166</v>
      </c>
      <c r="N8" s="705" t="s">
        <v>174</v>
      </c>
      <c r="O8" s="705" t="s">
        <v>174</v>
      </c>
      <c r="P8" s="48" t="s">
        <v>6092</v>
      </c>
      <c r="Q8" s="705">
        <v>80.0</v>
      </c>
      <c r="R8" s="705" t="s">
        <v>166</v>
      </c>
      <c r="S8" s="705" t="s">
        <v>6099</v>
      </c>
      <c r="T8" s="705" t="s">
        <v>6100</v>
      </c>
      <c r="U8" s="705">
        <v>2.0</v>
      </c>
      <c r="V8" s="705" t="s">
        <v>6101</v>
      </c>
      <c r="W8" s="705">
        <v>3.0</v>
      </c>
      <c r="X8" s="705" t="s">
        <v>166</v>
      </c>
      <c r="Y8" s="705" t="s">
        <v>166</v>
      </c>
      <c r="Z8" s="705" t="s">
        <v>6102</v>
      </c>
      <c r="AA8" s="705">
        <v>8.0</v>
      </c>
      <c r="AB8" s="705" t="s">
        <v>6103</v>
      </c>
      <c r="AC8" s="705">
        <v>4.0</v>
      </c>
      <c r="AD8" s="765" t="s">
        <v>170</v>
      </c>
      <c r="AE8" s="705" t="s">
        <v>170</v>
      </c>
      <c r="AF8" s="708"/>
      <c r="AG8" s="7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row>
    <row r="9">
      <c r="A9" s="282" t="s">
        <v>1104</v>
      </c>
      <c r="B9" s="282" t="s">
        <v>6104</v>
      </c>
      <c r="C9" s="705" t="s">
        <v>324</v>
      </c>
      <c r="D9" s="705">
        <v>650.0</v>
      </c>
      <c r="E9" s="705" t="s">
        <v>6091</v>
      </c>
      <c r="F9" s="705" t="s">
        <v>166</v>
      </c>
      <c r="G9" s="705" t="s">
        <v>2965</v>
      </c>
      <c r="H9" s="767" t="s">
        <v>214</v>
      </c>
      <c r="I9" s="48" t="s">
        <v>166</v>
      </c>
      <c r="J9" s="48" t="s">
        <v>166</v>
      </c>
      <c r="K9" s="48" t="s">
        <v>166</v>
      </c>
      <c r="L9" s="48" t="s">
        <v>166</v>
      </c>
      <c r="M9" s="48" t="s">
        <v>166</v>
      </c>
      <c r="N9" s="705" t="s">
        <v>174</v>
      </c>
      <c r="O9" s="705" t="s">
        <v>174</v>
      </c>
      <c r="P9" s="48" t="s">
        <v>6092</v>
      </c>
      <c r="Q9" s="705">
        <v>80.0</v>
      </c>
      <c r="R9" s="705" t="s">
        <v>166</v>
      </c>
      <c r="S9" s="705" t="s">
        <v>6099</v>
      </c>
      <c r="T9" s="705" t="s">
        <v>6100</v>
      </c>
      <c r="U9" s="705">
        <v>2.0</v>
      </c>
      <c r="V9" s="705" t="s">
        <v>6101</v>
      </c>
      <c r="W9" s="705">
        <v>3.0</v>
      </c>
      <c r="X9" s="705" t="s">
        <v>166</v>
      </c>
      <c r="Y9" s="705" t="s">
        <v>166</v>
      </c>
      <c r="Z9" s="705" t="s">
        <v>6102</v>
      </c>
      <c r="AA9" s="705">
        <v>8.0</v>
      </c>
      <c r="AB9" s="705" t="s">
        <v>6103</v>
      </c>
      <c r="AC9" s="705">
        <v>4.0</v>
      </c>
      <c r="AD9" s="765" t="s">
        <v>170</v>
      </c>
      <c r="AE9" s="705" t="s">
        <v>170</v>
      </c>
      <c r="AF9" s="708"/>
      <c r="AG9" s="7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row>
    <row r="10">
      <c r="A10" s="282" t="s">
        <v>1104</v>
      </c>
      <c r="B10" s="282" t="s">
        <v>6105</v>
      </c>
      <c r="C10" s="705" t="s">
        <v>324</v>
      </c>
      <c r="D10" s="705">
        <v>750.0</v>
      </c>
      <c r="E10" s="705" t="s">
        <v>6091</v>
      </c>
      <c r="F10" s="705" t="s">
        <v>166</v>
      </c>
      <c r="G10" s="705" t="s">
        <v>2965</v>
      </c>
      <c r="H10" s="767" t="s">
        <v>214</v>
      </c>
      <c r="I10" s="48" t="s">
        <v>166</v>
      </c>
      <c r="J10" s="48" t="s">
        <v>166</v>
      </c>
      <c r="K10" s="48" t="s">
        <v>166</v>
      </c>
      <c r="L10" s="48" t="s">
        <v>166</v>
      </c>
      <c r="M10" s="48" t="s">
        <v>166</v>
      </c>
      <c r="N10" s="705" t="s">
        <v>174</v>
      </c>
      <c r="O10" s="705" t="s">
        <v>174</v>
      </c>
      <c r="P10" s="48" t="s">
        <v>6092</v>
      </c>
      <c r="Q10" s="705">
        <v>80.0</v>
      </c>
      <c r="R10" s="705" t="s">
        <v>166</v>
      </c>
      <c r="S10" s="705" t="s">
        <v>6099</v>
      </c>
      <c r="T10" s="705" t="s">
        <v>6100</v>
      </c>
      <c r="U10" s="705">
        <v>2.0</v>
      </c>
      <c r="V10" s="705" t="s">
        <v>6101</v>
      </c>
      <c r="W10" s="705">
        <v>3.0</v>
      </c>
      <c r="X10" s="705" t="s">
        <v>166</v>
      </c>
      <c r="Y10" s="705" t="s">
        <v>166</v>
      </c>
      <c r="Z10" s="705" t="s">
        <v>6102</v>
      </c>
      <c r="AA10" s="705">
        <v>8.0</v>
      </c>
      <c r="AB10" s="705" t="s">
        <v>6103</v>
      </c>
      <c r="AC10" s="705">
        <v>4.0</v>
      </c>
      <c r="AD10" s="765" t="s">
        <v>170</v>
      </c>
      <c r="AE10" s="705" t="s">
        <v>170</v>
      </c>
      <c r="AF10" s="708"/>
      <c r="AG10" s="7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row>
    <row r="11">
      <c r="A11" s="282" t="s">
        <v>1104</v>
      </c>
      <c r="B11" s="282" t="s">
        <v>6106</v>
      </c>
      <c r="C11" s="705" t="s">
        <v>324</v>
      </c>
      <c r="D11" s="705">
        <v>750.0</v>
      </c>
      <c r="E11" s="705" t="s">
        <v>6091</v>
      </c>
      <c r="F11" s="705" t="s">
        <v>166</v>
      </c>
      <c r="G11" s="705" t="s">
        <v>2965</v>
      </c>
      <c r="H11" s="767" t="s">
        <v>214</v>
      </c>
      <c r="I11" s="48" t="s">
        <v>166</v>
      </c>
      <c r="J11" s="48" t="s">
        <v>166</v>
      </c>
      <c r="K11" s="48" t="s">
        <v>166</v>
      </c>
      <c r="L11" s="48" t="s">
        <v>166</v>
      </c>
      <c r="M11" s="48" t="s">
        <v>166</v>
      </c>
      <c r="N11" s="705" t="s">
        <v>174</v>
      </c>
      <c r="O11" s="705" t="s">
        <v>174</v>
      </c>
      <c r="P11" s="48" t="s">
        <v>6092</v>
      </c>
      <c r="Q11" s="705">
        <v>80.0</v>
      </c>
      <c r="R11" s="705" t="s">
        <v>166</v>
      </c>
      <c r="S11" s="705" t="s">
        <v>6099</v>
      </c>
      <c r="T11" s="705" t="s">
        <v>6100</v>
      </c>
      <c r="U11" s="705">
        <v>2.0</v>
      </c>
      <c r="V11" s="705" t="s">
        <v>6101</v>
      </c>
      <c r="W11" s="705">
        <v>3.0</v>
      </c>
      <c r="X11" s="705" t="s">
        <v>166</v>
      </c>
      <c r="Y11" s="705" t="s">
        <v>166</v>
      </c>
      <c r="Z11" s="705" t="s">
        <v>6102</v>
      </c>
      <c r="AA11" s="705">
        <v>8.0</v>
      </c>
      <c r="AB11" s="705" t="s">
        <v>6103</v>
      </c>
      <c r="AC11" s="705">
        <v>4.0</v>
      </c>
      <c r="AD11" s="765" t="s">
        <v>170</v>
      </c>
      <c r="AE11" s="705" t="s">
        <v>170</v>
      </c>
      <c r="AF11" s="708"/>
      <c r="AG11" s="7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row>
    <row r="12">
      <c r="A12" s="282" t="s">
        <v>1104</v>
      </c>
      <c r="B12" s="282" t="s">
        <v>6107</v>
      </c>
      <c r="C12" s="705" t="s">
        <v>324</v>
      </c>
      <c r="D12" s="705">
        <v>850.0</v>
      </c>
      <c r="E12" s="705" t="s">
        <v>6091</v>
      </c>
      <c r="F12" s="705" t="s">
        <v>166</v>
      </c>
      <c r="G12" s="705" t="s">
        <v>2965</v>
      </c>
      <c r="H12" s="767" t="s">
        <v>214</v>
      </c>
      <c r="I12" s="48" t="s">
        <v>166</v>
      </c>
      <c r="J12" s="48" t="s">
        <v>166</v>
      </c>
      <c r="K12" s="48" t="s">
        <v>166</v>
      </c>
      <c r="L12" s="48" t="s">
        <v>166</v>
      </c>
      <c r="M12" s="48" t="s">
        <v>166</v>
      </c>
      <c r="N12" s="705" t="s">
        <v>174</v>
      </c>
      <c r="O12" s="705" t="s">
        <v>174</v>
      </c>
      <c r="P12" s="48" t="s">
        <v>6092</v>
      </c>
      <c r="Q12" s="705">
        <v>80.0</v>
      </c>
      <c r="R12" s="705" t="s">
        <v>166</v>
      </c>
      <c r="S12" s="705" t="s">
        <v>6099</v>
      </c>
      <c r="T12" s="705" t="s">
        <v>6100</v>
      </c>
      <c r="U12" s="705">
        <v>2.0</v>
      </c>
      <c r="V12" s="705" t="s">
        <v>6108</v>
      </c>
      <c r="W12" s="705">
        <v>3.0</v>
      </c>
      <c r="X12" s="705" t="s">
        <v>6109</v>
      </c>
      <c r="Y12" s="705">
        <v>1.0</v>
      </c>
      <c r="Z12" s="705" t="s">
        <v>6102</v>
      </c>
      <c r="AA12" s="705">
        <v>8.0</v>
      </c>
      <c r="AB12" s="705" t="s">
        <v>6103</v>
      </c>
      <c r="AC12" s="705">
        <v>4.0</v>
      </c>
      <c r="AD12" s="765" t="s">
        <v>170</v>
      </c>
      <c r="AE12" s="705" t="s">
        <v>170</v>
      </c>
      <c r="AF12" s="708"/>
      <c r="AG12" s="7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row>
    <row r="13">
      <c r="A13" s="290" t="s">
        <v>1104</v>
      </c>
      <c r="B13" s="290" t="s">
        <v>6110</v>
      </c>
      <c r="C13" s="712" t="s">
        <v>324</v>
      </c>
      <c r="D13" s="712">
        <v>850.0</v>
      </c>
      <c r="E13" s="712" t="s">
        <v>6091</v>
      </c>
      <c r="F13" s="712" t="s">
        <v>166</v>
      </c>
      <c r="G13" s="712" t="s">
        <v>2965</v>
      </c>
      <c r="H13" s="768" t="s">
        <v>214</v>
      </c>
      <c r="I13" s="700" t="s">
        <v>166</v>
      </c>
      <c r="J13" s="700" t="s">
        <v>166</v>
      </c>
      <c r="K13" s="700" t="s">
        <v>166</v>
      </c>
      <c r="L13" s="700" t="s">
        <v>166</v>
      </c>
      <c r="M13" s="700" t="s">
        <v>166</v>
      </c>
      <c r="N13" s="712" t="s">
        <v>174</v>
      </c>
      <c r="O13" s="712" t="s">
        <v>174</v>
      </c>
      <c r="P13" s="700" t="s">
        <v>6092</v>
      </c>
      <c r="Q13" s="712">
        <v>80.0</v>
      </c>
      <c r="R13" s="712" t="s">
        <v>166</v>
      </c>
      <c r="S13" s="712" t="s">
        <v>6099</v>
      </c>
      <c r="T13" s="712" t="s">
        <v>6100</v>
      </c>
      <c r="U13" s="712">
        <v>2.0</v>
      </c>
      <c r="V13" s="712" t="s">
        <v>6108</v>
      </c>
      <c r="W13" s="712">
        <v>3.0</v>
      </c>
      <c r="X13" s="712" t="s">
        <v>6109</v>
      </c>
      <c r="Y13" s="712">
        <v>1.0</v>
      </c>
      <c r="Z13" s="712" t="s">
        <v>6102</v>
      </c>
      <c r="AA13" s="712">
        <v>8.0</v>
      </c>
      <c r="AB13" s="712" t="s">
        <v>6103</v>
      </c>
      <c r="AC13" s="712">
        <v>4.0</v>
      </c>
      <c r="AD13" s="769" t="s">
        <v>170</v>
      </c>
      <c r="AE13" s="712" t="s">
        <v>170</v>
      </c>
      <c r="AF13" s="717"/>
      <c r="AG13" s="770"/>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row>
    <row r="14">
      <c r="A14" s="282" t="s">
        <v>6111</v>
      </c>
      <c r="B14" s="282" t="s">
        <v>6112</v>
      </c>
      <c r="C14" s="705" t="s">
        <v>324</v>
      </c>
      <c r="D14" s="705">
        <v>650.0</v>
      </c>
      <c r="E14" s="705" t="s">
        <v>6078</v>
      </c>
      <c r="F14" s="705" t="s">
        <v>166</v>
      </c>
      <c r="G14" s="705" t="s">
        <v>2965</v>
      </c>
      <c r="H14" s="767" t="s">
        <v>214</v>
      </c>
      <c r="I14" s="705" t="s">
        <v>166</v>
      </c>
      <c r="J14" s="705" t="s">
        <v>166</v>
      </c>
      <c r="K14" s="705" t="s">
        <v>166</v>
      </c>
      <c r="L14" s="705" t="s">
        <v>166</v>
      </c>
      <c r="M14" s="705" t="s">
        <v>166</v>
      </c>
      <c r="N14" s="705" t="s">
        <v>174</v>
      </c>
      <c r="O14" s="705" t="s">
        <v>174</v>
      </c>
      <c r="P14" s="771">
        <v>0.3</v>
      </c>
      <c r="Q14" s="705">
        <v>92.0</v>
      </c>
      <c r="R14" s="705" t="s">
        <v>174</v>
      </c>
      <c r="S14" s="705" t="s">
        <v>6094</v>
      </c>
      <c r="T14" s="705" t="s">
        <v>6096</v>
      </c>
      <c r="U14" s="705">
        <v>2.0</v>
      </c>
      <c r="V14" s="705" t="s">
        <v>6113</v>
      </c>
      <c r="W14" s="705">
        <v>2.0</v>
      </c>
      <c r="X14" s="705" t="s">
        <v>166</v>
      </c>
      <c r="Y14" s="705" t="s">
        <v>166</v>
      </c>
      <c r="Z14" s="705" t="s">
        <v>6114</v>
      </c>
      <c r="AA14" s="705">
        <v>4.0</v>
      </c>
      <c r="AB14" s="705" t="s">
        <v>6096</v>
      </c>
      <c r="AC14" s="705">
        <v>3.0</v>
      </c>
      <c r="AD14" s="767" t="s">
        <v>6115</v>
      </c>
      <c r="AE14" s="705">
        <v>10.0</v>
      </c>
      <c r="AF14" s="708"/>
      <c r="AG14" s="7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row>
    <row r="15">
      <c r="A15" s="282" t="s">
        <v>6111</v>
      </c>
      <c r="B15" s="282" t="s">
        <v>6116</v>
      </c>
      <c r="C15" s="705" t="s">
        <v>324</v>
      </c>
      <c r="D15" s="705">
        <v>650.0</v>
      </c>
      <c r="E15" s="705" t="s">
        <v>6078</v>
      </c>
      <c r="F15" s="705" t="s">
        <v>166</v>
      </c>
      <c r="G15" s="705" t="s">
        <v>2965</v>
      </c>
      <c r="H15" s="767" t="s">
        <v>214</v>
      </c>
      <c r="I15" s="48" t="s">
        <v>166</v>
      </c>
      <c r="J15" s="48" t="s">
        <v>166</v>
      </c>
      <c r="K15" s="48" t="s">
        <v>166</v>
      </c>
      <c r="L15" s="48" t="s">
        <v>166</v>
      </c>
      <c r="M15" s="48" t="s">
        <v>166</v>
      </c>
      <c r="N15" s="705" t="s">
        <v>174</v>
      </c>
      <c r="O15" s="705" t="s">
        <v>174</v>
      </c>
      <c r="P15" s="771">
        <v>0.3</v>
      </c>
      <c r="Q15" s="705">
        <v>92.0</v>
      </c>
      <c r="R15" s="705" t="s">
        <v>174</v>
      </c>
      <c r="S15" s="705" t="s">
        <v>6094</v>
      </c>
      <c r="T15" s="705" t="s">
        <v>6096</v>
      </c>
      <c r="U15" s="705">
        <v>2.0</v>
      </c>
      <c r="V15" s="705" t="s">
        <v>6113</v>
      </c>
      <c r="W15" s="705">
        <v>2.0</v>
      </c>
      <c r="X15" s="705" t="s">
        <v>166</v>
      </c>
      <c r="Y15" s="705" t="s">
        <v>166</v>
      </c>
      <c r="Z15" s="705" t="s">
        <v>6114</v>
      </c>
      <c r="AA15" s="705">
        <v>4.0</v>
      </c>
      <c r="AB15" s="705" t="s">
        <v>6096</v>
      </c>
      <c r="AC15" s="705">
        <v>3.0</v>
      </c>
      <c r="AD15" s="767" t="s">
        <v>6115</v>
      </c>
      <c r="AE15" s="705">
        <v>10.0</v>
      </c>
      <c r="AF15" s="708"/>
      <c r="AG15" s="7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row>
    <row r="16">
      <c r="A16" s="282" t="s">
        <v>6111</v>
      </c>
      <c r="B16" s="282" t="s">
        <v>6117</v>
      </c>
      <c r="C16" s="705" t="s">
        <v>324</v>
      </c>
      <c r="D16" s="705">
        <v>750.0</v>
      </c>
      <c r="E16" s="705" t="s">
        <v>6078</v>
      </c>
      <c r="F16" s="705" t="s">
        <v>166</v>
      </c>
      <c r="G16" s="705" t="s">
        <v>2966</v>
      </c>
      <c r="H16" s="767" t="s">
        <v>214</v>
      </c>
      <c r="I16" s="48" t="s">
        <v>166</v>
      </c>
      <c r="J16" s="48" t="s">
        <v>166</v>
      </c>
      <c r="K16" s="48" t="s">
        <v>166</v>
      </c>
      <c r="L16" s="48" t="s">
        <v>166</v>
      </c>
      <c r="M16" s="48" t="s">
        <v>166</v>
      </c>
      <c r="N16" s="705" t="s">
        <v>174</v>
      </c>
      <c r="O16" s="705" t="s">
        <v>174</v>
      </c>
      <c r="P16" s="771">
        <v>0.3</v>
      </c>
      <c r="Q16" s="705">
        <v>92.0</v>
      </c>
      <c r="R16" s="705" t="s">
        <v>174</v>
      </c>
      <c r="S16" s="705" t="s">
        <v>6094</v>
      </c>
      <c r="T16" s="705" t="s">
        <v>6109</v>
      </c>
      <c r="U16" s="705">
        <v>1.0</v>
      </c>
      <c r="V16" s="705" t="s">
        <v>6118</v>
      </c>
      <c r="W16" s="705">
        <v>4.0</v>
      </c>
      <c r="X16" s="705" t="s">
        <v>166</v>
      </c>
      <c r="Y16" s="705" t="s">
        <v>166</v>
      </c>
      <c r="Z16" s="705" t="s">
        <v>6119</v>
      </c>
      <c r="AA16" s="705">
        <v>8.0</v>
      </c>
      <c r="AB16" s="705" t="s">
        <v>6096</v>
      </c>
      <c r="AC16" s="705">
        <v>3.0</v>
      </c>
      <c r="AD16" s="767" t="s">
        <v>6115</v>
      </c>
      <c r="AE16" s="705">
        <v>10.0</v>
      </c>
      <c r="AF16" s="708"/>
      <c r="AG16" s="7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row>
    <row r="17">
      <c r="A17" s="282" t="s">
        <v>6111</v>
      </c>
      <c r="B17" s="282" t="s">
        <v>6120</v>
      </c>
      <c r="C17" s="705" t="s">
        <v>324</v>
      </c>
      <c r="D17" s="705">
        <v>750.0</v>
      </c>
      <c r="E17" s="705" t="s">
        <v>6078</v>
      </c>
      <c r="F17" s="705" t="s">
        <v>166</v>
      </c>
      <c r="G17" s="705" t="s">
        <v>2966</v>
      </c>
      <c r="H17" s="767" t="s">
        <v>214</v>
      </c>
      <c r="I17" s="48" t="s">
        <v>166</v>
      </c>
      <c r="J17" s="48" t="s">
        <v>166</v>
      </c>
      <c r="K17" s="48" t="s">
        <v>166</v>
      </c>
      <c r="L17" s="48" t="s">
        <v>166</v>
      </c>
      <c r="M17" s="48" t="s">
        <v>166</v>
      </c>
      <c r="N17" s="705" t="s">
        <v>174</v>
      </c>
      <c r="O17" s="705" t="s">
        <v>174</v>
      </c>
      <c r="P17" s="771">
        <v>0.3</v>
      </c>
      <c r="Q17" s="705">
        <v>92.0</v>
      </c>
      <c r="R17" s="705" t="s">
        <v>174</v>
      </c>
      <c r="S17" s="705" t="s">
        <v>6094</v>
      </c>
      <c r="T17" s="705" t="s">
        <v>6109</v>
      </c>
      <c r="U17" s="705">
        <v>1.0</v>
      </c>
      <c r="V17" s="705" t="s">
        <v>6118</v>
      </c>
      <c r="W17" s="705">
        <v>4.0</v>
      </c>
      <c r="X17" s="705" t="s">
        <v>166</v>
      </c>
      <c r="Y17" s="705" t="s">
        <v>166</v>
      </c>
      <c r="Z17" s="705" t="s">
        <v>6119</v>
      </c>
      <c r="AA17" s="705">
        <v>8.0</v>
      </c>
      <c r="AB17" s="705" t="s">
        <v>6096</v>
      </c>
      <c r="AC17" s="705">
        <v>3.0</v>
      </c>
      <c r="AD17" s="767" t="s">
        <v>6115</v>
      </c>
      <c r="AE17" s="705">
        <v>10.0</v>
      </c>
      <c r="AF17" s="708"/>
      <c r="AG17" s="7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row>
    <row r="18">
      <c r="A18" s="282" t="s">
        <v>6111</v>
      </c>
      <c r="B18" s="282" t="s">
        <v>6121</v>
      </c>
      <c r="C18" s="705" t="s">
        <v>324</v>
      </c>
      <c r="D18" s="705">
        <v>850.0</v>
      </c>
      <c r="E18" s="705" t="s">
        <v>6078</v>
      </c>
      <c r="F18" s="705" t="s">
        <v>166</v>
      </c>
      <c r="G18" s="705" t="s">
        <v>2966</v>
      </c>
      <c r="H18" s="767" t="s">
        <v>214</v>
      </c>
      <c r="I18" s="48" t="s">
        <v>166</v>
      </c>
      <c r="J18" s="48" t="s">
        <v>166</v>
      </c>
      <c r="K18" s="48" t="s">
        <v>166</v>
      </c>
      <c r="L18" s="48" t="s">
        <v>166</v>
      </c>
      <c r="M18" s="48" t="s">
        <v>166</v>
      </c>
      <c r="N18" s="705" t="s">
        <v>174</v>
      </c>
      <c r="O18" s="705" t="s">
        <v>174</v>
      </c>
      <c r="P18" s="771">
        <v>0.3</v>
      </c>
      <c r="Q18" s="705">
        <v>92.0</v>
      </c>
      <c r="R18" s="705" t="s">
        <v>174</v>
      </c>
      <c r="S18" s="705" t="s">
        <v>6094</v>
      </c>
      <c r="T18" s="705" t="s">
        <v>6109</v>
      </c>
      <c r="U18" s="705">
        <v>1.0</v>
      </c>
      <c r="V18" s="705" t="s">
        <v>6118</v>
      </c>
      <c r="W18" s="705">
        <v>4.0</v>
      </c>
      <c r="X18" s="705" t="s">
        <v>166</v>
      </c>
      <c r="Y18" s="705" t="s">
        <v>166</v>
      </c>
      <c r="Z18" s="705" t="s">
        <v>6119</v>
      </c>
      <c r="AA18" s="705">
        <v>8.0</v>
      </c>
      <c r="AB18" s="705" t="s">
        <v>6096</v>
      </c>
      <c r="AC18" s="705">
        <v>3.0</v>
      </c>
      <c r="AD18" s="767" t="s">
        <v>6115</v>
      </c>
      <c r="AE18" s="705">
        <v>10.0</v>
      </c>
      <c r="AF18" s="708"/>
      <c r="AG18" s="7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row>
    <row r="19">
      <c r="A19" s="290" t="s">
        <v>6111</v>
      </c>
      <c r="B19" s="290" t="s">
        <v>6122</v>
      </c>
      <c r="C19" s="712" t="s">
        <v>324</v>
      </c>
      <c r="D19" s="712">
        <v>850.0</v>
      </c>
      <c r="E19" s="712" t="s">
        <v>6078</v>
      </c>
      <c r="F19" s="712" t="s">
        <v>166</v>
      </c>
      <c r="G19" s="712" t="s">
        <v>2966</v>
      </c>
      <c r="H19" s="768" t="s">
        <v>214</v>
      </c>
      <c r="I19" s="700" t="s">
        <v>166</v>
      </c>
      <c r="J19" s="700" t="s">
        <v>166</v>
      </c>
      <c r="K19" s="700" t="s">
        <v>166</v>
      </c>
      <c r="L19" s="700" t="s">
        <v>166</v>
      </c>
      <c r="M19" s="700" t="s">
        <v>166</v>
      </c>
      <c r="N19" s="712" t="s">
        <v>174</v>
      </c>
      <c r="O19" s="712" t="s">
        <v>174</v>
      </c>
      <c r="P19" s="772">
        <v>0.3</v>
      </c>
      <c r="Q19" s="712">
        <v>92.0</v>
      </c>
      <c r="R19" s="712" t="s">
        <v>174</v>
      </c>
      <c r="S19" s="712" t="s">
        <v>6094</v>
      </c>
      <c r="T19" s="712" t="s">
        <v>6109</v>
      </c>
      <c r="U19" s="712">
        <v>1.0</v>
      </c>
      <c r="V19" s="712" t="s">
        <v>6118</v>
      </c>
      <c r="W19" s="712">
        <v>4.0</v>
      </c>
      <c r="X19" s="712" t="s">
        <v>166</v>
      </c>
      <c r="Y19" s="712" t="s">
        <v>166</v>
      </c>
      <c r="Z19" s="712" t="s">
        <v>6119</v>
      </c>
      <c r="AA19" s="712">
        <v>8.0</v>
      </c>
      <c r="AB19" s="712" t="s">
        <v>6096</v>
      </c>
      <c r="AC19" s="712">
        <v>3.0</v>
      </c>
      <c r="AD19" s="768" t="s">
        <v>6115</v>
      </c>
      <c r="AE19" s="712">
        <v>10.0</v>
      </c>
      <c r="AF19" s="717"/>
      <c r="AG19" s="770"/>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row>
    <row r="20">
      <c r="A20" s="291" t="s">
        <v>6123</v>
      </c>
      <c r="B20" s="291" t="s">
        <v>6124</v>
      </c>
      <c r="C20" s="700" t="s">
        <v>324</v>
      </c>
      <c r="D20" s="700">
        <v>850.0</v>
      </c>
      <c r="E20" s="700" t="s">
        <v>6078</v>
      </c>
      <c r="F20" s="700" t="s">
        <v>174</v>
      </c>
      <c r="G20" s="700" t="s">
        <v>2965</v>
      </c>
      <c r="H20" s="760" t="s">
        <v>214</v>
      </c>
      <c r="I20" s="700" t="s">
        <v>2966</v>
      </c>
      <c r="J20" s="700" t="s">
        <v>166</v>
      </c>
      <c r="K20" s="700" t="s">
        <v>6087</v>
      </c>
      <c r="L20" s="700" t="s">
        <v>166</v>
      </c>
      <c r="M20" s="760" t="s">
        <v>214</v>
      </c>
      <c r="N20" s="700" t="s">
        <v>174</v>
      </c>
      <c r="O20" s="700" t="s">
        <v>166</v>
      </c>
      <c r="P20" s="700" t="s">
        <v>6125</v>
      </c>
      <c r="Q20" s="700">
        <v>92.0</v>
      </c>
      <c r="R20" s="700" t="s">
        <v>166</v>
      </c>
      <c r="S20" s="700" t="s">
        <v>6096</v>
      </c>
      <c r="T20" s="700" t="s">
        <v>6126</v>
      </c>
      <c r="U20" s="700">
        <v>2.0</v>
      </c>
      <c r="V20" s="700" t="s">
        <v>6118</v>
      </c>
      <c r="W20" s="700">
        <v>4.0</v>
      </c>
      <c r="X20" s="700" t="s">
        <v>6113</v>
      </c>
      <c r="Y20" s="700" t="s">
        <v>6127</v>
      </c>
      <c r="Z20" s="700" t="s">
        <v>6128</v>
      </c>
      <c r="AA20" s="700">
        <v>8.0</v>
      </c>
      <c r="AB20" s="700" t="s">
        <v>6129</v>
      </c>
      <c r="AC20" s="700">
        <v>3.0</v>
      </c>
      <c r="AD20" s="769" t="s">
        <v>6130</v>
      </c>
      <c r="AE20" s="700">
        <v>10.0</v>
      </c>
      <c r="AF20" s="704"/>
      <c r="AG20" s="760"/>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row>
    <row r="21">
      <c r="A21" s="282" t="s">
        <v>1554</v>
      </c>
      <c r="B21" s="282" t="s">
        <v>6131</v>
      </c>
      <c r="C21" s="705" t="s">
        <v>6132</v>
      </c>
      <c r="D21" s="705">
        <v>750.0</v>
      </c>
      <c r="E21" s="705" t="s">
        <v>6078</v>
      </c>
      <c r="F21" s="705" t="s">
        <v>174</v>
      </c>
      <c r="G21" s="705" t="s">
        <v>2966</v>
      </c>
      <c r="H21" s="767" t="s">
        <v>214</v>
      </c>
      <c r="I21" s="705" t="s">
        <v>2966</v>
      </c>
      <c r="J21" s="705" t="s">
        <v>2966</v>
      </c>
      <c r="K21" s="705" t="s">
        <v>6133</v>
      </c>
      <c r="L21" s="705" t="s">
        <v>6133</v>
      </c>
      <c r="M21" s="759" t="s">
        <v>214</v>
      </c>
      <c r="N21" s="705" t="s">
        <v>174</v>
      </c>
      <c r="O21" s="705" t="s">
        <v>174</v>
      </c>
      <c r="P21" s="771">
        <v>0.4</v>
      </c>
      <c r="Q21" s="705">
        <v>120.0</v>
      </c>
      <c r="R21" s="705" t="s">
        <v>174</v>
      </c>
      <c r="S21" s="705" t="s">
        <v>6109</v>
      </c>
      <c r="T21" s="705" t="s">
        <v>6134</v>
      </c>
      <c r="U21" s="705">
        <v>2.0</v>
      </c>
      <c r="V21" s="705" t="s">
        <v>6135</v>
      </c>
      <c r="W21" s="705">
        <v>3.0</v>
      </c>
      <c r="X21" s="705" t="s">
        <v>6109</v>
      </c>
      <c r="Y21" s="705" t="s">
        <v>6127</v>
      </c>
      <c r="Z21" s="705" t="s">
        <v>6136</v>
      </c>
      <c r="AA21" s="705">
        <v>6.0</v>
      </c>
      <c r="AB21" s="705" t="s">
        <v>6096</v>
      </c>
      <c r="AC21" s="705">
        <v>4.0</v>
      </c>
      <c r="AD21" s="759" t="s">
        <v>6137</v>
      </c>
      <c r="AE21" s="705">
        <v>10.0</v>
      </c>
      <c r="AF21" s="708"/>
      <c r="AG21" s="7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row>
    <row r="22">
      <c r="A22" s="282" t="s">
        <v>1554</v>
      </c>
      <c r="B22" s="282" t="s">
        <v>6138</v>
      </c>
      <c r="C22" s="705" t="s">
        <v>6132</v>
      </c>
      <c r="D22" s="705">
        <v>850.0</v>
      </c>
      <c r="E22" s="705" t="s">
        <v>6078</v>
      </c>
      <c r="F22" s="705" t="s">
        <v>174</v>
      </c>
      <c r="G22" s="705" t="s">
        <v>2966</v>
      </c>
      <c r="H22" s="767" t="s">
        <v>214</v>
      </c>
      <c r="I22" s="705" t="s">
        <v>2966</v>
      </c>
      <c r="J22" s="705" t="s">
        <v>2966</v>
      </c>
      <c r="K22" s="705" t="s">
        <v>4720</v>
      </c>
      <c r="L22" s="705" t="s">
        <v>4720</v>
      </c>
      <c r="M22" s="759" t="s">
        <v>214</v>
      </c>
      <c r="N22" s="705" t="s">
        <v>174</v>
      </c>
      <c r="O22" s="705" t="s">
        <v>174</v>
      </c>
      <c r="P22" s="771">
        <v>0.4</v>
      </c>
      <c r="Q22" s="705">
        <v>120.0</v>
      </c>
      <c r="R22" s="705" t="s">
        <v>174</v>
      </c>
      <c r="S22" s="705" t="s">
        <v>6109</v>
      </c>
      <c r="T22" s="705" t="s">
        <v>6134</v>
      </c>
      <c r="U22" s="705">
        <v>2.0</v>
      </c>
      <c r="V22" s="705" t="s">
        <v>6135</v>
      </c>
      <c r="W22" s="705">
        <v>3.0</v>
      </c>
      <c r="X22" s="705" t="s">
        <v>6109</v>
      </c>
      <c r="Y22" s="705" t="s">
        <v>6127</v>
      </c>
      <c r="Z22" s="705" t="s">
        <v>6136</v>
      </c>
      <c r="AA22" s="705">
        <v>6.0</v>
      </c>
      <c r="AB22" s="705" t="s">
        <v>6096</v>
      </c>
      <c r="AC22" s="705">
        <v>4.0</v>
      </c>
      <c r="AD22" s="759" t="s">
        <v>6137</v>
      </c>
      <c r="AE22" s="705">
        <v>10.0</v>
      </c>
      <c r="AF22" s="708"/>
      <c r="AG22" s="182" t="s">
        <v>214</v>
      </c>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row>
    <row r="23">
      <c r="A23" s="282" t="s">
        <v>1554</v>
      </c>
      <c r="B23" s="282" t="s">
        <v>6139</v>
      </c>
      <c r="C23" s="705" t="s">
        <v>6132</v>
      </c>
      <c r="D23" s="705">
        <v>850.0</v>
      </c>
      <c r="E23" s="705" t="s">
        <v>6078</v>
      </c>
      <c r="F23" s="705" t="s">
        <v>174</v>
      </c>
      <c r="G23" s="705" t="s">
        <v>2966</v>
      </c>
      <c r="H23" s="767" t="s">
        <v>214</v>
      </c>
      <c r="I23" s="705" t="s">
        <v>2966</v>
      </c>
      <c r="J23" s="705" t="s">
        <v>2966</v>
      </c>
      <c r="K23" s="705" t="s">
        <v>4720</v>
      </c>
      <c r="L23" s="705" t="s">
        <v>4720</v>
      </c>
      <c r="M23" s="759" t="s">
        <v>214</v>
      </c>
      <c r="N23" s="705" t="s">
        <v>174</v>
      </c>
      <c r="O23" s="705" t="s">
        <v>174</v>
      </c>
      <c r="P23" s="771">
        <v>0.4</v>
      </c>
      <c r="Q23" s="705">
        <v>120.0</v>
      </c>
      <c r="R23" s="705" t="s">
        <v>174</v>
      </c>
      <c r="S23" s="705" t="s">
        <v>6109</v>
      </c>
      <c r="T23" s="705" t="s">
        <v>6134</v>
      </c>
      <c r="U23" s="705">
        <v>2.0</v>
      </c>
      <c r="V23" s="705" t="s">
        <v>6135</v>
      </c>
      <c r="W23" s="705">
        <v>3.0</v>
      </c>
      <c r="X23" s="705" t="s">
        <v>6109</v>
      </c>
      <c r="Y23" s="705" t="s">
        <v>6127</v>
      </c>
      <c r="Z23" s="705" t="s">
        <v>6136</v>
      </c>
      <c r="AA23" s="705">
        <v>6.0</v>
      </c>
      <c r="AB23" s="705" t="s">
        <v>6096</v>
      </c>
      <c r="AC23" s="705">
        <v>4.0</v>
      </c>
      <c r="AD23" s="759" t="s">
        <v>6137</v>
      </c>
      <c r="AE23" s="705">
        <v>10.0</v>
      </c>
      <c r="AF23" s="708"/>
      <c r="AG23" s="182" t="s">
        <v>214</v>
      </c>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row>
    <row r="24">
      <c r="A24" s="282" t="s">
        <v>1554</v>
      </c>
      <c r="B24" s="282" t="s">
        <v>6140</v>
      </c>
      <c r="C24" s="705" t="s">
        <v>6132</v>
      </c>
      <c r="D24" s="705">
        <v>1000.0</v>
      </c>
      <c r="E24" s="705" t="s">
        <v>6078</v>
      </c>
      <c r="F24" s="705" t="s">
        <v>174</v>
      </c>
      <c r="G24" s="705" t="s">
        <v>2966</v>
      </c>
      <c r="H24" s="767" t="s">
        <v>214</v>
      </c>
      <c r="I24" s="705" t="s">
        <v>2966</v>
      </c>
      <c r="J24" s="705" t="s">
        <v>2966</v>
      </c>
      <c r="K24" s="705" t="s">
        <v>4720</v>
      </c>
      <c r="L24" s="705" t="s">
        <v>6133</v>
      </c>
      <c r="M24" s="759" t="s">
        <v>214</v>
      </c>
      <c r="N24" s="705" t="s">
        <v>174</v>
      </c>
      <c r="O24" s="705" t="s">
        <v>174</v>
      </c>
      <c r="P24" s="771">
        <v>0.4</v>
      </c>
      <c r="Q24" s="705">
        <v>120.0</v>
      </c>
      <c r="R24" s="705" t="s">
        <v>174</v>
      </c>
      <c r="S24" s="705" t="s">
        <v>6109</v>
      </c>
      <c r="T24" s="705" t="s">
        <v>6134</v>
      </c>
      <c r="U24" s="705">
        <v>2.0</v>
      </c>
      <c r="V24" s="705" t="s">
        <v>6135</v>
      </c>
      <c r="W24" s="705">
        <v>3.0</v>
      </c>
      <c r="X24" s="705" t="s">
        <v>6109</v>
      </c>
      <c r="Y24" s="705" t="s">
        <v>6127</v>
      </c>
      <c r="Z24" s="705" t="s">
        <v>6136</v>
      </c>
      <c r="AA24" s="705">
        <v>6.0</v>
      </c>
      <c r="AB24" s="705" t="s">
        <v>6096</v>
      </c>
      <c r="AC24" s="705">
        <v>4.0</v>
      </c>
      <c r="AD24" s="759" t="s">
        <v>6137</v>
      </c>
      <c r="AE24" s="705">
        <v>10.0</v>
      </c>
      <c r="AF24" s="708"/>
      <c r="AG24" s="7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row>
    <row r="25">
      <c r="A25" s="290" t="s">
        <v>1554</v>
      </c>
      <c r="B25" s="290" t="s">
        <v>6141</v>
      </c>
      <c r="C25" s="712" t="s">
        <v>6132</v>
      </c>
      <c r="D25" s="712">
        <v>1200.0</v>
      </c>
      <c r="E25" s="712" t="s">
        <v>6078</v>
      </c>
      <c r="F25" s="712" t="s">
        <v>174</v>
      </c>
      <c r="G25" s="712" t="s">
        <v>2969</v>
      </c>
      <c r="H25" s="768" t="s">
        <v>214</v>
      </c>
      <c r="I25" s="712" t="s">
        <v>2969</v>
      </c>
      <c r="J25" s="712" t="s">
        <v>166</v>
      </c>
      <c r="K25" s="712" t="s">
        <v>6142</v>
      </c>
      <c r="L25" s="712" t="s">
        <v>166</v>
      </c>
      <c r="M25" s="773" t="s">
        <v>214</v>
      </c>
      <c r="N25" s="712" t="s">
        <v>174</v>
      </c>
      <c r="O25" s="712" t="s">
        <v>174</v>
      </c>
      <c r="P25" s="772">
        <v>0.5</v>
      </c>
      <c r="Q25" s="712">
        <v>120.0</v>
      </c>
      <c r="R25" s="712" t="s">
        <v>174</v>
      </c>
      <c r="S25" s="712" t="s">
        <v>6109</v>
      </c>
      <c r="T25" s="712" t="s">
        <v>6134</v>
      </c>
      <c r="U25" s="712">
        <v>2.0</v>
      </c>
      <c r="V25" s="712" t="s">
        <v>6135</v>
      </c>
      <c r="W25" s="712">
        <v>4.0</v>
      </c>
      <c r="X25" s="712" t="s">
        <v>6135</v>
      </c>
      <c r="Y25" s="712" t="s">
        <v>6143</v>
      </c>
      <c r="Z25" s="712" t="s">
        <v>6136</v>
      </c>
      <c r="AA25" s="712">
        <v>6.0</v>
      </c>
      <c r="AB25" s="712" t="s">
        <v>6096</v>
      </c>
      <c r="AC25" s="712">
        <v>4.0</v>
      </c>
      <c r="AD25" s="773" t="s">
        <v>6137</v>
      </c>
      <c r="AE25" s="712">
        <v>10.0</v>
      </c>
      <c r="AF25" s="717"/>
      <c r="AG25" s="770"/>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row>
    <row r="26">
      <c r="A26" s="282" t="s">
        <v>1666</v>
      </c>
      <c r="B26" s="774" t="s">
        <v>6144</v>
      </c>
      <c r="C26" s="705" t="s">
        <v>324</v>
      </c>
      <c r="D26" s="705">
        <v>300.0</v>
      </c>
      <c r="E26" s="705" t="s">
        <v>6078</v>
      </c>
      <c r="F26" s="705" t="s">
        <v>166</v>
      </c>
      <c r="G26" s="705" t="s">
        <v>6145</v>
      </c>
      <c r="H26" s="759" t="s">
        <v>214</v>
      </c>
      <c r="I26" s="705" t="s">
        <v>166</v>
      </c>
      <c r="J26" s="705" t="s">
        <v>166</v>
      </c>
      <c r="K26" s="705" t="s">
        <v>166</v>
      </c>
      <c r="L26" s="705" t="s">
        <v>166</v>
      </c>
      <c r="M26" s="705" t="s">
        <v>166</v>
      </c>
      <c r="N26" s="705" t="s">
        <v>166</v>
      </c>
      <c r="O26" s="705" t="s">
        <v>166</v>
      </c>
      <c r="P26" s="705" t="s">
        <v>6125</v>
      </c>
      <c r="Q26" s="705">
        <v>80.0</v>
      </c>
      <c r="R26" s="705" t="s">
        <v>166</v>
      </c>
      <c r="S26" s="705" t="s">
        <v>6080</v>
      </c>
      <c r="T26" s="705" t="s">
        <v>6080</v>
      </c>
      <c r="U26" s="705" t="s">
        <v>6146</v>
      </c>
      <c r="V26" s="705" t="s">
        <v>6147</v>
      </c>
      <c r="W26" s="705">
        <v>1.0</v>
      </c>
      <c r="X26" s="705" t="s">
        <v>166</v>
      </c>
      <c r="Y26" s="705" t="s">
        <v>166</v>
      </c>
      <c r="Z26" s="705" t="s">
        <v>6148</v>
      </c>
      <c r="AA26" s="705">
        <v>4.0</v>
      </c>
      <c r="AB26" s="705" t="s">
        <v>6147</v>
      </c>
      <c r="AC26" s="705">
        <v>1.0</v>
      </c>
      <c r="AD26" s="759" t="s">
        <v>1200</v>
      </c>
      <c r="AE26" s="705">
        <v>3.0</v>
      </c>
      <c r="AF26" s="698" t="s">
        <v>181</v>
      </c>
      <c r="AG26" s="7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row>
    <row r="27">
      <c r="A27" s="174" t="s">
        <v>1666</v>
      </c>
      <c r="B27" s="179" t="s">
        <v>6149</v>
      </c>
      <c r="C27" s="48" t="s">
        <v>324</v>
      </c>
      <c r="D27" s="48">
        <v>400.0</v>
      </c>
      <c r="E27" s="48" t="s">
        <v>6078</v>
      </c>
      <c r="F27" s="48" t="s">
        <v>166</v>
      </c>
      <c r="G27" s="48" t="s">
        <v>6145</v>
      </c>
      <c r="H27" s="182" t="s">
        <v>214</v>
      </c>
      <c r="I27" s="48" t="s">
        <v>166</v>
      </c>
      <c r="J27" s="48" t="s">
        <v>166</v>
      </c>
      <c r="K27" s="48" t="s">
        <v>166</v>
      </c>
      <c r="L27" s="48" t="s">
        <v>166</v>
      </c>
      <c r="M27" s="48" t="s">
        <v>166</v>
      </c>
      <c r="N27" s="48" t="s">
        <v>166</v>
      </c>
      <c r="O27" s="48" t="s">
        <v>166</v>
      </c>
      <c r="P27" s="48" t="s">
        <v>6125</v>
      </c>
      <c r="Q27" s="48">
        <v>80.0</v>
      </c>
      <c r="R27" s="48" t="s">
        <v>166</v>
      </c>
      <c r="S27" s="48" t="s">
        <v>6080</v>
      </c>
      <c r="T27" s="48" t="s">
        <v>6080</v>
      </c>
      <c r="U27" s="48" t="s">
        <v>6146</v>
      </c>
      <c r="V27" s="48" t="s">
        <v>6147</v>
      </c>
      <c r="W27" s="48">
        <v>1.0</v>
      </c>
      <c r="X27" s="48" t="s">
        <v>166</v>
      </c>
      <c r="Y27" s="48" t="s">
        <v>166</v>
      </c>
      <c r="Z27" s="48" t="s">
        <v>6148</v>
      </c>
      <c r="AA27" s="48">
        <v>4.0</v>
      </c>
      <c r="AB27" s="48" t="s">
        <v>6147</v>
      </c>
      <c r="AC27" s="48">
        <v>1.0</v>
      </c>
      <c r="AD27" s="759" t="s">
        <v>1200</v>
      </c>
      <c r="AE27" s="48">
        <v>3.0</v>
      </c>
      <c r="AF27" s="698" t="s">
        <v>181</v>
      </c>
      <c r="AG27" s="758"/>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row>
    <row r="28">
      <c r="A28" s="174" t="s">
        <v>1666</v>
      </c>
      <c r="B28" s="174" t="s">
        <v>6150</v>
      </c>
      <c r="C28" s="48" t="s">
        <v>324</v>
      </c>
      <c r="D28" s="48">
        <v>300.0</v>
      </c>
      <c r="E28" s="48" t="s">
        <v>6078</v>
      </c>
      <c r="F28" s="48" t="s">
        <v>166</v>
      </c>
      <c r="G28" s="48" t="s">
        <v>6145</v>
      </c>
      <c r="H28" s="182" t="s">
        <v>214</v>
      </c>
      <c r="I28" s="48" t="s">
        <v>166</v>
      </c>
      <c r="J28" s="48" t="s">
        <v>166</v>
      </c>
      <c r="K28" s="48" t="s">
        <v>166</v>
      </c>
      <c r="L28" s="48" t="s">
        <v>166</v>
      </c>
      <c r="M28" s="48" t="s">
        <v>166</v>
      </c>
      <c r="N28" s="48" t="s">
        <v>166</v>
      </c>
      <c r="O28" s="48" t="s">
        <v>166</v>
      </c>
      <c r="P28" s="48" t="s">
        <v>6125</v>
      </c>
      <c r="Q28" s="48">
        <v>80.0</v>
      </c>
      <c r="R28" s="48" t="s">
        <v>166</v>
      </c>
      <c r="S28" s="48" t="s">
        <v>6080</v>
      </c>
      <c r="T28" s="48" t="s">
        <v>6094</v>
      </c>
      <c r="U28" s="48" t="s">
        <v>6146</v>
      </c>
      <c r="V28" s="48" t="s">
        <v>6094</v>
      </c>
      <c r="W28" s="48">
        <v>1.0</v>
      </c>
      <c r="X28" s="48" t="s">
        <v>166</v>
      </c>
      <c r="Y28" s="48" t="s">
        <v>166</v>
      </c>
      <c r="Z28" s="48" t="s">
        <v>6096</v>
      </c>
      <c r="AA28" s="48">
        <v>3.0</v>
      </c>
      <c r="AB28" s="48" t="s">
        <v>6096</v>
      </c>
      <c r="AC28" s="48">
        <v>2.0</v>
      </c>
      <c r="AD28" s="759" t="s">
        <v>1200</v>
      </c>
      <c r="AE28" s="48">
        <v>3.0</v>
      </c>
      <c r="AF28" s="699"/>
      <c r="AG28" s="758"/>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row>
    <row r="29">
      <c r="A29" s="174" t="s">
        <v>1666</v>
      </c>
      <c r="B29" s="174" t="s">
        <v>6151</v>
      </c>
      <c r="C29" s="48" t="s">
        <v>324</v>
      </c>
      <c r="D29" s="48">
        <v>450.0</v>
      </c>
      <c r="E29" s="48" t="s">
        <v>6078</v>
      </c>
      <c r="F29" s="48" t="s">
        <v>166</v>
      </c>
      <c r="G29" s="48" t="s">
        <v>6145</v>
      </c>
      <c r="H29" s="182" t="s">
        <v>214</v>
      </c>
      <c r="I29" s="48" t="s">
        <v>166</v>
      </c>
      <c r="J29" s="48" t="s">
        <v>166</v>
      </c>
      <c r="K29" s="48" t="s">
        <v>166</v>
      </c>
      <c r="L29" s="48" t="s">
        <v>166</v>
      </c>
      <c r="M29" s="48" t="s">
        <v>166</v>
      </c>
      <c r="N29" s="48" t="s">
        <v>166</v>
      </c>
      <c r="O29" s="48" t="s">
        <v>166</v>
      </c>
      <c r="P29" s="48" t="s">
        <v>6125</v>
      </c>
      <c r="Q29" s="48">
        <v>80.0</v>
      </c>
      <c r="R29" s="48" t="s">
        <v>166</v>
      </c>
      <c r="S29" s="48" t="s">
        <v>6080</v>
      </c>
      <c r="T29" s="48" t="s">
        <v>6094</v>
      </c>
      <c r="U29" s="48">
        <v>1.0</v>
      </c>
      <c r="V29" s="48" t="s">
        <v>6100</v>
      </c>
      <c r="W29" s="48">
        <v>2.0</v>
      </c>
      <c r="X29" s="48" t="s">
        <v>166</v>
      </c>
      <c r="Y29" s="48" t="s">
        <v>166</v>
      </c>
      <c r="Z29" s="48" t="s">
        <v>6096</v>
      </c>
      <c r="AA29" s="48">
        <v>3.0</v>
      </c>
      <c r="AB29" s="48" t="s">
        <v>6096</v>
      </c>
      <c r="AC29" s="48">
        <v>2.0</v>
      </c>
      <c r="AD29" s="759" t="s">
        <v>1200</v>
      </c>
      <c r="AE29" s="48">
        <v>3.0</v>
      </c>
      <c r="AF29" s="699"/>
      <c r="AG29" s="758"/>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row>
    <row r="30">
      <c r="A30" s="174" t="s">
        <v>1666</v>
      </c>
      <c r="B30" s="174" t="s">
        <v>6152</v>
      </c>
      <c r="C30" s="48" t="s">
        <v>6132</v>
      </c>
      <c r="D30" s="48">
        <v>500.0</v>
      </c>
      <c r="E30" s="48" t="s">
        <v>6078</v>
      </c>
      <c r="F30" s="48" t="s">
        <v>166</v>
      </c>
      <c r="G30" s="48" t="s">
        <v>2965</v>
      </c>
      <c r="H30" s="182" t="s">
        <v>214</v>
      </c>
      <c r="I30" s="48" t="s">
        <v>2965</v>
      </c>
      <c r="J30" s="48" t="s">
        <v>166</v>
      </c>
      <c r="K30" s="48" t="s">
        <v>4720</v>
      </c>
      <c r="L30" s="48" t="s">
        <v>166</v>
      </c>
      <c r="M30" s="182" t="s">
        <v>214</v>
      </c>
      <c r="N30" s="48" t="s">
        <v>174</v>
      </c>
      <c r="O30" s="48" t="s">
        <v>166</v>
      </c>
      <c r="P30" s="48" t="s">
        <v>6125</v>
      </c>
      <c r="Q30" s="48">
        <v>120.0</v>
      </c>
      <c r="R30" s="48" t="s">
        <v>174</v>
      </c>
      <c r="S30" s="48" t="s">
        <v>6099</v>
      </c>
      <c r="T30" s="48" t="s">
        <v>6094</v>
      </c>
      <c r="U30" s="48">
        <v>1.0</v>
      </c>
      <c r="V30" s="48" t="s">
        <v>6153</v>
      </c>
      <c r="W30" s="48">
        <v>4.0</v>
      </c>
      <c r="X30" s="48" t="s">
        <v>166</v>
      </c>
      <c r="Y30" s="48" t="s">
        <v>166</v>
      </c>
      <c r="Z30" s="48" t="s">
        <v>6154</v>
      </c>
      <c r="AA30" s="48">
        <v>6.0</v>
      </c>
      <c r="AB30" s="48" t="s">
        <v>6155</v>
      </c>
      <c r="AC30" s="48">
        <v>2.0</v>
      </c>
      <c r="AD30" s="182" t="s">
        <v>6156</v>
      </c>
      <c r="AE30" s="48">
        <v>3.0</v>
      </c>
      <c r="AF30" s="699"/>
      <c r="AG30" s="758"/>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row>
    <row r="31">
      <c r="A31" s="291" t="s">
        <v>1666</v>
      </c>
      <c r="B31" s="291" t="s">
        <v>6157</v>
      </c>
      <c r="C31" s="700" t="s">
        <v>6132</v>
      </c>
      <c r="D31" s="700">
        <v>600.0</v>
      </c>
      <c r="E31" s="700" t="s">
        <v>6078</v>
      </c>
      <c r="F31" s="700" t="s">
        <v>166</v>
      </c>
      <c r="G31" s="700" t="s">
        <v>2965</v>
      </c>
      <c r="H31" s="760" t="s">
        <v>214</v>
      </c>
      <c r="I31" s="700" t="s">
        <v>2965</v>
      </c>
      <c r="J31" s="700" t="s">
        <v>2965</v>
      </c>
      <c r="K31" s="700" t="s">
        <v>6158</v>
      </c>
      <c r="L31" s="700" t="s">
        <v>6158</v>
      </c>
      <c r="M31" s="760" t="s">
        <v>214</v>
      </c>
      <c r="N31" s="700" t="s">
        <v>174</v>
      </c>
      <c r="O31" s="700" t="s">
        <v>166</v>
      </c>
      <c r="P31" s="700" t="s">
        <v>6125</v>
      </c>
      <c r="Q31" s="700">
        <v>120.0</v>
      </c>
      <c r="R31" s="700" t="s">
        <v>174</v>
      </c>
      <c r="S31" s="700" t="s">
        <v>6099</v>
      </c>
      <c r="T31" s="700" t="s">
        <v>6094</v>
      </c>
      <c r="U31" s="700">
        <v>1.0</v>
      </c>
      <c r="V31" s="700" t="s">
        <v>6153</v>
      </c>
      <c r="W31" s="700">
        <v>4.0</v>
      </c>
      <c r="X31" s="700" t="s">
        <v>166</v>
      </c>
      <c r="Y31" s="700" t="s">
        <v>166</v>
      </c>
      <c r="Z31" s="700" t="s">
        <v>6154</v>
      </c>
      <c r="AA31" s="700">
        <v>6.0</v>
      </c>
      <c r="AB31" s="700" t="s">
        <v>6155</v>
      </c>
      <c r="AC31" s="700">
        <v>2.0</v>
      </c>
      <c r="AD31" s="760" t="s">
        <v>6156</v>
      </c>
      <c r="AE31" s="700">
        <v>3.0</v>
      </c>
      <c r="AF31" s="704"/>
      <c r="AG31" s="760" t="s">
        <v>214</v>
      </c>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row>
    <row r="32">
      <c r="A32" s="282" t="s">
        <v>1532</v>
      </c>
      <c r="B32" s="282" t="s">
        <v>6159</v>
      </c>
      <c r="C32" s="705" t="s">
        <v>324</v>
      </c>
      <c r="D32" s="705">
        <v>550.0</v>
      </c>
      <c r="E32" s="705" t="s">
        <v>6078</v>
      </c>
      <c r="F32" s="705" t="s">
        <v>166</v>
      </c>
      <c r="G32" s="705" t="s">
        <v>2965</v>
      </c>
      <c r="H32" s="759" t="s">
        <v>214</v>
      </c>
      <c r="I32" s="705" t="s">
        <v>2966</v>
      </c>
      <c r="J32" s="705" t="s">
        <v>2966</v>
      </c>
      <c r="K32" s="705" t="s">
        <v>6142</v>
      </c>
      <c r="L32" s="705" t="s">
        <v>6142</v>
      </c>
      <c r="M32" s="759" t="s">
        <v>214</v>
      </c>
      <c r="N32" s="705" t="s">
        <v>174</v>
      </c>
      <c r="O32" s="705" t="s">
        <v>166</v>
      </c>
      <c r="P32" s="705" t="s">
        <v>6125</v>
      </c>
      <c r="Q32" s="705">
        <v>92.0</v>
      </c>
      <c r="R32" s="705" t="s">
        <v>174</v>
      </c>
      <c r="S32" s="705" t="s">
        <v>6099</v>
      </c>
      <c r="T32" s="705" t="s">
        <v>6135</v>
      </c>
      <c r="U32" s="705">
        <v>2.0</v>
      </c>
      <c r="V32" s="705" t="s">
        <v>6160</v>
      </c>
      <c r="W32" s="705">
        <v>4.0</v>
      </c>
      <c r="X32" s="705" t="s">
        <v>166</v>
      </c>
      <c r="Y32" s="705" t="s">
        <v>166</v>
      </c>
      <c r="Z32" s="705" t="s">
        <v>6161</v>
      </c>
      <c r="AA32" s="705">
        <v>8.0</v>
      </c>
      <c r="AB32" s="705" t="s">
        <v>6162</v>
      </c>
      <c r="AC32" s="705">
        <v>4.0</v>
      </c>
      <c r="AD32" s="759" t="s">
        <v>6163</v>
      </c>
      <c r="AE32" s="705">
        <v>10.0</v>
      </c>
      <c r="AF32" s="720"/>
      <c r="AG32" s="7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row>
    <row r="33">
      <c r="A33" s="174" t="s">
        <v>1532</v>
      </c>
      <c r="B33" s="174" t="s">
        <v>6164</v>
      </c>
      <c r="C33" s="48" t="s">
        <v>324</v>
      </c>
      <c r="D33" s="48">
        <v>650.0</v>
      </c>
      <c r="E33" s="48" t="s">
        <v>6078</v>
      </c>
      <c r="F33" s="48" t="s">
        <v>166</v>
      </c>
      <c r="G33" s="48" t="s">
        <v>2965</v>
      </c>
      <c r="H33" s="182" t="s">
        <v>214</v>
      </c>
      <c r="I33" s="48" t="s">
        <v>2965</v>
      </c>
      <c r="J33" s="48" t="s">
        <v>2965</v>
      </c>
      <c r="K33" s="705" t="s">
        <v>6142</v>
      </c>
      <c r="L33" s="705" t="s">
        <v>6087</v>
      </c>
      <c r="M33" s="759" t="s">
        <v>214</v>
      </c>
      <c r="N33" s="48" t="s">
        <v>174</v>
      </c>
      <c r="O33" s="48" t="s">
        <v>166</v>
      </c>
      <c r="P33" s="48" t="s">
        <v>6125</v>
      </c>
      <c r="Q33" s="48">
        <v>92.0</v>
      </c>
      <c r="R33" s="48" t="s">
        <v>174</v>
      </c>
      <c r="S33" s="705" t="s">
        <v>6099</v>
      </c>
      <c r="T33" s="705" t="s">
        <v>6135</v>
      </c>
      <c r="U33" s="705">
        <v>2.0</v>
      </c>
      <c r="V33" s="705" t="s">
        <v>6160</v>
      </c>
      <c r="W33" s="705">
        <v>4.0</v>
      </c>
      <c r="X33" s="705" t="s">
        <v>166</v>
      </c>
      <c r="Y33" s="705" t="s">
        <v>166</v>
      </c>
      <c r="Z33" s="705" t="s">
        <v>6161</v>
      </c>
      <c r="AA33" s="705">
        <v>8.0</v>
      </c>
      <c r="AB33" s="705" t="s">
        <v>6162</v>
      </c>
      <c r="AC33" s="48">
        <v>4.0</v>
      </c>
      <c r="AD33" s="759" t="s">
        <v>6163</v>
      </c>
      <c r="AE33" s="48">
        <v>10.0</v>
      </c>
      <c r="AF33" s="699"/>
      <c r="AG33" s="758"/>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row>
    <row r="34">
      <c r="A34" s="174" t="s">
        <v>1532</v>
      </c>
      <c r="B34" s="174" t="s">
        <v>6165</v>
      </c>
      <c r="C34" s="48" t="s">
        <v>324</v>
      </c>
      <c r="D34" s="48">
        <v>750.0</v>
      </c>
      <c r="E34" s="48" t="s">
        <v>6078</v>
      </c>
      <c r="F34" s="48" t="s">
        <v>166</v>
      </c>
      <c r="G34" s="48" t="s">
        <v>2965</v>
      </c>
      <c r="H34" s="182" t="s">
        <v>214</v>
      </c>
      <c r="I34" s="48" t="s">
        <v>2965</v>
      </c>
      <c r="J34" s="48" t="s">
        <v>2966</v>
      </c>
      <c r="K34" s="48" t="s">
        <v>6087</v>
      </c>
      <c r="L34" s="48" t="s">
        <v>6087</v>
      </c>
      <c r="M34" s="182" t="s">
        <v>214</v>
      </c>
      <c r="N34" s="48" t="s">
        <v>174</v>
      </c>
      <c r="O34" s="48" t="s">
        <v>166</v>
      </c>
      <c r="P34" s="48" t="s">
        <v>6125</v>
      </c>
      <c r="Q34" s="48">
        <v>92.0</v>
      </c>
      <c r="R34" s="48" t="s">
        <v>174</v>
      </c>
      <c r="S34" s="705" t="s">
        <v>6099</v>
      </c>
      <c r="T34" s="705" t="s">
        <v>6135</v>
      </c>
      <c r="U34" s="48">
        <v>2.0</v>
      </c>
      <c r="V34" s="705" t="s">
        <v>6160</v>
      </c>
      <c r="W34" s="48">
        <v>4.0</v>
      </c>
      <c r="X34" s="48" t="s">
        <v>166</v>
      </c>
      <c r="Y34" s="48" t="s">
        <v>166</v>
      </c>
      <c r="Z34" s="705" t="s">
        <v>6161</v>
      </c>
      <c r="AA34" s="48">
        <v>8.0</v>
      </c>
      <c r="AB34" s="705" t="s">
        <v>6162</v>
      </c>
      <c r="AC34" s="48">
        <v>4.0</v>
      </c>
      <c r="AD34" s="759" t="s">
        <v>6163</v>
      </c>
      <c r="AE34" s="48">
        <v>10.0</v>
      </c>
      <c r="AF34" s="699"/>
      <c r="AG34" s="758"/>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row>
    <row r="35">
      <c r="A35" s="174" t="s">
        <v>1532</v>
      </c>
      <c r="B35" s="737" t="s">
        <v>6166</v>
      </c>
      <c r="C35" s="48" t="s">
        <v>324</v>
      </c>
      <c r="D35" s="48">
        <v>750.0</v>
      </c>
      <c r="E35" s="48" t="s">
        <v>6078</v>
      </c>
      <c r="F35" s="48" t="s">
        <v>166</v>
      </c>
      <c r="G35" s="48" t="s">
        <v>2965</v>
      </c>
      <c r="H35" s="182" t="s">
        <v>214</v>
      </c>
      <c r="I35" s="48" t="s">
        <v>2965</v>
      </c>
      <c r="J35" s="48" t="s">
        <v>2966</v>
      </c>
      <c r="K35" s="48" t="s">
        <v>6087</v>
      </c>
      <c r="L35" s="48" t="s">
        <v>6087</v>
      </c>
      <c r="M35" s="182" t="s">
        <v>214</v>
      </c>
      <c r="N35" s="722" t="s">
        <v>174</v>
      </c>
      <c r="O35" s="48" t="s">
        <v>166</v>
      </c>
      <c r="P35" s="48" t="s">
        <v>6125</v>
      </c>
      <c r="Q35" s="48">
        <v>92.0</v>
      </c>
      <c r="R35" s="48" t="s">
        <v>174</v>
      </c>
      <c r="S35" s="705" t="s">
        <v>6099</v>
      </c>
      <c r="T35" s="705" t="s">
        <v>6135</v>
      </c>
      <c r="U35" s="48">
        <v>2.0</v>
      </c>
      <c r="V35" s="705" t="s">
        <v>6160</v>
      </c>
      <c r="W35" s="48">
        <v>4.0</v>
      </c>
      <c r="X35" s="48" t="s">
        <v>166</v>
      </c>
      <c r="Y35" s="48" t="s">
        <v>166</v>
      </c>
      <c r="Z35" s="705" t="s">
        <v>6161</v>
      </c>
      <c r="AA35" s="48">
        <v>8.0</v>
      </c>
      <c r="AB35" s="705" t="s">
        <v>6162</v>
      </c>
      <c r="AC35" s="48">
        <v>4.0</v>
      </c>
      <c r="AD35" s="759" t="s">
        <v>6163</v>
      </c>
      <c r="AE35" s="48">
        <v>10.0</v>
      </c>
      <c r="AF35" s="775"/>
      <c r="AG35" s="77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row>
    <row r="36">
      <c r="A36" s="174" t="s">
        <v>1532</v>
      </c>
      <c r="B36" s="737" t="s">
        <v>6167</v>
      </c>
      <c r="C36" s="48" t="s">
        <v>324</v>
      </c>
      <c r="D36" s="48">
        <v>750.0</v>
      </c>
      <c r="E36" s="48" t="s">
        <v>6078</v>
      </c>
      <c r="F36" s="48" t="s">
        <v>174</v>
      </c>
      <c r="G36" s="48" t="s">
        <v>2965</v>
      </c>
      <c r="H36" s="182" t="s">
        <v>214</v>
      </c>
      <c r="I36" s="48" t="s">
        <v>166</v>
      </c>
      <c r="J36" s="48" t="s">
        <v>166</v>
      </c>
      <c r="K36" s="48" t="s">
        <v>166</v>
      </c>
      <c r="L36" s="48" t="s">
        <v>166</v>
      </c>
      <c r="M36" s="722" t="s">
        <v>166</v>
      </c>
      <c r="N36" s="722" t="s">
        <v>174</v>
      </c>
      <c r="O36" s="48" t="s">
        <v>166</v>
      </c>
      <c r="P36" s="48" t="s">
        <v>6125</v>
      </c>
      <c r="Q36" s="48">
        <v>92.0</v>
      </c>
      <c r="R36" s="48" t="s">
        <v>174</v>
      </c>
      <c r="S36" s="705" t="s">
        <v>6099</v>
      </c>
      <c r="T36" s="705" t="s">
        <v>6135</v>
      </c>
      <c r="U36" s="48">
        <v>2.0</v>
      </c>
      <c r="V36" s="705" t="s">
        <v>6160</v>
      </c>
      <c r="W36" s="48">
        <v>4.0</v>
      </c>
      <c r="X36" s="48" t="s">
        <v>6113</v>
      </c>
      <c r="Y36" s="48">
        <v>1.0</v>
      </c>
      <c r="Z36" s="705" t="s">
        <v>6161</v>
      </c>
      <c r="AA36" s="48">
        <v>8.0</v>
      </c>
      <c r="AB36" s="705" t="s">
        <v>6162</v>
      </c>
      <c r="AC36" s="48">
        <v>4.0</v>
      </c>
      <c r="AD36" s="759" t="s">
        <v>6163</v>
      </c>
      <c r="AE36" s="48">
        <v>10.0</v>
      </c>
      <c r="AF36" s="775"/>
      <c r="AG36" s="77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row>
    <row r="37">
      <c r="A37" s="174" t="s">
        <v>1532</v>
      </c>
      <c r="B37" s="737" t="s">
        <v>6168</v>
      </c>
      <c r="C37" s="48" t="s">
        <v>324</v>
      </c>
      <c r="D37" s="48">
        <v>750.0</v>
      </c>
      <c r="E37" s="48" t="s">
        <v>6078</v>
      </c>
      <c r="F37" s="48" t="s">
        <v>174</v>
      </c>
      <c r="G37" s="48" t="s">
        <v>2965</v>
      </c>
      <c r="H37" s="182" t="s">
        <v>214</v>
      </c>
      <c r="I37" s="48" t="s">
        <v>166</v>
      </c>
      <c r="J37" s="48" t="s">
        <v>166</v>
      </c>
      <c r="K37" s="48" t="s">
        <v>166</v>
      </c>
      <c r="L37" s="48" t="s">
        <v>166</v>
      </c>
      <c r="M37" s="722" t="s">
        <v>166</v>
      </c>
      <c r="N37" s="722" t="s">
        <v>174</v>
      </c>
      <c r="O37" s="48" t="s">
        <v>166</v>
      </c>
      <c r="P37" s="48" t="s">
        <v>6125</v>
      </c>
      <c r="Q37" s="48">
        <v>92.0</v>
      </c>
      <c r="R37" s="48" t="s">
        <v>174</v>
      </c>
      <c r="S37" s="705" t="s">
        <v>6099</v>
      </c>
      <c r="T37" s="705" t="s">
        <v>6135</v>
      </c>
      <c r="U37" s="48">
        <v>2.0</v>
      </c>
      <c r="V37" s="705" t="s">
        <v>6160</v>
      </c>
      <c r="W37" s="48">
        <v>4.0</v>
      </c>
      <c r="X37" s="48" t="s">
        <v>6113</v>
      </c>
      <c r="Y37" s="48">
        <v>1.0</v>
      </c>
      <c r="Z37" s="705" t="s">
        <v>6161</v>
      </c>
      <c r="AA37" s="48">
        <v>8.0</v>
      </c>
      <c r="AB37" s="705" t="s">
        <v>6162</v>
      </c>
      <c r="AC37" s="48">
        <v>4.0</v>
      </c>
      <c r="AD37" s="759" t="s">
        <v>6163</v>
      </c>
      <c r="AE37" s="48">
        <v>10.0</v>
      </c>
      <c r="AF37" s="775"/>
      <c r="AG37" s="77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row>
    <row r="38">
      <c r="A38" s="174" t="s">
        <v>1532</v>
      </c>
      <c r="B38" s="174" t="s">
        <v>6169</v>
      </c>
      <c r="C38" s="48" t="s">
        <v>324</v>
      </c>
      <c r="D38" s="48">
        <v>850.0</v>
      </c>
      <c r="E38" s="48" t="s">
        <v>6078</v>
      </c>
      <c r="F38" s="48" t="s">
        <v>166</v>
      </c>
      <c r="G38" s="48" t="s">
        <v>2965</v>
      </c>
      <c r="H38" s="182" t="s">
        <v>214</v>
      </c>
      <c r="I38" s="48" t="s">
        <v>2965</v>
      </c>
      <c r="J38" s="48" t="s">
        <v>2966</v>
      </c>
      <c r="K38" s="48" t="s">
        <v>6087</v>
      </c>
      <c r="L38" s="48" t="s">
        <v>6087</v>
      </c>
      <c r="M38" s="182" t="s">
        <v>214</v>
      </c>
      <c r="N38" s="48" t="s">
        <v>174</v>
      </c>
      <c r="O38" s="48" t="s">
        <v>166</v>
      </c>
      <c r="P38" s="48" t="s">
        <v>6125</v>
      </c>
      <c r="Q38" s="48">
        <v>92.0</v>
      </c>
      <c r="R38" s="48" t="s">
        <v>174</v>
      </c>
      <c r="S38" s="705" t="s">
        <v>6099</v>
      </c>
      <c r="T38" s="705" t="s">
        <v>6135</v>
      </c>
      <c r="U38" s="48">
        <v>2.0</v>
      </c>
      <c r="V38" s="705" t="s">
        <v>6160</v>
      </c>
      <c r="W38" s="48">
        <v>4.0</v>
      </c>
      <c r="X38" s="48" t="s">
        <v>166</v>
      </c>
      <c r="Y38" s="48" t="s">
        <v>166</v>
      </c>
      <c r="Z38" s="705" t="s">
        <v>6161</v>
      </c>
      <c r="AA38" s="48">
        <v>8.0</v>
      </c>
      <c r="AB38" s="705" t="s">
        <v>6162</v>
      </c>
      <c r="AC38" s="48">
        <v>4.0</v>
      </c>
      <c r="AD38" s="759" t="s">
        <v>6163</v>
      </c>
      <c r="AE38" s="48">
        <v>10.0</v>
      </c>
      <c r="AF38" s="699"/>
      <c r="AG38" s="758"/>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row>
    <row r="39">
      <c r="A39" s="174" t="s">
        <v>1532</v>
      </c>
      <c r="B39" s="174" t="s">
        <v>6170</v>
      </c>
      <c r="C39" s="48" t="s">
        <v>324</v>
      </c>
      <c r="D39" s="48">
        <v>850.0</v>
      </c>
      <c r="E39" s="48" t="s">
        <v>6078</v>
      </c>
      <c r="F39" s="48" t="s">
        <v>166</v>
      </c>
      <c r="G39" s="48" t="s">
        <v>2965</v>
      </c>
      <c r="H39" s="182" t="s">
        <v>214</v>
      </c>
      <c r="I39" s="48" t="s">
        <v>2965</v>
      </c>
      <c r="J39" s="48" t="s">
        <v>2966</v>
      </c>
      <c r="K39" s="48" t="s">
        <v>6087</v>
      </c>
      <c r="L39" s="48" t="s">
        <v>6087</v>
      </c>
      <c r="M39" s="182" t="s">
        <v>214</v>
      </c>
      <c r="N39" s="48" t="s">
        <v>174</v>
      </c>
      <c r="O39" s="48" t="s">
        <v>166</v>
      </c>
      <c r="P39" s="48" t="s">
        <v>6125</v>
      </c>
      <c r="Q39" s="48">
        <v>92.0</v>
      </c>
      <c r="R39" s="48" t="s">
        <v>174</v>
      </c>
      <c r="S39" s="705" t="s">
        <v>6099</v>
      </c>
      <c r="T39" s="705" t="s">
        <v>6135</v>
      </c>
      <c r="U39" s="48">
        <v>2.0</v>
      </c>
      <c r="V39" s="705" t="s">
        <v>6160</v>
      </c>
      <c r="W39" s="48">
        <v>4.0</v>
      </c>
      <c r="X39" s="48" t="s">
        <v>166</v>
      </c>
      <c r="Y39" s="48" t="s">
        <v>166</v>
      </c>
      <c r="Z39" s="705" t="s">
        <v>6161</v>
      </c>
      <c r="AA39" s="48">
        <v>8.0</v>
      </c>
      <c r="AB39" s="705" t="s">
        <v>6162</v>
      </c>
      <c r="AC39" s="48">
        <v>4.0</v>
      </c>
      <c r="AD39" s="759" t="s">
        <v>6163</v>
      </c>
      <c r="AE39" s="48">
        <v>10.0</v>
      </c>
      <c r="AF39" s="699"/>
      <c r="AG39" s="758"/>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row>
    <row r="40">
      <c r="A40" s="174" t="s">
        <v>1532</v>
      </c>
      <c r="B40" s="174" t="s">
        <v>6171</v>
      </c>
      <c r="C40" s="48" t="s">
        <v>324</v>
      </c>
      <c r="D40" s="48">
        <v>850.0</v>
      </c>
      <c r="E40" s="48" t="s">
        <v>6078</v>
      </c>
      <c r="F40" s="48" t="s">
        <v>174</v>
      </c>
      <c r="G40" s="48" t="s">
        <v>2965</v>
      </c>
      <c r="H40" s="182" t="s">
        <v>214</v>
      </c>
      <c r="I40" s="48" t="s">
        <v>166</v>
      </c>
      <c r="J40" s="48" t="s">
        <v>166</v>
      </c>
      <c r="K40" s="48" t="s">
        <v>166</v>
      </c>
      <c r="L40" s="48" t="s">
        <v>166</v>
      </c>
      <c r="M40" s="722" t="s">
        <v>166</v>
      </c>
      <c r="N40" s="48" t="s">
        <v>174</v>
      </c>
      <c r="O40" s="48" t="s">
        <v>166</v>
      </c>
      <c r="P40" s="48" t="s">
        <v>6125</v>
      </c>
      <c r="Q40" s="48">
        <v>92.0</v>
      </c>
      <c r="R40" s="48" t="s">
        <v>174</v>
      </c>
      <c r="S40" s="705" t="s">
        <v>6099</v>
      </c>
      <c r="T40" s="705" t="s">
        <v>6135</v>
      </c>
      <c r="U40" s="48">
        <v>2.0</v>
      </c>
      <c r="V40" s="705" t="s">
        <v>6160</v>
      </c>
      <c r="W40" s="48">
        <v>4.0</v>
      </c>
      <c r="X40" s="48" t="s">
        <v>6113</v>
      </c>
      <c r="Y40" s="48">
        <v>1.0</v>
      </c>
      <c r="Z40" s="705" t="s">
        <v>6161</v>
      </c>
      <c r="AA40" s="48">
        <v>8.0</v>
      </c>
      <c r="AB40" s="705" t="s">
        <v>6162</v>
      </c>
      <c r="AC40" s="48">
        <v>4.0</v>
      </c>
      <c r="AD40" s="759" t="s">
        <v>6163</v>
      </c>
      <c r="AE40" s="48">
        <v>10.0</v>
      </c>
      <c r="AF40" s="698"/>
      <c r="AG40" s="182"/>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row>
    <row r="41">
      <c r="A41" s="174" t="s">
        <v>1532</v>
      </c>
      <c r="B41" s="174" t="s">
        <v>6172</v>
      </c>
      <c r="C41" s="48" t="s">
        <v>324</v>
      </c>
      <c r="D41" s="48">
        <v>850.0</v>
      </c>
      <c r="E41" s="48" t="s">
        <v>6078</v>
      </c>
      <c r="F41" s="48" t="s">
        <v>174</v>
      </c>
      <c r="G41" s="48" t="s">
        <v>2965</v>
      </c>
      <c r="H41" s="182" t="s">
        <v>214</v>
      </c>
      <c r="I41" s="48" t="s">
        <v>166</v>
      </c>
      <c r="J41" s="48" t="s">
        <v>166</v>
      </c>
      <c r="K41" s="48" t="s">
        <v>166</v>
      </c>
      <c r="L41" s="48" t="s">
        <v>166</v>
      </c>
      <c r="M41" s="722" t="s">
        <v>166</v>
      </c>
      <c r="N41" s="48" t="s">
        <v>174</v>
      </c>
      <c r="O41" s="48" t="s">
        <v>166</v>
      </c>
      <c r="P41" s="48" t="s">
        <v>6125</v>
      </c>
      <c r="Q41" s="48">
        <v>92.0</v>
      </c>
      <c r="R41" s="48" t="s">
        <v>174</v>
      </c>
      <c r="S41" s="705" t="s">
        <v>6099</v>
      </c>
      <c r="T41" s="705" t="s">
        <v>6135</v>
      </c>
      <c r="U41" s="48">
        <v>2.0</v>
      </c>
      <c r="V41" s="705" t="s">
        <v>6160</v>
      </c>
      <c r="W41" s="48">
        <v>4.0</v>
      </c>
      <c r="X41" s="48" t="s">
        <v>6113</v>
      </c>
      <c r="Y41" s="48">
        <v>1.0</v>
      </c>
      <c r="Z41" s="705" t="s">
        <v>6161</v>
      </c>
      <c r="AA41" s="48">
        <v>8.0</v>
      </c>
      <c r="AB41" s="705" t="s">
        <v>6162</v>
      </c>
      <c r="AC41" s="48">
        <v>4.0</v>
      </c>
      <c r="AD41" s="759" t="s">
        <v>6163</v>
      </c>
      <c r="AE41" s="48">
        <v>10.0</v>
      </c>
      <c r="AF41" s="698"/>
      <c r="AG41" s="182"/>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row>
    <row r="42">
      <c r="A42" s="174" t="s">
        <v>1532</v>
      </c>
      <c r="B42" s="174" t="s">
        <v>6173</v>
      </c>
      <c r="C42" s="48" t="s">
        <v>324</v>
      </c>
      <c r="D42" s="48">
        <v>1100.0</v>
      </c>
      <c r="E42" s="48" t="s">
        <v>6078</v>
      </c>
      <c r="F42" s="48" t="s">
        <v>174</v>
      </c>
      <c r="G42" s="48" t="s">
        <v>2966</v>
      </c>
      <c r="H42" s="182" t="s">
        <v>214</v>
      </c>
      <c r="I42" s="48" t="s">
        <v>2966</v>
      </c>
      <c r="J42" s="48" t="s">
        <v>2981</v>
      </c>
      <c r="K42" s="48" t="s">
        <v>6158</v>
      </c>
      <c r="L42" s="48" t="s">
        <v>6158</v>
      </c>
      <c r="M42" s="182" t="s">
        <v>214</v>
      </c>
      <c r="N42" s="48" t="s">
        <v>174</v>
      </c>
      <c r="O42" s="48" t="s">
        <v>166</v>
      </c>
      <c r="P42" s="48" t="s">
        <v>6125</v>
      </c>
      <c r="Q42" s="48">
        <v>92.0</v>
      </c>
      <c r="R42" s="48" t="s">
        <v>174</v>
      </c>
      <c r="S42" s="48" t="s">
        <v>6099</v>
      </c>
      <c r="T42" s="48" t="s">
        <v>6135</v>
      </c>
      <c r="U42" s="48">
        <v>2.0</v>
      </c>
      <c r="V42" s="48" t="s">
        <v>6108</v>
      </c>
      <c r="W42" s="48">
        <v>3.0</v>
      </c>
      <c r="X42" s="48" t="s">
        <v>6094</v>
      </c>
      <c r="Y42" s="48" t="s">
        <v>6127</v>
      </c>
      <c r="Z42" s="48" t="s">
        <v>6134</v>
      </c>
      <c r="AA42" s="48">
        <v>8.0</v>
      </c>
      <c r="AB42" s="48" t="s">
        <v>6174</v>
      </c>
      <c r="AC42" s="48">
        <v>4.0</v>
      </c>
      <c r="AD42" s="182" t="s">
        <v>6175</v>
      </c>
      <c r="AE42" s="48">
        <v>10.0</v>
      </c>
      <c r="AF42" s="698"/>
      <c r="AG42" s="182" t="s">
        <v>214</v>
      </c>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row>
    <row r="43">
      <c r="A43" s="291" t="s">
        <v>1532</v>
      </c>
      <c r="B43" s="291" t="s">
        <v>6176</v>
      </c>
      <c r="C43" s="700" t="s">
        <v>324</v>
      </c>
      <c r="D43" s="700">
        <v>1300.0</v>
      </c>
      <c r="E43" s="700" t="s">
        <v>6177</v>
      </c>
      <c r="F43" s="700" t="s">
        <v>174</v>
      </c>
      <c r="G43" s="700" t="s">
        <v>2966</v>
      </c>
      <c r="H43" s="760" t="s">
        <v>214</v>
      </c>
      <c r="I43" s="700" t="s">
        <v>166</v>
      </c>
      <c r="J43" s="700" t="s">
        <v>170</v>
      </c>
      <c r="K43" s="700" t="s">
        <v>166</v>
      </c>
      <c r="L43" s="700" t="s">
        <v>6158</v>
      </c>
      <c r="M43" s="700" t="s">
        <v>166</v>
      </c>
      <c r="N43" s="700" t="s">
        <v>174</v>
      </c>
      <c r="O43" s="700" t="s">
        <v>166</v>
      </c>
      <c r="P43" s="700" t="s">
        <v>6125</v>
      </c>
      <c r="Q43" s="700">
        <v>92.0</v>
      </c>
      <c r="R43" s="700" t="s">
        <v>174</v>
      </c>
      <c r="S43" s="700" t="s">
        <v>6099</v>
      </c>
      <c r="T43" s="700" t="s">
        <v>6135</v>
      </c>
      <c r="U43" s="700">
        <v>2.0</v>
      </c>
      <c r="V43" s="700" t="s">
        <v>6108</v>
      </c>
      <c r="W43" s="700">
        <v>3.0</v>
      </c>
      <c r="X43" s="700" t="s">
        <v>6094</v>
      </c>
      <c r="Y43" s="700" t="s">
        <v>6127</v>
      </c>
      <c r="Z43" s="700" t="s">
        <v>6134</v>
      </c>
      <c r="AA43" s="700">
        <v>8.0</v>
      </c>
      <c r="AB43" s="700" t="s">
        <v>6174</v>
      </c>
      <c r="AC43" s="700">
        <v>4.0</v>
      </c>
      <c r="AD43" s="760" t="s">
        <v>6175</v>
      </c>
      <c r="AE43" s="700">
        <v>10.0</v>
      </c>
      <c r="AF43" s="703" t="s">
        <v>6178</v>
      </c>
      <c r="AG43" s="760" t="s">
        <v>214</v>
      </c>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row>
    <row r="44">
      <c r="A44" s="282" t="str">
        <f t="shared" ref="A44:A53" si="1">HYPERLINK("https://www.corsair.com/ww/en/","Corsair")</f>
        <v>Corsair</v>
      </c>
      <c r="B44" s="282" t="s">
        <v>6179</v>
      </c>
      <c r="C44" s="705" t="s">
        <v>324</v>
      </c>
      <c r="D44" s="705">
        <v>450.0</v>
      </c>
      <c r="E44" s="705" t="s">
        <v>6078</v>
      </c>
      <c r="F44" s="705" t="s">
        <v>166</v>
      </c>
      <c r="G44" s="705" t="s">
        <v>2965</v>
      </c>
      <c r="H44" s="759" t="s">
        <v>214</v>
      </c>
      <c r="I44" s="705" t="s">
        <v>166</v>
      </c>
      <c r="J44" s="705" t="s">
        <v>166</v>
      </c>
      <c r="K44" s="705" t="s">
        <v>166</v>
      </c>
      <c r="L44" s="705" t="s">
        <v>166</v>
      </c>
      <c r="M44" s="705" t="s">
        <v>166</v>
      </c>
      <c r="N44" s="705" t="s">
        <v>174</v>
      </c>
      <c r="O44" s="705" t="s">
        <v>174</v>
      </c>
      <c r="P44" s="705" t="s">
        <v>6180</v>
      </c>
      <c r="Q44" s="705">
        <v>92.0</v>
      </c>
      <c r="R44" s="705" t="s">
        <v>166</v>
      </c>
      <c r="S44" s="705" t="s">
        <v>6099</v>
      </c>
      <c r="T44" s="705" t="s">
        <v>6094</v>
      </c>
      <c r="U44" s="705">
        <v>1.0</v>
      </c>
      <c r="V44" s="705" t="s">
        <v>6181</v>
      </c>
      <c r="W44" s="705">
        <v>2.0</v>
      </c>
      <c r="X44" s="705" t="s">
        <v>166</v>
      </c>
      <c r="Y44" s="705" t="s">
        <v>166</v>
      </c>
      <c r="Z44" s="705" t="s">
        <v>6162</v>
      </c>
      <c r="AA44" s="705">
        <v>4.0</v>
      </c>
      <c r="AB44" s="705" t="s">
        <v>6162</v>
      </c>
      <c r="AC44" s="705">
        <v>4.0</v>
      </c>
      <c r="AD44" s="759" t="s">
        <v>6137</v>
      </c>
      <c r="AE44" s="705">
        <v>7.0</v>
      </c>
      <c r="AF44" s="708" t="s">
        <v>181</v>
      </c>
      <c r="AG44" s="759" t="s">
        <v>214</v>
      </c>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row>
    <row r="45">
      <c r="A45" s="174" t="str">
        <f t="shared" si="1"/>
        <v>Corsair</v>
      </c>
      <c r="B45" s="174" t="s">
        <v>6182</v>
      </c>
      <c r="C45" s="48" t="s">
        <v>324</v>
      </c>
      <c r="D45" s="48">
        <v>450.0</v>
      </c>
      <c r="E45" s="48" t="s">
        <v>6078</v>
      </c>
      <c r="F45" s="48" t="s">
        <v>166</v>
      </c>
      <c r="G45" s="48" t="s">
        <v>2966</v>
      </c>
      <c r="H45" s="182" t="s">
        <v>214</v>
      </c>
      <c r="I45" s="48" t="s">
        <v>2969</v>
      </c>
      <c r="J45" s="48" t="s">
        <v>2966</v>
      </c>
      <c r="K45" s="48" t="s">
        <v>4720</v>
      </c>
      <c r="L45" s="48" t="s">
        <v>4720</v>
      </c>
      <c r="M45" s="182" t="s">
        <v>214</v>
      </c>
      <c r="N45" s="48" t="s">
        <v>174</v>
      </c>
      <c r="O45" s="48" t="s">
        <v>174</v>
      </c>
      <c r="P45" s="48" t="s">
        <v>6183</v>
      </c>
      <c r="Q45" s="48">
        <v>92.0</v>
      </c>
      <c r="R45" s="48" t="s">
        <v>174</v>
      </c>
      <c r="S45" s="48" t="s">
        <v>6099</v>
      </c>
      <c r="T45" s="48" t="s">
        <v>6094</v>
      </c>
      <c r="U45" s="48">
        <v>1.0</v>
      </c>
      <c r="V45" s="48" t="s">
        <v>6181</v>
      </c>
      <c r="W45" s="48">
        <v>2.0</v>
      </c>
      <c r="X45" s="48" t="s">
        <v>166</v>
      </c>
      <c r="Y45" s="48" t="s">
        <v>166</v>
      </c>
      <c r="Z45" s="48" t="s">
        <v>6162</v>
      </c>
      <c r="AA45" s="48">
        <v>4.0</v>
      </c>
      <c r="AB45" s="48" t="s">
        <v>6093</v>
      </c>
      <c r="AC45" s="48">
        <v>3.0</v>
      </c>
      <c r="AD45" s="182" t="s">
        <v>6137</v>
      </c>
      <c r="AE45" s="48">
        <v>7.0</v>
      </c>
      <c r="AF45" s="708" t="s">
        <v>181</v>
      </c>
      <c r="AG45" s="182" t="s">
        <v>214</v>
      </c>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row>
    <row r="46">
      <c r="A46" s="174" t="str">
        <f t="shared" si="1"/>
        <v>Corsair</v>
      </c>
      <c r="B46" s="174" t="s">
        <v>6184</v>
      </c>
      <c r="C46" s="48" t="s">
        <v>324</v>
      </c>
      <c r="D46" s="48">
        <v>600.0</v>
      </c>
      <c r="E46" s="48" t="s">
        <v>6078</v>
      </c>
      <c r="F46" s="48" t="s">
        <v>166</v>
      </c>
      <c r="G46" s="48" t="s">
        <v>2965</v>
      </c>
      <c r="H46" s="182" t="s">
        <v>214</v>
      </c>
      <c r="I46" s="48" t="s">
        <v>166</v>
      </c>
      <c r="J46" s="48" t="s">
        <v>166</v>
      </c>
      <c r="K46" s="48" t="s">
        <v>166</v>
      </c>
      <c r="L46" s="48" t="s">
        <v>166</v>
      </c>
      <c r="M46" s="48" t="s">
        <v>166</v>
      </c>
      <c r="N46" s="48" t="s">
        <v>174</v>
      </c>
      <c r="O46" s="48" t="s">
        <v>174</v>
      </c>
      <c r="P46" s="48" t="s">
        <v>6185</v>
      </c>
      <c r="Q46" s="48">
        <v>92.0</v>
      </c>
      <c r="R46" s="48" t="s">
        <v>166</v>
      </c>
      <c r="S46" s="48" t="s">
        <v>6099</v>
      </c>
      <c r="T46" s="48" t="s">
        <v>6094</v>
      </c>
      <c r="U46" s="48">
        <v>1.0</v>
      </c>
      <c r="V46" s="48" t="s">
        <v>6181</v>
      </c>
      <c r="W46" s="48">
        <v>2.0</v>
      </c>
      <c r="X46" s="48" t="s">
        <v>166</v>
      </c>
      <c r="Y46" s="48" t="s">
        <v>166</v>
      </c>
      <c r="Z46" s="48" t="s">
        <v>6162</v>
      </c>
      <c r="AA46" s="48">
        <v>4.0</v>
      </c>
      <c r="AB46" s="48" t="s">
        <v>6162</v>
      </c>
      <c r="AC46" s="48">
        <v>4.0</v>
      </c>
      <c r="AD46" s="182" t="s">
        <v>6137</v>
      </c>
      <c r="AE46" s="48">
        <v>7.0</v>
      </c>
      <c r="AF46" s="708" t="s">
        <v>181</v>
      </c>
      <c r="AG46" s="182" t="s">
        <v>214</v>
      </c>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row>
    <row r="47">
      <c r="A47" s="174" t="str">
        <f t="shared" si="1"/>
        <v>Corsair</v>
      </c>
      <c r="B47" s="174" t="s">
        <v>6186</v>
      </c>
      <c r="C47" s="48" t="s">
        <v>324</v>
      </c>
      <c r="D47" s="48">
        <v>600.0</v>
      </c>
      <c r="E47" s="48" t="s">
        <v>6078</v>
      </c>
      <c r="F47" s="48" t="s">
        <v>166</v>
      </c>
      <c r="G47" s="48" t="s">
        <v>2966</v>
      </c>
      <c r="H47" s="182" t="s">
        <v>214</v>
      </c>
      <c r="I47" s="48" t="s">
        <v>2966</v>
      </c>
      <c r="J47" s="48" t="s">
        <v>2966</v>
      </c>
      <c r="K47" s="48" t="s">
        <v>4720</v>
      </c>
      <c r="L47" s="48" t="s">
        <v>4720</v>
      </c>
      <c r="M47" s="182" t="s">
        <v>214</v>
      </c>
      <c r="N47" s="48" t="s">
        <v>174</v>
      </c>
      <c r="O47" s="48" t="s">
        <v>174</v>
      </c>
      <c r="P47" s="48" t="s">
        <v>6187</v>
      </c>
      <c r="Q47" s="48">
        <v>92.0</v>
      </c>
      <c r="R47" s="48" t="s">
        <v>174</v>
      </c>
      <c r="S47" s="48" t="s">
        <v>6099</v>
      </c>
      <c r="T47" s="48" t="s">
        <v>6094</v>
      </c>
      <c r="U47" s="48">
        <v>1.0</v>
      </c>
      <c r="V47" s="48" t="s">
        <v>6181</v>
      </c>
      <c r="W47" s="48">
        <v>2.0</v>
      </c>
      <c r="X47" s="48" t="s">
        <v>166</v>
      </c>
      <c r="Y47" s="48" t="s">
        <v>166</v>
      </c>
      <c r="Z47" s="48" t="s">
        <v>6162</v>
      </c>
      <c r="AA47" s="48">
        <v>4.0</v>
      </c>
      <c r="AB47" s="48" t="s">
        <v>6093</v>
      </c>
      <c r="AC47" s="48">
        <v>3.0</v>
      </c>
      <c r="AD47" s="182" t="s">
        <v>6137</v>
      </c>
      <c r="AE47" s="48">
        <v>7.0</v>
      </c>
      <c r="AF47" s="708" t="s">
        <v>181</v>
      </c>
      <c r="AG47" s="182" t="s">
        <v>214</v>
      </c>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row>
    <row r="48">
      <c r="A48" s="174" t="str">
        <f t="shared" si="1"/>
        <v>Corsair</v>
      </c>
      <c r="B48" s="174" t="s">
        <v>6188</v>
      </c>
      <c r="C48" s="48" t="s">
        <v>324</v>
      </c>
      <c r="D48" s="48">
        <v>750.0</v>
      </c>
      <c r="E48" s="48" t="s">
        <v>6078</v>
      </c>
      <c r="F48" s="48" t="s">
        <v>166</v>
      </c>
      <c r="G48" s="48" t="s">
        <v>2966</v>
      </c>
      <c r="H48" s="182" t="s">
        <v>214</v>
      </c>
      <c r="I48" s="48" t="s">
        <v>2966</v>
      </c>
      <c r="J48" s="48" t="s">
        <v>2966</v>
      </c>
      <c r="K48" s="48" t="s">
        <v>6158</v>
      </c>
      <c r="L48" s="48" t="s">
        <v>6158</v>
      </c>
      <c r="M48" s="182" t="s">
        <v>214</v>
      </c>
      <c r="N48" s="48" t="s">
        <v>174</v>
      </c>
      <c r="O48" s="48" t="s">
        <v>174</v>
      </c>
      <c r="P48" s="48" t="s">
        <v>6092</v>
      </c>
      <c r="Q48" s="48">
        <v>92.0</v>
      </c>
      <c r="R48" s="48" t="s">
        <v>174</v>
      </c>
      <c r="S48" s="48" t="s">
        <v>6099</v>
      </c>
      <c r="T48" s="48" t="s">
        <v>6181</v>
      </c>
      <c r="U48" s="48">
        <v>2.0</v>
      </c>
      <c r="V48" s="48" t="s">
        <v>6148</v>
      </c>
      <c r="W48" s="48">
        <v>4.0</v>
      </c>
      <c r="X48" s="48" t="s">
        <v>166</v>
      </c>
      <c r="Y48" s="48" t="s">
        <v>166</v>
      </c>
      <c r="Z48" s="48" t="s">
        <v>6161</v>
      </c>
      <c r="AA48" s="48">
        <v>8.0</v>
      </c>
      <c r="AB48" s="48" t="s">
        <v>6093</v>
      </c>
      <c r="AC48" s="48">
        <v>3.0</v>
      </c>
      <c r="AD48" s="182" t="s">
        <v>6137</v>
      </c>
      <c r="AE48" s="48">
        <v>7.0</v>
      </c>
      <c r="AF48" s="698"/>
      <c r="AG48" s="182" t="s">
        <v>214</v>
      </c>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row>
    <row r="49">
      <c r="A49" s="174" t="str">
        <f t="shared" si="1"/>
        <v>Corsair</v>
      </c>
      <c r="B49" s="777" t="s">
        <v>6189</v>
      </c>
      <c r="C49" s="48" t="s">
        <v>324</v>
      </c>
      <c r="D49" s="48">
        <v>750.0</v>
      </c>
      <c r="E49" s="48" t="s">
        <v>6078</v>
      </c>
      <c r="F49" s="48" t="s">
        <v>174</v>
      </c>
      <c r="G49" s="48" t="s">
        <v>166</v>
      </c>
      <c r="H49" s="181" t="s">
        <v>166</v>
      </c>
      <c r="I49" s="48" t="s">
        <v>2966</v>
      </c>
      <c r="J49" s="48" t="s">
        <v>2966</v>
      </c>
      <c r="K49" s="48" t="s">
        <v>6158</v>
      </c>
      <c r="L49" s="48" t="s">
        <v>6158</v>
      </c>
      <c r="M49" s="778" t="s">
        <v>214</v>
      </c>
      <c r="N49" s="48" t="s">
        <v>174</v>
      </c>
      <c r="O49" s="48" t="s">
        <v>174</v>
      </c>
      <c r="P49" s="48" t="s">
        <v>6092</v>
      </c>
      <c r="Q49" s="48">
        <v>92.0</v>
      </c>
      <c r="R49" s="48" t="s">
        <v>174</v>
      </c>
      <c r="S49" s="48" t="s">
        <v>6099</v>
      </c>
      <c r="T49" s="48" t="s">
        <v>6181</v>
      </c>
      <c r="U49" s="48">
        <v>2.0</v>
      </c>
      <c r="V49" s="48" t="s">
        <v>6181</v>
      </c>
      <c r="W49" s="48">
        <v>2.0</v>
      </c>
      <c r="X49" s="48" t="s">
        <v>6094</v>
      </c>
      <c r="Y49" s="48" t="s">
        <v>6127</v>
      </c>
      <c r="Z49" s="48" t="s">
        <v>6161</v>
      </c>
      <c r="AA49" s="48">
        <v>8.0</v>
      </c>
      <c r="AB49" s="48" t="s">
        <v>6093</v>
      </c>
      <c r="AC49" s="48">
        <v>3.0</v>
      </c>
      <c r="AD49" s="759" t="s">
        <v>6137</v>
      </c>
      <c r="AE49" s="48">
        <v>7.0</v>
      </c>
      <c r="AF49" s="698"/>
      <c r="AG49" s="182" t="s">
        <v>214</v>
      </c>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row>
    <row r="50">
      <c r="A50" s="174" t="str">
        <f t="shared" si="1"/>
        <v>Corsair</v>
      </c>
      <c r="B50" s="777" t="s">
        <v>6190</v>
      </c>
      <c r="C50" s="48" t="s">
        <v>324</v>
      </c>
      <c r="D50" s="48">
        <v>850.0</v>
      </c>
      <c r="E50" s="48" t="s">
        <v>6078</v>
      </c>
      <c r="F50" s="48" t="s">
        <v>174</v>
      </c>
      <c r="G50" s="48" t="s">
        <v>166</v>
      </c>
      <c r="H50" s="181" t="s">
        <v>166</v>
      </c>
      <c r="I50" s="48" t="s">
        <v>2966</v>
      </c>
      <c r="J50" s="48" t="s">
        <v>2966</v>
      </c>
      <c r="K50" s="48" t="s">
        <v>6158</v>
      </c>
      <c r="L50" s="48" t="s">
        <v>6158</v>
      </c>
      <c r="M50" s="778" t="s">
        <v>214</v>
      </c>
      <c r="N50" s="48" t="s">
        <v>174</v>
      </c>
      <c r="O50" s="48" t="s">
        <v>174</v>
      </c>
      <c r="P50" s="48" t="s">
        <v>6191</v>
      </c>
      <c r="Q50" s="48">
        <v>92.0</v>
      </c>
      <c r="R50" s="48" t="s">
        <v>174</v>
      </c>
      <c r="S50" s="48" t="s">
        <v>6099</v>
      </c>
      <c r="T50" s="48" t="s">
        <v>6181</v>
      </c>
      <c r="U50" s="48">
        <v>2.0</v>
      </c>
      <c r="V50" s="48" t="s">
        <v>6108</v>
      </c>
      <c r="W50" s="48">
        <v>3.0</v>
      </c>
      <c r="X50" s="48" t="s">
        <v>6094</v>
      </c>
      <c r="Y50" s="48" t="s">
        <v>6127</v>
      </c>
      <c r="Z50" s="48" t="s">
        <v>6161</v>
      </c>
      <c r="AA50" s="48">
        <v>8.0</v>
      </c>
      <c r="AB50" s="48" t="s">
        <v>6093</v>
      </c>
      <c r="AC50" s="48">
        <v>3.0</v>
      </c>
      <c r="AD50" s="759" t="s">
        <v>6137</v>
      </c>
      <c r="AE50" s="48">
        <v>7.0</v>
      </c>
      <c r="AF50" s="698"/>
      <c r="AG50" s="182" t="s">
        <v>214</v>
      </c>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row>
    <row r="51">
      <c r="A51" s="174" t="str">
        <f t="shared" si="1"/>
        <v>Corsair</v>
      </c>
      <c r="B51" s="282" t="s">
        <v>6192</v>
      </c>
      <c r="C51" s="48" t="s">
        <v>6132</v>
      </c>
      <c r="D51" s="48">
        <v>850.0</v>
      </c>
      <c r="E51" s="48" t="s">
        <v>6078</v>
      </c>
      <c r="F51" s="48" t="s">
        <v>174</v>
      </c>
      <c r="G51" s="48" t="s">
        <v>2966</v>
      </c>
      <c r="H51" s="182" t="s">
        <v>214</v>
      </c>
      <c r="I51" s="48" t="s">
        <v>2966</v>
      </c>
      <c r="J51" s="48" t="s">
        <v>2966</v>
      </c>
      <c r="K51" s="48" t="s">
        <v>6087</v>
      </c>
      <c r="L51" s="48" t="s">
        <v>6087</v>
      </c>
      <c r="M51" s="778" t="s">
        <v>214</v>
      </c>
      <c r="N51" s="48" t="s">
        <v>174</v>
      </c>
      <c r="O51" s="48" t="s">
        <v>174</v>
      </c>
      <c r="P51" s="48" t="s">
        <v>6191</v>
      </c>
      <c r="Q51" s="48">
        <v>120.0</v>
      </c>
      <c r="R51" s="48" t="s">
        <v>166</v>
      </c>
      <c r="S51" s="48" t="s">
        <v>6099</v>
      </c>
      <c r="T51" s="48" t="s">
        <v>6181</v>
      </c>
      <c r="U51" s="48">
        <v>2.0</v>
      </c>
      <c r="V51" s="48" t="s">
        <v>6193</v>
      </c>
      <c r="W51" s="48">
        <v>4.0</v>
      </c>
      <c r="X51" s="48" t="s">
        <v>6094</v>
      </c>
      <c r="Y51" s="48" t="s">
        <v>6127</v>
      </c>
      <c r="Z51" s="48" t="s">
        <v>6161</v>
      </c>
      <c r="AA51" s="48">
        <v>8.0</v>
      </c>
      <c r="AB51" s="48" t="s">
        <v>6093</v>
      </c>
      <c r="AC51" s="48">
        <v>3.0</v>
      </c>
      <c r="AD51" s="759" t="s">
        <v>6137</v>
      </c>
      <c r="AE51" s="48">
        <v>7.0</v>
      </c>
      <c r="AF51" s="698"/>
      <c r="AG51" s="182" t="s">
        <v>214</v>
      </c>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row>
    <row r="52">
      <c r="A52" s="174" t="str">
        <f t="shared" si="1"/>
        <v>Corsair</v>
      </c>
      <c r="B52" s="777" t="s">
        <v>6194</v>
      </c>
      <c r="C52" s="48" t="s">
        <v>324</v>
      </c>
      <c r="D52" s="48">
        <v>1000.0</v>
      </c>
      <c r="E52" s="48" t="s">
        <v>6078</v>
      </c>
      <c r="F52" s="48" t="s">
        <v>174</v>
      </c>
      <c r="G52" s="48" t="s">
        <v>166</v>
      </c>
      <c r="H52" s="181" t="s">
        <v>166</v>
      </c>
      <c r="I52" s="48" t="s">
        <v>2966</v>
      </c>
      <c r="J52" s="48" t="s">
        <v>2966</v>
      </c>
      <c r="K52" s="705" t="s">
        <v>6142</v>
      </c>
      <c r="L52" s="705" t="s">
        <v>6142</v>
      </c>
      <c r="M52" s="778" t="s">
        <v>214</v>
      </c>
      <c r="N52" s="48" t="s">
        <v>174</v>
      </c>
      <c r="O52" s="48" t="s">
        <v>174</v>
      </c>
      <c r="P52" s="48" t="s">
        <v>6195</v>
      </c>
      <c r="Q52" s="48">
        <v>92.0</v>
      </c>
      <c r="R52" s="48" t="s">
        <v>174</v>
      </c>
      <c r="S52" s="48" t="s">
        <v>6099</v>
      </c>
      <c r="T52" s="48" t="s">
        <v>6181</v>
      </c>
      <c r="U52" s="48">
        <v>2.0</v>
      </c>
      <c r="V52" s="48" t="s">
        <v>6196</v>
      </c>
      <c r="W52" s="48">
        <v>4.0</v>
      </c>
      <c r="X52" s="48" t="s">
        <v>6094</v>
      </c>
      <c r="Y52" s="48" t="s">
        <v>6127</v>
      </c>
      <c r="Z52" s="48" t="s">
        <v>6161</v>
      </c>
      <c r="AA52" s="48">
        <v>8.0</v>
      </c>
      <c r="AB52" s="48" t="s">
        <v>6093</v>
      </c>
      <c r="AC52" s="48">
        <v>3.0</v>
      </c>
      <c r="AD52" s="759" t="s">
        <v>6137</v>
      </c>
      <c r="AE52" s="48">
        <v>7.0</v>
      </c>
      <c r="AF52" s="698"/>
      <c r="AG52" s="182" t="s">
        <v>214</v>
      </c>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row>
    <row r="53">
      <c r="A53" s="291" t="str">
        <f t="shared" si="1"/>
        <v>Corsair</v>
      </c>
      <c r="B53" s="290" t="s">
        <v>6197</v>
      </c>
      <c r="C53" s="700" t="s">
        <v>6132</v>
      </c>
      <c r="D53" s="700">
        <v>1000.0</v>
      </c>
      <c r="E53" s="700" t="s">
        <v>6078</v>
      </c>
      <c r="F53" s="700" t="s">
        <v>174</v>
      </c>
      <c r="G53" s="700" t="s">
        <v>2966</v>
      </c>
      <c r="H53" s="760" t="s">
        <v>214</v>
      </c>
      <c r="I53" s="700" t="s">
        <v>2966</v>
      </c>
      <c r="J53" s="700" t="s">
        <v>2966</v>
      </c>
      <c r="K53" s="700" t="s">
        <v>6198</v>
      </c>
      <c r="L53" s="700" t="s">
        <v>6198</v>
      </c>
      <c r="M53" s="760" t="s">
        <v>214</v>
      </c>
      <c r="N53" s="700" t="s">
        <v>174</v>
      </c>
      <c r="O53" s="700" t="s">
        <v>174</v>
      </c>
      <c r="P53" s="700" t="s">
        <v>6195</v>
      </c>
      <c r="Q53" s="700">
        <v>120.0</v>
      </c>
      <c r="R53" s="700" t="s">
        <v>166</v>
      </c>
      <c r="S53" s="700" t="s">
        <v>6099</v>
      </c>
      <c r="T53" s="700" t="s">
        <v>6181</v>
      </c>
      <c r="U53" s="700">
        <v>2.0</v>
      </c>
      <c r="V53" s="700" t="s">
        <v>6199</v>
      </c>
      <c r="W53" s="700">
        <v>5.0</v>
      </c>
      <c r="X53" s="700" t="s">
        <v>6094</v>
      </c>
      <c r="Y53" s="700" t="s">
        <v>6127</v>
      </c>
      <c r="Z53" s="700" t="s">
        <v>6161</v>
      </c>
      <c r="AA53" s="700">
        <v>8.0</v>
      </c>
      <c r="AB53" s="700" t="s">
        <v>6093</v>
      </c>
      <c r="AC53" s="700">
        <v>3.0</v>
      </c>
      <c r="AD53" s="773" t="s">
        <v>6137</v>
      </c>
      <c r="AE53" s="700">
        <v>7.0</v>
      </c>
      <c r="AF53" s="703"/>
      <c r="AG53" s="760" t="s">
        <v>214</v>
      </c>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row>
    <row r="54">
      <c r="A54" s="282" t="str">
        <f t="shared" ref="A54:A55" si="2">HYPERLINK("https://www.enermax.com/","Enermax")</f>
        <v>Enermax</v>
      </c>
      <c r="B54" s="282" t="str">
        <f>HYPERLINK("http://www.enermax.com/home.php?fn=eng/product_a1_1_1&amp;lv0=1&amp;lv1=101&amp;no=345","Revolution SFX 550")</f>
        <v>Revolution SFX 550</v>
      </c>
      <c r="C54" s="705" t="s">
        <v>324</v>
      </c>
      <c r="D54" s="705">
        <v>550.0</v>
      </c>
      <c r="E54" s="705" t="s">
        <v>6078</v>
      </c>
      <c r="F54" s="705" t="s">
        <v>166</v>
      </c>
      <c r="G54" s="705" t="s">
        <v>2965</v>
      </c>
      <c r="H54" s="759" t="s">
        <v>214</v>
      </c>
      <c r="I54" s="705" t="s">
        <v>166</v>
      </c>
      <c r="J54" s="705" t="s">
        <v>166</v>
      </c>
      <c r="K54" s="705" t="s">
        <v>166</v>
      </c>
      <c r="L54" s="705" t="s">
        <v>166</v>
      </c>
      <c r="M54" s="728" t="s">
        <v>166</v>
      </c>
      <c r="N54" s="705" t="s">
        <v>174</v>
      </c>
      <c r="O54" s="705" t="s">
        <v>174</v>
      </c>
      <c r="P54" s="771">
        <v>0.3</v>
      </c>
      <c r="Q54" s="705">
        <v>80.0</v>
      </c>
      <c r="R54" s="705" t="s">
        <v>174</v>
      </c>
      <c r="S54" s="705" t="s">
        <v>6099</v>
      </c>
      <c r="T54" s="705" t="s">
        <v>6094</v>
      </c>
      <c r="U54" s="705">
        <v>1.0</v>
      </c>
      <c r="V54" s="705" t="s">
        <v>6181</v>
      </c>
      <c r="W54" s="705">
        <v>2.0</v>
      </c>
      <c r="X54" s="705" t="s">
        <v>166</v>
      </c>
      <c r="Y54" s="705" t="s">
        <v>166</v>
      </c>
      <c r="Z54" s="705" t="s">
        <v>6148</v>
      </c>
      <c r="AA54" s="705">
        <v>6.0</v>
      </c>
      <c r="AB54" s="705" t="s">
        <v>6113</v>
      </c>
      <c r="AC54" s="705">
        <v>4.0</v>
      </c>
      <c r="AD54" s="759" t="s">
        <v>6200</v>
      </c>
      <c r="AE54" s="705">
        <v>5.0</v>
      </c>
      <c r="AF54" s="720"/>
      <c r="AG54" s="7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row>
    <row r="55">
      <c r="A55" s="291" t="str">
        <f t="shared" si="2"/>
        <v>Enermax</v>
      </c>
      <c r="B55" s="291" t="str">
        <f>HYPERLINK("http://www.enermax.com/home.php?fn=eng/product_a1_1_1&amp;lv0=1&amp;lv1=101&amp;no=337","Revolution SFX 650")</f>
        <v>Revolution SFX 650</v>
      </c>
      <c r="C55" s="700" t="s">
        <v>324</v>
      </c>
      <c r="D55" s="700">
        <v>650.0</v>
      </c>
      <c r="E55" s="700" t="s">
        <v>6078</v>
      </c>
      <c r="F55" s="700" t="s">
        <v>166</v>
      </c>
      <c r="G55" s="700" t="s">
        <v>2965</v>
      </c>
      <c r="H55" s="760" t="s">
        <v>214</v>
      </c>
      <c r="I55" s="700" t="s">
        <v>2965</v>
      </c>
      <c r="J55" s="700" t="s">
        <v>2965</v>
      </c>
      <c r="K55" s="700" t="s">
        <v>6087</v>
      </c>
      <c r="L55" s="700" t="s">
        <v>6087</v>
      </c>
      <c r="M55" s="760" t="s">
        <v>214</v>
      </c>
      <c r="N55" s="700" t="s">
        <v>174</v>
      </c>
      <c r="O55" s="700" t="s">
        <v>174</v>
      </c>
      <c r="P55" s="779">
        <v>0.3</v>
      </c>
      <c r="Q55" s="700">
        <v>80.0</v>
      </c>
      <c r="R55" s="700" t="s">
        <v>174</v>
      </c>
      <c r="S55" s="700" t="s">
        <v>6099</v>
      </c>
      <c r="T55" s="700" t="s">
        <v>6094</v>
      </c>
      <c r="U55" s="700">
        <v>1.0</v>
      </c>
      <c r="V55" s="700" t="s">
        <v>6181</v>
      </c>
      <c r="W55" s="700">
        <v>2.0</v>
      </c>
      <c r="X55" s="700" t="s">
        <v>166</v>
      </c>
      <c r="Y55" s="700" t="s">
        <v>166</v>
      </c>
      <c r="Z55" s="700" t="s">
        <v>6148</v>
      </c>
      <c r="AA55" s="700">
        <v>6.0</v>
      </c>
      <c r="AB55" s="700" t="s">
        <v>6113</v>
      </c>
      <c r="AC55" s="700">
        <v>4.0</v>
      </c>
      <c r="AD55" s="760" t="s">
        <v>6200</v>
      </c>
      <c r="AE55" s="700">
        <v>5.0</v>
      </c>
      <c r="AF55" s="704"/>
      <c r="AG55" s="760" t="s">
        <v>214</v>
      </c>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row>
    <row r="56">
      <c r="A56" s="282" t="s">
        <v>6201</v>
      </c>
      <c r="B56" s="282" t="s">
        <v>6202</v>
      </c>
      <c r="C56" s="705" t="s">
        <v>186</v>
      </c>
      <c r="D56" s="705">
        <v>250.0</v>
      </c>
      <c r="E56" s="705" t="s">
        <v>6091</v>
      </c>
      <c r="F56" s="705" t="s">
        <v>166</v>
      </c>
      <c r="G56" s="705" t="s">
        <v>6145</v>
      </c>
      <c r="H56" s="759" t="s">
        <v>214</v>
      </c>
      <c r="I56" s="705" t="s">
        <v>166</v>
      </c>
      <c r="J56" s="705" t="s">
        <v>166</v>
      </c>
      <c r="K56" s="705" t="s">
        <v>166</v>
      </c>
      <c r="L56" s="705" t="s">
        <v>166</v>
      </c>
      <c r="M56" s="705" t="s">
        <v>166</v>
      </c>
      <c r="N56" s="705" t="s">
        <v>166</v>
      </c>
      <c r="O56" s="705" t="s">
        <v>166</v>
      </c>
      <c r="P56" s="705" t="s">
        <v>6125</v>
      </c>
      <c r="Q56" s="705">
        <v>40.0</v>
      </c>
      <c r="R56" s="705" t="s">
        <v>166</v>
      </c>
      <c r="S56" s="705" t="s">
        <v>6099</v>
      </c>
      <c r="T56" s="705" t="s">
        <v>6099</v>
      </c>
      <c r="U56" s="705">
        <v>1.0</v>
      </c>
      <c r="V56" s="705" t="s">
        <v>166</v>
      </c>
      <c r="W56" s="705" t="s">
        <v>166</v>
      </c>
      <c r="X56" s="705" t="s">
        <v>166</v>
      </c>
      <c r="Y56" s="705" t="s">
        <v>166</v>
      </c>
      <c r="Z56" s="705" t="s">
        <v>6113</v>
      </c>
      <c r="AA56" s="705">
        <v>2.0</v>
      </c>
      <c r="AB56" s="705" t="s">
        <v>6181</v>
      </c>
      <c r="AC56" s="705">
        <v>3.0</v>
      </c>
      <c r="AD56" s="759" t="s">
        <v>6201</v>
      </c>
      <c r="AE56" s="705" t="s">
        <v>170</v>
      </c>
      <c r="AF56" s="720"/>
      <c r="AG56" s="7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row>
    <row r="57">
      <c r="A57" s="282" t="s">
        <v>6201</v>
      </c>
      <c r="B57" s="282" t="s">
        <v>6203</v>
      </c>
      <c r="C57" s="705" t="s">
        <v>186</v>
      </c>
      <c r="D57" s="705">
        <v>400.0</v>
      </c>
      <c r="E57" s="705" t="s">
        <v>6091</v>
      </c>
      <c r="F57" s="705" t="s">
        <v>166</v>
      </c>
      <c r="G57" s="705" t="s">
        <v>2965</v>
      </c>
      <c r="H57" s="780" t="s">
        <v>166</v>
      </c>
      <c r="I57" s="705" t="s">
        <v>166</v>
      </c>
      <c r="J57" s="705" t="s">
        <v>166</v>
      </c>
      <c r="K57" s="705" t="s">
        <v>166</v>
      </c>
      <c r="L57" s="705" t="s">
        <v>166</v>
      </c>
      <c r="M57" s="705" t="s">
        <v>166</v>
      </c>
      <c r="N57" s="705" t="s">
        <v>166</v>
      </c>
      <c r="O57" s="705" t="s">
        <v>166</v>
      </c>
      <c r="P57" s="705" t="s">
        <v>6125</v>
      </c>
      <c r="Q57" s="705">
        <v>40.0</v>
      </c>
      <c r="R57" s="705" t="s">
        <v>166</v>
      </c>
      <c r="S57" s="705" t="s">
        <v>6099</v>
      </c>
      <c r="T57" s="705" t="s">
        <v>6099</v>
      </c>
      <c r="U57" s="705">
        <v>1.0</v>
      </c>
      <c r="V57" s="705" t="s">
        <v>166</v>
      </c>
      <c r="W57" s="705" t="s">
        <v>166</v>
      </c>
      <c r="X57" s="705" t="s">
        <v>166</v>
      </c>
      <c r="Y57" s="705" t="s">
        <v>166</v>
      </c>
      <c r="Z57" s="705" t="s">
        <v>6135</v>
      </c>
      <c r="AA57" s="705">
        <v>4.0</v>
      </c>
      <c r="AB57" s="705" t="s">
        <v>6084</v>
      </c>
      <c r="AC57" s="705">
        <v>3.0</v>
      </c>
      <c r="AD57" s="759" t="s">
        <v>6201</v>
      </c>
      <c r="AE57" s="705" t="s">
        <v>170</v>
      </c>
      <c r="AF57" s="720"/>
      <c r="AG57" s="7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row>
    <row r="58">
      <c r="A58" s="282" t="s">
        <v>6201</v>
      </c>
      <c r="B58" s="282" t="s">
        <v>6204</v>
      </c>
      <c r="C58" s="705" t="s">
        <v>186</v>
      </c>
      <c r="D58" s="705">
        <v>600.0</v>
      </c>
      <c r="E58" s="705" t="s">
        <v>6078</v>
      </c>
      <c r="F58" s="705" t="s">
        <v>166</v>
      </c>
      <c r="G58" s="705" t="s">
        <v>2966</v>
      </c>
      <c r="H58" s="759" t="s">
        <v>214</v>
      </c>
      <c r="I58" s="705" t="s">
        <v>166</v>
      </c>
      <c r="J58" s="705" t="s">
        <v>166</v>
      </c>
      <c r="K58" s="705" t="s">
        <v>166</v>
      </c>
      <c r="L58" s="705" t="s">
        <v>166</v>
      </c>
      <c r="M58" s="705" t="s">
        <v>166</v>
      </c>
      <c r="N58" s="705" t="s">
        <v>166</v>
      </c>
      <c r="O58" s="705" t="s">
        <v>166</v>
      </c>
      <c r="P58" s="705" t="s">
        <v>6125</v>
      </c>
      <c r="Q58" s="705">
        <v>40.0</v>
      </c>
      <c r="R58" s="705" t="s">
        <v>166</v>
      </c>
      <c r="S58" s="705" t="s">
        <v>6099</v>
      </c>
      <c r="T58" s="705" t="s">
        <v>6099</v>
      </c>
      <c r="U58" s="705">
        <v>1.0</v>
      </c>
      <c r="V58" s="705" t="s">
        <v>6109</v>
      </c>
      <c r="W58" s="705">
        <v>2.0</v>
      </c>
      <c r="X58" s="705" t="s">
        <v>166</v>
      </c>
      <c r="Y58" s="705" t="s">
        <v>166</v>
      </c>
      <c r="Z58" s="705" t="s">
        <v>6135</v>
      </c>
      <c r="AA58" s="705">
        <v>4.0</v>
      </c>
      <c r="AB58" s="705" t="s">
        <v>6084</v>
      </c>
      <c r="AC58" s="705">
        <v>3.0</v>
      </c>
      <c r="AD58" s="759" t="s">
        <v>6201</v>
      </c>
      <c r="AE58" s="705" t="s">
        <v>170</v>
      </c>
      <c r="AF58" s="720"/>
      <c r="AG58" s="7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row>
    <row r="59">
      <c r="A59" s="290" t="s">
        <v>6201</v>
      </c>
      <c r="B59" s="290" t="s">
        <v>6205</v>
      </c>
      <c r="C59" s="712" t="s">
        <v>186</v>
      </c>
      <c r="D59" s="712">
        <v>450.0</v>
      </c>
      <c r="E59" s="712" t="s">
        <v>6078</v>
      </c>
      <c r="F59" s="712" t="s">
        <v>166</v>
      </c>
      <c r="G59" s="712" t="s">
        <v>2966</v>
      </c>
      <c r="H59" s="781" t="s">
        <v>166</v>
      </c>
      <c r="I59" s="712" t="s">
        <v>166</v>
      </c>
      <c r="J59" s="712" t="s">
        <v>166</v>
      </c>
      <c r="K59" s="712" t="s">
        <v>166</v>
      </c>
      <c r="L59" s="712" t="s">
        <v>166</v>
      </c>
      <c r="M59" s="712" t="s">
        <v>166</v>
      </c>
      <c r="N59" s="712" t="s">
        <v>174</v>
      </c>
      <c r="O59" s="712" t="s">
        <v>166</v>
      </c>
      <c r="P59" s="712" t="s">
        <v>6125</v>
      </c>
      <c r="Q59" s="712">
        <v>40.0</v>
      </c>
      <c r="R59" s="712" t="s">
        <v>166</v>
      </c>
      <c r="S59" s="712" t="s">
        <v>6206</v>
      </c>
      <c r="T59" s="712" t="s">
        <v>6207</v>
      </c>
      <c r="U59" s="712">
        <v>1.0</v>
      </c>
      <c r="V59" s="712" t="s">
        <v>6207</v>
      </c>
      <c r="W59" s="712">
        <v>1.0</v>
      </c>
      <c r="X59" s="712" t="s">
        <v>166</v>
      </c>
      <c r="Y59" s="712" t="s">
        <v>166</v>
      </c>
      <c r="Z59" s="712" t="s">
        <v>6099</v>
      </c>
      <c r="AA59" s="712">
        <v>2.0</v>
      </c>
      <c r="AB59" s="712" t="s">
        <v>6099</v>
      </c>
      <c r="AC59" s="712">
        <v>2.0</v>
      </c>
      <c r="AD59" s="773" t="s">
        <v>6201</v>
      </c>
      <c r="AE59" s="712">
        <v>3.0</v>
      </c>
      <c r="AF59" s="717" t="s">
        <v>6208</v>
      </c>
      <c r="AG59" s="770"/>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row>
    <row r="60">
      <c r="A60" s="282" t="str">
        <f t="shared" ref="A60:A64" si="3">HYPERLINK("https://www.evga.com/","EVGA")</f>
        <v>EVGA</v>
      </c>
      <c r="B60" s="282" t="s">
        <v>6209</v>
      </c>
      <c r="C60" s="705" t="s">
        <v>324</v>
      </c>
      <c r="D60" s="705">
        <v>450.0</v>
      </c>
      <c r="E60" s="705" t="s">
        <v>6078</v>
      </c>
      <c r="F60" s="705" t="s">
        <v>166</v>
      </c>
      <c r="G60" s="705" t="s">
        <v>2965</v>
      </c>
      <c r="H60" s="759" t="s">
        <v>214</v>
      </c>
      <c r="I60" s="705" t="s">
        <v>166</v>
      </c>
      <c r="J60" s="705" t="s">
        <v>166</v>
      </c>
      <c r="K60" s="705" t="s">
        <v>166</v>
      </c>
      <c r="L60" s="705" t="s">
        <v>166</v>
      </c>
      <c r="M60" s="705" t="s">
        <v>166</v>
      </c>
      <c r="N60" s="705" t="s">
        <v>174</v>
      </c>
      <c r="O60" s="705" t="s">
        <v>174</v>
      </c>
      <c r="P60" s="771">
        <v>0.3</v>
      </c>
      <c r="Q60" s="705">
        <v>92.0</v>
      </c>
      <c r="R60" s="705" t="s">
        <v>174</v>
      </c>
      <c r="S60" s="705" t="s">
        <v>6099</v>
      </c>
      <c r="T60" s="705" t="s">
        <v>6094</v>
      </c>
      <c r="U60" s="705">
        <v>1.0</v>
      </c>
      <c r="V60" s="705" t="s">
        <v>6210</v>
      </c>
      <c r="W60" s="705">
        <v>2.0</v>
      </c>
      <c r="X60" s="705" t="s">
        <v>166</v>
      </c>
      <c r="Y60" s="705" t="s">
        <v>166</v>
      </c>
      <c r="Z60" s="705" t="s">
        <v>6211</v>
      </c>
      <c r="AA60" s="705">
        <v>4.0</v>
      </c>
      <c r="AB60" s="705" t="s">
        <v>6211</v>
      </c>
      <c r="AC60" s="705">
        <v>4.0</v>
      </c>
      <c r="AD60" s="759" t="s">
        <v>1200</v>
      </c>
      <c r="AE60" s="705">
        <v>7.0</v>
      </c>
      <c r="AF60" s="720"/>
      <c r="AG60" s="7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row>
    <row r="61">
      <c r="A61" s="174" t="str">
        <f t="shared" si="3"/>
        <v>EVGA</v>
      </c>
      <c r="B61" s="174" t="s">
        <v>6212</v>
      </c>
      <c r="C61" s="48" t="s">
        <v>324</v>
      </c>
      <c r="D61" s="48">
        <v>550.0</v>
      </c>
      <c r="E61" s="48" t="s">
        <v>6078</v>
      </c>
      <c r="F61" s="48" t="s">
        <v>166</v>
      </c>
      <c r="G61" s="48" t="s">
        <v>2965</v>
      </c>
      <c r="H61" s="182" t="s">
        <v>214</v>
      </c>
      <c r="I61" s="48" t="s">
        <v>166</v>
      </c>
      <c r="J61" s="48" t="s">
        <v>166</v>
      </c>
      <c r="K61" s="48" t="s">
        <v>166</v>
      </c>
      <c r="L61" s="48" t="s">
        <v>166</v>
      </c>
      <c r="M61" s="48" t="s">
        <v>166</v>
      </c>
      <c r="N61" s="48" t="s">
        <v>174</v>
      </c>
      <c r="O61" s="48" t="s">
        <v>174</v>
      </c>
      <c r="P61" s="782">
        <v>0.3</v>
      </c>
      <c r="Q61" s="48">
        <v>92.0</v>
      </c>
      <c r="R61" s="48" t="s">
        <v>174</v>
      </c>
      <c r="S61" s="48" t="s">
        <v>6099</v>
      </c>
      <c r="T61" s="48" t="s">
        <v>6094</v>
      </c>
      <c r="U61" s="48">
        <v>1.0</v>
      </c>
      <c r="V61" s="48" t="s">
        <v>6213</v>
      </c>
      <c r="W61" s="48">
        <v>4.0</v>
      </c>
      <c r="X61" s="48" t="s">
        <v>166</v>
      </c>
      <c r="Y61" s="48" t="s">
        <v>166</v>
      </c>
      <c r="Z61" s="48" t="s">
        <v>6211</v>
      </c>
      <c r="AA61" s="48">
        <v>4.0</v>
      </c>
      <c r="AB61" s="48" t="s">
        <v>6211</v>
      </c>
      <c r="AC61" s="48">
        <v>4.0</v>
      </c>
      <c r="AD61" s="182" t="s">
        <v>1200</v>
      </c>
      <c r="AE61" s="48">
        <v>7.0</v>
      </c>
      <c r="AF61" s="699"/>
      <c r="AG61" s="758"/>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row>
    <row r="62">
      <c r="A62" s="174" t="str">
        <f t="shared" si="3"/>
        <v>EVGA</v>
      </c>
      <c r="B62" s="174" t="s">
        <v>6214</v>
      </c>
      <c r="C62" s="48" t="s">
        <v>324</v>
      </c>
      <c r="D62" s="48">
        <v>650.0</v>
      </c>
      <c r="E62" s="48" t="s">
        <v>6078</v>
      </c>
      <c r="F62" s="48" t="s">
        <v>166</v>
      </c>
      <c r="G62" s="48" t="s">
        <v>2965</v>
      </c>
      <c r="H62" s="182" t="s">
        <v>214</v>
      </c>
      <c r="I62" s="48" t="s">
        <v>2981</v>
      </c>
      <c r="J62" s="48" t="s">
        <v>2981</v>
      </c>
      <c r="K62" s="48" t="s">
        <v>6158</v>
      </c>
      <c r="L62" s="48" t="s">
        <v>6158</v>
      </c>
      <c r="M62" s="182" t="s">
        <v>214</v>
      </c>
      <c r="N62" s="48" t="s">
        <v>174</v>
      </c>
      <c r="O62" s="48" t="s">
        <v>174</v>
      </c>
      <c r="P62" s="782">
        <v>0.3</v>
      </c>
      <c r="Q62" s="48">
        <v>92.0</v>
      </c>
      <c r="R62" s="48" t="s">
        <v>174</v>
      </c>
      <c r="S62" s="48" t="s">
        <v>6099</v>
      </c>
      <c r="T62" s="48" t="s">
        <v>6094</v>
      </c>
      <c r="U62" s="48">
        <v>1.0</v>
      </c>
      <c r="V62" s="48" t="s">
        <v>6213</v>
      </c>
      <c r="W62" s="48">
        <v>4.0</v>
      </c>
      <c r="X62" s="48" t="s">
        <v>166</v>
      </c>
      <c r="Y62" s="48" t="s">
        <v>166</v>
      </c>
      <c r="Z62" s="48" t="s">
        <v>6160</v>
      </c>
      <c r="AA62" s="48">
        <v>6.0</v>
      </c>
      <c r="AB62" s="48" t="s">
        <v>6211</v>
      </c>
      <c r="AC62" s="48">
        <v>4.0</v>
      </c>
      <c r="AD62" s="182" t="s">
        <v>1200</v>
      </c>
      <c r="AE62" s="48">
        <v>7.0</v>
      </c>
      <c r="AF62" s="699"/>
      <c r="AG62" s="182" t="s">
        <v>214</v>
      </c>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row>
    <row r="63">
      <c r="A63" s="174" t="str">
        <f t="shared" si="3"/>
        <v>EVGA</v>
      </c>
      <c r="B63" s="174" t="s">
        <v>6215</v>
      </c>
      <c r="C63" s="48" t="s">
        <v>324</v>
      </c>
      <c r="D63" s="48">
        <v>750.0</v>
      </c>
      <c r="E63" s="48" t="s">
        <v>6078</v>
      </c>
      <c r="F63" s="48" t="s">
        <v>166</v>
      </c>
      <c r="G63" s="48" t="s">
        <v>2965</v>
      </c>
      <c r="H63" s="182" t="s">
        <v>214</v>
      </c>
      <c r="I63" s="48" t="s">
        <v>166</v>
      </c>
      <c r="J63" s="48" t="s">
        <v>166</v>
      </c>
      <c r="K63" s="48" t="s">
        <v>166</v>
      </c>
      <c r="L63" s="48" t="s">
        <v>166</v>
      </c>
      <c r="M63" s="48" t="s">
        <v>166</v>
      </c>
      <c r="N63" s="48" t="s">
        <v>174</v>
      </c>
      <c r="O63" s="48" t="s">
        <v>174</v>
      </c>
      <c r="P63" s="782">
        <v>0.3</v>
      </c>
      <c r="Q63" s="48">
        <v>92.0</v>
      </c>
      <c r="R63" s="48" t="s">
        <v>174</v>
      </c>
      <c r="S63" s="48" t="s">
        <v>6099</v>
      </c>
      <c r="T63" s="48" t="s">
        <v>6181</v>
      </c>
      <c r="U63" s="48">
        <v>2.0</v>
      </c>
      <c r="V63" s="48" t="s">
        <v>6213</v>
      </c>
      <c r="W63" s="48">
        <v>4.0</v>
      </c>
      <c r="X63" s="48" t="s">
        <v>166</v>
      </c>
      <c r="Y63" s="48" t="s">
        <v>166</v>
      </c>
      <c r="Z63" s="48" t="s">
        <v>6160</v>
      </c>
      <c r="AA63" s="48">
        <v>6.0</v>
      </c>
      <c r="AB63" s="48" t="s">
        <v>6211</v>
      </c>
      <c r="AC63" s="48">
        <v>4.0</v>
      </c>
      <c r="AD63" s="182" t="s">
        <v>1200</v>
      </c>
      <c r="AE63" s="48">
        <v>7.0</v>
      </c>
      <c r="AF63" s="699"/>
      <c r="AG63" s="758"/>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row>
    <row r="64">
      <c r="A64" s="291" t="str">
        <f t="shared" si="3"/>
        <v>EVGA</v>
      </c>
      <c r="B64" s="291" t="s">
        <v>6216</v>
      </c>
      <c r="C64" s="700" t="s">
        <v>324</v>
      </c>
      <c r="D64" s="700">
        <v>850.0</v>
      </c>
      <c r="E64" s="700" t="s">
        <v>6078</v>
      </c>
      <c r="F64" s="700" t="s">
        <v>166</v>
      </c>
      <c r="G64" s="700" t="s">
        <v>2965</v>
      </c>
      <c r="H64" s="760" t="s">
        <v>214</v>
      </c>
      <c r="I64" s="700" t="s">
        <v>166</v>
      </c>
      <c r="J64" s="700" t="s">
        <v>166</v>
      </c>
      <c r="K64" s="700" t="s">
        <v>166</v>
      </c>
      <c r="L64" s="700" t="s">
        <v>166</v>
      </c>
      <c r="M64" s="700" t="s">
        <v>166</v>
      </c>
      <c r="N64" s="700" t="s">
        <v>174</v>
      </c>
      <c r="O64" s="700" t="s">
        <v>174</v>
      </c>
      <c r="P64" s="779">
        <v>0.3</v>
      </c>
      <c r="Q64" s="700">
        <v>92.0</v>
      </c>
      <c r="R64" s="700" t="s">
        <v>174</v>
      </c>
      <c r="S64" s="700" t="s">
        <v>6099</v>
      </c>
      <c r="T64" s="700" t="s">
        <v>6181</v>
      </c>
      <c r="U64" s="700">
        <v>2.0</v>
      </c>
      <c r="V64" s="700" t="s">
        <v>6213</v>
      </c>
      <c r="W64" s="700">
        <v>4.0</v>
      </c>
      <c r="X64" s="700" t="s">
        <v>166</v>
      </c>
      <c r="Y64" s="700" t="s">
        <v>166</v>
      </c>
      <c r="Z64" s="700" t="s">
        <v>6160</v>
      </c>
      <c r="AA64" s="700">
        <v>6.0</v>
      </c>
      <c r="AB64" s="700" t="s">
        <v>6211</v>
      </c>
      <c r="AC64" s="700">
        <v>4.0</v>
      </c>
      <c r="AD64" s="760" t="s">
        <v>1200</v>
      </c>
      <c r="AE64" s="700">
        <v>7.0</v>
      </c>
      <c r="AF64" s="704"/>
      <c r="AG64" s="763"/>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row>
    <row r="65">
      <c r="A65" s="282" t="str">
        <f t="shared" ref="A65:A67" si="4">HYPERLINK("https://www.fractal-design.com/","Fractal Design")</f>
        <v>Fractal Design</v>
      </c>
      <c r="B65" s="282" t="s">
        <v>6217</v>
      </c>
      <c r="C65" s="705" t="s">
        <v>324</v>
      </c>
      <c r="D65" s="705">
        <v>450.0</v>
      </c>
      <c r="E65" s="705" t="s">
        <v>6078</v>
      </c>
      <c r="F65" s="705" t="s">
        <v>166</v>
      </c>
      <c r="G65" s="705" t="s">
        <v>6145</v>
      </c>
      <c r="H65" s="759" t="s">
        <v>214</v>
      </c>
      <c r="I65" s="705" t="s">
        <v>166</v>
      </c>
      <c r="J65" s="705" t="s">
        <v>166</v>
      </c>
      <c r="K65" s="705" t="s">
        <v>166</v>
      </c>
      <c r="L65" s="705" t="s">
        <v>166</v>
      </c>
      <c r="M65" s="705" t="s">
        <v>166</v>
      </c>
      <c r="N65" s="705" t="s">
        <v>166</v>
      </c>
      <c r="O65" s="705" t="s">
        <v>166</v>
      </c>
      <c r="P65" s="705" t="s">
        <v>6125</v>
      </c>
      <c r="Q65" s="705">
        <v>80.0</v>
      </c>
      <c r="R65" s="705" t="s">
        <v>166</v>
      </c>
      <c r="S65" s="705" t="s">
        <v>6099</v>
      </c>
      <c r="T65" s="705" t="s">
        <v>6109</v>
      </c>
      <c r="U65" s="705">
        <v>1.0</v>
      </c>
      <c r="V65" s="705" t="s">
        <v>6096</v>
      </c>
      <c r="W65" s="705">
        <v>2.0</v>
      </c>
      <c r="X65" s="705" t="s">
        <v>166</v>
      </c>
      <c r="Y65" s="705" t="s">
        <v>166</v>
      </c>
      <c r="Z65" s="705" t="s">
        <v>6113</v>
      </c>
      <c r="AA65" s="705">
        <v>3.0</v>
      </c>
      <c r="AB65" s="705" t="s">
        <v>166</v>
      </c>
      <c r="AC65" s="705" t="s">
        <v>166</v>
      </c>
      <c r="AD65" s="759" t="s">
        <v>1200</v>
      </c>
      <c r="AE65" s="705">
        <v>3.0</v>
      </c>
      <c r="AF65" s="720"/>
      <c r="AG65" s="7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row>
    <row r="66">
      <c r="A66" s="282" t="str">
        <f t="shared" si="4"/>
        <v>Fractal Design</v>
      </c>
      <c r="B66" s="282" t="str">
        <f>HYPERLINK("https://www.fractal-design.com/products/power-supplies/ion/ion-sfx-500w-gold/black/","Ion SFX-L 500")</f>
        <v>Ion SFX-L 500</v>
      </c>
      <c r="C66" s="705" t="s">
        <v>6132</v>
      </c>
      <c r="D66" s="705">
        <v>500.0</v>
      </c>
      <c r="E66" s="705" t="s">
        <v>6078</v>
      </c>
      <c r="F66" s="705" t="s">
        <v>166</v>
      </c>
      <c r="G66" s="705" t="s">
        <v>2965</v>
      </c>
      <c r="H66" s="759" t="s">
        <v>214</v>
      </c>
      <c r="I66" s="705" t="s">
        <v>2965</v>
      </c>
      <c r="J66" s="705" t="s">
        <v>6145</v>
      </c>
      <c r="K66" s="705" t="s">
        <v>6158</v>
      </c>
      <c r="L66" s="705" t="s">
        <v>6158</v>
      </c>
      <c r="M66" s="759" t="s">
        <v>214</v>
      </c>
      <c r="N66" s="705" t="s">
        <v>174</v>
      </c>
      <c r="O66" s="705" t="s">
        <v>174</v>
      </c>
      <c r="P66" s="705" t="s">
        <v>6218</v>
      </c>
      <c r="Q66" s="705">
        <v>120.0</v>
      </c>
      <c r="R66" s="705" t="s">
        <v>174</v>
      </c>
      <c r="S66" s="705" t="s">
        <v>6080</v>
      </c>
      <c r="T66" s="705" t="s">
        <v>6094</v>
      </c>
      <c r="U66" s="705">
        <v>1.0</v>
      </c>
      <c r="V66" s="705" t="s">
        <v>6147</v>
      </c>
      <c r="W66" s="705">
        <v>2.0</v>
      </c>
      <c r="X66" s="705" t="s">
        <v>166</v>
      </c>
      <c r="Y66" s="705" t="s">
        <v>166</v>
      </c>
      <c r="Z66" s="705" t="s">
        <v>6129</v>
      </c>
      <c r="AA66" s="705">
        <v>4.0</v>
      </c>
      <c r="AB66" s="705" t="s">
        <v>6147</v>
      </c>
      <c r="AC66" s="705">
        <v>2.0</v>
      </c>
      <c r="AD66" s="759" t="s">
        <v>6219</v>
      </c>
      <c r="AE66" s="705">
        <v>10.0</v>
      </c>
      <c r="AF66" s="720"/>
      <c r="AG66" s="759" t="s">
        <v>214</v>
      </c>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row>
    <row r="67">
      <c r="A67" s="291" t="str">
        <f t="shared" si="4"/>
        <v>Fractal Design</v>
      </c>
      <c r="B67" s="291" t="str">
        <f>HYPERLINK("https://www.fractal-design.com/products/power-supplies/ion/ion-sfx-650w-gold/black/","Ion SFX-L 650")</f>
        <v>Ion SFX-L 650</v>
      </c>
      <c r="C67" s="700" t="s">
        <v>6132</v>
      </c>
      <c r="D67" s="700">
        <v>650.0</v>
      </c>
      <c r="E67" s="700" t="s">
        <v>6078</v>
      </c>
      <c r="F67" s="700" t="s">
        <v>166</v>
      </c>
      <c r="G67" s="700" t="s">
        <v>2965</v>
      </c>
      <c r="H67" s="760" t="s">
        <v>214</v>
      </c>
      <c r="I67" s="700" t="s">
        <v>2965</v>
      </c>
      <c r="J67" s="700" t="s">
        <v>2981</v>
      </c>
      <c r="K67" s="700" t="s">
        <v>6087</v>
      </c>
      <c r="L67" s="700" t="s">
        <v>6087</v>
      </c>
      <c r="M67" s="760" t="s">
        <v>214</v>
      </c>
      <c r="N67" s="700" t="s">
        <v>174</v>
      </c>
      <c r="O67" s="700" t="s">
        <v>174</v>
      </c>
      <c r="P67" s="700" t="s">
        <v>6220</v>
      </c>
      <c r="Q67" s="700">
        <v>120.0</v>
      </c>
      <c r="R67" s="700" t="s">
        <v>174</v>
      </c>
      <c r="S67" s="700" t="s">
        <v>6080</v>
      </c>
      <c r="T67" s="700" t="s">
        <v>6094</v>
      </c>
      <c r="U67" s="700">
        <v>1.0</v>
      </c>
      <c r="V67" s="700" t="s">
        <v>6147</v>
      </c>
      <c r="W67" s="700">
        <v>4.0</v>
      </c>
      <c r="X67" s="700" t="s">
        <v>166</v>
      </c>
      <c r="Y67" s="700" t="s">
        <v>166</v>
      </c>
      <c r="Z67" s="700" t="s">
        <v>6221</v>
      </c>
      <c r="AA67" s="700">
        <v>8.0</v>
      </c>
      <c r="AB67" s="700" t="s">
        <v>6147</v>
      </c>
      <c r="AC67" s="700">
        <v>2.0</v>
      </c>
      <c r="AD67" s="760" t="s">
        <v>6219</v>
      </c>
      <c r="AE67" s="700">
        <v>10.0</v>
      </c>
      <c r="AF67" s="704"/>
      <c r="AG67" s="760" t="s">
        <v>214</v>
      </c>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row>
    <row r="68">
      <c r="A68" s="282" t="s">
        <v>1200</v>
      </c>
      <c r="B68" s="282" t="s">
        <v>6222</v>
      </c>
      <c r="C68" s="705" t="s">
        <v>324</v>
      </c>
      <c r="D68" s="705">
        <v>500.0</v>
      </c>
      <c r="E68" s="705" t="s">
        <v>6078</v>
      </c>
      <c r="F68" s="705" t="s">
        <v>166</v>
      </c>
      <c r="G68" s="705" t="s">
        <v>2965</v>
      </c>
      <c r="H68" s="759" t="s">
        <v>214</v>
      </c>
      <c r="I68" s="705" t="s">
        <v>166</v>
      </c>
      <c r="J68" s="705" t="s">
        <v>166</v>
      </c>
      <c r="K68" s="705" t="s">
        <v>166</v>
      </c>
      <c r="L68" s="705" t="s">
        <v>166</v>
      </c>
      <c r="M68" s="705" t="s">
        <v>166</v>
      </c>
      <c r="N68" s="705" t="s">
        <v>174</v>
      </c>
      <c r="O68" s="705" t="s">
        <v>174</v>
      </c>
      <c r="P68" s="771">
        <v>0.5</v>
      </c>
      <c r="Q68" s="705">
        <v>80.0</v>
      </c>
      <c r="R68" s="705" t="s">
        <v>174</v>
      </c>
      <c r="S68" s="705" t="s">
        <v>6080</v>
      </c>
      <c r="T68" s="705" t="s">
        <v>6094</v>
      </c>
      <c r="U68" s="705">
        <v>1.0</v>
      </c>
      <c r="V68" s="705" t="s">
        <v>6223</v>
      </c>
      <c r="W68" s="705">
        <v>2.0</v>
      </c>
      <c r="X68" s="705" t="s">
        <v>166</v>
      </c>
      <c r="Y68" s="705" t="s">
        <v>166</v>
      </c>
      <c r="Z68" s="705" t="s">
        <v>6118</v>
      </c>
      <c r="AA68" s="705">
        <v>5.0</v>
      </c>
      <c r="AB68" s="705" t="s">
        <v>6118</v>
      </c>
      <c r="AC68" s="705">
        <v>2.0</v>
      </c>
      <c r="AD68" s="759" t="s">
        <v>1200</v>
      </c>
      <c r="AE68" s="705">
        <v>5.0</v>
      </c>
      <c r="AF68" s="698" t="s">
        <v>181</v>
      </c>
      <c r="AG68" s="7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row>
    <row r="69">
      <c r="A69" s="174" t="s">
        <v>1200</v>
      </c>
      <c r="B69" s="174" t="s">
        <v>6224</v>
      </c>
      <c r="C69" s="48" t="s">
        <v>324</v>
      </c>
      <c r="D69" s="48">
        <v>600.0</v>
      </c>
      <c r="E69" s="48" t="s">
        <v>6078</v>
      </c>
      <c r="F69" s="48" t="s">
        <v>166</v>
      </c>
      <c r="G69" s="48" t="s">
        <v>2965</v>
      </c>
      <c r="H69" s="182" t="s">
        <v>214</v>
      </c>
      <c r="I69" s="48" t="s">
        <v>2981</v>
      </c>
      <c r="J69" s="48" t="s">
        <v>166</v>
      </c>
      <c r="K69" s="48" t="s">
        <v>4720</v>
      </c>
      <c r="L69" s="48" t="s">
        <v>166</v>
      </c>
      <c r="M69" s="182" t="s">
        <v>214</v>
      </c>
      <c r="N69" s="48" t="s">
        <v>174</v>
      </c>
      <c r="O69" s="48" t="s">
        <v>174</v>
      </c>
      <c r="P69" s="782">
        <v>0.5</v>
      </c>
      <c r="Q69" s="48">
        <v>80.0</v>
      </c>
      <c r="R69" s="48" t="s">
        <v>174</v>
      </c>
      <c r="S69" s="48" t="s">
        <v>6080</v>
      </c>
      <c r="T69" s="48" t="s">
        <v>6094</v>
      </c>
      <c r="U69" s="48">
        <v>1.0</v>
      </c>
      <c r="V69" s="48" t="s">
        <v>6223</v>
      </c>
      <c r="W69" s="48">
        <v>2.0</v>
      </c>
      <c r="X69" s="48" t="s">
        <v>166</v>
      </c>
      <c r="Y69" s="48" t="s">
        <v>166</v>
      </c>
      <c r="Z69" s="48" t="s">
        <v>6118</v>
      </c>
      <c r="AA69" s="48">
        <v>5.0</v>
      </c>
      <c r="AB69" s="48" t="s">
        <v>6118</v>
      </c>
      <c r="AC69" s="48">
        <v>2.0</v>
      </c>
      <c r="AD69" s="182" t="s">
        <v>1200</v>
      </c>
      <c r="AE69" s="48">
        <v>5.0</v>
      </c>
      <c r="AF69" s="698" t="s">
        <v>181</v>
      </c>
      <c r="AG69" s="182" t="s">
        <v>214</v>
      </c>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row>
    <row r="70">
      <c r="A70" s="174" t="s">
        <v>1200</v>
      </c>
      <c r="B70" s="174" t="s">
        <v>6225</v>
      </c>
      <c r="C70" s="48" t="s">
        <v>324</v>
      </c>
      <c r="D70" s="48">
        <v>550.0</v>
      </c>
      <c r="E70" s="48" t="s">
        <v>6078</v>
      </c>
      <c r="F70" s="48" t="s">
        <v>166</v>
      </c>
      <c r="G70" s="48" t="s">
        <v>2965</v>
      </c>
      <c r="H70" s="182" t="s">
        <v>214</v>
      </c>
      <c r="I70" s="48" t="s">
        <v>166</v>
      </c>
      <c r="J70" s="48" t="s">
        <v>166</v>
      </c>
      <c r="K70" s="48" t="s">
        <v>166</v>
      </c>
      <c r="L70" s="48" t="s">
        <v>166</v>
      </c>
      <c r="M70" s="48" t="s">
        <v>166</v>
      </c>
      <c r="N70" s="48" t="s">
        <v>174</v>
      </c>
      <c r="O70" s="48" t="s">
        <v>174</v>
      </c>
      <c r="P70" s="782">
        <v>0.2</v>
      </c>
      <c r="Q70" s="48">
        <v>92.0</v>
      </c>
      <c r="R70" s="48" t="s">
        <v>174</v>
      </c>
      <c r="S70" s="48" t="s">
        <v>6147</v>
      </c>
      <c r="T70" s="48" t="s">
        <v>6094</v>
      </c>
      <c r="U70" s="48">
        <v>1.0</v>
      </c>
      <c r="V70" s="48" t="s">
        <v>6223</v>
      </c>
      <c r="W70" s="48">
        <v>2.0</v>
      </c>
      <c r="X70" s="48" t="s">
        <v>166</v>
      </c>
      <c r="Y70" s="48" t="s">
        <v>166</v>
      </c>
      <c r="Z70" s="705" t="s">
        <v>6118</v>
      </c>
      <c r="AA70" s="48">
        <v>5.0</v>
      </c>
      <c r="AB70" s="705" t="s">
        <v>6118</v>
      </c>
      <c r="AC70" s="48">
        <v>2.0</v>
      </c>
      <c r="AD70" s="182" t="s">
        <v>1200</v>
      </c>
      <c r="AE70" s="48">
        <v>7.0</v>
      </c>
      <c r="AF70" s="699"/>
      <c r="AG70" s="758"/>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row>
    <row r="71">
      <c r="A71" s="174" t="s">
        <v>1200</v>
      </c>
      <c r="B71" s="174" t="s">
        <v>6226</v>
      </c>
      <c r="C71" s="48" t="s">
        <v>324</v>
      </c>
      <c r="D71" s="48">
        <v>650.0</v>
      </c>
      <c r="E71" s="48" t="s">
        <v>6078</v>
      </c>
      <c r="F71" s="48" t="s">
        <v>166</v>
      </c>
      <c r="G71" s="48" t="s">
        <v>2965</v>
      </c>
      <c r="H71" s="182" t="s">
        <v>214</v>
      </c>
      <c r="I71" s="48" t="s">
        <v>166</v>
      </c>
      <c r="J71" s="48" t="s">
        <v>166</v>
      </c>
      <c r="K71" s="48" t="s">
        <v>166</v>
      </c>
      <c r="L71" s="48" t="s">
        <v>166</v>
      </c>
      <c r="M71" s="48" t="s">
        <v>166</v>
      </c>
      <c r="N71" s="48" t="s">
        <v>174</v>
      </c>
      <c r="O71" s="48" t="s">
        <v>174</v>
      </c>
      <c r="P71" s="782">
        <v>0.2</v>
      </c>
      <c r="Q71" s="48">
        <v>92.0</v>
      </c>
      <c r="R71" s="48" t="s">
        <v>174</v>
      </c>
      <c r="S71" s="48" t="s">
        <v>6147</v>
      </c>
      <c r="T71" s="48" t="s">
        <v>6227</v>
      </c>
      <c r="U71" s="48">
        <v>2.0</v>
      </c>
      <c r="V71" s="48" t="s">
        <v>6223</v>
      </c>
      <c r="W71" s="48">
        <v>2.0</v>
      </c>
      <c r="X71" s="48" t="s">
        <v>166</v>
      </c>
      <c r="Y71" s="48" t="s">
        <v>166</v>
      </c>
      <c r="Z71" s="48" t="s">
        <v>6118</v>
      </c>
      <c r="AA71" s="48">
        <v>5.0</v>
      </c>
      <c r="AB71" s="48" t="s">
        <v>6118</v>
      </c>
      <c r="AC71" s="48">
        <v>2.0</v>
      </c>
      <c r="AD71" s="182" t="s">
        <v>1200</v>
      </c>
      <c r="AE71" s="48">
        <v>7.0</v>
      </c>
      <c r="AF71" s="698"/>
      <c r="AG71" s="182" t="s">
        <v>214</v>
      </c>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row>
    <row r="72">
      <c r="A72" s="174" t="s">
        <v>1200</v>
      </c>
      <c r="B72" s="174" t="s">
        <v>6228</v>
      </c>
      <c r="C72" s="48" t="s">
        <v>324</v>
      </c>
      <c r="D72" s="48">
        <v>750.0</v>
      </c>
      <c r="E72" s="48" t="s">
        <v>6078</v>
      </c>
      <c r="F72" s="48" t="s">
        <v>166</v>
      </c>
      <c r="G72" s="48" t="s">
        <v>2965</v>
      </c>
      <c r="H72" s="182" t="s">
        <v>214</v>
      </c>
      <c r="I72" s="48" t="s">
        <v>166</v>
      </c>
      <c r="J72" s="48" t="s">
        <v>166</v>
      </c>
      <c r="K72" s="48" t="s">
        <v>166</v>
      </c>
      <c r="L72" s="48" t="s">
        <v>166</v>
      </c>
      <c r="M72" s="48" t="s">
        <v>166</v>
      </c>
      <c r="N72" s="48" t="s">
        <v>174</v>
      </c>
      <c r="O72" s="48" t="s">
        <v>174</v>
      </c>
      <c r="P72" s="782">
        <v>0.2</v>
      </c>
      <c r="Q72" s="48">
        <v>92.0</v>
      </c>
      <c r="R72" s="48" t="s">
        <v>174</v>
      </c>
      <c r="S72" s="48" t="s">
        <v>6147</v>
      </c>
      <c r="T72" s="48" t="s">
        <v>6155</v>
      </c>
      <c r="U72" s="48">
        <v>2.0</v>
      </c>
      <c r="V72" s="48" t="s">
        <v>6148</v>
      </c>
      <c r="W72" s="48">
        <v>4.0</v>
      </c>
      <c r="X72" s="48" t="s">
        <v>166</v>
      </c>
      <c r="Y72" s="48" t="s">
        <v>166</v>
      </c>
      <c r="Z72" s="705" t="s">
        <v>6118</v>
      </c>
      <c r="AA72" s="48">
        <v>5.0</v>
      </c>
      <c r="AB72" s="705" t="s">
        <v>6118</v>
      </c>
      <c r="AC72" s="48">
        <v>2.0</v>
      </c>
      <c r="AD72" s="182" t="s">
        <v>1200</v>
      </c>
      <c r="AE72" s="48">
        <v>7.0</v>
      </c>
      <c r="AF72" s="698"/>
      <c r="AG72" s="48"/>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row>
    <row r="73">
      <c r="A73" s="174" t="s">
        <v>1200</v>
      </c>
      <c r="B73" s="174" t="s">
        <v>6229</v>
      </c>
      <c r="C73" s="48" t="s">
        <v>324</v>
      </c>
      <c r="D73" s="48">
        <v>850.0</v>
      </c>
      <c r="E73" s="48" t="s">
        <v>6078</v>
      </c>
      <c r="F73" s="48" t="s">
        <v>166</v>
      </c>
      <c r="G73" s="48" t="s">
        <v>2965</v>
      </c>
      <c r="H73" s="182" t="s">
        <v>214</v>
      </c>
      <c r="I73" s="48" t="s">
        <v>2966</v>
      </c>
      <c r="J73" s="48" t="s">
        <v>2981</v>
      </c>
      <c r="K73" s="48" t="s">
        <v>6087</v>
      </c>
      <c r="L73" s="48" t="s">
        <v>6087</v>
      </c>
      <c r="M73" s="182" t="s">
        <v>214</v>
      </c>
      <c r="N73" s="48" t="s">
        <v>174</v>
      </c>
      <c r="O73" s="48" t="s">
        <v>174</v>
      </c>
      <c r="P73" s="782">
        <v>0.2</v>
      </c>
      <c r="Q73" s="48">
        <v>92.0</v>
      </c>
      <c r="R73" s="48" t="s">
        <v>174</v>
      </c>
      <c r="S73" s="48" t="s">
        <v>6147</v>
      </c>
      <c r="T73" s="48" t="s">
        <v>6155</v>
      </c>
      <c r="U73" s="48">
        <v>2.0</v>
      </c>
      <c r="V73" s="48" t="s">
        <v>6148</v>
      </c>
      <c r="W73" s="48">
        <v>4.0</v>
      </c>
      <c r="X73" s="48" t="s">
        <v>166</v>
      </c>
      <c r="Y73" s="48" t="s">
        <v>166</v>
      </c>
      <c r="Z73" s="48" t="s">
        <v>6118</v>
      </c>
      <c r="AA73" s="48">
        <v>5.0</v>
      </c>
      <c r="AB73" s="48" t="s">
        <v>6118</v>
      </c>
      <c r="AC73" s="48">
        <v>2.0</v>
      </c>
      <c r="AD73" s="182" t="s">
        <v>1200</v>
      </c>
      <c r="AE73" s="48">
        <v>7.0</v>
      </c>
      <c r="AF73" s="698"/>
      <c r="AG73" s="182" t="s">
        <v>214</v>
      </c>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row>
    <row r="74">
      <c r="A74" s="174" t="s">
        <v>1200</v>
      </c>
      <c r="B74" s="174" t="s">
        <v>6230</v>
      </c>
      <c r="C74" s="48" t="s">
        <v>324</v>
      </c>
      <c r="D74" s="48">
        <v>750.0</v>
      </c>
      <c r="E74" s="48" t="s">
        <v>6078</v>
      </c>
      <c r="F74" s="48" t="s">
        <v>174</v>
      </c>
      <c r="G74" s="48" t="s">
        <v>2965</v>
      </c>
      <c r="H74" s="182" t="s">
        <v>214</v>
      </c>
      <c r="I74" s="48" t="s">
        <v>166</v>
      </c>
      <c r="J74" s="48" t="s">
        <v>166</v>
      </c>
      <c r="K74" s="48" t="s">
        <v>166</v>
      </c>
      <c r="L74" s="48" t="s">
        <v>166</v>
      </c>
      <c r="M74" s="48" t="s">
        <v>166</v>
      </c>
      <c r="N74" s="48" t="s">
        <v>174</v>
      </c>
      <c r="O74" s="48" t="s">
        <v>174</v>
      </c>
      <c r="P74" s="782">
        <v>0.2</v>
      </c>
      <c r="Q74" s="48">
        <v>92.0</v>
      </c>
      <c r="R74" s="48" t="s">
        <v>174</v>
      </c>
      <c r="S74" s="48" t="s">
        <v>6080</v>
      </c>
      <c r="T74" s="48" t="s">
        <v>6135</v>
      </c>
      <c r="U74" s="48">
        <v>2.0</v>
      </c>
      <c r="V74" s="48" t="s">
        <v>6118</v>
      </c>
      <c r="W74" s="48">
        <v>4.0</v>
      </c>
      <c r="X74" s="48" t="s">
        <v>6147</v>
      </c>
      <c r="Y74" s="48">
        <v>1.0</v>
      </c>
      <c r="Z74" s="48" t="s">
        <v>6231</v>
      </c>
      <c r="AA74" s="48">
        <v>6.0</v>
      </c>
      <c r="AB74" s="48" t="s">
        <v>6232</v>
      </c>
      <c r="AC74" s="48">
        <v>2.0</v>
      </c>
      <c r="AD74" s="182" t="s">
        <v>1200</v>
      </c>
      <c r="AE74" s="48">
        <v>7.0</v>
      </c>
      <c r="AF74" s="698"/>
      <c r="AG74" s="48"/>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row>
    <row r="75">
      <c r="A75" s="174" t="s">
        <v>1200</v>
      </c>
      <c r="B75" s="174" t="s">
        <v>6233</v>
      </c>
      <c r="C75" s="48" t="s">
        <v>324</v>
      </c>
      <c r="D75" s="48">
        <v>850.0</v>
      </c>
      <c r="E75" s="48" t="s">
        <v>6078</v>
      </c>
      <c r="F75" s="48" t="s">
        <v>174</v>
      </c>
      <c r="G75" s="48" t="s">
        <v>2965</v>
      </c>
      <c r="H75" s="182" t="s">
        <v>214</v>
      </c>
      <c r="I75" s="48" t="s">
        <v>166</v>
      </c>
      <c r="J75" s="48" t="s">
        <v>166</v>
      </c>
      <c r="K75" s="48" t="s">
        <v>166</v>
      </c>
      <c r="L75" s="48" t="s">
        <v>166</v>
      </c>
      <c r="M75" s="48" t="s">
        <v>166</v>
      </c>
      <c r="N75" s="48" t="s">
        <v>174</v>
      </c>
      <c r="O75" s="48" t="s">
        <v>174</v>
      </c>
      <c r="P75" s="782">
        <v>0.2</v>
      </c>
      <c r="Q75" s="48">
        <v>92.0</v>
      </c>
      <c r="R75" s="48" t="s">
        <v>174</v>
      </c>
      <c r="S75" s="48" t="s">
        <v>6080</v>
      </c>
      <c r="T75" s="48" t="s">
        <v>6135</v>
      </c>
      <c r="U75" s="48">
        <v>2.0</v>
      </c>
      <c r="V75" s="48" t="s">
        <v>6118</v>
      </c>
      <c r="W75" s="48">
        <v>4.0</v>
      </c>
      <c r="X75" s="48" t="s">
        <v>6147</v>
      </c>
      <c r="Y75" s="48">
        <v>1.0</v>
      </c>
      <c r="Z75" s="48" t="s">
        <v>6231</v>
      </c>
      <c r="AA75" s="48">
        <v>6.0</v>
      </c>
      <c r="AB75" s="48" t="s">
        <v>6232</v>
      </c>
      <c r="AC75" s="48">
        <v>2.0</v>
      </c>
      <c r="AD75" s="182" t="s">
        <v>1200</v>
      </c>
      <c r="AE75" s="48">
        <v>7.0</v>
      </c>
      <c r="AF75" s="698"/>
      <c r="AG75" s="48"/>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row>
    <row r="76">
      <c r="A76" s="174" t="s">
        <v>1200</v>
      </c>
      <c r="B76" s="174" t="s">
        <v>6234</v>
      </c>
      <c r="C76" s="48" t="s">
        <v>324</v>
      </c>
      <c r="D76" s="48">
        <v>850.0</v>
      </c>
      <c r="E76" s="48" t="s">
        <v>6078</v>
      </c>
      <c r="F76" s="48" t="s">
        <v>174</v>
      </c>
      <c r="G76" s="48" t="s">
        <v>2965</v>
      </c>
      <c r="H76" s="182" t="s">
        <v>214</v>
      </c>
      <c r="I76" s="48" t="s">
        <v>166</v>
      </c>
      <c r="J76" s="48" t="s">
        <v>166</v>
      </c>
      <c r="K76" s="48" t="s">
        <v>166</v>
      </c>
      <c r="L76" s="48" t="s">
        <v>166</v>
      </c>
      <c r="M76" s="48" t="s">
        <v>166</v>
      </c>
      <c r="N76" s="48" t="s">
        <v>174</v>
      </c>
      <c r="O76" s="48" t="s">
        <v>174</v>
      </c>
      <c r="P76" s="782">
        <v>0.2</v>
      </c>
      <c r="Q76" s="48">
        <v>92.0</v>
      </c>
      <c r="R76" s="48" t="s">
        <v>174</v>
      </c>
      <c r="S76" s="48" t="s">
        <v>6080</v>
      </c>
      <c r="T76" s="48" t="s">
        <v>6135</v>
      </c>
      <c r="U76" s="48">
        <v>2.0</v>
      </c>
      <c r="V76" s="48" t="s">
        <v>6118</v>
      </c>
      <c r="W76" s="48">
        <v>4.0</v>
      </c>
      <c r="X76" s="48" t="s">
        <v>6147</v>
      </c>
      <c r="Y76" s="48">
        <v>1.0</v>
      </c>
      <c r="Z76" s="48" t="s">
        <v>6231</v>
      </c>
      <c r="AA76" s="48">
        <v>6.0</v>
      </c>
      <c r="AB76" s="48" t="s">
        <v>6232</v>
      </c>
      <c r="AC76" s="48">
        <v>2.0</v>
      </c>
      <c r="AD76" s="182" t="s">
        <v>1200</v>
      </c>
      <c r="AE76" s="48">
        <v>7.0</v>
      </c>
      <c r="AF76" s="698"/>
      <c r="AG76" s="48"/>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row>
    <row r="77">
      <c r="A77" s="174" t="s">
        <v>1200</v>
      </c>
      <c r="B77" s="174" t="s">
        <v>6235</v>
      </c>
      <c r="C77" s="48" t="s">
        <v>186</v>
      </c>
      <c r="D77" s="48">
        <v>500.0</v>
      </c>
      <c r="E77" s="48" t="s">
        <v>6078</v>
      </c>
      <c r="F77" s="48" t="s">
        <v>166</v>
      </c>
      <c r="G77" s="48" t="s">
        <v>2981</v>
      </c>
      <c r="H77" s="182" t="s">
        <v>214</v>
      </c>
      <c r="I77" s="48" t="s">
        <v>166</v>
      </c>
      <c r="J77" s="48" t="s">
        <v>166</v>
      </c>
      <c r="K77" s="48" t="s">
        <v>166</v>
      </c>
      <c r="L77" s="48" t="s">
        <v>166</v>
      </c>
      <c r="M77" s="48" t="s">
        <v>166</v>
      </c>
      <c r="N77" s="48" t="s">
        <v>174</v>
      </c>
      <c r="O77" s="48" t="s">
        <v>166</v>
      </c>
      <c r="P77" s="48" t="s">
        <v>6125</v>
      </c>
      <c r="Q77" s="48">
        <v>40.0</v>
      </c>
      <c r="R77" s="48" t="s">
        <v>166</v>
      </c>
      <c r="S77" s="48" t="s">
        <v>6236</v>
      </c>
      <c r="T77" s="48" t="s">
        <v>6080</v>
      </c>
      <c r="U77" s="48">
        <v>1.0</v>
      </c>
      <c r="V77" s="48" t="s">
        <v>6080</v>
      </c>
      <c r="W77" s="48">
        <v>1.0</v>
      </c>
      <c r="X77" s="48" t="s">
        <v>166</v>
      </c>
      <c r="Y77" s="48" t="s">
        <v>166</v>
      </c>
      <c r="Z77" s="48" t="s">
        <v>6210</v>
      </c>
      <c r="AA77" s="48">
        <v>2.0</v>
      </c>
      <c r="AB77" s="48" t="s">
        <v>6210</v>
      </c>
      <c r="AC77" s="48">
        <v>1.0</v>
      </c>
      <c r="AD77" s="182" t="s">
        <v>1200</v>
      </c>
      <c r="AE77" s="48" t="s">
        <v>170</v>
      </c>
      <c r="AF77" s="698" t="s">
        <v>6237</v>
      </c>
      <c r="AG77" s="48"/>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row>
    <row r="78">
      <c r="A78" s="174" t="s">
        <v>1200</v>
      </c>
      <c r="B78" s="174" t="s">
        <v>6238</v>
      </c>
      <c r="C78" s="48" t="s">
        <v>186</v>
      </c>
      <c r="D78" s="48">
        <v>250.0</v>
      </c>
      <c r="E78" s="48" t="s">
        <v>6078</v>
      </c>
      <c r="F78" s="48" t="s">
        <v>166</v>
      </c>
      <c r="G78" s="48" t="s">
        <v>166</v>
      </c>
      <c r="H78" s="48" t="s">
        <v>166</v>
      </c>
      <c r="I78" s="48" t="s">
        <v>166</v>
      </c>
      <c r="J78" s="48" t="s">
        <v>166</v>
      </c>
      <c r="K78" s="48" t="s">
        <v>166</v>
      </c>
      <c r="L78" s="48" t="s">
        <v>166</v>
      </c>
      <c r="M78" s="48" t="s">
        <v>166</v>
      </c>
      <c r="N78" s="48" t="s">
        <v>174</v>
      </c>
      <c r="O78" s="48" t="s">
        <v>166</v>
      </c>
      <c r="P78" s="48" t="s">
        <v>6125</v>
      </c>
      <c r="Q78" s="48">
        <v>40.0</v>
      </c>
      <c r="R78" s="48" t="s">
        <v>166</v>
      </c>
      <c r="S78" s="48">
        <v>1.0</v>
      </c>
      <c r="T78" s="48">
        <v>1.0</v>
      </c>
      <c r="U78" s="48">
        <v>1.0</v>
      </c>
      <c r="V78" s="48" t="s">
        <v>166</v>
      </c>
      <c r="W78" s="48" t="s">
        <v>166</v>
      </c>
      <c r="X78" s="48" t="s">
        <v>166</v>
      </c>
      <c r="Y78" s="48" t="s">
        <v>166</v>
      </c>
      <c r="Z78" s="48">
        <v>1.0</v>
      </c>
      <c r="AA78" s="48">
        <v>4.0</v>
      </c>
      <c r="AB78" s="48">
        <v>1.0</v>
      </c>
      <c r="AC78" s="48">
        <v>2.0</v>
      </c>
      <c r="AD78" s="182" t="s">
        <v>1200</v>
      </c>
      <c r="AE78" s="48" t="s">
        <v>170</v>
      </c>
      <c r="AF78" s="698" t="s">
        <v>6237</v>
      </c>
      <c r="AG78" s="48"/>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row>
    <row r="79">
      <c r="A79" s="174" t="s">
        <v>1200</v>
      </c>
      <c r="B79" s="174" t="s">
        <v>6239</v>
      </c>
      <c r="C79" s="48" t="s">
        <v>186</v>
      </c>
      <c r="D79" s="48">
        <v>300.0</v>
      </c>
      <c r="E79" s="48" t="s">
        <v>6078</v>
      </c>
      <c r="F79" s="48" t="s">
        <v>166</v>
      </c>
      <c r="G79" s="48" t="s">
        <v>2965</v>
      </c>
      <c r="H79" s="182" t="s">
        <v>214</v>
      </c>
      <c r="I79" s="48" t="s">
        <v>166</v>
      </c>
      <c r="J79" s="48" t="s">
        <v>166</v>
      </c>
      <c r="K79" s="48" t="s">
        <v>166</v>
      </c>
      <c r="L79" s="48" t="s">
        <v>166</v>
      </c>
      <c r="M79" s="48" t="s">
        <v>166</v>
      </c>
      <c r="N79" s="48" t="s">
        <v>174</v>
      </c>
      <c r="O79" s="48" t="s">
        <v>166</v>
      </c>
      <c r="P79" s="48" t="s">
        <v>6125</v>
      </c>
      <c r="Q79" s="48">
        <v>40.0</v>
      </c>
      <c r="R79" s="48" t="s">
        <v>166</v>
      </c>
      <c r="S79" s="48">
        <v>1.0</v>
      </c>
      <c r="T79" s="48">
        <v>1.0</v>
      </c>
      <c r="U79" s="48">
        <v>1.0</v>
      </c>
      <c r="V79" s="48" t="s">
        <v>166</v>
      </c>
      <c r="W79" s="48" t="s">
        <v>166</v>
      </c>
      <c r="X79" s="48" t="s">
        <v>166</v>
      </c>
      <c r="Y79" s="48" t="s">
        <v>166</v>
      </c>
      <c r="Z79" s="48">
        <v>1.0</v>
      </c>
      <c r="AA79" s="48">
        <v>4.0</v>
      </c>
      <c r="AB79" s="48">
        <v>1.0</v>
      </c>
      <c r="AC79" s="48">
        <v>2.0</v>
      </c>
      <c r="AD79" s="182" t="s">
        <v>1200</v>
      </c>
      <c r="AE79" s="48" t="s">
        <v>170</v>
      </c>
      <c r="AF79" s="698" t="s">
        <v>6237</v>
      </c>
      <c r="AG79" s="48"/>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row>
    <row r="80">
      <c r="A80" s="174" t="s">
        <v>1200</v>
      </c>
      <c r="B80" s="174" t="s">
        <v>6240</v>
      </c>
      <c r="C80" s="48" t="s">
        <v>186</v>
      </c>
      <c r="D80" s="48">
        <v>500.0</v>
      </c>
      <c r="E80" s="48" t="s">
        <v>6078</v>
      </c>
      <c r="F80" s="48" t="s">
        <v>166</v>
      </c>
      <c r="G80" s="48" t="s">
        <v>2965</v>
      </c>
      <c r="H80" s="182" t="s">
        <v>214</v>
      </c>
      <c r="I80" s="48" t="s">
        <v>166</v>
      </c>
      <c r="J80" s="48" t="s">
        <v>166</v>
      </c>
      <c r="K80" s="48" t="s">
        <v>166</v>
      </c>
      <c r="L80" s="48" t="s">
        <v>166</v>
      </c>
      <c r="M80" s="48" t="s">
        <v>166</v>
      </c>
      <c r="N80" s="48" t="s">
        <v>166</v>
      </c>
      <c r="O80" s="48" t="s">
        <v>166</v>
      </c>
      <c r="P80" s="48" t="s">
        <v>6125</v>
      </c>
      <c r="Q80" s="48">
        <v>40.0</v>
      </c>
      <c r="R80" s="48" t="s">
        <v>166</v>
      </c>
      <c r="S80" s="48" t="s">
        <v>6080</v>
      </c>
      <c r="T80" s="48" t="s">
        <v>6100</v>
      </c>
      <c r="U80" s="48">
        <v>2.0</v>
      </c>
      <c r="V80" s="48" t="s">
        <v>6147</v>
      </c>
      <c r="W80" s="48">
        <v>2.0</v>
      </c>
      <c r="X80" s="48" t="s">
        <v>166</v>
      </c>
      <c r="Y80" s="48" t="s">
        <v>166</v>
      </c>
      <c r="Z80" s="48" t="s">
        <v>6241</v>
      </c>
      <c r="AA80" s="48">
        <v>4.0</v>
      </c>
      <c r="AB80" s="48" t="s">
        <v>6242</v>
      </c>
      <c r="AC80" s="48">
        <v>2.0</v>
      </c>
      <c r="AD80" s="182" t="s">
        <v>1200</v>
      </c>
      <c r="AE80" s="48" t="s">
        <v>170</v>
      </c>
      <c r="AF80" s="698" t="s">
        <v>6237</v>
      </c>
      <c r="AG80" s="48"/>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row>
    <row r="81">
      <c r="A81" s="174" t="s">
        <v>1200</v>
      </c>
      <c r="B81" s="174" t="s">
        <v>6243</v>
      </c>
      <c r="C81" s="48" t="s">
        <v>186</v>
      </c>
      <c r="D81" s="48">
        <v>150.0</v>
      </c>
      <c r="E81" s="48" t="s">
        <v>6091</v>
      </c>
      <c r="F81" s="48" t="s">
        <v>166</v>
      </c>
      <c r="G81" s="48" t="s">
        <v>6145</v>
      </c>
      <c r="H81" s="48" t="s">
        <v>166</v>
      </c>
      <c r="I81" s="48" t="s">
        <v>166</v>
      </c>
      <c r="J81" s="48" t="s">
        <v>166</v>
      </c>
      <c r="K81" s="48" t="s">
        <v>166</v>
      </c>
      <c r="L81" s="48" t="s">
        <v>166</v>
      </c>
      <c r="M81" s="48" t="s">
        <v>166</v>
      </c>
      <c r="N81" s="48" t="s">
        <v>166</v>
      </c>
      <c r="O81" s="48" t="s">
        <v>166</v>
      </c>
      <c r="P81" s="48" t="s">
        <v>166</v>
      </c>
      <c r="Q81" s="48" t="s">
        <v>166</v>
      </c>
      <c r="R81" s="48" t="s">
        <v>166</v>
      </c>
      <c r="S81" s="48">
        <v>1.0</v>
      </c>
      <c r="T81" s="48">
        <v>1.0</v>
      </c>
      <c r="U81" s="48" t="s">
        <v>6146</v>
      </c>
      <c r="V81" s="48" t="s">
        <v>166</v>
      </c>
      <c r="W81" s="48" t="s">
        <v>166</v>
      </c>
      <c r="X81" s="48" t="s">
        <v>166</v>
      </c>
      <c r="Y81" s="48" t="s">
        <v>166</v>
      </c>
      <c r="Z81" s="48">
        <v>1.0</v>
      </c>
      <c r="AA81" s="48">
        <v>2.0</v>
      </c>
      <c r="AB81" s="48">
        <v>1.0</v>
      </c>
      <c r="AC81" s="48">
        <v>1.0</v>
      </c>
      <c r="AD81" s="182" t="s">
        <v>1200</v>
      </c>
      <c r="AE81" s="48" t="s">
        <v>170</v>
      </c>
      <c r="AF81" s="698" t="s">
        <v>3438</v>
      </c>
      <c r="AG81" s="48"/>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row>
    <row r="82">
      <c r="A82" s="174" t="s">
        <v>1200</v>
      </c>
      <c r="B82" s="174" t="s">
        <v>6244</v>
      </c>
      <c r="C82" s="48" t="s">
        <v>186</v>
      </c>
      <c r="D82" s="48">
        <v>400.0</v>
      </c>
      <c r="E82" s="48" t="s">
        <v>6078</v>
      </c>
      <c r="F82" s="48" t="s">
        <v>166</v>
      </c>
      <c r="G82" s="48" t="s">
        <v>2965</v>
      </c>
      <c r="H82" s="182" t="s">
        <v>214</v>
      </c>
      <c r="I82" s="48" t="s">
        <v>166</v>
      </c>
      <c r="J82" s="48" t="s">
        <v>166</v>
      </c>
      <c r="K82" s="48" t="s">
        <v>166</v>
      </c>
      <c r="L82" s="48" t="s">
        <v>166</v>
      </c>
      <c r="M82" s="48" t="s">
        <v>166</v>
      </c>
      <c r="N82" s="48" t="s">
        <v>166</v>
      </c>
      <c r="O82" s="48" t="s">
        <v>166</v>
      </c>
      <c r="P82" s="48" t="s">
        <v>6125</v>
      </c>
      <c r="Q82" s="48">
        <v>40.0</v>
      </c>
      <c r="R82" s="48" t="s">
        <v>166</v>
      </c>
      <c r="S82" s="48">
        <v>1.0</v>
      </c>
      <c r="T82" s="48">
        <v>1.0</v>
      </c>
      <c r="U82" s="48">
        <v>1.0</v>
      </c>
      <c r="V82" s="48">
        <v>1.0</v>
      </c>
      <c r="W82" s="48">
        <v>1.0</v>
      </c>
      <c r="X82" s="48" t="s">
        <v>166</v>
      </c>
      <c r="Y82" s="48" t="s">
        <v>166</v>
      </c>
      <c r="Z82" s="48">
        <v>1.0</v>
      </c>
      <c r="AA82" s="48">
        <v>3.0</v>
      </c>
      <c r="AB82" s="48">
        <v>1.0</v>
      </c>
      <c r="AC82" s="48">
        <v>2.0</v>
      </c>
      <c r="AD82" s="182" t="s">
        <v>1200</v>
      </c>
      <c r="AE82" s="48">
        <v>3.0</v>
      </c>
      <c r="AF82" s="698" t="s">
        <v>6237</v>
      </c>
      <c r="AG82" s="48"/>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row>
    <row r="83">
      <c r="A83" s="174" t="s">
        <v>1200</v>
      </c>
      <c r="B83" s="174" t="s">
        <v>6245</v>
      </c>
      <c r="C83" s="48" t="s">
        <v>186</v>
      </c>
      <c r="D83" s="48">
        <v>500.0</v>
      </c>
      <c r="E83" s="48" t="s">
        <v>6078</v>
      </c>
      <c r="F83" s="48" t="s">
        <v>166</v>
      </c>
      <c r="G83" s="48" t="s">
        <v>2965</v>
      </c>
      <c r="H83" s="182" t="s">
        <v>214</v>
      </c>
      <c r="I83" s="48" t="s">
        <v>166</v>
      </c>
      <c r="J83" s="48" t="s">
        <v>166</v>
      </c>
      <c r="K83" s="48" t="s">
        <v>166</v>
      </c>
      <c r="L83" s="48" t="s">
        <v>166</v>
      </c>
      <c r="M83" s="48" t="s">
        <v>166</v>
      </c>
      <c r="N83" s="48" t="s">
        <v>166</v>
      </c>
      <c r="O83" s="48" t="s">
        <v>166</v>
      </c>
      <c r="P83" s="48" t="s">
        <v>6125</v>
      </c>
      <c r="Q83" s="48">
        <v>40.0</v>
      </c>
      <c r="R83" s="48" t="s">
        <v>166</v>
      </c>
      <c r="S83" s="48">
        <v>1.0</v>
      </c>
      <c r="T83" s="48">
        <v>1.0</v>
      </c>
      <c r="U83" s="48">
        <v>1.0</v>
      </c>
      <c r="V83" s="48">
        <v>1.0</v>
      </c>
      <c r="W83" s="48">
        <v>2.0</v>
      </c>
      <c r="X83" s="48" t="s">
        <v>166</v>
      </c>
      <c r="Y83" s="48" t="s">
        <v>166</v>
      </c>
      <c r="Z83" s="48">
        <v>2.0</v>
      </c>
      <c r="AA83" s="48">
        <v>4.0</v>
      </c>
      <c r="AB83" s="48">
        <v>1.0</v>
      </c>
      <c r="AC83" s="48">
        <v>2.0</v>
      </c>
      <c r="AD83" s="182" t="s">
        <v>1200</v>
      </c>
      <c r="AE83" s="48">
        <v>3.0</v>
      </c>
      <c r="AF83" s="698" t="s">
        <v>6237</v>
      </c>
      <c r="AG83" s="48"/>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row>
    <row r="84">
      <c r="A84" s="174" t="s">
        <v>1200</v>
      </c>
      <c r="B84" s="174" t="s">
        <v>6246</v>
      </c>
      <c r="C84" s="48" t="s">
        <v>186</v>
      </c>
      <c r="D84" s="48">
        <v>500.0</v>
      </c>
      <c r="E84" s="48" t="s">
        <v>6078</v>
      </c>
      <c r="F84" s="48" t="s">
        <v>166</v>
      </c>
      <c r="G84" s="48" t="s">
        <v>2966</v>
      </c>
      <c r="H84" s="182" t="s">
        <v>214</v>
      </c>
      <c r="I84" s="48" t="s">
        <v>166</v>
      </c>
      <c r="J84" s="48" t="s">
        <v>166</v>
      </c>
      <c r="K84" s="48" t="s">
        <v>166</v>
      </c>
      <c r="L84" s="48" t="s">
        <v>166</v>
      </c>
      <c r="M84" s="48" t="s">
        <v>166</v>
      </c>
      <c r="N84" s="48" t="s">
        <v>166</v>
      </c>
      <c r="O84" s="48" t="s">
        <v>166</v>
      </c>
      <c r="P84" s="48" t="s">
        <v>6125</v>
      </c>
      <c r="Q84" s="48">
        <v>40.0</v>
      </c>
      <c r="R84" s="48" t="s">
        <v>166</v>
      </c>
      <c r="S84" s="48">
        <v>1.0</v>
      </c>
      <c r="T84" s="48">
        <v>2.0</v>
      </c>
      <c r="U84" s="48">
        <v>2.0</v>
      </c>
      <c r="V84" s="48" t="s">
        <v>166</v>
      </c>
      <c r="W84" s="48" t="s">
        <v>166</v>
      </c>
      <c r="X84" s="48" t="s">
        <v>166</v>
      </c>
      <c r="Y84" s="48" t="s">
        <v>166</v>
      </c>
      <c r="Z84" s="48">
        <v>2.0</v>
      </c>
      <c r="AA84" s="48">
        <v>4.0</v>
      </c>
      <c r="AB84" s="48">
        <v>1.0</v>
      </c>
      <c r="AC84" s="48">
        <v>2.0</v>
      </c>
      <c r="AD84" s="182" t="s">
        <v>1200</v>
      </c>
      <c r="AE84" s="48">
        <v>3.0</v>
      </c>
      <c r="AF84" s="698" t="s">
        <v>6237</v>
      </c>
      <c r="AG84" s="48"/>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row>
    <row r="85">
      <c r="A85" s="174" t="s">
        <v>1200</v>
      </c>
      <c r="B85" s="174" t="s">
        <v>6247</v>
      </c>
      <c r="C85" s="48" t="s">
        <v>324</v>
      </c>
      <c r="D85" s="48">
        <v>350.0</v>
      </c>
      <c r="E85" s="48">
        <v>220.0</v>
      </c>
      <c r="F85" s="48" t="s">
        <v>166</v>
      </c>
      <c r="G85" s="48" t="s">
        <v>166</v>
      </c>
      <c r="H85" s="48" t="s">
        <v>166</v>
      </c>
      <c r="I85" s="48" t="s">
        <v>166</v>
      </c>
      <c r="J85" s="48" t="s">
        <v>166</v>
      </c>
      <c r="K85" s="48" t="s">
        <v>166</v>
      </c>
      <c r="L85" s="48" t="s">
        <v>166</v>
      </c>
      <c r="M85" s="48" t="s">
        <v>166</v>
      </c>
      <c r="N85" s="48" t="s">
        <v>166</v>
      </c>
      <c r="O85" s="48" t="s">
        <v>166</v>
      </c>
      <c r="P85" s="48" t="s">
        <v>6125</v>
      </c>
      <c r="Q85" s="48">
        <v>80.0</v>
      </c>
      <c r="R85" s="48" t="s">
        <v>166</v>
      </c>
      <c r="S85" s="48" t="s">
        <v>6099</v>
      </c>
      <c r="T85" s="48" t="s">
        <v>6094</v>
      </c>
      <c r="U85" s="48">
        <v>1.0</v>
      </c>
      <c r="V85" s="48" t="s">
        <v>6094</v>
      </c>
      <c r="W85" s="48" t="s">
        <v>6248</v>
      </c>
      <c r="X85" s="48" t="s">
        <v>166</v>
      </c>
      <c r="Y85" s="48" t="s">
        <v>166</v>
      </c>
      <c r="Z85" s="48" t="s">
        <v>6096</v>
      </c>
      <c r="AA85" s="48">
        <v>3.0</v>
      </c>
      <c r="AB85" s="48" t="s">
        <v>6096</v>
      </c>
      <c r="AC85" s="48">
        <v>3.0</v>
      </c>
      <c r="AD85" s="182" t="s">
        <v>1200</v>
      </c>
      <c r="AE85" s="48" t="s">
        <v>170</v>
      </c>
      <c r="AF85" s="698" t="s">
        <v>6249</v>
      </c>
      <c r="AG85" s="758"/>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row>
    <row r="86">
      <c r="A86" s="174" t="s">
        <v>1200</v>
      </c>
      <c r="B86" s="174" t="s">
        <v>6250</v>
      </c>
      <c r="C86" s="48" t="s">
        <v>324</v>
      </c>
      <c r="D86" s="48">
        <v>450.0</v>
      </c>
      <c r="E86" s="48" t="s">
        <v>6177</v>
      </c>
      <c r="F86" s="48" t="s">
        <v>166</v>
      </c>
      <c r="G86" s="48" t="s">
        <v>6145</v>
      </c>
      <c r="H86" s="182" t="s">
        <v>214</v>
      </c>
      <c r="I86" s="48" t="s">
        <v>166</v>
      </c>
      <c r="J86" s="48" t="s">
        <v>166</v>
      </c>
      <c r="K86" s="48" t="s">
        <v>166</v>
      </c>
      <c r="L86" s="48" t="s">
        <v>166</v>
      </c>
      <c r="M86" s="48" t="s">
        <v>166</v>
      </c>
      <c r="N86" s="48" t="s">
        <v>174</v>
      </c>
      <c r="O86" s="48" t="s">
        <v>174</v>
      </c>
      <c r="P86" s="782">
        <v>0.2</v>
      </c>
      <c r="Q86" s="48">
        <v>80.0</v>
      </c>
      <c r="R86" s="48" t="s">
        <v>174</v>
      </c>
      <c r="S86" s="48" t="s">
        <v>6099</v>
      </c>
      <c r="T86" s="48" t="s">
        <v>6094</v>
      </c>
      <c r="U86" s="48">
        <v>1.0</v>
      </c>
      <c r="V86" s="48" t="s">
        <v>6155</v>
      </c>
      <c r="W86" s="48">
        <v>2.0</v>
      </c>
      <c r="X86" s="48" t="s">
        <v>166</v>
      </c>
      <c r="Y86" s="48" t="s">
        <v>166</v>
      </c>
      <c r="Z86" s="48" t="s">
        <v>6096</v>
      </c>
      <c r="AA86" s="48">
        <v>2.0</v>
      </c>
      <c r="AB86" s="48" t="s">
        <v>6096</v>
      </c>
      <c r="AC86" s="48">
        <v>1.0</v>
      </c>
      <c r="AD86" s="182" t="s">
        <v>1200</v>
      </c>
      <c r="AE86" s="48" t="s">
        <v>170</v>
      </c>
      <c r="AF86" s="698" t="s">
        <v>6178</v>
      </c>
      <c r="AG86" s="758"/>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row>
    <row r="87">
      <c r="A87" s="174" t="s">
        <v>1200</v>
      </c>
      <c r="B87" s="174" t="s">
        <v>6251</v>
      </c>
      <c r="C87" s="48" t="s">
        <v>324</v>
      </c>
      <c r="D87" s="48">
        <v>500.0</v>
      </c>
      <c r="E87" s="48" t="s">
        <v>6177</v>
      </c>
      <c r="F87" s="48" t="s">
        <v>166</v>
      </c>
      <c r="G87" s="48" t="s">
        <v>6145</v>
      </c>
      <c r="H87" s="182" t="s">
        <v>214</v>
      </c>
      <c r="I87" s="48" t="s">
        <v>166</v>
      </c>
      <c r="J87" s="48" t="s">
        <v>166</v>
      </c>
      <c r="K87" s="48" t="s">
        <v>166</v>
      </c>
      <c r="L87" s="48" t="s">
        <v>166</v>
      </c>
      <c r="M87" s="48" t="s">
        <v>166</v>
      </c>
      <c r="N87" s="48" t="s">
        <v>174</v>
      </c>
      <c r="O87" s="48" t="s">
        <v>174</v>
      </c>
      <c r="P87" s="782">
        <v>0.2</v>
      </c>
      <c r="Q87" s="48">
        <v>80.0</v>
      </c>
      <c r="R87" s="48" t="s">
        <v>174</v>
      </c>
      <c r="S87" s="48" t="s">
        <v>6080</v>
      </c>
      <c r="T87" s="48" t="s">
        <v>6094</v>
      </c>
      <c r="U87" s="48">
        <v>1.0</v>
      </c>
      <c r="V87" s="48" t="s">
        <v>6147</v>
      </c>
      <c r="W87" s="48">
        <v>2.0</v>
      </c>
      <c r="X87" s="48" t="s">
        <v>166</v>
      </c>
      <c r="Y87" s="48" t="s">
        <v>166</v>
      </c>
      <c r="Z87" s="48" t="s">
        <v>6135</v>
      </c>
      <c r="AA87" s="48">
        <v>4.0</v>
      </c>
      <c r="AB87" s="48" t="s">
        <v>6135</v>
      </c>
      <c r="AC87" s="48">
        <v>2.0</v>
      </c>
      <c r="AD87" s="182" t="s">
        <v>1200</v>
      </c>
      <c r="AE87" s="48" t="s">
        <v>170</v>
      </c>
      <c r="AF87" s="698" t="s">
        <v>6178</v>
      </c>
      <c r="AG87" s="758"/>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row>
    <row r="88">
      <c r="A88" s="174" t="s">
        <v>1200</v>
      </c>
      <c r="B88" s="174" t="s">
        <v>6252</v>
      </c>
      <c r="C88" s="48" t="s">
        <v>324</v>
      </c>
      <c r="D88" s="48">
        <v>600.0</v>
      </c>
      <c r="E88" s="48" t="s">
        <v>6177</v>
      </c>
      <c r="F88" s="48" t="s">
        <v>166</v>
      </c>
      <c r="G88" s="48" t="s">
        <v>6145</v>
      </c>
      <c r="H88" s="182" t="s">
        <v>214</v>
      </c>
      <c r="I88" s="48" t="s">
        <v>166</v>
      </c>
      <c r="J88" s="48" t="s">
        <v>166</v>
      </c>
      <c r="K88" s="48" t="s">
        <v>166</v>
      </c>
      <c r="L88" s="48" t="s">
        <v>166</v>
      </c>
      <c r="M88" s="48" t="s">
        <v>166</v>
      </c>
      <c r="N88" s="48" t="s">
        <v>174</v>
      </c>
      <c r="O88" s="48" t="s">
        <v>174</v>
      </c>
      <c r="P88" s="782">
        <v>0.2</v>
      </c>
      <c r="Q88" s="48">
        <v>80.0</v>
      </c>
      <c r="R88" s="48" t="s">
        <v>174</v>
      </c>
      <c r="S88" s="48" t="s">
        <v>6094</v>
      </c>
      <c r="T88" s="48" t="s">
        <v>6100</v>
      </c>
      <c r="U88" s="48">
        <v>1.0</v>
      </c>
      <c r="V88" s="48" t="s">
        <v>6096</v>
      </c>
      <c r="W88" s="48">
        <v>2.0</v>
      </c>
      <c r="X88" s="48" t="s">
        <v>166</v>
      </c>
      <c r="Y88" s="48" t="s">
        <v>166</v>
      </c>
      <c r="Z88" s="48" t="s">
        <v>6136</v>
      </c>
      <c r="AA88" s="48">
        <v>4.0</v>
      </c>
      <c r="AB88" s="48" t="s">
        <v>6136</v>
      </c>
      <c r="AC88" s="48">
        <v>2.0</v>
      </c>
      <c r="AD88" s="182" t="s">
        <v>1200</v>
      </c>
      <c r="AE88" s="48" t="s">
        <v>170</v>
      </c>
      <c r="AF88" s="698" t="s">
        <v>6178</v>
      </c>
      <c r="AG88" s="758"/>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row>
    <row r="89">
      <c r="A89" s="174" t="s">
        <v>1200</v>
      </c>
      <c r="B89" s="174" t="s">
        <v>6253</v>
      </c>
      <c r="C89" s="48" t="s">
        <v>324</v>
      </c>
      <c r="D89" s="48">
        <v>600.0</v>
      </c>
      <c r="E89" s="48" t="s">
        <v>6078</v>
      </c>
      <c r="F89" s="48" t="s">
        <v>166</v>
      </c>
      <c r="G89" s="48" t="s">
        <v>2965</v>
      </c>
      <c r="H89" s="182" t="s">
        <v>214</v>
      </c>
      <c r="I89" s="48" t="s">
        <v>166</v>
      </c>
      <c r="J89" s="48" t="s">
        <v>166</v>
      </c>
      <c r="K89" s="48" t="s">
        <v>166</v>
      </c>
      <c r="L89" s="48" t="s">
        <v>166</v>
      </c>
      <c r="M89" s="48" t="s">
        <v>166</v>
      </c>
      <c r="N89" s="48" t="s">
        <v>174</v>
      </c>
      <c r="O89" s="48" t="s">
        <v>174</v>
      </c>
      <c r="P89" s="782">
        <v>0.2</v>
      </c>
      <c r="Q89" s="48">
        <v>80.0</v>
      </c>
      <c r="R89" s="48" t="s">
        <v>174</v>
      </c>
      <c r="S89" s="48" t="s">
        <v>6094</v>
      </c>
      <c r="T89" s="48" t="s">
        <v>6113</v>
      </c>
      <c r="U89" s="48">
        <v>2.0</v>
      </c>
      <c r="V89" s="48" t="s">
        <v>6113</v>
      </c>
      <c r="W89" s="48">
        <v>2.0</v>
      </c>
      <c r="X89" s="48" t="s">
        <v>166</v>
      </c>
      <c r="Y89" s="48" t="s">
        <v>166</v>
      </c>
      <c r="Z89" s="48" t="s">
        <v>6136</v>
      </c>
      <c r="AA89" s="48">
        <v>4.0</v>
      </c>
      <c r="AB89" s="48" t="s">
        <v>6136</v>
      </c>
      <c r="AC89" s="48">
        <v>2.0</v>
      </c>
      <c r="AD89" s="182" t="s">
        <v>1200</v>
      </c>
      <c r="AE89" s="48">
        <v>10.0</v>
      </c>
      <c r="AF89" s="699"/>
      <c r="AG89" s="758"/>
      <c r="AH89" s="66"/>
      <c r="AI89" s="66"/>
      <c r="AJ89" s="66"/>
      <c r="AK89" s="66"/>
      <c r="AL89" s="66"/>
      <c r="AM89" s="66"/>
      <c r="AN89" s="66"/>
      <c r="AO89" s="66"/>
      <c r="AP89" s="66"/>
      <c r="AQ89" s="66"/>
      <c r="AR89" s="66"/>
      <c r="AS89" s="66"/>
      <c r="AT89" s="66"/>
      <c r="AU89" s="66"/>
      <c r="AV89" s="66"/>
      <c r="AW89" s="66"/>
      <c r="AX89" s="66"/>
      <c r="AY89" s="66"/>
      <c r="AZ89" s="66"/>
      <c r="BA89" s="66"/>
      <c r="BB89" s="66"/>
      <c r="BC89" s="66"/>
      <c r="BD89" s="66"/>
      <c r="BE89" s="66"/>
      <c r="BF89" s="66"/>
      <c r="BG89" s="66"/>
      <c r="BH89" s="66"/>
      <c r="BI89" s="66"/>
      <c r="BJ89" s="66"/>
      <c r="BK89" s="66"/>
      <c r="BL89" s="66"/>
      <c r="BM89" s="66"/>
    </row>
    <row r="90">
      <c r="A90" s="174" t="s">
        <v>1200</v>
      </c>
      <c r="B90" s="174" t="s">
        <v>6254</v>
      </c>
      <c r="C90" s="48" t="s">
        <v>324</v>
      </c>
      <c r="D90" s="48">
        <v>650.0</v>
      </c>
      <c r="E90" s="48" t="s">
        <v>6078</v>
      </c>
      <c r="F90" s="48" t="s">
        <v>166</v>
      </c>
      <c r="G90" s="48" t="s">
        <v>2965</v>
      </c>
      <c r="H90" s="182" t="s">
        <v>214</v>
      </c>
      <c r="I90" s="48" t="s">
        <v>166</v>
      </c>
      <c r="J90" s="48" t="s">
        <v>166</v>
      </c>
      <c r="K90" s="48" t="s">
        <v>166</v>
      </c>
      <c r="L90" s="48" t="s">
        <v>166</v>
      </c>
      <c r="M90" s="48" t="s">
        <v>166</v>
      </c>
      <c r="N90" s="48" t="s">
        <v>174</v>
      </c>
      <c r="O90" s="48" t="s">
        <v>174</v>
      </c>
      <c r="P90" s="782">
        <v>0.2</v>
      </c>
      <c r="Q90" s="48">
        <v>80.0</v>
      </c>
      <c r="R90" s="48" t="s">
        <v>174</v>
      </c>
      <c r="S90" s="48" t="s">
        <v>6080</v>
      </c>
      <c r="T90" s="48" t="s">
        <v>6147</v>
      </c>
      <c r="U90" s="48">
        <v>2.0</v>
      </c>
      <c r="V90" s="48" t="s">
        <v>6147</v>
      </c>
      <c r="W90" s="48">
        <v>2.0</v>
      </c>
      <c r="X90" s="48" t="s">
        <v>166</v>
      </c>
      <c r="Y90" s="48" t="s">
        <v>166</v>
      </c>
      <c r="Z90" s="48" t="s">
        <v>6135</v>
      </c>
      <c r="AA90" s="48">
        <v>4.0</v>
      </c>
      <c r="AB90" s="48" t="s">
        <v>6135</v>
      </c>
      <c r="AC90" s="48">
        <v>2.0</v>
      </c>
      <c r="AD90" s="182" t="s">
        <v>1200</v>
      </c>
      <c r="AE90" s="48">
        <v>10.0</v>
      </c>
      <c r="AF90" s="699"/>
      <c r="AG90" s="758"/>
      <c r="AH90" s="66"/>
      <c r="AI90" s="66"/>
      <c r="AJ90" s="66"/>
      <c r="AK90" s="66"/>
      <c r="AL90" s="66"/>
      <c r="AM90" s="66"/>
      <c r="AN90" s="66"/>
      <c r="AO90" s="66"/>
      <c r="AP90" s="66"/>
      <c r="AQ90" s="66"/>
      <c r="AR90" s="66"/>
      <c r="AS90" s="66"/>
      <c r="AT90" s="66"/>
      <c r="AU90" s="66"/>
      <c r="AV90" s="66"/>
      <c r="AW90" s="66"/>
      <c r="AX90" s="66"/>
      <c r="AY90" s="66"/>
      <c r="AZ90" s="66"/>
      <c r="BA90" s="66"/>
      <c r="BB90" s="66"/>
      <c r="BC90" s="66"/>
      <c r="BD90" s="66"/>
      <c r="BE90" s="66"/>
      <c r="BF90" s="66"/>
      <c r="BG90" s="66"/>
      <c r="BH90" s="66"/>
      <c r="BI90" s="66"/>
      <c r="BJ90" s="66"/>
      <c r="BK90" s="66"/>
      <c r="BL90" s="66"/>
      <c r="BM90" s="66"/>
    </row>
    <row r="91">
      <c r="A91" s="174" t="s">
        <v>1200</v>
      </c>
      <c r="B91" s="174" t="s">
        <v>6255</v>
      </c>
      <c r="C91" s="48" t="s">
        <v>324</v>
      </c>
      <c r="D91" s="48">
        <v>750.0</v>
      </c>
      <c r="E91" s="48" t="s">
        <v>6078</v>
      </c>
      <c r="F91" s="48" t="s">
        <v>166</v>
      </c>
      <c r="G91" s="48" t="s">
        <v>2965</v>
      </c>
      <c r="H91" s="182" t="s">
        <v>214</v>
      </c>
      <c r="I91" s="48" t="s">
        <v>166</v>
      </c>
      <c r="J91" s="48" t="s">
        <v>166</v>
      </c>
      <c r="K91" s="48" t="s">
        <v>166</v>
      </c>
      <c r="L91" s="48" t="s">
        <v>166</v>
      </c>
      <c r="M91" s="48" t="s">
        <v>166</v>
      </c>
      <c r="N91" s="48" t="s">
        <v>174</v>
      </c>
      <c r="O91" s="48" t="s">
        <v>174</v>
      </c>
      <c r="P91" s="782">
        <v>0.2</v>
      </c>
      <c r="Q91" s="48">
        <v>80.0</v>
      </c>
      <c r="R91" s="48" t="s">
        <v>174</v>
      </c>
      <c r="S91" s="48" t="s">
        <v>6094</v>
      </c>
      <c r="T91" s="48" t="s">
        <v>6113</v>
      </c>
      <c r="U91" s="48">
        <v>2.0</v>
      </c>
      <c r="V91" s="48" t="s">
        <v>6113</v>
      </c>
      <c r="W91" s="48">
        <v>2.0</v>
      </c>
      <c r="X91" s="48" t="s">
        <v>166</v>
      </c>
      <c r="Y91" s="48" t="s">
        <v>166</v>
      </c>
      <c r="Z91" s="48" t="s">
        <v>6136</v>
      </c>
      <c r="AA91" s="48">
        <v>4.0</v>
      </c>
      <c r="AB91" s="48" t="s">
        <v>6136</v>
      </c>
      <c r="AC91" s="48">
        <v>2.0</v>
      </c>
      <c r="AD91" s="182" t="s">
        <v>1200</v>
      </c>
      <c r="AE91" s="48">
        <v>10.0</v>
      </c>
      <c r="AF91" s="699"/>
      <c r="AG91" s="758"/>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row>
    <row r="92">
      <c r="A92" s="174" t="s">
        <v>1200</v>
      </c>
      <c r="B92" s="174" t="s">
        <v>6256</v>
      </c>
      <c r="C92" s="48" t="s">
        <v>324</v>
      </c>
      <c r="D92" s="48">
        <v>850.0</v>
      </c>
      <c r="E92" s="48" t="s">
        <v>6078</v>
      </c>
      <c r="F92" s="48" t="s">
        <v>166</v>
      </c>
      <c r="G92" s="48" t="s">
        <v>2965</v>
      </c>
      <c r="H92" s="182" t="s">
        <v>214</v>
      </c>
      <c r="I92" s="48" t="s">
        <v>166</v>
      </c>
      <c r="J92" s="48" t="s">
        <v>166</v>
      </c>
      <c r="K92" s="48" t="s">
        <v>166</v>
      </c>
      <c r="L92" s="48" t="s">
        <v>166</v>
      </c>
      <c r="M92" s="48" t="s">
        <v>166</v>
      </c>
      <c r="N92" s="48" t="s">
        <v>174</v>
      </c>
      <c r="O92" s="48" t="s">
        <v>174</v>
      </c>
      <c r="P92" s="782">
        <v>0.2</v>
      </c>
      <c r="Q92" s="48">
        <v>80.0</v>
      </c>
      <c r="R92" s="48" t="s">
        <v>174</v>
      </c>
      <c r="S92" s="48" t="s">
        <v>6080</v>
      </c>
      <c r="T92" s="48" t="s">
        <v>6147</v>
      </c>
      <c r="U92" s="48">
        <v>2.0</v>
      </c>
      <c r="V92" s="48" t="s">
        <v>6257</v>
      </c>
      <c r="W92" s="48">
        <v>3.0</v>
      </c>
      <c r="X92" s="48" t="s">
        <v>166</v>
      </c>
      <c r="Y92" s="48" t="s">
        <v>166</v>
      </c>
      <c r="Z92" s="48" t="s">
        <v>6258</v>
      </c>
      <c r="AA92" s="48">
        <v>4.0</v>
      </c>
      <c r="AB92" s="48" t="s">
        <v>6258</v>
      </c>
      <c r="AC92" s="48">
        <v>2.0</v>
      </c>
      <c r="AD92" s="182" t="s">
        <v>1200</v>
      </c>
      <c r="AE92" s="48">
        <v>10.0</v>
      </c>
      <c r="AF92" s="699"/>
      <c r="AG92" s="758"/>
      <c r="AH92" s="66"/>
      <c r="AI92" s="66"/>
      <c r="AJ92" s="66"/>
      <c r="AK92" s="66"/>
      <c r="AL92" s="66"/>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row>
    <row r="93">
      <c r="A93" s="174" t="s">
        <v>1200</v>
      </c>
      <c r="B93" s="174" t="s">
        <v>6259</v>
      </c>
      <c r="C93" s="48" t="s">
        <v>324</v>
      </c>
      <c r="D93" s="48">
        <v>350.0</v>
      </c>
      <c r="E93" s="48" t="s">
        <v>6078</v>
      </c>
      <c r="F93" s="48" t="s">
        <v>166</v>
      </c>
      <c r="G93" s="48" t="s">
        <v>6145</v>
      </c>
      <c r="H93" s="182" t="s">
        <v>214</v>
      </c>
      <c r="I93" s="48" t="s">
        <v>166</v>
      </c>
      <c r="J93" s="48" t="s">
        <v>166</v>
      </c>
      <c r="K93" s="48" t="s">
        <v>166</v>
      </c>
      <c r="L93" s="48" t="s">
        <v>166</v>
      </c>
      <c r="M93" s="48" t="s">
        <v>166</v>
      </c>
      <c r="N93" s="48" t="s">
        <v>166</v>
      </c>
      <c r="O93" s="48" t="s">
        <v>166</v>
      </c>
      <c r="P93" s="48" t="s">
        <v>6125</v>
      </c>
      <c r="Q93" s="48">
        <v>80.0</v>
      </c>
      <c r="R93" s="48" t="s">
        <v>174</v>
      </c>
      <c r="S93" s="48">
        <v>1.0</v>
      </c>
      <c r="T93" s="48">
        <v>1.0</v>
      </c>
      <c r="U93" s="48">
        <v>1.0</v>
      </c>
      <c r="V93" s="48">
        <v>1.0</v>
      </c>
      <c r="W93" s="48">
        <v>2.0</v>
      </c>
      <c r="X93" s="48" t="s">
        <v>166</v>
      </c>
      <c r="Y93" s="48" t="s">
        <v>166</v>
      </c>
      <c r="Z93" s="48">
        <v>1.0</v>
      </c>
      <c r="AA93" s="48">
        <v>3.0</v>
      </c>
      <c r="AB93" s="48">
        <v>1.0</v>
      </c>
      <c r="AC93" s="48">
        <v>3.0</v>
      </c>
      <c r="AD93" s="182" t="s">
        <v>1200</v>
      </c>
      <c r="AE93" s="48" t="s">
        <v>170</v>
      </c>
      <c r="AF93" s="699"/>
      <c r="AG93" s="758"/>
      <c r="AH93" s="66"/>
      <c r="AI93" s="66"/>
      <c r="AJ93" s="66"/>
      <c r="AK93" s="66"/>
      <c r="AL93" s="66"/>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row>
    <row r="94">
      <c r="A94" s="291" t="s">
        <v>1200</v>
      </c>
      <c r="B94" s="291" t="s">
        <v>6260</v>
      </c>
      <c r="C94" s="700" t="s">
        <v>324</v>
      </c>
      <c r="D94" s="700">
        <v>450.0</v>
      </c>
      <c r="E94" s="700" t="s">
        <v>6078</v>
      </c>
      <c r="F94" s="700" t="s">
        <v>166</v>
      </c>
      <c r="G94" s="700" t="s">
        <v>6145</v>
      </c>
      <c r="H94" s="760" t="s">
        <v>214</v>
      </c>
      <c r="I94" s="700" t="s">
        <v>166</v>
      </c>
      <c r="J94" s="700" t="s">
        <v>166</v>
      </c>
      <c r="K94" s="700" t="s">
        <v>166</v>
      </c>
      <c r="L94" s="700" t="s">
        <v>166</v>
      </c>
      <c r="M94" s="700" t="s">
        <v>166</v>
      </c>
      <c r="N94" s="700" t="s">
        <v>166</v>
      </c>
      <c r="O94" s="700" t="s">
        <v>166</v>
      </c>
      <c r="P94" s="700" t="s">
        <v>6125</v>
      </c>
      <c r="Q94" s="700">
        <v>80.0</v>
      </c>
      <c r="R94" s="700" t="s">
        <v>174</v>
      </c>
      <c r="S94" s="700">
        <v>1.0</v>
      </c>
      <c r="T94" s="700">
        <v>1.0</v>
      </c>
      <c r="U94" s="700">
        <v>1.0</v>
      </c>
      <c r="V94" s="700">
        <v>1.0</v>
      </c>
      <c r="W94" s="700">
        <v>2.0</v>
      </c>
      <c r="X94" s="700" t="s">
        <v>166</v>
      </c>
      <c r="Y94" s="700" t="s">
        <v>166</v>
      </c>
      <c r="Z94" s="700">
        <v>1.0</v>
      </c>
      <c r="AA94" s="700">
        <v>3.0</v>
      </c>
      <c r="AB94" s="700">
        <v>1.0</v>
      </c>
      <c r="AC94" s="700">
        <v>3.0</v>
      </c>
      <c r="AD94" s="760" t="s">
        <v>1200</v>
      </c>
      <c r="AE94" s="700" t="s">
        <v>170</v>
      </c>
      <c r="AF94" s="704"/>
      <c r="AG94" s="763"/>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row>
    <row r="95">
      <c r="A95" s="282" t="s">
        <v>6137</v>
      </c>
      <c r="B95" s="282" t="s">
        <v>6261</v>
      </c>
      <c r="C95" s="705" t="s">
        <v>324</v>
      </c>
      <c r="D95" s="705">
        <v>600.0</v>
      </c>
      <c r="E95" s="705" t="s">
        <v>6078</v>
      </c>
      <c r="F95" s="705" t="s">
        <v>166</v>
      </c>
      <c r="G95" s="705" t="s">
        <v>6145</v>
      </c>
      <c r="H95" s="759" t="s">
        <v>214</v>
      </c>
      <c r="I95" s="705" t="s">
        <v>166</v>
      </c>
      <c r="J95" s="705" t="s">
        <v>166</v>
      </c>
      <c r="K95" s="705" t="s">
        <v>166</v>
      </c>
      <c r="L95" s="705" t="s">
        <v>166</v>
      </c>
      <c r="M95" s="705" t="s">
        <v>166</v>
      </c>
      <c r="N95" s="705" t="s">
        <v>174</v>
      </c>
      <c r="O95" s="705" t="s">
        <v>174</v>
      </c>
      <c r="P95" s="771">
        <v>0.2</v>
      </c>
      <c r="Q95" s="705">
        <v>92.0</v>
      </c>
      <c r="R95" s="705" t="s">
        <v>174</v>
      </c>
      <c r="S95" s="705" t="s">
        <v>6099</v>
      </c>
      <c r="T95" s="705" t="s">
        <v>6094</v>
      </c>
      <c r="U95" s="705">
        <v>1.0</v>
      </c>
      <c r="V95" s="705" t="s">
        <v>6181</v>
      </c>
      <c r="W95" s="705">
        <v>2.0</v>
      </c>
      <c r="X95" s="705" t="s">
        <v>166</v>
      </c>
      <c r="Y95" s="705" t="s">
        <v>166</v>
      </c>
      <c r="Z95" s="705" t="s">
        <v>6162</v>
      </c>
      <c r="AA95" s="705">
        <v>4.0</v>
      </c>
      <c r="AB95" s="705" t="s">
        <v>6162</v>
      </c>
      <c r="AC95" s="705">
        <v>4.0</v>
      </c>
      <c r="AD95" s="759" t="s">
        <v>6137</v>
      </c>
      <c r="AE95" s="705">
        <v>5.0</v>
      </c>
      <c r="AF95" s="708"/>
      <c r="AG95" s="705"/>
      <c r="AH95" s="66"/>
      <c r="AI95" s="66"/>
      <c r="AJ95" s="66"/>
      <c r="AK95" s="66"/>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row>
    <row r="96">
      <c r="A96" s="282" t="s">
        <v>6137</v>
      </c>
      <c r="B96" s="282" t="s">
        <v>6262</v>
      </c>
      <c r="C96" s="705" t="s">
        <v>324</v>
      </c>
      <c r="D96" s="705">
        <v>650.0</v>
      </c>
      <c r="E96" s="705" t="s">
        <v>6078</v>
      </c>
      <c r="F96" s="705" t="s">
        <v>166</v>
      </c>
      <c r="G96" s="705" t="s">
        <v>2965</v>
      </c>
      <c r="H96" s="759" t="s">
        <v>214</v>
      </c>
      <c r="I96" s="705" t="s">
        <v>166</v>
      </c>
      <c r="J96" s="705" t="s">
        <v>166</v>
      </c>
      <c r="K96" s="705" t="s">
        <v>166</v>
      </c>
      <c r="L96" s="705" t="s">
        <v>166</v>
      </c>
      <c r="M96" s="705" t="s">
        <v>166</v>
      </c>
      <c r="N96" s="705" t="s">
        <v>174</v>
      </c>
      <c r="O96" s="705" t="s">
        <v>174</v>
      </c>
      <c r="P96" s="771">
        <v>0.2</v>
      </c>
      <c r="Q96" s="705">
        <v>92.0</v>
      </c>
      <c r="R96" s="705" t="s">
        <v>174</v>
      </c>
      <c r="S96" s="705" t="s">
        <v>6099</v>
      </c>
      <c r="T96" s="705" t="s">
        <v>6094</v>
      </c>
      <c r="U96" s="705">
        <v>1.0</v>
      </c>
      <c r="V96" s="705" t="s">
        <v>6181</v>
      </c>
      <c r="W96" s="705">
        <v>2.0</v>
      </c>
      <c r="X96" s="705" t="s">
        <v>166</v>
      </c>
      <c r="Y96" s="705" t="s">
        <v>166</v>
      </c>
      <c r="Z96" s="705" t="s">
        <v>6162</v>
      </c>
      <c r="AA96" s="705">
        <v>4.0</v>
      </c>
      <c r="AB96" s="705" t="s">
        <v>6162</v>
      </c>
      <c r="AC96" s="705">
        <v>4.0</v>
      </c>
      <c r="AD96" s="759" t="s">
        <v>6137</v>
      </c>
      <c r="AE96" s="705">
        <v>7.0</v>
      </c>
      <c r="AF96" s="708"/>
      <c r="AG96" s="705"/>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c r="BJ96" s="66"/>
      <c r="BK96" s="66"/>
      <c r="BL96" s="66"/>
      <c r="BM96" s="66"/>
    </row>
    <row r="97">
      <c r="A97" s="282" t="s">
        <v>6137</v>
      </c>
      <c r="B97" s="282" t="s">
        <v>6263</v>
      </c>
      <c r="C97" s="705" t="s">
        <v>324</v>
      </c>
      <c r="D97" s="705">
        <v>750.0</v>
      </c>
      <c r="E97" s="705" t="s">
        <v>6078</v>
      </c>
      <c r="F97" s="705" t="s">
        <v>166</v>
      </c>
      <c r="G97" s="705" t="s">
        <v>2966</v>
      </c>
      <c r="H97" s="759" t="s">
        <v>214</v>
      </c>
      <c r="I97" s="705" t="s">
        <v>166</v>
      </c>
      <c r="J97" s="705" t="s">
        <v>166</v>
      </c>
      <c r="K97" s="705" t="s">
        <v>166</v>
      </c>
      <c r="L97" s="705" t="s">
        <v>166</v>
      </c>
      <c r="M97" s="705" t="s">
        <v>166</v>
      </c>
      <c r="N97" s="705" t="s">
        <v>174</v>
      </c>
      <c r="O97" s="705" t="s">
        <v>174</v>
      </c>
      <c r="P97" s="705" t="s">
        <v>170</v>
      </c>
      <c r="Q97" s="705">
        <v>92.0</v>
      </c>
      <c r="R97" s="705" t="s">
        <v>174</v>
      </c>
      <c r="S97" s="705" t="s">
        <v>6099</v>
      </c>
      <c r="T97" s="705" t="s">
        <v>6148</v>
      </c>
      <c r="U97" s="705">
        <v>2.0</v>
      </c>
      <c r="V97" s="705" t="s">
        <v>6148</v>
      </c>
      <c r="W97" s="705">
        <v>4.0</v>
      </c>
      <c r="X97" s="705" t="s">
        <v>166</v>
      </c>
      <c r="Y97" s="705" t="s">
        <v>166</v>
      </c>
      <c r="Z97" s="705" t="s">
        <v>6264</v>
      </c>
      <c r="AA97" s="705">
        <v>8.0</v>
      </c>
      <c r="AB97" s="705" t="s">
        <v>6093</v>
      </c>
      <c r="AC97" s="705">
        <v>3.0</v>
      </c>
      <c r="AD97" s="759" t="s">
        <v>6137</v>
      </c>
      <c r="AE97" s="705">
        <v>7.0</v>
      </c>
      <c r="AF97" s="708"/>
      <c r="AG97" s="705"/>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row>
    <row r="98">
      <c r="A98" s="291" t="s">
        <v>6137</v>
      </c>
      <c r="B98" s="291" t="s">
        <v>6265</v>
      </c>
      <c r="C98" s="700" t="s">
        <v>324</v>
      </c>
      <c r="D98" s="700">
        <v>850.0</v>
      </c>
      <c r="E98" s="700" t="s">
        <v>6078</v>
      </c>
      <c r="F98" s="700" t="s">
        <v>166</v>
      </c>
      <c r="G98" s="700" t="s">
        <v>2966</v>
      </c>
      <c r="H98" s="760" t="s">
        <v>214</v>
      </c>
      <c r="I98" s="700" t="s">
        <v>166</v>
      </c>
      <c r="J98" s="700" t="s">
        <v>166</v>
      </c>
      <c r="K98" s="700" t="s">
        <v>166</v>
      </c>
      <c r="L98" s="700" t="s">
        <v>166</v>
      </c>
      <c r="M98" s="700" t="s">
        <v>166</v>
      </c>
      <c r="N98" s="700" t="s">
        <v>174</v>
      </c>
      <c r="O98" s="700" t="s">
        <v>174</v>
      </c>
      <c r="P98" s="700" t="s">
        <v>170</v>
      </c>
      <c r="Q98" s="700">
        <v>92.0</v>
      </c>
      <c r="R98" s="700" t="s">
        <v>174</v>
      </c>
      <c r="S98" s="700" t="s">
        <v>6099</v>
      </c>
      <c r="T98" s="700" t="s">
        <v>6148</v>
      </c>
      <c r="U98" s="700">
        <v>2.0</v>
      </c>
      <c r="V98" s="700" t="s">
        <v>6148</v>
      </c>
      <c r="W98" s="700">
        <v>4.0</v>
      </c>
      <c r="X98" s="700" t="s">
        <v>166</v>
      </c>
      <c r="Y98" s="700" t="s">
        <v>166</v>
      </c>
      <c r="Z98" s="700" t="s">
        <v>6264</v>
      </c>
      <c r="AA98" s="700">
        <v>8.0</v>
      </c>
      <c r="AB98" s="700" t="s">
        <v>6093</v>
      </c>
      <c r="AC98" s="700">
        <v>3.0</v>
      </c>
      <c r="AD98" s="760" t="s">
        <v>6137</v>
      </c>
      <c r="AE98" s="700">
        <v>7.0</v>
      </c>
      <c r="AF98" s="703"/>
      <c r="AG98" s="700"/>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row>
    <row r="99">
      <c r="A99" s="282" t="s">
        <v>6266</v>
      </c>
      <c r="B99" s="282" t="s">
        <v>6267</v>
      </c>
      <c r="C99" s="705" t="s">
        <v>338</v>
      </c>
      <c r="D99" s="705">
        <v>250.0</v>
      </c>
      <c r="E99" s="705" t="s">
        <v>6091</v>
      </c>
      <c r="F99" s="705" t="s">
        <v>166</v>
      </c>
      <c r="G99" s="705" t="s">
        <v>166</v>
      </c>
      <c r="H99" s="48" t="s">
        <v>166</v>
      </c>
      <c r="I99" s="705" t="s">
        <v>166</v>
      </c>
      <c r="J99" s="705" t="s">
        <v>166</v>
      </c>
      <c r="K99" s="705" t="s">
        <v>166</v>
      </c>
      <c r="L99" s="705" t="s">
        <v>166</v>
      </c>
      <c r="M99" s="705" t="s">
        <v>166</v>
      </c>
      <c r="N99" s="705" t="s">
        <v>174</v>
      </c>
      <c r="O99" s="705" t="s">
        <v>166</v>
      </c>
      <c r="P99" s="705" t="s">
        <v>166</v>
      </c>
      <c r="Q99" s="705" t="s">
        <v>166</v>
      </c>
      <c r="R99" s="705" t="s">
        <v>166</v>
      </c>
      <c r="S99" s="705" t="s">
        <v>6207</v>
      </c>
      <c r="T99" s="705" t="s">
        <v>6109</v>
      </c>
      <c r="U99" s="705">
        <v>1.0</v>
      </c>
      <c r="V99" s="705" t="s">
        <v>6109</v>
      </c>
      <c r="W99" s="705">
        <v>2.0</v>
      </c>
      <c r="X99" s="705" t="s">
        <v>166</v>
      </c>
      <c r="Y99" s="705" t="s">
        <v>166</v>
      </c>
      <c r="Z99" s="705" t="s">
        <v>6109</v>
      </c>
      <c r="AA99" s="705">
        <v>4.0</v>
      </c>
      <c r="AB99" s="705" t="s">
        <v>166</v>
      </c>
      <c r="AC99" s="705" t="s">
        <v>166</v>
      </c>
      <c r="AD99" s="759" t="s">
        <v>6266</v>
      </c>
      <c r="AE99" s="705" t="s">
        <v>170</v>
      </c>
      <c r="AF99" s="708"/>
      <c r="AG99" s="705"/>
      <c r="AH99" s="66"/>
      <c r="AI99" s="66"/>
      <c r="AJ99" s="66"/>
      <c r="AK99" s="66"/>
      <c r="AL99" s="66"/>
      <c r="AM99" s="66"/>
      <c r="AN99" s="66"/>
      <c r="AO99" s="66"/>
      <c r="AP99" s="66"/>
      <c r="AQ99" s="66"/>
      <c r="AR99" s="66"/>
      <c r="AS99" s="66"/>
      <c r="AT99" s="66"/>
      <c r="AU99" s="66"/>
      <c r="AV99" s="66"/>
      <c r="AW99" s="66"/>
      <c r="AX99" s="66"/>
      <c r="AY99" s="66"/>
      <c r="AZ99" s="66"/>
      <c r="BA99" s="66"/>
      <c r="BB99" s="66"/>
      <c r="BC99" s="66"/>
      <c r="BD99" s="66"/>
      <c r="BE99" s="66"/>
      <c r="BF99" s="66"/>
      <c r="BG99" s="66"/>
      <c r="BH99" s="66"/>
      <c r="BI99" s="66"/>
      <c r="BJ99" s="66"/>
      <c r="BK99" s="66"/>
      <c r="BL99" s="66"/>
      <c r="BM99" s="66"/>
    </row>
    <row r="100">
      <c r="A100" s="291" t="s">
        <v>6266</v>
      </c>
      <c r="B100" s="291" t="s">
        <v>6268</v>
      </c>
      <c r="C100" s="700" t="s">
        <v>338</v>
      </c>
      <c r="D100" s="700">
        <v>500.0</v>
      </c>
      <c r="E100" s="700" t="s">
        <v>6091</v>
      </c>
      <c r="F100" s="700" t="s">
        <v>166</v>
      </c>
      <c r="G100" s="700" t="s">
        <v>166</v>
      </c>
      <c r="H100" s="700" t="s">
        <v>166</v>
      </c>
      <c r="I100" s="700" t="s">
        <v>166</v>
      </c>
      <c r="J100" s="700" t="s">
        <v>166</v>
      </c>
      <c r="K100" s="700" t="s">
        <v>166</v>
      </c>
      <c r="L100" s="700" t="s">
        <v>166</v>
      </c>
      <c r="M100" s="700" t="s">
        <v>166</v>
      </c>
      <c r="N100" s="700" t="s">
        <v>174</v>
      </c>
      <c r="O100" s="700" t="s">
        <v>174</v>
      </c>
      <c r="P100" s="700" t="s">
        <v>6269</v>
      </c>
      <c r="Q100" s="700">
        <v>40.0</v>
      </c>
      <c r="R100" s="700" t="s">
        <v>166</v>
      </c>
      <c r="S100" s="700" t="s">
        <v>6207</v>
      </c>
      <c r="T100" s="700" t="s">
        <v>6109</v>
      </c>
      <c r="U100" s="700">
        <v>2.0</v>
      </c>
      <c r="V100" s="700" t="s">
        <v>6109</v>
      </c>
      <c r="W100" s="700">
        <v>2.0</v>
      </c>
      <c r="X100" s="700" t="s">
        <v>166</v>
      </c>
      <c r="Y100" s="700" t="s">
        <v>166</v>
      </c>
      <c r="Z100" s="700" t="s">
        <v>6109</v>
      </c>
      <c r="AA100" s="700">
        <v>4.0</v>
      </c>
      <c r="AB100" s="700" t="s">
        <v>166</v>
      </c>
      <c r="AC100" s="700" t="s">
        <v>166</v>
      </c>
      <c r="AD100" s="760" t="s">
        <v>6266</v>
      </c>
      <c r="AE100" s="700" t="s">
        <v>170</v>
      </c>
      <c r="AF100" s="700"/>
      <c r="AG100" s="700"/>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c r="BH100" s="66"/>
      <c r="BI100" s="66"/>
      <c r="BJ100" s="66"/>
      <c r="BK100" s="66"/>
      <c r="BL100" s="66"/>
      <c r="BM100" s="66"/>
    </row>
    <row r="101">
      <c r="A101" s="290" t="s">
        <v>2425</v>
      </c>
      <c r="B101" s="290" t="s">
        <v>6270</v>
      </c>
      <c r="C101" s="712" t="s">
        <v>324</v>
      </c>
      <c r="D101" s="712">
        <v>700.0</v>
      </c>
      <c r="E101" s="712" t="s">
        <v>6078</v>
      </c>
      <c r="F101" s="712" t="s">
        <v>166</v>
      </c>
      <c r="G101" s="712" t="s">
        <v>2965</v>
      </c>
      <c r="H101" s="773" t="s">
        <v>214</v>
      </c>
      <c r="I101" s="712" t="s">
        <v>166</v>
      </c>
      <c r="J101" s="712" t="s">
        <v>166</v>
      </c>
      <c r="K101" s="712" t="s">
        <v>166</v>
      </c>
      <c r="L101" s="712" t="s">
        <v>166</v>
      </c>
      <c r="M101" s="712" t="s">
        <v>166</v>
      </c>
      <c r="N101" s="712" t="s">
        <v>174</v>
      </c>
      <c r="O101" s="712" t="s">
        <v>166</v>
      </c>
      <c r="P101" s="712" t="s">
        <v>6125</v>
      </c>
      <c r="Q101" s="712">
        <v>92.0</v>
      </c>
      <c r="R101" s="712" t="s">
        <v>166</v>
      </c>
      <c r="S101" s="712" t="s">
        <v>6094</v>
      </c>
      <c r="T101" s="712" t="s">
        <v>6113</v>
      </c>
      <c r="U101" s="712">
        <v>1.0</v>
      </c>
      <c r="V101" s="712" t="s">
        <v>6136</v>
      </c>
      <c r="W101" s="712">
        <v>4.0</v>
      </c>
      <c r="X101" s="712" t="s">
        <v>166</v>
      </c>
      <c r="Y101" s="712" t="s">
        <v>166</v>
      </c>
      <c r="Z101" s="712" t="s">
        <v>6126</v>
      </c>
      <c r="AA101" s="712">
        <v>8.0</v>
      </c>
      <c r="AB101" s="712" t="s">
        <v>6155</v>
      </c>
      <c r="AC101" s="712">
        <v>4.0</v>
      </c>
      <c r="AD101" s="773" t="s">
        <v>6156</v>
      </c>
      <c r="AE101" s="712">
        <v>5.0</v>
      </c>
      <c r="AF101" s="721"/>
      <c r="AG101" s="770"/>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c r="BE101" s="66"/>
      <c r="BF101" s="66"/>
      <c r="BG101" s="66"/>
      <c r="BH101" s="66"/>
      <c r="BI101" s="66"/>
      <c r="BJ101" s="66"/>
      <c r="BK101" s="66"/>
      <c r="BL101" s="66"/>
      <c r="BM101" s="66"/>
    </row>
    <row r="102">
      <c r="A102" s="174" t="s">
        <v>6271</v>
      </c>
      <c r="B102" s="174" t="s">
        <v>6272</v>
      </c>
      <c r="C102" s="48" t="s">
        <v>324</v>
      </c>
      <c r="D102" s="48">
        <v>250.0</v>
      </c>
      <c r="E102" s="48" t="s">
        <v>6078</v>
      </c>
      <c r="F102" s="48" t="s">
        <v>166</v>
      </c>
      <c r="G102" s="48" t="s">
        <v>6145</v>
      </c>
      <c r="H102" s="48" t="s">
        <v>166</v>
      </c>
      <c r="I102" s="48" t="s">
        <v>166</v>
      </c>
      <c r="J102" s="48" t="s">
        <v>166</v>
      </c>
      <c r="K102" s="48" t="s">
        <v>166</v>
      </c>
      <c r="L102" s="48" t="s">
        <v>166</v>
      </c>
      <c r="M102" s="48" t="s">
        <v>166</v>
      </c>
      <c r="N102" s="48" t="s">
        <v>166</v>
      </c>
      <c r="O102" s="48" t="s">
        <v>166</v>
      </c>
      <c r="P102" s="48" t="s">
        <v>6125</v>
      </c>
      <c r="Q102" s="48">
        <v>80.0</v>
      </c>
      <c r="R102" s="48" t="s">
        <v>166</v>
      </c>
      <c r="S102" s="48">
        <v>1.0</v>
      </c>
      <c r="T102" s="48">
        <v>1.0</v>
      </c>
      <c r="U102" s="48" t="s">
        <v>6146</v>
      </c>
      <c r="V102" s="48" t="s">
        <v>166</v>
      </c>
      <c r="W102" s="48" t="s">
        <v>166</v>
      </c>
      <c r="X102" s="48" t="s">
        <v>166</v>
      </c>
      <c r="Y102" s="48" t="s">
        <v>166</v>
      </c>
      <c r="Z102" s="48">
        <v>1.0</v>
      </c>
      <c r="AA102" s="48">
        <v>2.0</v>
      </c>
      <c r="AB102" s="48">
        <v>1.0</v>
      </c>
      <c r="AC102" s="48">
        <v>2.0</v>
      </c>
      <c r="AD102" s="182" t="s">
        <v>6156</v>
      </c>
      <c r="AE102" s="48">
        <v>3.0</v>
      </c>
      <c r="AF102" s="698" t="s">
        <v>6273</v>
      </c>
      <c r="AG102" s="758"/>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c r="BM102" s="66"/>
    </row>
    <row r="103">
      <c r="A103" s="174" t="s">
        <v>6271</v>
      </c>
      <c r="B103" s="174" t="s">
        <v>6274</v>
      </c>
      <c r="C103" s="48" t="s">
        <v>324</v>
      </c>
      <c r="D103" s="48">
        <v>350.0</v>
      </c>
      <c r="E103" s="48" t="s">
        <v>6078</v>
      </c>
      <c r="F103" s="48" t="s">
        <v>166</v>
      </c>
      <c r="G103" s="48" t="s">
        <v>6145</v>
      </c>
      <c r="H103" s="182" t="s">
        <v>214</v>
      </c>
      <c r="I103" s="48" t="s">
        <v>166</v>
      </c>
      <c r="J103" s="48" t="s">
        <v>6145</v>
      </c>
      <c r="K103" s="48" t="s">
        <v>166</v>
      </c>
      <c r="L103" s="48" t="s">
        <v>6158</v>
      </c>
      <c r="M103" s="182" t="s">
        <v>214</v>
      </c>
      <c r="N103" s="48" t="s">
        <v>166</v>
      </c>
      <c r="O103" s="48" t="s">
        <v>166</v>
      </c>
      <c r="P103" s="48" t="s">
        <v>6125</v>
      </c>
      <c r="Q103" s="48">
        <v>80.0</v>
      </c>
      <c r="R103" s="48" t="s">
        <v>166</v>
      </c>
      <c r="S103" s="48" t="s">
        <v>6099</v>
      </c>
      <c r="T103" s="48" t="s">
        <v>6094</v>
      </c>
      <c r="U103" s="48">
        <v>1.0</v>
      </c>
      <c r="V103" s="48" t="s">
        <v>6094</v>
      </c>
      <c r="W103" s="48">
        <v>1.0</v>
      </c>
      <c r="X103" s="48" t="s">
        <v>166</v>
      </c>
      <c r="Y103" s="48" t="s">
        <v>166</v>
      </c>
      <c r="Z103" s="48" t="s">
        <v>6109</v>
      </c>
      <c r="AA103" s="48">
        <v>2.0</v>
      </c>
      <c r="AB103" s="48" t="s">
        <v>6109</v>
      </c>
      <c r="AC103" s="48">
        <v>2.0</v>
      </c>
      <c r="AD103" s="182" t="s">
        <v>6156</v>
      </c>
      <c r="AE103" s="48">
        <v>3.0</v>
      </c>
      <c r="AF103" s="699"/>
      <c r="AG103" s="758"/>
      <c r="AH103" s="66"/>
      <c r="AI103" s="66"/>
      <c r="AJ103" s="66"/>
      <c r="AK103" s="66"/>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c r="BM103" s="66"/>
    </row>
    <row r="104">
      <c r="A104" s="291" t="s">
        <v>6271</v>
      </c>
      <c r="B104" s="291" t="s">
        <v>6275</v>
      </c>
      <c r="C104" s="700" t="s">
        <v>324</v>
      </c>
      <c r="D104" s="700">
        <v>450.0</v>
      </c>
      <c r="E104" s="700" t="s">
        <v>6078</v>
      </c>
      <c r="F104" s="700" t="s">
        <v>166</v>
      </c>
      <c r="G104" s="700" t="s">
        <v>6145</v>
      </c>
      <c r="H104" s="760" t="s">
        <v>214</v>
      </c>
      <c r="I104" s="700" t="s">
        <v>166</v>
      </c>
      <c r="J104" s="700" t="s">
        <v>166</v>
      </c>
      <c r="K104" s="700" t="s">
        <v>166</v>
      </c>
      <c r="L104" s="700" t="s">
        <v>6087</v>
      </c>
      <c r="M104" s="760" t="s">
        <v>214</v>
      </c>
      <c r="N104" s="700" t="s">
        <v>166</v>
      </c>
      <c r="O104" s="700" t="s">
        <v>166</v>
      </c>
      <c r="P104" s="700" t="s">
        <v>6125</v>
      </c>
      <c r="Q104" s="700">
        <v>80.0</v>
      </c>
      <c r="R104" s="700" t="s">
        <v>166</v>
      </c>
      <c r="S104" s="700" t="s">
        <v>6276</v>
      </c>
      <c r="T104" s="700" t="s">
        <v>6094</v>
      </c>
      <c r="U104" s="700">
        <v>1.0</v>
      </c>
      <c r="V104" s="700" t="s">
        <v>6277</v>
      </c>
      <c r="W104" s="700">
        <v>2.0</v>
      </c>
      <c r="X104" s="700" t="s">
        <v>166</v>
      </c>
      <c r="Y104" s="700" t="s">
        <v>166</v>
      </c>
      <c r="Z104" s="700" t="s">
        <v>6136</v>
      </c>
      <c r="AA104" s="700">
        <v>4.0</v>
      </c>
      <c r="AB104" s="700" t="s">
        <v>6136</v>
      </c>
      <c r="AC104" s="700">
        <v>2.0</v>
      </c>
      <c r="AD104" s="760" t="s">
        <v>6156</v>
      </c>
      <c r="AE104" s="700">
        <v>3.0</v>
      </c>
      <c r="AF104" s="704"/>
      <c r="AG104" s="763"/>
      <c r="AH104" s="66"/>
      <c r="AI104" s="66"/>
      <c r="AJ104" s="66"/>
      <c r="AK104" s="66"/>
      <c r="AL104" s="66"/>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c r="BI104" s="66"/>
      <c r="BJ104" s="66"/>
      <c r="BK104" s="66"/>
      <c r="BL104" s="66"/>
      <c r="BM104" s="66"/>
    </row>
    <row r="105">
      <c r="A105" s="174" t="s">
        <v>942</v>
      </c>
      <c r="B105" s="174" t="s">
        <v>6278</v>
      </c>
      <c r="C105" s="48" t="s">
        <v>324</v>
      </c>
      <c r="D105" s="48">
        <v>750.0</v>
      </c>
      <c r="E105" s="48" t="s">
        <v>6078</v>
      </c>
      <c r="F105" s="48" t="s">
        <v>166</v>
      </c>
      <c r="G105" s="48" t="s">
        <v>2965</v>
      </c>
      <c r="H105" s="783" t="s">
        <v>214</v>
      </c>
      <c r="I105" s="48" t="s">
        <v>2966</v>
      </c>
      <c r="J105" s="48" t="s">
        <v>2966</v>
      </c>
      <c r="K105" s="48" t="s">
        <v>6087</v>
      </c>
      <c r="L105" s="48" t="s">
        <v>6087</v>
      </c>
      <c r="M105" s="182" t="s">
        <v>214</v>
      </c>
      <c r="N105" s="48" t="s">
        <v>174</v>
      </c>
      <c r="O105" s="48" t="s">
        <v>174</v>
      </c>
      <c r="P105" s="48" t="s">
        <v>6092</v>
      </c>
      <c r="Q105" s="48">
        <v>92.0</v>
      </c>
      <c r="R105" s="48" t="s">
        <v>166</v>
      </c>
      <c r="S105" s="48" t="s">
        <v>6099</v>
      </c>
      <c r="T105" s="48" t="s">
        <v>6095</v>
      </c>
      <c r="U105" s="48">
        <v>2.0</v>
      </c>
      <c r="V105" s="48" t="s">
        <v>6279</v>
      </c>
      <c r="W105" s="48">
        <v>3.0</v>
      </c>
      <c r="X105" s="48" t="s">
        <v>166</v>
      </c>
      <c r="Y105" s="48" t="s">
        <v>166</v>
      </c>
      <c r="Z105" s="48" t="s">
        <v>6102</v>
      </c>
      <c r="AA105" s="48">
        <v>8.0</v>
      </c>
      <c r="AB105" s="48" t="s">
        <v>6103</v>
      </c>
      <c r="AC105" s="48">
        <v>4.0</v>
      </c>
      <c r="AD105" s="182" t="s">
        <v>6085</v>
      </c>
      <c r="AE105" s="48">
        <v>5.0</v>
      </c>
      <c r="AF105" s="699"/>
      <c r="AG105" s="182" t="s">
        <v>214</v>
      </c>
      <c r="AH105" s="66"/>
      <c r="AI105" s="66"/>
      <c r="AJ105" s="66"/>
      <c r="AK105" s="66"/>
      <c r="AL105" s="66"/>
      <c r="AM105" s="66"/>
      <c r="AN105" s="66"/>
      <c r="AO105" s="66"/>
      <c r="AP105" s="66"/>
      <c r="AQ105" s="66"/>
      <c r="AR105" s="66"/>
      <c r="AS105" s="66"/>
      <c r="AT105" s="66"/>
      <c r="AU105" s="66"/>
      <c r="AV105" s="66"/>
      <c r="AW105" s="66"/>
      <c r="AX105" s="66"/>
      <c r="AY105" s="66"/>
      <c r="AZ105" s="66"/>
      <c r="BA105" s="66"/>
      <c r="BB105" s="66"/>
      <c r="BC105" s="66"/>
      <c r="BD105" s="66"/>
      <c r="BE105" s="66"/>
      <c r="BF105" s="66"/>
      <c r="BG105" s="66"/>
      <c r="BH105" s="66"/>
      <c r="BI105" s="66"/>
      <c r="BJ105" s="66"/>
      <c r="BK105" s="66"/>
      <c r="BL105" s="66"/>
      <c r="BM105" s="66"/>
    </row>
    <row r="106">
      <c r="A106" s="291" t="s">
        <v>942</v>
      </c>
      <c r="B106" s="714" t="s">
        <v>6280</v>
      </c>
      <c r="C106" s="700" t="s">
        <v>324</v>
      </c>
      <c r="D106" s="700">
        <v>850.0</v>
      </c>
      <c r="E106" s="700" t="s">
        <v>6078</v>
      </c>
      <c r="F106" s="700" t="s">
        <v>166</v>
      </c>
      <c r="G106" s="700" t="s">
        <v>2965</v>
      </c>
      <c r="H106" s="760" t="s">
        <v>214</v>
      </c>
      <c r="I106" s="700" t="s">
        <v>2966</v>
      </c>
      <c r="J106" s="700" t="s">
        <v>2966</v>
      </c>
      <c r="K106" s="700" t="s">
        <v>6087</v>
      </c>
      <c r="L106" s="700" t="s">
        <v>6087</v>
      </c>
      <c r="M106" s="773" t="s">
        <v>214</v>
      </c>
      <c r="N106" s="700" t="s">
        <v>174</v>
      </c>
      <c r="O106" s="700" t="s">
        <v>174</v>
      </c>
      <c r="P106" s="700" t="s">
        <v>6191</v>
      </c>
      <c r="Q106" s="700">
        <v>92.0</v>
      </c>
      <c r="R106" s="700" t="s">
        <v>166</v>
      </c>
      <c r="S106" s="700" t="s">
        <v>6099</v>
      </c>
      <c r="T106" s="700" t="s">
        <v>6136</v>
      </c>
      <c r="U106" s="700">
        <v>2.0</v>
      </c>
      <c r="V106" s="700" t="s">
        <v>6279</v>
      </c>
      <c r="W106" s="700">
        <v>3.0</v>
      </c>
      <c r="X106" s="700" t="s">
        <v>166</v>
      </c>
      <c r="Y106" s="700" t="s">
        <v>166</v>
      </c>
      <c r="Z106" s="700" t="s">
        <v>6102</v>
      </c>
      <c r="AA106" s="700">
        <v>8.0</v>
      </c>
      <c r="AB106" s="700" t="s">
        <v>6103</v>
      </c>
      <c r="AC106" s="700">
        <v>4.0</v>
      </c>
      <c r="AD106" s="760" t="s">
        <v>6085</v>
      </c>
      <c r="AE106" s="700">
        <v>5.0</v>
      </c>
      <c r="AF106" s="703" t="s">
        <v>6281</v>
      </c>
      <c r="AG106" s="760" t="s">
        <v>214</v>
      </c>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row>
    <row r="107">
      <c r="A107" s="737" t="s">
        <v>6282</v>
      </c>
      <c r="B107" s="737" t="s">
        <v>6283</v>
      </c>
      <c r="C107" s="722" t="s">
        <v>324</v>
      </c>
      <c r="D107" s="722">
        <v>750.0</v>
      </c>
      <c r="E107" s="722" t="s">
        <v>6078</v>
      </c>
      <c r="F107" s="722" t="s">
        <v>174</v>
      </c>
      <c r="G107" s="722" t="s">
        <v>2965</v>
      </c>
      <c r="H107" s="722" t="s">
        <v>166</v>
      </c>
      <c r="I107" s="48" t="s">
        <v>166</v>
      </c>
      <c r="J107" s="48" t="s">
        <v>166</v>
      </c>
      <c r="K107" s="48" t="s">
        <v>166</v>
      </c>
      <c r="L107" s="48" t="s">
        <v>166</v>
      </c>
      <c r="M107" s="48" t="s">
        <v>166</v>
      </c>
      <c r="N107" s="48" t="s">
        <v>174</v>
      </c>
      <c r="O107" s="722" t="s">
        <v>170</v>
      </c>
      <c r="P107" s="722" t="s">
        <v>170</v>
      </c>
      <c r="Q107" s="722">
        <v>92.0</v>
      </c>
      <c r="R107" s="722" t="s">
        <v>166</v>
      </c>
      <c r="S107" s="722">
        <v>1.0</v>
      </c>
      <c r="T107" s="722">
        <v>2.0</v>
      </c>
      <c r="U107" s="722">
        <v>2.0</v>
      </c>
      <c r="V107" s="722">
        <v>1.0</v>
      </c>
      <c r="W107" s="722">
        <v>2.0</v>
      </c>
      <c r="X107" s="722">
        <v>1.0</v>
      </c>
      <c r="Y107" s="722" t="s">
        <v>6284</v>
      </c>
      <c r="Z107" s="722">
        <v>2.0</v>
      </c>
      <c r="AA107" s="722">
        <v>8.0</v>
      </c>
      <c r="AB107" s="722">
        <v>1.0</v>
      </c>
      <c r="AC107" s="722">
        <v>4.0</v>
      </c>
      <c r="AD107" s="784" t="s">
        <v>170</v>
      </c>
      <c r="AE107" s="722">
        <v>5.0</v>
      </c>
      <c r="AF107" s="725"/>
      <c r="AG107" s="785"/>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row>
    <row r="108">
      <c r="A108" s="291" t="s">
        <v>6282</v>
      </c>
      <c r="B108" s="291" t="s">
        <v>6285</v>
      </c>
      <c r="C108" s="700" t="s">
        <v>324</v>
      </c>
      <c r="D108" s="700">
        <v>850.0</v>
      </c>
      <c r="E108" s="700" t="s">
        <v>6078</v>
      </c>
      <c r="F108" s="700" t="s">
        <v>174</v>
      </c>
      <c r="G108" s="700" t="s">
        <v>2965</v>
      </c>
      <c r="H108" s="700" t="s">
        <v>166</v>
      </c>
      <c r="I108" s="700" t="s">
        <v>166</v>
      </c>
      <c r="J108" s="700" t="s">
        <v>166</v>
      </c>
      <c r="K108" s="700" t="s">
        <v>166</v>
      </c>
      <c r="L108" s="700" t="s">
        <v>166</v>
      </c>
      <c r="M108" s="700" t="s">
        <v>166</v>
      </c>
      <c r="N108" s="700" t="s">
        <v>174</v>
      </c>
      <c r="O108" s="700" t="s">
        <v>170</v>
      </c>
      <c r="P108" s="700" t="s">
        <v>170</v>
      </c>
      <c r="Q108" s="700">
        <v>92.0</v>
      </c>
      <c r="R108" s="700" t="s">
        <v>166</v>
      </c>
      <c r="S108" s="700">
        <v>1.0</v>
      </c>
      <c r="T108" s="700">
        <v>2.0</v>
      </c>
      <c r="U108" s="700">
        <v>2.0</v>
      </c>
      <c r="V108" s="700">
        <v>1.0</v>
      </c>
      <c r="W108" s="700">
        <v>2.0</v>
      </c>
      <c r="X108" s="700">
        <v>1.0</v>
      </c>
      <c r="Y108" s="700" t="s">
        <v>6286</v>
      </c>
      <c r="Z108" s="700">
        <v>2.0</v>
      </c>
      <c r="AA108" s="700">
        <v>8.0</v>
      </c>
      <c r="AB108" s="700">
        <v>1.0</v>
      </c>
      <c r="AC108" s="700">
        <v>4.0</v>
      </c>
      <c r="AD108" s="786" t="s">
        <v>170</v>
      </c>
      <c r="AE108" s="700">
        <v>5.0</v>
      </c>
      <c r="AF108" s="703"/>
      <c r="AG108" s="787"/>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row>
    <row r="109">
      <c r="A109" s="174" t="s">
        <v>1427</v>
      </c>
      <c r="B109" s="174" t="s">
        <v>6287</v>
      </c>
      <c r="C109" s="48" t="s">
        <v>324</v>
      </c>
      <c r="D109" s="48">
        <v>650.0</v>
      </c>
      <c r="E109" s="48" t="s">
        <v>6078</v>
      </c>
      <c r="F109" s="48" t="s">
        <v>166</v>
      </c>
      <c r="G109" s="48" t="s">
        <v>2965</v>
      </c>
      <c r="H109" s="48" t="s">
        <v>166</v>
      </c>
      <c r="I109" s="48" t="s">
        <v>166</v>
      </c>
      <c r="J109" s="48" t="s">
        <v>166</v>
      </c>
      <c r="K109" s="48" t="s">
        <v>166</v>
      </c>
      <c r="L109" s="48" t="s">
        <v>166</v>
      </c>
      <c r="M109" s="48" t="s">
        <v>166</v>
      </c>
      <c r="N109" s="48" t="s">
        <v>174</v>
      </c>
      <c r="O109" s="48" t="s">
        <v>166</v>
      </c>
      <c r="P109" s="48" t="s">
        <v>6125</v>
      </c>
      <c r="Q109" s="48">
        <v>92.0</v>
      </c>
      <c r="R109" s="48" t="s">
        <v>174</v>
      </c>
      <c r="S109" s="48">
        <v>1.0</v>
      </c>
      <c r="T109" s="48">
        <v>1.0</v>
      </c>
      <c r="U109" s="48">
        <v>2.0</v>
      </c>
      <c r="V109" s="48">
        <v>2.0</v>
      </c>
      <c r="W109" s="48">
        <v>4.0</v>
      </c>
      <c r="X109" s="48" t="s">
        <v>166</v>
      </c>
      <c r="Y109" s="48" t="s">
        <v>166</v>
      </c>
      <c r="Z109" s="48">
        <v>2.0</v>
      </c>
      <c r="AA109" s="48">
        <v>6.0</v>
      </c>
      <c r="AB109" s="48">
        <v>1.0</v>
      </c>
      <c r="AC109" s="48">
        <v>3.0</v>
      </c>
      <c r="AD109" s="182" t="s">
        <v>6200</v>
      </c>
      <c r="AE109" s="48">
        <v>7.0</v>
      </c>
      <c r="AF109" s="699"/>
      <c r="AG109" s="758"/>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row>
    <row r="110">
      <c r="A110" s="290" t="s">
        <v>1427</v>
      </c>
      <c r="B110" s="290" t="s">
        <v>6288</v>
      </c>
      <c r="C110" s="712" t="s">
        <v>324</v>
      </c>
      <c r="D110" s="712">
        <v>750.0</v>
      </c>
      <c r="E110" s="712" t="s">
        <v>6078</v>
      </c>
      <c r="F110" s="712" t="s">
        <v>166</v>
      </c>
      <c r="G110" s="712" t="s">
        <v>2965</v>
      </c>
      <c r="H110" s="773" t="s">
        <v>214</v>
      </c>
      <c r="I110" s="712" t="s">
        <v>166</v>
      </c>
      <c r="J110" s="712" t="s">
        <v>166</v>
      </c>
      <c r="K110" s="712" t="s">
        <v>166</v>
      </c>
      <c r="L110" s="712" t="s">
        <v>166</v>
      </c>
      <c r="M110" s="712" t="s">
        <v>166</v>
      </c>
      <c r="N110" s="712" t="s">
        <v>174</v>
      </c>
      <c r="O110" s="712" t="s">
        <v>166</v>
      </c>
      <c r="P110" s="712" t="s">
        <v>6125</v>
      </c>
      <c r="Q110" s="712">
        <v>92.0</v>
      </c>
      <c r="R110" s="712" t="s">
        <v>174</v>
      </c>
      <c r="S110" s="712" t="s">
        <v>6099</v>
      </c>
      <c r="T110" s="712" t="s">
        <v>6096</v>
      </c>
      <c r="U110" s="712">
        <v>2.0</v>
      </c>
      <c r="V110" s="712" t="s">
        <v>6134</v>
      </c>
      <c r="W110" s="712">
        <v>4.0</v>
      </c>
      <c r="X110" s="712" t="s">
        <v>166</v>
      </c>
      <c r="Y110" s="712" t="s">
        <v>166</v>
      </c>
      <c r="Z110" s="712" t="s">
        <v>6148</v>
      </c>
      <c r="AA110" s="712">
        <v>6.0</v>
      </c>
      <c r="AB110" s="712" t="s">
        <v>6113</v>
      </c>
      <c r="AC110" s="712">
        <v>3.0</v>
      </c>
      <c r="AD110" s="773" t="s">
        <v>6200</v>
      </c>
      <c r="AE110" s="712">
        <v>7.0</v>
      </c>
      <c r="AF110" s="717"/>
      <c r="AG110" s="712"/>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row>
    <row r="111">
      <c r="A111" s="290" t="s">
        <v>1708</v>
      </c>
      <c r="B111" s="290" t="s">
        <v>6289</v>
      </c>
      <c r="C111" s="712" t="s">
        <v>324</v>
      </c>
      <c r="D111" s="712">
        <v>500.0</v>
      </c>
      <c r="E111" s="712" t="s">
        <v>6078</v>
      </c>
      <c r="F111" s="712" t="s">
        <v>166</v>
      </c>
      <c r="G111" s="712" t="s">
        <v>6145</v>
      </c>
      <c r="H111" s="773" t="s">
        <v>214</v>
      </c>
      <c r="I111" s="712" t="s">
        <v>166</v>
      </c>
      <c r="J111" s="712" t="s">
        <v>166</v>
      </c>
      <c r="K111" s="712" t="s">
        <v>166</v>
      </c>
      <c r="L111" s="712" t="s">
        <v>166</v>
      </c>
      <c r="M111" s="712" t="s">
        <v>166</v>
      </c>
      <c r="N111" s="712" t="s">
        <v>166</v>
      </c>
      <c r="O111" s="712" t="s">
        <v>166</v>
      </c>
      <c r="P111" s="712" t="s">
        <v>6125</v>
      </c>
      <c r="Q111" s="712">
        <v>92.0</v>
      </c>
      <c r="R111" s="712" t="s">
        <v>166</v>
      </c>
      <c r="S111" s="712" t="s">
        <v>6094</v>
      </c>
      <c r="T111" s="712" t="s">
        <v>6094</v>
      </c>
      <c r="U111" s="712">
        <v>1.0</v>
      </c>
      <c r="V111" s="712" t="s">
        <v>6290</v>
      </c>
      <c r="W111" s="712">
        <v>2.0</v>
      </c>
      <c r="X111" s="712" t="s">
        <v>166</v>
      </c>
      <c r="Y111" s="712" t="s">
        <v>166</v>
      </c>
      <c r="Z111" s="712" t="s">
        <v>6148</v>
      </c>
      <c r="AA111" s="712">
        <v>3.0</v>
      </c>
      <c r="AB111" s="712" t="s">
        <v>6148</v>
      </c>
      <c r="AC111" s="712">
        <v>3.0</v>
      </c>
      <c r="AD111" s="773" t="s">
        <v>6200</v>
      </c>
      <c r="AE111" s="712" t="s">
        <v>170</v>
      </c>
      <c r="AF111" s="721"/>
      <c r="AG111" s="770"/>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row>
    <row r="112">
      <c r="A112" s="282" t="s">
        <v>1085</v>
      </c>
      <c r="B112" s="282" t="s">
        <v>6291</v>
      </c>
      <c r="C112" s="705" t="s">
        <v>324</v>
      </c>
      <c r="D112" s="705">
        <v>650.0</v>
      </c>
      <c r="E112" s="705" t="s">
        <v>6078</v>
      </c>
      <c r="F112" s="705" t="s">
        <v>166</v>
      </c>
      <c r="G112" s="705" t="s">
        <v>2965</v>
      </c>
      <c r="H112" s="182" t="s">
        <v>214</v>
      </c>
      <c r="I112" s="705" t="s">
        <v>166</v>
      </c>
      <c r="J112" s="705" t="s">
        <v>166</v>
      </c>
      <c r="K112" s="705" t="s">
        <v>166</v>
      </c>
      <c r="L112" s="705" t="s">
        <v>166</v>
      </c>
      <c r="M112" s="705" t="s">
        <v>166</v>
      </c>
      <c r="N112" s="705" t="s">
        <v>174</v>
      </c>
      <c r="O112" s="705" t="s">
        <v>174</v>
      </c>
      <c r="P112" s="771">
        <v>0.3</v>
      </c>
      <c r="Q112" s="705">
        <v>92.0</v>
      </c>
      <c r="R112" s="705" t="s">
        <v>174</v>
      </c>
      <c r="S112" s="705" t="s">
        <v>6080</v>
      </c>
      <c r="T112" s="705" t="s">
        <v>6181</v>
      </c>
      <c r="U112" s="705">
        <v>2.0</v>
      </c>
      <c r="V112" s="705" t="s">
        <v>6148</v>
      </c>
      <c r="W112" s="705">
        <v>4.0</v>
      </c>
      <c r="X112" s="705" t="s">
        <v>166</v>
      </c>
      <c r="Y112" s="705" t="s">
        <v>166</v>
      </c>
      <c r="Z112" s="705" t="s">
        <v>6292</v>
      </c>
      <c r="AA112" s="705">
        <v>11.0</v>
      </c>
      <c r="AB112" s="705" t="s">
        <v>6109</v>
      </c>
      <c r="AC112" s="705">
        <v>1.0</v>
      </c>
      <c r="AD112" s="759" t="s">
        <v>6219</v>
      </c>
      <c r="AE112" s="705">
        <v>10.0</v>
      </c>
      <c r="AF112" s="720"/>
      <c r="AG112" s="766"/>
      <c r="AH112" s="66"/>
      <c r="AI112" s="66"/>
      <c r="AJ112" s="66"/>
      <c r="AK112" s="66"/>
      <c r="AL112" s="66"/>
      <c r="AM112" s="66"/>
      <c r="AN112" s="66"/>
      <c r="AO112" s="66"/>
      <c r="AP112" s="66"/>
      <c r="AQ112" s="66"/>
      <c r="AR112" s="66"/>
      <c r="AS112" s="66"/>
      <c r="AT112" s="66"/>
      <c r="AU112" s="66"/>
      <c r="AV112" s="66"/>
      <c r="AW112" s="66"/>
      <c r="AX112" s="66"/>
      <c r="AY112" s="66"/>
      <c r="AZ112" s="66"/>
      <c r="BA112" s="66"/>
      <c r="BB112" s="66"/>
      <c r="BC112" s="66"/>
      <c r="BD112" s="66"/>
      <c r="BE112" s="66"/>
      <c r="BF112" s="66"/>
      <c r="BG112" s="66"/>
      <c r="BH112" s="66"/>
      <c r="BI112" s="66"/>
      <c r="BJ112" s="66"/>
      <c r="BK112" s="66"/>
      <c r="BL112" s="66"/>
      <c r="BM112" s="66"/>
    </row>
    <row r="113">
      <c r="A113" s="174" t="s">
        <v>1085</v>
      </c>
      <c r="B113" s="174" t="s">
        <v>6293</v>
      </c>
      <c r="C113" s="48" t="s">
        <v>324</v>
      </c>
      <c r="D113" s="48">
        <v>750.0</v>
      </c>
      <c r="E113" s="48" t="s">
        <v>6078</v>
      </c>
      <c r="F113" s="48" t="s">
        <v>166</v>
      </c>
      <c r="G113" s="48" t="s">
        <v>2965</v>
      </c>
      <c r="H113" s="182" t="s">
        <v>214</v>
      </c>
      <c r="I113" s="48" t="s">
        <v>166</v>
      </c>
      <c r="J113" s="48" t="s">
        <v>166</v>
      </c>
      <c r="K113" s="48" t="s">
        <v>166</v>
      </c>
      <c r="L113" s="48" t="s">
        <v>166</v>
      </c>
      <c r="M113" s="48" t="s">
        <v>166</v>
      </c>
      <c r="N113" s="48" t="s">
        <v>174</v>
      </c>
      <c r="O113" s="48" t="s">
        <v>174</v>
      </c>
      <c r="P113" s="782">
        <v>0.3</v>
      </c>
      <c r="Q113" s="48">
        <v>92.0</v>
      </c>
      <c r="R113" s="48" t="s">
        <v>174</v>
      </c>
      <c r="S113" s="48" t="s">
        <v>6080</v>
      </c>
      <c r="T113" s="48" t="s">
        <v>6181</v>
      </c>
      <c r="U113" s="48">
        <v>2.0</v>
      </c>
      <c r="V113" s="48" t="s">
        <v>6148</v>
      </c>
      <c r="W113" s="48">
        <v>4.0</v>
      </c>
      <c r="X113" s="48" t="s">
        <v>166</v>
      </c>
      <c r="Y113" s="48" t="s">
        <v>166</v>
      </c>
      <c r="Z113" s="48" t="s">
        <v>6292</v>
      </c>
      <c r="AA113" s="48">
        <v>11.0</v>
      </c>
      <c r="AB113" s="48" t="s">
        <v>6109</v>
      </c>
      <c r="AC113" s="48">
        <v>1.0</v>
      </c>
      <c r="AD113" s="182" t="s">
        <v>6219</v>
      </c>
      <c r="AE113" s="48">
        <v>10.0</v>
      </c>
      <c r="AF113" s="699"/>
      <c r="AG113" s="758"/>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row>
    <row r="114">
      <c r="A114" s="174" t="s">
        <v>1085</v>
      </c>
      <c r="B114" s="174" t="s">
        <v>6294</v>
      </c>
      <c r="C114" s="48" t="s">
        <v>324</v>
      </c>
      <c r="D114" s="48">
        <v>750.0</v>
      </c>
      <c r="E114" s="48" t="s">
        <v>6078</v>
      </c>
      <c r="F114" s="48" t="s">
        <v>166</v>
      </c>
      <c r="G114" s="48" t="s">
        <v>2966</v>
      </c>
      <c r="H114" s="182" t="s">
        <v>214</v>
      </c>
      <c r="I114" s="48" t="s">
        <v>166</v>
      </c>
      <c r="J114" s="48" t="s">
        <v>166</v>
      </c>
      <c r="K114" s="48" t="s">
        <v>166</v>
      </c>
      <c r="L114" s="48" t="s">
        <v>166</v>
      </c>
      <c r="M114" s="48" t="s">
        <v>166</v>
      </c>
      <c r="N114" s="48" t="s">
        <v>174</v>
      </c>
      <c r="O114" s="48" t="s">
        <v>174</v>
      </c>
      <c r="P114" s="782">
        <v>0.3</v>
      </c>
      <c r="Q114" s="48">
        <v>92.0</v>
      </c>
      <c r="R114" s="48" t="s">
        <v>174</v>
      </c>
      <c r="S114" s="48" t="s">
        <v>6080</v>
      </c>
      <c r="T114" s="48" t="s">
        <v>6181</v>
      </c>
      <c r="U114" s="48">
        <v>2.0</v>
      </c>
      <c r="V114" s="48" t="s">
        <v>6148</v>
      </c>
      <c r="W114" s="48">
        <v>4.0</v>
      </c>
      <c r="X114" s="48" t="s">
        <v>166</v>
      </c>
      <c r="Y114" s="48" t="s">
        <v>166</v>
      </c>
      <c r="Z114" s="48" t="s">
        <v>6292</v>
      </c>
      <c r="AA114" s="48">
        <v>11.0</v>
      </c>
      <c r="AB114" s="48" t="s">
        <v>6109</v>
      </c>
      <c r="AC114" s="48">
        <v>1.0</v>
      </c>
      <c r="AD114" s="182" t="s">
        <v>6219</v>
      </c>
      <c r="AE114" s="48">
        <v>10.0</v>
      </c>
      <c r="AF114" s="699"/>
      <c r="AG114" s="758"/>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row>
    <row r="115">
      <c r="A115" s="291" t="s">
        <v>1085</v>
      </c>
      <c r="B115" s="291" t="s">
        <v>6295</v>
      </c>
      <c r="C115" s="700" t="s">
        <v>324</v>
      </c>
      <c r="D115" s="700">
        <v>850.0</v>
      </c>
      <c r="E115" s="700" t="s">
        <v>6078</v>
      </c>
      <c r="F115" s="700" t="s">
        <v>174</v>
      </c>
      <c r="G115" s="700" t="s">
        <v>2966</v>
      </c>
      <c r="H115" s="760" t="s">
        <v>214</v>
      </c>
      <c r="I115" s="700" t="s">
        <v>166</v>
      </c>
      <c r="J115" s="700" t="s">
        <v>166</v>
      </c>
      <c r="K115" s="700" t="s">
        <v>166</v>
      </c>
      <c r="L115" s="700" t="s">
        <v>166</v>
      </c>
      <c r="M115" s="700" t="s">
        <v>166</v>
      </c>
      <c r="N115" s="700" t="s">
        <v>174</v>
      </c>
      <c r="O115" s="700" t="s">
        <v>174</v>
      </c>
      <c r="P115" s="779">
        <v>0.3</v>
      </c>
      <c r="Q115" s="700">
        <v>92.0</v>
      </c>
      <c r="R115" s="700" t="s">
        <v>174</v>
      </c>
      <c r="S115" s="700" t="s">
        <v>6296</v>
      </c>
      <c r="T115" s="700" t="s">
        <v>6297</v>
      </c>
      <c r="U115" s="700">
        <v>1.0</v>
      </c>
      <c r="V115" s="700" t="s">
        <v>6298</v>
      </c>
      <c r="W115" s="700">
        <v>3.0</v>
      </c>
      <c r="X115" s="700" t="s">
        <v>6207</v>
      </c>
      <c r="Y115" s="700" t="s">
        <v>6127</v>
      </c>
      <c r="Z115" s="700" t="s">
        <v>6299</v>
      </c>
      <c r="AA115" s="700">
        <v>9.0</v>
      </c>
      <c r="AB115" s="700" t="s">
        <v>6100</v>
      </c>
      <c r="AC115" s="700">
        <v>1.0</v>
      </c>
      <c r="AD115" s="760" t="s">
        <v>6156</v>
      </c>
      <c r="AE115" s="700">
        <v>10.0</v>
      </c>
      <c r="AF115" s="704"/>
      <c r="AG115" s="763"/>
      <c r="AH115" s="66"/>
      <c r="AI115" s="66"/>
      <c r="AJ115" s="66"/>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row>
    <row r="116">
      <c r="A116" s="282" t="s">
        <v>1661</v>
      </c>
      <c r="B116" s="282" t="s">
        <v>6300</v>
      </c>
      <c r="C116" s="705" t="s">
        <v>324</v>
      </c>
      <c r="D116" s="705">
        <v>450.0</v>
      </c>
      <c r="E116" s="705" t="s">
        <v>6078</v>
      </c>
      <c r="F116" s="705" t="s">
        <v>166</v>
      </c>
      <c r="G116" s="705" t="s">
        <v>6145</v>
      </c>
      <c r="H116" s="705" t="s">
        <v>166</v>
      </c>
      <c r="I116" s="705" t="s">
        <v>6145</v>
      </c>
      <c r="J116" s="705" t="s">
        <v>6145</v>
      </c>
      <c r="K116" s="705" t="s">
        <v>6142</v>
      </c>
      <c r="L116" s="705" t="s">
        <v>6158</v>
      </c>
      <c r="M116" s="759" t="s">
        <v>214</v>
      </c>
      <c r="N116" s="705" t="s">
        <v>166</v>
      </c>
      <c r="O116" s="705" t="s">
        <v>166</v>
      </c>
      <c r="P116" s="705" t="s">
        <v>6125</v>
      </c>
      <c r="Q116" s="705">
        <v>80.0</v>
      </c>
      <c r="R116" s="705" t="s">
        <v>174</v>
      </c>
      <c r="S116" s="705" t="s">
        <v>6080</v>
      </c>
      <c r="T116" s="705" t="s">
        <v>6080</v>
      </c>
      <c r="U116" s="705">
        <v>1.0</v>
      </c>
      <c r="V116" s="705" t="s">
        <v>6100</v>
      </c>
      <c r="W116" s="705">
        <v>2.0</v>
      </c>
      <c r="X116" s="705" t="s">
        <v>166</v>
      </c>
      <c r="Y116" s="705" t="s">
        <v>166</v>
      </c>
      <c r="Z116" s="705" t="s">
        <v>6113</v>
      </c>
      <c r="AA116" s="705">
        <v>3.0</v>
      </c>
      <c r="AB116" s="705" t="s">
        <v>6100</v>
      </c>
      <c r="AC116" s="705">
        <v>2.0</v>
      </c>
      <c r="AD116" s="759" t="s">
        <v>6301</v>
      </c>
      <c r="AE116" s="705">
        <v>3.0</v>
      </c>
      <c r="AF116" s="720"/>
      <c r="AG116" s="759" t="s">
        <v>214</v>
      </c>
      <c r="AH116" s="66"/>
      <c r="AI116" s="66"/>
      <c r="AJ116" s="66"/>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row>
    <row r="117">
      <c r="A117" s="291" t="s">
        <v>1661</v>
      </c>
      <c r="B117" s="291" t="s">
        <v>6302</v>
      </c>
      <c r="C117" s="700" t="s">
        <v>324</v>
      </c>
      <c r="D117" s="700">
        <v>550.0</v>
      </c>
      <c r="E117" s="700" t="s">
        <v>6078</v>
      </c>
      <c r="F117" s="700" t="s">
        <v>166</v>
      </c>
      <c r="G117" s="700" t="s">
        <v>6145</v>
      </c>
      <c r="H117" s="700" t="s">
        <v>166</v>
      </c>
      <c r="I117" s="700" t="s">
        <v>2981</v>
      </c>
      <c r="J117" s="700" t="s">
        <v>2981</v>
      </c>
      <c r="K117" s="700" t="s">
        <v>6158</v>
      </c>
      <c r="L117" s="700" t="s">
        <v>6158</v>
      </c>
      <c r="M117" s="760" t="s">
        <v>214</v>
      </c>
      <c r="N117" s="700" t="s">
        <v>166</v>
      </c>
      <c r="O117" s="700" t="s">
        <v>166</v>
      </c>
      <c r="P117" s="700" t="s">
        <v>6125</v>
      </c>
      <c r="Q117" s="700">
        <v>80.0</v>
      </c>
      <c r="R117" s="700" t="s">
        <v>174</v>
      </c>
      <c r="S117" s="700" t="s">
        <v>6080</v>
      </c>
      <c r="T117" s="700" t="s">
        <v>6080</v>
      </c>
      <c r="U117" s="700">
        <v>1.0</v>
      </c>
      <c r="V117" s="700" t="s">
        <v>6100</v>
      </c>
      <c r="W117" s="700">
        <v>2.0</v>
      </c>
      <c r="X117" s="700" t="s">
        <v>166</v>
      </c>
      <c r="Y117" s="700" t="s">
        <v>166</v>
      </c>
      <c r="Z117" s="700" t="s">
        <v>6113</v>
      </c>
      <c r="AA117" s="700">
        <v>3.0</v>
      </c>
      <c r="AB117" s="700" t="s">
        <v>6100</v>
      </c>
      <c r="AC117" s="700">
        <v>2.0</v>
      </c>
      <c r="AD117" s="760" t="s">
        <v>6301</v>
      </c>
      <c r="AE117" s="700">
        <v>3.0</v>
      </c>
      <c r="AF117" s="704"/>
      <c r="AG117" s="760" t="s">
        <v>214</v>
      </c>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row>
    <row r="118">
      <c r="A118" s="174" t="s">
        <v>6303</v>
      </c>
      <c r="B118" s="174" t="s">
        <v>6304</v>
      </c>
      <c r="C118" s="48" t="s">
        <v>324</v>
      </c>
      <c r="D118" s="48">
        <v>650.0</v>
      </c>
      <c r="E118" s="48" t="s">
        <v>6078</v>
      </c>
      <c r="F118" s="48" t="s">
        <v>166</v>
      </c>
      <c r="G118" s="48" t="s">
        <v>2965</v>
      </c>
      <c r="H118" s="182" t="s">
        <v>214</v>
      </c>
      <c r="I118" s="48" t="s">
        <v>166</v>
      </c>
      <c r="J118" s="48" t="s">
        <v>166</v>
      </c>
      <c r="K118" s="48" t="s">
        <v>166</v>
      </c>
      <c r="L118" s="48" t="s">
        <v>166</v>
      </c>
      <c r="M118" s="48" t="s">
        <v>166</v>
      </c>
      <c r="N118" s="48" t="s">
        <v>174</v>
      </c>
      <c r="O118" s="48" t="s">
        <v>174</v>
      </c>
      <c r="P118" s="782">
        <v>0.3</v>
      </c>
      <c r="Q118" s="48">
        <v>80.0</v>
      </c>
      <c r="R118" s="48" t="s">
        <v>174</v>
      </c>
      <c r="S118" s="48">
        <v>1.0</v>
      </c>
      <c r="T118" s="48">
        <v>1.0</v>
      </c>
      <c r="U118" s="48">
        <v>2.0</v>
      </c>
      <c r="V118" s="48">
        <v>2.0</v>
      </c>
      <c r="W118" s="48">
        <v>3.0</v>
      </c>
      <c r="X118" s="48" t="s">
        <v>166</v>
      </c>
      <c r="Y118" s="48" t="s">
        <v>166</v>
      </c>
      <c r="Z118" s="48">
        <v>2.0</v>
      </c>
      <c r="AA118" s="48">
        <v>8.0</v>
      </c>
      <c r="AB118" s="48">
        <v>1.0</v>
      </c>
      <c r="AC118" s="48">
        <v>4.0</v>
      </c>
      <c r="AD118" s="784" t="s">
        <v>170</v>
      </c>
      <c r="AE118" s="48" t="s">
        <v>170</v>
      </c>
      <c r="AF118" s="699"/>
      <c r="AG118" s="758"/>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row>
    <row r="119">
      <c r="A119" s="291" t="s">
        <v>6303</v>
      </c>
      <c r="B119" s="291" t="s">
        <v>6305</v>
      </c>
      <c r="C119" s="700" t="s">
        <v>324</v>
      </c>
      <c r="D119" s="700">
        <v>750.0</v>
      </c>
      <c r="E119" s="700" t="s">
        <v>6078</v>
      </c>
      <c r="F119" s="700" t="s">
        <v>166</v>
      </c>
      <c r="G119" s="700" t="s">
        <v>2966</v>
      </c>
      <c r="H119" s="760" t="s">
        <v>214</v>
      </c>
      <c r="I119" s="700" t="s">
        <v>166</v>
      </c>
      <c r="J119" s="700" t="s">
        <v>166</v>
      </c>
      <c r="K119" s="700" t="s">
        <v>166</v>
      </c>
      <c r="L119" s="700" t="s">
        <v>166</v>
      </c>
      <c r="M119" s="700" t="s">
        <v>166</v>
      </c>
      <c r="N119" s="700" t="s">
        <v>174</v>
      </c>
      <c r="O119" s="700" t="s">
        <v>174</v>
      </c>
      <c r="P119" s="779">
        <v>0.3</v>
      </c>
      <c r="Q119" s="700">
        <v>80.0</v>
      </c>
      <c r="R119" s="700" t="s">
        <v>174</v>
      </c>
      <c r="S119" s="700">
        <v>1.0</v>
      </c>
      <c r="T119" s="700">
        <v>1.0</v>
      </c>
      <c r="U119" s="700">
        <v>2.0</v>
      </c>
      <c r="V119" s="700">
        <v>2.0</v>
      </c>
      <c r="W119" s="700">
        <v>3.0</v>
      </c>
      <c r="X119" s="700" t="s">
        <v>166</v>
      </c>
      <c r="Y119" s="700" t="s">
        <v>166</v>
      </c>
      <c r="Z119" s="700">
        <v>2.0</v>
      </c>
      <c r="AA119" s="700">
        <v>8.0</v>
      </c>
      <c r="AB119" s="700">
        <v>1.0</v>
      </c>
      <c r="AC119" s="700">
        <v>4.0</v>
      </c>
      <c r="AD119" s="786" t="s">
        <v>170</v>
      </c>
      <c r="AE119" s="700" t="s">
        <v>170</v>
      </c>
      <c r="AF119" s="704"/>
      <c r="AG119" s="763"/>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row>
    <row r="120">
      <c r="A120" s="282" t="s">
        <v>1408</v>
      </c>
      <c r="B120" s="282" t="s">
        <v>6306</v>
      </c>
      <c r="C120" s="705" t="s">
        <v>324</v>
      </c>
      <c r="D120" s="705">
        <v>500.0</v>
      </c>
      <c r="E120" s="705" t="s">
        <v>6078</v>
      </c>
      <c r="F120" s="705" t="s">
        <v>166</v>
      </c>
      <c r="G120" s="705" t="s">
        <v>2965</v>
      </c>
      <c r="H120" s="759" t="s">
        <v>214</v>
      </c>
      <c r="I120" s="705" t="s">
        <v>166</v>
      </c>
      <c r="J120" s="705" t="s">
        <v>166</v>
      </c>
      <c r="K120" s="705" t="s">
        <v>166</v>
      </c>
      <c r="L120" s="705" t="s">
        <v>166</v>
      </c>
      <c r="M120" s="705" t="s">
        <v>166</v>
      </c>
      <c r="N120" s="705" t="s">
        <v>174</v>
      </c>
      <c r="O120" s="705" t="s">
        <v>166</v>
      </c>
      <c r="P120" s="705" t="s">
        <v>6125</v>
      </c>
      <c r="Q120" s="705">
        <v>92.0</v>
      </c>
      <c r="R120" s="705" t="s">
        <v>166</v>
      </c>
      <c r="S120" s="705" t="s">
        <v>6099</v>
      </c>
      <c r="T120" s="705" t="s">
        <v>6094</v>
      </c>
      <c r="U120" s="705">
        <v>1.0</v>
      </c>
      <c r="V120" s="705" t="s">
        <v>6134</v>
      </c>
      <c r="W120" s="705">
        <v>4.0</v>
      </c>
      <c r="X120" s="705" t="s">
        <v>166</v>
      </c>
      <c r="Y120" s="705" t="s">
        <v>166</v>
      </c>
      <c r="Z120" s="705" t="s">
        <v>6307</v>
      </c>
      <c r="AA120" s="705">
        <v>4.0</v>
      </c>
      <c r="AB120" s="705" t="s">
        <v>6308</v>
      </c>
      <c r="AC120" s="705">
        <v>4.0</v>
      </c>
      <c r="AD120" s="759" t="s">
        <v>1408</v>
      </c>
      <c r="AE120" s="705">
        <v>5.0</v>
      </c>
      <c r="AF120" s="720"/>
      <c r="AG120" s="7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row>
    <row r="121">
      <c r="A121" s="174" t="s">
        <v>1408</v>
      </c>
      <c r="B121" s="174" t="s">
        <v>6309</v>
      </c>
      <c r="C121" s="48" t="s">
        <v>324</v>
      </c>
      <c r="D121" s="48">
        <v>550.0</v>
      </c>
      <c r="E121" s="48" t="s">
        <v>6078</v>
      </c>
      <c r="F121" s="48" t="s">
        <v>166</v>
      </c>
      <c r="G121" s="48" t="s">
        <v>2965</v>
      </c>
      <c r="H121" s="182" t="s">
        <v>214</v>
      </c>
      <c r="I121" s="48" t="s">
        <v>166</v>
      </c>
      <c r="J121" s="48" t="s">
        <v>166</v>
      </c>
      <c r="K121" s="48" t="s">
        <v>166</v>
      </c>
      <c r="L121" s="48" t="s">
        <v>166</v>
      </c>
      <c r="M121" s="48" t="s">
        <v>166</v>
      </c>
      <c r="N121" s="48" t="s">
        <v>174</v>
      </c>
      <c r="O121" s="48" t="s">
        <v>166</v>
      </c>
      <c r="P121" s="48" t="s">
        <v>6125</v>
      </c>
      <c r="Q121" s="48">
        <v>92.0</v>
      </c>
      <c r="R121" s="48" t="s">
        <v>166</v>
      </c>
      <c r="S121" s="48" t="s">
        <v>6099</v>
      </c>
      <c r="T121" s="48" t="s">
        <v>6094</v>
      </c>
      <c r="U121" s="48">
        <v>1.0</v>
      </c>
      <c r="V121" s="48" t="s">
        <v>6134</v>
      </c>
      <c r="W121" s="48">
        <v>4.0</v>
      </c>
      <c r="X121" s="48" t="s">
        <v>166</v>
      </c>
      <c r="Y121" s="48" t="s">
        <v>166</v>
      </c>
      <c r="Z121" s="48" t="s">
        <v>6307</v>
      </c>
      <c r="AA121" s="48">
        <v>4.0</v>
      </c>
      <c r="AB121" s="48" t="s">
        <v>6308</v>
      </c>
      <c r="AC121" s="48">
        <v>4.0</v>
      </c>
      <c r="AD121" s="182" t="s">
        <v>1408</v>
      </c>
      <c r="AE121" s="48">
        <v>5.0</v>
      </c>
      <c r="AF121" s="699"/>
      <c r="AG121" s="758"/>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row>
    <row r="122">
      <c r="A122" s="174" t="s">
        <v>1408</v>
      </c>
      <c r="B122" s="174" t="s">
        <v>6310</v>
      </c>
      <c r="C122" s="48" t="s">
        <v>324</v>
      </c>
      <c r="D122" s="48">
        <v>600.0</v>
      </c>
      <c r="E122" s="48" t="s">
        <v>6078</v>
      </c>
      <c r="F122" s="48" t="s">
        <v>166</v>
      </c>
      <c r="G122" s="48" t="s">
        <v>2965</v>
      </c>
      <c r="H122" s="182" t="s">
        <v>214</v>
      </c>
      <c r="I122" s="48" t="s">
        <v>166</v>
      </c>
      <c r="J122" s="48" t="s">
        <v>166</v>
      </c>
      <c r="K122" s="48" t="s">
        <v>166</v>
      </c>
      <c r="L122" s="48" t="s">
        <v>166</v>
      </c>
      <c r="M122" s="48" t="s">
        <v>166</v>
      </c>
      <c r="N122" s="48" t="s">
        <v>174</v>
      </c>
      <c r="O122" s="48" t="s">
        <v>166</v>
      </c>
      <c r="P122" s="48" t="s">
        <v>6125</v>
      </c>
      <c r="Q122" s="48">
        <v>92.0</v>
      </c>
      <c r="R122" s="48" t="s">
        <v>166</v>
      </c>
      <c r="S122" s="48" t="s">
        <v>6099</v>
      </c>
      <c r="T122" s="48" t="s">
        <v>6181</v>
      </c>
      <c r="U122" s="48">
        <v>2.0</v>
      </c>
      <c r="V122" s="48" t="s">
        <v>6134</v>
      </c>
      <c r="W122" s="48">
        <v>4.0</v>
      </c>
      <c r="X122" s="48" t="s">
        <v>166</v>
      </c>
      <c r="Y122" s="48" t="s">
        <v>166</v>
      </c>
      <c r="Z122" s="48" t="s">
        <v>6307</v>
      </c>
      <c r="AA122" s="48">
        <v>4.0</v>
      </c>
      <c r="AB122" s="48" t="s">
        <v>6308</v>
      </c>
      <c r="AC122" s="48">
        <v>4.0</v>
      </c>
      <c r="AD122" s="182" t="s">
        <v>1408</v>
      </c>
      <c r="AE122" s="48">
        <v>5.0</v>
      </c>
      <c r="AF122" s="699"/>
      <c r="AG122" s="758"/>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row>
    <row r="123">
      <c r="A123" s="291" t="s">
        <v>1408</v>
      </c>
      <c r="B123" s="291" t="s">
        <v>6311</v>
      </c>
      <c r="C123" s="700" t="s">
        <v>324</v>
      </c>
      <c r="D123" s="700">
        <v>650.0</v>
      </c>
      <c r="E123" s="700" t="s">
        <v>6078</v>
      </c>
      <c r="F123" s="700" t="s">
        <v>166</v>
      </c>
      <c r="G123" s="700" t="s">
        <v>2965</v>
      </c>
      <c r="H123" s="760" t="s">
        <v>214</v>
      </c>
      <c r="I123" s="700" t="s">
        <v>166</v>
      </c>
      <c r="J123" s="700" t="s">
        <v>166</v>
      </c>
      <c r="K123" s="700" t="s">
        <v>166</v>
      </c>
      <c r="L123" s="700" t="s">
        <v>166</v>
      </c>
      <c r="M123" s="700" t="s">
        <v>166</v>
      </c>
      <c r="N123" s="700" t="s">
        <v>174</v>
      </c>
      <c r="O123" s="700" t="s">
        <v>166</v>
      </c>
      <c r="P123" s="700" t="s">
        <v>6125</v>
      </c>
      <c r="Q123" s="700">
        <v>92.0</v>
      </c>
      <c r="R123" s="700" t="s">
        <v>166</v>
      </c>
      <c r="S123" s="700" t="s">
        <v>6099</v>
      </c>
      <c r="T123" s="700" t="s">
        <v>6181</v>
      </c>
      <c r="U123" s="700">
        <v>2.0</v>
      </c>
      <c r="V123" s="700" t="s">
        <v>6134</v>
      </c>
      <c r="W123" s="700">
        <v>4.0</v>
      </c>
      <c r="X123" s="700" t="s">
        <v>166</v>
      </c>
      <c r="Y123" s="700" t="s">
        <v>166</v>
      </c>
      <c r="Z123" s="700" t="s">
        <v>6307</v>
      </c>
      <c r="AA123" s="700">
        <v>4.0</v>
      </c>
      <c r="AB123" s="700" t="s">
        <v>6308</v>
      </c>
      <c r="AC123" s="700">
        <v>4.0</v>
      </c>
      <c r="AD123" s="760" t="s">
        <v>1408</v>
      </c>
      <c r="AE123" s="700">
        <v>5.0</v>
      </c>
      <c r="AF123" s="704"/>
      <c r="AG123" s="763"/>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6"/>
      <c r="BG123" s="66"/>
      <c r="BH123" s="66"/>
      <c r="BI123" s="66"/>
      <c r="BJ123" s="66"/>
      <c r="BK123" s="66"/>
      <c r="BL123" s="66"/>
      <c r="BM123" s="66"/>
    </row>
    <row r="124">
      <c r="A124" s="282" t="str">
        <f t="shared" ref="A124:A131" si="5">HYPERLINK("https://seasonic.com/","Seasonic")</f>
        <v>Seasonic</v>
      </c>
      <c r="B124" s="282" t="str">
        <f>HYPERLINK("https://seasonic.com/focus-sgx","Focus SGX-450")</f>
        <v>Focus SGX-450</v>
      </c>
      <c r="C124" s="705" t="s">
        <v>6132</v>
      </c>
      <c r="D124" s="705">
        <v>450.0</v>
      </c>
      <c r="E124" s="705" t="s">
        <v>6078</v>
      </c>
      <c r="F124" s="705" t="s">
        <v>166</v>
      </c>
      <c r="G124" s="705" t="s">
        <v>2965</v>
      </c>
      <c r="H124" s="759" t="s">
        <v>214</v>
      </c>
      <c r="I124" s="705" t="s">
        <v>166</v>
      </c>
      <c r="J124" s="705" t="s">
        <v>166</v>
      </c>
      <c r="K124" s="705" t="s">
        <v>166</v>
      </c>
      <c r="L124" s="705" t="s">
        <v>166</v>
      </c>
      <c r="M124" s="705" t="s">
        <v>166</v>
      </c>
      <c r="N124" s="705" t="s">
        <v>174</v>
      </c>
      <c r="O124" s="705" t="s">
        <v>174</v>
      </c>
      <c r="P124" s="771">
        <v>0.3</v>
      </c>
      <c r="Q124" s="705">
        <v>120.0</v>
      </c>
      <c r="R124" s="705" t="s">
        <v>174</v>
      </c>
      <c r="S124" s="705" t="s">
        <v>6080</v>
      </c>
      <c r="T124" s="705" t="s">
        <v>6094</v>
      </c>
      <c r="U124" s="705">
        <v>1.0</v>
      </c>
      <c r="V124" s="705" t="s">
        <v>6147</v>
      </c>
      <c r="W124" s="705">
        <v>2.0</v>
      </c>
      <c r="X124" s="705" t="s">
        <v>166</v>
      </c>
      <c r="Y124" s="705" t="s">
        <v>166</v>
      </c>
      <c r="Z124" s="705" t="s">
        <v>6096</v>
      </c>
      <c r="AA124" s="705">
        <v>3.0</v>
      </c>
      <c r="AB124" s="705" t="s">
        <v>6155</v>
      </c>
      <c r="AC124" s="705">
        <v>3.0</v>
      </c>
      <c r="AD124" s="759" t="s">
        <v>6219</v>
      </c>
      <c r="AE124" s="705">
        <v>10.0</v>
      </c>
      <c r="AF124" s="720"/>
      <c r="AG124" s="7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c r="BD124" s="66"/>
      <c r="BE124" s="66"/>
      <c r="BF124" s="66"/>
      <c r="BG124" s="66"/>
      <c r="BH124" s="66"/>
      <c r="BI124" s="66"/>
      <c r="BJ124" s="66"/>
      <c r="BK124" s="66"/>
      <c r="BL124" s="66"/>
      <c r="BM124" s="66"/>
    </row>
    <row r="125">
      <c r="A125" s="174" t="str">
        <f t="shared" si="5"/>
        <v>Seasonic</v>
      </c>
      <c r="B125" s="174" t="str">
        <f>HYPERLINK("https://seasonic.com/focus-sgx","Focus SGX-500")</f>
        <v>Focus SGX-500</v>
      </c>
      <c r="C125" s="48" t="s">
        <v>6132</v>
      </c>
      <c r="D125" s="48">
        <v>500.0</v>
      </c>
      <c r="E125" s="48" t="s">
        <v>6078</v>
      </c>
      <c r="F125" s="48" t="s">
        <v>166</v>
      </c>
      <c r="G125" s="48" t="s">
        <v>2965</v>
      </c>
      <c r="H125" s="182" t="s">
        <v>214</v>
      </c>
      <c r="I125" s="48" t="s">
        <v>2965</v>
      </c>
      <c r="J125" s="48" t="s">
        <v>2981</v>
      </c>
      <c r="K125" s="48" t="s">
        <v>6142</v>
      </c>
      <c r="L125" s="48" t="s">
        <v>6158</v>
      </c>
      <c r="M125" s="182" t="s">
        <v>214</v>
      </c>
      <c r="N125" s="48" t="s">
        <v>174</v>
      </c>
      <c r="O125" s="48" t="s">
        <v>174</v>
      </c>
      <c r="P125" s="782">
        <v>0.3</v>
      </c>
      <c r="Q125" s="48">
        <v>120.0</v>
      </c>
      <c r="R125" s="48" t="s">
        <v>174</v>
      </c>
      <c r="S125" s="48" t="s">
        <v>6080</v>
      </c>
      <c r="T125" s="48" t="s">
        <v>6094</v>
      </c>
      <c r="U125" s="48">
        <v>1.0</v>
      </c>
      <c r="V125" s="48" t="s">
        <v>6147</v>
      </c>
      <c r="W125" s="48">
        <v>2.0</v>
      </c>
      <c r="X125" s="48" t="s">
        <v>166</v>
      </c>
      <c r="Y125" s="48" t="s">
        <v>166</v>
      </c>
      <c r="Z125" s="48" t="s">
        <v>6096</v>
      </c>
      <c r="AA125" s="48">
        <v>3.0</v>
      </c>
      <c r="AB125" s="48" t="s">
        <v>6155</v>
      </c>
      <c r="AC125" s="48">
        <v>3.0</v>
      </c>
      <c r="AD125" s="182" t="s">
        <v>6219</v>
      </c>
      <c r="AE125" s="48">
        <v>10.0</v>
      </c>
      <c r="AF125" s="699"/>
      <c r="AG125" s="182" t="s">
        <v>214</v>
      </c>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row>
    <row r="126">
      <c r="A126" s="174" t="str">
        <f t="shared" si="5"/>
        <v>Seasonic</v>
      </c>
      <c r="B126" s="174" t="str">
        <f>HYPERLINK("https://seasonic.com/focus-sgx","Focus SGX-650")</f>
        <v>Focus SGX-650</v>
      </c>
      <c r="C126" s="48" t="s">
        <v>6132</v>
      </c>
      <c r="D126" s="48">
        <v>650.0</v>
      </c>
      <c r="E126" s="48" t="s">
        <v>6078</v>
      </c>
      <c r="F126" s="48" t="s">
        <v>166</v>
      </c>
      <c r="G126" s="48" t="s">
        <v>2965</v>
      </c>
      <c r="H126" s="182" t="s">
        <v>214</v>
      </c>
      <c r="I126" s="48" t="s">
        <v>2965</v>
      </c>
      <c r="J126" s="48" t="s">
        <v>2965</v>
      </c>
      <c r="K126" s="48" t="s">
        <v>6087</v>
      </c>
      <c r="L126" s="48" t="s">
        <v>6087</v>
      </c>
      <c r="M126" s="182" t="s">
        <v>214</v>
      </c>
      <c r="N126" s="48" t="s">
        <v>174</v>
      </c>
      <c r="O126" s="48" t="s">
        <v>174</v>
      </c>
      <c r="P126" s="782">
        <v>0.3</v>
      </c>
      <c r="Q126" s="48">
        <v>120.0</v>
      </c>
      <c r="R126" s="48" t="s">
        <v>174</v>
      </c>
      <c r="S126" s="48" t="s">
        <v>6080</v>
      </c>
      <c r="T126" s="48" t="s">
        <v>6094</v>
      </c>
      <c r="U126" s="48">
        <v>1.0</v>
      </c>
      <c r="V126" s="48" t="s">
        <v>6148</v>
      </c>
      <c r="W126" s="48">
        <v>4.0</v>
      </c>
      <c r="X126" s="48" t="s">
        <v>166</v>
      </c>
      <c r="Y126" s="48" t="s">
        <v>166</v>
      </c>
      <c r="Z126" s="48" t="s">
        <v>6136</v>
      </c>
      <c r="AA126" s="48">
        <v>6.0</v>
      </c>
      <c r="AB126" s="48" t="s">
        <v>6155</v>
      </c>
      <c r="AC126" s="48">
        <v>3.0</v>
      </c>
      <c r="AD126" s="182" t="s">
        <v>6219</v>
      </c>
      <c r="AE126" s="48">
        <v>10.0</v>
      </c>
      <c r="AF126" s="699"/>
      <c r="AG126" s="182" t="s">
        <v>214</v>
      </c>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row>
    <row r="127">
      <c r="A127" s="174" t="str">
        <f t="shared" si="5"/>
        <v>Seasonic</v>
      </c>
      <c r="B127" s="174" t="s">
        <v>6312</v>
      </c>
      <c r="C127" s="48" t="s">
        <v>324</v>
      </c>
      <c r="D127" s="48">
        <v>550.0</v>
      </c>
      <c r="E127" s="48" t="s">
        <v>6078</v>
      </c>
      <c r="F127" s="48" t="s">
        <v>166</v>
      </c>
      <c r="G127" s="48" t="s">
        <v>2965</v>
      </c>
      <c r="H127" s="182" t="s">
        <v>214</v>
      </c>
      <c r="I127" s="48" t="s">
        <v>166</v>
      </c>
      <c r="J127" s="48" t="s">
        <v>166</v>
      </c>
      <c r="K127" s="48" t="s">
        <v>166</v>
      </c>
      <c r="L127" s="48" t="s">
        <v>166</v>
      </c>
      <c r="M127" s="48" t="s">
        <v>166</v>
      </c>
      <c r="N127" s="48" t="s">
        <v>174</v>
      </c>
      <c r="O127" s="48" t="s">
        <v>174</v>
      </c>
      <c r="P127" s="782">
        <v>0.3</v>
      </c>
      <c r="Q127" s="48">
        <v>92.0</v>
      </c>
      <c r="R127" s="48" t="s">
        <v>174</v>
      </c>
      <c r="S127" s="48" t="s">
        <v>6080</v>
      </c>
      <c r="T127" s="48" t="s">
        <v>6094</v>
      </c>
      <c r="U127" s="48">
        <v>1.0</v>
      </c>
      <c r="V127" s="48" t="s">
        <v>6147</v>
      </c>
      <c r="W127" s="48">
        <v>2.0</v>
      </c>
      <c r="X127" s="48" t="s">
        <v>166</v>
      </c>
      <c r="Y127" s="48" t="s">
        <v>166</v>
      </c>
      <c r="Z127" s="48" t="s">
        <v>6096</v>
      </c>
      <c r="AA127" s="48">
        <v>3.0</v>
      </c>
      <c r="AB127" s="48" t="s">
        <v>6155</v>
      </c>
      <c r="AC127" s="48">
        <v>3.0</v>
      </c>
      <c r="AD127" s="182" t="s">
        <v>6219</v>
      </c>
      <c r="AE127" s="48">
        <v>10.0</v>
      </c>
      <c r="AF127" s="699"/>
      <c r="AG127" s="758"/>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row>
    <row r="128">
      <c r="A128" s="174" t="str">
        <f t="shared" si="5"/>
        <v>Seasonic</v>
      </c>
      <c r="B128" s="174" t="s">
        <v>6313</v>
      </c>
      <c r="C128" s="48" t="s">
        <v>324</v>
      </c>
      <c r="D128" s="48">
        <v>650.0</v>
      </c>
      <c r="E128" s="48" t="s">
        <v>6078</v>
      </c>
      <c r="F128" s="48" t="s">
        <v>166</v>
      </c>
      <c r="G128" s="48" t="s">
        <v>2965</v>
      </c>
      <c r="H128" s="182" t="s">
        <v>214</v>
      </c>
      <c r="I128" s="48" t="s">
        <v>166</v>
      </c>
      <c r="J128" s="48" t="s">
        <v>166</v>
      </c>
      <c r="K128" s="48" t="s">
        <v>166</v>
      </c>
      <c r="L128" s="48" t="s">
        <v>166</v>
      </c>
      <c r="M128" s="48" t="s">
        <v>166</v>
      </c>
      <c r="N128" s="48" t="s">
        <v>174</v>
      </c>
      <c r="O128" s="48" t="s">
        <v>174</v>
      </c>
      <c r="P128" s="782">
        <v>0.3</v>
      </c>
      <c r="Q128" s="48">
        <v>92.0</v>
      </c>
      <c r="R128" s="48" t="s">
        <v>174</v>
      </c>
      <c r="S128" s="48" t="s">
        <v>6080</v>
      </c>
      <c r="T128" s="48" t="s">
        <v>6181</v>
      </c>
      <c r="U128" s="48">
        <v>2.0</v>
      </c>
      <c r="V128" s="48" t="s">
        <v>6148</v>
      </c>
      <c r="W128" s="48">
        <v>4.0</v>
      </c>
      <c r="X128" s="48" t="s">
        <v>166</v>
      </c>
      <c r="Y128" s="48" t="s">
        <v>166</v>
      </c>
      <c r="Z128" s="48" t="s">
        <v>6136</v>
      </c>
      <c r="AA128" s="48">
        <v>6.0</v>
      </c>
      <c r="AB128" s="48" t="s">
        <v>6155</v>
      </c>
      <c r="AC128" s="48">
        <v>3.0</v>
      </c>
      <c r="AD128" s="182" t="s">
        <v>6219</v>
      </c>
      <c r="AE128" s="48">
        <v>10.0</v>
      </c>
      <c r="AF128" s="699"/>
      <c r="AG128" s="758"/>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row>
    <row r="129">
      <c r="A129" s="174" t="str">
        <f t="shared" si="5"/>
        <v>Seasonic</v>
      </c>
      <c r="B129" s="174" t="s">
        <v>6314</v>
      </c>
      <c r="C129" s="48" t="s">
        <v>324</v>
      </c>
      <c r="D129" s="48">
        <v>750.0</v>
      </c>
      <c r="E129" s="48" t="s">
        <v>6078</v>
      </c>
      <c r="F129" s="48" t="s">
        <v>166</v>
      </c>
      <c r="G129" s="48" t="s">
        <v>2965</v>
      </c>
      <c r="H129" s="182" t="s">
        <v>214</v>
      </c>
      <c r="I129" s="48" t="s">
        <v>166</v>
      </c>
      <c r="J129" s="48" t="s">
        <v>166</v>
      </c>
      <c r="K129" s="48" t="s">
        <v>166</v>
      </c>
      <c r="L129" s="48" t="s">
        <v>166</v>
      </c>
      <c r="M129" s="48" t="s">
        <v>166</v>
      </c>
      <c r="N129" s="48" t="s">
        <v>174</v>
      </c>
      <c r="O129" s="48" t="s">
        <v>174</v>
      </c>
      <c r="P129" s="782">
        <v>0.3</v>
      </c>
      <c r="Q129" s="48">
        <v>92.0</v>
      </c>
      <c r="R129" s="48" t="s">
        <v>174</v>
      </c>
      <c r="S129" s="48" t="s">
        <v>6080</v>
      </c>
      <c r="T129" s="48" t="s">
        <v>6181</v>
      </c>
      <c r="U129" s="48">
        <v>2.0</v>
      </c>
      <c r="V129" s="48" t="s">
        <v>6148</v>
      </c>
      <c r="W129" s="48">
        <v>4.0</v>
      </c>
      <c r="X129" s="48" t="s">
        <v>166</v>
      </c>
      <c r="Y129" s="48" t="s">
        <v>166</v>
      </c>
      <c r="Z129" s="48" t="s">
        <v>6136</v>
      </c>
      <c r="AA129" s="48">
        <v>6.0</v>
      </c>
      <c r="AB129" s="48" t="s">
        <v>6155</v>
      </c>
      <c r="AC129" s="48">
        <v>3.0</v>
      </c>
      <c r="AD129" s="182" t="s">
        <v>6219</v>
      </c>
      <c r="AE129" s="48">
        <v>10.0</v>
      </c>
      <c r="AF129" s="699"/>
      <c r="AG129" s="758"/>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row>
    <row r="130">
      <c r="A130" s="174" t="str">
        <f t="shared" si="5"/>
        <v>Seasonic</v>
      </c>
      <c r="B130" s="174" t="s">
        <v>6315</v>
      </c>
      <c r="C130" s="48" t="s">
        <v>324</v>
      </c>
      <c r="D130" s="48">
        <v>650.0</v>
      </c>
      <c r="E130" s="48" t="s">
        <v>6078</v>
      </c>
      <c r="F130" s="48" t="s">
        <v>166</v>
      </c>
      <c r="G130" s="48" t="s">
        <v>2966</v>
      </c>
      <c r="H130" s="182" t="s">
        <v>214</v>
      </c>
      <c r="I130" s="48" t="s">
        <v>166</v>
      </c>
      <c r="J130" s="48" t="s">
        <v>166</v>
      </c>
      <c r="K130" s="48" t="s">
        <v>166</v>
      </c>
      <c r="L130" s="48" t="s">
        <v>166</v>
      </c>
      <c r="M130" s="48" t="s">
        <v>166</v>
      </c>
      <c r="N130" s="48" t="s">
        <v>174</v>
      </c>
      <c r="O130" s="48" t="s">
        <v>174</v>
      </c>
      <c r="P130" s="782">
        <v>0.3</v>
      </c>
      <c r="Q130" s="48">
        <v>92.0</v>
      </c>
      <c r="R130" s="48" t="s">
        <v>174</v>
      </c>
      <c r="S130" s="48" t="s">
        <v>6080</v>
      </c>
      <c r="T130" s="48" t="s">
        <v>6181</v>
      </c>
      <c r="U130" s="48">
        <v>2.0</v>
      </c>
      <c r="V130" s="48" t="s">
        <v>6148</v>
      </c>
      <c r="W130" s="48">
        <v>4.0</v>
      </c>
      <c r="X130" s="48" t="s">
        <v>166</v>
      </c>
      <c r="Y130" s="48" t="s">
        <v>166</v>
      </c>
      <c r="Z130" s="48" t="s">
        <v>6136</v>
      </c>
      <c r="AA130" s="48">
        <v>6.0</v>
      </c>
      <c r="AB130" s="48" t="s">
        <v>6155</v>
      </c>
      <c r="AC130" s="48">
        <v>3.0</v>
      </c>
      <c r="AD130" s="182" t="s">
        <v>6219</v>
      </c>
      <c r="AE130" s="48">
        <v>10.0</v>
      </c>
      <c r="AF130" s="699"/>
      <c r="AG130" s="758"/>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row>
    <row r="131">
      <c r="A131" s="291" t="str">
        <f t="shared" si="5"/>
        <v>Seasonic</v>
      </c>
      <c r="B131" s="291" t="s">
        <v>6316</v>
      </c>
      <c r="C131" s="700" t="s">
        <v>324</v>
      </c>
      <c r="D131" s="700">
        <v>750.0</v>
      </c>
      <c r="E131" s="700" t="s">
        <v>6078</v>
      </c>
      <c r="F131" s="700" t="s">
        <v>166</v>
      </c>
      <c r="G131" s="700" t="s">
        <v>2966</v>
      </c>
      <c r="H131" s="760" t="s">
        <v>214</v>
      </c>
      <c r="I131" s="700" t="s">
        <v>2966</v>
      </c>
      <c r="J131" s="700" t="s">
        <v>166</v>
      </c>
      <c r="K131" s="700" t="s">
        <v>6087</v>
      </c>
      <c r="L131" s="700" t="s">
        <v>166</v>
      </c>
      <c r="M131" s="700" t="s">
        <v>166</v>
      </c>
      <c r="N131" s="700" t="s">
        <v>174</v>
      </c>
      <c r="O131" s="700" t="s">
        <v>174</v>
      </c>
      <c r="P131" s="779">
        <v>0.3</v>
      </c>
      <c r="Q131" s="700">
        <v>92.0</v>
      </c>
      <c r="R131" s="700" t="s">
        <v>174</v>
      </c>
      <c r="S131" s="700" t="s">
        <v>6080</v>
      </c>
      <c r="T131" s="700" t="s">
        <v>6181</v>
      </c>
      <c r="U131" s="700">
        <v>2.0</v>
      </c>
      <c r="V131" s="700" t="s">
        <v>6148</v>
      </c>
      <c r="W131" s="700">
        <v>4.0</v>
      </c>
      <c r="X131" s="700" t="s">
        <v>166</v>
      </c>
      <c r="Y131" s="700" t="s">
        <v>166</v>
      </c>
      <c r="Z131" s="700" t="s">
        <v>6136</v>
      </c>
      <c r="AA131" s="700">
        <v>6.0</v>
      </c>
      <c r="AB131" s="700" t="s">
        <v>6155</v>
      </c>
      <c r="AC131" s="700">
        <v>3.0</v>
      </c>
      <c r="AD131" s="760" t="s">
        <v>6219</v>
      </c>
      <c r="AE131" s="700">
        <v>10.0</v>
      </c>
      <c r="AF131" s="704"/>
      <c r="AG131" s="760" t="s">
        <v>214</v>
      </c>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row>
    <row r="132">
      <c r="A132" s="282" t="s">
        <v>1378</v>
      </c>
      <c r="B132" s="282" t="s">
        <v>6317</v>
      </c>
      <c r="C132" s="705" t="s">
        <v>324</v>
      </c>
      <c r="D132" s="705">
        <v>650.0</v>
      </c>
      <c r="E132" s="705" t="s">
        <v>6078</v>
      </c>
      <c r="F132" s="705" t="s">
        <v>166</v>
      </c>
      <c r="G132" s="705" t="s">
        <v>2965</v>
      </c>
      <c r="H132" s="759" t="s">
        <v>214</v>
      </c>
      <c r="I132" s="48" t="s">
        <v>166</v>
      </c>
      <c r="J132" s="48" t="s">
        <v>166</v>
      </c>
      <c r="K132" s="48" t="s">
        <v>166</v>
      </c>
      <c r="L132" s="48" t="s">
        <v>166</v>
      </c>
      <c r="M132" s="705" t="s">
        <v>166</v>
      </c>
      <c r="N132" s="705" t="s">
        <v>174</v>
      </c>
      <c r="O132" s="705" t="s">
        <v>166</v>
      </c>
      <c r="P132" s="771" t="s">
        <v>6125</v>
      </c>
      <c r="Q132" s="705">
        <v>80.0</v>
      </c>
      <c r="R132" s="705" t="s">
        <v>166</v>
      </c>
      <c r="S132" s="705" t="s">
        <v>6099</v>
      </c>
      <c r="T132" s="705" t="s">
        <v>6181</v>
      </c>
      <c r="U132" s="705">
        <v>2.0</v>
      </c>
      <c r="V132" s="705" t="s">
        <v>6181</v>
      </c>
      <c r="W132" s="705">
        <v>4.0</v>
      </c>
      <c r="X132" s="705" t="s">
        <v>166</v>
      </c>
      <c r="Y132" s="705" t="s">
        <v>166</v>
      </c>
      <c r="Z132" s="705" t="s">
        <v>6292</v>
      </c>
      <c r="AA132" s="705">
        <v>12.0</v>
      </c>
      <c r="AB132" s="705" t="s">
        <v>6223</v>
      </c>
      <c r="AC132" s="705">
        <v>6.0</v>
      </c>
      <c r="AD132" s="759" t="s">
        <v>1378</v>
      </c>
      <c r="AE132" s="705">
        <v>5.0</v>
      </c>
      <c r="AF132" s="720"/>
      <c r="AG132" s="7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row>
    <row r="133">
      <c r="A133" s="291" t="s">
        <v>1378</v>
      </c>
      <c r="B133" s="291" t="s">
        <v>6318</v>
      </c>
      <c r="C133" s="700" t="s">
        <v>324</v>
      </c>
      <c r="D133" s="700">
        <v>750.0</v>
      </c>
      <c r="E133" s="700" t="s">
        <v>6078</v>
      </c>
      <c r="F133" s="700" t="s">
        <v>166</v>
      </c>
      <c r="G133" s="700" t="s">
        <v>2965</v>
      </c>
      <c r="H133" s="760" t="s">
        <v>214</v>
      </c>
      <c r="I133" s="700" t="s">
        <v>166</v>
      </c>
      <c r="J133" s="700" t="s">
        <v>166</v>
      </c>
      <c r="K133" s="700" t="s">
        <v>166</v>
      </c>
      <c r="L133" s="700" t="s">
        <v>166</v>
      </c>
      <c r="M133" s="700" t="s">
        <v>166</v>
      </c>
      <c r="N133" s="700" t="s">
        <v>174</v>
      </c>
      <c r="O133" s="700" t="s">
        <v>166</v>
      </c>
      <c r="P133" s="772" t="s">
        <v>6125</v>
      </c>
      <c r="Q133" s="700">
        <v>80.0</v>
      </c>
      <c r="R133" s="700" t="s">
        <v>166</v>
      </c>
      <c r="S133" s="712" t="s">
        <v>6099</v>
      </c>
      <c r="T133" s="712" t="s">
        <v>6181</v>
      </c>
      <c r="U133" s="712">
        <v>2.0</v>
      </c>
      <c r="V133" s="712" t="s">
        <v>6181</v>
      </c>
      <c r="W133" s="712">
        <v>4.0</v>
      </c>
      <c r="X133" s="712" t="s">
        <v>166</v>
      </c>
      <c r="Y133" s="712" t="s">
        <v>166</v>
      </c>
      <c r="Z133" s="712" t="s">
        <v>6292</v>
      </c>
      <c r="AA133" s="712">
        <v>12.0</v>
      </c>
      <c r="AB133" s="712" t="s">
        <v>6223</v>
      </c>
      <c r="AC133" s="712">
        <v>6.0</v>
      </c>
      <c r="AD133" s="760" t="s">
        <v>1378</v>
      </c>
      <c r="AE133" s="700">
        <v>5.0</v>
      </c>
      <c r="AF133" s="704"/>
      <c r="AG133" s="763"/>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row>
    <row r="134">
      <c r="A134" s="282" t="s">
        <v>2588</v>
      </c>
      <c r="B134" s="718" t="s">
        <v>6319</v>
      </c>
      <c r="C134" s="705" t="s">
        <v>324</v>
      </c>
      <c r="D134" s="48">
        <v>750.0</v>
      </c>
      <c r="E134" s="705" t="s">
        <v>6078</v>
      </c>
      <c r="F134" s="48" t="s">
        <v>174</v>
      </c>
      <c r="G134" s="48" t="s">
        <v>166</v>
      </c>
      <c r="H134" s="765" t="s">
        <v>166</v>
      </c>
      <c r="I134" s="48" t="s">
        <v>2966</v>
      </c>
      <c r="J134" s="48" t="s">
        <v>2966</v>
      </c>
      <c r="K134" s="48" t="s">
        <v>6158</v>
      </c>
      <c r="L134" s="48" t="s">
        <v>6158</v>
      </c>
      <c r="M134" s="182" t="s">
        <v>214</v>
      </c>
      <c r="N134" s="48" t="s">
        <v>174</v>
      </c>
      <c r="O134" s="48" t="s">
        <v>174</v>
      </c>
      <c r="P134" s="48" t="s">
        <v>6320</v>
      </c>
      <c r="Q134" s="48">
        <v>92.0</v>
      </c>
      <c r="R134" s="48" t="s">
        <v>166</v>
      </c>
      <c r="S134" s="48" t="s">
        <v>6099</v>
      </c>
      <c r="T134" s="48" t="s">
        <v>6321</v>
      </c>
      <c r="U134" s="48">
        <v>2.0</v>
      </c>
      <c r="V134" s="48" t="s">
        <v>6081</v>
      </c>
      <c r="W134" s="48">
        <v>2.0</v>
      </c>
      <c r="X134" s="48" t="s">
        <v>6297</v>
      </c>
      <c r="Y134" s="48" t="s">
        <v>6286</v>
      </c>
      <c r="Z134" s="48" t="s">
        <v>6322</v>
      </c>
      <c r="AA134" s="48">
        <v>8.0</v>
      </c>
      <c r="AB134" s="48" t="s">
        <v>6323</v>
      </c>
      <c r="AC134" s="48">
        <v>1.0</v>
      </c>
      <c r="AD134" s="759" t="s">
        <v>6156</v>
      </c>
      <c r="AE134" s="48">
        <v>3.0</v>
      </c>
      <c r="AF134" s="698"/>
      <c r="AG134" s="48"/>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row>
    <row r="135">
      <c r="A135" s="282" t="s">
        <v>2588</v>
      </c>
      <c r="B135" s="718" t="s">
        <v>6324</v>
      </c>
      <c r="C135" s="705" t="s">
        <v>324</v>
      </c>
      <c r="D135" s="48">
        <v>850.0</v>
      </c>
      <c r="E135" s="705" t="s">
        <v>6078</v>
      </c>
      <c r="F135" s="48" t="s">
        <v>174</v>
      </c>
      <c r="G135" s="48" t="s">
        <v>166</v>
      </c>
      <c r="H135" s="765" t="s">
        <v>166</v>
      </c>
      <c r="I135" s="48" t="s">
        <v>2966</v>
      </c>
      <c r="J135" s="48" t="s">
        <v>2966</v>
      </c>
      <c r="K135" s="48" t="s">
        <v>6142</v>
      </c>
      <c r="L135" s="48" t="s">
        <v>6142</v>
      </c>
      <c r="M135" s="182" t="s">
        <v>214</v>
      </c>
      <c r="N135" s="48" t="s">
        <v>174</v>
      </c>
      <c r="O135" s="48" t="s">
        <v>174</v>
      </c>
      <c r="P135" s="48" t="s">
        <v>6320</v>
      </c>
      <c r="Q135" s="48">
        <v>92.0</v>
      </c>
      <c r="R135" s="48" t="s">
        <v>166</v>
      </c>
      <c r="S135" s="48" t="s">
        <v>6099</v>
      </c>
      <c r="T135" s="48" t="s">
        <v>6321</v>
      </c>
      <c r="U135" s="48">
        <v>2.0</v>
      </c>
      <c r="V135" s="48" t="s">
        <v>6081</v>
      </c>
      <c r="W135" s="48">
        <v>2.0</v>
      </c>
      <c r="X135" s="48" t="s">
        <v>6297</v>
      </c>
      <c r="Y135" s="48" t="s">
        <v>6286</v>
      </c>
      <c r="Z135" s="48" t="s">
        <v>6322</v>
      </c>
      <c r="AA135" s="48">
        <v>8.0</v>
      </c>
      <c r="AB135" s="48" t="s">
        <v>6323</v>
      </c>
      <c r="AC135" s="48">
        <v>1.0</v>
      </c>
      <c r="AD135" s="759" t="s">
        <v>6156</v>
      </c>
      <c r="AE135" s="48">
        <v>3.0</v>
      </c>
      <c r="AF135" s="698"/>
      <c r="AG135" s="48"/>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row>
    <row r="136">
      <c r="A136" s="282" t="s">
        <v>2588</v>
      </c>
      <c r="B136" s="718" t="s">
        <v>6325</v>
      </c>
      <c r="C136" s="705" t="s">
        <v>324</v>
      </c>
      <c r="D136" s="48">
        <v>1000.0</v>
      </c>
      <c r="E136" s="705" t="s">
        <v>6078</v>
      </c>
      <c r="F136" s="48" t="s">
        <v>174</v>
      </c>
      <c r="G136" s="48" t="s">
        <v>166</v>
      </c>
      <c r="H136" s="765" t="s">
        <v>166</v>
      </c>
      <c r="I136" s="48" t="s">
        <v>2966</v>
      </c>
      <c r="J136" s="48" t="s">
        <v>2966</v>
      </c>
      <c r="K136" s="48" t="s">
        <v>6142</v>
      </c>
      <c r="L136" s="48" t="s">
        <v>6142</v>
      </c>
      <c r="M136" s="182" t="s">
        <v>214</v>
      </c>
      <c r="N136" s="48" t="s">
        <v>174</v>
      </c>
      <c r="O136" s="48" t="s">
        <v>174</v>
      </c>
      <c r="P136" s="48" t="s">
        <v>6326</v>
      </c>
      <c r="Q136" s="48">
        <v>92.0</v>
      </c>
      <c r="R136" s="48" t="s">
        <v>166</v>
      </c>
      <c r="S136" s="48" t="s">
        <v>6099</v>
      </c>
      <c r="T136" s="48" t="s">
        <v>6321</v>
      </c>
      <c r="U136" s="48">
        <v>2.0</v>
      </c>
      <c r="V136" s="48" t="s">
        <v>6081</v>
      </c>
      <c r="W136" s="48">
        <v>2.0</v>
      </c>
      <c r="X136" s="48" t="s">
        <v>6297</v>
      </c>
      <c r="Y136" s="48" t="s">
        <v>6127</v>
      </c>
      <c r="Z136" s="48" t="s">
        <v>6322</v>
      </c>
      <c r="AA136" s="48">
        <v>8.0</v>
      </c>
      <c r="AB136" s="48" t="s">
        <v>6323</v>
      </c>
      <c r="AC136" s="48">
        <v>1.0</v>
      </c>
      <c r="AD136" s="759" t="s">
        <v>6156</v>
      </c>
      <c r="AE136" s="48">
        <v>3.0</v>
      </c>
      <c r="AF136" s="698"/>
      <c r="AG136" s="48"/>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row>
    <row r="137">
      <c r="A137" s="282" t="s">
        <v>2588</v>
      </c>
      <c r="B137" s="282" t="s">
        <v>6327</v>
      </c>
      <c r="C137" s="705" t="s">
        <v>324</v>
      </c>
      <c r="D137" s="705">
        <v>350.0</v>
      </c>
      <c r="E137" s="705" t="s">
        <v>6078</v>
      </c>
      <c r="F137" s="705" t="s">
        <v>166</v>
      </c>
      <c r="G137" s="705" t="s">
        <v>6145</v>
      </c>
      <c r="H137" s="759" t="s">
        <v>214</v>
      </c>
      <c r="I137" s="705" t="s">
        <v>166</v>
      </c>
      <c r="J137" s="705" t="s">
        <v>166</v>
      </c>
      <c r="K137" s="705" t="s">
        <v>166</v>
      </c>
      <c r="L137" s="705" t="s">
        <v>166</v>
      </c>
      <c r="M137" s="705" t="s">
        <v>166</v>
      </c>
      <c r="N137" s="705" t="s">
        <v>166</v>
      </c>
      <c r="O137" s="705" t="s">
        <v>166</v>
      </c>
      <c r="P137" s="771" t="s">
        <v>6125</v>
      </c>
      <c r="Q137" s="705">
        <v>80.0</v>
      </c>
      <c r="R137" s="705" t="s">
        <v>174</v>
      </c>
      <c r="S137" s="705" t="s">
        <v>6080</v>
      </c>
      <c r="T137" s="705" t="s">
        <v>6080</v>
      </c>
      <c r="U137" s="705" t="s">
        <v>6146</v>
      </c>
      <c r="V137" s="705" t="s">
        <v>6080</v>
      </c>
      <c r="W137" s="705" t="s">
        <v>6248</v>
      </c>
      <c r="X137" s="705" t="s">
        <v>166</v>
      </c>
      <c r="Y137" s="705" t="s">
        <v>166</v>
      </c>
      <c r="Z137" s="705" t="s">
        <v>6147</v>
      </c>
      <c r="AA137" s="705">
        <v>2.0</v>
      </c>
      <c r="AB137" s="705" t="s">
        <v>6113</v>
      </c>
      <c r="AC137" s="705">
        <v>2.0</v>
      </c>
      <c r="AD137" s="759" t="s">
        <v>6156</v>
      </c>
      <c r="AE137" s="705">
        <v>3.0</v>
      </c>
      <c r="AF137" s="720"/>
      <c r="AG137" s="7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c r="BE137" s="66"/>
      <c r="BF137" s="66"/>
      <c r="BG137" s="66"/>
      <c r="BH137" s="66"/>
      <c r="BI137" s="66"/>
      <c r="BJ137" s="66"/>
      <c r="BK137" s="66"/>
      <c r="BL137" s="66"/>
      <c r="BM137" s="66"/>
    </row>
    <row r="138">
      <c r="A138" s="174" t="s">
        <v>2588</v>
      </c>
      <c r="B138" s="174" t="s">
        <v>6328</v>
      </c>
      <c r="C138" s="48" t="s">
        <v>324</v>
      </c>
      <c r="D138" s="48">
        <v>450.0</v>
      </c>
      <c r="E138" s="48" t="s">
        <v>6078</v>
      </c>
      <c r="F138" s="48" t="s">
        <v>166</v>
      </c>
      <c r="G138" s="48" t="s">
        <v>6145</v>
      </c>
      <c r="H138" s="182" t="s">
        <v>214</v>
      </c>
      <c r="I138" s="48" t="s">
        <v>166</v>
      </c>
      <c r="J138" s="48" t="s">
        <v>166</v>
      </c>
      <c r="K138" s="48" t="s">
        <v>166</v>
      </c>
      <c r="L138" s="48" t="s">
        <v>166</v>
      </c>
      <c r="M138" s="48" t="s">
        <v>166</v>
      </c>
      <c r="N138" s="48" t="s">
        <v>166</v>
      </c>
      <c r="O138" s="48" t="s">
        <v>166</v>
      </c>
      <c r="P138" s="48" t="s">
        <v>6125</v>
      </c>
      <c r="Q138" s="48">
        <v>80.0</v>
      </c>
      <c r="R138" s="48" t="s">
        <v>174</v>
      </c>
      <c r="S138" s="48" t="s">
        <v>6080</v>
      </c>
      <c r="T138" s="48" t="s">
        <v>6080</v>
      </c>
      <c r="U138" s="48">
        <v>1.0</v>
      </c>
      <c r="V138" s="48" t="s">
        <v>6147</v>
      </c>
      <c r="W138" s="48" t="s">
        <v>6329</v>
      </c>
      <c r="X138" s="48" t="s">
        <v>166</v>
      </c>
      <c r="Y138" s="48" t="s">
        <v>166</v>
      </c>
      <c r="Z138" s="48" t="s">
        <v>6113</v>
      </c>
      <c r="AA138" s="48">
        <v>3.0</v>
      </c>
      <c r="AB138" s="48" t="s">
        <v>6113</v>
      </c>
      <c r="AC138" s="48">
        <v>2.0</v>
      </c>
      <c r="AD138" s="182" t="s">
        <v>6156</v>
      </c>
      <c r="AE138" s="48">
        <v>3.0</v>
      </c>
      <c r="AF138" s="698"/>
      <c r="AG138" s="48"/>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row>
    <row r="139">
      <c r="A139" s="291" t="s">
        <v>2588</v>
      </c>
      <c r="B139" s="291" t="s">
        <v>6330</v>
      </c>
      <c r="C139" s="700" t="s">
        <v>6132</v>
      </c>
      <c r="D139" s="700">
        <v>500.0</v>
      </c>
      <c r="E139" s="700" t="s">
        <v>6078</v>
      </c>
      <c r="F139" s="700" t="s">
        <v>166</v>
      </c>
      <c r="G139" s="700" t="s">
        <v>2965</v>
      </c>
      <c r="H139" s="760" t="s">
        <v>214</v>
      </c>
      <c r="I139" s="700" t="s">
        <v>166</v>
      </c>
      <c r="J139" s="700" t="s">
        <v>166</v>
      </c>
      <c r="K139" s="700" t="s">
        <v>166</v>
      </c>
      <c r="L139" s="700" t="s">
        <v>166</v>
      </c>
      <c r="M139" s="700" t="s">
        <v>166</v>
      </c>
      <c r="N139" s="700" t="s">
        <v>174</v>
      </c>
      <c r="O139" s="700" t="s">
        <v>166</v>
      </c>
      <c r="P139" s="700" t="s">
        <v>6125</v>
      </c>
      <c r="Q139" s="700">
        <v>120.0</v>
      </c>
      <c r="R139" s="700" t="s">
        <v>174</v>
      </c>
      <c r="S139" s="700" t="s">
        <v>6109</v>
      </c>
      <c r="T139" s="700" t="s">
        <v>6109</v>
      </c>
      <c r="U139" s="700">
        <v>1.0</v>
      </c>
      <c r="V139" s="700" t="s">
        <v>6096</v>
      </c>
      <c r="W139" s="700">
        <v>2.0</v>
      </c>
      <c r="X139" s="700" t="s">
        <v>166</v>
      </c>
      <c r="Y139" s="700" t="s">
        <v>166</v>
      </c>
      <c r="Z139" s="700" t="s">
        <v>6083</v>
      </c>
      <c r="AA139" s="700">
        <v>4.0</v>
      </c>
      <c r="AB139" s="700" t="s">
        <v>6083</v>
      </c>
      <c r="AC139" s="700">
        <v>2.0</v>
      </c>
      <c r="AD139" s="760" t="s">
        <v>6156</v>
      </c>
      <c r="AE139" s="700">
        <v>3.0</v>
      </c>
      <c r="AF139" s="703"/>
      <c r="AG139" s="700"/>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row>
    <row r="140">
      <c r="A140" s="282" t="s">
        <v>209</v>
      </c>
      <c r="B140" s="174" t="s">
        <v>6331</v>
      </c>
      <c r="C140" s="48" t="s">
        <v>324</v>
      </c>
      <c r="D140" s="48">
        <v>350.0</v>
      </c>
      <c r="E140" s="48" t="s">
        <v>6091</v>
      </c>
      <c r="F140" s="48" t="s">
        <v>166</v>
      </c>
      <c r="G140" s="48" t="s">
        <v>6145</v>
      </c>
      <c r="H140" s="767" t="s">
        <v>214</v>
      </c>
      <c r="I140" s="48" t="s">
        <v>166</v>
      </c>
      <c r="J140" s="48" t="s">
        <v>166</v>
      </c>
      <c r="K140" s="48" t="s">
        <v>166</v>
      </c>
      <c r="L140" s="48" t="s">
        <v>166</v>
      </c>
      <c r="M140" s="48" t="s">
        <v>166</v>
      </c>
      <c r="N140" s="48" t="s">
        <v>166</v>
      </c>
      <c r="O140" s="48" t="s">
        <v>166</v>
      </c>
      <c r="P140" s="705" t="s">
        <v>6125</v>
      </c>
      <c r="Q140" s="48">
        <v>92.0</v>
      </c>
      <c r="R140" s="48" t="s">
        <v>174</v>
      </c>
      <c r="S140" s="48" t="s">
        <v>6094</v>
      </c>
      <c r="T140" s="48" t="s">
        <v>6135</v>
      </c>
      <c r="U140" s="48">
        <v>2.0</v>
      </c>
      <c r="V140" s="48" t="s">
        <v>6094</v>
      </c>
      <c r="W140" s="48">
        <v>1.0</v>
      </c>
      <c r="X140" s="48" t="s">
        <v>166</v>
      </c>
      <c r="Y140" s="48" t="s">
        <v>166</v>
      </c>
      <c r="Z140" s="48" t="s">
        <v>6113</v>
      </c>
      <c r="AA140" s="48">
        <v>3.0</v>
      </c>
      <c r="AB140" s="48" t="s">
        <v>6113</v>
      </c>
      <c r="AC140" s="48">
        <v>2.0</v>
      </c>
      <c r="AD140" s="759" t="s">
        <v>6200</v>
      </c>
      <c r="AE140" s="48">
        <v>3.0</v>
      </c>
      <c r="AF140" s="698"/>
      <c r="AG140" s="48"/>
      <c r="AH140" s="66"/>
      <c r="AI140" s="66"/>
      <c r="AJ140" s="66"/>
      <c r="AK140" s="66"/>
      <c r="AL140" s="66"/>
      <c r="AM140" s="66"/>
      <c r="AN140" s="66"/>
      <c r="AO140" s="66"/>
      <c r="AP140" s="66"/>
      <c r="AQ140" s="66"/>
      <c r="AR140" s="66"/>
      <c r="AS140" s="66"/>
      <c r="AT140" s="66"/>
      <c r="AU140" s="66"/>
      <c r="AV140" s="66"/>
      <c r="AW140" s="66"/>
      <c r="AX140" s="66"/>
      <c r="AY140" s="66"/>
      <c r="AZ140" s="66"/>
      <c r="BA140" s="66"/>
      <c r="BB140" s="66"/>
      <c r="BC140" s="66"/>
      <c r="BD140" s="66"/>
      <c r="BE140" s="66"/>
      <c r="BF140" s="66"/>
      <c r="BG140" s="66"/>
      <c r="BH140" s="66"/>
      <c r="BI140" s="66"/>
      <c r="BJ140" s="66"/>
      <c r="BK140" s="66"/>
      <c r="BL140" s="66"/>
      <c r="BM140" s="66"/>
    </row>
    <row r="141">
      <c r="A141" s="282" t="s">
        <v>209</v>
      </c>
      <c r="B141" s="174" t="s">
        <v>6332</v>
      </c>
      <c r="C141" s="48" t="s">
        <v>324</v>
      </c>
      <c r="D141" s="48">
        <v>500.0</v>
      </c>
      <c r="E141" s="48" t="s">
        <v>6091</v>
      </c>
      <c r="F141" s="48" t="s">
        <v>166</v>
      </c>
      <c r="G141" s="48" t="s">
        <v>6145</v>
      </c>
      <c r="H141" s="182" t="s">
        <v>214</v>
      </c>
      <c r="I141" s="48" t="s">
        <v>166</v>
      </c>
      <c r="J141" s="48" t="s">
        <v>166</v>
      </c>
      <c r="K141" s="48" t="s">
        <v>166</v>
      </c>
      <c r="L141" s="48" t="s">
        <v>166</v>
      </c>
      <c r="M141" s="48" t="s">
        <v>166</v>
      </c>
      <c r="N141" s="48" t="s">
        <v>166</v>
      </c>
      <c r="O141" s="48" t="s">
        <v>166</v>
      </c>
      <c r="P141" s="705" t="s">
        <v>6125</v>
      </c>
      <c r="Q141" s="48">
        <v>92.0</v>
      </c>
      <c r="R141" s="48" t="s">
        <v>174</v>
      </c>
      <c r="S141" s="48" t="s">
        <v>6094</v>
      </c>
      <c r="T141" s="48" t="s">
        <v>6096</v>
      </c>
      <c r="U141" s="48">
        <v>2.0</v>
      </c>
      <c r="V141" s="48" t="s">
        <v>6100</v>
      </c>
      <c r="W141" s="48">
        <v>2.0</v>
      </c>
      <c r="X141" s="48" t="s">
        <v>166</v>
      </c>
      <c r="Y141" s="48" t="s">
        <v>166</v>
      </c>
      <c r="Z141" s="48" t="s">
        <v>6113</v>
      </c>
      <c r="AA141" s="48">
        <v>3.0</v>
      </c>
      <c r="AB141" s="48" t="s">
        <v>6113</v>
      </c>
      <c r="AC141" s="48">
        <v>2.0</v>
      </c>
      <c r="AD141" s="759" t="s">
        <v>6200</v>
      </c>
      <c r="AE141" s="48">
        <v>3.0</v>
      </c>
      <c r="AF141" s="698"/>
      <c r="AG141" s="48"/>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row>
    <row r="142">
      <c r="A142" s="282" t="s">
        <v>209</v>
      </c>
      <c r="B142" s="282" t="s">
        <v>6333</v>
      </c>
      <c r="C142" s="705" t="s">
        <v>324</v>
      </c>
      <c r="D142" s="705">
        <v>850.0</v>
      </c>
      <c r="E142" s="705" t="s">
        <v>6078</v>
      </c>
      <c r="F142" s="705" t="s">
        <v>174</v>
      </c>
      <c r="G142" s="705" t="s">
        <v>166</v>
      </c>
      <c r="H142" s="765" t="s">
        <v>166</v>
      </c>
      <c r="I142" s="705" t="s">
        <v>2966</v>
      </c>
      <c r="J142" s="705" t="s">
        <v>2966</v>
      </c>
      <c r="K142" s="705" t="s">
        <v>6158</v>
      </c>
      <c r="L142" s="705" t="s">
        <v>6158</v>
      </c>
      <c r="M142" s="759" t="s">
        <v>214</v>
      </c>
      <c r="N142" s="705" t="s">
        <v>174</v>
      </c>
      <c r="O142" s="705" t="s">
        <v>174</v>
      </c>
      <c r="P142" s="705" t="s">
        <v>6334</v>
      </c>
      <c r="Q142" s="705">
        <v>92.0</v>
      </c>
      <c r="R142" s="705" t="s">
        <v>174</v>
      </c>
      <c r="S142" s="705" t="s">
        <v>6099</v>
      </c>
      <c r="T142" s="705" t="s">
        <v>6094</v>
      </c>
      <c r="U142" s="705">
        <v>1.0</v>
      </c>
      <c r="V142" s="705" t="s">
        <v>6100</v>
      </c>
      <c r="W142" s="705">
        <v>2.0</v>
      </c>
      <c r="X142" s="705" t="s">
        <v>6094</v>
      </c>
      <c r="Y142" s="705" t="s">
        <v>6286</v>
      </c>
      <c r="Z142" s="705" t="s">
        <v>6126</v>
      </c>
      <c r="AA142" s="705">
        <v>8.0</v>
      </c>
      <c r="AB142" s="705" t="s">
        <v>6129</v>
      </c>
      <c r="AC142" s="705">
        <v>3.0</v>
      </c>
      <c r="AD142" s="182" t="s">
        <v>6156</v>
      </c>
      <c r="AE142" s="705">
        <v>5.0</v>
      </c>
      <c r="AF142" s="698"/>
      <c r="AG142" s="705"/>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row>
    <row r="143">
      <c r="A143" s="282" t="s">
        <v>209</v>
      </c>
      <c r="B143" s="282" t="s">
        <v>6335</v>
      </c>
      <c r="C143" s="705" t="s">
        <v>6132</v>
      </c>
      <c r="D143" s="705">
        <v>1200.0</v>
      </c>
      <c r="E143" s="705" t="s">
        <v>6078</v>
      </c>
      <c r="F143" s="705" t="s">
        <v>174</v>
      </c>
      <c r="G143" s="705" t="s">
        <v>166</v>
      </c>
      <c r="H143" s="765" t="s">
        <v>166</v>
      </c>
      <c r="I143" s="705" t="s">
        <v>2966</v>
      </c>
      <c r="J143" s="705" t="s">
        <v>2966</v>
      </c>
      <c r="K143" s="705" t="s">
        <v>6158</v>
      </c>
      <c r="L143" s="705" t="s">
        <v>6158</v>
      </c>
      <c r="M143" s="759" t="s">
        <v>214</v>
      </c>
      <c r="N143" s="705" t="s">
        <v>174</v>
      </c>
      <c r="O143" s="705" t="s">
        <v>174</v>
      </c>
      <c r="P143" s="705" t="s">
        <v>6092</v>
      </c>
      <c r="Q143" s="705">
        <v>120.0</v>
      </c>
      <c r="R143" s="705" t="s">
        <v>166</v>
      </c>
      <c r="S143" s="705" t="s">
        <v>6099</v>
      </c>
      <c r="T143" s="705" t="s">
        <v>6181</v>
      </c>
      <c r="U143" s="705">
        <v>2.0</v>
      </c>
      <c r="V143" s="705" t="s">
        <v>6134</v>
      </c>
      <c r="W143" s="705">
        <v>4.0</v>
      </c>
      <c r="X143" s="705" t="s">
        <v>6094</v>
      </c>
      <c r="Y143" s="48" t="s">
        <v>6127</v>
      </c>
      <c r="Z143" s="705" t="s">
        <v>6126</v>
      </c>
      <c r="AA143" s="705">
        <v>8.0</v>
      </c>
      <c r="AB143" s="705" t="s">
        <v>6129</v>
      </c>
      <c r="AC143" s="705">
        <v>3.0</v>
      </c>
      <c r="AD143" s="182" t="s">
        <v>6156</v>
      </c>
      <c r="AE143" s="705">
        <v>5.0</v>
      </c>
      <c r="AF143" s="708"/>
      <c r="AG143" s="705"/>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row>
    <row r="144">
      <c r="A144" s="282" t="s">
        <v>209</v>
      </c>
      <c r="B144" s="282" t="str">
        <f>HYPERLINK("https://silverstonetek.com/product.php?pid=784&amp;area=en","FX350-G")</f>
        <v>FX350-G</v>
      </c>
      <c r="C144" s="705" t="s">
        <v>186</v>
      </c>
      <c r="D144" s="705">
        <v>350.0</v>
      </c>
      <c r="E144" s="705" t="s">
        <v>6091</v>
      </c>
      <c r="F144" s="705" t="s">
        <v>166</v>
      </c>
      <c r="G144" s="705" t="s">
        <v>2965</v>
      </c>
      <c r="H144" s="759" t="s">
        <v>214</v>
      </c>
      <c r="I144" s="705" t="s">
        <v>166</v>
      </c>
      <c r="J144" s="705" t="s">
        <v>166</v>
      </c>
      <c r="K144" s="705" t="s">
        <v>166</v>
      </c>
      <c r="L144" s="705" t="s">
        <v>166</v>
      </c>
      <c r="M144" s="705" t="s">
        <v>166</v>
      </c>
      <c r="N144" s="705" t="s">
        <v>166</v>
      </c>
      <c r="O144" s="705" t="s">
        <v>166</v>
      </c>
      <c r="P144" s="705" t="s">
        <v>6125</v>
      </c>
      <c r="Q144" s="705">
        <v>40.0</v>
      </c>
      <c r="R144" s="705" t="s">
        <v>166</v>
      </c>
      <c r="S144" s="705" t="s">
        <v>6080</v>
      </c>
      <c r="T144" s="705" t="s">
        <v>6109</v>
      </c>
      <c r="U144" s="705">
        <v>1.0</v>
      </c>
      <c r="V144" s="705" t="s">
        <v>6080</v>
      </c>
      <c r="W144" s="705" t="s">
        <v>6248</v>
      </c>
      <c r="X144" s="705" t="s">
        <v>166</v>
      </c>
      <c r="Y144" s="705" t="s">
        <v>166</v>
      </c>
      <c r="Z144" s="705" t="s">
        <v>6113</v>
      </c>
      <c r="AA144" s="705">
        <v>3.0</v>
      </c>
      <c r="AB144" s="705" t="s">
        <v>6147</v>
      </c>
      <c r="AC144" s="705">
        <v>2.0</v>
      </c>
      <c r="AD144" s="759" t="s">
        <v>6200</v>
      </c>
      <c r="AE144" s="705">
        <v>3.0</v>
      </c>
      <c r="AF144" s="708" t="s">
        <v>6237</v>
      </c>
      <c r="AG144" s="705"/>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row>
    <row r="145">
      <c r="A145" s="174" t="s">
        <v>209</v>
      </c>
      <c r="B145" s="174" t="s">
        <v>6336</v>
      </c>
      <c r="C145" s="48" t="s">
        <v>186</v>
      </c>
      <c r="D145" s="48">
        <v>500.0</v>
      </c>
      <c r="E145" s="48" t="s">
        <v>6091</v>
      </c>
      <c r="F145" s="48" t="s">
        <v>166</v>
      </c>
      <c r="G145" s="48" t="s">
        <v>2965</v>
      </c>
      <c r="H145" s="182" t="s">
        <v>214</v>
      </c>
      <c r="I145" s="48" t="s">
        <v>166</v>
      </c>
      <c r="J145" s="48" t="s">
        <v>166</v>
      </c>
      <c r="K145" s="48" t="s">
        <v>166</v>
      </c>
      <c r="L145" s="48" t="s">
        <v>166</v>
      </c>
      <c r="M145" s="48" t="s">
        <v>166</v>
      </c>
      <c r="N145" s="48" t="s">
        <v>166</v>
      </c>
      <c r="O145" s="48" t="s">
        <v>166</v>
      </c>
      <c r="P145" s="48" t="s">
        <v>6125</v>
      </c>
      <c r="Q145" s="48">
        <v>40.0</v>
      </c>
      <c r="R145" s="48" t="s">
        <v>166</v>
      </c>
      <c r="S145" s="48" t="s">
        <v>6080</v>
      </c>
      <c r="T145" s="48" t="s">
        <v>6109</v>
      </c>
      <c r="U145" s="48">
        <v>1.0</v>
      </c>
      <c r="V145" s="48" t="s">
        <v>6147</v>
      </c>
      <c r="W145" s="48">
        <v>2.0</v>
      </c>
      <c r="X145" s="48" t="s">
        <v>166</v>
      </c>
      <c r="Y145" s="48" t="s">
        <v>166</v>
      </c>
      <c r="Z145" s="48" t="s">
        <v>6129</v>
      </c>
      <c r="AA145" s="48">
        <v>4.0</v>
      </c>
      <c r="AB145" s="48" t="s">
        <v>6129</v>
      </c>
      <c r="AC145" s="48">
        <v>3.0</v>
      </c>
      <c r="AD145" s="759" t="s">
        <v>6200</v>
      </c>
      <c r="AE145" s="48">
        <v>3.0</v>
      </c>
      <c r="AF145" s="698" t="s">
        <v>6237</v>
      </c>
      <c r="AG145" s="48"/>
      <c r="AH145" s="66"/>
      <c r="AI145" s="66"/>
      <c r="AJ145" s="66"/>
      <c r="AK145" s="66"/>
      <c r="AL145" s="66"/>
      <c r="AM145" s="66"/>
      <c r="AN145" s="66"/>
      <c r="AO145" s="66"/>
      <c r="AP145" s="66"/>
      <c r="AQ145" s="66"/>
      <c r="AR145" s="66"/>
      <c r="AS145" s="66"/>
      <c r="AT145" s="66"/>
      <c r="AU145" s="66"/>
      <c r="AV145" s="66"/>
      <c r="AW145" s="66"/>
      <c r="AX145" s="66"/>
      <c r="AY145" s="66"/>
      <c r="AZ145" s="66"/>
      <c r="BA145" s="66"/>
      <c r="BB145" s="66"/>
      <c r="BC145" s="66"/>
      <c r="BD145" s="66"/>
      <c r="BE145" s="66"/>
      <c r="BF145" s="66"/>
      <c r="BG145" s="66"/>
      <c r="BH145" s="66"/>
      <c r="BI145" s="66"/>
      <c r="BJ145" s="66"/>
      <c r="BK145" s="66"/>
      <c r="BL145" s="66"/>
      <c r="BM145" s="66"/>
    </row>
    <row r="146">
      <c r="A146" s="174" t="s">
        <v>209</v>
      </c>
      <c r="B146" s="174" t="s">
        <v>6337</v>
      </c>
      <c r="C146" s="48" t="s">
        <v>186</v>
      </c>
      <c r="D146" s="48">
        <v>600.0</v>
      </c>
      <c r="E146" s="48" t="s">
        <v>6091</v>
      </c>
      <c r="F146" s="48" t="s">
        <v>166</v>
      </c>
      <c r="G146" s="48" t="s">
        <v>2966</v>
      </c>
      <c r="H146" s="182" t="s">
        <v>214</v>
      </c>
      <c r="I146" s="48" t="s">
        <v>2966</v>
      </c>
      <c r="J146" s="48" t="s">
        <v>166</v>
      </c>
      <c r="K146" s="48" t="s">
        <v>166</v>
      </c>
      <c r="L146" s="48" t="s">
        <v>166</v>
      </c>
      <c r="M146" s="182" t="s">
        <v>214</v>
      </c>
      <c r="N146" s="48" t="s">
        <v>166</v>
      </c>
      <c r="O146" s="48" t="s">
        <v>166</v>
      </c>
      <c r="P146" s="48" t="s">
        <v>6125</v>
      </c>
      <c r="Q146" s="48">
        <v>40.0</v>
      </c>
      <c r="R146" s="48" t="s">
        <v>166</v>
      </c>
      <c r="S146" s="48" t="s">
        <v>6080</v>
      </c>
      <c r="T146" s="48" t="s">
        <v>6147</v>
      </c>
      <c r="U146" s="48">
        <v>2.0</v>
      </c>
      <c r="V146" s="48" t="s">
        <v>6147</v>
      </c>
      <c r="W146" s="48">
        <v>2.0</v>
      </c>
      <c r="X146" s="48" t="s">
        <v>166</v>
      </c>
      <c r="Y146" s="48" t="s">
        <v>166</v>
      </c>
      <c r="Z146" s="48" t="s">
        <v>6135</v>
      </c>
      <c r="AA146" s="48">
        <v>4.0</v>
      </c>
      <c r="AB146" s="48" t="s">
        <v>6084</v>
      </c>
      <c r="AC146" s="48">
        <v>3.0</v>
      </c>
      <c r="AD146" s="182" t="s">
        <v>6201</v>
      </c>
      <c r="AE146" s="48">
        <v>3.0</v>
      </c>
      <c r="AF146" s="698"/>
      <c r="AG146" s="48"/>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row>
    <row r="147">
      <c r="A147" s="174" t="s">
        <v>209</v>
      </c>
      <c r="B147" s="174" t="str">
        <f>HYPERLINK("https://silverstonetek.com/product.php?pid=797","NJ450-SXL")</f>
        <v>NJ450-SXL</v>
      </c>
      <c r="C147" s="48" t="s">
        <v>6132</v>
      </c>
      <c r="D147" s="48">
        <v>450.0</v>
      </c>
      <c r="E147" s="48" t="s">
        <v>6091</v>
      </c>
      <c r="F147" s="48" t="s">
        <v>166</v>
      </c>
      <c r="G147" s="48" t="s">
        <v>2966</v>
      </c>
      <c r="H147" s="182" t="s">
        <v>214</v>
      </c>
      <c r="I147" s="48" t="s">
        <v>6145</v>
      </c>
      <c r="J147" s="48" t="s">
        <v>166</v>
      </c>
      <c r="K147" s="48" t="s">
        <v>6338</v>
      </c>
      <c r="L147" s="48" t="s">
        <v>6338</v>
      </c>
      <c r="M147" s="182" t="s">
        <v>214</v>
      </c>
      <c r="N147" s="48" t="s">
        <v>174</v>
      </c>
      <c r="O147" s="48" t="s">
        <v>166</v>
      </c>
      <c r="P147" s="48" t="s">
        <v>166</v>
      </c>
      <c r="Q147" s="48" t="s">
        <v>166</v>
      </c>
      <c r="R147" s="48" t="s">
        <v>166</v>
      </c>
      <c r="S147" s="48" t="s">
        <v>6099</v>
      </c>
      <c r="T147" s="48" t="s">
        <v>6094</v>
      </c>
      <c r="U147" s="48">
        <v>1.0</v>
      </c>
      <c r="V147" s="48" t="s">
        <v>6134</v>
      </c>
      <c r="W147" s="48">
        <v>4.0</v>
      </c>
      <c r="X147" s="48" t="s">
        <v>166</v>
      </c>
      <c r="Y147" s="48" t="s">
        <v>166</v>
      </c>
      <c r="Z147" s="48" t="s">
        <v>6126</v>
      </c>
      <c r="AA147" s="48">
        <v>8.0</v>
      </c>
      <c r="AB147" s="48" t="s">
        <v>6155</v>
      </c>
      <c r="AC147" s="48">
        <v>3.0</v>
      </c>
      <c r="AD147" s="182" t="s">
        <v>6201</v>
      </c>
      <c r="AE147" s="48">
        <v>3.0</v>
      </c>
      <c r="AF147" s="698" t="s">
        <v>3438</v>
      </c>
      <c r="AG147" s="182" t="s">
        <v>214</v>
      </c>
      <c r="AH147" s="66"/>
      <c r="AI147" s="66"/>
      <c r="AJ147" s="66"/>
      <c r="AK147" s="66"/>
      <c r="AL147" s="66"/>
      <c r="AM147" s="66"/>
      <c r="AN147" s="66"/>
      <c r="AO147" s="66"/>
      <c r="AP147" s="66"/>
      <c r="AQ147" s="66"/>
      <c r="AR147" s="66"/>
      <c r="AS147" s="66"/>
      <c r="AT147" s="66"/>
      <c r="AU147" s="66"/>
      <c r="AV147" s="66"/>
      <c r="AW147" s="66"/>
      <c r="AX147" s="66"/>
      <c r="AY147" s="66"/>
      <c r="AZ147" s="66"/>
      <c r="BA147" s="66"/>
      <c r="BB147" s="66"/>
      <c r="BC147" s="66"/>
      <c r="BD147" s="66"/>
      <c r="BE147" s="66"/>
      <c r="BF147" s="66"/>
      <c r="BG147" s="66"/>
      <c r="BH147" s="66"/>
      <c r="BI147" s="66"/>
      <c r="BJ147" s="66"/>
      <c r="BK147" s="66"/>
      <c r="BL147" s="66"/>
      <c r="BM147" s="66"/>
    </row>
    <row r="148">
      <c r="A148" s="174" t="s">
        <v>209</v>
      </c>
      <c r="B148" s="174" t="str">
        <f>HYPERLINK("https://silverstonetek.com/product.php?pid=458&amp;area=en","ST30SF")</f>
        <v>ST30SF</v>
      </c>
      <c r="C148" s="48" t="s">
        <v>324</v>
      </c>
      <c r="D148" s="48">
        <v>300.0</v>
      </c>
      <c r="E148" s="48" t="s">
        <v>6091</v>
      </c>
      <c r="F148" s="48" t="s">
        <v>166</v>
      </c>
      <c r="G148" s="48" t="s">
        <v>6145</v>
      </c>
      <c r="H148" s="182" t="s">
        <v>214</v>
      </c>
      <c r="I148" s="48" t="s">
        <v>166</v>
      </c>
      <c r="J148" s="48" t="s">
        <v>166</v>
      </c>
      <c r="K148" s="48" t="s">
        <v>166</v>
      </c>
      <c r="L148" s="48" t="s">
        <v>166</v>
      </c>
      <c r="M148" s="48" t="s">
        <v>166</v>
      </c>
      <c r="N148" s="48" t="s">
        <v>166</v>
      </c>
      <c r="O148" s="48" t="s">
        <v>174</v>
      </c>
      <c r="P148" s="48" t="s">
        <v>6339</v>
      </c>
      <c r="Q148" s="48">
        <v>80.0</v>
      </c>
      <c r="R148" s="48" t="s">
        <v>174</v>
      </c>
      <c r="S148" s="48" t="s">
        <v>6099</v>
      </c>
      <c r="T148" s="48" t="s">
        <v>6094</v>
      </c>
      <c r="U148" s="48">
        <v>1.0</v>
      </c>
      <c r="V148" s="48" t="s">
        <v>6094</v>
      </c>
      <c r="W148" s="48" t="s">
        <v>6248</v>
      </c>
      <c r="X148" s="48" t="s">
        <v>166</v>
      </c>
      <c r="Y148" s="48" t="s">
        <v>166</v>
      </c>
      <c r="Z148" s="48" t="s">
        <v>6096</v>
      </c>
      <c r="AA148" s="48">
        <v>3.0</v>
      </c>
      <c r="AB148" s="48" t="s">
        <v>6147</v>
      </c>
      <c r="AC148" s="48">
        <v>2.0</v>
      </c>
      <c r="AD148" s="759" t="s">
        <v>1200</v>
      </c>
      <c r="AE148" s="48">
        <v>3.0</v>
      </c>
      <c r="AF148" s="699"/>
      <c r="AG148" s="758"/>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row>
    <row r="149">
      <c r="A149" s="174" t="s">
        <v>209</v>
      </c>
      <c r="B149" s="174" t="str">
        <f>HYPERLINK("https://silverstonetek.com/product.php?pid=458&amp;area=en","ST30SF-V2")</f>
        <v>ST30SF-V2</v>
      </c>
      <c r="C149" s="48" t="s">
        <v>324</v>
      </c>
      <c r="D149" s="48">
        <v>300.0</v>
      </c>
      <c r="E149" s="48" t="s">
        <v>6091</v>
      </c>
      <c r="F149" s="48" t="s">
        <v>166</v>
      </c>
      <c r="G149" s="48" t="s">
        <v>6145</v>
      </c>
      <c r="H149" s="182" t="s">
        <v>214</v>
      </c>
      <c r="I149" s="48" t="s">
        <v>166</v>
      </c>
      <c r="J149" s="48" t="s">
        <v>166</v>
      </c>
      <c r="K149" s="48" t="s">
        <v>166</v>
      </c>
      <c r="L149" s="48" t="s">
        <v>166</v>
      </c>
      <c r="M149" s="48" t="s">
        <v>166</v>
      </c>
      <c r="N149" s="48" t="s">
        <v>166</v>
      </c>
      <c r="O149" s="48" t="s">
        <v>166</v>
      </c>
      <c r="P149" s="48" t="s">
        <v>6125</v>
      </c>
      <c r="Q149" s="48">
        <v>92.0</v>
      </c>
      <c r="R149" s="48" t="s">
        <v>174</v>
      </c>
      <c r="S149" s="48" t="s">
        <v>6099</v>
      </c>
      <c r="T149" s="48" t="s">
        <v>6094</v>
      </c>
      <c r="U149" s="48">
        <v>1.0</v>
      </c>
      <c r="V149" s="48" t="s">
        <v>6094</v>
      </c>
      <c r="W149" s="48" t="s">
        <v>6248</v>
      </c>
      <c r="X149" s="48" t="s">
        <v>166</v>
      </c>
      <c r="Y149" s="48" t="s">
        <v>166</v>
      </c>
      <c r="Z149" s="48" t="s">
        <v>6096</v>
      </c>
      <c r="AA149" s="48">
        <v>3.0</v>
      </c>
      <c r="AB149" s="48" t="s">
        <v>6147</v>
      </c>
      <c r="AC149" s="48">
        <v>2.0</v>
      </c>
      <c r="AD149" s="182" t="s">
        <v>6156</v>
      </c>
      <c r="AE149" s="48">
        <v>3.0</v>
      </c>
      <c r="AF149" s="699"/>
      <c r="AG149" s="758"/>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row>
    <row r="150">
      <c r="A150" s="174" t="s">
        <v>209</v>
      </c>
      <c r="B150" s="174" t="str">
        <f>HYPERLINK("https://www.silverstonetek.com/product.php?pid=342","ST45SF-G")</f>
        <v>ST45SF-G</v>
      </c>
      <c r="C150" s="48" t="s">
        <v>324</v>
      </c>
      <c r="D150" s="48">
        <v>450.0</v>
      </c>
      <c r="E150" s="48" t="s">
        <v>6091</v>
      </c>
      <c r="F150" s="48" t="s">
        <v>166</v>
      </c>
      <c r="G150" s="48" t="s">
        <v>2965</v>
      </c>
      <c r="H150" s="182" t="s">
        <v>214</v>
      </c>
      <c r="I150" s="48" t="s">
        <v>166</v>
      </c>
      <c r="J150" s="48" t="s">
        <v>166</v>
      </c>
      <c r="K150" s="48" t="s">
        <v>166</v>
      </c>
      <c r="L150" s="48" t="s">
        <v>166</v>
      </c>
      <c r="M150" s="48" t="s">
        <v>166</v>
      </c>
      <c r="N150" s="48" t="s">
        <v>174</v>
      </c>
      <c r="O150" s="48" t="s">
        <v>166</v>
      </c>
      <c r="P150" s="48" t="s">
        <v>6125</v>
      </c>
      <c r="Q150" s="48">
        <v>80.0</v>
      </c>
      <c r="R150" s="48" t="s">
        <v>174</v>
      </c>
      <c r="S150" s="48" t="s">
        <v>6099</v>
      </c>
      <c r="T150" s="48" t="s">
        <v>6094</v>
      </c>
      <c r="U150" s="48">
        <v>1.0</v>
      </c>
      <c r="V150" s="48" t="s">
        <v>6082</v>
      </c>
      <c r="W150" s="48" t="s">
        <v>6329</v>
      </c>
      <c r="X150" s="48" t="s">
        <v>166</v>
      </c>
      <c r="Y150" s="48" t="s">
        <v>166</v>
      </c>
      <c r="Z150" s="48" t="s">
        <v>6096</v>
      </c>
      <c r="AA150" s="48">
        <v>3.0</v>
      </c>
      <c r="AB150" s="48" t="s">
        <v>6147</v>
      </c>
      <c r="AC150" s="48">
        <v>2.0</v>
      </c>
      <c r="AD150" s="182" t="s">
        <v>6201</v>
      </c>
      <c r="AE150" s="48">
        <v>3.0</v>
      </c>
      <c r="AF150" s="699"/>
      <c r="AG150" s="182" t="s">
        <v>214</v>
      </c>
      <c r="AH150" s="66"/>
      <c r="AI150" s="66"/>
      <c r="AJ150" s="66"/>
      <c r="AK150" s="66"/>
      <c r="AL150" s="66"/>
      <c r="AM150" s="66"/>
      <c r="AN150" s="66"/>
      <c r="AO150" s="66"/>
      <c r="AP150" s="66"/>
      <c r="AQ150" s="66"/>
      <c r="AR150" s="66"/>
      <c r="AS150" s="66"/>
      <c r="AT150" s="66"/>
      <c r="AU150" s="66"/>
      <c r="AV150" s="66"/>
      <c r="AW150" s="66"/>
      <c r="AX150" s="66"/>
      <c r="AY150" s="66"/>
      <c r="AZ150" s="66"/>
      <c r="BA150" s="66"/>
      <c r="BB150" s="66"/>
      <c r="BC150" s="66"/>
      <c r="BD150" s="66"/>
      <c r="BE150" s="66"/>
      <c r="BF150" s="66"/>
      <c r="BG150" s="66"/>
      <c r="BH150" s="66"/>
      <c r="BI150" s="66"/>
      <c r="BJ150" s="66"/>
      <c r="BK150" s="66"/>
      <c r="BL150" s="66"/>
      <c r="BM150" s="66"/>
    </row>
    <row r="151">
      <c r="A151" s="174" t="s">
        <v>209</v>
      </c>
      <c r="B151" s="174" t="str">
        <f>HYPERLINK("https://www.silverstonetek.com/product.php?pid=253","ST45SF-V2")</f>
        <v>ST45SF-V2</v>
      </c>
      <c r="C151" s="48" t="s">
        <v>324</v>
      </c>
      <c r="D151" s="48">
        <v>450.0</v>
      </c>
      <c r="E151" s="48" t="s">
        <v>6091</v>
      </c>
      <c r="F151" s="48" t="s">
        <v>166</v>
      </c>
      <c r="G151" s="48" t="s">
        <v>6145</v>
      </c>
      <c r="H151" s="182" t="s">
        <v>214</v>
      </c>
      <c r="I151" s="48" t="s">
        <v>166</v>
      </c>
      <c r="J151" s="48" t="s">
        <v>166</v>
      </c>
      <c r="K151" s="48" t="s">
        <v>166</v>
      </c>
      <c r="L151" s="48" t="s">
        <v>166</v>
      </c>
      <c r="M151" s="48" t="s">
        <v>166</v>
      </c>
      <c r="N151" s="48" t="s">
        <v>166</v>
      </c>
      <c r="O151" s="48" t="s">
        <v>166</v>
      </c>
      <c r="P151" s="48" t="s">
        <v>6125</v>
      </c>
      <c r="Q151" s="48">
        <v>80.0</v>
      </c>
      <c r="R151" s="48" t="s">
        <v>174</v>
      </c>
      <c r="S151" s="48" t="s">
        <v>6099</v>
      </c>
      <c r="T151" s="48" t="s">
        <v>6094</v>
      </c>
      <c r="U151" s="48">
        <v>1.0</v>
      </c>
      <c r="V151" s="48" t="s">
        <v>6082</v>
      </c>
      <c r="W151" s="48" t="s">
        <v>6329</v>
      </c>
      <c r="X151" s="48" t="s">
        <v>166</v>
      </c>
      <c r="Y151" s="48" t="s">
        <v>166</v>
      </c>
      <c r="Z151" s="48" t="s">
        <v>6096</v>
      </c>
      <c r="AA151" s="48">
        <v>3.0</v>
      </c>
      <c r="AB151" s="48" t="s">
        <v>6147</v>
      </c>
      <c r="AC151" s="48">
        <v>2.0</v>
      </c>
      <c r="AD151" s="759" t="s">
        <v>1200</v>
      </c>
      <c r="AE151" s="48">
        <v>3.0</v>
      </c>
      <c r="AF151" s="699"/>
      <c r="AG151" s="758"/>
      <c r="AH151" s="66"/>
      <c r="AI151" s="66"/>
      <c r="AJ151" s="66"/>
      <c r="AK151" s="66"/>
      <c r="AL151" s="66"/>
      <c r="AM151" s="66"/>
      <c r="AN151" s="66"/>
      <c r="AO151" s="66"/>
      <c r="AP151" s="66"/>
      <c r="AQ151" s="66"/>
      <c r="AR151" s="66"/>
      <c r="AS151" s="66"/>
      <c r="AT151" s="66"/>
      <c r="AU151" s="66"/>
      <c r="AV151" s="66"/>
      <c r="AW151" s="66"/>
      <c r="AX151" s="66"/>
      <c r="AY151" s="66"/>
      <c r="AZ151" s="66"/>
      <c r="BA151" s="66"/>
      <c r="BB151" s="66"/>
      <c r="BC151" s="66"/>
      <c r="BD151" s="66"/>
      <c r="BE151" s="66"/>
      <c r="BF151" s="66"/>
      <c r="BG151" s="66"/>
      <c r="BH151" s="66"/>
      <c r="BI151" s="66"/>
      <c r="BJ151" s="66"/>
      <c r="BK151" s="66"/>
      <c r="BL151" s="66"/>
      <c r="BM151" s="66"/>
    </row>
    <row r="152">
      <c r="A152" s="174" t="s">
        <v>209</v>
      </c>
      <c r="B152" s="174" t="str">
        <f>HYPERLINK("https://www.silverstonetek.com/product.php?pid=253","ST45SF-V3")</f>
        <v>ST45SF-V3</v>
      </c>
      <c r="C152" s="48" t="s">
        <v>324</v>
      </c>
      <c r="D152" s="48">
        <v>450.0</v>
      </c>
      <c r="E152" s="48" t="s">
        <v>6091</v>
      </c>
      <c r="F152" s="48" t="s">
        <v>166</v>
      </c>
      <c r="G152" s="48" t="s">
        <v>6145</v>
      </c>
      <c r="H152" s="182" t="s">
        <v>214</v>
      </c>
      <c r="I152" s="48" t="s">
        <v>6145</v>
      </c>
      <c r="J152" s="48" t="s">
        <v>166</v>
      </c>
      <c r="K152" s="48" t="s">
        <v>6142</v>
      </c>
      <c r="L152" s="48" t="s">
        <v>166</v>
      </c>
      <c r="M152" s="182" t="s">
        <v>214</v>
      </c>
      <c r="N152" s="48" t="s">
        <v>166</v>
      </c>
      <c r="O152" s="48" t="s">
        <v>166</v>
      </c>
      <c r="P152" s="48" t="s">
        <v>6125</v>
      </c>
      <c r="Q152" s="48">
        <v>92.0</v>
      </c>
      <c r="R152" s="48" t="s">
        <v>174</v>
      </c>
      <c r="S152" s="48" t="s">
        <v>6099</v>
      </c>
      <c r="T152" s="48" t="s">
        <v>6094</v>
      </c>
      <c r="U152" s="48">
        <v>1.0</v>
      </c>
      <c r="V152" s="48" t="s">
        <v>6082</v>
      </c>
      <c r="W152" s="48" t="s">
        <v>6329</v>
      </c>
      <c r="X152" s="48" t="s">
        <v>166</v>
      </c>
      <c r="Y152" s="48" t="s">
        <v>166</v>
      </c>
      <c r="Z152" s="48" t="s">
        <v>6096</v>
      </c>
      <c r="AA152" s="48">
        <v>3.0</v>
      </c>
      <c r="AB152" s="48" t="s">
        <v>6147</v>
      </c>
      <c r="AC152" s="48">
        <v>2.0</v>
      </c>
      <c r="AD152" s="182" t="s">
        <v>6156</v>
      </c>
      <c r="AE152" s="48">
        <v>3.0</v>
      </c>
      <c r="AF152" s="699"/>
      <c r="AG152" s="182" t="s">
        <v>214</v>
      </c>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row>
    <row r="153">
      <c r="A153" s="174" t="s">
        <v>209</v>
      </c>
      <c r="B153" s="174" t="s">
        <v>6340</v>
      </c>
      <c r="C153" s="48" t="s">
        <v>324</v>
      </c>
      <c r="D153" s="48">
        <v>300.0</v>
      </c>
      <c r="E153" s="48" t="s">
        <v>6341</v>
      </c>
      <c r="F153" s="48" t="s">
        <v>166</v>
      </c>
      <c r="G153" s="48" t="s">
        <v>6145</v>
      </c>
      <c r="H153" s="182" t="s">
        <v>214</v>
      </c>
      <c r="I153" s="48" t="s">
        <v>6145</v>
      </c>
      <c r="J153" s="48" t="s">
        <v>6145</v>
      </c>
      <c r="K153" s="48" t="s">
        <v>6133</v>
      </c>
      <c r="L153" s="48" t="s">
        <v>6338</v>
      </c>
      <c r="M153" s="182" t="s">
        <v>214</v>
      </c>
      <c r="N153" s="48" t="s">
        <v>166</v>
      </c>
      <c r="O153" s="48" t="s">
        <v>166</v>
      </c>
      <c r="P153" s="48" t="s">
        <v>6125</v>
      </c>
      <c r="Q153" s="48">
        <v>80.0</v>
      </c>
      <c r="R153" s="48" t="s">
        <v>166</v>
      </c>
      <c r="S153" s="48" t="s">
        <v>6099</v>
      </c>
      <c r="T153" s="48" t="s">
        <v>6094</v>
      </c>
      <c r="U153" s="48">
        <v>1.0</v>
      </c>
      <c r="V153" s="48" t="s">
        <v>6094</v>
      </c>
      <c r="W153" s="48">
        <v>1.0</v>
      </c>
      <c r="X153" s="48" t="s">
        <v>166</v>
      </c>
      <c r="Y153" s="48" t="s">
        <v>166</v>
      </c>
      <c r="Z153" s="48" t="s">
        <v>6096</v>
      </c>
      <c r="AA153" s="48">
        <v>3.0</v>
      </c>
      <c r="AB153" s="48" t="s">
        <v>6147</v>
      </c>
      <c r="AC153" s="48">
        <v>2.0</v>
      </c>
      <c r="AD153" s="759" t="s">
        <v>1200</v>
      </c>
      <c r="AE153" s="48">
        <v>3.0</v>
      </c>
      <c r="AF153" s="699"/>
      <c r="AG153" s="758"/>
      <c r="AH153" s="66"/>
      <c r="AI153" s="66"/>
      <c r="AJ153" s="66"/>
      <c r="AK153" s="66"/>
      <c r="AL153" s="66"/>
      <c r="AM153" s="66"/>
      <c r="AN153" s="66"/>
      <c r="AO153" s="66"/>
      <c r="AP153" s="66"/>
      <c r="AQ153" s="66"/>
      <c r="AR153" s="66"/>
      <c r="AS153" s="66"/>
      <c r="AT153" s="66"/>
      <c r="AU153" s="66"/>
      <c r="AV153" s="66"/>
      <c r="AW153" s="66"/>
      <c r="AX153" s="66"/>
      <c r="AY153" s="66"/>
      <c r="AZ153" s="66"/>
      <c r="BA153" s="66"/>
      <c r="BB153" s="66"/>
      <c r="BC153" s="66"/>
      <c r="BD153" s="66"/>
      <c r="BE153" s="66"/>
      <c r="BF153" s="66"/>
      <c r="BG153" s="66"/>
      <c r="BH153" s="66"/>
      <c r="BI153" s="66"/>
      <c r="BJ153" s="66"/>
      <c r="BK153" s="66"/>
      <c r="BL153" s="66"/>
      <c r="BM153" s="66"/>
    </row>
    <row r="154">
      <c r="A154" s="174" t="s">
        <v>209</v>
      </c>
      <c r="B154" s="174" t="s">
        <v>6342</v>
      </c>
      <c r="C154" s="48" t="s">
        <v>324</v>
      </c>
      <c r="D154" s="48">
        <v>450.0</v>
      </c>
      <c r="E154" s="48" t="s">
        <v>6341</v>
      </c>
      <c r="F154" s="48" t="s">
        <v>166</v>
      </c>
      <c r="G154" s="48" t="s">
        <v>6145</v>
      </c>
      <c r="H154" s="182" t="s">
        <v>214</v>
      </c>
      <c r="I154" s="48" t="s">
        <v>166</v>
      </c>
      <c r="J154" s="48" t="s">
        <v>166</v>
      </c>
      <c r="K154" s="48" t="s">
        <v>166</v>
      </c>
      <c r="L154" s="48" t="s">
        <v>166</v>
      </c>
      <c r="M154" s="48" t="s">
        <v>166</v>
      </c>
      <c r="N154" s="48" t="s">
        <v>166</v>
      </c>
      <c r="O154" s="48" t="s">
        <v>166</v>
      </c>
      <c r="P154" s="48" t="s">
        <v>6125</v>
      </c>
      <c r="Q154" s="48">
        <v>80.0</v>
      </c>
      <c r="R154" s="48" t="s">
        <v>166</v>
      </c>
      <c r="S154" s="48" t="s">
        <v>6099</v>
      </c>
      <c r="T154" s="48" t="s">
        <v>6094</v>
      </c>
      <c r="U154" s="48">
        <v>1.0</v>
      </c>
      <c r="V154" s="48" t="s">
        <v>6100</v>
      </c>
      <c r="W154" s="48">
        <v>2.0</v>
      </c>
      <c r="X154" s="48" t="s">
        <v>166</v>
      </c>
      <c r="Y154" s="48" t="s">
        <v>166</v>
      </c>
      <c r="Z154" s="48" t="s">
        <v>6096</v>
      </c>
      <c r="AA154" s="48">
        <v>3.0</v>
      </c>
      <c r="AB154" s="48" t="s">
        <v>6147</v>
      </c>
      <c r="AC154" s="48">
        <v>2.0</v>
      </c>
      <c r="AD154" s="759" t="s">
        <v>1200</v>
      </c>
      <c r="AE154" s="48">
        <v>3.0</v>
      </c>
      <c r="AF154" s="699"/>
      <c r="AG154" s="758"/>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row>
    <row r="155">
      <c r="A155" s="174" t="s">
        <v>209</v>
      </c>
      <c r="B155" s="174" t="str">
        <f>HYPERLINK("https://www.silverstonetek.com/product.php?pid=761&amp;area=en","SX500-G")</f>
        <v>SX500-G</v>
      </c>
      <c r="C155" s="48" t="s">
        <v>324</v>
      </c>
      <c r="D155" s="48">
        <v>500.0</v>
      </c>
      <c r="E155" s="48" t="s">
        <v>6091</v>
      </c>
      <c r="F155" s="48" t="s">
        <v>166</v>
      </c>
      <c r="G155" s="48" t="s">
        <v>2965</v>
      </c>
      <c r="H155" s="182" t="s">
        <v>214</v>
      </c>
      <c r="I155" s="48" t="s">
        <v>2965</v>
      </c>
      <c r="J155" s="48" t="s">
        <v>166</v>
      </c>
      <c r="K155" s="48" t="s">
        <v>6142</v>
      </c>
      <c r="L155" s="48" t="s">
        <v>166</v>
      </c>
      <c r="M155" s="182" t="s">
        <v>214</v>
      </c>
      <c r="N155" s="48" t="s">
        <v>174</v>
      </c>
      <c r="O155" s="48" t="s">
        <v>166</v>
      </c>
      <c r="P155" s="48" t="s">
        <v>6125</v>
      </c>
      <c r="Q155" s="48">
        <v>92.0</v>
      </c>
      <c r="R155" s="48" t="s">
        <v>166</v>
      </c>
      <c r="S155" s="48" t="s">
        <v>6099</v>
      </c>
      <c r="T155" s="48" t="s">
        <v>6094</v>
      </c>
      <c r="U155" s="48">
        <v>1.0</v>
      </c>
      <c r="V155" s="48" t="s">
        <v>6082</v>
      </c>
      <c r="W155" s="48">
        <v>2.0</v>
      </c>
      <c r="X155" s="48" t="s">
        <v>166</v>
      </c>
      <c r="Y155" s="48" t="s">
        <v>166</v>
      </c>
      <c r="Z155" s="48" t="s">
        <v>6343</v>
      </c>
      <c r="AA155" s="48">
        <v>6.0</v>
      </c>
      <c r="AB155" s="48" t="s">
        <v>6155</v>
      </c>
      <c r="AC155" s="48">
        <v>3.0</v>
      </c>
      <c r="AD155" s="182" t="s">
        <v>6156</v>
      </c>
      <c r="AE155" s="48">
        <v>3.0</v>
      </c>
      <c r="AF155" s="699"/>
      <c r="AG155" s="182" t="s">
        <v>214</v>
      </c>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row>
    <row r="156">
      <c r="A156" s="174" t="s">
        <v>209</v>
      </c>
      <c r="B156" s="174" t="str">
        <f>HYPERLINK("https://silverstonetek.com/product.php?pid=527&amp;area=en","SX500-LG")</f>
        <v>SX500-LG</v>
      </c>
      <c r="C156" s="48" t="s">
        <v>6132</v>
      </c>
      <c r="D156" s="48">
        <v>500.0</v>
      </c>
      <c r="E156" s="48" t="s">
        <v>6091</v>
      </c>
      <c r="F156" s="48" t="s">
        <v>166</v>
      </c>
      <c r="G156" s="48" t="s">
        <v>2965</v>
      </c>
      <c r="H156" s="182" t="s">
        <v>214</v>
      </c>
      <c r="I156" s="48" t="s">
        <v>166</v>
      </c>
      <c r="J156" s="48" t="s">
        <v>166</v>
      </c>
      <c r="K156" s="48" t="s">
        <v>166</v>
      </c>
      <c r="L156" s="48" t="s">
        <v>166</v>
      </c>
      <c r="M156" s="48" t="s">
        <v>166</v>
      </c>
      <c r="N156" s="48" t="s">
        <v>174</v>
      </c>
      <c r="O156" s="48" t="s">
        <v>166</v>
      </c>
      <c r="P156" s="48" t="s">
        <v>6125</v>
      </c>
      <c r="Q156" s="48">
        <v>120.0</v>
      </c>
      <c r="R156" s="48" t="s">
        <v>174</v>
      </c>
      <c r="S156" s="48" t="s">
        <v>6099</v>
      </c>
      <c r="T156" s="48" t="s">
        <v>6094</v>
      </c>
      <c r="U156" s="48">
        <v>1.0</v>
      </c>
      <c r="V156" s="48" t="s">
        <v>6100</v>
      </c>
      <c r="W156" s="48">
        <v>2.0</v>
      </c>
      <c r="X156" s="48" t="s">
        <v>166</v>
      </c>
      <c r="Y156" s="48" t="s">
        <v>166</v>
      </c>
      <c r="Z156" s="48" t="s">
        <v>6096</v>
      </c>
      <c r="AA156" s="48">
        <v>3.0</v>
      </c>
      <c r="AB156" s="48" t="s">
        <v>6147</v>
      </c>
      <c r="AC156" s="48">
        <v>2.0</v>
      </c>
      <c r="AD156" s="182" t="s">
        <v>6156</v>
      </c>
      <c r="AE156" s="48">
        <v>3.0</v>
      </c>
      <c r="AF156" s="699"/>
      <c r="AG156" s="182" t="s">
        <v>214</v>
      </c>
      <c r="AH156" s="66"/>
      <c r="AI156" s="66"/>
      <c r="AJ156" s="66"/>
      <c r="AK156" s="66"/>
      <c r="AL156" s="66"/>
      <c r="AM156" s="66"/>
      <c r="AN156" s="66"/>
      <c r="AO156" s="66"/>
      <c r="AP156" s="66"/>
      <c r="AQ156" s="66"/>
      <c r="AR156" s="66"/>
      <c r="AS156" s="66"/>
      <c r="AT156" s="66"/>
      <c r="AU156" s="66"/>
      <c r="AV156" s="66"/>
      <c r="AW156" s="66"/>
      <c r="AX156" s="66"/>
      <c r="AY156" s="66"/>
      <c r="AZ156" s="66"/>
      <c r="BA156" s="66"/>
      <c r="BB156" s="66"/>
      <c r="BC156" s="66"/>
      <c r="BD156" s="66"/>
      <c r="BE156" s="66"/>
      <c r="BF156" s="66"/>
      <c r="BG156" s="66"/>
      <c r="BH156" s="66"/>
      <c r="BI156" s="66"/>
      <c r="BJ156" s="66"/>
      <c r="BK156" s="66"/>
      <c r="BL156" s="66"/>
      <c r="BM156" s="66"/>
    </row>
    <row r="157">
      <c r="A157" s="174" t="s">
        <v>209</v>
      </c>
      <c r="B157" s="174" t="s">
        <v>6344</v>
      </c>
      <c r="C157" s="48" t="s">
        <v>324</v>
      </c>
      <c r="D157" s="48">
        <v>550.0</v>
      </c>
      <c r="E157" s="48" t="s">
        <v>6091</v>
      </c>
      <c r="F157" s="48" t="s">
        <v>166</v>
      </c>
      <c r="G157" s="48" t="s">
        <v>2965</v>
      </c>
      <c r="H157" s="182" t="s">
        <v>214</v>
      </c>
      <c r="I157" s="48" t="s">
        <v>2965</v>
      </c>
      <c r="J157" s="48" t="s">
        <v>166</v>
      </c>
      <c r="K157" s="48" t="s">
        <v>6158</v>
      </c>
      <c r="L157" s="48" t="s">
        <v>166</v>
      </c>
      <c r="M157" s="182" t="s">
        <v>214</v>
      </c>
      <c r="N157" s="48" t="s">
        <v>166</v>
      </c>
      <c r="O157" s="48" t="s">
        <v>166</v>
      </c>
      <c r="P157" s="48" t="s">
        <v>6125</v>
      </c>
      <c r="Q157" s="48">
        <v>80.0</v>
      </c>
      <c r="R157" s="48" t="s">
        <v>166</v>
      </c>
      <c r="S157" s="48" t="s">
        <v>6099</v>
      </c>
      <c r="T157" s="48" t="s">
        <v>6094</v>
      </c>
      <c r="U157" s="48">
        <v>1.0</v>
      </c>
      <c r="V157" s="48" t="s">
        <v>6100</v>
      </c>
      <c r="W157" s="48">
        <v>2.0</v>
      </c>
      <c r="X157" s="48" t="s">
        <v>166</v>
      </c>
      <c r="Y157" s="48" t="s">
        <v>166</v>
      </c>
      <c r="Z157" s="48" t="s">
        <v>6096</v>
      </c>
      <c r="AA157" s="48">
        <v>3.0</v>
      </c>
      <c r="AB157" s="48" t="s">
        <v>6147</v>
      </c>
      <c r="AC157" s="48">
        <v>2.0</v>
      </c>
      <c r="AD157" s="759" t="s">
        <v>1200</v>
      </c>
      <c r="AE157" s="48">
        <v>3.0</v>
      </c>
      <c r="AF157" s="699"/>
      <c r="AG157" s="182" t="s">
        <v>214</v>
      </c>
      <c r="AH157" s="66"/>
      <c r="AI157" s="66"/>
      <c r="AJ157" s="66"/>
      <c r="AK157" s="66"/>
      <c r="AL157" s="66"/>
      <c r="AM157" s="66"/>
      <c r="AN157" s="66"/>
      <c r="AO157" s="66"/>
      <c r="AP157" s="66"/>
      <c r="AQ157" s="66"/>
      <c r="AR157" s="66"/>
      <c r="AS157" s="66"/>
      <c r="AT157" s="66"/>
      <c r="AU157" s="66"/>
      <c r="AV157" s="66"/>
      <c r="AW157" s="66"/>
      <c r="AX157" s="66"/>
      <c r="AY157" s="66"/>
      <c r="AZ157" s="66"/>
      <c r="BA157" s="66"/>
      <c r="BB157" s="66"/>
      <c r="BC157" s="66"/>
      <c r="BD157" s="66"/>
      <c r="BE157" s="66"/>
      <c r="BF157" s="66"/>
      <c r="BG157" s="66"/>
      <c r="BH157" s="66"/>
      <c r="BI157" s="66"/>
      <c r="BJ157" s="66"/>
      <c r="BK157" s="66"/>
      <c r="BL157" s="66"/>
      <c r="BM157" s="66"/>
    </row>
    <row r="158">
      <c r="A158" s="174" t="s">
        <v>209</v>
      </c>
      <c r="B158" s="174" t="str">
        <f>HYPERLINK("https://www.silverstonetek.com/product.php?pid=524","SX600-G")</f>
        <v>SX600-G</v>
      </c>
      <c r="C158" s="48" t="s">
        <v>324</v>
      </c>
      <c r="D158" s="48">
        <v>600.0</v>
      </c>
      <c r="E158" s="48" t="s">
        <v>6091</v>
      </c>
      <c r="F158" s="48" t="s">
        <v>166</v>
      </c>
      <c r="G158" s="48" t="s">
        <v>2965</v>
      </c>
      <c r="H158" s="182" t="s">
        <v>214</v>
      </c>
      <c r="I158" s="48" t="s">
        <v>166</v>
      </c>
      <c r="J158" s="48" t="s">
        <v>166</v>
      </c>
      <c r="K158" s="48" t="s">
        <v>166</v>
      </c>
      <c r="L158" s="48" t="s">
        <v>166</v>
      </c>
      <c r="M158" s="48" t="s">
        <v>166</v>
      </c>
      <c r="N158" s="48" t="s">
        <v>174</v>
      </c>
      <c r="O158" s="48" t="s">
        <v>174</v>
      </c>
      <c r="P158" s="48" t="s">
        <v>6345</v>
      </c>
      <c r="Q158" s="48">
        <v>80.0</v>
      </c>
      <c r="R158" s="48" t="s">
        <v>174</v>
      </c>
      <c r="S158" s="48" t="s">
        <v>6099</v>
      </c>
      <c r="T158" s="48" t="s">
        <v>6094</v>
      </c>
      <c r="U158" s="48">
        <v>1.0</v>
      </c>
      <c r="V158" s="48" t="s">
        <v>6100</v>
      </c>
      <c r="W158" s="48">
        <v>2.0</v>
      </c>
      <c r="X158" s="48" t="s">
        <v>166</v>
      </c>
      <c r="Y158" s="48" t="s">
        <v>166</v>
      </c>
      <c r="Z158" s="48" t="s">
        <v>6155</v>
      </c>
      <c r="AA158" s="48">
        <v>4.0</v>
      </c>
      <c r="AB158" s="48" t="s">
        <v>6147</v>
      </c>
      <c r="AC158" s="48">
        <v>2.0</v>
      </c>
      <c r="AD158" s="182" t="s">
        <v>6201</v>
      </c>
      <c r="AE158" s="48">
        <v>3.0</v>
      </c>
      <c r="AF158" s="699"/>
      <c r="AG158" s="182" t="s">
        <v>214</v>
      </c>
      <c r="AH158" s="66"/>
      <c r="AI158" s="66"/>
      <c r="AJ158" s="66"/>
      <c r="AK158" s="66"/>
      <c r="AL158" s="66"/>
      <c r="AM158" s="66"/>
      <c r="AN158" s="66"/>
      <c r="AO158" s="66"/>
      <c r="AP158" s="66"/>
      <c r="AQ158" s="66"/>
      <c r="AR158" s="66"/>
      <c r="AS158" s="66"/>
      <c r="AT158" s="66"/>
      <c r="AU158" s="66"/>
      <c r="AV158" s="66"/>
      <c r="AW158" s="66"/>
      <c r="AX158" s="66"/>
      <c r="AY158" s="66"/>
      <c r="AZ158" s="66"/>
      <c r="BA158" s="66"/>
      <c r="BB158" s="66"/>
      <c r="BC158" s="66"/>
      <c r="BD158" s="66"/>
      <c r="BE158" s="66"/>
      <c r="BF158" s="66"/>
      <c r="BG158" s="66"/>
      <c r="BH158" s="66"/>
      <c r="BI158" s="66"/>
      <c r="BJ158" s="66"/>
      <c r="BK158" s="66"/>
      <c r="BL158" s="66"/>
      <c r="BM158" s="66"/>
    </row>
    <row r="159">
      <c r="A159" s="174" t="s">
        <v>209</v>
      </c>
      <c r="B159" s="174" t="str">
        <f>HYPERLINK("https://www.silverstonetek.com/product.php?pid=762&amp;area=en","SX650-G")</f>
        <v>SX650-G</v>
      </c>
      <c r="C159" s="48" t="s">
        <v>324</v>
      </c>
      <c r="D159" s="48">
        <v>650.0</v>
      </c>
      <c r="E159" s="48" t="s">
        <v>6091</v>
      </c>
      <c r="F159" s="48" t="s">
        <v>166</v>
      </c>
      <c r="G159" s="48" t="s">
        <v>2965</v>
      </c>
      <c r="H159" s="182" t="s">
        <v>214</v>
      </c>
      <c r="I159" s="48" t="s">
        <v>2965</v>
      </c>
      <c r="J159" s="48" t="s">
        <v>2965</v>
      </c>
      <c r="K159" s="48" t="s">
        <v>6087</v>
      </c>
      <c r="L159" s="48" t="s">
        <v>6087</v>
      </c>
      <c r="M159" s="182" t="s">
        <v>214</v>
      </c>
      <c r="N159" s="48" t="s">
        <v>174</v>
      </c>
      <c r="O159" s="48" t="s">
        <v>166</v>
      </c>
      <c r="P159" s="48" t="s">
        <v>6125</v>
      </c>
      <c r="Q159" s="48">
        <v>92.0</v>
      </c>
      <c r="R159" s="48" t="s">
        <v>166</v>
      </c>
      <c r="S159" s="48" t="s">
        <v>6099</v>
      </c>
      <c r="T159" s="48" t="s">
        <v>6094</v>
      </c>
      <c r="U159" s="48">
        <v>1.0</v>
      </c>
      <c r="V159" s="48" t="s">
        <v>6346</v>
      </c>
      <c r="W159" s="48">
        <v>4.0</v>
      </c>
      <c r="X159" s="48" t="s">
        <v>166</v>
      </c>
      <c r="Y159" s="48" t="s">
        <v>166</v>
      </c>
      <c r="Z159" s="48" t="s">
        <v>6343</v>
      </c>
      <c r="AA159" s="48">
        <v>6.0</v>
      </c>
      <c r="AB159" s="48" t="s">
        <v>6155</v>
      </c>
      <c r="AC159" s="48">
        <v>3.0</v>
      </c>
      <c r="AD159" s="182" t="s">
        <v>6156</v>
      </c>
      <c r="AE159" s="48">
        <v>5.0</v>
      </c>
      <c r="AF159" s="699"/>
      <c r="AG159" s="182" t="s">
        <v>214</v>
      </c>
      <c r="AH159" s="66"/>
      <c r="AI159" s="66"/>
      <c r="AJ159" s="66"/>
      <c r="AK159" s="66"/>
      <c r="AL159" s="66"/>
      <c r="AM159" s="66"/>
      <c r="AN159" s="66"/>
      <c r="AO159" s="66"/>
      <c r="AP159" s="66"/>
      <c r="AQ159" s="66"/>
      <c r="AR159" s="66"/>
      <c r="AS159" s="66"/>
      <c r="AT159" s="66"/>
      <c r="AU159" s="66"/>
      <c r="AV159" s="66"/>
      <c r="AW159" s="66"/>
      <c r="AX159" s="66"/>
      <c r="AY159" s="66"/>
      <c r="AZ159" s="66"/>
      <c r="BA159" s="66"/>
      <c r="BB159" s="66"/>
      <c r="BC159" s="66"/>
      <c r="BD159" s="66"/>
      <c r="BE159" s="66"/>
      <c r="BF159" s="66"/>
      <c r="BG159" s="66"/>
      <c r="BH159" s="66"/>
      <c r="BI159" s="66"/>
      <c r="BJ159" s="66"/>
      <c r="BK159" s="66"/>
      <c r="BL159" s="66"/>
      <c r="BM159" s="66"/>
    </row>
    <row r="160">
      <c r="A160" s="174" t="s">
        <v>209</v>
      </c>
      <c r="B160" s="174" t="str">
        <f>HYPERLINK("https://www.silverstonetek.com/product.php?pid=833&amp;area=en","SX700-G")</f>
        <v>SX700-G</v>
      </c>
      <c r="C160" s="48" t="s">
        <v>324</v>
      </c>
      <c r="D160" s="48">
        <v>700.0</v>
      </c>
      <c r="E160" s="48" t="s">
        <v>6091</v>
      </c>
      <c r="F160" s="48" t="s">
        <v>166</v>
      </c>
      <c r="G160" s="48" t="s">
        <v>2965</v>
      </c>
      <c r="H160" s="182" t="s">
        <v>214</v>
      </c>
      <c r="I160" s="48" t="s">
        <v>2965</v>
      </c>
      <c r="J160" s="48" t="s">
        <v>2965</v>
      </c>
      <c r="K160" s="48" t="s">
        <v>6087</v>
      </c>
      <c r="L160" s="48" t="s">
        <v>6087</v>
      </c>
      <c r="M160" s="182" t="s">
        <v>214</v>
      </c>
      <c r="N160" s="48" t="s">
        <v>174</v>
      </c>
      <c r="O160" s="48" t="s">
        <v>166</v>
      </c>
      <c r="P160" s="48" t="s">
        <v>6125</v>
      </c>
      <c r="Q160" s="48">
        <v>92.0</v>
      </c>
      <c r="R160" s="48" t="s">
        <v>166</v>
      </c>
      <c r="S160" s="48" t="s">
        <v>6099</v>
      </c>
      <c r="T160" s="48" t="s">
        <v>6094</v>
      </c>
      <c r="U160" s="48">
        <v>1.0</v>
      </c>
      <c r="V160" s="48" t="s">
        <v>6346</v>
      </c>
      <c r="W160" s="48">
        <v>4.0</v>
      </c>
      <c r="X160" s="48" t="s">
        <v>166</v>
      </c>
      <c r="Y160" s="48" t="s">
        <v>166</v>
      </c>
      <c r="Z160" s="48" t="s">
        <v>6343</v>
      </c>
      <c r="AA160" s="48">
        <v>6.0</v>
      </c>
      <c r="AB160" s="48" t="s">
        <v>6155</v>
      </c>
      <c r="AC160" s="48">
        <v>3.0</v>
      </c>
      <c r="AD160" s="182" t="s">
        <v>6156</v>
      </c>
      <c r="AE160" s="48">
        <v>5.0</v>
      </c>
      <c r="AF160" s="699"/>
      <c r="AG160" s="182" t="s">
        <v>214</v>
      </c>
      <c r="AH160" s="66"/>
      <c r="AI160" s="66"/>
      <c r="AJ160" s="66"/>
      <c r="AK160" s="66"/>
      <c r="AL160" s="66"/>
      <c r="AM160" s="66"/>
      <c r="AN160" s="66"/>
      <c r="AO160" s="66"/>
      <c r="AP160" s="66"/>
      <c r="AQ160" s="66"/>
      <c r="AR160" s="66"/>
      <c r="AS160" s="66"/>
      <c r="AT160" s="66"/>
      <c r="AU160" s="66"/>
      <c r="AV160" s="66"/>
      <c r="AW160" s="66"/>
      <c r="AX160" s="66"/>
      <c r="AY160" s="66"/>
      <c r="AZ160" s="66"/>
      <c r="BA160" s="66"/>
      <c r="BB160" s="66"/>
      <c r="BC160" s="66"/>
      <c r="BD160" s="66"/>
      <c r="BE160" s="66"/>
      <c r="BF160" s="66"/>
      <c r="BG160" s="66"/>
      <c r="BH160" s="66"/>
      <c r="BI160" s="66"/>
      <c r="BJ160" s="66"/>
      <c r="BK160" s="66"/>
      <c r="BL160" s="66"/>
      <c r="BM160" s="66"/>
    </row>
    <row r="161">
      <c r="A161" s="174" t="s">
        <v>209</v>
      </c>
      <c r="B161" s="174" t="str">
        <f>HYPERLINK("https://silverstonetek.com/product.php?pid=670&amp;area=en","SX700-LPT")</f>
        <v>SX700-LPT</v>
      </c>
      <c r="C161" s="48" t="s">
        <v>6132</v>
      </c>
      <c r="D161" s="48">
        <v>700.0</v>
      </c>
      <c r="E161" s="48" t="s">
        <v>6091</v>
      </c>
      <c r="F161" s="48" t="s">
        <v>166</v>
      </c>
      <c r="G161" s="48" t="s">
        <v>2966</v>
      </c>
      <c r="H161" s="182" t="s">
        <v>214</v>
      </c>
      <c r="I161" s="48" t="s">
        <v>2966</v>
      </c>
      <c r="J161" s="48" t="s">
        <v>166</v>
      </c>
      <c r="K161" s="48" t="s">
        <v>6142</v>
      </c>
      <c r="L161" s="48" t="s">
        <v>166</v>
      </c>
      <c r="M161" s="182" t="s">
        <v>214</v>
      </c>
      <c r="N161" s="48" t="s">
        <v>174</v>
      </c>
      <c r="O161" s="48" t="s">
        <v>174</v>
      </c>
      <c r="P161" s="782">
        <v>0.3</v>
      </c>
      <c r="Q161" s="48">
        <v>120.0</v>
      </c>
      <c r="R161" s="48" t="s">
        <v>166</v>
      </c>
      <c r="S161" s="48" t="s">
        <v>6099</v>
      </c>
      <c r="T161" s="48" t="s">
        <v>6094</v>
      </c>
      <c r="U161" s="48">
        <v>1.0</v>
      </c>
      <c r="V161" s="48" t="s">
        <v>6346</v>
      </c>
      <c r="W161" s="48">
        <v>4.0</v>
      </c>
      <c r="X161" s="48" t="s">
        <v>166</v>
      </c>
      <c r="Y161" s="48" t="s">
        <v>166</v>
      </c>
      <c r="Z161" s="48" t="s">
        <v>6347</v>
      </c>
      <c r="AA161" s="48">
        <v>9.0</v>
      </c>
      <c r="AB161" s="48" t="s">
        <v>6155</v>
      </c>
      <c r="AC161" s="48">
        <v>3.0</v>
      </c>
      <c r="AD161" s="182" t="s">
        <v>6156</v>
      </c>
      <c r="AE161" s="48">
        <v>5.0</v>
      </c>
      <c r="AF161" s="699"/>
      <c r="AG161" s="182" t="s">
        <v>214</v>
      </c>
      <c r="AH161" s="66"/>
      <c r="AI161" s="66"/>
      <c r="AJ161" s="66"/>
      <c r="AK161" s="66"/>
      <c r="AL161" s="66"/>
      <c r="AM161" s="66"/>
      <c r="AN161" s="66"/>
      <c r="AO161" s="66"/>
      <c r="AP161" s="66"/>
      <c r="AQ161" s="66"/>
      <c r="AR161" s="66"/>
      <c r="AS161" s="66"/>
      <c r="AT161" s="66"/>
      <c r="AU161" s="66"/>
      <c r="AV161" s="66"/>
      <c r="AW161" s="66"/>
      <c r="AX161" s="66"/>
      <c r="AY161" s="66"/>
      <c r="AZ161" s="66"/>
      <c r="BA161" s="66"/>
      <c r="BB161" s="66"/>
      <c r="BC161" s="66"/>
      <c r="BD161" s="66"/>
      <c r="BE161" s="66"/>
      <c r="BF161" s="66"/>
      <c r="BG161" s="66"/>
      <c r="BH161" s="66"/>
      <c r="BI161" s="66"/>
      <c r="BJ161" s="66"/>
      <c r="BK161" s="66"/>
      <c r="BL161" s="66"/>
      <c r="BM161" s="66"/>
    </row>
    <row r="162">
      <c r="A162" s="174" t="s">
        <v>209</v>
      </c>
      <c r="B162" s="174" t="str">
        <f>HYPERLINK("https://www.silverstonetek.com/product.php?pid=870&amp;area=en","SX700-PT")</f>
        <v>SX700-PT</v>
      </c>
      <c r="C162" s="48" t="s">
        <v>324</v>
      </c>
      <c r="D162" s="48">
        <v>700.0</v>
      </c>
      <c r="E162" s="48" t="s">
        <v>6091</v>
      </c>
      <c r="F162" s="48" t="s">
        <v>166</v>
      </c>
      <c r="G162" s="48" t="s">
        <v>2966</v>
      </c>
      <c r="H162" s="182" t="s">
        <v>214</v>
      </c>
      <c r="I162" s="48" t="s">
        <v>2966</v>
      </c>
      <c r="J162" s="48" t="s">
        <v>2966</v>
      </c>
      <c r="K162" s="48" t="s">
        <v>6087</v>
      </c>
      <c r="L162" s="48" t="s">
        <v>6087</v>
      </c>
      <c r="M162" s="182" t="s">
        <v>214</v>
      </c>
      <c r="N162" s="48" t="s">
        <v>174</v>
      </c>
      <c r="O162" s="48" t="s">
        <v>166</v>
      </c>
      <c r="P162" s="48" t="s">
        <v>6125</v>
      </c>
      <c r="Q162" s="48">
        <v>92.0</v>
      </c>
      <c r="R162" s="48" t="s">
        <v>166</v>
      </c>
      <c r="S162" s="48" t="s">
        <v>6099</v>
      </c>
      <c r="T162" s="48" t="s">
        <v>6082</v>
      </c>
      <c r="U162" s="48">
        <v>2.0</v>
      </c>
      <c r="V162" s="48" t="s">
        <v>6153</v>
      </c>
      <c r="W162" s="48">
        <v>4.0</v>
      </c>
      <c r="X162" s="48" t="s">
        <v>166</v>
      </c>
      <c r="Y162" s="48" t="s">
        <v>166</v>
      </c>
      <c r="Z162" s="48" t="s">
        <v>6136</v>
      </c>
      <c r="AA162" s="48">
        <v>6.0</v>
      </c>
      <c r="AB162" s="48" t="s">
        <v>6096</v>
      </c>
      <c r="AC162" s="48">
        <v>3.0</v>
      </c>
      <c r="AD162" s="182" t="s">
        <v>6156</v>
      </c>
      <c r="AE162" s="48">
        <v>5.0</v>
      </c>
      <c r="AF162" s="699"/>
      <c r="AG162" s="758"/>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row>
    <row r="163">
      <c r="A163" s="174" t="s">
        <v>209</v>
      </c>
      <c r="B163" s="174" t="s">
        <v>6348</v>
      </c>
      <c r="C163" s="48" t="s">
        <v>324</v>
      </c>
      <c r="D163" s="48">
        <v>750.0</v>
      </c>
      <c r="E163" s="48" t="s">
        <v>6091</v>
      </c>
      <c r="F163" s="48" t="s">
        <v>166</v>
      </c>
      <c r="G163" s="48" t="s">
        <v>2965</v>
      </c>
      <c r="H163" s="182" t="s">
        <v>214</v>
      </c>
      <c r="I163" s="48" t="s">
        <v>166</v>
      </c>
      <c r="J163" s="48" t="s">
        <v>166</v>
      </c>
      <c r="K163" s="48" t="s">
        <v>166</v>
      </c>
      <c r="L163" s="48" t="s">
        <v>166</v>
      </c>
      <c r="M163" s="48" t="s">
        <v>166</v>
      </c>
      <c r="N163" s="48" t="s">
        <v>174</v>
      </c>
      <c r="O163" s="48" t="s">
        <v>166</v>
      </c>
      <c r="P163" s="48" t="s">
        <v>6125</v>
      </c>
      <c r="Q163" s="48">
        <v>92.0</v>
      </c>
      <c r="R163" s="48" t="s">
        <v>166</v>
      </c>
      <c r="S163" s="48" t="s">
        <v>6099</v>
      </c>
      <c r="T163" s="48" t="s">
        <v>6082</v>
      </c>
      <c r="U163" s="48">
        <v>3.0</v>
      </c>
      <c r="V163" s="48" t="s">
        <v>6134</v>
      </c>
      <c r="W163" s="48">
        <v>4.0</v>
      </c>
      <c r="X163" s="48" t="s">
        <v>166</v>
      </c>
      <c r="Y163" s="48" t="s">
        <v>166</v>
      </c>
      <c r="Z163" s="48" t="s">
        <v>6126</v>
      </c>
      <c r="AA163" s="48">
        <v>8.0</v>
      </c>
      <c r="AB163" s="48" t="s">
        <v>6155</v>
      </c>
      <c r="AC163" s="48">
        <v>3.0</v>
      </c>
      <c r="AD163" s="759" t="s">
        <v>6200</v>
      </c>
      <c r="AE163" s="48">
        <v>5.0</v>
      </c>
      <c r="AF163" s="699"/>
      <c r="AG163" s="758"/>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row>
    <row r="164">
      <c r="A164" s="174" t="s">
        <v>209</v>
      </c>
      <c r="B164" s="174" t="s">
        <v>6349</v>
      </c>
      <c r="C164" s="48" t="s">
        <v>324</v>
      </c>
      <c r="D164" s="48">
        <v>750.0</v>
      </c>
      <c r="E164" s="48" t="s">
        <v>6091</v>
      </c>
      <c r="F164" s="48" t="s">
        <v>166</v>
      </c>
      <c r="G164" s="48" t="s">
        <v>2966</v>
      </c>
      <c r="H164" s="182" t="s">
        <v>214</v>
      </c>
      <c r="I164" s="48" t="s">
        <v>2966</v>
      </c>
      <c r="J164" s="48" t="s">
        <v>2966</v>
      </c>
      <c r="K164" s="48" t="s">
        <v>6087</v>
      </c>
      <c r="L164" s="48" t="s">
        <v>6087</v>
      </c>
      <c r="M164" s="182" t="s">
        <v>214</v>
      </c>
      <c r="N164" s="48" t="s">
        <v>174</v>
      </c>
      <c r="O164" s="48" t="s">
        <v>174</v>
      </c>
      <c r="P164" s="48" t="s">
        <v>6218</v>
      </c>
      <c r="Q164" s="48">
        <v>92.0</v>
      </c>
      <c r="R164" s="48" t="s">
        <v>166</v>
      </c>
      <c r="S164" s="48" t="s">
        <v>6099</v>
      </c>
      <c r="T164" s="48" t="s">
        <v>6082</v>
      </c>
      <c r="U164" s="48">
        <v>3.0</v>
      </c>
      <c r="V164" s="48" t="s">
        <v>6134</v>
      </c>
      <c r="W164" s="48">
        <v>4.0</v>
      </c>
      <c r="X164" s="48" t="s">
        <v>166</v>
      </c>
      <c r="Y164" s="48" t="s">
        <v>166</v>
      </c>
      <c r="Z164" s="48" t="s">
        <v>6126</v>
      </c>
      <c r="AA164" s="48">
        <v>8.0</v>
      </c>
      <c r="AB164" s="48" t="s">
        <v>6155</v>
      </c>
      <c r="AC164" s="48">
        <v>3.0</v>
      </c>
      <c r="AD164" s="182" t="s">
        <v>6201</v>
      </c>
      <c r="AE164" s="48">
        <v>5.0</v>
      </c>
      <c r="AF164" s="699"/>
      <c r="AG164" s="182" t="s">
        <v>214</v>
      </c>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row>
    <row r="165">
      <c r="A165" s="174" t="s">
        <v>209</v>
      </c>
      <c r="B165" s="174" t="str">
        <f>HYPERLINK("https://silverstonetek.com/product.php?pid=731","SX800-LTI")</f>
        <v>SX800-LTI</v>
      </c>
      <c r="C165" s="48" t="s">
        <v>6132</v>
      </c>
      <c r="D165" s="48">
        <v>800.0</v>
      </c>
      <c r="E165" s="48" t="s">
        <v>6091</v>
      </c>
      <c r="F165" s="48" t="s">
        <v>166</v>
      </c>
      <c r="G165" s="48" t="s">
        <v>2969</v>
      </c>
      <c r="H165" s="182" t="s">
        <v>214</v>
      </c>
      <c r="I165" s="48" t="s">
        <v>2969</v>
      </c>
      <c r="J165" s="48" t="s">
        <v>2981</v>
      </c>
      <c r="K165" s="48" t="s">
        <v>6142</v>
      </c>
      <c r="L165" s="48" t="s">
        <v>6087</v>
      </c>
      <c r="M165" s="182" t="s">
        <v>214</v>
      </c>
      <c r="N165" s="48" t="s">
        <v>174</v>
      </c>
      <c r="O165" s="48" t="s">
        <v>174</v>
      </c>
      <c r="P165" s="782">
        <v>0.2</v>
      </c>
      <c r="Q165" s="48">
        <v>120.0</v>
      </c>
      <c r="R165" s="48" t="s">
        <v>166</v>
      </c>
      <c r="S165" s="48" t="s">
        <v>6099</v>
      </c>
      <c r="T165" s="48" t="s">
        <v>6094</v>
      </c>
      <c r="U165" s="48">
        <v>1.0</v>
      </c>
      <c r="V165" s="48" t="s">
        <v>6346</v>
      </c>
      <c r="W165" s="48">
        <v>4.0</v>
      </c>
      <c r="X165" s="48" t="s">
        <v>166</v>
      </c>
      <c r="Y165" s="48" t="s">
        <v>166</v>
      </c>
      <c r="Z165" s="48" t="s">
        <v>6350</v>
      </c>
      <c r="AA165" s="48">
        <v>12.0</v>
      </c>
      <c r="AB165" s="48" t="s">
        <v>6155</v>
      </c>
      <c r="AC165" s="48">
        <v>3.0</v>
      </c>
      <c r="AD165" s="182" t="s">
        <v>6201</v>
      </c>
      <c r="AE165" s="48">
        <v>5.0</v>
      </c>
      <c r="AF165" s="699"/>
      <c r="AG165" s="758"/>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row>
    <row r="166">
      <c r="A166" s="174" t="s">
        <v>209</v>
      </c>
      <c r="B166" s="174" t="s">
        <v>6351</v>
      </c>
      <c r="C166" s="48" t="s">
        <v>6132</v>
      </c>
      <c r="D166" s="48">
        <v>1000.0</v>
      </c>
      <c r="E166" s="48" t="s">
        <v>6091</v>
      </c>
      <c r="F166" s="48" t="s">
        <v>166</v>
      </c>
      <c r="G166" s="48" t="s">
        <v>2966</v>
      </c>
      <c r="H166" s="182" t="s">
        <v>214</v>
      </c>
      <c r="I166" s="48" t="s">
        <v>2966</v>
      </c>
      <c r="J166" s="48" t="s">
        <v>2966</v>
      </c>
      <c r="K166" s="48" t="s">
        <v>6087</v>
      </c>
      <c r="L166" s="48" t="s">
        <v>6087</v>
      </c>
      <c r="M166" s="182" t="s">
        <v>214</v>
      </c>
      <c r="N166" s="48" t="s">
        <v>174</v>
      </c>
      <c r="O166" s="48" t="s">
        <v>174</v>
      </c>
      <c r="P166" s="782" t="s">
        <v>6334</v>
      </c>
      <c r="Q166" s="48">
        <v>120.0</v>
      </c>
      <c r="R166" s="48" t="s">
        <v>166</v>
      </c>
      <c r="S166" s="48" t="s">
        <v>6099</v>
      </c>
      <c r="T166" s="48" t="s">
        <v>6181</v>
      </c>
      <c r="U166" s="48">
        <v>2.0</v>
      </c>
      <c r="V166" s="48" t="s">
        <v>6352</v>
      </c>
      <c r="W166" s="48">
        <v>6.0</v>
      </c>
      <c r="X166" s="48" t="s">
        <v>166</v>
      </c>
      <c r="Y166" s="48" t="s">
        <v>166</v>
      </c>
      <c r="Z166" s="48" t="s">
        <v>6126</v>
      </c>
      <c r="AA166" s="48">
        <v>8.0</v>
      </c>
      <c r="AB166" s="48" t="s">
        <v>6129</v>
      </c>
      <c r="AC166" s="48">
        <v>3.0</v>
      </c>
      <c r="AD166" s="182" t="s">
        <v>6201</v>
      </c>
      <c r="AE166" s="48">
        <v>5.0</v>
      </c>
      <c r="AF166" s="699"/>
      <c r="AG166" s="182" t="s">
        <v>214</v>
      </c>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row>
    <row r="167">
      <c r="A167" s="291" t="s">
        <v>209</v>
      </c>
      <c r="B167" s="291" t="s">
        <v>6353</v>
      </c>
      <c r="C167" s="700" t="s">
        <v>6132</v>
      </c>
      <c r="D167" s="700">
        <v>1000.0</v>
      </c>
      <c r="E167" s="700" t="s">
        <v>6091</v>
      </c>
      <c r="F167" s="700" t="s">
        <v>174</v>
      </c>
      <c r="G167" s="700" t="s">
        <v>166</v>
      </c>
      <c r="H167" s="787" t="s">
        <v>166</v>
      </c>
      <c r="I167" s="700" t="s">
        <v>2966</v>
      </c>
      <c r="J167" s="700" t="s">
        <v>2966</v>
      </c>
      <c r="K167" s="700" t="s">
        <v>6142</v>
      </c>
      <c r="L167" s="700" t="s">
        <v>6087</v>
      </c>
      <c r="M167" s="760" t="s">
        <v>214</v>
      </c>
      <c r="N167" s="700" t="s">
        <v>174</v>
      </c>
      <c r="O167" s="700" t="s">
        <v>174</v>
      </c>
      <c r="P167" s="779" t="s">
        <v>6334</v>
      </c>
      <c r="Q167" s="700">
        <v>120.0</v>
      </c>
      <c r="R167" s="700" t="s">
        <v>166</v>
      </c>
      <c r="S167" s="700" t="s">
        <v>6099</v>
      </c>
      <c r="T167" s="700" t="s">
        <v>6181</v>
      </c>
      <c r="U167" s="700">
        <v>2.0</v>
      </c>
      <c r="V167" s="700" t="s">
        <v>6134</v>
      </c>
      <c r="W167" s="700">
        <v>4.0</v>
      </c>
      <c r="X167" s="700" t="s">
        <v>6094</v>
      </c>
      <c r="Y167" s="700" t="s">
        <v>6127</v>
      </c>
      <c r="Z167" s="700" t="s">
        <v>6126</v>
      </c>
      <c r="AA167" s="700">
        <v>8.0</v>
      </c>
      <c r="AB167" s="700" t="s">
        <v>6129</v>
      </c>
      <c r="AC167" s="700">
        <v>3.0</v>
      </c>
      <c r="AD167" s="760" t="s">
        <v>6201</v>
      </c>
      <c r="AE167" s="700">
        <v>5.0</v>
      </c>
      <c r="AF167" s="704"/>
      <c r="AG167" s="760"/>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row>
    <row r="168">
      <c r="A168" s="282" t="s">
        <v>1634</v>
      </c>
      <c r="B168" s="282" t="s">
        <v>6354</v>
      </c>
      <c r="C168" s="705" t="s">
        <v>324</v>
      </c>
      <c r="D168" s="705">
        <v>650.0</v>
      </c>
      <c r="E168" s="705" t="s">
        <v>6078</v>
      </c>
      <c r="F168" s="705" t="s">
        <v>174</v>
      </c>
      <c r="G168" s="705" t="s">
        <v>2965</v>
      </c>
      <c r="H168" s="759" t="s">
        <v>214</v>
      </c>
      <c r="I168" s="705" t="s">
        <v>166</v>
      </c>
      <c r="J168" s="705" t="s">
        <v>166</v>
      </c>
      <c r="K168" s="705" t="s">
        <v>166</v>
      </c>
      <c r="L168" s="705" t="s">
        <v>166</v>
      </c>
      <c r="M168" s="705" t="s">
        <v>166</v>
      </c>
      <c r="N168" s="705" t="s">
        <v>174</v>
      </c>
      <c r="O168" s="705" t="s">
        <v>174</v>
      </c>
      <c r="P168" s="771">
        <v>0.3</v>
      </c>
      <c r="Q168" s="705">
        <v>92.0</v>
      </c>
      <c r="R168" s="705" t="s">
        <v>174</v>
      </c>
      <c r="S168" s="705" t="s">
        <v>6099</v>
      </c>
      <c r="T168" s="705" t="s">
        <v>6095</v>
      </c>
      <c r="U168" s="705">
        <v>2.0</v>
      </c>
      <c r="V168" s="705" t="s">
        <v>6160</v>
      </c>
      <c r="W168" s="705">
        <v>4.0</v>
      </c>
      <c r="X168" s="705" t="s">
        <v>166</v>
      </c>
      <c r="Y168" s="705" t="s">
        <v>166</v>
      </c>
      <c r="Z168" s="705" t="s">
        <v>6355</v>
      </c>
      <c r="AA168" s="705">
        <v>6.0</v>
      </c>
      <c r="AB168" s="705" t="s">
        <v>6276</v>
      </c>
      <c r="AC168" s="705">
        <v>3.0</v>
      </c>
      <c r="AD168" s="767" t="s">
        <v>6356</v>
      </c>
      <c r="AE168" s="705">
        <v>5.0</v>
      </c>
      <c r="AF168" s="720"/>
      <c r="AG168" s="7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row>
    <row r="169">
      <c r="A169" s="174" t="s">
        <v>1634</v>
      </c>
      <c r="B169" s="282" t="s">
        <v>6357</v>
      </c>
      <c r="C169" s="705" t="s">
        <v>324</v>
      </c>
      <c r="D169" s="705">
        <v>650.0</v>
      </c>
      <c r="E169" s="705" t="s">
        <v>6078</v>
      </c>
      <c r="F169" s="705" t="s">
        <v>174</v>
      </c>
      <c r="G169" s="705" t="s">
        <v>2965</v>
      </c>
      <c r="H169" s="759" t="s">
        <v>214</v>
      </c>
      <c r="I169" s="705" t="s">
        <v>166</v>
      </c>
      <c r="J169" s="705" t="s">
        <v>166</v>
      </c>
      <c r="K169" s="705" t="s">
        <v>166</v>
      </c>
      <c r="L169" s="705" t="s">
        <v>166</v>
      </c>
      <c r="M169" s="705" t="s">
        <v>166</v>
      </c>
      <c r="N169" s="705" t="s">
        <v>174</v>
      </c>
      <c r="O169" s="705" t="s">
        <v>174</v>
      </c>
      <c r="P169" s="771">
        <v>0.3</v>
      </c>
      <c r="Q169" s="705">
        <v>92.0</v>
      </c>
      <c r="R169" s="705" t="s">
        <v>174</v>
      </c>
      <c r="S169" s="705" t="s">
        <v>6099</v>
      </c>
      <c r="T169" s="705" t="s">
        <v>6095</v>
      </c>
      <c r="U169" s="705">
        <v>2.0</v>
      </c>
      <c r="V169" s="705" t="s">
        <v>6160</v>
      </c>
      <c r="W169" s="705">
        <v>4.0</v>
      </c>
      <c r="X169" s="705" t="s">
        <v>166</v>
      </c>
      <c r="Y169" s="705" t="s">
        <v>166</v>
      </c>
      <c r="Z169" s="705" t="s">
        <v>6355</v>
      </c>
      <c r="AA169" s="705">
        <v>6.0</v>
      </c>
      <c r="AB169" s="705" t="s">
        <v>6276</v>
      </c>
      <c r="AC169" s="705">
        <v>3.0</v>
      </c>
      <c r="AD169" s="767" t="s">
        <v>6356</v>
      </c>
      <c r="AE169" s="48">
        <v>5.0</v>
      </c>
      <c r="AF169" s="720"/>
      <c r="AG169" s="7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row>
    <row r="170">
      <c r="A170" s="174" t="s">
        <v>1634</v>
      </c>
      <c r="B170" s="282" t="s">
        <v>6358</v>
      </c>
      <c r="C170" s="705" t="s">
        <v>324</v>
      </c>
      <c r="D170" s="705">
        <v>850.0</v>
      </c>
      <c r="E170" s="705" t="s">
        <v>6078</v>
      </c>
      <c r="F170" s="705" t="s">
        <v>174</v>
      </c>
      <c r="G170" s="705" t="s">
        <v>2965</v>
      </c>
      <c r="H170" s="759" t="s">
        <v>214</v>
      </c>
      <c r="I170" s="705" t="s">
        <v>166</v>
      </c>
      <c r="J170" s="705" t="s">
        <v>166</v>
      </c>
      <c r="K170" s="705" t="s">
        <v>166</v>
      </c>
      <c r="L170" s="705" t="s">
        <v>166</v>
      </c>
      <c r="M170" s="705" t="s">
        <v>166</v>
      </c>
      <c r="N170" s="705" t="s">
        <v>174</v>
      </c>
      <c r="O170" s="705" t="s">
        <v>174</v>
      </c>
      <c r="P170" s="771">
        <v>0.3</v>
      </c>
      <c r="Q170" s="705">
        <v>92.0</v>
      </c>
      <c r="R170" s="705" t="s">
        <v>174</v>
      </c>
      <c r="S170" s="705" t="s">
        <v>6099</v>
      </c>
      <c r="T170" s="705" t="s">
        <v>6095</v>
      </c>
      <c r="U170" s="705">
        <v>2.0</v>
      </c>
      <c r="V170" s="705" t="s">
        <v>6160</v>
      </c>
      <c r="W170" s="705">
        <v>4.0</v>
      </c>
      <c r="X170" s="705" t="s">
        <v>6094</v>
      </c>
      <c r="Y170" s="48" t="s">
        <v>6127</v>
      </c>
      <c r="Z170" s="705" t="s">
        <v>6355</v>
      </c>
      <c r="AA170" s="705">
        <v>6.0</v>
      </c>
      <c r="AB170" s="705" t="s">
        <v>6276</v>
      </c>
      <c r="AC170" s="705">
        <v>3.0</v>
      </c>
      <c r="AD170" s="767" t="s">
        <v>6356</v>
      </c>
      <c r="AE170" s="48">
        <v>5.0</v>
      </c>
      <c r="AF170" s="720"/>
      <c r="AG170" s="7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row>
    <row r="171">
      <c r="A171" s="174" t="s">
        <v>1634</v>
      </c>
      <c r="B171" s="282" t="s">
        <v>6359</v>
      </c>
      <c r="C171" s="705" t="s">
        <v>324</v>
      </c>
      <c r="D171" s="705">
        <v>550.0</v>
      </c>
      <c r="E171" s="705" t="s">
        <v>6078</v>
      </c>
      <c r="F171" s="705" t="s">
        <v>174</v>
      </c>
      <c r="G171" s="705" t="s">
        <v>2965</v>
      </c>
      <c r="H171" s="759" t="s">
        <v>214</v>
      </c>
      <c r="I171" s="705" t="s">
        <v>166</v>
      </c>
      <c r="J171" s="705" t="s">
        <v>166</v>
      </c>
      <c r="K171" s="705" t="s">
        <v>166</v>
      </c>
      <c r="L171" s="705" t="s">
        <v>166</v>
      </c>
      <c r="M171" s="705" t="s">
        <v>166</v>
      </c>
      <c r="N171" s="705" t="s">
        <v>174</v>
      </c>
      <c r="O171" s="705" t="s">
        <v>174</v>
      </c>
      <c r="P171" s="771">
        <v>0.3</v>
      </c>
      <c r="Q171" s="705">
        <v>92.0</v>
      </c>
      <c r="R171" s="705" t="s">
        <v>174</v>
      </c>
      <c r="S171" s="705" t="s">
        <v>6099</v>
      </c>
      <c r="T171" s="705" t="s">
        <v>6095</v>
      </c>
      <c r="U171" s="705">
        <v>2.0</v>
      </c>
      <c r="V171" s="705" t="s">
        <v>6095</v>
      </c>
      <c r="W171" s="705">
        <v>2.0</v>
      </c>
      <c r="X171" s="705" t="s">
        <v>166</v>
      </c>
      <c r="Y171" s="705" t="s">
        <v>166</v>
      </c>
      <c r="Z171" s="705" t="s">
        <v>6355</v>
      </c>
      <c r="AA171" s="705">
        <v>6.0</v>
      </c>
      <c r="AB171" s="705" t="s">
        <v>6276</v>
      </c>
      <c r="AC171" s="705">
        <v>3.0</v>
      </c>
      <c r="AD171" s="767" t="s">
        <v>6356</v>
      </c>
      <c r="AE171" s="48">
        <v>5.0</v>
      </c>
      <c r="AF171" s="720"/>
      <c r="AG171" s="7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row>
    <row r="172">
      <c r="A172" s="174" t="s">
        <v>1634</v>
      </c>
      <c r="B172" s="282" t="s">
        <v>6360</v>
      </c>
      <c r="C172" s="705" t="s">
        <v>324</v>
      </c>
      <c r="D172" s="705">
        <v>550.0</v>
      </c>
      <c r="E172" s="705" t="s">
        <v>6078</v>
      </c>
      <c r="F172" s="705" t="s">
        <v>174</v>
      </c>
      <c r="G172" s="705" t="s">
        <v>2965</v>
      </c>
      <c r="H172" s="759" t="s">
        <v>214</v>
      </c>
      <c r="I172" s="705" t="s">
        <v>166</v>
      </c>
      <c r="J172" s="705" t="s">
        <v>166</v>
      </c>
      <c r="K172" s="705" t="s">
        <v>166</v>
      </c>
      <c r="L172" s="705" t="s">
        <v>166</v>
      </c>
      <c r="M172" s="705" t="s">
        <v>166</v>
      </c>
      <c r="N172" s="705" t="s">
        <v>174</v>
      </c>
      <c r="O172" s="705" t="s">
        <v>174</v>
      </c>
      <c r="P172" s="771">
        <v>0.3</v>
      </c>
      <c r="Q172" s="705">
        <v>92.0</v>
      </c>
      <c r="R172" s="705" t="s">
        <v>174</v>
      </c>
      <c r="S172" s="705" t="s">
        <v>6099</v>
      </c>
      <c r="T172" s="705" t="s">
        <v>6095</v>
      </c>
      <c r="U172" s="705">
        <v>2.0</v>
      </c>
      <c r="V172" s="705" t="s">
        <v>6095</v>
      </c>
      <c r="W172" s="705">
        <v>2.0</v>
      </c>
      <c r="X172" s="705" t="s">
        <v>166</v>
      </c>
      <c r="Y172" s="705" t="s">
        <v>166</v>
      </c>
      <c r="Z172" s="705" t="s">
        <v>6355</v>
      </c>
      <c r="AA172" s="705">
        <v>6.0</v>
      </c>
      <c r="AB172" s="705" t="s">
        <v>6276</v>
      </c>
      <c r="AC172" s="705">
        <v>3.0</v>
      </c>
      <c r="AD172" s="767" t="s">
        <v>6356</v>
      </c>
      <c r="AE172" s="48">
        <v>5.0</v>
      </c>
      <c r="AF172" s="720"/>
      <c r="AG172" s="7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row>
    <row r="173">
      <c r="A173" s="174" t="s">
        <v>1634</v>
      </c>
      <c r="B173" s="282" t="s">
        <v>6361</v>
      </c>
      <c r="C173" s="705" t="s">
        <v>324</v>
      </c>
      <c r="D173" s="705">
        <v>650.0</v>
      </c>
      <c r="E173" s="705" t="s">
        <v>6078</v>
      </c>
      <c r="F173" s="705" t="s">
        <v>174</v>
      </c>
      <c r="G173" s="705" t="s">
        <v>2965</v>
      </c>
      <c r="H173" s="759" t="s">
        <v>214</v>
      </c>
      <c r="I173" s="705" t="s">
        <v>166</v>
      </c>
      <c r="J173" s="705" t="s">
        <v>166</v>
      </c>
      <c r="K173" s="705" t="s">
        <v>166</v>
      </c>
      <c r="L173" s="705" t="s">
        <v>166</v>
      </c>
      <c r="M173" s="705" t="s">
        <v>166</v>
      </c>
      <c r="N173" s="705" t="s">
        <v>174</v>
      </c>
      <c r="O173" s="705" t="s">
        <v>174</v>
      </c>
      <c r="P173" s="771">
        <v>0.3</v>
      </c>
      <c r="Q173" s="705">
        <v>92.0</v>
      </c>
      <c r="R173" s="705" t="s">
        <v>174</v>
      </c>
      <c r="S173" s="705" t="s">
        <v>6099</v>
      </c>
      <c r="T173" s="705" t="s">
        <v>6095</v>
      </c>
      <c r="U173" s="705">
        <v>2.0</v>
      </c>
      <c r="V173" s="705" t="s">
        <v>6160</v>
      </c>
      <c r="W173" s="705">
        <v>4.0</v>
      </c>
      <c r="X173" s="705" t="s">
        <v>166</v>
      </c>
      <c r="Y173" s="705" t="s">
        <v>166</v>
      </c>
      <c r="Z173" s="705" t="s">
        <v>6355</v>
      </c>
      <c r="AA173" s="705">
        <v>6.0</v>
      </c>
      <c r="AB173" s="705" t="s">
        <v>6276</v>
      </c>
      <c r="AC173" s="705">
        <v>3.0</v>
      </c>
      <c r="AD173" s="767" t="s">
        <v>6356</v>
      </c>
      <c r="AE173" s="48">
        <v>5.0</v>
      </c>
      <c r="AF173" s="720"/>
      <c r="AG173" s="7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row>
    <row r="174">
      <c r="A174" s="174" t="s">
        <v>1634</v>
      </c>
      <c r="B174" s="282" t="s">
        <v>6362</v>
      </c>
      <c r="C174" s="705" t="s">
        <v>324</v>
      </c>
      <c r="D174" s="705">
        <v>650.0</v>
      </c>
      <c r="E174" s="705" t="s">
        <v>6078</v>
      </c>
      <c r="F174" s="705" t="s">
        <v>174</v>
      </c>
      <c r="G174" s="705" t="s">
        <v>2965</v>
      </c>
      <c r="H174" s="759" t="s">
        <v>214</v>
      </c>
      <c r="I174" s="705" t="s">
        <v>166</v>
      </c>
      <c r="J174" s="705" t="s">
        <v>166</v>
      </c>
      <c r="K174" s="705" t="s">
        <v>166</v>
      </c>
      <c r="L174" s="705" t="s">
        <v>166</v>
      </c>
      <c r="M174" s="705" t="s">
        <v>166</v>
      </c>
      <c r="N174" s="705" t="s">
        <v>174</v>
      </c>
      <c r="O174" s="705" t="s">
        <v>174</v>
      </c>
      <c r="P174" s="771">
        <v>0.3</v>
      </c>
      <c r="Q174" s="705">
        <v>92.0</v>
      </c>
      <c r="R174" s="705" t="s">
        <v>174</v>
      </c>
      <c r="S174" s="705" t="s">
        <v>6099</v>
      </c>
      <c r="T174" s="705" t="s">
        <v>6095</v>
      </c>
      <c r="U174" s="705">
        <v>2.0</v>
      </c>
      <c r="V174" s="705" t="s">
        <v>6160</v>
      </c>
      <c r="W174" s="705">
        <v>4.0</v>
      </c>
      <c r="X174" s="705" t="s">
        <v>166</v>
      </c>
      <c r="Y174" s="705" t="s">
        <v>166</v>
      </c>
      <c r="Z174" s="705" t="s">
        <v>6355</v>
      </c>
      <c r="AA174" s="705">
        <v>6.0</v>
      </c>
      <c r="AB174" s="705" t="s">
        <v>6276</v>
      </c>
      <c r="AC174" s="705">
        <v>3.0</v>
      </c>
      <c r="AD174" s="767" t="s">
        <v>6356</v>
      </c>
      <c r="AE174" s="48">
        <v>5.0</v>
      </c>
      <c r="AF174" s="720"/>
      <c r="AG174" s="7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row>
    <row r="175">
      <c r="A175" s="174" t="s">
        <v>1634</v>
      </c>
      <c r="B175" s="282" t="s">
        <v>6363</v>
      </c>
      <c r="C175" s="705" t="s">
        <v>324</v>
      </c>
      <c r="D175" s="705">
        <v>750.0</v>
      </c>
      <c r="E175" s="705" t="s">
        <v>6078</v>
      </c>
      <c r="F175" s="705" t="s">
        <v>174</v>
      </c>
      <c r="G175" s="705" t="s">
        <v>2965</v>
      </c>
      <c r="H175" s="759" t="s">
        <v>214</v>
      </c>
      <c r="I175" s="705" t="s">
        <v>166</v>
      </c>
      <c r="J175" s="705" t="s">
        <v>166</v>
      </c>
      <c r="K175" s="705" t="s">
        <v>166</v>
      </c>
      <c r="L175" s="705" t="s">
        <v>166</v>
      </c>
      <c r="M175" s="705" t="s">
        <v>166</v>
      </c>
      <c r="N175" s="705" t="s">
        <v>174</v>
      </c>
      <c r="O175" s="705" t="s">
        <v>174</v>
      </c>
      <c r="P175" s="771">
        <v>0.3</v>
      </c>
      <c r="Q175" s="705">
        <v>92.0</v>
      </c>
      <c r="R175" s="705" t="s">
        <v>174</v>
      </c>
      <c r="S175" s="705" t="s">
        <v>6099</v>
      </c>
      <c r="T175" s="705" t="s">
        <v>6095</v>
      </c>
      <c r="U175" s="705">
        <v>2.0</v>
      </c>
      <c r="V175" s="705" t="s">
        <v>6160</v>
      </c>
      <c r="W175" s="705">
        <v>4.0</v>
      </c>
      <c r="X175" s="705" t="s">
        <v>6094</v>
      </c>
      <c r="Y175" s="48" t="s">
        <v>6127</v>
      </c>
      <c r="Z175" s="705" t="s">
        <v>6355</v>
      </c>
      <c r="AA175" s="705">
        <v>6.0</v>
      </c>
      <c r="AB175" s="705" t="s">
        <v>6276</v>
      </c>
      <c r="AC175" s="705">
        <v>3.0</v>
      </c>
      <c r="AD175" s="767" t="s">
        <v>6356</v>
      </c>
      <c r="AE175" s="48">
        <v>5.0</v>
      </c>
      <c r="AF175" s="720"/>
      <c r="AG175" s="7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row>
    <row r="176">
      <c r="A176" s="174" t="s">
        <v>1634</v>
      </c>
      <c r="B176" s="282" t="s">
        <v>6364</v>
      </c>
      <c r="C176" s="705" t="s">
        <v>324</v>
      </c>
      <c r="D176" s="705">
        <v>750.0</v>
      </c>
      <c r="E176" s="705" t="s">
        <v>6078</v>
      </c>
      <c r="F176" s="705" t="s">
        <v>174</v>
      </c>
      <c r="G176" s="705" t="s">
        <v>2965</v>
      </c>
      <c r="H176" s="759" t="s">
        <v>214</v>
      </c>
      <c r="I176" s="705" t="s">
        <v>166</v>
      </c>
      <c r="J176" s="705" t="s">
        <v>166</v>
      </c>
      <c r="K176" s="705" t="s">
        <v>166</v>
      </c>
      <c r="L176" s="705" t="s">
        <v>166</v>
      </c>
      <c r="M176" s="705" t="s">
        <v>166</v>
      </c>
      <c r="N176" s="705" t="s">
        <v>174</v>
      </c>
      <c r="O176" s="705" t="s">
        <v>174</v>
      </c>
      <c r="P176" s="771">
        <v>0.3</v>
      </c>
      <c r="Q176" s="705">
        <v>92.0</v>
      </c>
      <c r="R176" s="705" t="s">
        <v>174</v>
      </c>
      <c r="S176" s="705" t="s">
        <v>6099</v>
      </c>
      <c r="T176" s="705" t="s">
        <v>6095</v>
      </c>
      <c r="U176" s="705">
        <v>2.0</v>
      </c>
      <c r="V176" s="705" t="s">
        <v>6160</v>
      </c>
      <c r="W176" s="705">
        <v>4.0</v>
      </c>
      <c r="X176" s="705" t="s">
        <v>6094</v>
      </c>
      <c r="Y176" s="48" t="s">
        <v>6127</v>
      </c>
      <c r="Z176" s="705" t="s">
        <v>6355</v>
      </c>
      <c r="AA176" s="705">
        <v>6.0</v>
      </c>
      <c r="AB176" s="705" t="s">
        <v>6276</v>
      </c>
      <c r="AC176" s="705">
        <v>3.0</v>
      </c>
      <c r="AD176" s="767" t="s">
        <v>6356</v>
      </c>
      <c r="AE176" s="48">
        <v>5.0</v>
      </c>
      <c r="AF176" s="720"/>
      <c r="AG176" s="7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row>
    <row r="177">
      <c r="A177" s="174" t="s">
        <v>1634</v>
      </c>
      <c r="B177" s="282" t="s">
        <v>6365</v>
      </c>
      <c r="C177" s="705" t="s">
        <v>324</v>
      </c>
      <c r="D177" s="705">
        <v>850.0</v>
      </c>
      <c r="E177" s="705" t="s">
        <v>6078</v>
      </c>
      <c r="F177" s="705" t="s">
        <v>174</v>
      </c>
      <c r="G177" s="705" t="s">
        <v>2965</v>
      </c>
      <c r="H177" s="759" t="s">
        <v>214</v>
      </c>
      <c r="I177" s="705" t="s">
        <v>166</v>
      </c>
      <c r="J177" s="705" t="s">
        <v>166</v>
      </c>
      <c r="K177" s="705" t="s">
        <v>166</v>
      </c>
      <c r="L177" s="705" t="s">
        <v>166</v>
      </c>
      <c r="M177" s="705" t="s">
        <v>166</v>
      </c>
      <c r="N177" s="705" t="s">
        <v>174</v>
      </c>
      <c r="O177" s="705" t="s">
        <v>174</v>
      </c>
      <c r="P177" s="771">
        <v>0.3</v>
      </c>
      <c r="Q177" s="705">
        <v>92.0</v>
      </c>
      <c r="R177" s="705" t="s">
        <v>174</v>
      </c>
      <c r="S177" s="705" t="s">
        <v>6099</v>
      </c>
      <c r="T177" s="705" t="s">
        <v>6095</v>
      </c>
      <c r="U177" s="705">
        <v>2.0</v>
      </c>
      <c r="V177" s="705" t="s">
        <v>6160</v>
      </c>
      <c r="W177" s="705">
        <v>4.0</v>
      </c>
      <c r="X177" s="705" t="s">
        <v>6094</v>
      </c>
      <c r="Y177" s="48" t="s">
        <v>6127</v>
      </c>
      <c r="Z177" s="705" t="s">
        <v>6355</v>
      </c>
      <c r="AA177" s="705">
        <v>6.0</v>
      </c>
      <c r="AB177" s="705" t="s">
        <v>6276</v>
      </c>
      <c r="AC177" s="705">
        <v>3.0</v>
      </c>
      <c r="AD177" s="767" t="s">
        <v>6356</v>
      </c>
      <c r="AE177" s="48">
        <v>5.0</v>
      </c>
      <c r="AF177" s="720"/>
      <c r="AG177" s="7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row>
    <row r="178">
      <c r="A178" s="174" t="s">
        <v>1634</v>
      </c>
      <c r="B178" s="282" t="s">
        <v>6366</v>
      </c>
      <c r="C178" s="705" t="s">
        <v>324</v>
      </c>
      <c r="D178" s="705">
        <v>850.0</v>
      </c>
      <c r="E178" s="705" t="s">
        <v>6078</v>
      </c>
      <c r="F178" s="705" t="s">
        <v>174</v>
      </c>
      <c r="G178" s="705" t="s">
        <v>2965</v>
      </c>
      <c r="H178" s="759" t="s">
        <v>214</v>
      </c>
      <c r="I178" s="705" t="s">
        <v>166</v>
      </c>
      <c r="J178" s="705" t="s">
        <v>166</v>
      </c>
      <c r="K178" s="705" t="s">
        <v>166</v>
      </c>
      <c r="L178" s="705" t="s">
        <v>166</v>
      </c>
      <c r="M178" s="705" t="s">
        <v>166</v>
      </c>
      <c r="N178" s="705" t="s">
        <v>174</v>
      </c>
      <c r="O178" s="705" t="s">
        <v>174</v>
      </c>
      <c r="P178" s="771">
        <v>0.3</v>
      </c>
      <c r="Q178" s="705">
        <v>92.0</v>
      </c>
      <c r="R178" s="705" t="s">
        <v>174</v>
      </c>
      <c r="S178" s="705" t="s">
        <v>6099</v>
      </c>
      <c r="T178" s="705" t="s">
        <v>6095</v>
      </c>
      <c r="U178" s="705">
        <v>2.0</v>
      </c>
      <c r="V178" s="705" t="s">
        <v>6160</v>
      </c>
      <c r="W178" s="705">
        <v>4.0</v>
      </c>
      <c r="X178" s="705" t="s">
        <v>6094</v>
      </c>
      <c r="Y178" s="48" t="s">
        <v>6127</v>
      </c>
      <c r="Z178" s="705" t="s">
        <v>6355</v>
      </c>
      <c r="AA178" s="705">
        <v>6.0</v>
      </c>
      <c r="AB178" s="705" t="s">
        <v>6276</v>
      </c>
      <c r="AC178" s="705">
        <v>3.0</v>
      </c>
      <c r="AD178" s="767" t="s">
        <v>6356</v>
      </c>
      <c r="AE178" s="48">
        <v>5.0</v>
      </c>
      <c r="AF178" s="720"/>
      <c r="AG178" s="7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row>
    <row r="179">
      <c r="A179" s="174" t="s">
        <v>1634</v>
      </c>
      <c r="B179" s="282" t="s">
        <v>6367</v>
      </c>
      <c r="C179" s="705" t="s">
        <v>324</v>
      </c>
      <c r="D179" s="705">
        <v>650.0</v>
      </c>
      <c r="E179" s="705" t="s">
        <v>6078</v>
      </c>
      <c r="F179" s="705" t="s">
        <v>174</v>
      </c>
      <c r="G179" s="705" t="s">
        <v>2966</v>
      </c>
      <c r="H179" s="759" t="s">
        <v>214</v>
      </c>
      <c r="I179" s="705" t="s">
        <v>166</v>
      </c>
      <c r="J179" s="705" t="s">
        <v>166</v>
      </c>
      <c r="K179" s="705" t="s">
        <v>166</v>
      </c>
      <c r="L179" s="705" t="s">
        <v>166</v>
      </c>
      <c r="M179" s="705" t="s">
        <v>166</v>
      </c>
      <c r="N179" s="705" t="s">
        <v>174</v>
      </c>
      <c r="O179" s="705" t="s">
        <v>174</v>
      </c>
      <c r="P179" s="771">
        <v>0.3</v>
      </c>
      <c r="Q179" s="705">
        <v>92.0</v>
      </c>
      <c r="R179" s="705" t="s">
        <v>174</v>
      </c>
      <c r="S179" s="705" t="s">
        <v>6099</v>
      </c>
      <c r="T179" s="705" t="s">
        <v>6095</v>
      </c>
      <c r="U179" s="705">
        <v>2.0</v>
      </c>
      <c r="V179" s="705" t="s">
        <v>6160</v>
      </c>
      <c r="W179" s="705">
        <v>4.0</v>
      </c>
      <c r="X179" s="705" t="s">
        <v>166</v>
      </c>
      <c r="Y179" s="705" t="s">
        <v>166</v>
      </c>
      <c r="Z179" s="705" t="s">
        <v>6355</v>
      </c>
      <c r="AA179" s="705">
        <v>6.0</v>
      </c>
      <c r="AB179" s="705" t="s">
        <v>6276</v>
      </c>
      <c r="AC179" s="705">
        <v>3.0</v>
      </c>
      <c r="AD179" s="767" t="s">
        <v>6356</v>
      </c>
      <c r="AE179" s="48">
        <v>5.0</v>
      </c>
      <c r="AF179" s="720"/>
      <c r="AG179" s="7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row>
    <row r="180">
      <c r="A180" s="174" t="s">
        <v>1634</v>
      </c>
      <c r="B180" s="282" t="s">
        <v>6368</v>
      </c>
      <c r="C180" s="705" t="s">
        <v>324</v>
      </c>
      <c r="D180" s="705">
        <v>650.0</v>
      </c>
      <c r="E180" s="705" t="s">
        <v>6078</v>
      </c>
      <c r="F180" s="705" t="s">
        <v>174</v>
      </c>
      <c r="G180" s="705" t="s">
        <v>2966</v>
      </c>
      <c r="H180" s="759" t="s">
        <v>214</v>
      </c>
      <c r="I180" s="705" t="s">
        <v>166</v>
      </c>
      <c r="J180" s="705" t="s">
        <v>166</v>
      </c>
      <c r="K180" s="705" t="s">
        <v>166</v>
      </c>
      <c r="L180" s="705" t="s">
        <v>166</v>
      </c>
      <c r="M180" s="705" t="s">
        <v>166</v>
      </c>
      <c r="N180" s="705" t="s">
        <v>174</v>
      </c>
      <c r="O180" s="705" t="s">
        <v>174</v>
      </c>
      <c r="P180" s="771">
        <v>0.3</v>
      </c>
      <c r="Q180" s="705">
        <v>92.0</v>
      </c>
      <c r="R180" s="705" t="s">
        <v>174</v>
      </c>
      <c r="S180" s="705" t="s">
        <v>6099</v>
      </c>
      <c r="T180" s="705" t="s">
        <v>6095</v>
      </c>
      <c r="U180" s="705">
        <v>2.0</v>
      </c>
      <c r="V180" s="705" t="s">
        <v>6160</v>
      </c>
      <c r="W180" s="705">
        <v>4.0</v>
      </c>
      <c r="X180" s="705" t="s">
        <v>166</v>
      </c>
      <c r="Y180" s="705" t="s">
        <v>166</v>
      </c>
      <c r="Z180" s="705" t="s">
        <v>6355</v>
      </c>
      <c r="AA180" s="705">
        <v>6.0</v>
      </c>
      <c r="AB180" s="705" t="s">
        <v>6276</v>
      </c>
      <c r="AC180" s="705">
        <v>3.0</v>
      </c>
      <c r="AD180" s="767" t="s">
        <v>6356</v>
      </c>
      <c r="AE180" s="48">
        <v>5.0</v>
      </c>
      <c r="AF180" s="720"/>
      <c r="AG180" s="7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row>
    <row r="181">
      <c r="A181" s="174" t="s">
        <v>1634</v>
      </c>
      <c r="B181" s="282" t="s">
        <v>6369</v>
      </c>
      <c r="C181" s="705" t="s">
        <v>324</v>
      </c>
      <c r="D181" s="705">
        <v>750.0</v>
      </c>
      <c r="E181" s="705" t="s">
        <v>6078</v>
      </c>
      <c r="F181" s="705" t="s">
        <v>174</v>
      </c>
      <c r="G181" s="705" t="s">
        <v>2966</v>
      </c>
      <c r="H181" s="759" t="s">
        <v>214</v>
      </c>
      <c r="I181" s="705" t="s">
        <v>166</v>
      </c>
      <c r="J181" s="705" t="s">
        <v>166</v>
      </c>
      <c r="K181" s="705" t="s">
        <v>166</v>
      </c>
      <c r="L181" s="705" t="s">
        <v>166</v>
      </c>
      <c r="M181" s="705" t="s">
        <v>166</v>
      </c>
      <c r="N181" s="705" t="s">
        <v>174</v>
      </c>
      <c r="O181" s="705" t="s">
        <v>174</v>
      </c>
      <c r="P181" s="771">
        <v>0.3</v>
      </c>
      <c r="Q181" s="705">
        <v>92.0</v>
      </c>
      <c r="R181" s="705" t="s">
        <v>174</v>
      </c>
      <c r="S181" s="705" t="s">
        <v>6099</v>
      </c>
      <c r="T181" s="705" t="s">
        <v>6095</v>
      </c>
      <c r="U181" s="705">
        <v>2.0</v>
      </c>
      <c r="V181" s="705" t="s">
        <v>6160</v>
      </c>
      <c r="W181" s="705">
        <v>4.0</v>
      </c>
      <c r="X181" s="705" t="s">
        <v>6094</v>
      </c>
      <c r="Y181" s="48" t="s">
        <v>6127</v>
      </c>
      <c r="Z181" s="705" t="s">
        <v>6355</v>
      </c>
      <c r="AA181" s="705">
        <v>6.0</v>
      </c>
      <c r="AB181" s="705" t="s">
        <v>6276</v>
      </c>
      <c r="AC181" s="705">
        <v>3.0</v>
      </c>
      <c r="AD181" s="767" t="s">
        <v>6356</v>
      </c>
      <c r="AE181" s="48">
        <v>5.0</v>
      </c>
      <c r="AF181" s="720"/>
      <c r="AG181" s="7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row>
    <row r="182">
      <c r="A182" s="174" t="s">
        <v>1634</v>
      </c>
      <c r="B182" s="282" t="s">
        <v>6370</v>
      </c>
      <c r="C182" s="705" t="s">
        <v>324</v>
      </c>
      <c r="D182" s="705">
        <v>750.0</v>
      </c>
      <c r="E182" s="705" t="s">
        <v>6078</v>
      </c>
      <c r="F182" s="705" t="s">
        <v>174</v>
      </c>
      <c r="G182" s="705" t="s">
        <v>2966</v>
      </c>
      <c r="H182" s="759" t="s">
        <v>214</v>
      </c>
      <c r="I182" s="705" t="s">
        <v>166</v>
      </c>
      <c r="J182" s="705" t="s">
        <v>166</v>
      </c>
      <c r="K182" s="705" t="s">
        <v>166</v>
      </c>
      <c r="L182" s="705" t="s">
        <v>166</v>
      </c>
      <c r="M182" s="705" t="s">
        <v>166</v>
      </c>
      <c r="N182" s="705" t="s">
        <v>174</v>
      </c>
      <c r="O182" s="705" t="s">
        <v>174</v>
      </c>
      <c r="P182" s="771">
        <v>0.3</v>
      </c>
      <c r="Q182" s="705">
        <v>92.0</v>
      </c>
      <c r="R182" s="705" t="s">
        <v>174</v>
      </c>
      <c r="S182" s="705" t="s">
        <v>6099</v>
      </c>
      <c r="T182" s="705" t="s">
        <v>6095</v>
      </c>
      <c r="U182" s="705">
        <v>2.0</v>
      </c>
      <c r="V182" s="705" t="s">
        <v>6160</v>
      </c>
      <c r="W182" s="705">
        <v>4.0</v>
      </c>
      <c r="X182" s="705" t="s">
        <v>6094</v>
      </c>
      <c r="Y182" s="48" t="s">
        <v>6127</v>
      </c>
      <c r="Z182" s="705" t="s">
        <v>6355</v>
      </c>
      <c r="AA182" s="705">
        <v>6.0</v>
      </c>
      <c r="AB182" s="705" t="s">
        <v>6276</v>
      </c>
      <c r="AC182" s="705">
        <v>3.0</v>
      </c>
      <c r="AD182" s="767" t="s">
        <v>6356</v>
      </c>
      <c r="AE182" s="48">
        <v>5.0</v>
      </c>
      <c r="AF182" s="720"/>
      <c r="AG182" s="7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row>
    <row r="183">
      <c r="A183" s="174" t="s">
        <v>1634</v>
      </c>
      <c r="B183" s="282" t="s">
        <v>6371</v>
      </c>
      <c r="C183" s="705" t="s">
        <v>324</v>
      </c>
      <c r="D183" s="705">
        <v>850.0</v>
      </c>
      <c r="E183" s="705" t="s">
        <v>6078</v>
      </c>
      <c r="F183" s="705" t="s">
        <v>174</v>
      </c>
      <c r="G183" s="705" t="s">
        <v>2966</v>
      </c>
      <c r="H183" s="759" t="s">
        <v>214</v>
      </c>
      <c r="I183" s="705" t="s">
        <v>166</v>
      </c>
      <c r="J183" s="705" t="s">
        <v>166</v>
      </c>
      <c r="K183" s="705" t="s">
        <v>166</v>
      </c>
      <c r="L183" s="705" t="s">
        <v>166</v>
      </c>
      <c r="M183" s="705" t="s">
        <v>166</v>
      </c>
      <c r="N183" s="705" t="s">
        <v>174</v>
      </c>
      <c r="O183" s="705" t="s">
        <v>174</v>
      </c>
      <c r="P183" s="771">
        <v>0.3</v>
      </c>
      <c r="Q183" s="705">
        <v>92.0</v>
      </c>
      <c r="R183" s="705" t="s">
        <v>174</v>
      </c>
      <c r="S183" s="705" t="s">
        <v>6099</v>
      </c>
      <c r="T183" s="705" t="s">
        <v>6095</v>
      </c>
      <c r="U183" s="705">
        <v>2.0</v>
      </c>
      <c r="V183" s="705" t="s">
        <v>6160</v>
      </c>
      <c r="W183" s="705">
        <v>4.0</v>
      </c>
      <c r="X183" s="705" t="s">
        <v>6094</v>
      </c>
      <c r="Y183" s="48" t="s">
        <v>6127</v>
      </c>
      <c r="Z183" s="705" t="s">
        <v>6355</v>
      </c>
      <c r="AA183" s="705">
        <v>6.0</v>
      </c>
      <c r="AB183" s="705" t="s">
        <v>6276</v>
      </c>
      <c r="AC183" s="705">
        <v>3.0</v>
      </c>
      <c r="AD183" s="767" t="s">
        <v>6356</v>
      </c>
      <c r="AE183" s="48">
        <v>5.0</v>
      </c>
      <c r="AF183" s="720"/>
      <c r="AG183" s="7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row>
    <row r="184">
      <c r="A184" s="291" t="s">
        <v>1634</v>
      </c>
      <c r="B184" s="290" t="s">
        <v>6372</v>
      </c>
      <c r="C184" s="712" t="s">
        <v>324</v>
      </c>
      <c r="D184" s="712">
        <v>850.0</v>
      </c>
      <c r="E184" s="712" t="s">
        <v>6078</v>
      </c>
      <c r="F184" s="712" t="s">
        <v>174</v>
      </c>
      <c r="G184" s="712" t="s">
        <v>2966</v>
      </c>
      <c r="H184" s="773" t="s">
        <v>214</v>
      </c>
      <c r="I184" s="712" t="s">
        <v>166</v>
      </c>
      <c r="J184" s="712" t="s">
        <v>166</v>
      </c>
      <c r="K184" s="712" t="s">
        <v>166</v>
      </c>
      <c r="L184" s="712" t="s">
        <v>166</v>
      </c>
      <c r="M184" s="712" t="s">
        <v>166</v>
      </c>
      <c r="N184" s="712" t="s">
        <v>174</v>
      </c>
      <c r="O184" s="712" t="s">
        <v>174</v>
      </c>
      <c r="P184" s="772">
        <v>0.3</v>
      </c>
      <c r="Q184" s="712">
        <v>92.0</v>
      </c>
      <c r="R184" s="712" t="s">
        <v>174</v>
      </c>
      <c r="S184" s="712" t="s">
        <v>6099</v>
      </c>
      <c r="T184" s="712" t="s">
        <v>6095</v>
      </c>
      <c r="U184" s="712">
        <v>2.0</v>
      </c>
      <c r="V184" s="712" t="s">
        <v>6160</v>
      </c>
      <c r="W184" s="712">
        <v>4.0</v>
      </c>
      <c r="X184" s="712" t="s">
        <v>6094</v>
      </c>
      <c r="Y184" s="700" t="s">
        <v>6127</v>
      </c>
      <c r="Z184" s="712" t="s">
        <v>6355</v>
      </c>
      <c r="AA184" s="712">
        <v>6.0</v>
      </c>
      <c r="AB184" s="712" t="s">
        <v>6276</v>
      </c>
      <c r="AC184" s="712">
        <v>3.0</v>
      </c>
      <c r="AD184" s="768" t="s">
        <v>6356</v>
      </c>
      <c r="AE184" s="700">
        <v>5.0</v>
      </c>
      <c r="AF184" s="721"/>
      <c r="AG184" s="770"/>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row>
    <row r="185">
      <c r="A185" s="282" t="str">
        <f t="shared" ref="A185:A195" si="6">HYPERLINK("https://www.thermaltake.com/","Thermaltake")</f>
        <v>Thermaltake</v>
      </c>
      <c r="B185" s="282" t="s">
        <v>6373</v>
      </c>
      <c r="C185" s="705" t="s">
        <v>324</v>
      </c>
      <c r="D185" s="705">
        <v>450.0</v>
      </c>
      <c r="E185" s="705" t="s">
        <v>6078</v>
      </c>
      <c r="F185" s="705" t="s">
        <v>166</v>
      </c>
      <c r="G185" s="705" t="s">
        <v>2965</v>
      </c>
      <c r="H185" s="759" t="s">
        <v>214</v>
      </c>
      <c r="I185" s="705" t="s">
        <v>166</v>
      </c>
      <c r="J185" s="705" t="s">
        <v>166</v>
      </c>
      <c r="K185" s="705" t="s">
        <v>166</v>
      </c>
      <c r="L185" s="705" t="s">
        <v>166</v>
      </c>
      <c r="M185" s="705" t="s">
        <v>166</v>
      </c>
      <c r="N185" s="705" t="s">
        <v>174</v>
      </c>
      <c r="O185" s="705" t="s">
        <v>174</v>
      </c>
      <c r="P185" s="771">
        <v>0.15</v>
      </c>
      <c r="Q185" s="705">
        <v>80.0</v>
      </c>
      <c r="R185" s="705" t="s">
        <v>174</v>
      </c>
      <c r="S185" s="705" t="s">
        <v>6099</v>
      </c>
      <c r="T185" s="705" t="s">
        <v>6094</v>
      </c>
      <c r="U185" s="705">
        <v>1.0</v>
      </c>
      <c r="V185" s="705" t="s">
        <v>6100</v>
      </c>
      <c r="W185" s="705">
        <v>2.0</v>
      </c>
      <c r="X185" s="705" t="s">
        <v>166</v>
      </c>
      <c r="Y185" s="705" t="s">
        <v>166</v>
      </c>
      <c r="Z185" s="705" t="s">
        <v>6096</v>
      </c>
      <c r="AA185" s="705">
        <v>3.0</v>
      </c>
      <c r="AB185" s="705" t="s">
        <v>6109</v>
      </c>
      <c r="AC185" s="705">
        <v>2.0</v>
      </c>
      <c r="AD185" s="759" t="s">
        <v>6201</v>
      </c>
      <c r="AE185" s="705">
        <v>7.0</v>
      </c>
      <c r="AF185" s="720"/>
      <c r="AG185" s="7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row>
    <row r="186">
      <c r="A186" s="174" t="str">
        <f t="shared" si="6"/>
        <v>Thermaltake</v>
      </c>
      <c r="B186" s="282" t="s">
        <v>6374</v>
      </c>
      <c r="C186" s="705" t="s">
        <v>324</v>
      </c>
      <c r="D186" s="705">
        <v>450.0</v>
      </c>
      <c r="E186" s="705" t="s">
        <v>6078</v>
      </c>
      <c r="F186" s="705" t="s">
        <v>166</v>
      </c>
      <c r="G186" s="705" t="s">
        <v>2965</v>
      </c>
      <c r="H186" s="759" t="s">
        <v>214</v>
      </c>
      <c r="I186" s="705" t="s">
        <v>166</v>
      </c>
      <c r="J186" s="705" t="s">
        <v>166</v>
      </c>
      <c r="K186" s="705" t="s">
        <v>166</v>
      </c>
      <c r="L186" s="705" t="s">
        <v>166</v>
      </c>
      <c r="M186" s="705" t="s">
        <v>166</v>
      </c>
      <c r="N186" s="705" t="s">
        <v>174</v>
      </c>
      <c r="O186" s="705" t="s">
        <v>174</v>
      </c>
      <c r="P186" s="771">
        <v>0.3</v>
      </c>
      <c r="Q186" s="705">
        <v>92.0</v>
      </c>
      <c r="R186" s="705" t="s">
        <v>174</v>
      </c>
      <c r="S186" s="705" t="s">
        <v>6099</v>
      </c>
      <c r="T186" s="705" t="s">
        <v>6094</v>
      </c>
      <c r="U186" s="705">
        <v>1.0</v>
      </c>
      <c r="V186" s="705" t="s">
        <v>6100</v>
      </c>
      <c r="W186" s="705">
        <v>1.0</v>
      </c>
      <c r="X186" s="705" t="s">
        <v>166</v>
      </c>
      <c r="Y186" s="705" t="s">
        <v>166</v>
      </c>
      <c r="Z186" s="705" t="s">
        <v>6096</v>
      </c>
      <c r="AA186" s="705">
        <v>3.0</v>
      </c>
      <c r="AB186" s="705" t="s">
        <v>6109</v>
      </c>
      <c r="AC186" s="705">
        <v>2.0</v>
      </c>
      <c r="AD186" s="767" t="s">
        <v>6375</v>
      </c>
      <c r="AE186" s="705">
        <v>7.0</v>
      </c>
      <c r="AF186" s="720"/>
      <c r="AG186" s="7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row>
    <row r="187">
      <c r="A187" s="174" t="str">
        <f t="shared" si="6"/>
        <v>Thermaltake</v>
      </c>
      <c r="B187" s="282" t="s">
        <v>6376</v>
      </c>
      <c r="C187" s="705" t="s">
        <v>324</v>
      </c>
      <c r="D187" s="705">
        <v>550.0</v>
      </c>
      <c r="E187" s="705" t="s">
        <v>6078</v>
      </c>
      <c r="F187" s="705" t="s">
        <v>166</v>
      </c>
      <c r="G187" s="705" t="s">
        <v>2965</v>
      </c>
      <c r="H187" s="759" t="s">
        <v>214</v>
      </c>
      <c r="I187" s="705" t="s">
        <v>166</v>
      </c>
      <c r="J187" s="705" t="s">
        <v>166</v>
      </c>
      <c r="K187" s="705" t="s">
        <v>166</v>
      </c>
      <c r="L187" s="705" t="s">
        <v>166</v>
      </c>
      <c r="M187" s="705" t="s">
        <v>166</v>
      </c>
      <c r="N187" s="705" t="s">
        <v>174</v>
      </c>
      <c r="O187" s="705" t="s">
        <v>174</v>
      </c>
      <c r="P187" s="771">
        <v>0.3</v>
      </c>
      <c r="Q187" s="705">
        <v>92.0</v>
      </c>
      <c r="R187" s="705" t="s">
        <v>174</v>
      </c>
      <c r="S187" s="705" t="s">
        <v>6099</v>
      </c>
      <c r="T187" s="705" t="s">
        <v>6094</v>
      </c>
      <c r="U187" s="705">
        <v>1.0</v>
      </c>
      <c r="V187" s="705" t="s">
        <v>6100</v>
      </c>
      <c r="W187" s="705">
        <v>1.0</v>
      </c>
      <c r="X187" s="705" t="s">
        <v>166</v>
      </c>
      <c r="Y187" s="705" t="s">
        <v>166</v>
      </c>
      <c r="Z187" s="705" t="s">
        <v>6096</v>
      </c>
      <c r="AA187" s="705">
        <v>3.0</v>
      </c>
      <c r="AB187" s="705" t="s">
        <v>6109</v>
      </c>
      <c r="AC187" s="705">
        <v>2.0</v>
      </c>
      <c r="AD187" s="767" t="s">
        <v>6375</v>
      </c>
      <c r="AE187" s="705">
        <v>7.0</v>
      </c>
      <c r="AF187" s="720"/>
      <c r="AG187" s="7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row>
    <row r="188">
      <c r="A188" s="174" t="str">
        <f t="shared" si="6"/>
        <v>Thermaltake</v>
      </c>
      <c r="B188" s="174" t="s">
        <v>6377</v>
      </c>
      <c r="C188" s="48" t="s">
        <v>324</v>
      </c>
      <c r="D188" s="48">
        <v>600.0</v>
      </c>
      <c r="E188" s="48" t="s">
        <v>6078</v>
      </c>
      <c r="F188" s="48" t="s">
        <v>166</v>
      </c>
      <c r="G188" s="48" t="s">
        <v>2965</v>
      </c>
      <c r="H188" s="182" t="s">
        <v>214</v>
      </c>
      <c r="I188" s="48" t="s">
        <v>2965</v>
      </c>
      <c r="J188" s="48" t="s">
        <v>166</v>
      </c>
      <c r="K188" s="48" t="s">
        <v>6087</v>
      </c>
      <c r="L188" s="48" t="s">
        <v>166</v>
      </c>
      <c r="M188" s="182" t="s">
        <v>214</v>
      </c>
      <c r="N188" s="48" t="s">
        <v>174</v>
      </c>
      <c r="O188" s="48" t="s">
        <v>174</v>
      </c>
      <c r="P188" s="782">
        <v>0.1</v>
      </c>
      <c r="Q188" s="48">
        <v>80.0</v>
      </c>
      <c r="R188" s="48" t="s">
        <v>174</v>
      </c>
      <c r="S188" s="48" t="s">
        <v>6099</v>
      </c>
      <c r="T188" s="48" t="s">
        <v>6094</v>
      </c>
      <c r="U188" s="48">
        <v>1.0</v>
      </c>
      <c r="V188" s="48" t="s">
        <v>6100</v>
      </c>
      <c r="W188" s="48">
        <v>2.0</v>
      </c>
      <c r="X188" s="48" t="s">
        <v>166</v>
      </c>
      <c r="Y188" s="48" t="s">
        <v>166</v>
      </c>
      <c r="Z188" s="48" t="s">
        <v>6096</v>
      </c>
      <c r="AA188" s="48">
        <v>3.0</v>
      </c>
      <c r="AB188" s="48" t="s">
        <v>6109</v>
      </c>
      <c r="AC188" s="48">
        <v>2.0</v>
      </c>
      <c r="AD188" s="182" t="s">
        <v>6201</v>
      </c>
      <c r="AE188" s="48">
        <v>7.0</v>
      </c>
      <c r="AF188" s="699"/>
      <c r="AG188" s="182" t="s">
        <v>214</v>
      </c>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row>
    <row r="189">
      <c r="A189" s="174" t="str">
        <f t="shared" si="6"/>
        <v>Thermaltake</v>
      </c>
      <c r="B189" s="282" t="s">
        <v>6378</v>
      </c>
      <c r="C189" s="48" t="s">
        <v>324</v>
      </c>
      <c r="D189" s="48">
        <v>650.0</v>
      </c>
      <c r="E189" s="48" t="s">
        <v>6078</v>
      </c>
      <c r="F189" s="48" t="s">
        <v>166</v>
      </c>
      <c r="G189" s="48" t="s">
        <v>2965</v>
      </c>
      <c r="H189" s="182" t="s">
        <v>214</v>
      </c>
      <c r="I189" s="48" t="s">
        <v>166</v>
      </c>
      <c r="J189" s="48" t="s">
        <v>166</v>
      </c>
      <c r="K189" s="48" t="s">
        <v>166</v>
      </c>
      <c r="L189" s="48" t="s">
        <v>166</v>
      </c>
      <c r="M189" s="48" t="s">
        <v>166</v>
      </c>
      <c r="N189" s="48" t="s">
        <v>174</v>
      </c>
      <c r="O189" s="48" t="s">
        <v>174</v>
      </c>
      <c r="P189" s="771">
        <v>0.3</v>
      </c>
      <c r="Q189" s="48">
        <v>92.0</v>
      </c>
      <c r="R189" s="48" t="s">
        <v>174</v>
      </c>
      <c r="S189" s="48" t="s">
        <v>6099</v>
      </c>
      <c r="T189" s="48" t="s">
        <v>6181</v>
      </c>
      <c r="U189" s="48">
        <v>2.0</v>
      </c>
      <c r="V189" s="48" t="s">
        <v>6100</v>
      </c>
      <c r="W189" s="48">
        <v>2.0</v>
      </c>
      <c r="X189" s="48" t="s">
        <v>166</v>
      </c>
      <c r="Y189" s="48" t="s">
        <v>166</v>
      </c>
      <c r="Z189" s="48" t="s">
        <v>6096</v>
      </c>
      <c r="AA189" s="48">
        <v>3.0</v>
      </c>
      <c r="AB189" s="48" t="s">
        <v>6109</v>
      </c>
      <c r="AC189" s="48">
        <v>2.0</v>
      </c>
      <c r="AD189" s="767" t="s">
        <v>6375</v>
      </c>
      <c r="AE189" s="48">
        <v>7.0</v>
      </c>
      <c r="AF189" s="699"/>
      <c r="AG189" s="758"/>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row>
    <row r="190">
      <c r="A190" s="174" t="str">
        <f t="shared" si="6"/>
        <v>Thermaltake</v>
      </c>
      <c r="B190" s="282" t="s">
        <v>6379</v>
      </c>
      <c r="C190" s="48" t="s">
        <v>324</v>
      </c>
      <c r="D190" s="48">
        <v>750.0</v>
      </c>
      <c r="E190" s="48" t="s">
        <v>6078</v>
      </c>
      <c r="F190" s="48" t="s">
        <v>174</v>
      </c>
      <c r="G190" s="48" t="s">
        <v>2965</v>
      </c>
      <c r="H190" s="182" t="s">
        <v>214</v>
      </c>
      <c r="I190" s="48" t="s">
        <v>2966</v>
      </c>
      <c r="J190" s="48" t="s">
        <v>166</v>
      </c>
      <c r="K190" s="48" t="s">
        <v>6142</v>
      </c>
      <c r="L190" s="48" t="s">
        <v>166</v>
      </c>
      <c r="M190" s="182" t="s">
        <v>214</v>
      </c>
      <c r="N190" s="48" t="s">
        <v>174</v>
      </c>
      <c r="O190" s="48" t="s">
        <v>174</v>
      </c>
      <c r="P190" s="771">
        <v>0.3</v>
      </c>
      <c r="Q190" s="48">
        <v>92.0</v>
      </c>
      <c r="R190" s="48" t="s">
        <v>174</v>
      </c>
      <c r="S190" s="48" t="s">
        <v>6099</v>
      </c>
      <c r="T190" s="48" t="s">
        <v>6181</v>
      </c>
      <c r="U190" s="48">
        <v>2.0</v>
      </c>
      <c r="V190" s="48" t="s">
        <v>6100</v>
      </c>
      <c r="W190" s="48">
        <v>2.0</v>
      </c>
      <c r="X190" s="48" t="s">
        <v>6094</v>
      </c>
      <c r="Y190" s="48" t="s">
        <v>6127</v>
      </c>
      <c r="Z190" s="48" t="s">
        <v>6083</v>
      </c>
      <c r="AA190" s="48">
        <v>8.0</v>
      </c>
      <c r="AB190" s="48" t="s">
        <v>6084</v>
      </c>
      <c r="AC190" s="48">
        <v>4.0</v>
      </c>
      <c r="AD190" s="767" t="s">
        <v>6375</v>
      </c>
      <c r="AE190" s="48">
        <v>7.0</v>
      </c>
      <c r="AF190" s="698"/>
      <c r="AG190" s="182" t="s">
        <v>214</v>
      </c>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row>
    <row r="191">
      <c r="A191" s="174" t="str">
        <f t="shared" si="6"/>
        <v>Thermaltake</v>
      </c>
      <c r="B191" s="715" t="s">
        <v>6380</v>
      </c>
      <c r="C191" s="48" t="s">
        <v>324</v>
      </c>
      <c r="D191" s="48">
        <v>750.0</v>
      </c>
      <c r="E191" s="48" t="s">
        <v>6078</v>
      </c>
      <c r="F191" s="48" t="s">
        <v>174</v>
      </c>
      <c r="G191" s="48" t="s">
        <v>2966</v>
      </c>
      <c r="H191" s="181" t="s">
        <v>166</v>
      </c>
      <c r="I191" s="48" t="s">
        <v>166</v>
      </c>
      <c r="J191" s="48" t="s">
        <v>166</v>
      </c>
      <c r="K191" s="48" t="s">
        <v>166</v>
      </c>
      <c r="L191" s="48" t="s">
        <v>166</v>
      </c>
      <c r="M191" s="48" t="s">
        <v>166</v>
      </c>
      <c r="N191" s="48" t="s">
        <v>174</v>
      </c>
      <c r="O191" s="48" t="s">
        <v>174</v>
      </c>
      <c r="P191" s="771">
        <v>0.3</v>
      </c>
      <c r="Q191" s="48">
        <v>92.0</v>
      </c>
      <c r="R191" s="48" t="s">
        <v>174</v>
      </c>
      <c r="S191" s="48" t="s">
        <v>6099</v>
      </c>
      <c r="T191" s="48" t="s">
        <v>6181</v>
      </c>
      <c r="U191" s="48">
        <v>2.0</v>
      </c>
      <c r="V191" s="48" t="s">
        <v>6100</v>
      </c>
      <c r="W191" s="48">
        <v>2.0</v>
      </c>
      <c r="X191" s="48" t="s">
        <v>6094</v>
      </c>
      <c r="Y191" s="48" t="s">
        <v>6284</v>
      </c>
      <c r="Z191" s="48" t="s">
        <v>6083</v>
      </c>
      <c r="AA191" s="48">
        <v>8.0</v>
      </c>
      <c r="AB191" s="48" t="s">
        <v>6381</v>
      </c>
      <c r="AC191" s="48">
        <v>4.0</v>
      </c>
      <c r="AD191" s="767" t="s">
        <v>6375</v>
      </c>
      <c r="AE191" s="48">
        <v>7.0</v>
      </c>
      <c r="AF191" s="698"/>
      <c r="AG191" s="182"/>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row>
    <row r="192">
      <c r="A192" s="174" t="str">
        <f t="shared" si="6"/>
        <v>Thermaltake</v>
      </c>
      <c r="B192" s="282" t="s">
        <v>6382</v>
      </c>
      <c r="C192" s="48" t="s">
        <v>324</v>
      </c>
      <c r="D192" s="48">
        <v>850.0</v>
      </c>
      <c r="E192" s="48" t="s">
        <v>6078</v>
      </c>
      <c r="F192" s="48" t="s">
        <v>174</v>
      </c>
      <c r="G192" s="48" t="s">
        <v>2965</v>
      </c>
      <c r="H192" s="182" t="s">
        <v>214</v>
      </c>
      <c r="I192" s="48" t="s">
        <v>2966</v>
      </c>
      <c r="J192" s="48" t="s">
        <v>166</v>
      </c>
      <c r="K192" s="48" t="s">
        <v>6087</v>
      </c>
      <c r="L192" s="48" t="s">
        <v>166</v>
      </c>
      <c r="M192" s="182" t="s">
        <v>214</v>
      </c>
      <c r="N192" s="48" t="s">
        <v>174</v>
      </c>
      <c r="O192" s="48" t="s">
        <v>174</v>
      </c>
      <c r="P192" s="771">
        <v>0.3</v>
      </c>
      <c r="Q192" s="48">
        <v>92.0</v>
      </c>
      <c r="R192" s="48" t="s">
        <v>174</v>
      </c>
      <c r="S192" s="48" t="s">
        <v>6099</v>
      </c>
      <c r="T192" s="48" t="s">
        <v>6181</v>
      </c>
      <c r="U192" s="48">
        <v>2.0</v>
      </c>
      <c r="V192" s="48" t="s">
        <v>6100</v>
      </c>
      <c r="W192" s="48">
        <v>2.0</v>
      </c>
      <c r="X192" s="48" t="s">
        <v>6094</v>
      </c>
      <c r="Y192" s="48" t="s">
        <v>6127</v>
      </c>
      <c r="Z192" s="48" t="s">
        <v>6083</v>
      </c>
      <c r="AA192" s="48">
        <v>8.0</v>
      </c>
      <c r="AB192" s="48" t="s">
        <v>6084</v>
      </c>
      <c r="AC192" s="48">
        <v>4.0</v>
      </c>
      <c r="AD192" s="767" t="s">
        <v>6375</v>
      </c>
      <c r="AE192" s="48">
        <v>7.0</v>
      </c>
      <c r="AF192" s="698"/>
      <c r="AG192" s="182" t="s">
        <v>214</v>
      </c>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row>
    <row r="193">
      <c r="A193" s="174" t="str">
        <f t="shared" si="6"/>
        <v>Thermaltake</v>
      </c>
      <c r="B193" s="715" t="s">
        <v>6383</v>
      </c>
      <c r="C193" s="48" t="s">
        <v>324</v>
      </c>
      <c r="D193" s="48">
        <v>850.0</v>
      </c>
      <c r="E193" s="48" t="s">
        <v>6078</v>
      </c>
      <c r="F193" s="48" t="s">
        <v>174</v>
      </c>
      <c r="G193" s="48" t="s">
        <v>2966</v>
      </c>
      <c r="H193" s="181" t="s">
        <v>166</v>
      </c>
      <c r="I193" s="48" t="s">
        <v>166</v>
      </c>
      <c r="J193" s="48" t="s">
        <v>166</v>
      </c>
      <c r="K193" s="48" t="s">
        <v>166</v>
      </c>
      <c r="L193" s="48" t="s">
        <v>166</v>
      </c>
      <c r="M193" s="48" t="s">
        <v>166</v>
      </c>
      <c r="N193" s="48" t="s">
        <v>174</v>
      </c>
      <c r="O193" s="48" t="s">
        <v>174</v>
      </c>
      <c r="P193" s="771">
        <v>0.3</v>
      </c>
      <c r="Q193" s="48">
        <v>92.0</v>
      </c>
      <c r="R193" s="48" t="s">
        <v>174</v>
      </c>
      <c r="S193" s="48" t="s">
        <v>6099</v>
      </c>
      <c r="T193" s="48" t="s">
        <v>6181</v>
      </c>
      <c r="U193" s="48">
        <v>2.0</v>
      </c>
      <c r="V193" s="48" t="s">
        <v>6100</v>
      </c>
      <c r="W193" s="48">
        <v>2.0</v>
      </c>
      <c r="X193" s="48" t="s">
        <v>6094</v>
      </c>
      <c r="Y193" s="48" t="s">
        <v>6286</v>
      </c>
      <c r="Z193" s="48" t="s">
        <v>6083</v>
      </c>
      <c r="AA193" s="48">
        <v>8.0</v>
      </c>
      <c r="AB193" s="48" t="s">
        <v>6381</v>
      </c>
      <c r="AC193" s="48">
        <v>4.0</v>
      </c>
      <c r="AD193" s="767" t="s">
        <v>6375</v>
      </c>
      <c r="AE193" s="48">
        <v>7.0</v>
      </c>
      <c r="AF193" s="698"/>
      <c r="AG193" s="182"/>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row>
    <row r="194">
      <c r="A194" s="174" t="str">
        <f t="shared" si="6"/>
        <v>Thermaltake</v>
      </c>
      <c r="B194" s="282" t="s">
        <v>6384</v>
      </c>
      <c r="C194" s="48" t="s">
        <v>6132</v>
      </c>
      <c r="D194" s="48">
        <v>1000.0</v>
      </c>
      <c r="E194" s="48" t="s">
        <v>6078</v>
      </c>
      <c r="F194" s="48" t="s">
        <v>174</v>
      </c>
      <c r="G194" s="48" t="s">
        <v>2965</v>
      </c>
      <c r="H194" s="182" t="s">
        <v>214</v>
      </c>
      <c r="I194" s="48" t="s">
        <v>2966</v>
      </c>
      <c r="J194" s="48" t="s">
        <v>166</v>
      </c>
      <c r="K194" s="48" t="s">
        <v>6142</v>
      </c>
      <c r="L194" s="48" t="s">
        <v>166</v>
      </c>
      <c r="M194" s="182" t="s">
        <v>214</v>
      </c>
      <c r="N194" s="48" t="s">
        <v>174</v>
      </c>
      <c r="O194" s="48" t="s">
        <v>174</v>
      </c>
      <c r="P194" s="771">
        <v>0.3</v>
      </c>
      <c r="Q194" s="48">
        <v>120.0</v>
      </c>
      <c r="R194" s="48" t="s">
        <v>174</v>
      </c>
      <c r="S194" s="48" t="s">
        <v>6099</v>
      </c>
      <c r="T194" s="48" t="s">
        <v>6181</v>
      </c>
      <c r="U194" s="48">
        <v>2.0</v>
      </c>
      <c r="V194" s="48" t="s">
        <v>6134</v>
      </c>
      <c r="W194" s="48">
        <v>4.0</v>
      </c>
      <c r="X194" s="48" t="s">
        <v>6094</v>
      </c>
      <c r="Y194" s="48" t="s">
        <v>6127</v>
      </c>
      <c r="Z194" s="48" t="s">
        <v>6083</v>
      </c>
      <c r="AA194" s="48">
        <v>8.0</v>
      </c>
      <c r="AB194" s="48" t="s">
        <v>6084</v>
      </c>
      <c r="AC194" s="48">
        <v>4.0</v>
      </c>
      <c r="AD194" s="767" t="s">
        <v>6375</v>
      </c>
      <c r="AE194" s="48">
        <v>7.0</v>
      </c>
      <c r="AF194" s="788"/>
      <c r="AG194" s="182" t="s">
        <v>214</v>
      </c>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row>
    <row r="195">
      <c r="A195" s="174" t="str">
        <f t="shared" si="6"/>
        <v>Thermaltake</v>
      </c>
      <c r="B195" s="715" t="s">
        <v>6385</v>
      </c>
      <c r="C195" s="48" t="s">
        <v>324</v>
      </c>
      <c r="D195" s="48">
        <v>1000.0</v>
      </c>
      <c r="E195" s="48" t="s">
        <v>6078</v>
      </c>
      <c r="F195" s="48" t="s">
        <v>174</v>
      </c>
      <c r="G195" s="48" t="s">
        <v>2966</v>
      </c>
      <c r="H195" s="789" t="s">
        <v>166</v>
      </c>
      <c r="I195" s="48" t="s">
        <v>166</v>
      </c>
      <c r="J195" s="48" t="s">
        <v>166</v>
      </c>
      <c r="K195" s="48" t="s">
        <v>166</v>
      </c>
      <c r="L195" s="48" t="s">
        <v>166</v>
      </c>
      <c r="M195" s="48" t="s">
        <v>166</v>
      </c>
      <c r="N195" s="48" t="s">
        <v>174</v>
      </c>
      <c r="O195" s="48" t="s">
        <v>174</v>
      </c>
      <c r="P195" s="771">
        <v>0.3</v>
      </c>
      <c r="Q195" s="48">
        <v>92.0</v>
      </c>
      <c r="R195" s="48" t="s">
        <v>174</v>
      </c>
      <c r="S195" s="48" t="s">
        <v>6099</v>
      </c>
      <c r="T195" s="48" t="s">
        <v>6181</v>
      </c>
      <c r="U195" s="48">
        <v>2.0</v>
      </c>
      <c r="V195" s="48" t="s">
        <v>6134</v>
      </c>
      <c r="W195" s="48">
        <v>4.0</v>
      </c>
      <c r="X195" s="48" t="s">
        <v>6094</v>
      </c>
      <c r="Y195" s="48" t="s">
        <v>6127</v>
      </c>
      <c r="Z195" s="48" t="s">
        <v>6083</v>
      </c>
      <c r="AA195" s="48">
        <v>8.0</v>
      </c>
      <c r="AB195" s="48" t="s">
        <v>6381</v>
      </c>
      <c r="AC195" s="48">
        <v>4.0</v>
      </c>
      <c r="AD195" s="767" t="s">
        <v>6375</v>
      </c>
      <c r="AE195" s="48">
        <v>7.0</v>
      </c>
      <c r="AF195" s="698"/>
      <c r="AG195" s="790"/>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row>
  </sheetData>
  <autoFilter ref="$A$1:$AG$209"/>
  <customSheetViews>
    <customSheetView guid="{5CA9F19B-76EE-4FBB-9E1F-6094E1B4CBB8}" filter="1" showAutoFilter="1">
      <autoFilter ref="$A$1:$AG$209">
        <filterColumn colId="2">
          <filters blank="1">
            <filter val="Flex ATX"/>
            <filter val="Custom"/>
          </filters>
        </filterColumn>
      </autoFilter>
    </customSheetView>
    <customSheetView guid="{F4FDAAB8-251D-4A2A-9C3D-59FD7DE533D0}" filter="1" showAutoFilter="1">
      <autoFilter ref="$A$1:$AG$195">
        <filterColumn colId="32">
          <filters>
            <filter val="Link"/>
          </filters>
        </filterColumn>
      </autoFilter>
    </customSheetView>
    <customSheetView guid="{37D695B8-BD3D-47E0-8751-B09DEA349480}" filter="1" showAutoFilter="1">
      <autoFilter ref="$A$1:$AG$209">
        <filterColumn colId="2">
          <filters blank="1">
            <filter val="SFX"/>
            <filter val="Custom"/>
          </filters>
        </filterColumn>
      </autoFilter>
    </customSheetView>
    <customSheetView guid="{F0CBD1F5-85BD-4F36-AE22-6355315F8F0C}" filter="1" showAutoFilter="1">
      <autoFilter ref="$A$1:$AG$196">
        <filterColumn colId="5">
          <filters>
            <filter val="Y"/>
          </filters>
        </filterColumn>
      </autoFilter>
    </customSheetView>
    <customSheetView guid="{703525EF-4834-4451-87F3-8DF845CDC941}" filter="1" showAutoFilter="1">
      <autoFilter ref="$A$1:$AG$209">
        <filterColumn colId="2">
          <filters blank="1">
            <filter val="SFX-L"/>
            <filter val="Custom"/>
          </filters>
        </filterColumn>
      </autoFilter>
    </customSheetView>
    <customSheetView guid="{E4BA5376-8447-479E-9AE4-5EC64ADA9E8F}" filter="1" showAutoFilter="1">
      <autoFilter ref="$A$1:$AG$195">
        <filterColumn colId="17">
          <filters>
            <filter val="Y"/>
          </filters>
        </filterColumn>
      </autoFilter>
    </customSheetView>
    <customSheetView guid="{799D695F-D2D3-46EA-BDAF-2CBCF9F43990}" filter="1" showAutoFilter="1">
      <autoFilter ref="$A$1:$AG$195">
        <sortState ref="A1:AG195">
          <sortCondition ref="AD1:AD195"/>
        </sortState>
      </autoFilter>
    </customSheetView>
    <customSheetView guid="{6E365388-30F4-43E2-8391-6819B9101287}" filter="1" showAutoFilter="1">
      <autoFilter ref="$A$1:$AG$209">
        <filterColumn colId="14">
          <filters blank="1">
            <filter val="Y"/>
            <filter val="-"/>
            <filter val="?"/>
          </filters>
        </filterColumn>
      </autoFilter>
    </customSheetView>
    <customSheetView guid="{DC887196-DBF0-4F86-9DC8-FA917C756B56}" filter="1" showAutoFilter="1">
      <autoFilter ref="$A$1:$AG$195">
        <filterColumn colId="13">
          <filters>
            <filter val="Y"/>
          </filters>
        </filterColumn>
      </autoFilter>
    </customSheetView>
    <customSheetView guid="{87D5B33E-F6D1-4DFA-97AD-E4B6F4F2917C}" filter="1" showAutoFilter="1">
      <autoFilter ref="$A$1:$AG$195">
        <sortState ref="A1:AG195">
          <sortCondition ref="D1:D195"/>
        </sortState>
      </autoFilter>
    </customSheetView>
  </customSheetViews>
  <conditionalFormatting sqref="N2:O195 R2:R195 AE100:AF100">
    <cfRule type="cellIs" dxfId="3" priority="1" operator="equal">
      <formula>"Y"</formula>
    </cfRule>
  </conditionalFormatting>
  <conditionalFormatting sqref="D2:D195 H2:L195">
    <cfRule type="colorScale" priority="2">
      <colorScale>
        <cfvo type="min"/>
        <cfvo type="percentile" val="50"/>
        <cfvo type="max"/>
        <color rgb="FFE67C73"/>
        <color rgb="FFFFD666"/>
        <color rgb="FF57BB8A"/>
      </colorScale>
    </cfRule>
  </conditionalFormatting>
  <conditionalFormatting sqref="AE2:AE195">
    <cfRule type="colorScale" priority="3">
      <colorScale>
        <cfvo type="min"/>
        <cfvo type="percentile" val="50"/>
        <cfvo type="max"/>
        <color rgb="FFE67C73"/>
        <color rgb="FFFFD666"/>
        <color rgb="FF57BB8A"/>
      </colorScale>
    </cfRule>
  </conditionalFormatting>
  <conditionalFormatting sqref="F2:F195">
    <cfRule type="cellIs" dxfId="3" priority="4" operator="equal">
      <formula>"Y"</formula>
    </cfRule>
  </conditionalFormatting>
  <hyperlinks>
    <hyperlink r:id="rId2" ref="A2"/>
    <hyperlink r:id="rId3" ref="B2"/>
    <hyperlink r:id="rId4" ref="H2"/>
    <hyperlink r:id="rId5" ref="AD2"/>
    <hyperlink r:id="rId6" ref="A3"/>
    <hyperlink r:id="rId7" ref="B3"/>
    <hyperlink r:id="rId8" ref="H3"/>
    <hyperlink r:id="rId9" ref="M3"/>
    <hyperlink r:id="rId10" ref="AD3"/>
    <hyperlink r:id="rId11" ref="AG3"/>
    <hyperlink r:id="rId12" ref="A4"/>
    <hyperlink r:id="rId13" ref="B4"/>
    <hyperlink r:id="rId14" ref="H4"/>
    <hyperlink r:id="rId15" ref="M4"/>
    <hyperlink r:id="rId16" ref="AD4"/>
    <hyperlink r:id="rId17" ref="AG4"/>
    <hyperlink r:id="rId18" ref="A5"/>
    <hyperlink r:id="rId19" ref="B5"/>
    <hyperlink r:id="rId20" ref="H5"/>
    <hyperlink r:id="rId21" ref="AD5"/>
    <hyperlink r:id="rId22" ref="A6"/>
    <hyperlink r:id="rId23" ref="B6"/>
    <hyperlink r:id="rId24" ref="A7"/>
    <hyperlink r:id="rId25" ref="B7"/>
    <hyperlink r:id="rId26" ref="A8"/>
    <hyperlink r:id="rId27" ref="B8"/>
    <hyperlink r:id="rId28" ref="H8"/>
    <hyperlink r:id="rId29" ref="A9"/>
    <hyperlink r:id="rId30" ref="B9"/>
    <hyperlink r:id="rId31" ref="H9"/>
    <hyperlink r:id="rId32" ref="A10"/>
    <hyperlink r:id="rId33" ref="B10"/>
    <hyperlink r:id="rId34" ref="H10"/>
    <hyperlink r:id="rId35" ref="A11"/>
    <hyperlink r:id="rId36" ref="B11"/>
    <hyperlink r:id="rId37" ref="H11"/>
    <hyperlink r:id="rId38" ref="A12"/>
    <hyperlink r:id="rId39" ref="B12"/>
    <hyperlink r:id="rId40" ref="H12"/>
    <hyperlink r:id="rId41" ref="A13"/>
    <hyperlink r:id="rId42" ref="B13"/>
    <hyperlink r:id="rId43" ref="H13"/>
    <hyperlink r:id="rId44" ref="A14"/>
    <hyperlink r:id="rId45" ref="B14"/>
    <hyperlink r:id="rId46" ref="H14"/>
    <hyperlink r:id="rId47" ref="AD14"/>
    <hyperlink r:id="rId48" ref="A15"/>
    <hyperlink r:id="rId49" ref="B15"/>
    <hyperlink r:id="rId50" ref="H15"/>
    <hyperlink r:id="rId51" ref="AD15"/>
    <hyperlink r:id="rId52" ref="A16"/>
    <hyperlink r:id="rId53" ref="B16"/>
    <hyperlink r:id="rId54" ref="H16"/>
    <hyperlink r:id="rId55" ref="AD16"/>
    <hyperlink r:id="rId56" ref="A17"/>
    <hyperlink r:id="rId57" ref="B17"/>
    <hyperlink r:id="rId58" ref="H17"/>
    <hyperlink r:id="rId59" ref="AD17"/>
    <hyperlink r:id="rId60" ref="A18"/>
    <hyperlink r:id="rId61" ref="B18"/>
    <hyperlink r:id="rId62" ref="H18"/>
    <hyperlink r:id="rId63" ref="AD18"/>
    <hyperlink r:id="rId64" ref="A19"/>
    <hyperlink r:id="rId65" ref="B19"/>
    <hyperlink r:id="rId66" ref="H19"/>
    <hyperlink r:id="rId67" ref="AD19"/>
    <hyperlink r:id="rId68" ref="A20"/>
    <hyperlink r:id="rId69" ref="B20"/>
    <hyperlink r:id="rId70" ref="H20"/>
    <hyperlink r:id="rId71" ref="M20"/>
    <hyperlink r:id="rId72" ref="A21"/>
    <hyperlink r:id="rId73" ref="B21"/>
    <hyperlink r:id="rId74" ref="H21"/>
    <hyperlink r:id="rId75" ref="M21"/>
    <hyperlink r:id="rId76" ref="AD21"/>
    <hyperlink r:id="rId77" ref="A22"/>
    <hyperlink r:id="rId78" ref="B22"/>
    <hyperlink r:id="rId79" ref="H22"/>
    <hyperlink r:id="rId80" ref="M22"/>
    <hyperlink r:id="rId81" ref="AD22"/>
    <hyperlink r:id="rId82" ref="AG22"/>
    <hyperlink r:id="rId83" ref="A23"/>
    <hyperlink r:id="rId84" ref="B23"/>
    <hyperlink r:id="rId85" ref="H23"/>
    <hyperlink r:id="rId86" ref="M23"/>
    <hyperlink r:id="rId87" ref="AD23"/>
    <hyperlink r:id="rId88" ref="AG23"/>
    <hyperlink r:id="rId89" ref="A24"/>
    <hyperlink r:id="rId90" ref="B24"/>
    <hyperlink r:id="rId91" ref="H24"/>
    <hyperlink r:id="rId92" ref="M24"/>
    <hyperlink r:id="rId93" ref="AD24"/>
    <hyperlink r:id="rId94" ref="A25"/>
    <hyperlink r:id="rId95" ref="B25"/>
    <hyperlink r:id="rId96" ref="H25"/>
    <hyperlink r:id="rId97" ref="M25"/>
    <hyperlink r:id="rId98" ref="AD25"/>
    <hyperlink r:id="rId99" ref="A26"/>
    <hyperlink r:id="rId100" ref="H26"/>
    <hyperlink r:id="rId101" ref="AD26"/>
    <hyperlink r:id="rId102" ref="A27"/>
    <hyperlink r:id="rId103" ref="H27"/>
    <hyperlink r:id="rId104" ref="AD27"/>
    <hyperlink r:id="rId105" ref="A28"/>
    <hyperlink r:id="rId106" ref="B28"/>
    <hyperlink r:id="rId107" ref="H28"/>
    <hyperlink r:id="rId108" ref="AD28"/>
    <hyperlink r:id="rId109" ref="A29"/>
    <hyperlink r:id="rId110" ref="B29"/>
    <hyperlink r:id="rId111" ref="H29"/>
    <hyperlink r:id="rId112" ref="AD29"/>
    <hyperlink r:id="rId113" ref="A30"/>
    <hyperlink r:id="rId114" ref="B30"/>
    <hyperlink r:id="rId115" ref="H30"/>
    <hyperlink r:id="rId116" ref="M30"/>
    <hyperlink r:id="rId117" ref="AD30"/>
    <hyperlink r:id="rId118" ref="A31"/>
    <hyperlink r:id="rId119" ref="B31"/>
    <hyperlink r:id="rId120" ref="H31"/>
    <hyperlink r:id="rId121" ref="M31"/>
    <hyperlink r:id="rId122" ref="AD31"/>
    <hyperlink r:id="rId123" ref="AG31"/>
    <hyperlink r:id="rId124" ref="A32"/>
    <hyperlink r:id="rId125" ref="B32"/>
    <hyperlink r:id="rId126" ref="H32"/>
    <hyperlink r:id="rId127" ref="M32"/>
    <hyperlink r:id="rId128" ref="AD32"/>
    <hyperlink r:id="rId129" ref="A33"/>
    <hyperlink r:id="rId130" ref="B33"/>
    <hyperlink r:id="rId131" ref="H33"/>
    <hyperlink r:id="rId132" ref="M33"/>
    <hyperlink r:id="rId133" ref="AD33"/>
    <hyperlink r:id="rId134" ref="A34"/>
    <hyperlink r:id="rId135" ref="B34"/>
    <hyperlink r:id="rId136" ref="H34"/>
    <hyperlink r:id="rId137" ref="M34"/>
    <hyperlink r:id="rId138" ref="AD34"/>
    <hyperlink r:id="rId139" ref="A35"/>
    <hyperlink r:id="rId140" ref="B35"/>
    <hyperlink r:id="rId141" ref="H35"/>
    <hyperlink r:id="rId142" ref="M35"/>
    <hyperlink r:id="rId143" ref="AD35"/>
    <hyperlink r:id="rId144" ref="A36"/>
    <hyperlink r:id="rId145" ref="B36"/>
    <hyperlink r:id="rId146" ref="H36"/>
    <hyperlink r:id="rId147" ref="AD36"/>
    <hyperlink r:id="rId148" ref="A37"/>
    <hyperlink r:id="rId149" ref="B37"/>
    <hyperlink r:id="rId150" ref="H37"/>
    <hyperlink r:id="rId151" ref="AD37"/>
    <hyperlink r:id="rId152" ref="A38"/>
    <hyperlink r:id="rId153" ref="B38"/>
    <hyperlink r:id="rId154" ref="H38"/>
    <hyperlink r:id="rId155" ref="M38"/>
    <hyperlink r:id="rId156" ref="AD38"/>
    <hyperlink r:id="rId157" ref="A39"/>
    <hyperlink r:id="rId158" ref="B39"/>
    <hyperlink r:id="rId159" ref="H39"/>
    <hyperlink r:id="rId160" ref="M39"/>
    <hyperlink r:id="rId161" ref="AD39"/>
    <hyperlink r:id="rId162" ref="A40"/>
    <hyperlink r:id="rId163" ref="B40"/>
    <hyperlink r:id="rId164" ref="H40"/>
    <hyperlink r:id="rId165" ref="AD40"/>
    <hyperlink r:id="rId166" ref="A41"/>
    <hyperlink r:id="rId167" ref="B41"/>
    <hyperlink r:id="rId168" ref="H41"/>
    <hyperlink r:id="rId169" ref="AD41"/>
    <hyperlink r:id="rId170" ref="A42"/>
    <hyperlink r:id="rId171" ref="B42"/>
    <hyperlink r:id="rId172" ref="H42"/>
    <hyperlink r:id="rId173" ref="M42"/>
    <hyperlink r:id="rId174" ref="AD42"/>
    <hyperlink r:id="rId175" ref="AG42"/>
    <hyperlink r:id="rId176" ref="A43"/>
    <hyperlink r:id="rId177" ref="B43"/>
    <hyperlink r:id="rId178" ref="H43"/>
    <hyperlink r:id="rId179" ref="AD43"/>
    <hyperlink r:id="rId180" ref="AG43"/>
    <hyperlink r:id="rId181" ref="B44"/>
    <hyperlink r:id="rId182" ref="H44"/>
    <hyperlink r:id="rId183" ref="AD44"/>
    <hyperlink r:id="rId184" ref="AG44"/>
    <hyperlink r:id="rId185" ref="B45"/>
    <hyperlink r:id="rId186" ref="H45"/>
    <hyperlink r:id="rId187" ref="M45"/>
    <hyperlink r:id="rId188" ref="AD45"/>
    <hyperlink r:id="rId189" ref="AG45"/>
    <hyperlink r:id="rId190" ref="B46"/>
    <hyperlink r:id="rId191" ref="H46"/>
    <hyperlink r:id="rId192" ref="AD46"/>
    <hyperlink r:id="rId193" ref="AG46"/>
    <hyperlink r:id="rId194" ref="B47"/>
    <hyperlink r:id="rId195" ref="H47"/>
    <hyperlink r:id="rId196" ref="M47"/>
    <hyperlink r:id="rId197" ref="AD47"/>
    <hyperlink r:id="rId198" ref="AG47"/>
    <hyperlink r:id="rId199" ref="B48"/>
    <hyperlink r:id="rId200" ref="H48"/>
    <hyperlink r:id="rId201" ref="M48"/>
    <hyperlink r:id="rId202" ref="AD48"/>
    <hyperlink r:id="rId203" ref="AG48"/>
    <hyperlink r:id="rId204" ref="M49"/>
    <hyperlink r:id="rId205" ref="AD49"/>
    <hyperlink r:id="rId206" ref="AG49"/>
    <hyperlink r:id="rId207" ref="M50"/>
    <hyperlink r:id="rId208" ref="AD50"/>
    <hyperlink r:id="rId209" ref="AG50"/>
    <hyperlink r:id="rId210" ref="B51"/>
    <hyperlink r:id="rId211" ref="H51"/>
    <hyperlink r:id="rId212" ref="M51"/>
    <hyperlink r:id="rId213" ref="AD51"/>
    <hyperlink r:id="rId214" ref="AG51"/>
    <hyperlink r:id="rId215" ref="M52"/>
    <hyperlink r:id="rId216" ref="AD52"/>
    <hyperlink r:id="rId217" ref="AG52"/>
    <hyperlink r:id="rId218" ref="B53"/>
    <hyperlink r:id="rId219" ref="H53"/>
    <hyperlink r:id="rId220" ref="M53"/>
    <hyperlink r:id="rId221" ref="AD53"/>
    <hyperlink r:id="rId222" ref="AG53"/>
    <hyperlink r:id="rId223" ref="H54"/>
    <hyperlink r:id="rId224" ref="AD54"/>
    <hyperlink r:id="rId225" ref="H55"/>
    <hyperlink r:id="rId226" ref="M55"/>
    <hyperlink r:id="rId227" ref="AD55"/>
    <hyperlink r:id="rId228" ref="AG55"/>
    <hyperlink r:id="rId229" ref="A56"/>
    <hyperlink r:id="rId230" ref="B56"/>
    <hyperlink r:id="rId231" ref="H56"/>
    <hyperlink r:id="rId232" ref="AD56"/>
    <hyperlink r:id="rId233" ref="A57"/>
    <hyperlink r:id="rId234" ref="B57"/>
    <hyperlink r:id="rId235" ref="AD57"/>
    <hyperlink r:id="rId236" ref="A58"/>
    <hyperlink r:id="rId237" ref="B58"/>
    <hyperlink r:id="rId238" ref="H58"/>
    <hyperlink r:id="rId239" ref="AD58"/>
    <hyperlink r:id="rId240" ref="A59"/>
    <hyperlink r:id="rId241" ref="B59"/>
    <hyperlink r:id="rId242" ref="AD59"/>
    <hyperlink r:id="rId243" ref="B60"/>
    <hyperlink r:id="rId244" ref="H60"/>
    <hyperlink r:id="rId245" ref="AD60"/>
    <hyperlink r:id="rId246" ref="B61"/>
    <hyperlink r:id="rId247" ref="H61"/>
    <hyperlink r:id="rId248" ref="AD61"/>
    <hyperlink r:id="rId249" ref="B62"/>
    <hyperlink r:id="rId250" ref="H62"/>
    <hyperlink r:id="rId251" ref="M62"/>
    <hyperlink r:id="rId252" ref="AD62"/>
    <hyperlink r:id="rId253" ref="AG62"/>
    <hyperlink r:id="rId254" ref="B63"/>
    <hyperlink r:id="rId255" ref="H63"/>
    <hyperlink r:id="rId256" ref="AD63"/>
    <hyperlink r:id="rId257" ref="B64"/>
    <hyperlink r:id="rId258" ref="H64"/>
    <hyperlink r:id="rId259" ref="AD64"/>
    <hyperlink r:id="rId260" ref="B65"/>
    <hyperlink r:id="rId261" ref="H65"/>
    <hyperlink r:id="rId262" ref="AD65"/>
    <hyperlink r:id="rId263" ref="H66"/>
    <hyperlink r:id="rId264" ref="M66"/>
    <hyperlink r:id="rId265" ref="AD66"/>
    <hyperlink r:id="rId266" ref="AG66"/>
    <hyperlink r:id="rId267" ref="H67"/>
    <hyperlink r:id="rId268" ref="M67"/>
    <hyperlink r:id="rId269" ref="AD67"/>
    <hyperlink r:id="rId270" ref="AG67"/>
    <hyperlink r:id="rId271" ref="A68"/>
    <hyperlink r:id="rId272" ref="B68"/>
    <hyperlink r:id="rId273" ref="H68"/>
    <hyperlink r:id="rId274" ref="AD68"/>
    <hyperlink r:id="rId275" ref="A69"/>
    <hyperlink r:id="rId276" ref="B69"/>
    <hyperlink r:id="rId277" ref="H69"/>
    <hyperlink r:id="rId278" ref="M69"/>
    <hyperlink r:id="rId279" ref="AD69"/>
    <hyperlink r:id="rId280" ref="AG69"/>
    <hyperlink r:id="rId281" ref="A70"/>
    <hyperlink r:id="rId282" ref="B70"/>
    <hyperlink r:id="rId283" ref="H70"/>
    <hyperlink r:id="rId284" ref="AD70"/>
    <hyperlink r:id="rId285" ref="A71"/>
    <hyperlink r:id="rId286" ref="B71"/>
    <hyperlink r:id="rId287" ref="H71"/>
    <hyperlink r:id="rId288" ref="AD71"/>
    <hyperlink r:id="rId289" ref="AG71"/>
    <hyperlink r:id="rId290" ref="A72"/>
    <hyperlink r:id="rId291" ref="B72"/>
    <hyperlink r:id="rId292" ref="H72"/>
    <hyperlink r:id="rId293" ref="AD72"/>
    <hyperlink r:id="rId294" ref="A73"/>
    <hyperlink r:id="rId295" ref="B73"/>
    <hyperlink r:id="rId296" ref="H73"/>
    <hyperlink r:id="rId297" ref="M73"/>
    <hyperlink r:id="rId298" ref="AD73"/>
    <hyperlink r:id="rId299" ref="AG73"/>
    <hyperlink r:id="rId300" ref="A74"/>
    <hyperlink r:id="rId301" ref="B74"/>
    <hyperlink r:id="rId302" ref="H74"/>
    <hyperlink r:id="rId303" ref="AD74"/>
    <hyperlink r:id="rId304" ref="A75"/>
    <hyperlink r:id="rId305" ref="B75"/>
    <hyperlink r:id="rId306" ref="H75"/>
    <hyperlink r:id="rId307" ref="AD75"/>
    <hyperlink r:id="rId308" ref="A76"/>
    <hyperlink r:id="rId309" ref="B76"/>
    <hyperlink r:id="rId310" ref="H76"/>
    <hyperlink r:id="rId311" ref="AD76"/>
    <hyperlink r:id="rId312" ref="A77"/>
    <hyperlink r:id="rId313" ref="B77"/>
    <hyperlink r:id="rId314" ref="H77"/>
    <hyperlink r:id="rId315" ref="AD77"/>
    <hyperlink r:id="rId316" ref="A78"/>
    <hyperlink r:id="rId317" ref="B78"/>
    <hyperlink r:id="rId318" ref="AD78"/>
    <hyperlink r:id="rId319" ref="A79"/>
    <hyperlink r:id="rId320" ref="B79"/>
    <hyperlink r:id="rId321" ref="H79"/>
    <hyperlink r:id="rId322" ref="AD79"/>
    <hyperlink r:id="rId323" ref="A80"/>
    <hyperlink r:id="rId324" ref="B80"/>
    <hyperlink r:id="rId325" ref="H80"/>
    <hyperlink r:id="rId326" ref="AD80"/>
    <hyperlink r:id="rId327" ref="A81"/>
    <hyperlink r:id="rId328" ref="B81"/>
    <hyperlink r:id="rId329" ref="AD81"/>
    <hyperlink r:id="rId330" ref="A82"/>
    <hyperlink r:id="rId331" ref="B82"/>
    <hyperlink r:id="rId332" ref="H82"/>
    <hyperlink r:id="rId333" ref="AD82"/>
    <hyperlink r:id="rId334" ref="A83"/>
    <hyperlink r:id="rId335" ref="B83"/>
    <hyperlink r:id="rId336" ref="H83"/>
    <hyperlink r:id="rId337" ref="AD83"/>
    <hyperlink r:id="rId338" ref="A84"/>
    <hyperlink r:id="rId339" ref="B84"/>
    <hyperlink r:id="rId340" ref="H84"/>
    <hyperlink r:id="rId341" ref="AD84"/>
    <hyperlink r:id="rId342" ref="A85"/>
    <hyperlink r:id="rId343" ref="B85"/>
    <hyperlink r:id="rId344" ref="AD85"/>
    <hyperlink r:id="rId345" ref="A86"/>
    <hyperlink r:id="rId346" ref="B86"/>
    <hyperlink r:id="rId347" ref="H86"/>
    <hyperlink r:id="rId348" ref="AD86"/>
    <hyperlink r:id="rId349" ref="A87"/>
    <hyperlink r:id="rId350" ref="B87"/>
    <hyperlink r:id="rId351" ref="H87"/>
    <hyperlink r:id="rId352" ref="AD87"/>
    <hyperlink r:id="rId353" ref="A88"/>
    <hyperlink r:id="rId354" ref="B88"/>
    <hyperlink r:id="rId355" ref="H88"/>
    <hyperlink r:id="rId356" ref="AD88"/>
    <hyperlink r:id="rId357" ref="A89"/>
    <hyperlink r:id="rId358" ref="B89"/>
    <hyperlink r:id="rId359" ref="H89"/>
    <hyperlink r:id="rId360" ref="AD89"/>
    <hyperlink r:id="rId361" ref="A90"/>
    <hyperlink r:id="rId362" ref="B90"/>
    <hyperlink r:id="rId363" ref="H90"/>
    <hyperlink r:id="rId364" ref="AD90"/>
    <hyperlink r:id="rId365" ref="A91"/>
    <hyperlink r:id="rId366" ref="B91"/>
    <hyperlink r:id="rId367" ref="H91"/>
    <hyperlink r:id="rId368" ref="AD91"/>
    <hyperlink r:id="rId369" ref="A92"/>
    <hyperlink r:id="rId370" ref="B92"/>
    <hyperlink r:id="rId371" ref="H92"/>
    <hyperlink r:id="rId372" ref="AD92"/>
    <hyperlink r:id="rId373" ref="A93"/>
    <hyperlink r:id="rId374" ref="B93"/>
    <hyperlink r:id="rId375" ref="H93"/>
    <hyperlink r:id="rId376" ref="AD93"/>
    <hyperlink r:id="rId377" ref="A94"/>
    <hyperlink r:id="rId378" ref="B94"/>
    <hyperlink r:id="rId379" ref="H94"/>
    <hyperlink r:id="rId380" ref="AD94"/>
    <hyperlink r:id="rId381" ref="A95"/>
    <hyperlink r:id="rId382" ref="B95"/>
    <hyperlink r:id="rId383" ref="H95"/>
    <hyperlink r:id="rId384" ref="AD95"/>
    <hyperlink r:id="rId385" ref="A96"/>
    <hyperlink r:id="rId386" ref="B96"/>
    <hyperlink r:id="rId387" ref="H96"/>
    <hyperlink r:id="rId388" ref="AD96"/>
    <hyperlink r:id="rId389" ref="A97"/>
    <hyperlink r:id="rId390" ref="B97"/>
    <hyperlink r:id="rId391" ref="H97"/>
    <hyperlink r:id="rId392" ref="AD97"/>
    <hyperlink r:id="rId393" ref="A98"/>
    <hyperlink r:id="rId394" ref="B98"/>
    <hyperlink r:id="rId395" ref="H98"/>
    <hyperlink r:id="rId396" ref="AD98"/>
    <hyperlink r:id="rId397" ref="A99"/>
    <hyperlink r:id="rId398" ref="B99"/>
    <hyperlink r:id="rId399" ref="AD99"/>
    <hyperlink r:id="rId400" ref="A100"/>
    <hyperlink r:id="rId401" ref="B100"/>
    <hyperlink r:id="rId402" ref="AD100"/>
    <hyperlink r:id="rId403" ref="A101"/>
    <hyperlink r:id="rId404" ref="B101"/>
    <hyperlink r:id="rId405" ref="H101"/>
    <hyperlink r:id="rId406" ref="AD101"/>
    <hyperlink r:id="rId407" ref="A102"/>
    <hyperlink r:id="rId408" ref="B102"/>
    <hyperlink r:id="rId409" ref="AD102"/>
    <hyperlink r:id="rId410" ref="A103"/>
    <hyperlink r:id="rId411" ref="B103"/>
    <hyperlink r:id="rId412" ref="H103"/>
    <hyperlink r:id="rId413" ref="M103"/>
    <hyperlink r:id="rId414" ref="AD103"/>
    <hyperlink r:id="rId415" ref="A104"/>
    <hyperlink r:id="rId416" ref="B104"/>
    <hyperlink r:id="rId417" ref="H104"/>
    <hyperlink r:id="rId418" ref="M104"/>
    <hyperlink r:id="rId419" ref="AD104"/>
    <hyperlink r:id="rId420" ref="A105"/>
    <hyperlink r:id="rId421" ref="B105"/>
    <hyperlink r:id="rId422" ref="H105"/>
    <hyperlink r:id="rId423" ref="M105"/>
    <hyperlink r:id="rId424" ref="AD105"/>
    <hyperlink r:id="rId425" ref="AG105"/>
    <hyperlink r:id="rId426" ref="A106"/>
    <hyperlink r:id="rId427" ref="B106"/>
    <hyperlink r:id="rId428" ref="H106"/>
    <hyperlink r:id="rId429" ref="M106"/>
    <hyperlink r:id="rId430" ref="AD106"/>
    <hyperlink r:id="rId431" ref="AG106"/>
    <hyperlink r:id="rId432" ref="A107"/>
    <hyperlink r:id="rId433" ref="B107"/>
    <hyperlink r:id="rId434" ref="A108"/>
    <hyperlink r:id="rId435" ref="B108"/>
    <hyperlink r:id="rId436" ref="A109"/>
    <hyperlink r:id="rId437" ref="B109"/>
    <hyperlink r:id="rId438" ref="AD109"/>
    <hyperlink r:id="rId439" ref="A110"/>
    <hyperlink r:id="rId440" ref="B110"/>
    <hyperlink r:id="rId441" ref="H110"/>
    <hyperlink r:id="rId442" ref="AD110"/>
    <hyperlink r:id="rId443" ref="A111"/>
    <hyperlink r:id="rId444" ref="B111"/>
    <hyperlink r:id="rId445" ref="H111"/>
    <hyperlink r:id="rId446" ref="AD111"/>
    <hyperlink r:id="rId447" ref="A112"/>
    <hyperlink r:id="rId448" ref="B112"/>
    <hyperlink r:id="rId449" ref="H112"/>
    <hyperlink r:id="rId450" ref="AD112"/>
    <hyperlink r:id="rId451" ref="A113"/>
    <hyperlink r:id="rId452" ref="B113"/>
    <hyperlink r:id="rId453" ref="H113"/>
    <hyperlink r:id="rId454" ref="AD113"/>
    <hyperlink r:id="rId455" ref="A114"/>
    <hyperlink r:id="rId456" ref="B114"/>
    <hyperlink r:id="rId457" ref="H114"/>
    <hyperlink r:id="rId458" ref="AD114"/>
    <hyperlink r:id="rId459" ref="A115"/>
    <hyperlink r:id="rId460" ref="B115"/>
    <hyperlink r:id="rId461" ref="H115"/>
    <hyperlink r:id="rId462" ref="AD115"/>
    <hyperlink r:id="rId463" ref="A116"/>
    <hyperlink r:id="rId464" ref="B116"/>
    <hyperlink r:id="rId465" ref="M116"/>
    <hyperlink r:id="rId466" ref="AD116"/>
    <hyperlink r:id="rId467" ref="AG116"/>
    <hyperlink r:id="rId468" ref="A117"/>
    <hyperlink r:id="rId469" ref="B117"/>
    <hyperlink r:id="rId470" ref="M117"/>
    <hyperlink r:id="rId471" ref="AD117"/>
    <hyperlink r:id="rId472" ref="AG117"/>
    <hyperlink r:id="rId473" ref="A118"/>
    <hyperlink r:id="rId474" ref="B118"/>
    <hyperlink r:id="rId475" ref="H118"/>
    <hyperlink r:id="rId476" ref="A119"/>
    <hyperlink r:id="rId477" ref="B119"/>
    <hyperlink r:id="rId478" ref="H119"/>
    <hyperlink r:id="rId479" ref="A120"/>
    <hyperlink r:id="rId480" ref="B120"/>
    <hyperlink r:id="rId481" ref="H120"/>
    <hyperlink r:id="rId482" ref="AD120"/>
    <hyperlink r:id="rId483" ref="A121"/>
    <hyperlink r:id="rId484" ref="B121"/>
    <hyperlink r:id="rId485" ref="H121"/>
    <hyperlink r:id="rId486" ref="AD121"/>
    <hyperlink r:id="rId487" ref="A122"/>
    <hyperlink r:id="rId488" ref="B122"/>
    <hyperlink r:id="rId489" ref="H122"/>
    <hyperlink r:id="rId490" ref="AD122"/>
    <hyperlink r:id="rId491" ref="A123"/>
    <hyperlink r:id="rId492" ref="B123"/>
    <hyperlink r:id="rId493" ref="H123"/>
    <hyperlink r:id="rId494" ref="AD123"/>
    <hyperlink r:id="rId495" ref="H124"/>
    <hyperlink r:id="rId496" ref="AD124"/>
    <hyperlink r:id="rId497" ref="H125"/>
    <hyperlink r:id="rId498" ref="M125"/>
    <hyperlink r:id="rId499" ref="AD125"/>
    <hyperlink r:id="rId500" ref="AG125"/>
    <hyperlink r:id="rId501" ref="H126"/>
    <hyperlink r:id="rId502" ref="M126"/>
    <hyperlink r:id="rId503" ref="AD126"/>
    <hyperlink r:id="rId504" ref="AG126"/>
    <hyperlink r:id="rId505" ref="B127"/>
    <hyperlink r:id="rId506" ref="H127"/>
    <hyperlink r:id="rId507" ref="AD127"/>
    <hyperlink r:id="rId508" ref="B128"/>
    <hyperlink r:id="rId509" ref="H128"/>
    <hyperlink r:id="rId510" ref="AD128"/>
    <hyperlink r:id="rId511" ref="B129"/>
    <hyperlink r:id="rId512" ref="H129"/>
    <hyperlink r:id="rId513" ref="AD129"/>
    <hyperlink r:id="rId514" ref="B130"/>
    <hyperlink r:id="rId515" ref="H130"/>
    <hyperlink r:id="rId516" ref="AD130"/>
    <hyperlink r:id="rId517" ref="B131"/>
    <hyperlink r:id="rId518" ref="H131"/>
    <hyperlink r:id="rId519" ref="AD131"/>
    <hyperlink r:id="rId520" ref="AG131"/>
    <hyperlink r:id="rId521" ref="A132"/>
    <hyperlink r:id="rId522" ref="B132"/>
    <hyperlink r:id="rId523" ref="H132"/>
    <hyperlink r:id="rId524" ref="AD132"/>
    <hyperlink r:id="rId525" ref="A133"/>
    <hyperlink r:id="rId526" ref="B133"/>
    <hyperlink r:id="rId527" ref="H133"/>
    <hyperlink r:id="rId528" ref="AD133"/>
    <hyperlink r:id="rId529" ref="A134"/>
    <hyperlink r:id="rId530" location="desc" ref="B134"/>
    <hyperlink r:id="rId531" ref="M134"/>
    <hyperlink r:id="rId532" ref="AD134"/>
    <hyperlink r:id="rId533" ref="A135"/>
    <hyperlink r:id="rId534" location="desc" ref="B135"/>
    <hyperlink r:id="rId535" ref="M135"/>
    <hyperlink r:id="rId536" ref="AD135"/>
    <hyperlink r:id="rId537" ref="A136"/>
    <hyperlink r:id="rId538" location="desc" ref="B136"/>
    <hyperlink r:id="rId539" ref="M136"/>
    <hyperlink r:id="rId540" ref="AD136"/>
    <hyperlink r:id="rId541" ref="A137"/>
    <hyperlink r:id="rId542" ref="B137"/>
    <hyperlink r:id="rId543" ref="H137"/>
    <hyperlink r:id="rId544" ref="AD137"/>
    <hyperlink r:id="rId545" ref="A138"/>
    <hyperlink r:id="rId546" ref="B138"/>
    <hyperlink r:id="rId547" ref="H138"/>
    <hyperlink r:id="rId548" ref="AD138"/>
    <hyperlink r:id="rId549" ref="A139"/>
    <hyperlink r:id="rId550" ref="B139"/>
    <hyperlink r:id="rId551" ref="H139"/>
    <hyperlink r:id="rId552" ref="AD139"/>
    <hyperlink r:id="rId553" ref="A140"/>
    <hyperlink r:id="rId554" ref="B140"/>
    <hyperlink r:id="rId555" ref="H140"/>
    <hyperlink r:id="rId556" ref="AD140"/>
    <hyperlink r:id="rId557" ref="A141"/>
    <hyperlink r:id="rId558" ref="B141"/>
    <hyperlink r:id="rId559" ref="H141"/>
    <hyperlink r:id="rId560" ref="AD141"/>
    <hyperlink r:id="rId561" ref="A142"/>
    <hyperlink r:id="rId562" ref="B142"/>
    <hyperlink r:id="rId563" ref="M142"/>
    <hyperlink r:id="rId564" ref="AD142"/>
    <hyperlink r:id="rId565" ref="A143"/>
    <hyperlink r:id="rId566" ref="B143"/>
    <hyperlink r:id="rId567" ref="M143"/>
    <hyperlink r:id="rId568" ref="AD143"/>
    <hyperlink r:id="rId569" ref="A144"/>
    <hyperlink r:id="rId570" ref="H144"/>
    <hyperlink r:id="rId571" ref="AD144"/>
    <hyperlink r:id="rId572" ref="A145"/>
    <hyperlink r:id="rId573" ref="B145"/>
    <hyperlink r:id="rId574" ref="H145"/>
    <hyperlink r:id="rId575" ref="AD145"/>
    <hyperlink r:id="rId576" ref="A146"/>
    <hyperlink r:id="rId577" ref="B146"/>
    <hyperlink r:id="rId578" ref="H146"/>
    <hyperlink r:id="rId579" ref="M146"/>
    <hyperlink r:id="rId580" ref="AD146"/>
    <hyperlink r:id="rId581" ref="A147"/>
    <hyperlink r:id="rId582" ref="H147"/>
    <hyperlink r:id="rId583" ref="M147"/>
    <hyperlink r:id="rId584" ref="AD147"/>
    <hyperlink r:id="rId585" ref="AG147"/>
    <hyperlink r:id="rId586" ref="A148"/>
    <hyperlink r:id="rId587" ref="H148"/>
    <hyperlink r:id="rId588" ref="AD148"/>
    <hyperlink r:id="rId589" ref="A149"/>
    <hyperlink r:id="rId590" ref="H149"/>
    <hyperlink r:id="rId591" ref="AD149"/>
    <hyperlink r:id="rId592" ref="A150"/>
    <hyperlink r:id="rId593" ref="H150"/>
    <hyperlink r:id="rId594" ref="AD150"/>
    <hyperlink r:id="rId595" ref="AG150"/>
    <hyperlink r:id="rId596" ref="A151"/>
    <hyperlink r:id="rId597" ref="H151"/>
    <hyperlink r:id="rId598" ref="AD151"/>
    <hyperlink r:id="rId599" ref="A152"/>
    <hyperlink r:id="rId600" ref="H152"/>
    <hyperlink r:id="rId601" ref="M152"/>
    <hyperlink r:id="rId602" ref="AD152"/>
    <hyperlink r:id="rId603" ref="AG152"/>
    <hyperlink r:id="rId604" ref="A153"/>
    <hyperlink r:id="rId605" ref="B153"/>
    <hyperlink r:id="rId606" ref="H153"/>
    <hyperlink r:id="rId607" ref="M153"/>
    <hyperlink r:id="rId608" ref="AD153"/>
    <hyperlink r:id="rId609" ref="A154"/>
    <hyperlink r:id="rId610" ref="B154"/>
    <hyperlink r:id="rId611" ref="H154"/>
    <hyperlink r:id="rId612" ref="AD154"/>
    <hyperlink r:id="rId613" ref="A155"/>
    <hyperlink r:id="rId614" ref="H155"/>
    <hyperlink r:id="rId615" ref="M155"/>
    <hyperlink r:id="rId616" ref="AD155"/>
    <hyperlink r:id="rId617" ref="AG155"/>
    <hyperlink r:id="rId618" ref="A156"/>
    <hyperlink r:id="rId619" ref="H156"/>
    <hyperlink r:id="rId620" ref="AD156"/>
    <hyperlink r:id="rId621" ref="AG156"/>
    <hyperlink r:id="rId622" ref="A157"/>
    <hyperlink r:id="rId623" ref="B157"/>
    <hyperlink r:id="rId624" ref="H157"/>
    <hyperlink r:id="rId625" ref="M157"/>
    <hyperlink r:id="rId626" ref="AD157"/>
    <hyperlink r:id="rId627" ref="AG157"/>
    <hyperlink r:id="rId628" ref="A158"/>
    <hyperlink r:id="rId629" ref="H158"/>
    <hyperlink r:id="rId630" ref="AD158"/>
    <hyperlink r:id="rId631" ref="AG158"/>
    <hyperlink r:id="rId632" ref="A159"/>
    <hyperlink r:id="rId633" ref="H159"/>
    <hyperlink r:id="rId634" ref="M159"/>
    <hyperlink r:id="rId635" ref="AD159"/>
    <hyperlink r:id="rId636" ref="AG159"/>
    <hyperlink r:id="rId637" ref="A160"/>
    <hyperlink r:id="rId638" ref="H160"/>
    <hyperlink r:id="rId639" ref="M160"/>
    <hyperlink r:id="rId640" ref="AD160"/>
    <hyperlink r:id="rId641" ref="AG160"/>
    <hyperlink r:id="rId642" ref="A161"/>
    <hyperlink r:id="rId643" ref="H161"/>
    <hyperlink r:id="rId644" ref="M161"/>
    <hyperlink r:id="rId645" ref="AD161"/>
    <hyperlink r:id="rId646" ref="AG161"/>
    <hyperlink r:id="rId647" ref="A162"/>
    <hyperlink r:id="rId648" ref="H162"/>
    <hyperlink r:id="rId649" ref="M162"/>
    <hyperlink r:id="rId650" ref="AD162"/>
    <hyperlink r:id="rId651" ref="A163"/>
    <hyperlink r:id="rId652" ref="B163"/>
    <hyperlink r:id="rId653" ref="H163"/>
    <hyperlink r:id="rId654" ref="AD163"/>
    <hyperlink r:id="rId655" ref="A164"/>
    <hyperlink r:id="rId656" ref="B164"/>
    <hyperlink r:id="rId657" ref="H164"/>
    <hyperlink r:id="rId658" ref="M164"/>
    <hyperlink r:id="rId659" ref="AD164"/>
    <hyperlink r:id="rId660" ref="AG164"/>
    <hyperlink r:id="rId661" ref="A165"/>
    <hyperlink r:id="rId662" ref="H165"/>
    <hyperlink r:id="rId663" ref="M165"/>
    <hyperlink r:id="rId664" ref="AD165"/>
    <hyperlink r:id="rId665" ref="A166"/>
    <hyperlink r:id="rId666" ref="B166"/>
    <hyperlink r:id="rId667" ref="H166"/>
    <hyperlink r:id="rId668" ref="M166"/>
    <hyperlink r:id="rId669" ref="AD166"/>
    <hyperlink r:id="rId670" ref="AG166"/>
    <hyperlink r:id="rId671" ref="A167"/>
    <hyperlink r:id="rId672" ref="B167"/>
    <hyperlink r:id="rId673" ref="M167"/>
    <hyperlink r:id="rId674" ref="AD167"/>
    <hyperlink r:id="rId675" ref="A168"/>
    <hyperlink r:id="rId676" ref="B168"/>
    <hyperlink r:id="rId677" ref="H168"/>
    <hyperlink r:id="rId678" ref="AD168"/>
    <hyperlink r:id="rId679" ref="A169"/>
    <hyperlink r:id="rId680" ref="B169"/>
    <hyperlink r:id="rId681" ref="H169"/>
    <hyperlink r:id="rId682" ref="AD169"/>
    <hyperlink r:id="rId683" ref="A170"/>
    <hyperlink r:id="rId684" ref="B170"/>
    <hyperlink r:id="rId685" ref="H170"/>
    <hyperlink r:id="rId686" ref="AD170"/>
    <hyperlink r:id="rId687" ref="A171"/>
    <hyperlink r:id="rId688" ref="B171"/>
    <hyperlink r:id="rId689" ref="H171"/>
    <hyperlink r:id="rId690" ref="AD171"/>
    <hyperlink r:id="rId691" ref="A172"/>
    <hyperlink r:id="rId692" ref="B172"/>
    <hyperlink r:id="rId693" ref="H172"/>
    <hyperlink r:id="rId694" ref="AD172"/>
    <hyperlink r:id="rId695" ref="A173"/>
    <hyperlink r:id="rId696" ref="B173"/>
    <hyperlink r:id="rId697" ref="H173"/>
    <hyperlink r:id="rId698" ref="AD173"/>
    <hyperlink r:id="rId699" ref="A174"/>
    <hyperlink r:id="rId700" ref="B174"/>
    <hyperlink r:id="rId701" ref="H174"/>
    <hyperlink r:id="rId702" ref="AD174"/>
    <hyperlink r:id="rId703" ref="A175"/>
    <hyperlink r:id="rId704" ref="B175"/>
    <hyperlink r:id="rId705" ref="H175"/>
    <hyperlink r:id="rId706" ref="AD175"/>
    <hyperlink r:id="rId707" ref="A176"/>
    <hyperlink r:id="rId708" ref="B176"/>
    <hyperlink r:id="rId709" ref="H176"/>
    <hyperlink r:id="rId710" ref="AD176"/>
    <hyperlink r:id="rId711" ref="A177"/>
    <hyperlink r:id="rId712" ref="B177"/>
    <hyperlink r:id="rId713" ref="H177"/>
    <hyperlink r:id="rId714" ref="AD177"/>
    <hyperlink r:id="rId715" ref="A178"/>
    <hyperlink r:id="rId716" ref="B178"/>
    <hyperlink r:id="rId717" ref="H178"/>
    <hyperlink r:id="rId718" ref="AD178"/>
    <hyperlink r:id="rId719" ref="A179"/>
    <hyperlink r:id="rId720" ref="B179"/>
    <hyperlink r:id="rId721" ref="H179"/>
    <hyperlink r:id="rId722" ref="AD179"/>
    <hyperlink r:id="rId723" ref="A180"/>
    <hyperlink r:id="rId724" ref="B180"/>
    <hyperlink r:id="rId725" ref="H180"/>
    <hyperlink r:id="rId726" ref="AD180"/>
    <hyperlink r:id="rId727" ref="A181"/>
    <hyperlink r:id="rId728" ref="B181"/>
    <hyperlink r:id="rId729" ref="H181"/>
    <hyperlink r:id="rId730" ref="AD181"/>
    <hyperlink r:id="rId731" ref="A182"/>
    <hyperlink r:id="rId732" ref="B182"/>
    <hyperlink r:id="rId733" ref="H182"/>
    <hyperlink r:id="rId734" ref="AD182"/>
    <hyperlink r:id="rId735" ref="A183"/>
    <hyperlink r:id="rId736" ref="B183"/>
    <hyperlink r:id="rId737" ref="H183"/>
    <hyperlink r:id="rId738" ref="AD183"/>
    <hyperlink r:id="rId739" ref="A184"/>
    <hyperlink r:id="rId740" ref="B184"/>
    <hyperlink r:id="rId741" ref="H184"/>
    <hyperlink r:id="rId742" ref="AD184"/>
    <hyperlink r:id="rId743" ref="B185"/>
    <hyperlink r:id="rId744" ref="H185"/>
    <hyperlink r:id="rId745" ref="AD185"/>
    <hyperlink r:id="rId746" ref="B186"/>
    <hyperlink r:id="rId747" ref="H186"/>
    <hyperlink r:id="rId748" ref="AD186"/>
    <hyperlink r:id="rId749" ref="B187"/>
    <hyperlink r:id="rId750" ref="H187"/>
    <hyperlink r:id="rId751" ref="AD187"/>
    <hyperlink r:id="rId752" ref="B188"/>
    <hyperlink r:id="rId753" ref="H188"/>
    <hyperlink r:id="rId754" ref="M188"/>
    <hyperlink r:id="rId755" ref="AD188"/>
    <hyperlink r:id="rId756" ref="AG188"/>
    <hyperlink r:id="rId757" ref="B189"/>
    <hyperlink r:id="rId758" ref="H189"/>
    <hyperlink r:id="rId759" ref="AD189"/>
    <hyperlink r:id="rId760" ref="B190"/>
    <hyperlink r:id="rId761" ref="H190"/>
    <hyperlink r:id="rId762" ref="M190"/>
    <hyperlink r:id="rId763" ref="AD190"/>
    <hyperlink r:id="rId764" ref="AG190"/>
    <hyperlink r:id="rId765" ref="B191"/>
    <hyperlink r:id="rId766" ref="AD191"/>
    <hyperlink r:id="rId767" ref="B192"/>
    <hyperlink r:id="rId768" ref="H192"/>
    <hyperlink r:id="rId769" ref="M192"/>
    <hyperlink r:id="rId770" ref="AD192"/>
    <hyperlink r:id="rId771" ref="AG192"/>
    <hyperlink r:id="rId772" ref="B193"/>
    <hyperlink r:id="rId773" ref="AD193"/>
    <hyperlink r:id="rId774" ref="B194"/>
    <hyperlink r:id="rId775" ref="H194"/>
    <hyperlink r:id="rId776" ref="M194"/>
    <hyperlink r:id="rId777" ref="AD194"/>
    <hyperlink r:id="rId778" ref="AG194"/>
    <hyperlink r:id="rId779" ref="B195"/>
    <hyperlink r:id="rId780" ref="AD195"/>
  </hyperlinks>
  <drawing r:id="rId781"/>
  <legacyDrawing r:id="rId78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63"/>
    <col customWidth="1" min="2" max="2" width="11.13"/>
    <col customWidth="1" min="3" max="3" width="7.5"/>
    <col customWidth="1" min="4" max="4" width="6.88"/>
    <col customWidth="1" min="5" max="5" width="17.0"/>
    <col customWidth="1" min="6" max="6" width="9.25"/>
    <col customWidth="1" min="7" max="12" width="5.63"/>
    <col customWidth="1" min="13" max="13" width="6.75"/>
    <col customWidth="1" min="14" max="14" width="7.63"/>
    <col customWidth="1" min="15" max="15" width="6.5"/>
    <col customWidth="1" min="16" max="18" width="5.63"/>
    <col customWidth="1" min="19" max="19" width="6.0"/>
    <col customWidth="1" min="20" max="20" width="14.63"/>
    <col customWidth="1" min="21" max="21" width="11.38"/>
  </cols>
  <sheetData>
    <row r="1" ht="81.0" customHeight="1">
      <c r="A1" s="732" t="s">
        <v>1579</v>
      </c>
      <c r="B1" s="791" t="s">
        <v>4594</v>
      </c>
      <c r="C1" s="792" t="s">
        <v>1976</v>
      </c>
      <c r="D1" s="792" t="s">
        <v>4896</v>
      </c>
      <c r="E1" s="793" t="s">
        <v>4599</v>
      </c>
      <c r="F1" s="794" t="s">
        <v>4598</v>
      </c>
      <c r="G1" s="792" t="s">
        <v>6386</v>
      </c>
      <c r="H1" s="792" t="s">
        <v>6387</v>
      </c>
      <c r="I1" s="384" t="s">
        <v>6388</v>
      </c>
      <c r="J1" s="384" t="s">
        <v>6389</v>
      </c>
      <c r="K1" s="384" t="s">
        <v>6390</v>
      </c>
      <c r="L1" s="384" t="s">
        <v>6391</v>
      </c>
      <c r="M1" s="384" t="s">
        <v>6392</v>
      </c>
      <c r="N1" s="384" t="s">
        <v>6393</v>
      </c>
      <c r="O1" s="399" t="s">
        <v>3145</v>
      </c>
      <c r="P1" s="399" t="s">
        <v>6394</v>
      </c>
      <c r="Q1" s="384" t="s">
        <v>1588</v>
      </c>
      <c r="R1" s="384" t="s">
        <v>6395</v>
      </c>
      <c r="S1" s="36" t="s">
        <v>6396</v>
      </c>
      <c r="T1" s="316" t="s">
        <v>6397</v>
      </c>
      <c r="U1" s="316" t="s">
        <v>1602</v>
      </c>
      <c r="V1" s="343"/>
      <c r="W1" s="343"/>
      <c r="X1" s="343"/>
      <c r="Y1" s="343"/>
      <c r="Z1" s="343"/>
      <c r="AA1" s="343"/>
      <c r="AB1" s="343"/>
      <c r="AC1" s="343"/>
      <c r="AD1" s="343"/>
      <c r="AE1" s="343"/>
    </row>
    <row r="2">
      <c r="A2" s="241" t="s">
        <v>1664</v>
      </c>
      <c r="B2" s="419" t="s">
        <v>6398</v>
      </c>
      <c r="C2" s="795">
        <v>1200.0</v>
      </c>
      <c r="D2" s="222" t="s">
        <v>4946</v>
      </c>
      <c r="E2" s="222" t="s">
        <v>6399</v>
      </c>
      <c r="F2" s="222" t="s">
        <v>6400</v>
      </c>
      <c r="G2" s="222">
        <v>4.0</v>
      </c>
      <c r="H2" s="222">
        <v>4.0</v>
      </c>
      <c r="I2" s="796">
        <v>3.1</v>
      </c>
      <c r="J2" s="796">
        <v>3.4</v>
      </c>
      <c r="K2" s="222">
        <v>2.0</v>
      </c>
      <c r="L2" s="222">
        <v>8.0</v>
      </c>
      <c r="M2" s="222" t="s">
        <v>6401</v>
      </c>
      <c r="N2" s="222" t="s">
        <v>166</v>
      </c>
      <c r="O2" s="222" t="s">
        <v>3149</v>
      </c>
      <c r="P2" s="222">
        <v>2666.0</v>
      </c>
      <c r="Q2" s="222">
        <v>65.0</v>
      </c>
      <c r="R2" s="222" t="s">
        <v>174</v>
      </c>
      <c r="S2" s="797">
        <v>109.0</v>
      </c>
      <c r="T2" s="389" t="s">
        <v>6402</v>
      </c>
      <c r="U2" s="389"/>
    </row>
    <row r="3">
      <c r="A3" s="241" t="s">
        <v>1664</v>
      </c>
      <c r="B3" s="419" t="s">
        <v>6398</v>
      </c>
      <c r="C3" s="798" t="s">
        <v>6403</v>
      </c>
      <c r="D3" s="222" t="s">
        <v>4946</v>
      </c>
      <c r="E3" s="222" t="s">
        <v>6404</v>
      </c>
      <c r="F3" s="222" t="s">
        <v>6405</v>
      </c>
      <c r="G3" s="222">
        <v>4.0</v>
      </c>
      <c r="H3" s="222">
        <v>4.0</v>
      </c>
      <c r="I3" s="796">
        <v>3.1</v>
      </c>
      <c r="J3" s="796">
        <v>3.4</v>
      </c>
      <c r="K3" s="222">
        <v>2.0</v>
      </c>
      <c r="L3" s="222">
        <v>8.0</v>
      </c>
      <c r="M3" s="222" t="s">
        <v>6401</v>
      </c>
      <c r="N3" s="222" t="s">
        <v>166</v>
      </c>
      <c r="O3" s="222" t="s">
        <v>3149</v>
      </c>
      <c r="P3" s="222">
        <v>2933.0</v>
      </c>
      <c r="Q3" s="222">
        <v>65.0</v>
      </c>
      <c r="R3" s="222" t="s">
        <v>174</v>
      </c>
      <c r="S3" s="224" t="s">
        <v>170</v>
      </c>
      <c r="T3" s="389" t="s">
        <v>6402</v>
      </c>
      <c r="U3" s="389"/>
    </row>
    <row r="4">
      <c r="A4" s="241" t="s">
        <v>1664</v>
      </c>
      <c r="B4" s="419" t="s">
        <v>6398</v>
      </c>
      <c r="C4" s="795" t="s">
        <v>6406</v>
      </c>
      <c r="D4" s="222" t="s">
        <v>4946</v>
      </c>
      <c r="E4" s="222" t="s">
        <v>6399</v>
      </c>
      <c r="F4" s="222" t="s">
        <v>6400</v>
      </c>
      <c r="G4" s="222">
        <v>4.0</v>
      </c>
      <c r="H4" s="222">
        <v>4.0</v>
      </c>
      <c r="I4" s="796">
        <v>3.5</v>
      </c>
      <c r="J4" s="796">
        <v>3.7</v>
      </c>
      <c r="K4" s="222">
        <v>2.0</v>
      </c>
      <c r="L4" s="222">
        <v>8.0</v>
      </c>
      <c r="M4" s="222" t="s">
        <v>6401</v>
      </c>
      <c r="N4" s="222" t="s">
        <v>166</v>
      </c>
      <c r="O4" s="222" t="s">
        <v>3149</v>
      </c>
      <c r="P4" s="222">
        <v>2666.0</v>
      </c>
      <c r="Q4" s="222">
        <v>65.0</v>
      </c>
      <c r="R4" s="222" t="s">
        <v>174</v>
      </c>
      <c r="S4" s="797">
        <v>129.0</v>
      </c>
      <c r="T4" s="389" t="s">
        <v>6402</v>
      </c>
      <c r="U4" s="389"/>
    </row>
    <row r="5">
      <c r="A5" s="241" t="s">
        <v>1664</v>
      </c>
      <c r="B5" s="419" t="s">
        <v>6407</v>
      </c>
      <c r="C5" s="795">
        <v>1400.0</v>
      </c>
      <c r="D5" s="222" t="s">
        <v>4946</v>
      </c>
      <c r="E5" s="222" t="s">
        <v>6399</v>
      </c>
      <c r="F5" s="222" t="s">
        <v>6400</v>
      </c>
      <c r="G5" s="222">
        <v>4.0</v>
      </c>
      <c r="H5" s="222">
        <v>8.0</v>
      </c>
      <c r="I5" s="796">
        <v>3.2</v>
      </c>
      <c r="J5" s="796">
        <v>3.4</v>
      </c>
      <c r="K5" s="222">
        <v>2.0</v>
      </c>
      <c r="L5" s="222">
        <v>8.0</v>
      </c>
      <c r="M5" s="222" t="s">
        <v>6401</v>
      </c>
      <c r="N5" s="222" t="s">
        <v>166</v>
      </c>
      <c r="O5" s="222" t="s">
        <v>3149</v>
      </c>
      <c r="P5" s="222">
        <v>2666.0</v>
      </c>
      <c r="Q5" s="222">
        <v>65.0</v>
      </c>
      <c r="R5" s="222" t="s">
        <v>174</v>
      </c>
      <c r="S5" s="797">
        <v>169.0</v>
      </c>
      <c r="T5" s="389" t="s">
        <v>6402</v>
      </c>
      <c r="U5" s="389"/>
    </row>
    <row r="6">
      <c r="A6" s="241" t="s">
        <v>1664</v>
      </c>
      <c r="B6" s="419" t="s">
        <v>6407</v>
      </c>
      <c r="C6" s="795" t="s">
        <v>6408</v>
      </c>
      <c r="D6" s="222" t="s">
        <v>4946</v>
      </c>
      <c r="E6" s="222" t="s">
        <v>6399</v>
      </c>
      <c r="F6" s="222" t="s">
        <v>6400</v>
      </c>
      <c r="G6" s="222">
        <v>4.0</v>
      </c>
      <c r="H6" s="222">
        <v>8.0</v>
      </c>
      <c r="I6" s="796">
        <v>3.5</v>
      </c>
      <c r="J6" s="796">
        <v>3.7</v>
      </c>
      <c r="K6" s="222">
        <v>2.0</v>
      </c>
      <c r="L6" s="222">
        <v>16.0</v>
      </c>
      <c r="M6" s="222" t="s">
        <v>6401</v>
      </c>
      <c r="N6" s="222" t="s">
        <v>166</v>
      </c>
      <c r="O6" s="222" t="s">
        <v>3149</v>
      </c>
      <c r="P6" s="222">
        <v>2666.0</v>
      </c>
      <c r="Q6" s="222">
        <v>65.0</v>
      </c>
      <c r="R6" s="222" t="s">
        <v>174</v>
      </c>
      <c r="S6" s="797">
        <v>189.0</v>
      </c>
      <c r="T6" s="389" t="s">
        <v>6409</v>
      </c>
      <c r="U6" s="389"/>
    </row>
    <row r="7">
      <c r="A7" s="241" t="s">
        <v>1664</v>
      </c>
      <c r="B7" s="419" t="s">
        <v>6407</v>
      </c>
      <c r="C7" s="795">
        <v>1600.0</v>
      </c>
      <c r="D7" s="222" t="s">
        <v>4946</v>
      </c>
      <c r="E7" s="222" t="s">
        <v>6399</v>
      </c>
      <c r="F7" s="222" t="s">
        <v>6400</v>
      </c>
      <c r="G7" s="222">
        <v>6.0</v>
      </c>
      <c r="H7" s="222">
        <v>12.0</v>
      </c>
      <c r="I7" s="796">
        <v>3.2</v>
      </c>
      <c r="J7" s="796">
        <v>3.6</v>
      </c>
      <c r="K7" s="222">
        <v>3.0</v>
      </c>
      <c r="L7" s="222">
        <v>16.0</v>
      </c>
      <c r="M7" s="222" t="s">
        <v>6401</v>
      </c>
      <c r="N7" s="222" t="s">
        <v>166</v>
      </c>
      <c r="O7" s="222" t="s">
        <v>3149</v>
      </c>
      <c r="P7" s="222">
        <v>2666.0</v>
      </c>
      <c r="Q7" s="222">
        <v>65.0</v>
      </c>
      <c r="R7" s="222" t="s">
        <v>174</v>
      </c>
      <c r="S7" s="797">
        <v>219.0</v>
      </c>
      <c r="T7" s="389" t="s">
        <v>6409</v>
      </c>
      <c r="U7" s="389"/>
    </row>
    <row r="8">
      <c r="A8" s="241" t="s">
        <v>1664</v>
      </c>
      <c r="B8" s="419" t="s">
        <v>6407</v>
      </c>
      <c r="C8" s="795" t="s">
        <v>6410</v>
      </c>
      <c r="D8" s="222" t="s">
        <v>4946</v>
      </c>
      <c r="E8" s="222" t="s">
        <v>6404</v>
      </c>
      <c r="F8" s="222" t="s">
        <v>6405</v>
      </c>
      <c r="G8" s="222">
        <v>6.0</v>
      </c>
      <c r="H8" s="222">
        <v>12.0</v>
      </c>
      <c r="I8" s="796">
        <v>3.2</v>
      </c>
      <c r="J8" s="796">
        <v>3.6</v>
      </c>
      <c r="K8" s="222">
        <v>3.0</v>
      </c>
      <c r="L8" s="222">
        <v>16.0</v>
      </c>
      <c r="M8" s="222" t="s">
        <v>6401</v>
      </c>
      <c r="N8" s="222" t="s">
        <v>166</v>
      </c>
      <c r="O8" s="222" t="s">
        <v>3149</v>
      </c>
      <c r="P8" s="222">
        <v>2933.0</v>
      </c>
      <c r="Q8" s="222">
        <v>65.0</v>
      </c>
      <c r="R8" s="222" t="s">
        <v>174</v>
      </c>
      <c r="S8" s="797">
        <v>85.0</v>
      </c>
      <c r="T8" s="389" t="s">
        <v>6402</v>
      </c>
      <c r="U8" s="389"/>
    </row>
    <row r="9">
      <c r="A9" s="241" t="s">
        <v>1664</v>
      </c>
      <c r="B9" s="419" t="s">
        <v>6407</v>
      </c>
      <c r="C9" s="795" t="s">
        <v>6411</v>
      </c>
      <c r="D9" s="222" t="s">
        <v>4946</v>
      </c>
      <c r="E9" s="222" t="s">
        <v>6399</v>
      </c>
      <c r="F9" s="222" t="s">
        <v>6400</v>
      </c>
      <c r="G9" s="222">
        <v>6.0</v>
      </c>
      <c r="H9" s="222">
        <v>12.0</v>
      </c>
      <c r="I9" s="796">
        <v>3.6</v>
      </c>
      <c r="J9" s="796">
        <v>4.0</v>
      </c>
      <c r="K9" s="222">
        <v>3.0</v>
      </c>
      <c r="L9" s="222">
        <v>16.0</v>
      </c>
      <c r="M9" s="222" t="s">
        <v>6401</v>
      </c>
      <c r="N9" s="222" t="s">
        <v>166</v>
      </c>
      <c r="O9" s="222" t="s">
        <v>3149</v>
      </c>
      <c r="P9" s="222">
        <v>2666.0</v>
      </c>
      <c r="Q9" s="222">
        <v>95.0</v>
      </c>
      <c r="R9" s="222" t="s">
        <v>174</v>
      </c>
      <c r="S9" s="797">
        <v>249.0</v>
      </c>
      <c r="T9" s="389" t="s">
        <v>166</v>
      </c>
      <c r="U9" s="389"/>
    </row>
    <row r="10">
      <c r="A10" s="241" t="s">
        <v>1664</v>
      </c>
      <c r="B10" s="419" t="s">
        <v>6412</v>
      </c>
      <c r="C10" s="795">
        <v>1700.0</v>
      </c>
      <c r="D10" s="222" t="s">
        <v>4946</v>
      </c>
      <c r="E10" s="222" t="s">
        <v>6399</v>
      </c>
      <c r="F10" s="222" t="s">
        <v>6400</v>
      </c>
      <c r="G10" s="222">
        <v>8.0</v>
      </c>
      <c r="H10" s="222">
        <v>16.0</v>
      </c>
      <c r="I10" s="796">
        <v>3.0</v>
      </c>
      <c r="J10" s="796">
        <v>3.7</v>
      </c>
      <c r="K10" s="222">
        <v>4.0</v>
      </c>
      <c r="L10" s="222">
        <v>16.0</v>
      </c>
      <c r="M10" s="222" t="s">
        <v>6401</v>
      </c>
      <c r="N10" s="222" t="s">
        <v>166</v>
      </c>
      <c r="O10" s="222" t="s">
        <v>3149</v>
      </c>
      <c r="P10" s="222">
        <v>2666.0</v>
      </c>
      <c r="Q10" s="222">
        <v>65.0</v>
      </c>
      <c r="R10" s="222" t="s">
        <v>174</v>
      </c>
      <c r="S10" s="797">
        <v>329.0</v>
      </c>
      <c r="T10" s="389" t="s">
        <v>6409</v>
      </c>
      <c r="U10" s="389"/>
    </row>
    <row r="11">
      <c r="A11" s="241" t="s">
        <v>1664</v>
      </c>
      <c r="B11" s="419" t="s">
        <v>6412</v>
      </c>
      <c r="C11" s="795" t="s">
        <v>6413</v>
      </c>
      <c r="D11" s="222" t="s">
        <v>4946</v>
      </c>
      <c r="E11" s="222" t="s">
        <v>6399</v>
      </c>
      <c r="F11" s="222" t="s">
        <v>6400</v>
      </c>
      <c r="G11" s="222">
        <v>8.0</v>
      </c>
      <c r="H11" s="222">
        <v>16.0</v>
      </c>
      <c r="I11" s="796">
        <v>3.4</v>
      </c>
      <c r="J11" s="796">
        <v>3.8</v>
      </c>
      <c r="K11" s="222">
        <v>4.0</v>
      </c>
      <c r="L11" s="222">
        <v>16.0</v>
      </c>
      <c r="M11" s="222" t="s">
        <v>6401</v>
      </c>
      <c r="N11" s="222" t="s">
        <v>166</v>
      </c>
      <c r="O11" s="222" t="s">
        <v>3149</v>
      </c>
      <c r="P11" s="222">
        <v>2666.0</v>
      </c>
      <c r="Q11" s="222">
        <v>95.0</v>
      </c>
      <c r="R11" s="222" t="s">
        <v>174</v>
      </c>
      <c r="S11" s="797">
        <v>399.0</v>
      </c>
      <c r="T11" s="389" t="s">
        <v>166</v>
      </c>
      <c r="U11" s="389"/>
    </row>
    <row r="12">
      <c r="A12" s="247" t="s">
        <v>1664</v>
      </c>
      <c r="B12" s="439" t="s">
        <v>6412</v>
      </c>
      <c r="C12" s="799" t="s">
        <v>6414</v>
      </c>
      <c r="D12" s="233" t="s">
        <v>4946</v>
      </c>
      <c r="E12" s="233" t="s">
        <v>6399</v>
      </c>
      <c r="F12" s="233" t="s">
        <v>6400</v>
      </c>
      <c r="G12" s="233">
        <v>8.0</v>
      </c>
      <c r="H12" s="233">
        <v>16.0</v>
      </c>
      <c r="I12" s="800">
        <v>3.6</v>
      </c>
      <c r="J12" s="800">
        <v>4.0</v>
      </c>
      <c r="K12" s="233">
        <v>4.0</v>
      </c>
      <c r="L12" s="233">
        <v>16.0</v>
      </c>
      <c r="M12" s="233" t="s">
        <v>6401</v>
      </c>
      <c r="N12" s="233" t="s">
        <v>166</v>
      </c>
      <c r="O12" s="233" t="s">
        <v>3149</v>
      </c>
      <c r="P12" s="233">
        <v>2666.0</v>
      </c>
      <c r="Q12" s="233">
        <v>95.0</v>
      </c>
      <c r="R12" s="233" t="s">
        <v>174</v>
      </c>
      <c r="S12" s="801">
        <v>499.0</v>
      </c>
      <c r="T12" s="802" t="s">
        <v>166</v>
      </c>
      <c r="U12" s="802"/>
    </row>
    <row r="13">
      <c r="A13" s="241" t="s">
        <v>1664</v>
      </c>
      <c r="B13" s="389" t="s">
        <v>6415</v>
      </c>
      <c r="C13" s="795" t="str">
        <f>HYPERLINK("https://www.amd.com/en/products/apu/amd-athlon-200ge#product-specs","200GE")</f>
        <v>200GE</v>
      </c>
      <c r="D13" s="222" t="s">
        <v>4946</v>
      </c>
      <c r="E13" s="222" t="s">
        <v>6416</v>
      </c>
      <c r="F13" s="222" t="s">
        <v>6400</v>
      </c>
      <c r="G13" s="222">
        <v>2.0</v>
      </c>
      <c r="H13" s="222">
        <v>4.0</v>
      </c>
      <c r="I13" s="796">
        <v>3.2</v>
      </c>
      <c r="J13" s="796" t="s">
        <v>166</v>
      </c>
      <c r="K13" s="222">
        <v>1.0</v>
      </c>
      <c r="L13" s="222">
        <v>4.0</v>
      </c>
      <c r="M13" s="222" t="s">
        <v>6417</v>
      </c>
      <c r="N13" s="222" t="s">
        <v>6418</v>
      </c>
      <c r="O13" s="222" t="s">
        <v>3149</v>
      </c>
      <c r="P13" s="222">
        <v>2666.0</v>
      </c>
      <c r="Q13" s="222">
        <v>35.0</v>
      </c>
      <c r="R13" s="222" t="s">
        <v>166</v>
      </c>
      <c r="S13" s="797">
        <v>55.0</v>
      </c>
      <c r="T13" s="389" t="s">
        <v>6419</v>
      </c>
      <c r="U13" s="389"/>
    </row>
    <row r="14">
      <c r="A14" s="241" t="s">
        <v>1664</v>
      </c>
      <c r="B14" s="389" t="s">
        <v>6415</v>
      </c>
      <c r="C14" s="795" t="str">
        <f>HYPERLINK("https://www.amd.com/en/products/apu/amd-athlon-220ge#product-specs","220GE")</f>
        <v>220GE</v>
      </c>
      <c r="D14" s="222" t="s">
        <v>4946</v>
      </c>
      <c r="E14" s="222" t="s">
        <v>6416</v>
      </c>
      <c r="F14" s="222" t="s">
        <v>6400</v>
      </c>
      <c r="G14" s="222">
        <v>2.0</v>
      </c>
      <c r="H14" s="222">
        <v>4.0</v>
      </c>
      <c r="I14" s="796">
        <v>3.4</v>
      </c>
      <c r="J14" s="796" t="s">
        <v>166</v>
      </c>
      <c r="K14" s="222">
        <v>1.0</v>
      </c>
      <c r="L14" s="222">
        <v>4.0</v>
      </c>
      <c r="M14" s="222" t="s">
        <v>6417</v>
      </c>
      <c r="N14" s="222" t="s">
        <v>6418</v>
      </c>
      <c r="O14" s="222" t="s">
        <v>3149</v>
      </c>
      <c r="P14" s="222">
        <v>2666.0</v>
      </c>
      <c r="Q14" s="222">
        <v>35.0</v>
      </c>
      <c r="R14" s="222" t="s">
        <v>166</v>
      </c>
      <c r="S14" s="797">
        <v>65.0</v>
      </c>
      <c r="T14" s="389" t="s">
        <v>6419</v>
      </c>
      <c r="U14" s="389"/>
    </row>
    <row r="15">
      <c r="A15" s="241" t="s">
        <v>1664</v>
      </c>
      <c r="B15" s="389" t="s">
        <v>6415</v>
      </c>
      <c r="C15" s="795" t="str">
        <f>HYPERLINK("https://www.amd.com/en/products/apu/amd-athlon-240ge#product-specs","240GE")</f>
        <v>240GE</v>
      </c>
      <c r="D15" s="222" t="s">
        <v>4946</v>
      </c>
      <c r="E15" s="222" t="s">
        <v>6416</v>
      </c>
      <c r="F15" s="222" t="s">
        <v>6400</v>
      </c>
      <c r="G15" s="222">
        <v>2.0</v>
      </c>
      <c r="H15" s="222">
        <v>4.0</v>
      </c>
      <c r="I15" s="796">
        <v>3.5</v>
      </c>
      <c r="J15" s="796" t="s">
        <v>166</v>
      </c>
      <c r="K15" s="222">
        <v>1.0</v>
      </c>
      <c r="L15" s="222">
        <v>4.0</v>
      </c>
      <c r="M15" s="222" t="s">
        <v>6417</v>
      </c>
      <c r="N15" s="222" t="s">
        <v>6418</v>
      </c>
      <c r="O15" s="222" t="s">
        <v>3149</v>
      </c>
      <c r="P15" s="222">
        <v>2666.0</v>
      </c>
      <c r="Q15" s="222">
        <v>35.0</v>
      </c>
      <c r="R15" s="222" t="s">
        <v>166</v>
      </c>
      <c r="S15" s="797">
        <v>75.0</v>
      </c>
      <c r="T15" s="389" t="s">
        <v>6419</v>
      </c>
      <c r="U15" s="389"/>
    </row>
    <row r="16">
      <c r="A16" s="241" t="s">
        <v>1664</v>
      </c>
      <c r="B16" s="389" t="s">
        <v>6420</v>
      </c>
      <c r="C16" s="795" t="s">
        <v>6421</v>
      </c>
      <c r="D16" s="222" t="s">
        <v>4946</v>
      </c>
      <c r="E16" s="222" t="s">
        <v>6416</v>
      </c>
      <c r="F16" s="222" t="s">
        <v>6400</v>
      </c>
      <c r="G16" s="222">
        <v>4.0</v>
      </c>
      <c r="H16" s="222">
        <v>4.0</v>
      </c>
      <c r="I16" s="796">
        <v>3.2</v>
      </c>
      <c r="J16" s="796">
        <v>3.6</v>
      </c>
      <c r="K16" s="222">
        <v>2.0</v>
      </c>
      <c r="L16" s="222">
        <v>4.0</v>
      </c>
      <c r="M16" s="222" t="s">
        <v>6417</v>
      </c>
      <c r="N16" s="222" t="s">
        <v>6422</v>
      </c>
      <c r="O16" s="222" t="s">
        <v>3149</v>
      </c>
      <c r="P16" s="222">
        <v>2933.0</v>
      </c>
      <c r="Q16" s="222">
        <v>35.0</v>
      </c>
      <c r="R16" s="222" t="s">
        <v>166</v>
      </c>
      <c r="S16" s="803" t="s">
        <v>166</v>
      </c>
      <c r="T16" s="804" t="s">
        <v>166</v>
      </c>
      <c r="U16" s="389" t="s">
        <v>6423</v>
      </c>
    </row>
    <row r="17">
      <c r="A17" s="241" t="s">
        <v>1664</v>
      </c>
      <c r="B17" s="389" t="s">
        <v>6420</v>
      </c>
      <c r="C17" s="795" t="s">
        <v>6424</v>
      </c>
      <c r="D17" s="222" t="s">
        <v>4946</v>
      </c>
      <c r="E17" s="222" t="s">
        <v>6416</v>
      </c>
      <c r="F17" s="222" t="s">
        <v>6400</v>
      </c>
      <c r="G17" s="222">
        <v>4.0</v>
      </c>
      <c r="H17" s="222">
        <v>4.0</v>
      </c>
      <c r="I17" s="796">
        <v>3.5</v>
      </c>
      <c r="J17" s="796">
        <v>3.7</v>
      </c>
      <c r="K17" s="222">
        <v>2.0</v>
      </c>
      <c r="L17" s="222">
        <v>4.0</v>
      </c>
      <c r="M17" s="222" t="s">
        <v>6417</v>
      </c>
      <c r="N17" s="222" t="s">
        <v>6422</v>
      </c>
      <c r="O17" s="222" t="s">
        <v>3149</v>
      </c>
      <c r="P17" s="222">
        <v>2933.0</v>
      </c>
      <c r="Q17" s="222">
        <v>65.0</v>
      </c>
      <c r="R17" s="222" t="s">
        <v>166</v>
      </c>
      <c r="S17" s="803" t="s">
        <v>166</v>
      </c>
      <c r="T17" s="389" t="s">
        <v>6402</v>
      </c>
      <c r="U17" s="389" t="s">
        <v>6423</v>
      </c>
    </row>
    <row r="18">
      <c r="A18" s="241" t="s">
        <v>1664</v>
      </c>
      <c r="B18" s="389" t="s">
        <v>6398</v>
      </c>
      <c r="C18" s="795" t="s">
        <v>6424</v>
      </c>
      <c r="D18" s="222" t="s">
        <v>4946</v>
      </c>
      <c r="E18" s="222" t="s">
        <v>6416</v>
      </c>
      <c r="F18" s="222" t="s">
        <v>6400</v>
      </c>
      <c r="G18" s="222">
        <v>4.0</v>
      </c>
      <c r="H18" s="222">
        <v>4.0</v>
      </c>
      <c r="I18" s="796">
        <v>3.5</v>
      </c>
      <c r="J18" s="796">
        <v>3.7</v>
      </c>
      <c r="K18" s="222">
        <v>2.0</v>
      </c>
      <c r="L18" s="222">
        <v>4.0</v>
      </c>
      <c r="M18" s="222" t="s">
        <v>6417</v>
      </c>
      <c r="N18" s="222" t="s">
        <v>6422</v>
      </c>
      <c r="O18" s="222" t="s">
        <v>3149</v>
      </c>
      <c r="P18" s="222">
        <v>2933.0</v>
      </c>
      <c r="Q18" s="222">
        <v>65.0</v>
      </c>
      <c r="R18" s="222" t="s">
        <v>174</v>
      </c>
      <c r="S18" s="797">
        <v>99.0</v>
      </c>
      <c r="T18" s="389" t="s">
        <v>6402</v>
      </c>
      <c r="U18" s="389"/>
    </row>
    <row r="19">
      <c r="A19" s="241" t="s">
        <v>1664</v>
      </c>
      <c r="B19" s="389" t="s">
        <v>6425</v>
      </c>
      <c r="C19" s="795" t="s">
        <v>6426</v>
      </c>
      <c r="D19" s="222" t="s">
        <v>4946</v>
      </c>
      <c r="E19" s="222" t="s">
        <v>6416</v>
      </c>
      <c r="F19" s="222" t="s">
        <v>6400</v>
      </c>
      <c r="G19" s="222">
        <v>4.0</v>
      </c>
      <c r="H19" s="222">
        <v>8.0</v>
      </c>
      <c r="I19" s="796">
        <v>3.2</v>
      </c>
      <c r="J19" s="796">
        <v>3.8</v>
      </c>
      <c r="K19" s="222">
        <v>2.0</v>
      </c>
      <c r="L19" s="222">
        <v>4.0</v>
      </c>
      <c r="M19" s="222" t="s">
        <v>6417</v>
      </c>
      <c r="N19" s="222" t="s">
        <v>6427</v>
      </c>
      <c r="O19" s="222" t="s">
        <v>3149</v>
      </c>
      <c r="P19" s="222">
        <v>2933.0</v>
      </c>
      <c r="Q19" s="222">
        <v>35.0</v>
      </c>
      <c r="R19" s="222" t="s">
        <v>166</v>
      </c>
      <c r="S19" s="803" t="s">
        <v>166</v>
      </c>
      <c r="T19" s="804" t="s">
        <v>166</v>
      </c>
      <c r="U19" s="389" t="s">
        <v>6423</v>
      </c>
    </row>
    <row r="20">
      <c r="A20" s="241" t="s">
        <v>1664</v>
      </c>
      <c r="B20" s="389" t="s">
        <v>6425</v>
      </c>
      <c r="C20" s="795" t="s">
        <v>6428</v>
      </c>
      <c r="D20" s="222" t="s">
        <v>4946</v>
      </c>
      <c r="E20" s="222" t="s">
        <v>6416</v>
      </c>
      <c r="F20" s="222" t="s">
        <v>6400</v>
      </c>
      <c r="G20" s="222">
        <v>4.0</v>
      </c>
      <c r="H20" s="222">
        <v>8.0</v>
      </c>
      <c r="I20" s="796">
        <v>3.6</v>
      </c>
      <c r="J20" s="796">
        <v>3.9</v>
      </c>
      <c r="K20" s="222">
        <v>2.0</v>
      </c>
      <c r="L20" s="222">
        <v>4.0</v>
      </c>
      <c r="M20" s="222" t="s">
        <v>6417</v>
      </c>
      <c r="N20" s="222" t="s">
        <v>6427</v>
      </c>
      <c r="O20" s="222" t="s">
        <v>3149</v>
      </c>
      <c r="P20" s="222">
        <v>2933.0</v>
      </c>
      <c r="Q20" s="222">
        <v>65.0</v>
      </c>
      <c r="R20" s="222" t="s">
        <v>166</v>
      </c>
      <c r="S20" s="803" t="s">
        <v>166</v>
      </c>
      <c r="T20" s="389" t="s">
        <v>6402</v>
      </c>
      <c r="U20" s="389" t="s">
        <v>6423</v>
      </c>
    </row>
    <row r="21">
      <c r="A21" s="241" t="s">
        <v>1664</v>
      </c>
      <c r="B21" s="389" t="s">
        <v>6407</v>
      </c>
      <c r="C21" s="795" t="s">
        <v>6428</v>
      </c>
      <c r="D21" s="222" t="s">
        <v>4946</v>
      </c>
      <c r="E21" s="222" t="s">
        <v>6416</v>
      </c>
      <c r="F21" s="222" t="s">
        <v>6400</v>
      </c>
      <c r="G21" s="222">
        <v>4.0</v>
      </c>
      <c r="H21" s="222">
        <v>8.0</v>
      </c>
      <c r="I21" s="796">
        <v>3.6</v>
      </c>
      <c r="J21" s="796">
        <v>3.9</v>
      </c>
      <c r="K21" s="222">
        <v>2.0</v>
      </c>
      <c r="L21" s="222">
        <v>4.0</v>
      </c>
      <c r="M21" s="222" t="s">
        <v>6417</v>
      </c>
      <c r="N21" s="222" t="s">
        <v>6427</v>
      </c>
      <c r="O21" s="222" t="s">
        <v>3149</v>
      </c>
      <c r="P21" s="222">
        <v>2933.0</v>
      </c>
      <c r="Q21" s="222">
        <v>65.0</v>
      </c>
      <c r="R21" s="222" t="s">
        <v>174</v>
      </c>
      <c r="S21" s="797">
        <v>169.0</v>
      </c>
      <c r="T21" s="389" t="s">
        <v>6402</v>
      </c>
      <c r="U21" s="389"/>
    </row>
    <row r="22">
      <c r="A22" s="241" t="s">
        <v>1664</v>
      </c>
      <c r="B22" s="389" t="s">
        <v>6407</v>
      </c>
      <c r="C22" s="795" t="str">
        <f>HYPERLINK("https://www.amd.com/en/products/cpu/amd-ryzen-5-2600#product-specs","2600")</f>
        <v>2600</v>
      </c>
      <c r="D22" s="222" t="s">
        <v>4946</v>
      </c>
      <c r="E22" s="222" t="s">
        <v>6404</v>
      </c>
      <c r="F22" s="222" t="s">
        <v>6405</v>
      </c>
      <c r="G22" s="222">
        <v>6.0</v>
      </c>
      <c r="H22" s="222">
        <v>12.0</v>
      </c>
      <c r="I22" s="796">
        <v>3.4</v>
      </c>
      <c r="J22" s="796">
        <v>3.9</v>
      </c>
      <c r="K22" s="222">
        <v>3.0</v>
      </c>
      <c r="L22" s="222">
        <v>16.0</v>
      </c>
      <c r="M22" s="222" t="s">
        <v>6401</v>
      </c>
      <c r="N22" s="222" t="s">
        <v>166</v>
      </c>
      <c r="O22" s="222" t="s">
        <v>3149</v>
      </c>
      <c r="P22" s="222">
        <v>2933.0</v>
      </c>
      <c r="Q22" s="222">
        <v>65.0</v>
      </c>
      <c r="R22" s="222" t="s">
        <v>174</v>
      </c>
      <c r="S22" s="797">
        <v>199.0</v>
      </c>
      <c r="T22" s="389" t="s">
        <v>6402</v>
      </c>
      <c r="U22" s="389"/>
    </row>
    <row r="23">
      <c r="A23" s="241" t="s">
        <v>1664</v>
      </c>
      <c r="B23" s="389" t="s">
        <v>6407</v>
      </c>
      <c r="C23" s="795" t="str">
        <f>HYPERLINK("https://www.amd.com/en/products/cpu/amd-ryzen-5-2600x#product-specs","2600X")</f>
        <v>2600X</v>
      </c>
      <c r="D23" s="222" t="s">
        <v>4946</v>
      </c>
      <c r="E23" s="222" t="s">
        <v>6404</v>
      </c>
      <c r="F23" s="222" t="s">
        <v>6405</v>
      </c>
      <c r="G23" s="222">
        <v>6.0</v>
      </c>
      <c r="H23" s="222">
        <v>12.0</v>
      </c>
      <c r="I23" s="796">
        <v>3.6</v>
      </c>
      <c r="J23" s="796">
        <v>4.2</v>
      </c>
      <c r="K23" s="222">
        <v>3.0</v>
      </c>
      <c r="L23" s="222">
        <v>16.0</v>
      </c>
      <c r="M23" s="222" t="s">
        <v>6401</v>
      </c>
      <c r="N23" s="222" t="s">
        <v>166</v>
      </c>
      <c r="O23" s="222" t="s">
        <v>3149</v>
      </c>
      <c r="P23" s="222">
        <v>2933.0</v>
      </c>
      <c r="Q23" s="222">
        <v>95.0</v>
      </c>
      <c r="R23" s="222" t="s">
        <v>174</v>
      </c>
      <c r="S23" s="797">
        <v>229.0</v>
      </c>
      <c r="T23" s="389" t="s">
        <v>6409</v>
      </c>
      <c r="U23" s="389"/>
    </row>
    <row r="24">
      <c r="A24" s="241" t="s">
        <v>1664</v>
      </c>
      <c r="B24" s="419" t="s">
        <v>6412</v>
      </c>
      <c r="C24" s="795" t="str">
        <f>HYPERLINK("https://www.amd.com/en/products/cpu/amd-ryzen-7-2700#product-specs","2700")</f>
        <v>2700</v>
      </c>
      <c r="D24" s="222" t="s">
        <v>4946</v>
      </c>
      <c r="E24" s="222" t="s">
        <v>6404</v>
      </c>
      <c r="F24" s="222" t="s">
        <v>6405</v>
      </c>
      <c r="G24" s="222">
        <v>8.0</v>
      </c>
      <c r="H24" s="222">
        <v>16.0</v>
      </c>
      <c r="I24" s="796">
        <v>3.2</v>
      </c>
      <c r="J24" s="796">
        <v>4.1</v>
      </c>
      <c r="K24" s="222">
        <v>4.0</v>
      </c>
      <c r="L24" s="222">
        <v>16.0</v>
      </c>
      <c r="M24" s="222" t="s">
        <v>6401</v>
      </c>
      <c r="N24" s="222" t="s">
        <v>166</v>
      </c>
      <c r="O24" s="222" t="s">
        <v>3149</v>
      </c>
      <c r="P24" s="222">
        <v>2933.0</v>
      </c>
      <c r="Q24" s="222">
        <v>65.0</v>
      </c>
      <c r="R24" s="222" t="s">
        <v>174</v>
      </c>
      <c r="S24" s="797">
        <v>299.0</v>
      </c>
      <c r="T24" s="389" t="s">
        <v>6409</v>
      </c>
      <c r="U24" s="389"/>
    </row>
    <row r="25">
      <c r="A25" s="247" t="s">
        <v>1664</v>
      </c>
      <c r="B25" s="439" t="s">
        <v>6412</v>
      </c>
      <c r="C25" s="799" t="str">
        <f>HYPERLINK("https://www.amd.com/en/products/cpu/amd-ryzen-7-2700x#product-specs","2700X")</f>
        <v>2700X</v>
      </c>
      <c r="D25" s="233" t="s">
        <v>4946</v>
      </c>
      <c r="E25" s="233" t="s">
        <v>6404</v>
      </c>
      <c r="F25" s="233" t="s">
        <v>6405</v>
      </c>
      <c r="G25" s="233">
        <v>8.0</v>
      </c>
      <c r="H25" s="233">
        <v>16.0</v>
      </c>
      <c r="I25" s="800">
        <v>3.7</v>
      </c>
      <c r="J25" s="800">
        <v>4.3</v>
      </c>
      <c r="K25" s="233">
        <v>4.0</v>
      </c>
      <c r="L25" s="233">
        <v>16.0</v>
      </c>
      <c r="M25" s="233" t="s">
        <v>6401</v>
      </c>
      <c r="N25" s="233" t="s">
        <v>166</v>
      </c>
      <c r="O25" s="233" t="s">
        <v>3149</v>
      </c>
      <c r="P25" s="233">
        <v>2933.0</v>
      </c>
      <c r="Q25" s="233">
        <v>105.0</v>
      </c>
      <c r="R25" s="233" t="s">
        <v>174</v>
      </c>
      <c r="S25" s="801">
        <v>329.0</v>
      </c>
      <c r="T25" s="802" t="s">
        <v>6429</v>
      </c>
      <c r="U25" s="802"/>
    </row>
    <row r="26">
      <c r="A26" s="241" t="s">
        <v>1664</v>
      </c>
      <c r="B26" s="389" t="s">
        <v>6415</v>
      </c>
      <c r="C26" s="795" t="str">
        <f>HYPERLINK("https://www.amd.com/en/products/apu/amd-athlon-3000g","3000G")</f>
        <v>3000G</v>
      </c>
      <c r="D26" s="222" t="s">
        <v>4946</v>
      </c>
      <c r="E26" s="222" t="s">
        <v>6416</v>
      </c>
      <c r="F26" s="222" t="s">
        <v>6400</v>
      </c>
      <c r="G26" s="222">
        <v>2.0</v>
      </c>
      <c r="H26" s="222">
        <v>4.0</v>
      </c>
      <c r="I26" s="796">
        <v>3.5</v>
      </c>
      <c r="J26" s="796" t="s">
        <v>166</v>
      </c>
      <c r="K26" s="222">
        <v>1.0</v>
      </c>
      <c r="L26" s="222">
        <v>4.0</v>
      </c>
      <c r="M26" s="222" t="s">
        <v>6417</v>
      </c>
      <c r="N26" s="222" t="s">
        <v>6418</v>
      </c>
      <c r="O26" s="222" t="s">
        <v>3149</v>
      </c>
      <c r="P26" s="222">
        <v>2666.0</v>
      </c>
      <c r="Q26" s="222">
        <v>35.0</v>
      </c>
      <c r="R26" s="222" t="s">
        <v>174</v>
      </c>
      <c r="S26" s="797">
        <v>50.0</v>
      </c>
      <c r="T26" s="805" t="s">
        <v>6419</v>
      </c>
      <c r="U26" s="389"/>
    </row>
    <row r="27">
      <c r="A27" s="241" t="s">
        <v>1664</v>
      </c>
      <c r="B27" s="389" t="s">
        <v>6430</v>
      </c>
      <c r="C27" s="795" t="s">
        <v>6431</v>
      </c>
      <c r="D27" s="222" t="s">
        <v>4946</v>
      </c>
      <c r="E27" s="222" t="s">
        <v>6416</v>
      </c>
      <c r="F27" s="222" t="s">
        <v>6400</v>
      </c>
      <c r="G27" s="222">
        <v>2.0</v>
      </c>
      <c r="H27" s="222">
        <v>4.0</v>
      </c>
      <c r="I27" s="796">
        <v>3.4</v>
      </c>
      <c r="J27" s="796" t="s">
        <v>166</v>
      </c>
      <c r="K27" s="222">
        <v>1.0</v>
      </c>
      <c r="L27" s="222">
        <v>4.0</v>
      </c>
      <c r="M27" s="222" t="s">
        <v>6417</v>
      </c>
      <c r="N27" s="222" t="s">
        <v>6418</v>
      </c>
      <c r="O27" s="222" t="s">
        <v>3149</v>
      </c>
      <c r="P27" s="222">
        <v>2666.0</v>
      </c>
      <c r="Q27" s="222">
        <v>35.0</v>
      </c>
      <c r="R27" s="222" t="s">
        <v>174</v>
      </c>
      <c r="S27" s="803" t="s">
        <v>166</v>
      </c>
      <c r="T27" s="804" t="s">
        <v>166</v>
      </c>
      <c r="U27" s="389" t="s">
        <v>6423</v>
      </c>
    </row>
    <row r="28">
      <c r="A28" s="241" t="s">
        <v>1664</v>
      </c>
      <c r="B28" s="389" t="s">
        <v>6432</v>
      </c>
      <c r="C28" s="795" t="s">
        <v>6433</v>
      </c>
      <c r="D28" s="222" t="s">
        <v>4946</v>
      </c>
      <c r="E28" s="222" t="s">
        <v>6434</v>
      </c>
      <c r="F28" s="222" t="s">
        <v>6405</v>
      </c>
      <c r="G28" s="222">
        <v>4.0</v>
      </c>
      <c r="H28" s="222">
        <v>4.0</v>
      </c>
      <c r="I28" s="796">
        <v>3.8</v>
      </c>
      <c r="J28" s="796" t="s">
        <v>166</v>
      </c>
      <c r="K28" s="222">
        <v>2.0</v>
      </c>
      <c r="L28" s="222">
        <v>4.0</v>
      </c>
      <c r="M28" s="222" t="s">
        <v>6417</v>
      </c>
      <c r="N28" s="222" t="s">
        <v>6418</v>
      </c>
      <c r="O28" s="222" t="s">
        <v>3149</v>
      </c>
      <c r="P28" s="222">
        <v>2933.0</v>
      </c>
      <c r="Q28" s="222">
        <v>35.0</v>
      </c>
      <c r="R28" s="222" t="s">
        <v>174</v>
      </c>
      <c r="S28" s="803" t="s">
        <v>166</v>
      </c>
      <c r="T28" s="804" t="s">
        <v>166</v>
      </c>
      <c r="U28" s="389" t="s">
        <v>6423</v>
      </c>
    </row>
    <row r="29">
      <c r="A29" s="241" t="s">
        <v>1664</v>
      </c>
      <c r="B29" s="389" t="s">
        <v>6432</v>
      </c>
      <c r="C29" s="795" t="s">
        <v>6435</v>
      </c>
      <c r="D29" s="222" t="s">
        <v>4946</v>
      </c>
      <c r="E29" s="222" t="s">
        <v>6434</v>
      </c>
      <c r="F29" s="222" t="s">
        <v>6405</v>
      </c>
      <c r="G29" s="222">
        <v>4.0</v>
      </c>
      <c r="H29" s="222">
        <v>4.0</v>
      </c>
      <c r="I29" s="796">
        <v>3.9</v>
      </c>
      <c r="J29" s="796" t="s">
        <v>166</v>
      </c>
      <c r="K29" s="222">
        <v>2.0</v>
      </c>
      <c r="L29" s="222">
        <v>4.0</v>
      </c>
      <c r="M29" s="222" t="s">
        <v>6417</v>
      </c>
      <c r="N29" s="222" t="s">
        <v>6418</v>
      </c>
      <c r="O29" s="222" t="s">
        <v>3149</v>
      </c>
      <c r="P29" s="222">
        <v>2933.0</v>
      </c>
      <c r="Q29" s="222">
        <v>65.0</v>
      </c>
      <c r="R29" s="222" t="s">
        <v>174</v>
      </c>
      <c r="S29" s="224" t="s">
        <v>166</v>
      </c>
      <c r="T29" s="805" t="s">
        <v>166</v>
      </c>
      <c r="U29" s="389" t="s">
        <v>6423</v>
      </c>
    </row>
    <row r="30">
      <c r="A30" s="241" t="s">
        <v>1664</v>
      </c>
      <c r="B30" s="389" t="s">
        <v>6398</v>
      </c>
      <c r="C30" s="795" t="str">
        <f>HYPERLINK("https://www.amd.com/en/products/cpu/amd-ryzen-3-3100#product-specs","3100")</f>
        <v>3100</v>
      </c>
      <c r="D30" s="222" t="s">
        <v>4946</v>
      </c>
      <c r="E30" s="222" t="s">
        <v>6436</v>
      </c>
      <c r="F30" s="222" t="s">
        <v>4659</v>
      </c>
      <c r="G30" s="222">
        <v>4.0</v>
      </c>
      <c r="H30" s="222">
        <v>8.0</v>
      </c>
      <c r="I30" s="796">
        <v>3.6</v>
      </c>
      <c r="J30" s="796">
        <v>3.9</v>
      </c>
      <c r="K30" s="222">
        <v>2.0</v>
      </c>
      <c r="L30" s="222">
        <v>16.0</v>
      </c>
      <c r="M30" s="222" t="s">
        <v>6437</v>
      </c>
      <c r="N30" s="222" t="s">
        <v>166</v>
      </c>
      <c r="O30" s="222" t="s">
        <v>3149</v>
      </c>
      <c r="P30" s="222">
        <v>3200.0</v>
      </c>
      <c r="Q30" s="222">
        <v>65.0</v>
      </c>
      <c r="R30" s="222" t="s">
        <v>174</v>
      </c>
      <c r="S30" s="797">
        <v>99.0</v>
      </c>
      <c r="T30" s="805" t="s">
        <v>6402</v>
      </c>
      <c r="U30" s="389"/>
    </row>
    <row r="31">
      <c r="A31" s="241" t="s">
        <v>1664</v>
      </c>
      <c r="B31" s="389" t="s">
        <v>6420</v>
      </c>
      <c r="C31" s="795" t="s">
        <v>6438</v>
      </c>
      <c r="D31" s="222" t="s">
        <v>4946</v>
      </c>
      <c r="E31" s="222" t="s">
        <v>6434</v>
      </c>
      <c r="F31" s="222" t="s">
        <v>6405</v>
      </c>
      <c r="G31" s="222">
        <v>4.0</v>
      </c>
      <c r="H31" s="222">
        <v>4.0</v>
      </c>
      <c r="I31" s="796">
        <v>3.3</v>
      </c>
      <c r="J31" s="796">
        <v>3.8</v>
      </c>
      <c r="K31" s="222">
        <v>2.0</v>
      </c>
      <c r="L31" s="222">
        <v>4.0</v>
      </c>
      <c r="M31" s="222" t="s">
        <v>6417</v>
      </c>
      <c r="N31" s="222" t="s">
        <v>6422</v>
      </c>
      <c r="O31" s="222" t="s">
        <v>3149</v>
      </c>
      <c r="P31" s="222">
        <v>2933.0</v>
      </c>
      <c r="Q31" s="222">
        <v>35.0</v>
      </c>
      <c r="R31" s="222" t="s">
        <v>166</v>
      </c>
      <c r="S31" s="224" t="s">
        <v>166</v>
      </c>
      <c r="T31" s="805" t="s">
        <v>166</v>
      </c>
      <c r="U31" s="389" t="s">
        <v>6423</v>
      </c>
    </row>
    <row r="32">
      <c r="A32" s="241" t="s">
        <v>1664</v>
      </c>
      <c r="B32" s="389" t="s">
        <v>6420</v>
      </c>
      <c r="C32" s="795" t="s">
        <v>6439</v>
      </c>
      <c r="D32" s="222" t="s">
        <v>4946</v>
      </c>
      <c r="E32" s="222" t="s">
        <v>6434</v>
      </c>
      <c r="F32" s="222" t="s">
        <v>6405</v>
      </c>
      <c r="G32" s="222">
        <v>4.0</v>
      </c>
      <c r="H32" s="222">
        <v>4.0</v>
      </c>
      <c r="I32" s="796">
        <v>3.6</v>
      </c>
      <c r="J32" s="796">
        <v>4.0</v>
      </c>
      <c r="K32" s="222">
        <v>2.0</v>
      </c>
      <c r="L32" s="222">
        <v>4.0</v>
      </c>
      <c r="M32" s="222" t="s">
        <v>6417</v>
      </c>
      <c r="N32" s="222" t="s">
        <v>6422</v>
      </c>
      <c r="O32" s="222" t="s">
        <v>3149</v>
      </c>
      <c r="P32" s="222">
        <v>2933.0</v>
      </c>
      <c r="Q32" s="222">
        <v>65.0</v>
      </c>
      <c r="R32" s="222" t="s">
        <v>166</v>
      </c>
      <c r="S32" s="224" t="s">
        <v>166</v>
      </c>
      <c r="T32" s="805" t="s">
        <v>166</v>
      </c>
      <c r="U32" s="389" t="s">
        <v>6423</v>
      </c>
    </row>
    <row r="33">
      <c r="A33" s="241" t="s">
        <v>1664</v>
      </c>
      <c r="B33" s="389" t="s">
        <v>6398</v>
      </c>
      <c r="C33" s="795" t="str">
        <f>HYPERLINK("https://www.amd.com/en/products/apu/amd-ryzen-3-3200g#product-specs","3200G")</f>
        <v>3200G</v>
      </c>
      <c r="D33" s="222" t="s">
        <v>4946</v>
      </c>
      <c r="E33" s="222" t="s">
        <v>6434</v>
      </c>
      <c r="F33" s="222" t="s">
        <v>6405</v>
      </c>
      <c r="G33" s="222">
        <v>4.0</v>
      </c>
      <c r="H33" s="222">
        <v>4.0</v>
      </c>
      <c r="I33" s="796">
        <v>3.6</v>
      </c>
      <c r="J33" s="796">
        <v>4.0</v>
      </c>
      <c r="K33" s="222">
        <v>2.0</v>
      </c>
      <c r="L33" s="222">
        <v>4.0</v>
      </c>
      <c r="M33" s="222" t="s">
        <v>6417</v>
      </c>
      <c r="N33" s="222" t="s">
        <v>6422</v>
      </c>
      <c r="O33" s="222" t="s">
        <v>3149</v>
      </c>
      <c r="P33" s="222">
        <v>2933.0</v>
      </c>
      <c r="Q33" s="222">
        <v>65.0</v>
      </c>
      <c r="R33" s="222" t="s">
        <v>174</v>
      </c>
      <c r="S33" s="797">
        <v>99.0</v>
      </c>
      <c r="T33" s="805" t="s">
        <v>6402</v>
      </c>
      <c r="U33" s="389"/>
    </row>
    <row r="34">
      <c r="A34" s="241" t="s">
        <v>1664</v>
      </c>
      <c r="B34" s="389" t="s">
        <v>6398</v>
      </c>
      <c r="C34" s="795" t="str">
        <f>HYPERLINK("https://www.amd.com/en/products/cpu/amd-ryzen-3-3300x#product-specs","3300X")</f>
        <v>3300X</v>
      </c>
      <c r="D34" s="222" t="s">
        <v>4946</v>
      </c>
      <c r="E34" s="222" t="s">
        <v>6436</v>
      </c>
      <c r="F34" s="222" t="s">
        <v>4659</v>
      </c>
      <c r="G34" s="222">
        <v>4.0</v>
      </c>
      <c r="H34" s="222">
        <v>8.0</v>
      </c>
      <c r="I34" s="796">
        <v>3.8</v>
      </c>
      <c r="J34" s="796">
        <v>4.3</v>
      </c>
      <c r="K34" s="222">
        <v>2.0</v>
      </c>
      <c r="L34" s="222">
        <v>16.0</v>
      </c>
      <c r="M34" s="222" t="s">
        <v>6437</v>
      </c>
      <c r="N34" s="222" t="s">
        <v>166</v>
      </c>
      <c r="O34" s="222" t="s">
        <v>3149</v>
      </c>
      <c r="P34" s="222">
        <v>3200.0</v>
      </c>
      <c r="Q34" s="222">
        <v>65.0</v>
      </c>
      <c r="R34" s="222" t="s">
        <v>174</v>
      </c>
      <c r="S34" s="797">
        <v>120.0</v>
      </c>
      <c r="T34" s="805" t="s">
        <v>6402</v>
      </c>
      <c r="U34" s="389"/>
    </row>
    <row r="35">
      <c r="A35" s="241" t="s">
        <v>1664</v>
      </c>
      <c r="B35" s="389" t="s">
        <v>6425</v>
      </c>
      <c r="C35" s="795" t="s">
        <v>6440</v>
      </c>
      <c r="D35" s="222" t="s">
        <v>4946</v>
      </c>
      <c r="E35" s="222" t="s">
        <v>6434</v>
      </c>
      <c r="F35" s="222" t="s">
        <v>6405</v>
      </c>
      <c r="G35" s="222">
        <v>4.0</v>
      </c>
      <c r="H35" s="222">
        <v>8.0</v>
      </c>
      <c r="I35" s="796">
        <v>3.6</v>
      </c>
      <c r="J35" s="796">
        <v>4.0</v>
      </c>
      <c r="K35" s="222">
        <v>2.0</v>
      </c>
      <c r="L35" s="222">
        <v>4.0</v>
      </c>
      <c r="M35" s="222" t="s">
        <v>6417</v>
      </c>
      <c r="N35" s="222" t="s">
        <v>6441</v>
      </c>
      <c r="O35" s="222" t="s">
        <v>3149</v>
      </c>
      <c r="P35" s="222">
        <v>2933.0</v>
      </c>
      <c r="Q35" s="222">
        <v>65.0</v>
      </c>
      <c r="R35" s="222" t="s">
        <v>166</v>
      </c>
      <c r="S35" s="224" t="s">
        <v>166</v>
      </c>
      <c r="T35" s="805" t="s">
        <v>166</v>
      </c>
      <c r="U35" s="389" t="s">
        <v>6423</v>
      </c>
    </row>
    <row r="36">
      <c r="A36" s="241" t="s">
        <v>1664</v>
      </c>
      <c r="B36" s="389" t="s">
        <v>6425</v>
      </c>
      <c r="C36" s="795" t="s">
        <v>6442</v>
      </c>
      <c r="D36" s="222" t="s">
        <v>4946</v>
      </c>
      <c r="E36" s="222" t="s">
        <v>6434</v>
      </c>
      <c r="F36" s="222" t="s">
        <v>6405</v>
      </c>
      <c r="G36" s="222">
        <v>4.0</v>
      </c>
      <c r="H36" s="222">
        <v>8.0</v>
      </c>
      <c r="I36" s="796">
        <v>3.3</v>
      </c>
      <c r="J36" s="796">
        <v>4.0</v>
      </c>
      <c r="K36" s="222">
        <v>2.0</v>
      </c>
      <c r="L36" s="222">
        <v>4.0</v>
      </c>
      <c r="M36" s="222" t="s">
        <v>6417</v>
      </c>
      <c r="N36" s="222" t="s">
        <v>6427</v>
      </c>
      <c r="O36" s="222" t="s">
        <v>3149</v>
      </c>
      <c r="P36" s="222">
        <v>2933.0</v>
      </c>
      <c r="Q36" s="222">
        <v>35.0</v>
      </c>
      <c r="R36" s="222" t="s">
        <v>166</v>
      </c>
      <c r="S36" s="224" t="s">
        <v>166</v>
      </c>
      <c r="T36" s="805" t="s">
        <v>166</v>
      </c>
      <c r="U36" s="389" t="s">
        <v>6423</v>
      </c>
    </row>
    <row r="37">
      <c r="A37" s="241" t="s">
        <v>1664</v>
      </c>
      <c r="B37" s="389" t="s">
        <v>6425</v>
      </c>
      <c r="C37" s="795" t="s">
        <v>6443</v>
      </c>
      <c r="D37" s="222" t="s">
        <v>4946</v>
      </c>
      <c r="E37" s="222" t="s">
        <v>6434</v>
      </c>
      <c r="F37" s="222" t="s">
        <v>6405</v>
      </c>
      <c r="G37" s="222">
        <v>4.0</v>
      </c>
      <c r="H37" s="222">
        <v>8.0</v>
      </c>
      <c r="I37" s="796">
        <v>3.7</v>
      </c>
      <c r="J37" s="796">
        <v>4.2</v>
      </c>
      <c r="K37" s="222">
        <v>2.0</v>
      </c>
      <c r="L37" s="222">
        <v>4.0</v>
      </c>
      <c r="M37" s="222" t="s">
        <v>6417</v>
      </c>
      <c r="N37" s="222" t="s">
        <v>6427</v>
      </c>
      <c r="O37" s="222" t="s">
        <v>3149</v>
      </c>
      <c r="P37" s="222">
        <v>2933.0</v>
      </c>
      <c r="Q37" s="222">
        <v>65.0</v>
      </c>
      <c r="R37" s="222" t="s">
        <v>166</v>
      </c>
      <c r="S37" s="224" t="s">
        <v>166</v>
      </c>
      <c r="T37" s="805" t="s">
        <v>166</v>
      </c>
      <c r="U37" s="389" t="s">
        <v>6423</v>
      </c>
    </row>
    <row r="38">
      <c r="A38" s="241" t="s">
        <v>1664</v>
      </c>
      <c r="B38" s="389" t="s">
        <v>6407</v>
      </c>
      <c r="C38" s="795" t="str">
        <f>HYPERLINK("https://www.amd.com/en/products/apu/amd-ryzen-5-3400g#product-specs","3400G")</f>
        <v>3400G</v>
      </c>
      <c r="D38" s="222" t="s">
        <v>4946</v>
      </c>
      <c r="E38" s="222" t="s">
        <v>6434</v>
      </c>
      <c r="F38" s="222" t="s">
        <v>6405</v>
      </c>
      <c r="G38" s="222">
        <v>4.0</v>
      </c>
      <c r="H38" s="222">
        <v>8.0</v>
      </c>
      <c r="I38" s="796">
        <v>3.7</v>
      </c>
      <c r="J38" s="796">
        <v>4.2</v>
      </c>
      <c r="K38" s="222">
        <v>2.0</v>
      </c>
      <c r="L38" s="222">
        <v>4.0</v>
      </c>
      <c r="M38" s="222" t="s">
        <v>6417</v>
      </c>
      <c r="N38" s="222" t="s">
        <v>6427</v>
      </c>
      <c r="O38" s="222" t="s">
        <v>3149</v>
      </c>
      <c r="P38" s="222">
        <v>2933.0</v>
      </c>
      <c r="Q38" s="222">
        <v>65.0</v>
      </c>
      <c r="R38" s="222" t="s">
        <v>174</v>
      </c>
      <c r="S38" s="797">
        <v>149.0</v>
      </c>
      <c r="T38" s="805" t="s">
        <v>6409</v>
      </c>
      <c r="U38" s="389"/>
    </row>
    <row r="39">
      <c r="A39" s="241" t="s">
        <v>1664</v>
      </c>
      <c r="B39" s="389" t="s">
        <v>6407</v>
      </c>
      <c r="C39" s="795">
        <v>3500.0</v>
      </c>
      <c r="D39" s="222" t="s">
        <v>4946</v>
      </c>
      <c r="E39" s="222" t="s">
        <v>6436</v>
      </c>
      <c r="F39" s="222" t="s">
        <v>4659</v>
      </c>
      <c r="G39" s="222">
        <v>6.0</v>
      </c>
      <c r="H39" s="222">
        <v>6.0</v>
      </c>
      <c r="I39" s="796">
        <v>3.6</v>
      </c>
      <c r="J39" s="796">
        <v>4.1</v>
      </c>
      <c r="K39" s="222">
        <v>3.0</v>
      </c>
      <c r="L39" s="222">
        <v>16.0</v>
      </c>
      <c r="M39" s="222" t="s">
        <v>6437</v>
      </c>
      <c r="N39" s="222" t="s">
        <v>166</v>
      </c>
      <c r="O39" s="222" t="s">
        <v>3149</v>
      </c>
      <c r="P39" s="222">
        <v>3200.0</v>
      </c>
      <c r="Q39" s="222">
        <v>65.0</v>
      </c>
      <c r="R39" s="222" t="s">
        <v>166</v>
      </c>
      <c r="S39" s="224" t="s">
        <v>166</v>
      </c>
      <c r="T39" s="805" t="s">
        <v>166</v>
      </c>
      <c r="U39" s="389" t="s">
        <v>6423</v>
      </c>
    </row>
    <row r="40">
      <c r="A40" s="241" t="s">
        <v>1664</v>
      </c>
      <c r="B40" s="389" t="s">
        <v>6407</v>
      </c>
      <c r="C40" s="795" t="str">
        <f>HYPERLINK("https://www.amd.com/en/products/cpu/amd-ryzen-5-3500x","3500X")</f>
        <v>3500X</v>
      </c>
      <c r="D40" s="222" t="s">
        <v>4946</v>
      </c>
      <c r="E40" s="222" t="s">
        <v>6436</v>
      </c>
      <c r="F40" s="222" t="s">
        <v>4659</v>
      </c>
      <c r="G40" s="222">
        <v>6.0</v>
      </c>
      <c r="H40" s="222">
        <v>6.0</v>
      </c>
      <c r="I40" s="796">
        <v>3.6</v>
      </c>
      <c r="J40" s="796">
        <v>4.1</v>
      </c>
      <c r="K40" s="222">
        <v>3.0</v>
      </c>
      <c r="L40" s="222">
        <v>32.0</v>
      </c>
      <c r="M40" s="222" t="s">
        <v>6437</v>
      </c>
      <c r="N40" s="222" t="s">
        <v>166</v>
      </c>
      <c r="O40" s="222" t="s">
        <v>3149</v>
      </c>
      <c r="P40" s="222">
        <v>3200.0</v>
      </c>
      <c r="Q40" s="222">
        <v>65.0</v>
      </c>
      <c r="R40" s="222" t="s">
        <v>174</v>
      </c>
      <c r="S40" s="797">
        <v>155.0</v>
      </c>
      <c r="T40" s="805" t="s">
        <v>6402</v>
      </c>
      <c r="U40" s="389"/>
    </row>
    <row r="41">
      <c r="A41" s="241" t="s">
        <v>1664</v>
      </c>
      <c r="B41" s="389" t="s">
        <v>6425</v>
      </c>
      <c r="C41" s="795">
        <v>3600.0</v>
      </c>
      <c r="D41" s="222" t="s">
        <v>4946</v>
      </c>
      <c r="E41" s="222" t="s">
        <v>6436</v>
      </c>
      <c r="F41" s="222" t="s">
        <v>4659</v>
      </c>
      <c r="G41" s="222">
        <v>6.0</v>
      </c>
      <c r="H41" s="222">
        <v>12.0</v>
      </c>
      <c r="I41" s="796">
        <v>3.6</v>
      </c>
      <c r="J41" s="796">
        <v>4.2</v>
      </c>
      <c r="K41" s="222">
        <v>3.0</v>
      </c>
      <c r="L41" s="222">
        <v>32.0</v>
      </c>
      <c r="M41" s="222" t="s">
        <v>6437</v>
      </c>
      <c r="N41" s="222" t="s">
        <v>166</v>
      </c>
      <c r="O41" s="222" t="s">
        <v>3149</v>
      </c>
      <c r="P41" s="222">
        <v>3200.0</v>
      </c>
      <c r="Q41" s="222">
        <v>65.0</v>
      </c>
      <c r="R41" s="222" t="s">
        <v>166</v>
      </c>
      <c r="S41" s="224" t="s">
        <v>166</v>
      </c>
      <c r="T41" s="805" t="s">
        <v>166</v>
      </c>
      <c r="U41" s="389" t="s">
        <v>6423</v>
      </c>
    </row>
    <row r="42">
      <c r="A42" s="241" t="s">
        <v>1664</v>
      </c>
      <c r="B42" s="389" t="s">
        <v>6407</v>
      </c>
      <c r="C42" s="795" t="str">
        <f>HYPERLINK("https://www.amd.com/en/products/cpu/amd-ryzen-5-3600#product-specs","3600")</f>
        <v>3600</v>
      </c>
      <c r="D42" s="222" t="s">
        <v>4946</v>
      </c>
      <c r="E42" s="222" t="s">
        <v>6436</v>
      </c>
      <c r="F42" s="222" t="s">
        <v>4659</v>
      </c>
      <c r="G42" s="222">
        <v>6.0</v>
      </c>
      <c r="H42" s="222">
        <v>12.0</v>
      </c>
      <c r="I42" s="796">
        <v>3.6</v>
      </c>
      <c r="J42" s="796">
        <v>4.2</v>
      </c>
      <c r="K42" s="222">
        <v>3.0</v>
      </c>
      <c r="L42" s="222">
        <v>32.0</v>
      </c>
      <c r="M42" s="222" t="s">
        <v>6437</v>
      </c>
      <c r="N42" s="222" t="s">
        <v>166</v>
      </c>
      <c r="O42" s="222" t="s">
        <v>3149</v>
      </c>
      <c r="P42" s="222">
        <v>3200.0</v>
      </c>
      <c r="Q42" s="222">
        <v>65.0</v>
      </c>
      <c r="R42" s="222" t="s">
        <v>174</v>
      </c>
      <c r="S42" s="797">
        <v>199.0</v>
      </c>
      <c r="T42" s="805" t="s">
        <v>6402</v>
      </c>
      <c r="U42" s="389"/>
    </row>
    <row r="43">
      <c r="A43" s="241" t="s">
        <v>1664</v>
      </c>
      <c r="B43" s="389" t="s">
        <v>6407</v>
      </c>
      <c r="C43" s="795" t="str">
        <f>HYPERLINK("https://www.amd.com/en/products/cpu/amd-ryzen-5-3600x#product-specs","3600X")</f>
        <v>3600X</v>
      </c>
      <c r="D43" s="222" t="s">
        <v>4946</v>
      </c>
      <c r="E43" s="222" t="s">
        <v>6436</v>
      </c>
      <c r="F43" s="222" t="s">
        <v>4659</v>
      </c>
      <c r="G43" s="222">
        <v>6.0</v>
      </c>
      <c r="H43" s="222">
        <v>12.0</v>
      </c>
      <c r="I43" s="796">
        <v>3.8</v>
      </c>
      <c r="J43" s="796">
        <v>4.4</v>
      </c>
      <c r="K43" s="222">
        <v>3.0</v>
      </c>
      <c r="L43" s="222">
        <v>32.0</v>
      </c>
      <c r="M43" s="222" t="s">
        <v>6437</v>
      </c>
      <c r="N43" s="222" t="s">
        <v>166</v>
      </c>
      <c r="O43" s="222" t="s">
        <v>3149</v>
      </c>
      <c r="P43" s="222">
        <v>3200.0</v>
      </c>
      <c r="Q43" s="222">
        <v>95.0</v>
      </c>
      <c r="R43" s="222" t="s">
        <v>174</v>
      </c>
      <c r="S43" s="797">
        <v>249.0</v>
      </c>
      <c r="T43" s="805" t="s">
        <v>6409</v>
      </c>
      <c r="U43" s="389"/>
    </row>
    <row r="44">
      <c r="A44" s="241" t="s">
        <v>1664</v>
      </c>
      <c r="B44" s="389" t="s">
        <v>6407</v>
      </c>
      <c r="C44" s="795" t="s">
        <v>6444</v>
      </c>
      <c r="D44" s="222" t="s">
        <v>4946</v>
      </c>
      <c r="E44" s="222" t="s">
        <v>6436</v>
      </c>
      <c r="F44" s="222" t="s">
        <v>4659</v>
      </c>
      <c r="G44" s="222">
        <v>6.0</v>
      </c>
      <c r="H44" s="222">
        <v>12.0</v>
      </c>
      <c r="I44" s="796">
        <v>3.8</v>
      </c>
      <c r="J44" s="796">
        <v>4.5</v>
      </c>
      <c r="K44" s="222">
        <v>3.0</v>
      </c>
      <c r="L44" s="222">
        <v>32.0</v>
      </c>
      <c r="M44" s="222" t="s">
        <v>6437</v>
      </c>
      <c r="N44" s="222" t="s">
        <v>166</v>
      </c>
      <c r="O44" s="222" t="s">
        <v>3149</v>
      </c>
      <c r="P44" s="222">
        <v>3200.0</v>
      </c>
      <c r="Q44" s="222">
        <v>95.0</v>
      </c>
      <c r="R44" s="222" t="s">
        <v>174</v>
      </c>
      <c r="S44" s="797">
        <v>249.0</v>
      </c>
      <c r="T44" s="805" t="s">
        <v>6409</v>
      </c>
      <c r="U44" s="389"/>
    </row>
    <row r="45">
      <c r="A45" s="241" t="s">
        <v>1664</v>
      </c>
      <c r="B45" s="389" t="s">
        <v>6445</v>
      </c>
      <c r="C45" s="795">
        <v>3700.0</v>
      </c>
      <c r="D45" s="222" t="s">
        <v>4946</v>
      </c>
      <c r="E45" s="222" t="s">
        <v>6436</v>
      </c>
      <c r="F45" s="222" t="s">
        <v>4659</v>
      </c>
      <c r="G45" s="222">
        <v>8.0</v>
      </c>
      <c r="H45" s="222">
        <v>16.0</v>
      </c>
      <c r="I45" s="796">
        <v>3.6</v>
      </c>
      <c r="J45" s="796">
        <v>4.4</v>
      </c>
      <c r="K45" s="222">
        <v>4.0</v>
      </c>
      <c r="L45" s="222">
        <v>32.0</v>
      </c>
      <c r="M45" s="222" t="s">
        <v>6437</v>
      </c>
      <c r="N45" s="222" t="s">
        <v>166</v>
      </c>
      <c r="O45" s="222" t="s">
        <v>3149</v>
      </c>
      <c r="P45" s="222">
        <v>3200.0</v>
      </c>
      <c r="Q45" s="222">
        <v>65.0</v>
      </c>
      <c r="R45" s="222" t="s">
        <v>166</v>
      </c>
      <c r="S45" s="224" t="s">
        <v>166</v>
      </c>
      <c r="T45" s="805" t="s">
        <v>166</v>
      </c>
      <c r="U45" s="389" t="s">
        <v>6423</v>
      </c>
    </row>
    <row r="46">
      <c r="A46" s="241" t="s">
        <v>1664</v>
      </c>
      <c r="B46" s="419" t="s">
        <v>6412</v>
      </c>
      <c r="C46" s="795" t="str">
        <f>HYPERLINK("https://www.amd.com/en/products/cpu/amd-ryzen-7-3700x#product-specs","3700X")</f>
        <v>3700X</v>
      </c>
      <c r="D46" s="222" t="s">
        <v>4946</v>
      </c>
      <c r="E46" s="222" t="s">
        <v>6436</v>
      </c>
      <c r="F46" s="222" t="s">
        <v>4659</v>
      </c>
      <c r="G46" s="222">
        <v>8.0</v>
      </c>
      <c r="H46" s="222">
        <v>16.0</v>
      </c>
      <c r="I46" s="796">
        <v>3.6</v>
      </c>
      <c r="J46" s="796">
        <v>4.4</v>
      </c>
      <c r="K46" s="222">
        <v>4.0</v>
      </c>
      <c r="L46" s="222">
        <v>32.0</v>
      </c>
      <c r="M46" s="222" t="s">
        <v>6437</v>
      </c>
      <c r="N46" s="222" t="s">
        <v>166</v>
      </c>
      <c r="O46" s="222" t="s">
        <v>3149</v>
      </c>
      <c r="P46" s="222">
        <v>3200.0</v>
      </c>
      <c r="Q46" s="222">
        <v>65.0</v>
      </c>
      <c r="R46" s="222" t="s">
        <v>174</v>
      </c>
      <c r="S46" s="797">
        <v>329.0</v>
      </c>
      <c r="T46" s="805" t="s">
        <v>6429</v>
      </c>
      <c r="U46" s="389"/>
    </row>
    <row r="47">
      <c r="A47" s="241" t="s">
        <v>1664</v>
      </c>
      <c r="B47" s="419" t="s">
        <v>6412</v>
      </c>
      <c r="C47" s="795" t="str">
        <f>HYPERLINK("https://www.amd.com/en/products/cpu/amd-ryzen-7-3800x#product-specs","3800X")</f>
        <v>3800X</v>
      </c>
      <c r="D47" s="222" t="s">
        <v>4946</v>
      </c>
      <c r="E47" s="222" t="s">
        <v>6436</v>
      </c>
      <c r="F47" s="222" t="s">
        <v>4659</v>
      </c>
      <c r="G47" s="222">
        <v>8.0</v>
      </c>
      <c r="H47" s="222">
        <v>16.0</v>
      </c>
      <c r="I47" s="796">
        <v>3.9</v>
      </c>
      <c r="J47" s="796">
        <v>4.5</v>
      </c>
      <c r="K47" s="222">
        <v>4.0</v>
      </c>
      <c r="L47" s="222">
        <v>32.0</v>
      </c>
      <c r="M47" s="222" t="s">
        <v>6437</v>
      </c>
      <c r="N47" s="222" t="s">
        <v>166</v>
      </c>
      <c r="O47" s="222" t="s">
        <v>3149</v>
      </c>
      <c r="P47" s="222">
        <v>3200.0</v>
      </c>
      <c r="Q47" s="222">
        <v>105.0</v>
      </c>
      <c r="R47" s="222" t="s">
        <v>174</v>
      </c>
      <c r="S47" s="797">
        <v>399.0</v>
      </c>
      <c r="T47" s="805" t="s">
        <v>6429</v>
      </c>
      <c r="U47" s="389"/>
    </row>
    <row r="48">
      <c r="A48" s="241" t="s">
        <v>1664</v>
      </c>
      <c r="B48" s="419" t="s">
        <v>6412</v>
      </c>
      <c r="C48" s="795" t="s">
        <v>6446</v>
      </c>
      <c r="D48" s="222" t="s">
        <v>4946</v>
      </c>
      <c r="E48" s="222" t="s">
        <v>6436</v>
      </c>
      <c r="F48" s="222" t="s">
        <v>4659</v>
      </c>
      <c r="G48" s="222">
        <v>8.0</v>
      </c>
      <c r="H48" s="222">
        <v>16.0</v>
      </c>
      <c r="I48" s="796">
        <v>3.9</v>
      </c>
      <c r="J48" s="796">
        <v>4.7</v>
      </c>
      <c r="K48" s="222">
        <v>4.0</v>
      </c>
      <c r="L48" s="222">
        <v>32.0</v>
      </c>
      <c r="M48" s="222" t="s">
        <v>6437</v>
      </c>
      <c r="N48" s="222" t="s">
        <v>166</v>
      </c>
      <c r="O48" s="222" t="s">
        <v>3149</v>
      </c>
      <c r="P48" s="222">
        <v>3200.0</v>
      </c>
      <c r="Q48" s="222">
        <v>105.0</v>
      </c>
      <c r="R48" s="222" t="s">
        <v>174</v>
      </c>
      <c r="S48" s="797">
        <v>399.0</v>
      </c>
      <c r="T48" s="805" t="s">
        <v>166</v>
      </c>
      <c r="U48" s="389"/>
    </row>
    <row r="49">
      <c r="A49" s="241" t="s">
        <v>1664</v>
      </c>
      <c r="B49" s="389" t="s">
        <v>6447</v>
      </c>
      <c r="C49" s="795">
        <v>3900.0</v>
      </c>
      <c r="D49" s="222" t="s">
        <v>4946</v>
      </c>
      <c r="E49" s="222" t="s">
        <v>6436</v>
      </c>
      <c r="F49" s="222" t="s">
        <v>4659</v>
      </c>
      <c r="G49" s="222">
        <v>12.0</v>
      </c>
      <c r="H49" s="222">
        <v>24.0</v>
      </c>
      <c r="I49" s="796">
        <v>3.1</v>
      </c>
      <c r="J49" s="796">
        <v>4.3</v>
      </c>
      <c r="K49" s="222">
        <v>6.0</v>
      </c>
      <c r="L49" s="222">
        <v>64.0</v>
      </c>
      <c r="M49" s="222" t="s">
        <v>6437</v>
      </c>
      <c r="N49" s="222" t="s">
        <v>166</v>
      </c>
      <c r="O49" s="222" t="s">
        <v>3149</v>
      </c>
      <c r="P49" s="222">
        <v>3200.0</v>
      </c>
      <c r="Q49" s="222">
        <v>65.0</v>
      </c>
      <c r="R49" s="222" t="s">
        <v>166</v>
      </c>
      <c r="S49" s="224" t="s">
        <v>166</v>
      </c>
      <c r="T49" s="805" t="s">
        <v>166</v>
      </c>
      <c r="U49" s="389" t="s">
        <v>6423</v>
      </c>
    </row>
    <row r="50">
      <c r="A50" s="241" t="s">
        <v>1664</v>
      </c>
      <c r="B50" s="389" t="s">
        <v>6448</v>
      </c>
      <c r="C50" s="795" t="str">
        <f>HYPERLINK("https://www.amd.com/en/products/cpu/amd-ryzen-9-3900x#product-specs","3900X")</f>
        <v>3900X</v>
      </c>
      <c r="D50" s="222" t="s">
        <v>4946</v>
      </c>
      <c r="E50" s="222" t="s">
        <v>6436</v>
      </c>
      <c r="F50" s="222" t="s">
        <v>4659</v>
      </c>
      <c r="G50" s="222">
        <v>12.0</v>
      </c>
      <c r="H50" s="222">
        <v>24.0</v>
      </c>
      <c r="I50" s="796">
        <v>3.8</v>
      </c>
      <c r="J50" s="796">
        <v>4.6</v>
      </c>
      <c r="K50" s="222">
        <v>6.0</v>
      </c>
      <c r="L50" s="222">
        <v>64.0</v>
      </c>
      <c r="M50" s="222" t="s">
        <v>6437</v>
      </c>
      <c r="N50" s="222" t="s">
        <v>166</v>
      </c>
      <c r="O50" s="222" t="s">
        <v>3149</v>
      </c>
      <c r="P50" s="222">
        <v>3200.0</v>
      </c>
      <c r="Q50" s="222">
        <v>105.0</v>
      </c>
      <c r="R50" s="222" t="s">
        <v>174</v>
      </c>
      <c r="S50" s="797">
        <v>499.0</v>
      </c>
      <c r="T50" s="805" t="s">
        <v>6429</v>
      </c>
      <c r="U50" s="389"/>
    </row>
    <row r="51">
      <c r="A51" s="241" t="s">
        <v>1664</v>
      </c>
      <c r="B51" s="389" t="s">
        <v>6448</v>
      </c>
      <c r="C51" s="795" t="s">
        <v>6449</v>
      </c>
      <c r="D51" s="222" t="s">
        <v>4946</v>
      </c>
      <c r="E51" s="222" t="s">
        <v>6436</v>
      </c>
      <c r="F51" s="222" t="s">
        <v>4659</v>
      </c>
      <c r="G51" s="222">
        <v>12.0</v>
      </c>
      <c r="H51" s="222">
        <v>24.0</v>
      </c>
      <c r="I51" s="796">
        <v>3.8</v>
      </c>
      <c r="J51" s="796">
        <v>4.7</v>
      </c>
      <c r="K51" s="222">
        <v>6.0</v>
      </c>
      <c r="L51" s="222">
        <v>64.0</v>
      </c>
      <c r="M51" s="222" t="s">
        <v>6437</v>
      </c>
      <c r="N51" s="222" t="s">
        <v>166</v>
      </c>
      <c r="O51" s="222" t="s">
        <v>3149</v>
      </c>
      <c r="P51" s="222">
        <v>3200.0</v>
      </c>
      <c r="Q51" s="222">
        <v>105.0</v>
      </c>
      <c r="R51" s="222" t="s">
        <v>174</v>
      </c>
      <c r="S51" s="797">
        <v>499.0</v>
      </c>
      <c r="T51" s="805" t="s">
        <v>166</v>
      </c>
      <c r="U51" s="389"/>
    </row>
    <row r="52">
      <c r="A52" s="247" t="s">
        <v>1664</v>
      </c>
      <c r="B52" s="802" t="s">
        <v>6448</v>
      </c>
      <c r="C52" s="799" t="str">
        <f>HYPERLINK("https://www.amd.com/en/products/cpu/amd-ryzen-9-3950x#product-specs","3950X")</f>
        <v>3950X</v>
      </c>
      <c r="D52" s="233" t="s">
        <v>4946</v>
      </c>
      <c r="E52" s="233" t="s">
        <v>6436</v>
      </c>
      <c r="F52" s="233" t="s">
        <v>4659</v>
      </c>
      <c r="G52" s="233">
        <v>16.0</v>
      </c>
      <c r="H52" s="233">
        <v>32.0</v>
      </c>
      <c r="I52" s="800">
        <v>3.5</v>
      </c>
      <c r="J52" s="800">
        <v>4.7</v>
      </c>
      <c r="K52" s="233">
        <v>8.0</v>
      </c>
      <c r="L52" s="233">
        <v>64.0</v>
      </c>
      <c r="M52" s="233" t="s">
        <v>6437</v>
      </c>
      <c r="N52" s="233" t="s">
        <v>166</v>
      </c>
      <c r="O52" s="233" t="s">
        <v>3149</v>
      </c>
      <c r="P52" s="233">
        <v>3200.0</v>
      </c>
      <c r="Q52" s="233">
        <v>105.0</v>
      </c>
      <c r="R52" s="233" t="s">
        <v>174</v>
      </c>
      <c r="S52" s="801">
        <v>749.0</v>
      </c>
      <c r="T52" s="806" t="s">
        <v>166</v>
      </c>
      <c r="U52" s="802"/>
    </row>
    <row r="53">
      <c r="A53" s="241" t="s">
        <v>1664</v>
      </c>
      <c r="B53" s="389" t="s">
        <v>6398</v>
      </c>
      <c r="C53" s="795">
        <v>4100.0</v>
      </c>
      <c r="D53" s="222" t="s">
        <v>4946</v>
      </c>
      <c r="E53" s="222" t="s">
        <v>6450</v>
      </c>
      <c r="F53" s="222" t="s">
        <v>4659</v>
      </c>
      <c r="G53" s="222">
        <v>4.0</v>
      </c>
      <c r="H53" s="222">
        <v>8.0</v>
      </c>
      <c r="I53" s="796">
        <v>3.8</v>
      </c>
      <c r="J53" s="796">
        <v>4.0</v>
      </c>
      <c r="K53" s="222">
        <v>2.0</v>
      </c>
      <c r="L53" s="222">
        <v>4.0</v>
      </c>
      <c r="M53" s="222" t="s">
        <v>6401</v>
      </c>
      <c r="N53" s="222" t="s">
        <v>166</v>
      </c>
      <c r="O53" s="222" t="s">
        <v>3149</v>
      </c>
      <c r="P53" s="222">
        <v>3200.0</v>
      </c>
      <c r="Q53" s="222">
        <v>65.0</v>
      </c>
      <c r="R53" s="222" t="s">
        <v>174</v>
      </c>
      <c r="S53" s="224">
        <v>99.0</v>
      </c>
      <c r="T53" s="805" t="s">
        <v>6402</v>
      </c>
      <c r="U53" s="389"/>
    </row>
    <row r="54">
      <c r="A54" s="241" t="s">
        <v>1664</v>
      </c>
      <c r="B54" s="389" t="s">
        <v>6398</v>
      </c>
      <c r="C54" s="795" t="s">
        <v>6451</v>
      </c>
      <c r="D54" s="222" t="s">
        <v>4946</v>
      </c>
      <c r="E54" s="222" t="s">
        <v>6450</v>
      </c>
      <c r="F54" s="222" t="s">
        <v>4659</v>
      </c>
      <c r="G54" s="222">
        <v>4.0</v>
      </c>
      <c r="H54" s="222">
        <v>8.0</v>
      </c>
      <c r="I54" s="796">
        <v>3.5</v>
      </c>
      <c r="J54" s="796">
        <v>4.0</v>
      </c>
      <c r="K54" s="222">
        <v>2.0</v>
      </c>
      <c r="L54" s="222">
        <v>4.0</v>
      </c>
      <c r="M54" s="222" t="s">
        <v>6401</v>
      </c>
      <c r="N54" s="222" t="s">
        <v>6452</v>
      </c>
      <c r="O54" s="222" t="s">
        <v>3149</v>
      </c>
      <c r="P54" s="222">
        <v>3200.0</v>
      </c>
      <c r="Q54" s="222">
        <v>35.0</v>
      </c>
      <c r="R54" s="222" t="s">
        <v>174</v>
      </c>
      <c r="S54" s="224" t="s">
        <v>166</v>
      </c>
      <c r="T54" s="805" t="s">
        <v>166</v>
      </c>
      <c r="U54" s="389" t="s">
        <v>6423</v>
      </c>
    </row>
    <row r="55">
      <c r="A55" s="241" t="s">
        <v>1664</v>
      </c>
      <c r="B55" s="389" t="s">
        <v>6398</v>
      </c>
      <c r="C55" s="795" t="s">
        <v>6453</v>
      </c>
      <c r="D55" s="222" t="s">
        <v>4946</v>
      </c>
      <c r="E55" s="222" t="s">
        <v>6450</v>
      </c>
      <c r="F55" s="222" t="s">
        <v>4659</v>
      </c>
      <c r="G55" s="222">
        <v>4.0</v>
      </c>
      <c r="H55" s="222">
        <v>8.0</v>
      </c>
      <c r="I55" s="796">
        <v>3.8</v>
      </c>
      <c r="J55" s="796">
        <v>4.0</v>
      </c>
      <c r="K55" s="222">
        <v>2.0</v>
      </c>
      <c r="L55" s="222">
        <v>4.0</v>
      </c>
      <c r="M55" s="222" t="s">
        <v>6401</v>
      </c>
      <c r="N55" s="222" t="s">
        <v>6452</v>
      </c>
      <c r="O55" s="222" t="s">
        <v>3149</v>
      </c>
      <c r="P55" s="222">
        <v>3200.0</v>
      </c>
      <c r="Q55" s="222">
        <v>65.0</v>
      </c>
      <c r="R55" s="222" t="s">
        <v>174</v>
      </c>
      <c r="S55" s="224" t="s">
        <v>166</v>
      </c>
      <c r="T55" s="805" t="s">
        <v>166</v>
      </c>
      <c r="U55" s="389" t="s">
        <v>6423</v>
      </c>
    </row>
    <row r="56">
      <c r="A56" s="241" t="s">
        <v>1664</v>
      </c>
      <c r="B56" s="389" t="s">
        <v>6420</v>
      </c>
      <c r="C56" s="795" t="s">
        <v>6454</v>
      </c>
      <c r="D56" s="222" t="s">
        <v>4946</v>
      </c>
      <c r="E56" s="222" t="s">
        <v>6450</v>
      </c>
      <c r="F56" s="222" t="s">
        <v>4659</v>
      </c>
      <c r="G56" s="222">
        <v>4.0</v>
      </c>
      <c r="H56" s="222">
        <v>8.0</v>
      </c>
      <c r="I56" s="796">
        <v>3.5</v>
      </c>
      <c r="J56" s="796">
        <v>4.0</v>
      </c>
      <c r="K56" s="222">
        <v>2.0</v>
      </c>
      <c r="L56" s="222">
        <v>4.0</v>
      </c>
      <c r="M56" s="222" t="s">
        <v>6401</v>
      </c>
      <c r="N56" s="222" t="s">
        <v>6452</v>
      </c>
      <c r="O56" s="222" t="s">
        <v>3149</v>
      </c>
      <c r="P56" s="222">
        <v>3200.0</v>
      </c>
      <c r="Q56" s="222">
        <v>35.0</v>
      </c>
      <c r="R56" s="222" t="s">
        <v>166</v>
      </c>
      <c r="S56" s="224" t="s">
        <v>166</v>
      </c>
      <c r="T56" s="805" t="s">
        <v>166</v>
      </c>
      <c r="U56" s="389" t="s">
        <v>6423</v>
      </c>
    </row>
    <row r="57">
      <c r="A57" s="241" t="s">
        <v>1664</v>
      </c>
      <c r="B57" s="389" t="s">
        <v>6420</v>
      </c>
      <c r="C57" s="795" t="s">
        <v>6455</v>
      </c>
      <c r="D57" s="222" t="s">
        <v>4946</v>
      </c>
      <c r="E57" s="222" t="s">
        <v>6450</v>
      </c>
      <c r="F57" s="222" t="s">
        <v>4659</v>
      </c>
      <c r="G57" s="222">
        <v>4.0</v>
      </c>
      <c r="H57" s="222">
        <v>8.0</v>
      </c>
      <c r="I57" s="796">
        <v>3.8</v>
      </c>
      <c r="J57" s="796">
        <v>4.0</v>
      </c>
      <c r="K57" s="222">
        <v>2.0</v>
      </c>
      <c r="L57" s="222">
        <v>4.0</v>
      </c>
      <c r="M57" s="222" t="s">
        <v>6401</v>
      </c>
      <c r="N57" s="222" t="s">
        <v>6452</v>
      </c>
      <c r="O57" s="222" t="s">
        <v>3149</v>
      </c>
      <c r="P57" s="222">
        <v>3200.0</v>
      </c>
      <c r="Q57" s="222">
        <v>65.0</v>
      </c>
      <c r="R57" s="222" t="s">
        <v>166</v>
      </c>
      <c r="S57" s="224" t="s">
        <v>166</v>
      </c>
      <c r="T57" s="805" t="s">
        <v>6402</v>
      </c>
      <c r="U57" s="389"/>
    </row>
    <row r="58">
      <c r="A58" s="241" t="s">
        <v>1664</v>
      </c>
      <c r="B58" s="389" t="s">
        <v>6407</v>
      </c>
      <c r="C58" s="795">
        <v>4500.0</v>
      </c>
      <c r="D58" s="222" t="s">
        <v>4946</v>
      </c>
      <c r="E58" s="222" t="s">
        <v>6450</v>
      </c>
      <c r="F58" s="222" t="s">
        <v>4659</v>
      </c>
      <c r="G58" s="222">
        <v>6.0</v>
      </c>
      <c r="H58" s="222">
        <v>12.0</v>
      </c>
      <c r="I58" s="796">
        <v>3.6</v>
      </c>
      <c r="J58" s="796">
        <v>4.1</v>
      </c>
      <c r="K58" s="222">
        <v>3.0</v>
      </c>
      <c r="L58" s="222">
        <v>8.0</v>
      </c>
      <c r="M58" s="222" t="s">
        <v>6401</v>
      </c>
      <c r="N58" s="222" t="s">
        <v>166</v>
      </c>
      <c r="O58" s="222" t="s">
        <v>3149</v>
      </c>
      <c r="P58" s="222">
        <v>3200.0</v>
      </c>
      <c r="Q58" s="222">
        <v>65.0</v>
      </c>
      <c r="R58" s="222" t="s">
        <v>174</v>
      </c>
      <c r="S58" s="224">
        <v>129.0</v>
      </c>
      <c r="T58" s="805" t="s">
        <v>6402</v>
      </c>
      <c r="U58" s="389"/>
    </row>
    <row r="59">
      <c r="A59" s="241" t="s">
        <v>1664</v>
      </c>
      <c r="B59" s="389" t="s">
        <v>6407</v>
      </c>
      <c r="C59" s="795" t="s">
        <v>6456</v>
      </c>
      <c r="D59" s="222" t="s">
        <v>4946</v>
      </c>
      <c r="E59" s="222" t="s">
        <v>6450</v>
      </c>
      <c r="F59" s="222" t="s">
        <v>4659</v>
      </c>
      <c r="G59" s="222">
        <v>6.0</v>
      </c>
      <c r="H59" s="222">
        <v>12.0</v>
      </c>
      <c r="I59" s="796">
        <v>3.3</v>
      </c>
      <c r="J59" s="796">
        <v>4.2</v>
      </c>
      <c r="K59" s="222">
        <v>3.0</v>
      </c>
      <c r="L59" s="222">
        <v>8.0</v>
      </c>
      <c r="M59" s="222" t="s">
        <v>6401</v>
      </c>
      <c r="N59" s="222" t="s">
        <v>6457</v>
      </c>
      <c r="O59" s="222" t="s">
        <v>3149</v>
      </c>
      <c r="P59" s="222">
        <v>3200.0</v>
      </c>
      <c r="Q59" s="222">
        <v>35.0</v>
      </c>
      <c r="R59" s="222" t="s">
        <v>174</v>
      </c>
      <c r="S59" s="224" t="s">
        <v>166</v>
      </c>
      <c r="T59" s="805" t="s">
        <v>166</v>
      </c>
      <c r="U59" s="389" t="s">
        <v>6423</v>
      </c>
    </row>
    <row r="60">
      <c r="A60" s="241" t="s">
        <v>1664</v>
      </c>
      <c r="B60" s="389" t="s">
        <v>6407</v>
      </c>
      <c r="C60" s="795" t="s">
        <v>6458</v>
      </c>
      <c r="D60" s="222" t="s">
        <v>4946</v>
      </c>
      <c r="E60" s="222" t="s">
        <v>6450</v>
      </c>
      <c r="F60" s="222" t="s">
        <v>4659</v>
      </c>
      <c r="G60" s="222">
        <v>6.0</v>
      </c>
      <c r="H60" s="222">
        <v>12.0</v>
      </c>
      <c r="I60" s="796">
        <v>3.7</v>
      </c>
      <c r="J60" s="796">
        <v>4.2</v>
      </c>
      <c r="K60" s="222">
        <v>3.0</v>
      </c>
      <c r="L60" s="222">
        <v>8.0</v>
      </c>
      <c r="M60" s="222" t="s">
        <v>6401</v>
      </c>
      <c r="N60" s="222" t="s">
        <v>6457</v>
      </c>
      <c r="O60" s="222" t="s">
        <v>3149</v>
      </c>
      <c r="P60" s="222">
        <v>3200.0</v>
      </c>
      <c r="Q60" s="222">
        <v>65.0</v>
      </c>
      <c r="R60" s="222" t="s">
        <v>174</v>
      </c>
      <c r="S60" s="224">
        <v>154.0</v>
      </c>
      <c r="T60" s="805" t="s">
        <v>6402</v>
      </c>
      <c r="U60" s="389"/>
    </row>
    <row r="61">
      <c r="A61" s="241" t="s">
        <v>1664</v>
      </c>
      <c r="B61" s="389" t="s">
        <v>6425</v>
      </c>
      <c r="C61" s="795" t="s">
        <v>6459</v>
      </c>
      <c r="D61" s="222" t="s">
        <v>4946</v>
      </c>
      <c r="E61" s="222" t="s">
        <v>6450</v>
      </c>
      <c r="F61" s="222" t="s">
        <v>4659</v>
      </c>
      <c r="G61" s="222">
        <v>6.0</v>
      </c>
      <c r="H61" s="222">
        <v>12.0</v>
      </c>
      <c r="I61" s="796">
        <v>3.3</v>
      </c>
      <c r="J61" s="796">
        <v>4.2</v>
      </c>
      <c r="K61" s="222">
        <v>3.0</v>
      </c>
      <c r="L61" s="222">
        <v>8.0</v>
      </c>
      <c r="M61" s="222" t="s">
        <v>6401</v>
      </c>
      <c r="N61" s="222" t="s">
        <v>6457</v>
      </c>
      <c r="O61" s="222" t="s">
        <v>3149</v>
      </c>
      <c r="P61" s="222">
        <v>3200.0</v>
      </c>
      <c r="Q61" s="222">
        <v>35.0</v>
      </c>
      <c r="R61" s="222" t="s">
        <v>166</v>
      </c>
      <c r="S61" s="224" t="s">
        <v>166</v>
      </c>
      <c r="T61" s="805" t="s">
        <v>166</v>
      </c>
      <c r="U61" s="389" t="s">
        <v>6423</v>
      </c>
    </row>
    <row r="62">
      <c r="A62" s="241" t="s">
        <v>1664</v>
      </c>
      <c r="B62" s="389" t="s">
        <v>6425</v>
      </c>
      <c r="C62" s="795" t="s">
        <v>6460</v>
      </c>
      <c r="D62" s="222" t="s">
        <v>4946</v>
      </c>
      <c r="E62" s="222" t="s">
        <v>6450</v>
      </c>
      <c r="F62" s="222" t="s">
        <v>4659</v>
      </c>
      <c r="G62" s="222">
        <v>6.0</v>
      </c>
      <c r="H62" s="222">
        <v>12.0</v>
      </c>
      <c r="I62" s="796">
        <v>3.7</v>
      </c>
      <c r="J62" s="796">
        <v>4.2</v>
      </c>
      <c r="K62" s="222">
        <v>3.0</v>
      </c>
      <c r="L62" s="222">
        <v>8.0</v>
      </c>
      <c r="M62" s="222" t="s">
        <v>6401</v>
      </c>
      <c r="N62" s="222" t="s">
        <v>6457</v>
      </c>
      <c r="O62" s="222" t="s">
        <v>3149</v>
      </c>
      <c r="P62" s="222">
        <v>3200.0</v>
      </c>
      <c r="Q62" s="222">
        <v>65.0</v>
      </c>
      <c r="R62" s="222" t="s">
        <v>166</v>
      </c>
      <c r="S62" s="224" t="s">
        <v>166</v>
      </c>
      <c r="T62" s="805" t="s">
        <v>6402</v>
      </c>
      <c r="U62" s="389"/>
    </row>
    <row r="63">
      <c r="A63" s="241" t="s">
        <v>1664</v>
      </c>
      <c r="B63" s="389" t="s">
        <v>6412</v>
      </c>
      <c r="C63" s="795" t="s">
        <v>6461</v>
      </c>
      <c r="D63" s="222" t="s">
        <v>4946</v>
      </c>
      <c r="E63" s="222" t="s">
        <v>6450</v>
      </c>
      <c r="F63" s="222" t="s">
        <v>4659</v>
      </c>
      <c r="G63" s="222">
        <v>8.0</v>
      </c>
      <c r="H63" s="222">
        <v>16.0</v>
      </c>
      <c r="I63" s="796">
        <v>3.1</v>
      </c>
      <c r="J63" s="796">
        <v>4.3</v>
      </c>
      <c r="K63" s="222">
        <v>4.0</v>
      </c>
      <c r="L63" s="222">
        <v>8.0</v>
      </c>
      <c r="M63" s="222" t="s">
        <v>6401</v>
      </c>
      <c r="N63" s="222" t="s">
        <v>6422</v>
      </c>
      <c r="O63" s="222" t="s">
        <v>3149</v>
      </c>
      <c r="P63" s="222">
        <v>3200.0</v>
      </c>
      <c r="Q63" s="222">
        <v>35.0</v>
      </c>
      <c r="R63" s="222" t="s">
        <v>174</v>
      </c>
      <c r="S63" s="224" t="s">
        <v>166</v>
      </c>
      <c r="T63" s="805" t="s">
        <v>166</v>
      </c>
      <c r="U63" s="389" t="s">
        <v>6423</v>
      </c>
    </row>
    <row r="64">
      <c r="A64" s="241" t="s">
        <v>1664</v>
      </c>
      <c r="B64" s="389" t="s">
        <v>6412</v>
      </c>
      <c r="C64" s="795" t="s">
        <v>6462</v>
      </c>
      <c r="D64" s="222" t="s">
        <v>4946</v>
      </c>
      <c r="E64" s="222" t="s">
        <v>6450</v>
      </c>
      <c r="F64" s="222" t="s">
        <v>4659</v>
      </c>
      <c r="G64" s="222">
        <v>8.0</v>
      </c>
      <c r="H64" s="222">
        <v>16.0</v>
      </c>
      <c r="I64" s="796">
        <v>3.6</v>
      </c>
      <c r="J64" s="796">
        <v>4.4</v>
      </c>
      <c r="K64" s="222">
        <v>4.0</v>
      </c>
      <c r="L64" s="222">
        <v>8.0</v>
      </c>
      <c r="M64" s="222" t="s">
        <v>6401</v>
      </c>
      <c r="N64" s="222" t="s">
        <v>6422</v>
      </c>
      <c r="O64" s="222" t="s">
        <v>3149</v>
      </c>
      <c r="P64" s="222">
        <v>3200.0</v>
      </c>
      <c r="Q64" s="222">
        <v>65.0</v>
      </c>
      <c r="R64" s="222" t="s">
        <v>174</v>
      </c>
      <c r="S64" s="224" t="s">
        <v>166</v>
      </c>
      <c r="T64" s="805" t="s">
        <v>166</v>
      </c>
      <c r="U64" s="389" t="s">
        <v>6423</v>
      </c>
    </row>
    <row r="65">
      <c r="A65" s="241" t="s">
        <v>1664</v>
      </c>
      <c r="B65" s="389" t="s">
        <v>6445</v>
      </c>
      <c r="C65" s="795" t="s">
        <v>6463</v>
      </c>
      <c r="D65" s="222" t="s">
        <v>4946</v>
      </c>
      <c r="E65" s="222" t="s">
        <v>6450</v>
      </c>
      <c r="F65" s="222" t="s">
        <v>4659</v>
      </c>
      <c r="G65" s="222">
        <v>8.0</v>
      </c>
      <c r="H65" s="222">
        <v>16.0</v>
      </c>
      <c r="I65" s="796">
        <v>3.1</v>
      </c>
      <c r="J65" s="796">
        <v>4.3</v>
      </c>
      <c r="K65" s="222">
        <v>4.0</v>
      </c>
      <c r="L65" s="222">
        <v>8.0</v>
      </c>
      <c r="M65" s="222" t="s">
        <v>6401</v>
      </c>
      <c r="N65" s="222" t="s">
        <v>6422</v>
      </c>
      <c r="O65" s="222" t="s">
        <v>3149</v>
      </c>
      <c r="P65" s="222">
        <v>3200.0</v>
      </c>
      <c r="Q65" s="222">
        <v>35.0</v>
      </c>
      <c r="R65" s="222" t="s">
        <v>166</v>
      </c>
      <c r="S65" s="224" t="s">
        <v>166</v>
      </c>
      <c r="T65" s="805" t="s">
        <v>166</v>
      </c>
      <c r="U65" s="389" t="s">
        <v>6423</v>
      </c>
    </row>
    <row r="66">
      <c r="A66" s="247" t="s">
        <v>1664</v>
      </c>
      <c r="B66" s="802" t="s">
        <v>6445</v>
      </c>
      <c r="C66" s="799" t="s">
        <v>6464</v>
      </c>
      <c r="D66" s="233" t="s">
        <v>4946</v>
      </c>
      <c r="E66" s="233" t="s">
        <v>6450</v>
      </c>
      <c r="F66" s="233" t="s">
        <v>4659</v>
      </c>
      <c r="G66" s="233">
        <v>8.0</v>
      </c>
      <c r="H66" s="233">
        <v>16.0</v>
      </c>
      <c r="I66" s="800">
        <v>3.6</v>
      </c>
      <c r="J66" s="800">
        <v>4.4</v>
      </c>
      <c r="K66" s="233">
        <v>4.0</v>
      </c>
      <c r="L66" s="233">
        <v>8.0</v>
      </c>
      <c r="M66" s="233" t="s">
        <v>6401</v>
      </c>
      <c r="N66" s="233" t="s">
        <v>6422</v>
      </c>
      <c r="O66" s="233" t="s">
        <v>3149</v>
      </c>
      <c r="P66" s="233">
        <v>3200.0</v>
      </c>
      <c r="Q66" s="233">
        <v>65.0</v>
      </c>
      <c r="R66" s="233" t="s">
        <v>166</v>
      </c>
      <c r="S66" s="235" t="s">
        <v>166</v>
      </c>
      <c r="T66" s="806" t="s">
        <v>6402</v>
      </c>
      <c r="U66" s="802"/>
    </row>
    <row r="67">
      <c r="A67" s="241" t="s">
        <v>1664</v>
      </c>
      <c r="B67" s="389" t="s">
        <v>6398</v>
      </c>
      <c r="C67" s="807" t="s">
        <v>6465</v>
      </c>
      <c r="D67" s="222" t="s">
        <v>4946</v>
      </c>
      <c r="E67" s="222" t="s">
        <v>6466</v>
      </c>
      <c r="F67" s="222" t="s">
        <v>4659</v>
      </c>
      <c r="G67" s="222">
        <v>4.0</v>
      </c>
      <c r="H67" s="222">
        <v>8.0</v>
      </c>
      <c r="I67" s="796">
        <v>3.6</v>
      </c>
      <c r="J67" s="796">
        <v>4.2</v>
      </c>
      <c r="K67" s="222">
        <v>2.0</v>
      </c>
      <c r="L67" s="222">
        <v>8.0</v>
      </c>
      <c r="M67" s="222" t="s">
        <v>6401</v>
      </c>
      <c r="N67" s="222" t="s">
        <v>6452</v>
      </c>
      <c r="O67" s="222" t="s">
        <v>3149</v>
      </c>
      <c r="P67" s="434">
        <v>3200.0</v>
      </c>
      <c r="Q67" s="222">
        <v>35.0</v>
      </c>
      <c r="R67" s="222" t="s">
        <v>174</v>
      </c>
      <c r="S67" s="224" t="s">
        <v>166</v>
      </c>
      <c r="T67" s="805" t="s">
        <v>166</v>
      </c>
      <c r="U67" s="389" t="s">
        <v>6423</v>
      </c>
    </row>
    <row r="68">
      <c r="A68" s="241" t="s">
        <v>1664</v>
      </c>
      <c r="B68" s="389" t="s">
        <v>6398</v>
      </c>
      <c r="C68" s="807" t="s">
        <v>6467</v>
      </c>
      <c r="D68" s="222" t="s">
        <v>4946</v>
      </c>
      <c r="E68" s="222" t="s">
        <v>6466</v>
      </c>
      <c r="F68" s="222" t="s">
        <v>4659</v>
      </c>
      <c r="G68" s="222">
        <v>4.0</v>
      </c>
      <c r="H68" s="222">
        <v>8.0</v>
      </c>
      <c r="I68" s="796">
        <v>4.0</v>
      </c>
      <c r="J68" s="796">
        <v>4.2</v>
      </c>
      <c r="K68" s="222">
        <v>2.0</v>
      </c>
      <c r="L68" s="222">
        <v>8.0</v>
      </c>
      <c r="M68" s="222" t="s">
        <v>6401</v>
      </c>
      <c r="N68" s="222" t="s">
        <v>6452</v>
      </c>
      <c r="O68" s="222" t="s">
        <v>3149</v>
      </c>
      <c r="P68" s="434">
        <v>3200.0</v>
      </c>
      <c r="Q68" s="222">
        <v>65.0</v>
      </c>
      <c r="R68" s="222" t="s">
        <v>174</v>
      </c>
      <c r="S68" s="224" t="s">
        <v>166</v>
      </c>
      <c r="T68" s="805" t="s">
        <v>166</v>
      </c>
      <c r="U68" s="389" t="s">
        <v>6423</v>
      </c>
    </row>
    <row r="69">
      <c r="A69" s="241" t="s">
        <v>1664</v>
      </c>
      <c r="B69" s="389" t="s">
        <v>6420</v>
      </c>
      <c r="C69" s="807" t="s">
        <v>6468</v>
      </c>
      <c r="D69" s="222" t="s">
        <v>4946</v>
      </c>
      <c r="E69" s="222" t="s">
        <v>6466</v>
      </c>
      <c r="F69" s="222" t="s">
        <v>4659</v>
      </c>
      <c r="G69" s="222">
        <v>4.0</v>
      </c>
      <c r="H69" s="222">
        <v>8.0</v>
      </c>
      <c r="I69" s="796">
        <v>3.6</v>
      </c>
      <c r="J69" s="796">
        <v>4.2</v>
      </c>
      <c r="K69" s="222">
        <v>2.0</v>
      </c>
      <c r="L69" s="222">
        <v>8.0</v>
      </c>
      <c r="M69" s="222" t="s">
        <v>6401</v>
      </c>
      <c r="N69" s="222" t="s">
        <v>6452</v>
      </c>
      <c r="O69" s="222" t="s">
        <v>3149</v>
      </c>
      <c r="P69" s="434">
        <v>3200.0</v>
      </c>
      <c r="Q69" s="222">
        <v>35.0</v>
      </c>
      <c r="R69" s="222" t="s">
        <v>166</v>
      </c>
      <c r="S69" s="224" t="s">
        <v>166</v>
      </c>
      <c r="T69" s="805" t="s">
        <v>166</v>
      </c>
      <c r="U69" s="389" t="s">
        <v>6423</v>
      </c>
    </row>
    <row r="70">
      <c r="A70" s="241" t="s">
        <v>1664</v>
      </c>
      <c r="B70" s="389" t="s">
        <v>6420</v>
      </c>
      <c r="C70" s="807" t="s">
        <v>6469</v>
      </c>
      <c r="D70" s="222" t="s">
        <v>4946</v>
      </c>
      <c r="E70" s="222" t="s">
        <v>6466</v>
      </c>
      <c r="F70" s="222" t="s">
        <v>4659</v>
      </c>
      <c r="G70" s="222">
        <v>4.0</v>
      </c>
      <c r="H70" s="222">
        <v>8.0</v>
      </c>
      <c r="I70" s="796">
        <v>4.0</v>
      </c>
      <c r="J70" s="796">
        <v>4.2</v>
      </c>
      <c r="K70" s="222">
        <v>2.0</v>
      </c>
      <c r="L70" s="222">
        <v>8.0</v>
      </c>
      <c r="M70" s="222" t="s">
        <v>6401</v>
      </c>
      <c r="N70" s="222" t="s">
        <v>6452</v>
      </c>
      <c r="O70" s="222" t="s">
        <v>3149</v>
      </c>
      <c r="P70" s="434">
        <v>3200.0</v>
      </c>
      <c r="Q70" s="222">
        <v>65.0</v>
      </c>
      <c r="R70" s="222" t="s">
        <v>166</v>
      </c>
      <c r="S70" s="224" t="s">
        <v>166</v>
      </c>
      <c r="T70" s="805" t="s">
        <v>166</v>
      </c>
      <c r="U70" s="389" t="s">
        <v>6423</v>
      </c>
    </row>
    <row r="71">
      <c r="A71" s="241" t="s">
        <v>1664</v>
      </c>
      <c r="B71" s="389" t="s">
        <v>6407</v>
      </c>
      <c r="C71" s="807">
        <v>5500.0</v>
      </c>
      <c r="D71" s="222" t="s">
        <v>4946</v>
      </c>
      <c r="E71" s="222" t="s">
        <v>6466</v>
      </c>
      <c r="F71" s="222" t="s">
        <v>4659</v>
      </c>
      <c r="G71" s="222">
        <v>6.0</v>
      </c>
      <c r="H71" s="222">
        <v>12.0</v>
      </c>
      <c r="I71" s="796">
        <v>3.6</v>
      </c>
      <c r="J71" s="796">
        <v>4.2</v>
      </c>
      <c r="K71" s="222">
        <v>3.0</v>
      </c>
      <c r="L71" s="222">
        <v>16.0</v>
      </c>
      <c r="M71" s="222" t="s">
        <v>6401</v>
      </c>
      <c r="N71" s="222" t="s">
        <v>166</v>
      </c>
      <c r="O71" s="222" t="s">
        <v>3149</v>
      </c>
      <c r="P71" s="434">
        <v>3200.0</v>
      </c>
      <c r="Q71" s="222">
        <v>65.0</v>
      </c>
      <c r="R71" s="222" t="s">
        <v>174</v>
      </c>
      <c r="S71" s="224">
        <v>159.0</v>
      </c>
      <c r="T71" s="805" t="s">
        <v>6402</v>
      </c>
      <c r="U71" s="389"/>
    </row>
    <row r="72">
      <c r="A72" s="241" t="s">
        <v>1664</v>
      </c>
      <c r="B72" s="389" t="s">
        <v>6407</v>
      </c>
      <c r="C72" s="808" t="s">
        <v>6470</v>
      </c>
      <c r="D72" s="222" t="s">
        <v>4946</v>
      </c>
      <c r="E72" s="222" t="s">
        <v>6466</v>
      </c>
      <c r="F72" s="222" t="s">
        <v>4659</v>
      </c>
      <c r="G72" s="222">
        <v>6.0</v>
      </c>
      <c r="H72" s="222">
        <v>12.0</v>
      </c>
      <c r="I72" s="796">
        <v>3.6</v>
      </c>
      <c r="J72" s="796">
        <v>4.4</v>
      </c>
      <c r="K72" s="222">
        <v>3.0</v>
      </c>
      <c r="L72" s="222">
        <v>16.0</v>
      </c>
      <c r="M72" s="222" t="s">
        <v>6401</v>
      </c>
      <c r="N72" s="222" t="s">
        <v>6452</v>
      </c>
      <c r="O72" s="222" t="s">
        <v>3149</v>
      </c>
      <c r="P72" s="434">
        <v>3200.0</v>
      </c>
      <c r="Q72" s="222">
        <v>65.0</v>
      </c>
      <c r="R72" s="222" t="s">
        <v>174</v>
      </c>
      <c r="S72" s="224">
        <v>125.0</v>
      </c>
      <c r="T72" s="805" t="s">
        <v>170</v>
      </c>
      <c r="U72" s="389"/>
    </row>
    <row r="73">
      <c r="A73" s="241" t="s">
        <v>1664</v>
      </c>
      <c r="B73" s="389" t="s">
        <v>6407</v>
      </c>
      <c r="C73" s="807">
        <v>5600.0</v>
      </c>
      <c r="D73" s="222" t="s">
        <v>4946</v>
      </c>
      <c r="E73" s="222" t="s">
        <v>6471</v>
      </c>
      <c r="F73" s="222" t="s">
        <v>4659</v>
      </c>
      <c r="G73" s="222">
        <v>6.0</v>
      </c>
      <c r="H73" s="222">
        <v>12.0</v>
      </c>
      <c r="I73" s="796">
        <v>3.5</v>
      </c>
      <c r="J73" s="796">
        <v>4.4</v>
      </c>
      <c r="K73" s="222">
        <v>3.0</v>
      </c>
      <c r="L73" s="222">
        <v>32.0</v>
      </c>
      <c r="M73" s="222" t="s">
        <v>6437</v>
      </c>
      <c r="N73" s="222" t="s">
        <v>166</v>
      </c>
      <c r="O73" s="222" t="s">
        <v>3149</v>
      </c>
      <c r="P73" s="434">
        <v>3200.0</v>
      </c>
      <c r="Q73" s="222">
        <v>65.0</v>
      </c>
      <c r="R73" s="222" t="s">
        <v>174</v>
      </c>
      <c r="S73" s="224">
        <v>199.0</v>
      </c>
      <c r="T73" s="805" t="s">
        <v>6402</v>
      </c>
      <c r="U73" s="389"/>
    </row>
    <row r="74">
      <c r="A74" s="241" t="s">
        <v>1664</v>
      </c>
      <c r="B74" s="389" t="s">
        <v>6407</v>
      </c>
      <c r="C74" s="807" t="s">
        <v>6472</v>
      </c>
      <c r="D74" s="222" t="s">
        <v>4946</v>
      </c>
      <c r="E74" s="222" t="s">
        <v>6466</v>
      </c>
      <c r="F74" s="222" t="s">
        <v>4659</v>
      </c>
      <c r="G74" s="222">
        <v>6.0</v>
      </c>
      <c r="H74" s="222">
        <v>12.0</v>
      </c>
      <c r="I74" s="796">
        <v>3.4</v>
      </c>
      <c r="J74" s="796">
        <v>4.4</v>
      </c>
      <c r="K74" s="222">
        <v>3.0</v>
      </c>
      <c r="L74" s="222">
        <v>16.0</v>
      </c>
      <c r="M74" s="222" t="s">
        <v>6401</v>
      </c>
      <c r="N74" s="222" t="s">
        <v>6457</v>
      </c>
      <c r="O74" s="222" t="s">
        <v>3149</v>
      </c>
      <c r="P74" s="434">
        <v>3200.0</v>
      </c>
      <c r="Q74" s="222">
        <v>35.0</v>
      </c>
      <c r="R74" s="222" t="s">
        <v>174</v>
      </c>
      <c r="S74" s="224" t="s">
        <v>166</v>
      </c>
      <c r="T74" s="805" t="s">
        <v>6402</v>
      </c>
      <c r="U74" s="389" t="s">
        <v>6423</v>
      </c>
    </row>
    <row r="75">
      <c r="A75" s="241" t="s">
        <v>1664</v>
      </c>
      <c r="B75" s="389" t="s">
        <v>6407</v>
      </c>
      <c r="C75" s="807" t="s">
        <v>6473</v>
      </c>
      <c r="D75" s="222" t="s">
        <v>4946</v>
      </c>
      <c r="E75" s="222" t="s">
        <v>6466</v>
      </c>
      <c r="F75" s="222" t="s">
        <v>4659</v>
      </c>
      <c r="G75" s="222">
        <v>6.0</v>
      </c>
      <c r="H75" s="222">
        <v>12.0</v>
      </c>
      <c r="I75" s="796">
        <v>3.9</v>
      </c>
      <c r="J75" s="796">
        <v>4.4</v>
      </c>
      <c r="K75" s="222">
        <v>3.0</v>
      </c>
      <c r="L75" s="222">
        <v>16.0</v>
      </c>
      <c r="M75" s="222" t="s">
        <v>6401</v>
      </c>
      <c r="N75" s="222" t="s">
        <v>6457</v>
      </c>
      <c r="O75" s="222" t="s">
        <v>3149</v>
      </c>
      <c r="P75" s="434">
        <v>3200.0</v>
      </c>
      <c r="Q75" s="222">
        <v>65.0</v>
      </c>
      <c r="R75" s="222" t="s">
        <v>174</v>
      </c>
      <c r="S75" s="224">
        <v>259.0</v>
      </c>
      <c r="T75" s="805" t="s">
        <v>6402</v>
      </c>
      <c r="U75" s="389"/>
    </row>
    <row r="76">
      <c r="A76" s="241" t="s">
        <v>1664</v>
      </c>
      <c r="B76" s="389" t="s">
        <v>6407</v>
      </c>
      <c r="C76" s="808" t="s">
        <v>6474</v>
      </c>
      <c r="D76" s="222" t="s">
        <v>4946</v>
      </c>
      <c r="E76" s="222" t="s">
        <v>6466</v>
      </c>
      <c r="F76" s="222" t="s">
        <v>4659</v>
      </c>
      <c r="G76" s="222">
        <v>6.0</v>
      </c>
      <c r="H76" s="222">
        <v>12.0</v>
      </c>
      <c r="I76" s="796">
        <v>3.6</v>
      </c>
      <c r="J76" s="796">
        <v>4.6</v>
      </c>
      <c r="K76" s="222">
        <v>3.0</v>
      </c>
      <c r="L76" s="222">
        <v>16.0</v>
      </c>
      <c r="M76" s="222" t="s">
        <v>6401</v>
      </c>
      <c r="N76" s="222" t="s">
        <v>6457</v>
      </c>
      <c r="O76" s="222" t="s">
        <v>3149</v>
      </c>
      <c r="P76" s="434">
        <v>3200.0</v>
      </c>
      <c r="Q76" s="222">
        <v>65.0</v>
      </c>
      <c r="R76" s="222" t="s">
        <v>174</v>
      </c>
      <c r="S76" s="224">
        <v>140.0</v>
      </c>
      <c r="T76" s="805" t="s">
        <v>170</v>
      </c>
      <c r="U76" s="389"/>
    </row>
    <row r="77">
      <c r="A77" s="241" t="s">
        <v>1664</v>
      </c>
      <c r="B77" s="389" t="s">
        <v>6407</v>
      </c>
      <c r="C77" s="807" t="s">
        <v>6475</v>
      </c>
      <c r="D77" s="222" t="s">
        <v>4946</v>
      </c>
      <c r="E77" s="222" t="s">
        <v>6471</v>
      </c>
      <c r="F77" s="222" t="s">
        <v>4659</v>
      </c>
      <c r="G77" s="222">
        <v>6.0</v>
      </c>
      <c r="H77" s="222">
        <v>12.0</v>
      </c>
      <c r="I77" s="796">
        <v>3.7</v>
      </c>
      <c r="J77" s="796">
        <v>4.6</v>
      </c>
      <c r="K77" s="222">
        <v>3.0</v>
      </c>
      <c r="L77" s="222">
        <v>32.0</v>
      </c>
      <c r="M77" s="222" t="s">
        <v>6437</v>
      </c>
      <c r="N77" s="222" t="s">
        <v>166</v>
      </c>
      <c r="O77" s="222" t="s">
        <v>3149</v>
      </c>
      <c r="P77" s="434">
        <v>3200.0</v>
      </c>
      <c r="Q77" s="222">
        <v>65.0</v>
      </c>
      <c r="R77" s="222" t="s">
        <v>174</v>
      </c>
      <c r="S77" s="224">
        <v>299.0</v>
      </c>
      <c r="T77" s="805" t="s">
        <v>6402</v>
      </c>
      <c r="U77" s="389"/>
    </row>
    <row r="78">
      <c r="A78" s="241" t="s">
        <v>1664</v>
      </c>
      <c r="B78" s="389" t="s">
        <v>6407</v>
      </c>
      <c r="C78" s="807" t="s">
        <v>6476</v>
      </c>
      <c r="D78" s="222" t="s">
        <v>4946</v>
      </c>
      <c r="E78" s="222" t="s">
        <v>6466</v>
      </c>
      <c r="F78" s="222" t="s">
        <v>4659</v>
      </c>
      <c r="G78" s="222">
        <v>6.0</v>
      </c>
      <c r="H78" s="222">
        <v>12.0</v>
      </c>
      <c r="I78" s="796">
        <v>3.3</v>
      </c>
      <c r="J78" s="796">
        <v>4.4</v>
      </c>
      <c r="K78" s="222">
        <v>3.0</v>
      </c>
      <c r="L78" s="222">
        <v>96.0</v>
      </c>
      <c r="M78" s="222" t="s">
        <v>6437</v>
      </c>
      <c r="N78" s="222" t="s">
        <v>166</v>
      </c>
      <c r="O78" s="222" t="s">
        <v>3149</v>
      </c>
      <c r="P78" s="434">
        <v>3200.0</v>
      </c>
      <c r="Q78" s="222">
        <v>105.0</v>
      </c>
      <c r="R78" s="222" t="s">
        <v>174</v>
      </c>
      <c r="S78" s="224">
        <v>229.0</v>
      </c>
      <c r="T78" s="805" t="s">
        <v>166</v>
      </c>
      <c r="U78" s="389"/>
    </row>
    <row r="79">
      <c r="A79" s="241" t="s">
        <v>1664</v>
      </c>
      <c r="B79" s="389" t="s">
        <v>6425</v>
      </c>
      <c r="C79" s="807" t="s">
        <v>6477</v>
      </c>
      <c r="D79" s="222" t="s">
        <v>4946</v>
      </c>
      <c r="E79" s="222" t="s">
        <v>6466</v>
      </c>
      <c r="F79" s="222" t="s">
        <v>4659</v>
      </c>
      <c r="G79" s="222">
        <v>6.0</v>
      </c>
      <c r="H79" s="222">
        <v>12.0</v>
      </c>
      <c r="I79" s="796">
        <v>3.4</v>
      </c>
      <c r="J79" s="796">
        <v>4.4</v>
      </c>
      <c r="K79" s="222">
        <v>3.0</v>
      </c>
      <c r="L79" s="222">
        <v>16.0</v>
      </c>
      <c r="M79" s="222" t="s">
        <v>6401</v>
      </c>
      <c r="N79" s="222" t="s">
        <v>6457</v>
      </c>
      <c r="O79" s="222" t="s">
        <v>3149</v>
      </c>
      <c r="P79" s="434">
        <v>3200.0</v>
      </c>
      <c r="Q79" s="222">
        <v>35.0</v>
      </c>
      <c r="R79" s="222" t="s">
        <v>166</v>
      </c>
      <c r="S79" s="224" t="s">
        <v>166</v>
      </c>
      <c r="T79" s="805" t="s">
        <v>166</v>
      </c>
      <c r="U79" s="389" t="s">
        <v>6423</v>
      </c>
    </row>
    <row r="80">
      <c r="A80" s="241" t="s">
        <v>1664</v>
      </c>
      <c r="B80" s="389" t="s">
        <v>6425</v>
      </c>
      <c r="C80" s="807" t="s">
        <v>6478</v>
      </c>
      <c r="D80" s="222" t="s">
        <v>4946</v>
      </c>
      <c r="E80" s="222" t="s">
        <v>6466</v>
      </c>
      <c r="F80" s="222" t="s">
        <v>4659</v>
      </c>
      <c r="G80" s="222">
        <v>6.0</v>
      </c>
      <c r="H80" s="222">
        <v>12.0</v>
      </c>
      <c r="I80" s="796">
        <v>3.9</v>
      </c>
      <c r="J80" s="796">
        <v>4.4</v>
      </c>
      <c r="K80" s="222">
        <v>3.0</v>
      </c>
      <c r="L80" s="222">
        <v>16.0</v>
      </c>
      <c r="M80" s="222" t="s">
        <v>6401</v>
      </c>
      <c r="N80" s="222" t="s">
        <v>6457</v>
      </c>
      <c r="O80" s="222" t="s">
        <v>3149</v>
      </c>
      <c r="P80" s="434">
        <v>3200.0</v>
      </c>
      <c r="Q80" s="222">
        <v>65.0</v>
      </c>
      <c r="R80" s="222" t="s">
        <v>166</v>
      </c>
      <c r="S80" s="224" t="s">
        <v>166</v>
      </c>
      <c r="T80" s="805" t="s">
        <v>166</v>
      </c>
      <c r="U80" s="389" t="s">
        <v>6423</v>
      </c>
    </row>
    <row r="81">
      <c r="A81" s="241" t="s">
        <v>1664</v>
      </c>
      <c r="B81" s="389" t="s">
        <v>6412</v>
      </c>
      <c r="C81" s="807" t="s">
        <v>6479</v>
      </c>
      <c r="D81" s="222" t="s">
        <v>4946</v>
      </c>
      <c r="E81" s="222" t="s">
        <v>6466</v>
      </c>
      <c r="F81" s="222" t="s">
        <v>4659</v>
      </c>
      <c r="G81" s="809">
        <v>8.0</v>
      </c>
      <c r="H81" s="810">
        <v>16.0</v>
      </c>
      <c r="I81" s="796">
        <v>3.2</v>
      </c>
      <c r="J81" s="796">
        <v>4.6</v>
      </c>
      <c r="K81" s="222">
        <v>4.0</v>
      </c>
      <c r="L81" s="222">
        <v>16.0</v>
      </c>
      <c r="M81" s="222" t="s">
        <v>6401</v>
      </c>
      <c r="N81" s="222" t="s">
        <v>6422</v>
      </c>
      <c r="O81" s="222" t="s">
        <v>3149</v>
      </c>
      <c r="P81" s="434">
        <v>3200.0</v>
      </c>
      <c r="Q81" s="222">
        <v>35.0</v>
      </c>
      <c r="R81" s="222" t="s">
        <v>174</v>
      </c>
      <c r="S81" s="224" t="s">
        <v>166</v>
      </c>
      <c r="T81" s="805" t="s">
        <v>6402</v>
      </c>
      <c r="U81" s="389" t="s">
        <v>6423</v>
      </c>
    </row>
    <row r="82">
      <c r="A82" s="241" t="s">
        <v>1664</v>
      </c>
      <c r="B82" s="389" t="s">
        <v>6412</v>
      </c>
      <c r="C82" s="807" t="s">
        <v>6480</v>
      </c>
      <c r="D82" s="222" t="s">
        <v>4946</v>
      </c>
      <c r="E82" s="222" t="s">
        <v>6466</v>
      </c>
      <c r="F82" s="222" t="s">
        <v>4659</v>
      </c>
      <c r="G82" s="222">
        <v>8.0</v>
      </c>
      <c r="H82" s="222">
        <v>16.0</v>
      </c>
      <c r="I82" s="796">
        <v>3.8</v>
      </c>
      <c r="J82" s="796">
        <v>4.6</v>
      </c>
      <c r="K82" s="222">
        <v>4.0</v>
      </c>
      <c r="L82" s="222">
        <v>16.0</v>
      </c>
      <c r="M82" s="222" t="s">
        <v>6401</v>
      </c>
      <c r="N82" s="222" t="s">
        <v>6422</v>
      </c>
      <c r="O82" s="222" t="s">
        <v>3149</v>
      </c>
      <c r="P82" s="434">
        <v>3200.0</v>
      </c>
      <c r="Q82" s="222">
        <v>65.0</v>
      </c>
      <c r="R82" s="222" t="s">
        <v>174</v>
      </c>
      <c r="S82" s="224">
        <v>359.0</v>
      </c>
      <c r="T82" s="805" t="s">
        <v>6402</v>
      </c>
      <c r="U82" s="389"/>
    </row>
    <row r="83">
      <c r="A83" s="241" t="s">
        <v>1664</v>
      </c>
      <c r="B83" s="389" t="s">
        <v>6412</v>
      </c>
      <c r="C83" s="808">
        <v>5700.0</v>
      </c>
      <c r="D83" s="222" t="s">
        <v>4946</v>
      </c>
      <c r="E83" s="222" t="s">
        <v>6466</v>
      </c>
      <c r="F83" s="222" t="s">
        <v>4659</v>
      </c>
      <c r="G83" s="222">
        <v>8.0</v>
      </c>
      <c r="H83" s="222">
        <v>16.0</v>
      </c>
      <c r="I83" s="796">
        <v>3.7</v>
      </c>
      <c r="J83" s="796">
        <v>4.6</v>
      </c>
      <c r="K83" s="222">
        <v>4.0</v>
      </c>
      <c r="L83" s="222">
        <v>16.0</v>
      </c>
      <c r="M83" s="222" t="s">
        <v>6401</v>
      </c>
      <c r="N83" s="222" t="s">
        <v>166</v>
      </c>
      <c r="O83" s="222" t="s">
        <v>3149</v>
      </c>
      <c r="P83" s="811">
        <v>3200.0</v>
      </c>
      <c r="Q83" s="222">
        <v>65.0</v>
      </c>
      <c r="R83" s="222" t="s">
        <v>174</v>
      </c>
      <c r="S83" s="224">
        <v>175.0</v>
      </c>
      <c r="T83" s="805" t="s">
        <v>170</v>
      </c>
      <c r="U83" s="389"/>
    </row>
    <row r="84">
      <c r="A84" s="241" t="s">
        <v>1664</v>
      </c>
      <c r="B84" s="389" t="s">
        <v>6412</v>
      </c>
      <c r="C84" s="807" t="s">
        <v>6481</v>
      </c>
      <c r="D84" s="222" t="s">
        <v>4946</v>
      </c>
      <c r="E84" s="222" t="s">
        <v>6471</v>
      </c>
      <c r="F84" s="222" t="s">
        <v>4659</v>
      </c>
      <c r="G84" s="222">
        <v>8.0</v>
      </c>
      <c r="H84" s="222">
        <v>16.0</v>
      </c>
      <c r="I84" s="796">
        <v>3.4</v>
      </c>
      <c r="J84" s="796">
        <v>4.6</v>
      </c>
      <c r="K84" s="222">
        <v>4.0</v>
      </c>
      <c r="L84" s="222">
        <v>32.0</v>
      </c>
      <c r="M84" s="222" t="s">
        <v>6437</v>
      </c>
      <c r="N84" s="222" t="s">
        <v>166</v>
      </c>
      <c r="O84" s="222" t="s">
        <v>3149</v>
      </c>
      <c r="P84" s="811">
        <v>3200.0</v>
      </c>
      <c r="Q84" s="222">
        <v>65.0</v>
      </c>
      <c r="R84" s="222" t="s">
        <v>174</v>
      </c>
      <c r="S84" s="224">
        <v>299.0</v>
      </c>
      <c r="T84" s="805" t="s">
        <v>166</v>
      </c>
      <c r="U84" s="389"/>
    </row>
    <row r="85">
      <c r="A85" s="241" t="s">
        <v>1664</v>
      </c>
      <c r="B85" s="389" t="s">
        <v>6412</v>
      </c>
      <c r="C85" s="808" t="s">
        <v>6482</v>
      </c>
      <c r="D85" s="222" t="s">
        <v>4946</v>
      </c>
      <c r="E85" s="222" t="s">
        <v>6471</v>
      </c>
      <c r="F85" s="222" t="s">
        <v>4659</v>
      </c>
      <c r="G85" s="222">
        <v>8.0</v>
      </c>
      <c r="H85" s="222">
        <v>16.0</v>
      </c>
      <c r="I85" s="796">
        <v>3.0</v>
      </c>
      <c r="J85" s="796">
        <v>4.1</v>
      </c>
      <c r="K85" s="222">
        <v>4.0</v>
      </c>
      <c r="L85" s="222">
        <v>96.0</v>
      </c>
      <c r="M85" s="222" t="s">
        <v>6437</v>
      </c>
      <c r="N85" s="222" t="s">
        <v>166</v>
      </c>
      <c r="O85" s="222" t="s">
        <v>3149</v>
      </c>
      <c r="P85" s="811">
        <v>3200.0</v>
      </c>
      <c r="Q85" s="222">
        <v>105.0</v>
      </c>
      <c r="R85" s="222" t="s">
        <v>174</v>
      </c>
      <c r="S85" s="224">
        <v>249.0</v>
      </c>
      <c r="T85" s="805" t="s">
        <v>166</v>
      </c>
      <c r="U85" s="389"/>
    </row>
    <row r="86">
      <c r="A86" s="241" t="s">
        <v>1664</v>
      </c>
      <c r="B86" s="389" t="s">
        <v>6445</v>
      </c>
      <c r="C86" s="807" t="s">
        <v>6483</v>
      </c>
      <c r="D86" s="222" t="s">
        <v>4946</v>
      </c>
      <c r="E86" s="222" t="s">
        <v>6466</v>
      </c>
      <c r="F86" s="222" t="s">
        <v>4659</v>
      </c>
      <c r="G86" s="222">
        <v>8.0</v>
      </c>
      <c r="H86" s="222">
        <v>16.0</v>
      </c>
      <c r="I86" s="796">
        <v>3.2</v>
      </c>
      <c r="J86" s="796">
        <v>4.6</v>
      </c>
      <c r="K86" s="222">
        <v>4.0</v>
      </c>
      <c r="L86" s="222">
        <v>16.0</v>
      </c>
      <c r="M86" s="222" t="s">
        <v>6401</v>
      </c>
      <c r="N86" s="222" t="s">
        <v>6422</v>
      </c>
      <c r="O86" s="222" t="s">
        <v>3149</v>
      </c>
      <c r="P86" s="434">
        <v>3200.0</v>
      </c>
      <c r="Q86" s="222">
        <v>35.0</v>
      </c>
      <c r="R86" s="222" t="s">
        <v>166</v>
      </c>
      <c r="S86" s="224" t="s">
        <v>166</v>
      </c>
      <c r="T86" s="805" t="s">
        <v>166</v>
      </c>
      <c r="U86" s="389" t="s">
        <v>6423</v>
      </c>
    </row>
    <row r="87">
      <c r="A87" s="241" t="s">
        <v>1664</v>
      </c>
      <c r="B87" s="389" t="s">
        <v>6445</v>
      </c>
      <c r="C87" s="807" t="s">
        <v>6484</v>
      </c>
      <c r="D87" s="222" t="s">
        <v>4946</v>
      </c>
      <c r="E87" s="222" t="s">
        <v>6466</v>
      </c>
      <c r="F87" s="222" t="s">
        <v>4659</v>
      </c>
      <c r="G87" s="222">
        <v>8.0</v>
      </c>
      <c r="H87" s="222">
        <v>16.0</v>
      </c>
      <c r="I87" s="796">
        <v>3.8</v>
      </c>
      <c r="J87" s="796">
        <v>4.6</v>
      </c>
      <c r="K87" s="222">
        <v>4.0</v>
      </c>
      <c r="L87" s="222">
        <v>16.0</v>
      </c>
      <c r="M87" s="222" t="s">
        <v>6401</v>
      </c>
      <c r="N87" s="222" t="s">
        <v>6422</v>
      </c>
      <c r="O87" s="222" t="s">
        <v>3149</v>
      </c>
      <c r="P87" s="434">
        <v>3200.0</v>
      </c>
      <c r="Q87" s="222">
        <v>65.0</v>
      </c>
      <c r="R87" s="222" t="s">
        <v>166</v>
      </c>
      <c r="S87" s="224" t="s">
        <v>166</v>
      </c>
      <c r="T87" s="805" t="s">
        <v>166</v>
      </c>
      <c r="U87" s="389" t="s">
        <v>6423</v>
      </c>
    </row>
    <row r="88">
      <c r="A88" s="241" t="s">
        <v>1664</v>
      </c>
      <c r="B88" s="389" t="s">
        <v>6412</v>
      </c>
      <c r="C88" s="807">
        <v>5800.0</v>
      </c>
      <c r="D88" s="222" t="s">
        <v>4946</v>
      </c>
      <c r="E88" s="222" t="s">
        <v>6471</v>
      </c>
      <c r="F88" s="222" t="s">
        <v>4659</v>
      </c>
      <c r="G88" s="222">
        <v>8.0</v>
      </c>
      <c r="H88" s="222">
        <v>16.0</v>
      </c>
      <c r="I88" s="796">
        <v>3.4</v>
      </c>
      <c r="J88" s="796">
        <v>4.6</v>
      </c>
      <c r="K88" s="222">
        <v>4.0</v>
      </c>
      <c r="L88" s="222">
        <v>32.0</v>
      </c>
      <c r="M88" s="222" t="s">
        <v>6437</v>
      </c>
      <c r="N88" s="222" t="s">
        <v>166</v>
      </c>
      <c r="O88" s="222" t="s">
        <v>3149</v>
      </c>
      <c r="P88" s="434">
        <v>3200.0</v>
      </c>
      <c r="Q88" s="222">
        <v>65.0</v>
      </c>
      <c r="R88" s="222" t="s">
        <v>174</v>
      </c>
      <c r="S88" s="224" t="s">
        <v>166</v>
      </c>
      <c r="T88" s="805" t="s">
        <v>166</v>
      </c>
      <c r="U88" s="389" t="s">
        <v>6423</v>
      </c>
    </row>
    <row r="89">
      <c r="A89" s="241" t="s">
        <v>1664</v>
      </c>
      <c r="B89" s="389" t="s">
        <v>6412</v>
      </c>
      <c r="C89" s="795" t="s">
        <v>6485</v>
      </c>
      <c r="D89" s="222" t="s">
        <v>4946</v>
      </c>
      <c r="E89" s="222" t="s">
        <v>6471</v>
      </c>
      <c r="F89" s="222" t="s">
        <v>4659</v>
      </c>
      <c r="G89" s="222">
        <v>8.0</v>
      </c>
      <c r="H89" s="222">
        <v>16.0</v>
      </c>
      <c r="I89" s="796">
        <v>3.8</v>
      </c>
      <c r="J89" s="796">
        <v>4.7</v>
      </c>
      <c r="K89" s="222">
        <v>4.0</v>
      </c>
      <c r="L89" s="222">
        <v>32.0</v>
      </c>
      <c r="M89" s="222" t="s">
        <v>6437</v>
      </c>
      <c r="N89" s="222" t="s">
        <v>166</v>
      </c>
      <c r="O89" s="222" t="s">
        <v>3149</v>
      </c>
      <c r="P89" s="222">
        <v>3200.0</v>
      </c>
      <c r="Q89" s="222">
        <v>105.0</v>
      </c>
      <c r="R89" s="222" t="s">
        <v>174</v>
      </c>
      <c r="S89" s="797">
        <v>449.0</v>
      </c>
      <c r="T89" s="805" t="s">
        <v>166</v>
      </c>
      <c r="U89" s="389"/>
    </row>
    <row r="90">
      <c r="A90" s="241" t="s">
        <v>1664</v>
      </c>
      <c r="B90" s="389" t="s">
        <v>6412</v>
      </c>
      <c r="C90" s="807" t="s">
        <v>6486</v>
      </c>
      <c r="D90" s="222" t="s">
        <v>4946</v>
      </c>
      <c r="E90" s="222" t="s">
        <v>6471</v>
      </c>
      <c r="F90" s="222" t="s">
        <v>4659</v>
      </c>
      <c r="G90" s="222">
        <v>8.0</v>
      </c>
      <c r="H90" s="222">
        <v>16.0</v>
      </c>
      <c r="I90" s="796">
        <v>3.4</v>
      </c>
      <c r="J90" s="796">
        <v>4.5</v>
      </c>
      <c r="K90" s="222">
        <v>4.0</v>
      </c>
      <c r="L90" s="222">
        <v>96.0</v>
      </c>
      <c r="M90" s="222" t="s">
        <v>6437</v>
      </c>
      <c r="N90" s="222" t="s">
        <v>166</v>
      </c>
      <c r="O90" s="222" t="s">
        <v>3149</v>
      </c>
      <c r="P90" s="812">
        <v>3200.0</v>
      </c>
      <c r="Q90" s="222">
        <v>105.0</v>
      </c>
      <c r="R90" s="222" t="s">
        <v>166</v>
      </c>
      <c r="S90" s="224">
        <v>449.0</v>
      </c>
      <c r="T90" s="805" t="s">
        <v>166</v>
      </c>
      <c r="U90" s="389"/>
    </row>
    <row r="91">
      <c r="A91" s="241" t="s">
        <v>1664</v>
      </c>
      <c r="B91" s="389" t="s">
        <v>6448</v>
      </c>
      <c r="C91" s="807">
        <v>5900.0</v>
      </c>
      <c r="D91" s="222" t="s">
        <v>4946</v>
      </c>
      <c r="E91" s="222" t="s">
        <v>6471</v>
      </c>
      <c r="F91" s="222" t="s">
        <v>4659</v>
      </c>
      <c r="G91" s="222">
        <v>12.0</v>
      </c>
      <c r="H91" s="222">
        <v>24.0</v>
      </c>
      <c r="I91" s="796">
        <v>3.0</v>
      </c>
      <c r="J91" s="796">
        <v>4.7</v>
      </c>
      <c r="K91" s="222">
        <v>6.0</v>
      </c>
      <c r="L91" s="222">
        <v>64.0</v>
      </c>
      <c r="M91" s="222" t="s">
        <v>6437</v>
      </c>
      <c r="N91" s="222" t="s">
        <v>166</v>
      </c>
      <c r="O91" s="222" t="s">
        <v>3149</v>
      </c>
      <c r="P91" s="434">
        <v>3200.0</v>
      </c>
      <c r="Q91" s="222">
        <v>65.0</v>
      </c>
      <c r="R91" s="222" t="s">
        <v>174</v>
      </c>
      <c r="S91" s="224" t="s">
        <v>166</v>
      </c>
      <c r="T91" s="805" t="s">
        <v>166</v>
      </c>
      <c r="U91" s="389" t="s">
        <v>6423</v>
      </c>
    </row>
    <row r="92">
      <c r="A92" s="241" t="s">
        <v>1664</v>
      </c>
      <c r="B92" s="389" t="s">
        <v>6448</v>
      </c>
      <c r="C92" s="795" t="s">
        <v>6487</v>
      </c>
      <c r="D92" s="222" t="s">
        <v>4946</v>
      </c>
      <c r="E92" s="222" t="s">
        <v>6471</v>
      </c>
      <c r="F92" s="222" t="s">
        <v>4659</v>
      </c>
      <c r="G92" s="222">
        <v>12.0</v>
      </c>
      <c r="H92" s="222">
        <v>24.0</v>
      </c>
      <c r="I92" s="796">
        <v>3.7</v>
      </c>
      <c r="J92" s="796">
        <v>4.8</v>
      </c>
      <c r="K92" s="222">
        <v>6.0</v>
      </c>
      <c r="L92" s="222">
        <v>64.0</v>
      </c>
      <c r="M92" s="222" t="s">
        <v>6437</v>
      </c>
      <c r="N92" s="222" t="s">
        <v>166</v>
      </c>
      <c r="O92" s="813" t="s">
        <v>3149</v>
      </c>
      <c r="P92" s="434">
        <v>3200.0</v>
      </c>
      <c r="Q92" s="222">
        <v>105.0</v>
      </c>
      <c r="R92" s="222" t="s">
        <v>174</v>
      </c>
      <c r="S92" s="797">
        <v>549.0</v>
      </c>
      <c r="T92" s="805" t="s">
        <v>166</v>
      </c>
      <c r="U92" s="389"/>
    </row>
    <row r="93">
      <c r="A93" s="247" t="s">
        <v>1664</v>
      </c>
      <c r="B93" s="802" t="s">
        <v>6448</v>
      </c>
      <c r="C93" s="799" t="s">
        <v>6488</v>
      </c>
      <c r="D93" s="233" t="s">
        <v>4946</v>
      </c>
      <c r="E93" s="233" t="s">
        <v>6471</v>
      </c>
      <c r="F93" s="233" t="s">
        <v>4659</v>
      </c>
      <c r="G93" s="233">
        <v>16.0</v>
      </c>
      <c r="H93" s="233">
        <v>32.0</v>
      </c>
      <c r="I93" s="800">
        <v>3.4</v>
      </c>
      <c r="J93" s="800">
        <v>4.9</v>
      </c>
      <c r="K93" s="233">
        <v>8.0</v>
      </c>
      <c r="L93" s="233">
        <v>64.0</v>
      </c>
      <c r="M93" s="233" t="s">
        <v>6437</v>
      </c>
      <c r="N93" s="233" t="s">
        <v>166</v>
      </c>
      <c r="O93" s="814" t="s">
        <v>3149</v>
      </c>
      <c r="P93" s="815">
        <v>3200.0</v>
      </c>
      <c r="Q93" s="233">
        <v>105.0</v>
      </c>
      <c r="R93" s="233" t="s">
        <v>174</v>
      </c>
      <c r="S93" s="801">
        <v>799.0</v>
      </c>
      <c r="T93" s="806" t="s">
        <v>166</v>
      </c>
      <c r="U93" s="802"/>
    </row>
    <row r="94">
      <c r="A94" s="241" t="s">
        <v>1664</v>
      </c>
      <c r="B94" s="389" t="s">
        <v>6407</v>
      </c>
      <c r="C94" s="807" t="s">
        <v>6489</v>
      </c>
      <c r="D94" s="222" t="s">
        <v>5081</v>
      </c>
      <c r="E94" s="222" t="s">
        <v>6490</v>
      </c>
      <c r="F94" s="222" t="s">
        <v>4711</v>
      </c>
      <c r="G94" s="222">
        <v>6.0</v>
      </c>
      <c r="H94" s="222">
        <v>12.0</v>
      </c>
      <c r="I94" s="796">
        <v>3.7</v>
      </c>
      <c r="J94" s="796">
        <v>5.0</v>
      </c>
      <c r="K94" s="222">
        <v>6.0</v>
      </c>
      <c r="L94" s="222">
        <v>32.0</v>
      </c>
      <c r="M94" s="222" t="s">
        <v>6491</v>
      </c>
      <c r="N94" s="222" t="s">
        <v>166</v>
      </c>
      <c r="O94" s="222" t="s">
        <v>3151</v>
      </c>
      <c r="P94" s="222">
        <v>5200.0</v>
      </c>
      <c r="Q94" s="222">
        <v>65.0</v>
      </c>
      <c r="R94" s="222" t="s">
        <v>174</v>
      </c>
      <c r="S94" s="797">
        <v>179.0</v>
      </c>
      <c r="T94" s="805" t="s">
        <v>6402</v>
      </c>
      <c r="U94" s="389"/>
    </row>
    <row r="95">
      <c r="A95" s="241" t="s">
        <v>1664</v>
      </c>
      <c r="B95" s="389" t="s">
        <v>6407</v>
      </c>
      <c r="C95" s="807">
        <v>7600.0</v>
      </c>
      <c r="D95" s="222" t="s">
        <v>5081</v>
      </c>
      <c r="E95" s="222" t="s">
        <v>6490</v>
      </c>
      <c r="F95" s="222" t="s">
        <v>4711</v>
      </c>
      <c r="G95" s="222">
        <v>6.0</v>
      </c>
      <c r="H95" s="222">
        <v>12.0</v>
      </c>
      <c r="I95" s="796">
        <v>3.8</v>
      </c>
      <c r="J95" s="796">
        <v>5.1</v>
      </c>
      <c r="K95" s="222">
        <v>6.0</v>
      </c>
      <c r="L95" s="222">
        <v>32.0</v>
      </c>
      <c r="M95" s="222" t="s">
        <v>6491</v>
      </c>
      <c r="N95" s="222" t="s">
        <v>6492</v>
      </c>
      <c r="O95" s="222" t="s">
        <v>3151</v>
      </c>
      <c r="P95" s="222">
        <v>5200.0</v>
      </c>
      <c r="Q95" s="222">
        <v>65.0</v>
      </c>
      <c r="R95" s="222" t="s">
        <v>174</v>
      </c>
      <c r="S95" s="797">
        <v>229.0</v>
      </c>
      <c r="T95" s="805" t="s">
        <v>6402</v>
      </c>
      <c r="U95" s="389"/>
    </row>
    <row r="96">
      <c r="A96" s="241" t="s">
        <v>1664</v>
      </c>
      <c r="B96" s="389" t="s">
        <v>6407</v>
      </c>
      <c r="C96" s="807" t="s">
        <v>6493</v>
      </c>
      <c r="D96" s="222" t="s">
        <v>5081</v>
      </c>
      <c r="E96" s="222" t="s">
        <v>6490</v>
      </c>
      <c r="F96" s="222" t="s">
        <v>4711</v>
      </c>
      <c r="G96" s="222">
        <v>6.0</v>
      </c>
      <c r="H96" s="222">
        <v>12.0</v>
      </c>
      <c r="I96" s="796">
        <v>4.7</v>
      </c>
      <c r="J96" s="796">
        <v>5.3</v>
      </c>
      <c r="K96" s="222">
        <v>6.0</v>
      </c>
      <c r="L96" s="222">
        <v>32.0</v>
      </c>
      <c r="M96" s="222" t="s">
        <v>6491</v>
      </c>
      <c r="N96" s="222" t="s">
        <v>6492</v>
      </c>
      <c r="O96" s="222" t="s">
        <v>3151</v>
      </c>
      <c r="P96" s="222">
        <v>5200.0</v>
      </c>
      <c r="Q96" s="222">
        <v>105.0</v>
      </c>
      <c r="R96" s="222" t="s">
        <v>174</v>
      </c>
      <c r="S96" s="797">
        <v>299.0</v>
      </c>
      <c r="T96" s="805" t="s">
        <v>166</v>
      </c>
      <c r="U96" s="389"/>
    </row>
    <row r="97">
      <c r="A97" s="241" t="s">
        <v>1664</v>
      </c>
      <c r="B97" s="389" t="s">
        <v>6425</v>
      </c>
      <c r="C97" s="807">
        <v>7645.0</v>
      </c>
      <c r="D97" s="222" t="s">
        <v>5081</v>
      </c>
      <c r="E97" s="222" t="s">
        <v>6490</v>
      </c>
      <c r="F97" s="222" t="s">
        <v>4711</v>
      </c>
      <c r="G97" s="222">
        <v>6.0</v>
      </c>
      <c r="H97" s="222">
        <v>12.0</v>
      </c>
      <c r="I97" s="796">
        <v>3.8</v>
      </c>
      <c r="J97" s="796">
        <v>5.1</v>
      </c>
      <c r="K97" s="222">
        <v>6.0</v>
      </c>
      <c r="L97" s="222">
        <v>32.0</v>
      </c>
      <c r="M97" s="222" t="s">
        <v>6491</v>
      </c>
      <c r="N97" s="222" t="s">
        <v>6492</v>
      </c>
      <c r="O97" s="222" t="s">
        <v>3151</v>
      </c>
      <c r="P97" s="222">
        <v>5200.0</v>
      </c>
      <c r="Q97" s="222">
        <v>65.0</v>
      </c>
      <c r="R97" s="222" t="s">
        <v>166</v>
      </c>
      <c r="S97" s="797" t="s">
        <v>166</v>
      </c>
      <c r="T97" s="805" t="s">
        <v>166</v>
      </c>
      <c r="U97" s="389" t="s">
        <v>6423</v>
      </c>
    </row>
    <row r="98">
      <c r="A98" s="241" t="s">
        <v>1664</v>
      </c>
      <c r="B98" s="389" t="s">
        <v>6412</v>
      </c>
      <c r="C98" s="807">
        <v>7700.0</v>
      </c>
      <c r="D98" s="222" t="s">
        <v>5081</v>
      </c>
      <c r="E98" s="222" t="s">
        <v>6490</v>
      </c>
      <c r="F98" s="222" t="s">
        <v>4711</v>
      </c>
      <c r="G98" s="222">
        <v>8.0</v>
      </c>
      <c r="H98" s="222">
        <v>16.0</v>
      </c>
      <c r="I98" s="796">
        <v>3.8</v>
      </c>
      <c r="J98" s="796">
        <v>5.3</v>
      </c>
      <c r="K98" s="222">
        <v>8.0</v>
      </c>
      <c r="L98" s="222">
        <v>32.0</v>
      </c>
      <c r="M98" s="222" t="s">
        <v>6491</v>
      </c>
      <c r="N98" s="222" t="s">
        <v>6492</v>
      </c>
      <c r="O98" s="222" t="s">
        <v>3151</v>
      </c>
      <c r="P98" s="222">
        <v>5200.0</v>
      </c>
      <c r="Q98" s="222">
        <v>65.0</v>
      </c>
      <c r="R98" s="222" t="s">
        <v>174</v>
      </c>
      <c r="S98" s="797">
        <v>329.0</v>
      </c>
      <c r="T98" s="805" t="s">
        <v>6429</v>
      </c>
      <c r="U98" s="389"/>
    </row>
    <row r="99">
      <c r="A99" s="241" t="s">
        <v>1664</v>
      </c>
      <c r="B99" s="389" t="s">
        <v>6412</v>
      </c>
      <c r="C99" s="807" t="s">
        <v>6494</v>
      </c>
      <c r="D99" s="222" t="s">
        <v>5081</v>
      </c>
      <c r="E99" s="222" t="s">
        <v>6490</v>
      </c>
      <c r="F99" s="222" t="s">
        <v>4711</v>
      </c>
      <c r="G99" s="222">
        <v>8.0</v>
      </c>
      <c r="H99" s="222">
        <v>16.0</v>
      </c>
      <c r="I99" s="796">
        <v>4.5</v>
      </c>
      <c r="J99" s="796">
        <v>5.4</v>
      </c>
      <c r="K99" s="222">
        <v>8.0</v>
      </c>
      <c r="L99" s="222">
        <v>32.0</v>
      </c>
      <c r="M99" s="222" t="s">
        <v>6491</v>
      </c>
      <c r="N99" s="222" t="s">
        <v>6492</v>
      </c>
      <c r="O99" s="222" t="s">
        <v>3151</v>
      </c>
      <c r="P99" s="222">
        <v>5200.0</v>
      </c>
      <c r="Q99" s="222">
        <v>105.0</v>
      </c>
      <c r="R99" s="222" t="s">
        <v>174</v>
      </c>
      <c r="S99" s="797">
        <v>399.0</v>
      </c>
      <c r="T99" s="805" t="s">
        <v>166</v>
      </c>
      <c r="U99" s="389"/>
    </row>
    <row r="100">
      <c r="A100" s="241" t="s">
        <v>1664</v>
      </c>
      <c r="B100" s="389" t="s">
        <v>6445</v>
      </c>
      <c r="C100" s="807">
        <v>7745.0</v>
      </c>
      <c r="D100" s="222" t="s">
        <v>5081</v>
      </c>
      <c r="E100" s="222" t="s">
        <v>6490</v>
      </c>
      <c r="F100" s="222" t="s">
        <v>4711</v>
      </c>
      <c r="G100" s="222">
        <v>8.0</v>
      </c>
      <c r="H100" s="222">
        <v>16.0</v>
      </c>
      <c r="I100" s="796">
        <v>4.5</v>
      </c>
      <c r="J100" s="796">
        <v>5.4</v>
      </c>
      <c r="K100" s="222">
        <v>8.0</v>
      </c>
      <c r="L100" s="222">
        <v>32.0</v>
      </c>
      <c r="M100" s="222" t="s">
        <v>6491</v>
      </c>
      <c r="N100" s="222" t="s">
        <v>6492</v>
      </c>
      <c r="O100" s="222" t="s">
        <v>3151</v>
      </c>
      <c r="P100" s="222">
        <v>5200.0</v>
      </c>
      <c r="Q100" s="222">
        <v>65.0</v>
      </c>
      <c r="R100" s="222" t="s">
        <v>166</v>
      </c>
      <c r="S100" s="797" t="s">
        <v>166</v>
      </c>
      <c r="T100" s="805" t="s">
        <v>166</v>
      </c>
      <c r="U100" s="389" t="s">
        <v>6423</v>
      </c>
    </row>
    <row r="101">
      <c r="A101" s="241" t="s">
        <v>1664</v>
      </c>
      <c r="B101" s="389" t="s">
        <v>6412</v>
      </c>
      <c r="C101" s="807" t="s">
        <v>6495</v>
      </c>
      <c r="D101" s="222" t="s">
        <v>5081</v>
      </c>
      <c r="E101" s="222" t="s">
        <v>6490</v>
      </c>
      <c r="F101" s="222" t="s">
        <v>4711</v>
      </c>
      <c r="G101" s="222">
        <v>8.0</v>
      </c>
      <c r="H101" s="222">
        <v>16.0</v>
      </c>
      <c r="I101" s="796">
        <v>4.2</v>
      </c>
      <c r="J101" s="796">
        <v>5.0</v>
      </c>
      <c r="K101" s="222">
        <v>8.0</v>
      </c>
      <c r="L101" s="222">
        <v>96.0</v>
      </c>
      <c r="M101" s="222" t="s">
        <v>6491</v>
      </c>
      <c r="N101" s="222" t="s">
        <v>6492</v>
      </c>
      <c r="O101" s="222" t="s">
        <v>3151</v>
      </c>
      <c r="P101" s="222">
        <v>5200.0</v>
      </c>
      <c r="Q101" s="222">
        <v>120.0</v>
      </c>
      <c r="R101" s="222" t="s">
        <v>174</v>
      </c>
      <c r="S101" s="797">
        <v>449.0</v>
      </c>
      <c r="T101" s="805" t="s">
        <v>166</v>
      </c>
      <c r="U101" s="389"/>
    </row>
    <row r="102">
      <c r="A102" s="241" t="s">
        <v>1664</v>
      </c>
      <c r="B102" s="389" t="s">
        <v>6448</v>
      </c>
      <c r="C102" s="807">
        <v>7900.0</v>
      </c>
      <c r="D102" s="222" t="s">
        <v>5081</v>
      </c>
      <c r="E102" s="222" t="s">
        <v>6490</v>
      </c>
      <c r="F102" s="222" t="s">
        <v>4711</v>
      </c>
      <c r="G102" s="222">
        <v>12.0</v>
      </c>
      <c r="H102" s="222">
        <v>24.0</v>
      </c>
      <c r="I102" s="796">
        <v>3.7</v>
      </c>
      <c r="J102" s="796">
        <v>5.4</v>
      </c>
      <c r="K102" s="222">
        <v>12.0</v>
      </c>
      <c r="L102" s="222">
        <v>64.0</v>
      </c>
      <c r="M102" s="222" t="s">
        <v>6491</v>
      </c>
      <c r="N102" s="222" t="s">
        <v>6492</v>
      </c>
      <c r="O102" s="222" t="s">
        <v>3151</v>
      </c>
      <c r="P102" s="222">
        <v>5200.0</v>
      </c>
      <c r="Q102" s="222">
        <v>65.0</v>
      </c>
      <c r="R102" s="222" t="s">
        <v>174</v>
      </c>
      <c r="S102" s="797">
        <v>429.0</v>
      </c>
      <c r="T102" s="805" t="s">
        <v>6429</v>
      </c>
      <c r="U102" s="389"/>
    </row>
    <row r="103">
      <c r="A103" s="241" t="s">
        <v>1664</v>
      </c>
      <c r="B103" s="389" t="s">
        <v>6448</v>
      </c>
      <c r="C103" s="807" t="s">
        <v>6496</v>
      </c>
      <c r="D103" s="222" t="s">
        <v>5081</v>
      </c>
      <c r="E103" s="222" t="s">
        <v>6490</v>
      </c>
      <c r="F103" s="222" t="s">
        <v>4711</v>
      </c>
      <c r="G103" s="222">
        <v>12.0</v>
      </c>
      <c r="H103" s="222">
        <v>24.0</v>
      </c>
      <c r="I103" s="796">
        <v>4.7</v>
      </c>
      <c r="J103" s="796">
        <v>5.6</v>
      </c>
      <c r="K103" s="222">
        <v>12.0</v>
      </c>
      <c r="L103" s="222">
        <v>64.0</v>
      </c>
      <c r="M103" s="222" t="s">
        <v>6491</v>
      </c>
      <c r="N103" s="222" t="s">
        <v>6492</v>
      </c>
      <c r="O103" s="222" t="s">
        <v>3151</v>
      </c>
      <c r="P103" s="222">
        <v>5200.0</v>
      </c>
      <c r="Q103" s="222">
        <v>170.0</v>
      </c>
      <c r="R103" s="222" t="s">
        <v>174</v>
      </c>
      <c r="S103" s="797">
        <v>549.0</v>
      </c>
      <c r="T103" s="805" t="s">
        <v>166</v>
      </c>
      <c r="U103" s="389"/>
    </row>
    <row r="104">
      <c r="A104" s="241" t="s">
        <v>1664</v>
      </c>
      <c r="B104" s="389" t="s">
        <v>6448</v>
      </c>
      <c r="C104" s="807" t="s">
        <v>6497</v>
      </c>
      <c r="D104" s="222" t="s">
        <v>5081</v>
      </c>
      <c r="E104" s="222" t="s">
        <v>6490</v>
      </c>
      <c r="F104" s="222" t="s">
        <v>4711</v>
      </c>
      <c r="G104" s="222">
        <v>12.0</v>
      </c>
      <c r="H104" s="222">
        <v>24.0</v>
      </c>
      <c r="I104" s="796">
        <v>4.4</v>
      </c>
      <c r="J104" s="796">
        <v>5.6</v>
      </c>
      <c r="K104" s="222">
        <v>12.0</v>
      </c>
      <c r="L104" s="222">
        <v>128.0</v>
      </c>
      <c r="M104" s="222" t="s">
        <v>6491</v>
      </c>
      <c r="N104" s="222" t="s">
        <v>6492</v>
      </c>
      <c r="O104" s="222" t="s">
        <v>3151</v>
      </c>
      <c r="P104" s="222">
        <v>5200.0</v>
      </c>
      <c r="Q104" s="222">
        <v>120.0</v>
      </c>
      <c r="R104" s="222" t="s">
        <v>174</v>
      </c>
      <c r="S104" s="797">
        <v>599.0</v>
      </c>
      <c r="T104" s="805" t="s">
        <v>166</v>
      </c>
      <c r="U104" s="389"/>
    </row>
    <row r="105">
      <c r="A105" s="241" t="s">
        <v>1664</v>
      </c>
      <c r="B105" s="389" t="s">
        <v>6447</v>
      </c>
      <c r="C105" s="807">
        <v>7945.0</v>
      </c>
      <c r="D105" s="222" t="s">
        <v>5081</v>
      </c>
      <c r="E105" s="222" t="s">
        <v>6490</v>
      </c>
      <c r="F105" s="222" t="s">
        <v>4711</v>
      </c>
      <c r="G105" s="222">
        <v>12.0</v>
      </c>
      <c r="H105" s="222">
        <v>24.0</v>
      </c>
      <c r="I105" s="796">
        <v>3.7</v>
      </c>
      <c r="J105" s="796">
        <v>5.4</v>
      </c>
      <c r="K105" s="222">
        <v>12.0</v>
      </c>
      <c r="L105" s="222">
        <v>64.0</v>
      </c>
      <c r="M105" s="222" t="s">
        <v>6491</v>
      </c>
      <c r="N105" s="222" t="s">
        <v>6492</v>
      </c>
      <c r="O105" s="222" t="s">
        <v>3151</v>
      </c>
      <c r="P105" s="222">
        <v>5200.0</v>
      </c>
      <c r="Q105" s="222">
        <v>65.0</v>
      </c>
      <c r="R105" s="222" t="s">
        <v>166</v>
      </c>
      <c r="S105" s="797" t="s">
        <v>166</v>
      </c>
      <c r="T105" s="805" t="s">
        <v>166</v>
      </c>
      <c r="U105" s="389" t="s">
        <v>6423</v>
      </c>
    </row>
    <row r="106">
      <c r="A106" s="241" t="s">
        <v>1664</v>
      </c>
      <c r="B106" s="389" t="s">
        <v>6448</v>
      </c>
      <c r="C106" s="807" t="s">
        <v>6498</v>
      </c>
      <c r="D106" s="222" t="s">
        <v>5081</v>
      </c>
      <c r="E106" s="222" t="s">
        <v>6490</v>
      </c>
      <c r="F106" s="222" t="s">
        <v>4711</v>
      </c>
      <c r="G106" s="222">
        <v>16.0</v>
      </c>
      <c r="H106" s="222">
        <v>32.0</v>
      </c>
      <c r="I106" s="796">
        <v>4.5</v>
      </c>
      <c r="J106" s="796">
        <v>5.7</v>
      </c>
      <c r="K106" s="222">
        <v>16.0</v>
      </c>
      <c r="L106" s="222">
        <v>64.0</v>
      </c>
      <c r="M106" s="222" t="s">
        <v>6491</v>
      </c>
      <c r="N106" s="222" t="s">
        <v>6492</v>
      </c>
      <c r="O106" s="222" t="s">
        <v>3151</v>
      </c>
      <c r="P106" s="222">
        <v>5200.0</v>
      </c>
      <c r="Q106" s="222">
        <v>170.0</v>
      </c>
      <c r="R106" s="222" t="s">
        <v>174</v>
      </c>
      <c r="S106" s="797">
        <v>699.0</v>
      </c>
      <c r="T106" s="805" t="s">
        <v>166</v>
      </c>
      <c r="U106" s="389"/>
    </row>
    <row r="107">
      <c r="A107" s="247" t="s">
        <v>1664</v>
      </c>
      <c r="B107" s="802" t="s">
        <v>6448</v>
      </c>
      <c r="C107" s="816" t="s">
        <v>6499</v>
      </c>
      <c r="D107" s="233" t="s">
        <v>5081</v>
      </c>
      <c r="E107" s="233" t="s">
        <v>6490</v>
      </c>
      <c r="F107" s="233" t="s">
        <v>4711</v>
      </c>
      <c r="G107" s="233">
        <v>16.0</v>
      </c>
      <c r="H107" s="233">
        <v>32.0</v>
      </c>
      <c r="I107" s="800">
        <v>4.2</v>
      </c>
      <c r="J107" s="800">
        <v>5.7</v>
      </c>
      <c r="K107" s="233">
        <v>16.0</v>
      </c>
      <c r="L107" s="233">
        <v>128.0</v>
      </c>
      <c r="M107" s="233" t="s">
        <v>6491</v>
      </c>
      <c r="N107" s="233" t="s">
        <v>6492</v>
      </c>
      <c r="O107" s="233" t="s">
        <v>3151</v>
      </c>
      <c r="P107" s="233">
        <v>5200.0</v>
      </c>
      <c r="Q107" s="233">
        <v>120.0</v>
      </c>
      <c r="R107" s="233" t="s">
        <v>174</v>
      </c>
      <c r="S107" s="801">
        <v>699.0</v>
      </c>
      <c r="T107" s="806" t="s">
        <v>166</v>
      </c>
      <c r="U107" s="802"/>
    </row>
    <row r="108">
      <c r="A108" s="241" t="s">
        <v>1664</v>
      </c>
      <c r="B108" s="389" t="s">
        <v>6398</v>
      </c>
      <c r="C108" s="795" t="s">
        <v>6500</v>
      </c>
      <c r="D108" s="222" t="s">
        <v>5081</v>
      </c>
      <c r="E108" s="222" t="s">
        <v>6501</v>
      </c>
      <c r="F108" s="222" t="s">
        <v>6502</v>
      </c>
      <c r="G108" s="222">
        <v>4.0</v>
      </c>
      <c r="H108" s="222">
        <v>8.0</v>
      </c>
      <c r="I108" s="796">
        <v>3.4</v>
      </c>
      <c r="J108" s="796">
        <v>4.9</v>
      </c>
      <c r="K108" s="222">
        <v>4.0</v>
      </c>
      <c r="L108" s="222">
        <v>8.0</v>
      </c>
      <c r="M108" s="222" t="s">
        <v>6503</v>
      </c>
      <c r="N108" s="222" t="s">
        <v>6504</v>
      </c>
      <c r="O108" s="222" t="s">
        <v>3151</v>
      </c>
      <c r="P108" s="222">
        <v>5200.0</v>
      </c>
      <c r="Q108" s="222">
        <v>65.0</v>
      </c>
      <c r="R108" s="222" t="s">
        <v>174</v>
      </c>
      <c r="S108" s="797" t="s">
        <v>166</v>
      </c>
      <c r="T108" s="389" t="s">
        <v>166</v>
      </c>
      <c r="U108" s="389" t="s">
        <v>6423</v>
      </c>
    </row>
    <row r="109">
      <c r="A109" s="241" t="s">
        <v>1664</v>
      </c>
      <c r="B109" s="389" t="s">
        <v>6407</v>
      </c>
      <c r="C109" s="795" t="s">
        <v>6505</v>
      </c>
      <c r="D109" s="222" t="s">
        <v>5081</v>
      </c>
      <c r="E109" s="222" t="s">
        <v>6506</v>
      </c>
      <c r="F109" s="222" t="s">
        <v>6502</v>
      </c>
      <c r="G109" s="222">
        <v>6.0</v>
      </c>
      <c r="H109" s="222">
        <v>12.0</v>
      </c>
      <c r="I109" s="796">
        <v>4.2</v>
      </c>
      <c r="J109" s="796">
        <v>4.7</v>
      </c>
      <c r="K109" s="222">
        <v>6.0</v>
      </c>
      <c r="L109" s="222">
        <v>16.0</v>
      </c>
      <c r="M109" s="222" t="s">
        <v>6507</v>
      </c>
      <c r="N109" s="222" t="s">
        <v>166</v>
      </c>
      <c r="O109" s="222" t="s">
        <v>3151</v>
      </c>
      <c r="P109" s="222">
        <v>5200.0</v>
      </c>
      <c r="Q109" s="222">
        <v>65.0</v>
      </c>
      <c r="R109" s="222" t="s">
        <v>174</v>
      </c>
      <c r="S109" s="797">
        <v>169.0</v>
      </c>
      <c r="T109" s="389" t="s">
        <v>6402</v>
      </c>
      <c r="U109" s="389"/>
    </row>
    <row r="110">
      <c r="A110" s="241" t="s">
        <v>1664</v>
      </c>
      <c r="B110" s="389" t="s">
        <v>6407</v>
      </c>
      <c r="C110" s="795" t="s">
        <v>6508</v>
      </c>
      <c r="D110" s="222" t="s">
        <v>5081</v>
      </c>
      <c r="E110" s="222" t="s">
        <v>6501</v>
      </c>
      <c r="F110" s="222" t="s">
        <v>6502</v>
      </c>
      <c r="G110" s="222">
        <v>6.0</v>
      </c>
      <c r="H110" s="222">
        <v>12.0</v>
      </c>
      <c r="I110" s="796">
        <v>3.5</v>
      </c>
      <c r="J110" s="796">
        <v>5.0</v>
      </c>
      <c r="K110" s="222">
        <v>6.0</v>
      </c>
      <c r="L110" s="222">
        <v>16.0</v>
      </c>
      <c r="M110" s="222" t="s">
        <v>6503</v>
      </c>
      <c r="N110" s="222" t="s">
        <v>6504</v>
      </c>
      <c r="O110" s="222" t="s">
        <v>3151</v>
      </c>
      <c r="P110" s="222">
        <v>5200.0</v>
      </c>
      <c r="Q110" s="222">
        <v>65.0</v>
      </c>
      <c r="R110" s="222" t="s">
        <v>174</v>
      </c>
      <c r="S110" s="797">
        <v>179.0</v>
      </c>
      <c r="T110" s="389" t="s">
        <v>6402</v>
      </c>
      <c r="U110" s="389"/>
    </row>
    <row r="111">
      <c r="A111" s="241" t="s">
        <v>1664</v>
      </c>
      <c r="B111" s="389" t="s">
        <v>6407</v>
      </c>
      <c r="C111" s="795" t="s">
        <v>6509</v>
      </c>
      <c r="D111" s="222" t="s">
        <v>5081</v>
      </c>
      <c r="E111" s="222" t="s">
        <v>6506</v>
      </c>
      <c r="F111" s="222" t="s">
        <v>6502</v>
      </c>
      <c r="G111" s="222">
        <v>6.0</v>
      </c>
      <c r="H111" s="222">
        <v>12.0</v>
      </c>
      <c r="I111" s="796">
        <v>4.35</v>
      </c>
      <c r="J111" s="796">
        <v>5.0</v>
      </c>
      <c r="K111" s="222">
        <v>6.0</v>
      </c>
      <c r="L111" s="222">
        <v>16.0</v>
      </c>
      <c r="M111" s="222" t="s">
        <v>6507</v>
      </c>
      <c r="N111" s="222" t="s">
        <v>6510</v>
      </c>
      <c r="O111" s="222" t="s">
        <v>3151</v>
      </c>
      <c r="P111" s="222">
        <v>5200.0</v>
      </c>
      <c r="Q111" s="222">
        <v>65.0</v>
      </c>
      <c r="R111" s="222" t="s">
        <v>174</v>
      </c>
      <c r="S111" s="797">
        <v>229.0</v>
      </c>
      <c r="T111" s="389" t="s">
        <v>6409</v>
      </c>
      <c r="U111" s="389"/>
    </row>
    <row r="112">
      <c r="A112" s="241" t="s">
        <v>1664</v>
      </c>
      <c r="B112" s="389" t="s">
        <v>6412</v>
      </c>
      <c r="C112" s="795" t="s">
        <v>6511</v>
      </c>
      <c r="D112" s="222" t="s">
        <v>5081</v>
      </c>
      <c r="E112" s="222" t="s">
        <v>6506</v>
      </c>
      <c r="F112" s="222" t="s">
        <v>6502</v>
      </c>
      <c r="G112" s="222">
        <v>8.0</v>
      </c>
      <c r="H112" s="222">
        <v>16.0</v>
      </c>
      <c r="I112" s="796">
        <v>4.1</v>
      </c>
      <c r="J112" s="796">
        <v>5.0</v>
      </c>
      <c r="K112" s="222">
        <v>8.0</v>
      </c>
      <c r="L112" s="222">
        <v>16.0</v>
      </c>
      <c r="M112" s="222" t="s">
        <v>6507</v>
      </c>
      <c r="N112" s="222" t="s">
        <v>166</v>
      </c>
      <c r="O112" s="222" t="s">
        <v>3151</v>
      </c>
      <c r="P112" s="222">
        <v>5200.0</v>
      </c>
      <c r="Q112" s="222">
        <v>65.0</v>
      </c>
      <c r="R112" s="222" t="s">
        <v>174</v>
      </c>
      <c r="S112" s="797">
        <v>269.0</v>
      </c>
      <c r="T112" s="389" t="s">
        <v>6402</v>
      </c>
      <c r="U112" s="389"/>
    </row>
    <row r="113">
      <c r="A113" s="247" t="s">
        <v>1664</v>
      </c>
      <c r="B113" s="802" t="s">
        <v>6412</v>
      </c>
      <c r="C113" s="799" t="s">
        <v>6512</v>
      </c>
      <c r="D113" s="233" t="s">
        <v>5081</v>
      </c>
      <c r="E113" s="233" t="s">
        <v>6506</v>
      </c>
      <c r="F113" s="233" t="s">
        <v>6502</v>
      </c>
      <c r="G113" s="233">
        <v>8.0</v>
      </c>
      <c r="H113" s="233">
        <v>16.0</v>
      </c>
      <c r="I113" s="800">
        <v>4.2</v>
      </c>
      <c r="J113" s="800">
        <v>5.1</v>
      </c>
      <c r="K113" s="233">
        <v>8.0</v>
      </c>
      <c r="L113" s="233">
        <v>16.0</v>
      </c>
      <c r="M113" s="233" t="s">
        <v>6507</v>
      </c>
      <c r="N113" s="233" t="s">
        <v>6513</v>
      </c>
      <c r="O113" s="233" t="s">
        <v>3151</v>
      </c>
      <c r="P113" s="233">
        <v>5200.0</v>
      </c>
      <c r="Q113" s="233">
        <v>65.0</v>
      </c>
      <c r="R113" s="233" t="s">
        <v>174</v>
      </c>
      <c r="S113" s="801">
        <v>329.0</v>
      </c>
      <c r="T113" s="802" t="s">
        <v>6409</v>
      </c>
      <c r="U113" s="802"/>
    </row>
    <row r="114">
      <c r="A114" s="241" t="s">
        <v>1664</v>
      </c>
      <c r="B114" s="389" t="s">
        <v>6407</v>
      </c>
      <c r="C114" s="795" t="s">
        <v>6514</v>
      </c>
      <c r="D114" s="222" t="s">
        <v>5081</v>
      </c>
      <c r="E114" s="222" t="s">
        <v>6515</v>
      </c>
      <c r="F114" s="222" t="s">
        <v>6502</v>
      </c>
      <c r="G114" s="222">
        <v>6.0</v>
      </c>
      <c r="H114" s="222">
        <v>12.0</v>
      </c>
      <c r="I114" s="796">
        <v>3.9</v>
      </c>
      <c r="J114" s="796">
        <v>5.4</v>
      </c>
      <c r="K114" s="222">
        <v>6.0</v>
      </c>
      <c r="L114" s="222">
        <v>32.0</v>
      </c>
      <c r="M114" s="222" t="s">
        <v>6491</v>
      </c>
      <c r="N114" s="222" t="s">
        <v>6492</v>
      </c>
      <c r="O114" s="222" t="s">
        <v>3151</v>
      </c>
      <c r="P114" s="222">
        <v>5600.0</v>
      </c>
      <c r="Q114" s="222">
        <v>65.0</v>
      </c>
      <c r="R114" s="222" t="s">
        <v>174</v>
      </c>
      <c r="S114" s="797" t="s">
        <v>170</v>
      </c>
      <c r="T114" s="389" t="s">
        <v>166</v>
      </c>
      <c r="U114" s="389"/>
    </row>
    <row r="115">
      <c r="A115" s="241" t="s">
        <v>1664</v>
      </c>
      <c r="B115" s="389" t="s">
        <v>6412</v>
      </c>
      <c r="C115" s="795" t="s">
        <v>6516</v>
      </c>
      <c r="D115" s="222" t="s">
        <v>5081</v>
      </c>
      <c r="E115" s="222" t="s">
        <v>6515</v>
      </c>
      <c r="F115" s="222" t="s">
        <v>6502</v>
      </c>
      <c r="G115" s="222">
        <v>8.0</v>
      </c>
      <c r="H115" s="222">
        <v>16.0</v>
      </c>
      <c r="I115" s="796">
        <v>3.8</v>
      </c>
      <c r="J115" s="796">
        <v>5.5</v>
      </c>
      <c r="K115" s="222">
        <v>8.0</v>
      </c>
      <c r="L115" s="222">
        <v>32.0</v>
      </c>
      <c r="M115" s="222" t="s">
        <v>6491</v>
      </c>
      <c r="N115" s="222" t="s">
        <v>6492</v>
      </c>
      <c r="O115" s="222" t="s">
        <v>3151</v>
      </c>
      <c r="P115" s="222">
        <v>5600.0</v>
      </c>
      <c r="Q115" s="222">
        <v>65.0</v>
      </c>
      <c r="R115" s="222" t="s">
        <v>174</v>
      </c>
      <c r="S115" s="797" t="s">
        <v>170</v>
      </c>
      <c r="T115" s="389" t="s">
        <v>166</v>
      </c>
      <c r="U115" s="389"/>
    </row>
    <row r="116">
      <c r="A116" s="241" t="s">
        <v>1664</v>
      </c>
      <c r="B116" s="389" t="s">
        <v>6448</v>
      </c>
      <c r="C116" s="795" t="s">
        <v>6517</v>
      </c>
      <c r="D116" s="222" t="s">
        <v>5081</v>
      </c>
      <c r="E116" s="222" t="s">
        <v>6515</v>
      </c>
      <c r="F116" s="222" t="s">
        <v>6502</v>
      </c>
      <c r="G116" s="222">
        <v>12.0</v>
      </c>
      <c r="H116" s="222">
        <v>24.0</v>
      </c>
      <c r="I116" s="796">
        <v>4.4</v>
      </c>
      <c r="J116" s="796">
        <v>5.6</v>
      </c>
      <c r="K116" s="222">
        <v>12.0</v>
      </c>
      <c r="L116" s="222">
        <v>64.0</v>
      </c>
      <c r="M116" s="222" t="s">
        <v>6491</v>
      </c>
      <c r="N116" s="222" t="s">
        <v>6492</v>
      </c>
      <c r="O116" s="222" t="s">
        <v>3151</v>
      </c>
      <c r="P116" s="222">
        <v>5600.0</v>
      </c>
      <c r="Q116" s="222">
        <v>120.0</v>
      </c>
      <c r="R116" s="222" t="s">
        <v>174</v>
      </c>
      <c r="S116" s="797" t="s">
        <v>170</v>
      </c>
      <c r="T116" s="389" t="s">
        <v>166</v>
      </c>
      <c r="U116" s="389"/>
    </row>
    <row r="117">
      <c r="A117" s="247" t="s">
        <v>1664</v>
      </c>
      <c r="B117" s="802" t="s">
        <v>6448</v>
      </c>
      <c r="C117" s="799" t="s">
        <v>6518</v>
      </c>
      <c r="D117" s="233" t="s">
        <v>5081</v>
      </c>
      <c r="E117" s="233" t="s">
        <v>6515</v>
      </c>
      <c r="F117" s="233" t="s">
        <v>6502</v>
      </c>
      <c r="G117" s="233">
        <v>16.0</v>
      </c>
      <c r="H117" s="233">
        <v>32.0</v>
      </c>
      <c r="I117" s="800">
        <v>4.3</v>
      </c>
      <c r="J117" s="800">
        <v>5.7</v>
      </c>
      <c r="K117" s="233">
        <v>16.0</v>
      </c>
      <c r="L117" s="233">
        <v>64.0</v>
      </c>
      <c r="M117" s="233" t="s">
        <v>6491</v>
      </c>
      <c r="N117" s="233" t="s">
        <v>6492</v>
      </c>
      <c r="O117" s="233" t="s">
        <v>3151</v>
      </c>
      <c r="P117" s="233">
        <v>5600.0</v>
      </c>
      <c r="Q117" s="233">
        <v>170.0</v>
      </c>
      <c r="R117" s="233" t="s">
        <v>174</v>
      </c>
      <c r="S117" s="801" t="s">
        <v>170</v>
      </c>
      <c r="T117" s="802" t="s">
        <v>166</v>
      </c>
      <c r="U117" s="802"/>
    </row>
    <row r="118">
      <c r="A118" s="241" t="s">
        <v>1688</v>
      </c>
      <c r="B118" s="389" t="s">
        <v>6519</v>
      </c>
      <c r="C118" s="795" t="str">
        <f>HYPERLINK("https://ark.intel.com/content/www/us/en/ark/products/90738/intel-celeron-processor-g3900t-2m-cache-2-60-ghz.html","G3900T")</f>
        <v>G3900T</v>
      </c>
      <c r="D118" s="222" t="s">
        <v>5131</v>
      </c>
      <c r="E118" s="222" t="s">
        <v>6520</v>
      </c>
      <c r="F118" s="222" t="s">
        <v>6521</v>
      </c>
      <c r="G118" s="222">
        <v>2.0</v>
      </c>
      <c r="H118" s="222">
        <v>2.0</v>
      </c>
      <c r="I118" s="796">
        <v>2.6</v>
      </c>
      <c r="J118" s="796" t="s">
        <v>166</v>
      </c>
      <c r="K118" s="222">
        <v>0.5</v>
      </c>
      <c r="L118" s="222">
        <v>2.0</v>
      </c>
      <c r="M118" s="222" t="s">
        <v>6522</v>
      </c>
      <c r="N118" s="222" t="s">
        <v>6523</v>
      </c>
      <c r="O118" s="222" t="s">
        <v>3149</v>
      </c>
      <c r="P118" s="222">
        <v>2133.0</v>
      </c>
      <c r="Q118" s="222">
        <v>35.0</v>
      </c>
      <c r="R118" s="222" t="s">
        <v>166</v>
      </c>
      <c r="S118" s="797">
        <v>42.0</v>
      </c>
      <c r="T118" s="389" t="s">
        <v>166</v>
      </c>
      <c r="U118" s="389" t="s">
        <v>6423</v>
      </c>
    </row>
    <row r="119">
      <c r="A119" s="241" t="s">
        <v>1688</v>
      </c>
      <c r="B119" s="389" t="s">
        <v>6519</v>
      </c>
      <c r="C119" s="795" t="str">
        <f>HYPERLINK("https://ark.intel.com/content/www/us/en/ark/products/90741/intel-celeron-processor-g3900-2m-cache-2-80-ghz.html","G3900")</f>
        <v>G3900</v>
      </c>
      <c r="D119" s="222" t="s">
        <v>5131</v>
      </c>
      <c r="E119" s="222" t="s">
        <v>6520</v>
      </c>
      <c r="F119" s="222" t="s">
        <v>6521</v>
      </c>
      <c r="G119" s="222">
        <v>2.0</v>
      </c>
      <c r="H119" s="222">
        <v>2.0</v>
      </c>
      <c r="I119" s="796">
        <v>2.8</v>
      </c>
      <c r="J119" s="796" t="s">
        <v>166</v>
      </c>
      <c r="K119" s="222">
        <v>0.5</v>
      </c>
      <c r="L119" s="222">
        <v>2.0</v>
      </c>
      <c r="M119" s="222" t="s">
        <v>6522</v>
      </c>
      <c r="N119" s="222" t="s">
        <v>6523</v>
      </c>
      <c r="O119" s="222" t="s">
        <v>3149</v>
      </c>
      <c r="P119" s="222">
        <v>2133.0</v>
      </c>
      <c r="Q119" s="222">
        <v>51.0</v>
      </c>
      <c r="R119" s="222" t="s">
        <v>166</v>
      </c>
      <c r="S119" s="797">
        <v>42.0</v>
      </c>
      <c r="T119" s="389" t="s">
        <v>6524</v>
      </c>
      <c r="U119" s="389"/>
    </row>
    <row r="120">
      <c r="A120" s="241" t="s">
        <v>1688</v>
      </c>
      <c r="B120" s="389" t="s">
        <v>6519</v>
      </c>
      <c r="C120" s="795" t="str">
        <f>HYPERLINK("https://ark.intel.com/content/www/us/en/ark/products/90737/intel-celeron-processor-g3920-2m-cache-2-90-ghz.html","G3920")</f>
        <v>G3920</v>
      </c>
      <c r="D120" s="222" t="s">
        <v>5131</v>
      </c>
      <c r="E120" s="222" t="s">
        <v>6520</v>
      </c>
      <c r="F120" s="222" t="s">
        <v>6521</v>
      </c>
      <c r="G120" s="222">
        <v>2.0</v>
      </c>
      <c r="H120" s="222">
        <v>2.0</v>
      </c>
      <c r="I120" s="796">
        <v>2.9</v>
      </c>
      <c r="J120" s="796" t="s">
        <v>166</v>
      </c>
      <c r="K120" s="222">
        <v>0.5</v>
      </c>
      <c r="L120" s="222">
        <v>2.0</v>
      </c>
      <c r="M120" s="222" t="s">
        <v>6522</v>
      </c>
      <c r="N120" s="222" t="s">
        <v>6523</v>
      </c>
      <c r="O120" s="222" t="s">
        <v>3149</v>
      </c>
      <c r="P120" s="222">
        <v>2133.0</v>
      </c>
      <c r="Q120" s="222">
        <v>51.0</v>
      </c>
      <c r="R120" s="222" t="s">
        <v>166</v>
      </c>
      <c r="S120" s="797">
        <v>52.0</v>
      </c>
      <c r="T120" s="389" t="s">
        <v>6524</v>
      </c>
      <c r="U120" s="389"/>
    </row>
    <row r="121">
      <c r="A121" s="241" t="s">
        <v>1688</v>
      </c>
      <c r="B121" s="389" t="s">
        <v>6525</v>
      </c>
      <c r="C121" s="795" t="str">
        <f>HYPERLINK("https://ark.intel.com/content/www/us/en/ark/products/90614/intel-pentium-processor-g4400t-3m-cache-2-90-ghz.html","G4400T")</f>
        <v>G4400T</v>
      </c>
      <c r="D121" s="222" t="s">
        <v>5131</v>
      </c>
      <c r="E121" s="222" t="s">
        <v>6520</v>
      </c>
      <c r="F121" s="222" t="s">
        <v>6521</v>
      </c>
      <c r="G121" s="222">
        <v>2.0</v>
      </c>
      <c r="H121" s="222">
        <v>2.0</v>
      </c>
      <c r="I121" s="796">
        <v>2.9</v>
      </c>
      <c r="J121" s="796" t="s">
        <v>166</v>
      </c>
      <c r="K121" s="222">
        <v>0.5</v>
      </c>
      <c r="L121" s="222">
        <v>3.0</v>
      </c>
      <c r="M121" s="222" t="s">
        <v>6522</v>
      </c>
      <c r="N121" s="222" t="s">
        <v>6523</v>
      </c>
      <c r="O121" s="222" t="s">
        <v>3149</v>
      </c>
      <c r="P121" s="222">
        <v>2133.0</v>
      </c>
      <c r="Q121" s="222">
        <v>35.0</v>
      </c>
      <c r="R121" s="222" t="s">
        <v>166</v>
      </c>
      <c r="S121" s="797">
        <v>64.0</v>
      </c>
      <c r="T121" s="389" t="s">
        <v>166</v>
      </c>
      <c r="U121" s="389" t="s">
        <v>6423</v>
      </c>
    </row>
    <row r="122">
      <c r="A122" s="241" t="s">
        <v>1688</v>
      </c>
      <c r="B122" s="389" t="s">
        <v>6525</v>
      </c>
      <c r="C122" s="795" t="str">
        <f>HYPERLINK("https://ark.intel.com/content/www/us/en/ark/products/88179/intel-pentium-processor-g4400-3m-cache-3-30-ghz.html","G4400")</f>
        <v>G4400</v>
      </c>
      <c r="D122" s="222" t="s">
        <v>5131</v>
      </c>
      <c r="E122" s="222" t="s">
        <v>6520</v>
      </c>
      <c r="F122" s="222" t="s">
        <v>6521</v>
      </c>
      <c r="G122" s="222">
        <v>2.0</v>
      </c>
      <c r="H122" s="222">
        <v>2.0</v>
      </c>
      <c r="I122" s="796">
        <v>3.3</v>
      </c>
      <c r="J122" s="796" t="s">
        <v>166</v>
      </c>
      <c r="K122" s="222">
        <v>0.5</v>
      </c>
      <c r="L122" s="222">
        <v>3.0</v>
      </c>
      <c r="M122" s="222" t="s">
        <v>6522</v>
      </c>
      <c r="N122" s="222" t="s">
        <v>6523</v>
      </c>
      <c r="O122" s="222" t="s">
        <v>3149</v>
      </c>
      <c r="P122" s="222">
        <v>2133.0</v>
      </c>
      <c r="Q122" s="222">
        <v>54.0</v>
      </c>
      <c r="R122" s="222" t="s">
        <v>166</v>
      </c>
      <c r="S122" s="797">
        <v>64.0</v>
      </c>
      <c r="T122" s="389" t="s">
        <v>6524</v>
      </c>
      <c r="U122" s="389"/>
    </row>
    <row r="123">
      <c r="A123" s="241" t="s">
        <v>1688</v>
      </c>
      <c r="B123" s="389" t="s">
        <v>6525</v>
      </c>
      <c r="C123" s="795" t="str">
        <f>HYPERLINK("https://ark.intel.com/content/www/us/en/ark/products/90725/intel-pentium-processor-g4500t-3m-cache-3-00-ghz.html","G4500T")</f>
        <v>G4500T</v>
      </c>
      <c r="D123" s="222" t="s">
        <v>5131</v>
      </c>
      <c r="E123" s="222" t="s">
        <v>6520</v>
      </c>
      <c r="F123" s="222" t="s">
        <v>6521</v>
      </c>
      <c r="G123" s="222">
        <v>2.0</v>
      </c>
      <c r="H123" s="222">
        <v>2.0</v>
      </c>
      <c r="I123" s="796">
        <v>3.0</v>
      </c>
      <c r="J123" s="796" t="s">
        <v>166</v>
      </c>
      <c r="K123" s="222">
        <v>0.5</v>
      </c>
      <c r="L123" s="222">
        <v>3.0</v>
      </c>
      <c r="M123" s="222" t="s">
        <v>6522</v>
      </c>
      <c r="N123" s="222" t="s">
        <v>6526</v>
      </c>
      <c r="O123" s="222" t="s">
        <v>3149</v>
      </c>
      <c r="P123" s="222">
        <v>2133.0</v>
      </c>
      <c r="Q123" s="222">
        <v>35.0</v>
      </c>
      <c r="R123" s="222" t="s">
        <v>166</v>
      </c>
      <c r="S123" s="797">
        <v>75.0</v>
      </c>
      <c r="T123" s="389" t="s">
        <v>166</v>
      </c>
      <c r="U123" s="389" t="s">
        <v>6423</v>
      </c>
    </row>
    <row r="124">
      <c r="A124" s="241" t="s">
        <v>1688</v>
      </c>
      <c r="B124" s="389" t="s">
        <v>6525</v>
      </c>
      <c r="C124" s="795" t="str">
        <f>HYPERLINK("https://ark.intel.com/content/www/us/en/ark/products/90730/intel-pentium-processor-g4500-3m-cache-3-50-ghz.html","G4500")</f>
        <v>G4500</v>
      </c>
      <c r="D124" s="222" t="s">
        <v>5131</v>
      </c>
      <c r="E124" s="222" t="s">
        <v>6520</v>
      </c>
      <c r="F124" s="222" t="s">
        <v>6521</v>
      </c>
      <c r="G124" s="222">
        <v>2.0</v>
      </c>
      <c r="H124" s="222">
        <v>2.0</v>
      </c>
      <c r="I124" s="796">
        <v>3.5</v>
      </c>
      <c r="J124" s="796" t="s">
        <v>166</v>
      </c>
      <c r="K124" s="222">
        <v>0.5</v>
      </c>
      <c r="L124" s="222">
        <v>3.0</v>
      </c>
      <c r="M124" s="222" t="s">
        <v>6522</v>
      </c>
      <c r="N124" s="222" t="s">
        <v>6526</v>
      </c>
      <c r="O124" s="222" t="s">
        <v>3149</v>
      </c>
      <c r="P124" s="222">
        <v>2133.0</v>
      </c>
      <c r="Q124" s="222">
        <v>51.0</v>
      </c>
      <c r="R124" s="222" t="s">
        <v>166</v>
      </c>
      <c r="S124" s="797">
        <v>75.0</v>
      </c>
      <c r="T124" s="389" t="s">
        <v>6524</v>
      </c>
      <c r="U124" s="389"/>
    </row>
    <row r="125">
      <c r="A125" s="241" t="s">
        <v>1688</v>
      </c>
      <c r="B125" s="389" t="s">
        <v>6525</v>
      </c>
      <c r="C125" s="795" t="str">
        <f>HYPERLINK("https://ark.intel.com/content/www/us/en/ark/products/90732/intel-pentium-processor-g4520-3m-cache-3-60-ghz.html","G4520")</f>
        <v>G4520</v>
      </c>
      <c r="D125" s="222" t="s">
        <v>5131</v>
      </c>
      <c r="E125" s="222" t="s">
        <v>6520</v>
      </c>
      <c r="F125" s="222" t="s">
        <v>6521</v>
      </c>
      <c r="G125" s="222">
        <v>2.0</v>
      </c>
      <c r="H125" s="222">
        <v>2.0</v>
      </c>
      <c r="I125" s="796">
        <v>3.6</v>
      </c>
      <c r="J125" s="796" t="s">
        <v>166</v>
      </c>
      <c r="K125" s="222">
        <v>0.5</v>
      </c>
      <c r="L125" s="222">
        <v>3.0</v>
      </c>
      <c r="M125" s="222" t="s">
        <v>6522</v>
      </c>
      <c r="N125" s="222" t="s">
        <v>6526</v>
      </c>
      <c r="O125" s="222" t="s">
        <v>3149</v>
      </c>
      <c r="P125" s="222">
        <v>2133.0</v>
      </c>
      <c r="Q125" s="222">
        <v>51.0</v>
      </c>
      <c r="R125" s="222" t="s">
        <v>166</v>
      </c>
      <c r="S125" s="797">
        <v>86.0</v>
      </c>
      <c r="T125" s="389" t="s">
        <v>6524</v>
      </c>
      <c r="U125" s="389"/>
    </row>
    <row r="126">
      <c r="A126" s="241" t="s">
        <v>1688</v>
      </c>
      <c r="B126" s="389" t="s">
        <v>6527</v>
      </c>
      <c r="C126" s="795" t="str">
        <f>HYPERLINK("https://ark.intel.com/content/www/us/en/ark/products/90734/intel-core-i3-6100t-processor-3m-cache-3-20-ghz.html","6100T")</f>
        <v>6100T</v>
      </c>
      <c r="D126" s="222" t="s">
        <v>5131</v>
      </c>
      <c r="E126" s="222" t="s">
        <v>6520</v>
      </c>
      <c r="F126" s="222" t="s">
        <v>6521</v>
      </c>
      <c r="G126" s="222">
        <v>2.0</v>
      </c>
      <c r="H126" s="222">
        <v>4.0</v>
      </c>
      <c r="I126" s="796">
        <v>3.2</v>
      </c>
      <c r="J126" s="796" t="s">
        <v>166</v>
      </c>
      <c r="K126" s="222">
        <v>0.5</v>
      </c>
      <c r="L126" s="222">
        <v>3.0</v>
      </c>
      <c r="M126" s="222" t="s">
        <v>6522</v>
      </c>
      <c r="N126" s="222" t="s">
        <v>6526</v>
      </c>
      <c r="O126" s="222" t="s">
        <v>3149</v>
      </c>
      <c r="P126" s="222">
        <v>2133.0</v>
      </c>
      <c r="Q126" s="222">
        <v>35.0</v>
      </c>
      <c r="R126" s="222" t="s">
        <v>166</v>
      </c>
      <c r="S126" s="797">
        <v>117.0</v>
      </c>
      <c r="T126" s="389" t="s">
        <v>166</v>
      </c>
      <c r="U126" s="389" t="s">
        <v>6423</v>
      </c>
    </row>
    <row r="127">
      <c r="A127" s="241" t="s">
        <v>1688</v>
      </c>
      <c r="B127" s="389" t="s">
        <v>6527</v>
      </c>
      <c r="C127" s="795" t="str">
        <f>HYPERLINK("https://ark.intel.com/content/www/us/en/ark/products/90729/intel-core-i3-6100-processor-3m-cache-3-70-ghz.html","6100")</f>
        <v>6100</v>
      </c>
      <c r="D127" s="222" t="s">
        <v>5131</v>
      </c>
      <c r="E127" s="222" t="s">
        <v>6520</v>
      </c>
      <c r="F127" s="222" t="s">
        <v>6521</v>
      </c>
      <c r="G127" s="222">
        <v>2.0</v>
      </c>
      <c r="H127" s="222">
        <v>4.0</v>
      </c>
      <c r="I127" s="796">
        <v>3.7</v>
      </c>
      <c r="J127" s="796" t="s">
        <v>166</v>
      </c>
      <c r="K127" s="222">
        <v>0.5</v>
      </c>
      <c r="L127" s="222">
        <v>3.0</v>
      </c>
      <c r="M127" s="222" t="s">
        <v>6522</v>
      </c>
      <c r="N127" s="222" t="s">
        <v>6526</v>
      </c>
      <c r="O127" s="222" t="s">
        <v>3149</v>
      </c>
      <c r="P127" s="222">
        <v>2133.0</v>
      </c>
      <c r="Q127" s="222">
        <v>51.0</v>
      </c>
      <c r="R127" s="222" t="s">
        <v>166</v>
      </c>
      <c r="S127" s="797">
        <v>117.0</v>
      </c>
      <c r="T127" s="389" t="s">
        <v>6524</v>
      </c>
      <c r="U127" s="389"/>
    </row>
    <row r="128">
      <c r="A128" s="241" t="s">
        <v>1688</v>
      </c>
      <c r="B128" s="389" t="s">
        <v>6527</v>
      </c>
      <c r="C128" s="795" t="str">
        <f>HYPERLINK("https://ark.intel.com/content/www/us/en/ark/products/90728/intel-core-i3-6300t-processor-4m-cache-3-30-ghz.html","6300T")</f>
        <v>6300T</v>
      </c>
      <c r="D128" s="222" t="s">
        <v>5131</v>
      </c>
      <c r="E128" s="222" t="s">
        <v>6520</v>
      </c>
      <c r="F128" s="222" t="s">
        <v>6521</v>
      </c>
      <c r="G128" s="222">
        <v>2.0</v>
      </c>
      <c r="H128" s="222">
        <v>4.0</v>
      </c>
      <c r="I128" s="796">
        <v>3.3</v>
      </c>
      <c r="J128" s="796" t="s">
        <v>166</v>
      </c>
      <c r="K128" s="222">
        <v>0.5</v>
      </c>
      <c r="L128" s="222">
        <v>4.0</v>
      </c>
      <c r="M128" s="222" t="s">
        <v>6522</v>
      </c>
      <c r="N128" s="222" t="s">
        <v>6526</v>
      </c>
      <c r="O128" s="222" t="s">
        <v>3149</v>
      </c>
      <c r="P128" s="222">
        <v>2133.0</v>
      </c>
      <c r="Q128" s="222">
        <v>35.0</v>
      </c>
      <c r="R128" s="222" t="s">
        <v>166</v>
      </c>
      <c r="S128" s="797">
        <v>138.0</v>
      </c>
      <c r="T128" s="389" t="s">
        <v>166</v>
      </c>
      <c r="U128" s="389" t="s">
        <v>6423</v>
      </c>
    </row>
    <row r="129">
      <c r="A129" s="241" t="s">
        <v>1688</v>
      </c>
      <c r="B129" s="389" t="s">
        <v>6527</v>
      </c>
      <c r="C129" s="795" t="str">
        <f>HYPERLINK("https://ark.intel.com/content/www/us/en/ark/products/90731/intel-core-i3-6300-processor-4m-cache-3-80-ghz.html","6300")</f>
        <v>6300</v>
      </c>
      <c r="D129" s="222" t="s">
        <v>5131</v>
      </c>
      <c r="E129" s="222" t="s">
        <v>6520</v>
      </c>
      <c r="F129" s="222" t="s">
        <v>6521</v>
      </c>
      <c r="G129" s="222">
        <v>2.0</v>
      </c>
      <c r="H129" s="222">
        <v>4.0</v>
      </c>
      <c r="I129" s="796">
        <v>3.8</v>
      </c>
      <c r="J129" s="796" t="s">
        <v>166</v>
      </c>
      <c r="K129" s="222">
        <v>0.5</v>
      </c>
      <c r="L129" s="222">
        <v>4.0</v>
      </c>
      <c r="M129" s="222" t="s">
        <v>6522</v>
      </c>
      <c r="N129" s="222" t="s">
        <v>6526</v>
      </c>
      <c r="O129" s="222" t="s">
        <v>3149</v>
      </c>
      <c r="P129" s="222">
        <v>2133.0</v>
      </c>
      <c r="Q129" s="222">
        <v>51.0</v>
      </c>
      <c r="R129" s="222" t="s">
        <v>166</v>
      </c>
      <c r="S129" s="797">
        <v>138.0</v>
      </c>
      <c r="T129" s="389" t="s">
        <v>6524</v>
      </c>
      <c r="U129" s="389"/>
    </row>
    <row r="130">
      <c r="A130" s="241" t="s">
        <v>1688</v>
      </c>
      <c r="B130" s="389" t="s">
        <v>6527</v>
      </c>
      <c r="C130" s="795" t="str">
        <f>HYPERLINK("https://ark.intel.com/content/www/us/en/ark/products/90733/intel-core-i3-6320-processor-4m-cache-3-90-ghz.html","6320")</f>
        <v>6320</v>
      </c>
      <c r="D130" s="222" t="s">
        <v>5131</v>
      </c>
      <c r="E130" s="222" t="s">
        <v>6520</v>
      </c>
      <c r="F130" s="222" t="s">
        <v>6521</v>
      </c>
      <c r="G130" s="222">
        <v>2.0</v>
      </c>
      <c r="H130" s="222">
        <v>4.0</v>
      </c>
      <c r="I130" s="796">
        <v>3.9</v>
      </c>
      <c r="J130" s="796" t="s">
        <v>166</v>
      </c>
      <c r="K130" s="222">
        <v>0.5</v>
      </c>
      <c r="L130" s="222">
        <v>4.0</v>
      </c>
      <c r="M130" s="222" t="s">
        <v>6522</v>
      </c>
      <c r="N130" s="222" t="s">
        <v>6526</v>
      </c>
      <c r="O130" s="222" t="s">
        <v>3149</v>
      </c>
      <c r="P130" s="222">
        <v>2133.0</v>
      </c>
      <c r="Q130" s="222">
        <v>51.0</v>
      </c>
      <c r="R130" s="222" t="s">
        <v>166</v>
      </c>
      <c r="S130" s="797">
        <v>149.0</v>
      </c>
      <c r="T130" s="389" t="s">
        <v>6524</v>
      </c>
      <c r="U130" s="389"/>
    </row>
    <row r="131">
      <c r="A131" s="241" t="s">
        <v>1688</v>
      </c>
      <c r="B131" s="389" t="s">
        <v>6528</v>
      </c>
      <c r="C131" s="795" t="str">
        <f>HYPERLINK("https://ark.intel.com/content/www/us/en/ark/products/88187/intel-core-i5-6400t-processor-6m-cache-up-to-2-80-ghz.html","6400T")</f>
        <v>6400T</v>
      </c>
      <c r="D131" s="222" t="s">
        <v>5131</v>
      </c>
      <c r="E131" s="222" t="s">
        <v>6520</v>
      </c>
      <c r="F131" s="222" t="s">
        <v>6521</v>
      </c>
      <c r="G131" s="222">
        <v>4.0</v>
      </c>
      <c r="H131" s="222">
        <v>4.0</v>
      </c>
      <c r="I131" s="796">
        <v>2.2</v>
      </c>
      <c r="J131" s="796">
        <v>2.8</v>
      </c>
      <c r="K131" s="222">
        <v>1.0</v>
      </c>
      <c r="L131" s="222">
        <v>6.0</v>
      </c>
      <c r="M131" s="222" t="s">
        <v>6522</v>
      </c>
      <c r="N131" s="222" t="s">
        <v>6526</v>
      </c>
      <c r="O131" s="222" t="s">
        <v>3149</v>
      </c>
      <c r="P131" s="222">
        <v>2133.0</v>
      </c>
      <c r="Q131" s="222">
        <v>35.0</v>
      </c>
      <c r="R131" s="222" t="s">
        <v>166</v>
      </c>
      <c r="S131" s="797">
        <v>182.0</v>
      </c>
      <c r="T131" s="389" t="s">
        <v>166</v>
      </c>
      <c r="U131" s="389" t="s">
        <v>6423</v>
      </c>
    </row>
    <row r="132">
      <c r="A132" s="241" t="s">
        <v>1688</v>
      </c>
      <c r="B132" s="389" t="s">
        <v>6528</v>
      </c>
      <c r="C132" s="795" t="str">
        <f>HYPERLINK("https://ark.intel.com/content/www/us/en/ark/products/88185/intel-core-i5-6400-processor-6m-cache-up-to-3-30-ghz.html","6400")</f>
        <v>6400</v>
      </c>
      <c r="D132" s="222" t="s">
        <v>5131</v>
      </c>
      <c r="E132" s="222" t="s">
        <v>6520</v>
      </c>
      <c r="F132" s="222" t="s">
        <v>6521</v>
      </c>
      <c r="G132" s="222">
        <v>4.0</v>
      </c>
      <c r="H132" s="222">
        <v>4.0</v>
      </c>
      <c r="I132" s="796">
        <v>2.7</v>
      </c>
      <c r="J132" s="796">
        <v>3.3</v>
      </c>
      <c r="K132" s="222">
        <v>1.0</v>
      </c>
      <c r="L132" s="222">
        <v>6.0</v>
      </c>
      <c r="M132" s="222" t="s">
        <v>6522</v>
      </c>
      <c r="N132" s="222" t="s">
        <v>6526</v>
      </c>
      <c r="O132" s="222" t="s">
        <v>3149</v>
      </c>
      <c r="P132" s="222">
        <v>2133.0</v>
      </c>
      <c r="Q132" s="222">
        <v>65.0</v>
      </c>
      <c r="R132" s="222" t="s">
        <v>166</v>
      </c>
      <c r="S132" s="797">
        <v>182.0</v>
      </c>
      <c r="T132" s="389" t="s">
        <v>6524</v>
      </c>
      <c r="U132" s="389"/>
    </row>
    <row r="133">
      <c r="A133" s="241" t="s">
        <v>1688</v>
      </c>
      <c r="B133" s="389" t="s">
        <v>6528</v>
      </c>
      <c r="C133" s="795" t="str">
        <f>HYPERLINK("https://ark.intel.com/content/www/us/en/ark/products/88183/intel-core-i5-6500t-processor-6m-cache-up-to-3-10-ghz.html","6500T")</f>
        <v>6500T</v>
      </c>
      <c r="D133" s="222" t="s">
        <v>5131</v>
      </c>
      <c r="E133" s="222" t="s">
        <v>6520</v>
      </c>
      <c r="F133" s="222" t="s">
        <v>6521</v>
      </c>
      <c r="G133" s="222">
        <v>4.0</v>
      </c>
      <c r="H133" s="222">
        <v>4.0</v>
      </c>
      <c r="I133" s="796">
        <v>2.5</v>
      </c>
      <c r="J133" s="796">
        <v>3.1</v>
      </c>
      <c r="K133" s="222">
        <v>1.0</v>
      </c>
      <c r="L133" s="222">
        <v>6.0</v>
      </c>
      <c r="M133" s="222" t="s">
        <v>6522</v>
      </c>
      <c r="N133" s="222" t="s">
        <v>6526</v>
      </c>
      <c r="O133" s="222" t="s">
        <v>3149</v>
      </c>
      <c r="P133" s="222">
        <v>2133.0</v>
      </c>
      <c r="Q133" s="222">
        <v>35.0</v>
      </c>
      <c r="R133" s="222" t="s">
        <v>166</v>
      </c>
      <c r="S133" s="797">
        <v>192.0</v>
      </c>
      <c r="T133" s="389" t="s">
        <v>166</v>
      </c>
      <c r="U133" s="389" t="s">
        <v>6423</v>
      </c>
    </row>
    <row r="134">
      <c r="A134" s="241" t="s">
        <v>1688</v>
      </c>
      <c r="B134" s="389" t="s">
        <v>6528</v>
      </c>
      <c r="C134" s="795" t="str">
        <f>HYPERLINK("https://ark.intel.com/content/www/us/en/ark/products/88184/intel-core-i5-6500-processor-6m-cache-up-to-3-60-ghz.html","6500")</f>
        <v>6500</v>
      </c>
      <c r="D134" s="222" t="s">
        <v>5131</v>
      </c>
      <c r="E134" s="222" t="s">
        <v>6520</v>
      </c>
      <c r="F134" s="222" t="s">
        <v>6521</v>
      </c>
      <c r="G134" s="222">
        <v>4.0</v>
      </c>
      <c r="H134" s="222">
        <v>4.0</v>
      </c>
      <c r="I134" s="796">
        <v>3.2</v>
      </c>
      <c r="J134" s="796">
        <v>3.6</v>
      </c>
      <c r="K134" s="222">
        <v>1.0</v>
      </c>
      <c r="L134" s="222">
        <v>6.0</v>
      </c>
      <c r="M134" s="222" t="s">
        <v>6522</v>
      </c>
      <c r="N134" s="222" t="s">
        <v>6526</v>
      </c>
      <c r="O134" s="222" t="s">
        <v>3149</v>
      </c>
      <c r="P134" s="222">
        <v>2133.0</v>
      </c>
      <c r="Q134" s="222">
        <v>65.0</v>
      </c>
      <c r="R134" s="222" t="s">
        <v>166</v>
      </c>
      <c r="S134" s="797">
        <v>192.0</v>
      </c>
      <c r="T134" s="389" t="s">
        <v>6524</v>
      </c>
      <c r="U134" s="389"/>
    </row>
    <row r="135">
      <c r="A135" s="241" t="s">
        <v>1688</v>
      </c>
      <c r="B135" s="389" t="s">
        <v>6528</v>
      </c>
      <c r="C135" s="795" t="str">
        <f>HYPERLINK("https://ark.intel.com/content/www/us/en/ark/products/88189/intel-core-i5-6600t-processor-6m-cache-up-to-3-50-ghz.html","6600T")</f>
        <v>6600T</v>
      </c>
      <c r="D135" s="222" t="s">
        <v>5131</v>
      </c>
      <c r="E135" s="222" t="s">
        <v>6520</v>
      </c>
      <c r="F135" s="222" t="s">
        <v>6521</v>
      </c>
      <c r="G135" s="222">
        <v>4.0</v>
      </c>
      <c r="H135" s="222">
        <v>4.0</v>
      </c>
      <c r="I135" s="796">
        <v>2.7</v>
      </c>
      <c r="J135" s="796">
        <v>3.5</v>
      </c>
      <c r="K135" s="222">
        <v>1.0</v>
      </c>
      <c r="L135" s="222">
        <v>6.0</v>
      </c>
      <c r="M135" s="222" t="s">
        <v>6522</v>
      </c>
      <c r="N135" s="222" t="s">
        <v>6526</v>
      </c>
      <c r="O135" s="222" t="s">
        <v>3149</v>
      </c>
      <c r="P135" s="222">
        <v>2133.0</v>
      </c>
      <c r="Q135" s="222">
        <v>35.0</v>
      </c>
      <c r="R135" s="222" t="s">
        <v>166</v>
      </c>
      <c r="S135" s="797">
        <v>213.0</v>
      </c>
      <c r="T135" s="389" t="s">
        <v>166</v>
      </c>
      <c r="U135" s="389" t="s">
        <v>6423</v>
      </c>
    </row>
    <row r="136">
      <c r="A136" s="241" t="s">
        <v>1688</v>
      </c>
      <c r="B136" s="389" t="s">
        <v>6528</v>
      </c>
      <c r="C136" s="795" t="str">
        <f>HYPERLINK("https://ark.intel.com/content/www/us/en/ark/products/88188/intel-core-i5-6600-processor-6m-cache-up-to-3-90-ghz.html","6600")</f>
        <v>6600</v>
      </c>
      <c r="D136" s="222" t="s">
        <v>5131</v>
      </c>
      <c r="E136" s="222" t="s">
        <v>6520</v>
      </c>
      <c r="F136" s="222" t="s">
        <v>6521</v>
      </c>
      <c r="G136" s="222">
        <v>4.0</v>
      </c>
      <c r="H136" s="222">
        <v>4.0</v>
      </c>
      <c r="I136" s="796">
        <v>3.3</v>
      </c>
      <c r="J136" s="796">
        <v>3.9</v>
      </c>
      <c r="K136" s="222">
        <v>1.0</v>
      </c>
      <c r="L136" s="222">
        <v>6.0</v>
      </c>
      <c r="M136" s="222" t="s">
        <v>6522</v>
      </c>
      <c r="N136" s="222" t="s">
        <v>6526</v>
      </c>
      <c r="O136" s="222" t="s">
        <v>3149</v>
      </c>
      <c r="P136" s="222">
        <v>2133.0</v>
      </c>
      <c r="Q136" s="222">
        <v>65.0</v>
      </c>
      <c r="R136" s="222" t="s">
        <v>166</v>
      </c>
      <c r="S136" s="797">
        <v>213.0</v>
      </c>
      <c r="T136" s="389" t="s">
        <v>6524</v>
      </c>
      <c r="U136" s="389"/>
    </row>
    <row r="137">
      <c r="A137" s="241" t="s">
        <v>1688</v>
      </c>
      <c r="B137" s="389" t="s">
        <v>6528</v>
      </c>
      <c r="C137" s="795" t="str">
        <f>HYPERLINK("https://ark.intel.com/content/www/us/en/ark/products/88191/intel-core-i5-6600k-processor-6m-cache-up-to-3-90-ghz.html","6600K")</f>
        <v>6600K</v>
      </c>
      <c r="D137" s="222" t="s">
        <v>5131</v>
      </c>
      <c r="E137" s="222" t="s">
        <v>6520</v>
      </c>
      <c r="F137" s="222" t="s">
        <v>6521</v>
      </c>
      <c r="G137" s="222">
        <v>4.0</v>
      </c>
      <c r="H137" s="222">
        <v>4.0</v>
      </c>
      <c r="I137" s="796">
        <v>3.5</v>
      </c>
      <c r="J137" s="796">
        <v>3.9</v>
      </c>
      <c r="K137" s="222">
        <v>1.0</v>
      </c>
      <c r="L137" s="222">
        <v>6.0</v>
      </c>
      <c r="M137" s="222" t="s">
        <v>6522</v>
      </c>
      <c r="N137" s="222" t="s">
        <v>6526</v>
      </c>
      <c r="O137" s="222" t="s">
        <v>3149</v>
      </c>
      <c r="P137" s="222">
        <v>2133.0</v>
      </c>
      <c r="Q137" s="222">
        <v>91.0</v>
      </c>
      <c r="R137" s="222" t="s">
        <v>174</v>
      </c>
      <c r="S137" s="797">
        <v>242.0</v>
      </c>
      <c r="T137" s="389" t="s">
        <v>166</v>
      </c>
      <c r="U137" s="389"/>
    </row>
    <row r="138">
      <c r="A138" s="241" t="s">
        <v>1688</v>
      </c>
      <c r="B138" s="389" t="s">
        <v>6529</v>
      </c>
      <c r="C138" s="795" t="str">
        <f>HYPERLINK("https://ark.intel.com/content/www/us/en/ark/products/88200/intel-core-i7-6700t-processor-8m-cache-up-to-3-60-ghz.html","6700T")</f>
        <v>6700T</v>
      </c>
      <c r="D138" s="222" t="s">
        <v>5131</v>
      </c>
      <c r="E138" s="222" t="s">
        <v>6520</v>
      </c>
      <c r="F138" s="222" t="s">
        <v>6521</v>
      </c>
      <c r="G138" s="222">
        <v>4.0</v>
      </c>
      <c r="H138" s="222">
        <v>8.0</v>
      </c>
      <c r="I138" s="796">
        <v>2.8</v>
      </c>
      <c r="J138" s="796">
        <v>3.6</v>
      </c>
      <c r="K138" s="222">
        <v>1.0</v>
      </c>
      <c r="L138" s="222">
        <v>8.0</v>
      </c>
      <c r="M138" s="222" t="s">
        <v>6522</v>
      </c>
      <c r="N138" s="222" t="s">
        <v>6526</v>
      </c>
      <c r="O138" s="222" t="s">
        <v>3149</v>
      </c>
      <c r="P138" s="222">
        <v>2133.0</v>
      </c>
      <c r="Q138" s="222">
        <v>35.0</v>
      </c>
      <c r="R138" s="222" t="s">
        <v>166</v>
      </c>
      <c r="S138" s="797">
        <v>303.0</v>
      </c>
      <c r="T138" s="389" t="s">
        <v>166</v>
      </c>
      <c r="U138" s="389" t="s">
        <v>6423</v>
      </c>
    </row>
    <row r="139">
      <c r="A139" s="241" t="s">
        <v>1688</v>
      </c>
      <c r="B139" s="389" t="s">
        <v>6529</v>
      </c>
      <c r="C139" s="795" t="str">
        <f>HYPERLINK("https://ark.intel.com/content/www/us/en/ark/products/88196/intel-core-i7-6700-processor-8m-cache-up-to-4-00-ghz.html","6700")</f>
        <v>6700</v>
      </c>
      <c r="D139" s="222" t="s">
        <v>5131</v>
      </c>
      <c r="E139" s="222" t="s">
        <v>6520</v>
      </c>
      <c r="F139" s="222" t="s">
        <v>6521</v>
      </c>
      <c r="G139" s="222">
        <v>4.0</v>
      </c>
      <c r="H139" s="222">
        <v>8.0</v>
      </c>
      <c r="I139" s="796">
        <v>3.4</v>
      </c>
      <c r="J139" s="796">
        <v>4.0</v>
      </c>
      <c r="K139" s="222">
        <v>1.0</v>
      </c>
      <c r="L139" s="222">
        <v>8.0</v>
      </c>
      <c r="M139" s="222" t="s">
        <v>6522</v>
      </c>
      <c r="N139" s="222" t="s">
        <v>6526</v>
      </c>
      <c r="O139" s="222" t="s">
        <v>3149</v>
      </c>
      <c r="P139" s="222">
        <v>2133.0</v>
      </c>
      <c r="Q139" s="222">
        <v>65.0</v>
      </c>
      <c r="R139" s="222" t="s">
        <v>166</v>
      </c>
      <c r="S139" s="797">
        <v>303.0</v>
      </c>
      <c r="T139" s="389" t="s">
        <v>6524</v>
      </c>
      <c r="U139" s="389"/>
    </row>
    <row r="140">
      <c r="A140" s="247" t="s">
        <v>1688</v>
      </c>
      <c r="B140" s="802" t="s">
        <v>6529</v>
      </c>
      <c r="C140" s="799" t="str">
        <f>HYPERLINK("https://ark.intel.com/content/www/us/en/ark/products/88195/intel-core-i7-6700k-processor-8m-cache-up-to-4-20-ghz.html","6700K")</f>
        <v>6700K</v>
      </c>
      <c r="D140" s="233" t="s">
        <v>5131</v>
      </c>
      <c r="E140" s="233" t="s">
        <v>6520</v>
      </c>
      <c r="F140" s="233" t="s">
        <v>6521</v>
      </c>
      <c r="G140" s="233">
        <v>4.0</v>
      </c>
      <c r="H140" s="233">
        <v>8.0</v>
      </c>
      <c r="I140" s="800">
        <v>4.0</v>
      </c>
      <c r="J140" s="800">
        <v>4.2</v>
      </c>
      <c r="K140" s="233">
        <v>1.0</v>
      </c>
      <c r="L140" s="233">
        <v>8.0</v>
      </c>
      <c r="M140" s="233" t="s">
        <v>6522</v>
      </c>
      <c r="N140" s="233" t="s">
        <v>6526</v>
      </c>
      <c r="O140" s="233" t="s">
        <v>3149</v>
      </c>
      <c r="P140" s="233">
        <v>2133.0</v>
      </c>
      <c r="Q140" s="233">
        <v>91.0</v>
      </c>
      <c r="R140" s="233" t="s">
        <v>174</v>
      </c>
      <c r="S140" s="801">
        <v>339.0</v>
      </c>
      <c r="T140" s="802" t="s">
        <v>166</v>
      </c>
      <c r="U140" s="802"/>
    </row>
    <row r="141">
      <c r="A141" s="241" t="s">
        <v>1688</v>
      </c>
      <c r="B141" s="389" t="s">
        <v>6519</v>
      </c>
      <c r="C141" s="795" t="str">
        <f>HYPERLINK("https://ark.intel.com/content/www/us/en/ark/products/97467/intel-celeron-processor-g3930t-2m-cache-2-70-ghz.html","G3930T")</f>
        <v>G3930T</v>
      </c>
      <c r="D141" s="222" t="s">
        <v>5131</v>
      </c>
      <c r="E141" s="222" t="s">
        <v>6530</v>
      </c>
      <c r="F141" s="222" t="s">
        <v>6521</v>
      </c>
      <c r="G141" s="222">
        <v>2.0</v>
      </c>
      <c r="H141" s="222">
        <v>2.0</v>
      </c>
      <c r="I141" s="796">
        <v>2.7</v>
      </c>
      <c r="J141" s="796" t="s">
        <v>166</v>
      </c>
      <c r="K141" s="222">
        <v>0.5</v>
      </c>
      <c r="L141" s="222">
        <v>2.0</v>
      </c>
      <c r="M141" s="222" t="s">
        <v>6522</v>
      </c>
      <c r="N141" s="222" t="s">
        <v>6531</v>
      </c>
      <c r="O141" s="222" t="s">
        <v>3149</v>
      </c>
      <c r="P141" s="222">
        <v>2400.0</v>
      </c>
      <c r="Q141" s="222">
        <v>35.0</v>
      </c>
      <c r="R141" s="222" t="s">
        <v>166</v>
      </c>
      <c r="S141" s="797">
        <v>42.0</v>
      </c>
      <c r="T141" s="389" t="s">
        <v>166</v>
      </c>
      <c r="U141" s="389" t="s">
        <v>6423</v>
      </c>
    </row>
    <row r="142">
      <c r="A142" s="241" t="s">
        <v>1688</v>
      </c>
      <c r="B142" s="389" t="s">
        <v>6519</v>
      </c>
      <c r="C142" s="795" t="str">
        <f>HYPERLINK("https://ark.intel.com/content/www/us/en/ark/products/97452/intel-celeron-processor-g3930-2m-cache-2-90-ghz.html","G3930")</f>
        <v>G3930</v>
      </c>
      <c r="D142" s="222" t="s">
        <v>5131</v>
      </c>
      <c r="E142" s="222" t="s">
        <v>6530</v>
      </c>
      <c r="F142" s="222" t="s">
        <v>6521</v>
      </c>
      <c r="G142" s="222">
        <v>2.0</v>
      </c>
      <c r="H142" s="222">
        <v>2.0</v>
      </c>
      <c r="I142" s="796">
        <v>2.9</v>
      </c>
      <c r="J142" s="796" t="s">
        <v>166</v>
      </c>
      <c r="K142" s="222">
        <v>0.5</v>
      </c>
      <c r="L142" s="222">
        <v>2.0</v>
      </c>
      <c r="M142" s="222" t="s">
        <v>6522</v>
      </c>
      <c r="N142" s="222" t="s">
        <v>6531</v>
      </c>
      <c r="O142" s="222" t="s">
        <v>3149</v>
      </c>
      <c r="P142" s="222">
        <v>2400.0</v>
      </c>
      <c r="Q142" s="222">
        <v>51.0</v>
      </c>
      <c r="R142" s="222" t="s">
        <v>166</v>
      </c>
      <c r="S142" s="797">
        <v>42.0</v>
      </c>
      <c r="T142" s="389" t="s">
        <v>6524</v>
      </c>
      <c r="U142" s="389"/>
    </row>
    <row r="143">
      <c r="A143" s="241" t="s">
        <v>1688</v>
      </c>
      <c r="B143" s="389" t="s">
        <v>6519</v>
      </c>
      <c r="C143" s="795" t="str">
        <f>HYPERLINK("https://ark.intel.com/content/www/us/en/ark/products/97451/intel-celeron-processor-g3950-2m-cache-3-00-ghz.html","G3950")</f>
        <v>G3950</v>
      </c>
      <c r="D143" s="222" t="s">
        <v>5131</v>
      </c>
      <c r="E143" s="222" t="s">
        <v>6530</v>
      </c>
      <c r="F143" s="222" t="s">
        <v>6521</v>
      </c>
      <c r="G143" s="222">
        <v>2.0</v>
      </c>
      <c r="H143" s="222">
        <v>2.0</v>
      </c>
      <c r="I143" s="796">
        <v>3.0</v>
      </c>
      <c r="J143" s="796" t="s">
        <v>166</v>
      </c>
      <c r="K143" s="222">
        <v>0.5</v>
      </c>
      <c r="L143" s="222">
        <v>2.0</v>
      </c>
      <c r="M143" s="222" t="s">
        <v>6522</v>
      </c>
      <c r="N143" s="222" t="s">
        <v>6531</v>
      </c>
      <c r="O143" s="222" t="s">
        <v>3149</v>
      </c>
      <c r="P143" s="222">
        <v>2400.0</v>
      </c>
      <c r="Q143" s="222">
        <v>51.0</v>
      </c>
      <c r="R143" s="222" t="s">
        <v>166</v>
      </c>
      <c r="S143" s="797">
        <v>52.0</v>
      </c>
      <c r="T143" s="389" t="s">
        <v>6524</v>
      </c>
      <c r="U143" s="389"/>
    </row>
    <row r="144">
      <c r="A144" s="241" t="s">
        <v>1688</v>
      </c>
      <c r="B144" s="389" t="s">
        <v>6525</v>
      </c>
      <c r="C144" s="795" t="str">
        <f>HYPERLINK("https://ark.intel.com/content/www/us/en/ark/products/97465/intel-pentium-processor-g4560t-3m-cache-2-90-ghz.html","G4560T")</f>
        <v>G4560T</v>
      </c>
      <c r="D144" s="222" t="s">
        <v>5131</v>
      </c>
      <c r="E144" s="222" t="s">
        <v>6530</v>
      </c>
      <c r="F144" s="222" t="s">
        <v>6521</v>
      </c>
      <c r="G144" s="222">
        <v>2.0</v>
      </c>
      <c r="H144" s="222">
        <v>4.0</v>
      </c>
      <c r="I144" s="796">
        <v>2.9</v>
      </c>
      <c r="J144" s="796" t="s">
        <v>166</v>
      </c>
      <c r="K144" s="222">
        <v>0.5</v>
      </c>
      <c r="L144" s="222">
        <v>3.0</v>
      </c>
      <c r="M144" s="222" t="s">
        <v>6522</v>
      </c>
      <c r="N144" s="222" t="s">
        <v>6531</v>
      </c>
      <c r="O144" s="222" t="s">
        <v>3149</v>
      </c>
      <c r="P144" s="222">
        <v>2400.0</v>
      </c>
      <c r="Q144" s="222">
        <v>35.0</v>
      </c>
      <c r="R144" s="222" t="s">
        <v>166</v>
      </c>
      <c r="S144" s="797">
        <v>64.0</v>
      </c>
      <c r="T144" s="389" t="s">
        <v>166</v>
      </c>
      <c r="U144" s="389" t="s">
        <v>6423</v>
      </c>
    </row>
    <row r="145">
      <c r="A145" s="241" t="s">
        <v>1688</v>
      </c>
      <c r="B145" s="389" t="s">
        <v>6525</v>
      </c>
      <c r="C145" s="795" t="str">
        <f>HYPERLINK("https://ark.intel.com/content/www/us/en/ark/products/97143/intel-pentium-processor-g4560-3m-cache-3-50-ghz.html","G4560")</f>
        <v>G4560</v>
      </c>
      <c r="D145" s="222" t="s">
        <v>5131</v>
      </c>
      <c r="E145" s="222" t="s">
        <v>6530</v>
      </c>
      <c r="F145" s="222" t="s">
        <v>6521</v>
      </c>
      <c r="G145" s="222">
        <v>2.0</v>
      </c>
      <c r="H145" s="222">
        <v>4.0</v>
      </c>
      <c r="I145" s="796">
        <v>3.5</v>
      </c>
      <c r="J145" s="796" t="s">
        <v>166</v>
      </c>
      <c r="K145" s="222">
        <v>0.5</v>
      </c>
      <c r="L145" s="222">
        <v>3.0</v>
      </c>
      <c r="M145" s="222" t="s">
        <v>6522</v>
      </c>
      <c r="N145" s="222" t="s">
        <v>6531</v>
      </c>
      <c r="O145" s="222" t="s">
        <v>3149</v>
      </c>
      <c r="P145" s="222">
        <v>2400.0</v>
      </c>
      <c r="Q145" s="222">
        <v>54.0</v>
      </c>
      <c r="R145" s="222" t="s">
        <v>166</v>
      </c>
      <c r="S145" s="797">
        <v>64.0</v>
      </c>
      <c r="T145" s="389" t="s">
        <v>6524</v>
      </c>
      <c r="U145" s="389"/>
    </row>
    <row r="146">
      <c r="A146" s="241" t="s">
        <v>1688</v>
      </c>
      <c r="B146" s="389" t="s">
        <v>6525</v>
      </c>
      <c r="C146" s="795" t="str">
        <f>HYPERLINK("https://ark.intel.com/content/www/us/en/ark/products/97486/intel-pentium-processor-g4600t-3m-cache-3-00-ghz.html","G4600T")</f>
        <v>G4600T</v>
      </c>
      <c r="D146" s="222" t="s">
        <v>5131</v>
      </c>
      <c r="E146" s="222" t="s">
        <v>6530</v>
      </c>
      <c r="F146" s="222" t="s">
        <v>6521</v>
      </c>
      <c r="G146" s="222">
        <v>2.0</v>
      </c>
      <c r="H146" s="222">
        <v>4.0</v>
      </c>
      <c r="I146" s="796">
        <v>3.0</v>
      </c>
      <c r="J146" s="796" t="s">
        <v>166</v>
      </c>
      <c r="K146" s="222">
        <v>0.5</v>
      </c>
      <c r="L146" s="222">
        <v>3.0</v>
      </c>
      <c r="M146" s="222" t="s">
        <v>6522</v>
      </c>
      <c r="N146" s="222" t="s">
        <v>6532</v>
      </c>
      <c r="O146" s="222" t="s">
        <v>3149</v>
      </c>
      <c r="P146" s="222">
        <v>2400.0</v>
      </c>
      <c r="Q146" s="222">
        <v>35.0</v>
      </c>
      <c r="R146" s="222" t="s">
        <v>166</v>
      </c>
      <c r="S146" s="797">
        <v>75.0</v>
      </c>
      <c r="T146" s="389" t="s">
        <v>166</v>
      </c>
      <c r="U146" s="389" t="s">
        <v>6423</v>
      </c>
    </row>
    <row r="147">
      <c r="A147" s="241" t="s">
        <v>1688</v>
      </c>
      <c r="B147" s="389" t="s">
        <v>6525</v>
      </c>
      <c r="C147" s="795" t="str">
        <f>HYPERLINK("https://ark.intel.com/content/www/us/en/ark/products/97453/intel-pentium-processor-g4600-3m-cache-3-60-ghz.html","G4600")</f>
        <v>G4600</v>
      </c>
      <c r="D147" s="222" t="s">
        <v>5131</v>
      </c>
      <c r="E147" s="222" t="s">
        <v>6530</v>
      </c>
      <c r="F147" s="222" t="s">
        <v>6521</v>
      </c>
      <c r="G147" s="222">
        <v>2.0</v>
      </c>
      <c r="H147" s="222">
        <v>4.0</v>
      </c>
      <c r="I147" s="796">
        <v>3.6</v>
      </c>
      <c r="J147" s="796" t="s">
        <v>166</v>
      </c>
      <c r="K147" s="222">
        <v>0.5</v>
      </c>
      <c r="L147" s="222">
        <v>3.0</v>
      </c>
      <c r="M147" s="222" t="s">
        <v>6522</v>
      </c>
      <c r="N147" s="222" t="s">
        <v>6532</v>
      </c>
      <c r="O147" s="222" t="s">
        <v>3149</v>
      </c>
      <c r="P147" s="222">
        <v>2400.0</v>
      </c>
      <c r="Q147" s="222">
        <v>51.0</v>
      </c>
      <c r="R147" s="222" t="s">
        <v>166</v>
      </c>
      <c r="S147" s="797">
        <v>82.0</v>
      </c>
      <c r="T147" s="389" t="s">
        <v>6524</v>
      </c>
      <c r="U147" s="389"/>
    </row>
    <row r="148">
      <c r="A148" s="241" t="s">
        <v>1688</v>
      </c>
      <c r="B148" s="389" t="s">
        <v>6525</v>
      </c>
      <c r="C148" s="795" t="str">
        <f>HYPERLINK("https://ark.intel.com/content/www/us/en/ark/products/97460/intel-pentium-processor-g4620-3m-cache-3-70-ghz.html","G4620")</f>
        <v>G4620</v>
      </c>
      <c r="D148" s="222" t="s">
        <v>5131</v>
      </c>
      <c r="E148" s="222" t="s">
        <v>6530</v>
      </c>
      <c r="F148" s="222" t="s">
        <v>6521</v>
      </c>
      <c r="G148" s="222">
        <v>2.0</v>
      </c>
      <c r="H148" s="222">
        <v>4.0</v>
      </c>
      <c r="I148" s="796">
        <v>3.7</v>
      </c>
      <c r="J148" s="796" t="s">
        <v>166</v>
      </c>
      <c r="K148" s="222">
        <v>0.5</v>
      </c>
      <c r="L148" s="222">
        <v>3.0</v>
      </c>
      <c r="M148" s="222" t="s">
        <v>6522</v>
      </c>
      <c r="N148" s="222" t="s">
        <v>6532</v>
      </c>
      <c r="O148" s="222" t="s">
        <v>3149</v>
      </c>
      <c r="P148" s="222">
        <v>2400.0</v>
      </c>
      <c r="Q148" s="222">
        <v>51.0</v>
      </c>
      <c r="R148" s="222" t="s">
        <v>166</v>
      </c>
      <c r="S148" s="797">
        <v>93.0</v>
      </c>
      <c r="T148" s="389" t="s">
        <v>6524</v>
      </c>
      <c r="U148" s="389"/>
    </row>
    <row r="149">
      <c r="A149" s="241" t="s">
        <v>1688</v>
      </c>
      <c r="B149" s="389" t="s">
        <v>6527</v>
      </c>
      <c r="C149" s="795" t="str">
        <f>HYPERLINK("https://ark.intel.com/content/www/us/en/ark/products/97485/intel-core-i3-7100t-processor-3m-cache-3-40-ghz.html","7100T")</f>
        <v>7100T</v>
      </c>
      <c r="D149" s="222" t="s">
        <v>5131</v>
      </c>
      <c r="E149" s="222" t="s">
        <v>6530</v>
      </c>
      <c r="F149" s="222" t="s">
        <v>6521</v>
      </c>
      <c r="G149" s="222">
        <v>2.0</v>
      </c>
      <c r="H149" s="222">
        <v>4.0</v>
      </c>
      <c r="I149" s="796">
        <v>3.4</v>
      </c>
      <c r="J149" s="796" t="s">
        <v>166</v>
      </c>
      <c r="K149" s="222">
        <v>0.5</v>
      </c>
      <c r="L149" s="222">
        <v>3.0</v>
      </c>
      <c r="M149" s="222" t="s">
        <v>6522</v>
      </c>
      <c r="N149" s="222" t="s">
        <v>6532</v>
      </c>
      <c r="O149" s="222" t="s">
        <v>3149</v>
      </c>
      <c r="P149" s="222">
        <v>2400.0</v>
      </c>
      <c r="Q149" s="222">
        <v>35.0</v>
      </c>
      <c r="R149" s="222" t="s">
        <v>166</v>
      </c>
      <c r="S149" s="797">
        <v>117.0</v>
      </c>
      <c r="T149" s="389" t="s">
        <v>166</v>
      </c>
      <c r="U149" s="389" t="s">
        <v>6423</v>
      </c>
    </row>
    <row r="150">
      <c r="A150" s="241" t="s">
        <v>1688</v>
      </c>
      <c r="B150" s="389" t="s">
        <v>6527</v>
      </c>
      <c r="C150" s="795" t="str">
        <f>HYPERLINK("https://ark.intel.com/content/www/us/en/ark/products/97455/intel-core-i3-7100-processor-3m-cache-3-90-ghz.html","7100")</f>
        <v>7100</v>
      </c>
      <c r="D150" s="222" t="s">
        <v>5131</v>
      </c>
      <c r="E150" s="222" t="s">
        <v>6530</v>
      </c>
      <c r="F150" s="222" t="s">
        <v>6521</v>
      </c>
      <c r="G150" s="222">
        <v>2.0</v>
      </c>
      <c r="H150" s="222">
        <v>4.0</v>
      </c>
      <c r="I150" s="796">
        <v>3.9</v>
      </c>
      <c r="J150" s="796" t="s">
        <v>166</v>
      </c>
      <c r="K150" s="222">
        <v>0.5</v>
      </c>
      <c r="L150" s="222">
        <v>3.0</v>
      </c>
      <c r="M150" s="222" t="s">
        <v>6522</v>
      </c>
      <c r="N150" s="222" t="s">
        <v>6532</v>
      </c>
      <c r="O150" s="222" t="s">
        <v>3149</v>
      </c>
      <c r="P150" s="222">
        <v>2400.0</v>
      </c>
      <c r="Q150" s="222">
        <v>51.0</v>
      </c>
      <c r="R150" s="222" t="s">
        <v>166</v>
      </c>
      <c r="S150" s="797">
        <v>117.0</v>
      </c>
      <c r="T150" s="389" t="s">
        <v>6524</v>
      </c>
      <c r="U150" s="389"/>
    </row>
    <row r="151">
      <c r="A151" s="241" t="s">
        <v>1688</v>
      </c>
      <c r="B151" s="389" t="s">
        <v>6527</v>
      </c>
      <c r="C151" s="795" t="str">
        <f>HYPERLINK("https://ark.intel.com/content/www/us/en/ark/products/97457/intel-core-i3-7300t-processor-4m-cache-3-50-ghz.html","7300T")</f>
        <v>7300T</v>
      </c>
      <c r="D151" s="222" t="s">
        <v>5131</v>
      </c>
      <c r="E151" s="222" t="s">
        <v>6530</v>
      </c>
      <c r="F151" s="222" t="s">
        <v>6521</v>
      </c>
      <c r="G151" s="222">
        <v>2.0</v>
      </c>
      <c r="H151" s="222">
        <v>4.0</v>
      </c>
      <c r="I151" s="796">
        <v>3.5</v>
      </c>
      <c r="J151" s="796" t="s">
        <v>166</v>
      </c>
      <c r="K151" s="222">
        <v>0.5</v>
      </c>
      <c r="L151" s="222">
        <v>4.0</v>
      </c>
      <c r="M151" s="222" t="s">
        <v>6522</v>
      </c>
      <c r="N151" s="222" t="s">
        <v>6532</v>
      </c>
      <c r="O151" s="222" t="s">
        <v>3149</v>
      </c>
      <c r="P151" s="222">
        <v>2400.0</v>
      </c>
      <c r="Q151" s="222">
        <v>35.0</v>
      </c>
      <c r="R151" s="222" t="s">
        <v>166</v>
      </c>
      <c r="S151" s="797">
        <v>147.0</v>
      </c>
      <c r="T151" s="389" t="s">
        <v>166</v>
      </c>
      <c r="U151" s="389" t="s">
        <v>6423</v>
      </c>
    </row>
    <row r="152">
      <c r="A152" s="241" t="s">
        <v>1688</v>
      </c>
      <c r="B152" s="389" t="s">
        <v>6527</v>
      </c>
      <c r="C152" s="795" t="str">
        <f>HYPERLINK("https://ark.intel.com/content/www/us/en/ark/products/97458/intel-core-i3-7300-processor-4m-cache-4-00-ghz.html","7300")</f>
        <v>7300</v>
      </c>
      <c r="D152" s="222" t="s">
        <v>5131</v>
      </c>
      <c r="E152" s="222" t="s">
        <v>6530</v>
      </c>
      <c r="F152" s="222" t="s">
        <v>6521</v>
      </c>
      <c r="G152" s="222">
        <v>2.0</v>
      </c>
      <c r="H152" s="222">
        <v>4.0</v>
      </c>
      <c r="I152" s="796">
        <v>4.0</v>
      </c>
      <c r="J152" s="796" t="s">
        <v>166</v>
      </c>
      <c r="K152" s="222">
        <v>0.5</v>
      </c>
      <c r="L152" s="222">
        <v>4.0</v>
      </c>
      <c r="M152" s="222" t="s">
        <v>6522</v>
      </c>
      <c r="N152" s="222" t="s">
        <v>6532</v>
      </c>
      <c r="O152" s="222" t="s">
        <v>3149</v>
      </c>
      <c r="P152" s="222">
        <v>2400.0</v>
      </c>
      <c r="Q152" s="222">
        <v>51.0</v>
      </c>
      <c r="R152" s="222" t="s">
        <v>166</v>
      </c>
      <c r="S152" s="797">
        <v>147.0</v>
      </c>
      <c r="T152" s="389" t="s">
        <v>6524</v>
      </c>
      <c r="U152" s="389"/>
    </row>
    <row r="153">
      <c r="A153" s="241" t="s">
        <v>1688</v>
      </c>
      <c r="B153" s="389" t="s">
        <v>6527</v>
      </c>
      <c r="C153" s="795" t="str">
        <f>HYPERLINK("https://ark.intel.com/content/www/us/en/ark/products/97484/intel-core-i3-7320-processor-4m-cache-4-10-ghz.html","7320")</f>
        <v>7320</v>
      </c>
      <c r="D153" s="222" t="s">
        <v>5131</v>
      </c>
      <c r="E153" s="222" t="s">
        <v>6530</v>
      </c>
      <c r="F153" s="222" t="s">
        <v>6521</v>
      </c>
      <c r="G153" s="222">
        <v>2.0</v>
      </c>
      <c r="H153" s="222">
        <v>4.0</v>
      </c>
      <c r="I153" s="796">
        <v>4.1</v>
      </c>
      <c r="J153" s="796" t="s">
        <v>166</v>
      </c>
      <c r="K153" s="222">
        <v>0.5</v>
      </c>
      <c r="L153" s="222">
        <v>4.0</v>
      </c>
      <c r="M153" s="222" t="s">
        <v>6522</v>
      </c>
      <c r="N153" s="222" t="s">
        <v>6532</v>
      </c>
      <c r="O153" s="222" t="s">
        <v>3149</v>
      </c>
      <c r="P153" s="222">
        <v>2400.0</v>
      </c>
      <c r="Q153" s="222">
        <v>51.0</v>
      </c>
      <c r="R153" s="222" t="s">
        <v>166</v>
      </c>
      <c r="S153" s="797">
        <v>157.0</v>
      </c>
      <c r="T153" s="389" t="s">
        <v>6524</v>
      </c>
      <c r="U153" s="389"/>
    </row>
    <row r="154">
      <c r="A154" s="241" t="s">
        <v>1688</v>
      </c>
      <c r="B154" s="389" t="s">
        <v>6527</v>
      </c>
      <c r="C154" s="795" t="str">
        <f>HYPERLINK("https://ark.intel.com/content/www/us/en/ark/products/97527/intel-core-i3-7350k-processor-4m-cache-4-20-ghz.html","7350K")</f>
        <v>7350K</v>
      </c>
      <c r="D154" s="222" t="s">
        <v>5131</v>
      </c>
      <c r="E154" s="222" t="s">
        <v>6530</v>
      </c>
      <c r="F154" s="222" t="s">
        <v>6521</v>
      </c>
      <c r="G154" s="222">
        <v>2.0</v>
      </c>
      <c r="H154" s="222">
        <v>4.0</v>
      </c>
      <c r="I154" s="796">
        <v>4.2</v>
      </c>
      <c r="J154" s="796" t="s">
        <v>166</v>
      </c>
      <c r="K154" s="222">
        <v>0.5</v>
      </c>
      <c r="L154" s="222">
        <v>4.0</v>
      </c>
      <c r="M154" s="222" t="s">
        <v>6522</v>
      </c>
      <c r="N154" s="222" t="s">
        <v>6532</v>
      </c>
      <c r="O154" s="222" t="s">
        <v>3149</v>
      </c>
      <c r="P154" s="222">
        <v>2400.0</v>
      </c>
      <c r="Q154" s="222">
        <v>60.0</v>
      </c>
      <c r="R154" s="222" t="s">
        <v>174</v>
      </c>
      <c r="S154" s="797">
        <v>179.0</v>
      </c>
      <c r="T154" s="389" t="s">
        <v>166</v>
      </c>
      <c r="U154" s="389"/>
    </row>
    <row r="155">
      <c r="A155" s="241" t="s">
        <v>1688</v>
      </c>
      <c r="B155" s="389" t="s">
        <v>6528</v>
      </c>
      <c r="C155" s="795" t="str">
        <f>HYPERLINK("https://ark.intel.com/content/www/us/en/ark/products/97184/intel-core-i5-7400t-processor-6m-cache-up-to-3-00-ghz.html","7400T")</f>
        <v>7400T</v>
      </c>
      <c r="D155" s="222" t="s">
        <v>5131</v>
      </c>
      <c r="E155" s="222" t="s">
        <v>6530</v>
      </c>
      <c r="F155" s="222" t="s">
        <v>6521</v>
      </c>
      <c r="G155" s="222">
        <v>4.0</v>
      </c>
      <c r="H155" s="222">
        <v>4.0</v>
      </c>
      <c r="I155" s="796">
        <v>2.4</v>
      </c>
      <c r="J155" s="796">
        <v>3.0</v>
      </c>
      <c r="K155" s="222">
        <v>1.0</v>
      </c>
      <c r="L155" s="222">
        <v>6.0</v>
      </c>
      <c r="M155" s="222" t="s">
        <v>6522</v>
      </c>
      <c r="N155" s="222" t="s">
        <v>6532</v>
      </c>
      <c r="O155" s="222" t="s">
        <v>3149</v>
      </c>
      <c r="P155" s="222">
        <v>2400.0</v>
      </c>
      <c r="Q155" s="222">
        <v>35.0</v>
      </c>
      <c r="R155" s="222" t="s">
        <v>166</v>
      </c>
      <c r="S155" s="797">
        <v>187.0</v>
      </c>
      <c r="T155" s="389" t="s">
        <v>166</v>
      </c>
      <c r="U155" s="389" t="s">
        <v>6423</v>
      </c>
    </row>
    <row r="156">
      <c r="A156" s="241" t="s">
        <v>1688</v>
      </c>
      <c r="B156" s="389" t="s">
        <v>6528</v>
      </c>
      <c r="C156" s="795" t="str">
        <f>HYPERLINK("https://ark.intel.com/content/www/us/en/ark/products/97147/intel-core-i5-7400-processor-6m-cache-up-to-3-50-ghz.html","7400")</f>
        <v>7400</v>
      </c>
      <c r="D156" s="222" t="s">
        <v>5131</v>
      </c>
      <c r="E156" s="222" t="s">
        <v>6530</v>
      </c>
      <c r="F156" s="222" t="s">
        <v>6521</v>
      </c>
      <c r="G156" s="222">
        <v>4.0</v>
      </c>
      <c r="H156" s="222">
        <v>4.0</v>
      </c>
      <c r="I156" s="796">
        <v>3.0</v>
      </c>
      <c r="J156" s="796">
        <v>3.5</v>
      </c>
      <c r="K156" s="222">
        <v>1.0</v>
      </c>
      <c r="L156" s="222">
        <v>6.0</v>
      </c>
      <c r="M156" s="222" t="s">
        <v>6522</v>
      </c>
      <c r="N156" s="222" t="s">
        <v>6532</v>
      </c>
      <c r="O156" s="222" t="s">
        <v>3149</v>
      </c>
      <c r="P156" s="222">
        <v>2400.0</v>
      </c>
      <c r="Q156" s="222">
        <v>65.0</v>
      </c>
      <c r="R156" s="222" t="s">
        <v>166</v>
      </c>
      <c r="S156" s="797">
        <v>182.0</v>
      </c>
      <c r="T156" s="389" t="s">
        <v>6524</v>
      </c>
      <c r="U156" s="389"/>
    </row>
    <row r="157">
      <c r="A157" s="241" t="s">
        <v>1688</v>
      </c>
      <c r="B157" s="389" t="s">
        <v>6528</v>
      </c>
      <c r="C157" s="795" t="str">
        <f>HYPERLINK("https://ark.intel.com/content/www/us/en/ark/products/97121/intel-core-i5-7500t-processor-6m-cache-up-to-3-30-ghz.html","7500T")</f>
        <v>7500T</v>
      </c>
      <c r="D157" s="222" t="s">
        <v>5131</v>
      </c>
      <c r="E157" s="222" t="s">
        <v>6530</v>
      </c>
      <c r="F157" s="222" t="s">
        <v>6521</v>
      </c>
      <c r="G157" s="222">
        <v>4.0</v>
      </c>
      <c r="H157" s="222">
        <v>4.0</v>
      </c>
      <c r="I157" s="796">
        <v>2.7</v>
      </c>
      <c r="J157" s="796">
        <v>3.3</v>
      </c>
      <c r="K157" s="222">
        <v>1.0</v>
      </c>
      <c r="L157" s="222">
        <v>6.0</v>
      </c>
      <c r="M157" s="222" t="s">
        <v>6522</v>
      </c>
      <c r="N157" s="222" t="s">
        <v>6532</v>
      </c>
      <c r="O157" s="222" t="s">
        <v>3149</v>
      </c>
      <c r="P157" s="222">
        <v>2400.0</v>
      </c>
      <c r="Q157" s="222">
        <v>35.0</v>
      </c>
      <c r="R157" s="222" t="s">
        <v>166</v>
      </c>
      <c r="S157" s="797">
        <v>202.0</v>
      </c>
      <c r="T157" s="389" t="s">
        <v>166</v>
      </c>
      <c r="U157" s="389" t="s">
        <v>6423</v>
      </c>
    </row>
    <row r="158">
      <c r="A158" s="241" t="s">
        <v>1688</v>
      </c>
      <c r="B158" s="389" t="s">
        <v>6528</v>
      </c>
      <c r="C158" s="795" t="str">
        <f>HYPERLINK("https://ark.intel.com/content/www/us/en/ark/products/97123/intel-core-i5-7500-processor-6m-cache-up-to-3-80-ghz.html","7500")</f>
        <v>7500</v>
      </c>
      <c r="D158" s="222" t="s">
        <v>5131</v>
      </c>
      <c r="E158" s="222" t="s">
        <v>6530</v>
      </c>
      <c r="F158" s="222" t="s">
        <v>6521</v>
      </c>
      <c r="G158" s="222">
        <v>4.0</v>
      </c>
      <c r="H158" s="222">
        <v>4.0</v>
      </c>
      <c r="I158" s="796">
        <v>3.4</v>
      </c>
      <c r="J158" s="796">
        <v>3.8</v>
      </c>
      <c r="K158" s="222">
        <v>1.0</v>
      </c>
      <c r="L158" s="222">
        <v>6.0</v>
      </c>
      <c r="M158" s="222" t="s">
        <v>6522</v>
      </c>
      <c r="N158" s="222" t="s">
        <v>6532</v>
      </c>
      <c r="O158" s="222" t="s">
        <v>3149</v>
      </c>
      <c r="P158" s="222">
        <v>2400.0</v>
      </c>
      <c r="Q158" s="222">
        <v>65.0</v>
      </c>
      <c r="R158" s="222" t="s">
        <v>166</v>
      </c>
      <c r="S158" s="797">
        <v>202.0</v>
      </c>
      <c r="T158" s="389" t="s">
        <v>6524</v>
      </c>
      <c r="U158" s="389"/>
    </row>
    <row r="159">
      <c r="A159" s="241" t="s">
        <v>1688</v>
      </c>
      <c r="B159" s="389" t="s">
        <v>6528</v>
      </c>
      <c r="C159" s="795" t="str">
        <f>HYPERLINK("https://ark.intel.com/content/www/us/en/ark/products/97183/intel-core-i5-7600t-processor-6m-cache-up-to-3-70-ghz.html","7600T")</f>
        <v>7600T</v>
      </c>
      <c r="D159" s="222" t="s">
        <v>5131</v>
      </c>
      <c r="E159" s="222" t="s">
        <v>6530</v>
      </c>
      <c r="F159" s="222" t="s">
        <v>6521</v>
      </c>
      <c r="G159" s="222">
        <v>4.0</v>
      </c>
      <c r="H159" s="222">
        <v>4.0</v>
      </c>
      <c r="I159" s="796">
        <v>2.8</v>
      </c>
      <c r="J159" s="796">
        <v>3.7</v>
      </c>
      <c r="K159" s="222">
        <v>1.0</v>
      </c>
      <c r="L159" s="222">
        <v>6.0</v>
      </c>
      <c r="M159" s="222" t="s">
        <v>6522</v>
      </c>
      <c r="N159" s="222" t="s">
        <v>6532</v>
      </c>
      <c r="O159" s="222" t="s">
        <v>3149</v>
      </c>
      <c r="P159" s="222">
        <v>2400.0</v>
      </c>
      <c r="Q159" s="222">
        <v>35.0</v>
      </c>
      <c r="R159" s="222" t="s">
        <v>166</v>
      </c>
      <c r="S159" s="797">
        <v>224.0</v>
      </c>
      <c r="T159" s="389" t="s">
        <v>166</v>
      </c>
      <c r="U159" s="389" t="s">
        <v>6423</v>
      </c>
    </row>
    <row r="160">
      <c r="A160" s="241" t="s">
        <v>1688</v>
      </c>
      <c r="B160" s="389" t="s">
        <v>6528</v>
      </c>
      <c r="C160" s="795" t="str">
        <f>HYPERLINK("https://ark.intel.com/content/www/us/en/ark/products/97150/intel-core-i5-7600-processor-6m-cache-up-to-4-10-ghz.html","7600")</f>
        <v>7600</v>
      </c>
      <c r="D160" s="222" t="s">
        <v>5131</v>
      </c>
      <c r="E160" s="222" t="s">
        <v>6530</v>
      </c>
      <c r="F160" s="222" t="s">
        <v>6521</v>
      </c>
      <c r="G160" s="222">
        <v>4.0</v>
      </c>
      <c r="H160" s="222">
        <v>4.0</v>
      </c>
      <c r="I160" s="796">
        <v>3.5</v>
      </c>
      <c r="J160" s="796">
        <v>4.1</v>
      </c>
      <c r="K160" s="222">
        <v>1.0</v>
      </c>
      <c r="L160" s="222">
        <v>6.0</v>
      </c>
      <c r="M160" s="222" t="s">
        <v>6522</v>
      </c>
      <c r="N160" s="222" t="s">
        <v>6532</v>
      </c>
      <c r="O160" s="222" t="s">
        <v>3149</v>
      </c>
      <c r="P160" s="222">
        <v>2400.0</v>
      </c>
      <c r="Q160" s="222">
        <v>65.0</v>
      </c>
      <c r="R160" s="222" t="s">
        <v>166</v>
      </c>
      <c r="S160" s="797">
        <v>224.0</v>
      </c>
      <c r="T160" s="389" t="s">
        <v>6524</v>
      </c>
      <c r="U160" s="389"/>
    </row>
    <row r="161">
      <c r="A161" s="241" t="s">
        <v>1688</v>
      </c>
      <c r="B161" s="389" t="s">
        <v>6528</v>
      </c>
      <c r="C161" s="795" t="str">
        <f>HYPERLINK("https://ark.intel.com/content/www/us/en/ark/products/97144/intel-core-i5-7600k-processor-6m-cache-up-to-4-20-ghz.html","7600K")</f>
        <v>7600K</v>
      </c>
      <c r="D161" s="222" t="s">
        <v>5131</v>
      </c>
      <c r="E161" s="222" t="s">
        <v>6530</v>
      </c>
      <c r="F161" s="222" t="s">
        <v>6521</v>
      </c>
      <c r="G161" s="222">
        <v>4.0</v>
      </c>
      <c r="H161" s="222">
        <v>4.0</v>
      </c>
      <c r="I161" s="796">
        <v>3.8</v>
      </c>
      <c r="J161" s="796">
        <v>4.2</v>
      </c>
      <c r="K161" s="222">
        <v>1.0</v>
      </c>
      <c r="L161" s="222">
        <v>6.0</v>
      </c>
      <c r="M161" s="222" t="s">
        <v>6522</v>
      </c>
      <c r="N161" s="222" t="s">
        <v>6532</v>
      </c>
      <c r="O161" s="222" t="s">
        <v>3149</v>
      </c>
      <c r="P161" s="222">
        <v>2400.0</v>
      </c>
      <c r="Q161" s="222">
        <v>91.0</v>
      </c>
      <c r="R161" s="222" t="s">
        <v>174</v>
      </c>
      <c r="S161" s="797">
        <v>250.0</v>
      </c>
      <c r="T161" s="389" t="s">
        <v>166</v>
      </c>
      <c r="U161" s="389"/>
    </row>
    <row r="162">
      <c r="A162" s="241" t="s">
        <v>1688</v>
      </c>
      <c r="B162" s="389" t="s">
        <v>6529</v>
      </c>
      <c r="C162" s="795" t="str">
        <f>HYPERLINK("https://ark.intel.com/content/www/us/en/ark/products/97122/intel-core-i7-7700t-processor-8m-cache-up-to-3-80-ghz.html","7700T")</f>
        <v>7700T</v>
      </c>
      <c r="D162" s="222" t="s">
        <v>5131</v>
      </c>
      <c r="E162" s="222" t="s">
        <v>6530</v>
      </c>
      <c r="F162" s="222" t="s">
        <v>6521</v>
      </c>
      <c r="G162" s="222">
        <v>4.0</v>
      </c>
      <c r="H162" s="222">
        <v>8.0</v>
      </c>
      <c r="I162" s="796">
        <v>2.9</v>
      </c>
      <c r="J162" s="796">
        <v>3.8</v>
      </c>
      <c r="K162" s="222">
        <v>1.0</v>
      </c>
      <c r="L162" s="222">
        <v>8.0</v>
      </c>
      <c r="M162" s="222" t="s">
        <v>6522</v>
      </c>
      <c r="N162" s="222" t="s">
        <v>6532</v>
      </c>
      <c r="O162" s="222" t="s">
        <v>3149</v>
      </c>
      <c r="P162" s="222">
        <v>2400.0</v>
      </c>
      <c r="Q162" s="222">
        <v>35.0</v>
      </c>
      <c r="R162" s="222" t="s">
        <v>166</v>
      </c>
      <c r="S162" s="797">
        <v>312.0</v>
      </c>
      <c r="T162" s="389" t="s">
        <v>166</v>
      </c>
      <c r="U162" s="389" t="s">
        <v>6423</v>
      </c>
    </row>
    <row r="163">
      <c r="A163" s="241" t="s">
        <v>1688</v>
      </c>
      <c r="B163" s="389" t="s">
        <v>6529</v>
      </c>
      <c r="C163" s="795" t="str">
        <f>HYPERLINK("https://ark.intel.com/content/www/us/en/ark/products/97128/intel-core-i7-7700-processor-8m-cache-up-to-4-20-ghz.html","7700")</f>
        <v>7700</v>
      </c>
      <c r="D163" s="222" t="s">
        <v>5131</v>
      </c>
      <c r="E163" s="222" t="s">
        <v>6530</v>
      </c>
      <c r="F163" s="222" t="s">
        <v>6521</v>
      </c>
      <c r="G163" s="222">
        <v>4.0</v>
      </c>
      <c r="H163" s="222">
        <v>8.0</v>
      </c>
      <c r="I163" s="796">
        <v>3.6</v>
      </c>
      <c r="J163" s="796">
        <v>4.2</v>
      </c>
      <c r="K163" s="222">
        <v>1.0</v>
      </c>
      <c r="L163" s="222">
        <v>8.0</v>
      </c>
      <c r="M163" s="222" t="s">
        <v>6522</v>
      </c>
      <c r="N163" s="222" t="s">
        <v>6532</v>
      </c>
      <c r="O163" s="222" t="s">
        <v>3149</v>
      </c>
      <c r="P163" s="222">
        <v>2400.0</v>
      </c>
      <c r="Q163" s="222">
        <v>65.0</v>
      </c>
      <c r="R163" s="222" t="s">
        <v>166</v>
      </c>
      <c r="S163" s="797">
        <v>312.0</v>
      </c>
      <c r="T163" s="389" t="s">
        <v>6524</v>
      </c>
      <c r="U163" s="389"/>
    </row>
    <row r="164">
      <c r="A164" s="247" t="s">
        <v>1688</v>
      </c>
      <c r="B164" s="802" t="s">
        <v>6529</v>
      </c>
      <c r="C164" s="799" t="str">
        <f>HYPERLINK("https://ark.intel.com/content/www/us/en/ark/products/97129/intel-core-i7-7700k-processor-8m-cache-up-to-4-50-ghz.html","7700K")</f>
        <v>7700K</v>
      </c>
      <c r="D164" s="233" t="s">
        <v>5131</v>
      </c>
      <c r="E164" s="233" t="s">
        <v>6530</v>
      </c>
      <c r="F164" s="233" t="s">
        <v>6521</v>
      </c>
      <c r="G164" s="233">
        <v>4.0</v>
      </c>
      <c r="H164" s="233">
        <v>8.0</v>
      </c>
      <c r="I164" s="800">
        <v>4.2</v>
      </c>
      <c r="J164" s="800">
        <v>4.5</v>
      </c>
      <c r="K164" s="233">
        <v>1.0</v>
      </c>
      <c r="L164" s="233">
        <v>8.0</v>
      </c>
      <c r="M164" s="233" t="s">
        <v>6522</v>
      </c>
      <c r="N164" s="233" t="s">
        <v>6532</v>
      </c>
      <c r="O164" s="233" t="s">
        <v>3149</v>
      </c>
      <c r="P164" s="233">
        <v>2400.0</v>
      </c>
      <c r="Q164" s="233">
        <v>91.0</v>
      </c>
      <c r="R164" s="233" t="s">
        <v>174</v>
      </c>
      <c r="S164" s="801">
        <v>350.0</v>
      </c>
      <c r="T164" s="802" t="s">
        <v>166</v>
      </c>
      <c r="U164" s="802"/>
    </row>
    <row r="165">
      <c r="A165" s="241" t="s">
        <v>1688</v>
      </c>
      <c r="B165" s="389" t="s">
        <v>6519</v>
      </c>
      <c r="C165" s="795" t="str">
        <f>HYPERLINK("https://ark.intel.com/content/www/us/en/ark/products/129952/intel-celeron-g4900t-processor-2m-cache-2-90-ghz.html","G4900T")</f>
        <v>G4900T</v>
      </c>
      <c r="D165" s="222" t="s">
        <v>5184</v>
      </c>
      <c r="E165" s="222" t="s">
        <v>6533</v>
      </c>
      <c r="F165" s="222" t="s">
        <v>6521</v>
      </c>
      <c r="G165" s="222">
        <v>2.0</v>
      </c>
      <c r="H165" s="222">
        <v>2.0</v>
      </c>
      <c r="I165" s="796">
        <v>2.9</v>
      </c>
      <c r="J165" s="796" t="s">
        <v>166</v>
      </c>
      <c r="K165" s="222">
        <v>0.5</v>
      </c>
      <c r="L165" s="222">
        <v>2.0</v>
      </c>
      <c r="M165" s="222" t="s">
        <v>6522</v>
      </c>
      <c r="N165" s="222" t="s">
        <v>6534</v>
      </c>
      <c r="O165" s="222" t="s">
        <v>3149</v>
      </c>
      <c r="P165" s="222">
        <v>2400.0</v>
      </c>
      <c r="Q165" s="222">
        <v>35.0</v>
      </c>
      <c r="R165" s="222" t="s">
        <v>166</v>
      </c>
      <c r="S165" s="797">
        <v>42.0</v>
      </c>
      <c r="T165" s="389" t="s">
        <v>166</v>
      </c>
      <c r="U165" s="389" t="s">
        <v>6423</v>
      </c>
    </row>
    <row r="166">
      <c r="A166" s="241" t="s">
        <v>1688</v>
      </c>
      <c r="B166" s="389" t="s">
        <v>6519</v>
      </c>
      <c r="C166" s="795" t="str">
        <f>HYPERLINK("https://ark.intel.com/content/www/us/en/ark/products/129487/intel-celeron-g4900-processor-2m-cache-3-10-ghz.html","G4900")</f>
        <v>G4900</v>
      </c>
      <c r="D166" s="222" t="s">
        <v>5184</v>
      </c>
      <c r="E166" s="222" t="s">
        <v>6533</v>
      </c>
      <c r="F166" s="222" t="s">
        <v>6521</v>
      </c>
      <c r="G166" s="222">
        <v>2.0</v>
      </c>
      <c r="H166" s="222">
        <v>2.0</v>
      </c>
      <c r="I166" s="796">
        <v>3.1</v>
      </c>
      <c r="J166" s="796" t="s">
        <v>166</v>
      </c>
      <c r="K166" s="222">
        <v>0.5</v>
      </c>
      <c r="L166" s="222">
        <v>2.0</v>
      </c>
      <c r="M166" s="222" t="s">
        <v>6522</v>
      </c>
      <c r="N166" s="222" t="s">
        <v>6534</v>
      </c>
      <c r="O166" s="222" t="s">
        <v>3149</v>
      </c>
      <c r="P166" s="222">
        <v>2400.0</v>
      </c>
      <c r="Q166" s="222">
        <v>54.0</v>
      </c>
      <c r="R166" s="222" t="s">
        <v>166</v>
      </c>
      <c r="S166" s="797">
        <v>42.0</v>
      </c>
      <c r="T166" s="389" t="s">
        <v>6524</v>
      </c>
      <c r="U166" s="389"/>
    </row>
    <row r="167">
      <c r="A167" s="241" t="s">
        <v>1688</v>
      </c>
      <c r="B167" s="389" t="s">
        <v>6519</v>
      </c>
      <c r="C167" s="795" t="str">
        <f>HYPERLINK("https://ark.intel.com/content/www/us/en/ark/products/129950/intel-celeron-g4920-processor-2m-cache-3-20-ghz.html","G4920")</f>
        <v>G4920</v>
      </c>
      <c r="D167" s="222" t="s">
        <v>5184</v>
      </c>
      <c r="E167" s="222" t="s">
        <v>6533</v>
      </c>
      <c r="F167" s="222" t="s">
        <v>6521</v>
      </c>
      <c r="G167" s="222">
        <v>2.0</v>
      </c>
      <c r="H167" s="222">
        <v>2.0</v>
      </c>
      <c r="I167" s="796">
        <v>3.2</v>
      </c>
      <c r="J167" s="796" t="s">
        <v>166</v>
      </c>
      <c r="K167" s="222">
        <v>0.5</v>
      </c>
      <c r="L167" s="222">
        <v>2.0</v>
      </c>
      <c r="M167" s="222" t="s">
        <v>6522</v>
      </c>
      <c r="N167" s="222" t="s">
        <v>6534</v>
      </c>
      <c r="O167" s="222" t="s">
        <v>3149</v>
      </c>
      <c r="P167" s="222">
        <v>2400.0</v>
      </c>
      <c r="Q167" s="222">
        <v>54.0</v>
      </c>
      <c r="R167" s="222" t="s">
        <v>166</v>
      </c>
      <c r="S167" s="797">
        <v>52.0</v>
      </c>
      <c r="T167" s="389" t="s">
        <v>6524</v>
      </c>
      <c r="U167" s="389"/>
    </row>
    <row r="168">
      <c r="A168" s="241" t="s">
        <v>1688</v>
      </c>
      <c r="B168" s="389" t="s">
        <v>6535</v>
      </c>
      <c r="C168" s="795" t="str">
        <f>HYPERLINK("https://ark.intel.com/content/www/us/en/ark/products/129949/intel-pentium-gold-g5400t-processor-4m-cache-3-10-ghz.html","G5400T")</f>
        <v>G5400T</v>
      </c>
      <c r="D168" s="222" t="s">
        <v>5184</v>
      </c>
      <c r="E168" s="222" t="s">
        <v>6533</v>
      </c>
      <c r="F168" s="222" t="s">
        <v>6521</v>
      </c>
      <c r="G168" s="222">
        <v>2.0</v>
      </c>
      <c r="H168" s="222">
        <v>4.0</v>
      </c>
      <c r="I168" s="796">
        <v>3.1</v>
      </c>
      <c r="J168" s="796" t="s">
        <v>166</v>
      </c>
      <c r="K168" s="222">
        <v>0.5</v>
      </c>
      <c r="L168" s="222">
        <v>4.0</v>
      </c>
      <c r="M168" s="222" t="s">
        <v>6522</v>
      </c>
      <c r="N168" s="222" t="s">
        <v>6534</v>
      </c>
      <c r="O168" s="222" t="s">
        <v>3149</v>
      </c>
      <c r="P168" s="222">
        <v>2400.0</v>
      </c>
      <c r="Q168" s="222">
        <v>35.0</v>
      </c>
      <c r="R168" s="222" t="s">
        <v>166</v>
      </c>
      <c r="S168" s="797">
        <v>64.0</v>
      </c>
      <c r="T168" s="389" t="s">
        <v>166</v>
      </c>
      <c r="U168" s="389" t="s">
        <v>6423</v>
      </c>
    </row>
    <row r="169">
      <c r="A169" s="241" t="s">
        <v>1688</v>
      </c>
      <c r="B169" s="389" t="s">
        <v>6535</v>
      </c>
      <c r="C169" s="795" t="str">
        <f>HYPERLINK("https://ark.intel.com/content/www/us/en/ark/products/129951/intel-pentium-gold-g5400-processor-4m-cache-3-70-ghz.html","G5400")</f>
        <v>G5400</v>
      </c>
      <c r="D169" s="222" t="s">
        <v>5184</v>
      </c>
      <c r="E169" s="222" t="s">
        <v>6533</v>
      </c>
      <c r="F169" s="222" t="s">
        <v>6521</v>
      </c>
      <c r="G169" s="222">
        <v>2.0</v>
      </c>
      <c r="H169" s="222">
        <v>4.0</v>
      </c>
      <c r="I169" s="796">
        <v>3.7</v>
      </c>
      <c r="J169" s="796" t="s">
        <v>166</v>
      </c>
      <c r="K169" s="222">
        <v>0.5</v>
      </c>
      <c r="L169" s="222">
        <v>4.0</v>
      </c>
      <c r="M169" s="222" t="s">
        <v>6522</v>
      </c>
      <c r="N169" s="222" t="s">
        <v>6534</v>
      </c>
      <c r="O169" s="222" t="s">
        <v>3149</v>
      </c>
      <c r="P169" s="222">
        <v>2400.0</v>
      </c>
      <c r="Q169" s="222">
        <v>54.0</v>
      </c>
      <c r="R169" s="222" t="s">
        <v>166</v>
      </c>
      <c r="S169" s="797">
        <v>64.0</v>
      </c>
      <c r="T169" s="389" t="s">
        <v>6524</v>
      </c>
      <c r="U169" s="389"/>
    </row>
    <row r="170">
      <c r="A170" s="241" t="s">
        <v>1688</v>
      </c>
      <c r="B170" s="389" t="s">
        <v>6535</v>
      </c>
      <c r="C170" s="795" t="str">
        <f>HYPERLINK("https://ark.intel.com/content/www/us/en/ark/products/129947/intel-pentium-gold-g5500t-processor-4m-cache-3-20-ghz.html","G5500T")</f>
        <v>G5500T</v>
      </c>
      <c r="D170" s="222" t="s">
        <v>5184</v>
      </c>
      <c r="E170" s="222" t="s">
        <v>6533</v>
      </c>
      <c r="F170" s="222" t="s">
        <v>6521</v>
      </c>
      <c r="G170" s="222">
        <v>2.0</v>
      </c>
      <c r="H170" s="222">
        <v>4.0</v>
      </c>
      <c r="I170" s="796">
        <v>3.2</v>
      </c>
      <c r="J170" s="796" t="s">
        <v>166</v>
      </c>
      <c r="K170" s="222">
        <v>0.5</v>
      </c>
      <c r="L170" s="222">
        <v>4.0</v>
      </c>
      <c r="M170" s="222" t="s">
        <v>6522</v>
      </c>
      <c r="N170" s="222" t="s">
        <v>6536</v>
      </c>
      <c r="O170" s="222" t="s">
        <v>3149</v>
      </c>
      <c r="P170" s="222">
        <v>2400.0</v>
      </c>
      <c r="Q170" s="222">
        <v>35.0</v>
      </c>
      <c r="R170" s="222" t="s">
        <v>166</v>
      </c>
      <c r="S170" s="797">
        <v>75.0</v>
      </c>
      <c r="T170" s="389" t="s">
        <v>166</v>
      </c>
      <c r="U170" s="389" t="s">
        <v>6423</v>
      </c>
    </row>
    <row r="171">
      <c r="A171" s="241" t="s">
        <v>1688</v>
      </c>
      <c r="B171" s="389" t="s">
        <v>6535</v>
      </c>
      <c r="C171" s="795" t="str">
        <f>HYPERLINK("https://ark.intel.com/content/www/us/en/ark/products/129946/intel-pentium-gold-g5500-processor-4m-cache-3-80-ghz.html","G5500")</f>
        <v>G5500</v>
      </c>
      <c r="D171" s="222" t="s">
        <v>5184</v>
      </c>
      <c r="E171" s="222" t="s">
        <v>6533</v>
      </c>
      <c r="F171" s="222" t="s">
        <v>6521</v>
      </c>
      <c r="G171" s="222">
        <v>2.0</v>
      </c>
      <c r="H171" s="222">
        <v>4.0</v>
      </c>
      <c r="I171" s="796">
        <v>3.8</v>
      </c>
      <c r="J171" s="796" t="s">
        <v>166</v>
      </c>
      <c r="K171" s="222">
        <v>0.5</v>
      </c>
      <c r="L171" s="222">
        <v>4.0</v>
      </c>
      <c r="M171" s="222" t="s">
        <v>6522</v>
      </c>
      <c r="N171" s="222" t="s">
        <v>6536</v>
      </c>
      <c r="O171" s="222" t="s">
        <v>3149</v>
      </c>
      <c r="P171" s="222">
        <v>2400.0</v>
      </c>
      <c r="Q171" s="222">
        <v>54.0</v>
      </c>
      <c r="R171" s="222" t="s">
        <v>166</v>
      </c>
      <c r="S171" s="797">
        <v>75.0</v>
      </c>
      <c r="T171" s="389" t="s">
        <v>6524</v>
      </c>
      <c r="U171" s="389"/>
    </row>
    <row r="172">
      <c r="A172" s="241" t="s">
        <v>1688</v>
      </c>
      <c r="B172" s="389" t="s">
        <v>6535</v>
      </c>
      <c r="C172" s="795" t="str">
        <f>HYPERLINK("https://ark.intel.com/content/www/us/en/ark/products/129945/intel-pentium-gold-g5600-processor-4m-cache-3-90-ghz.html","G5600")</f>
        <v>G5600</v>
      </c>
      <c r="D172" s="222" t="s">
        <v>5184</v>
      </c>
      <c r="E172" s="222" t="s">
        <v>6533</v>
      </c>
      <c r="F172" s="222" t="s">
        <v>6521</v>
      </c>
      <c r="G172" s="222">
        <v>2.0</v>
      </c>
      <c r="H172" s="222">
        <v>4.0</v>
      </c>
      <c r="I172" s="796">
        <v>3.9</v>
      </c>
      <c r="J172" s="796" t="s">
        <v>166</v>
      </c>
      <c r="K172" s="222">
        <v>0.5</v>
      </c>
      <c r="L172" s="222">
        <v>4.0</v>
      </c>
      <c r="M172" s="222" t="s">
        <v>6522</v>
      </c>
      <c r="N172" s="222" t="s">
        <v>6536</v>
      </c>
      <c r="O172" s="222" t="s">
        <v>3149</v>
      </c>
      <c r="P172" s="222">
        <v>2400.0</v>
      </c>
      <c r="Q172" s="222">
        <v>54.0</v>
      </c>
      <c r="R172" s="222" t="s">
        <v>166</v>
      </c>
      <c r="S172" s="797">
        <v>86.0</v>
      </c>
      <c r="T172" s="389" t="s">
        <v>6524</v>
      </c>
      <c r="U172" s="389"/>
    </row>
    <row r="173">
      <c r="A173" s="241" t="s">
        <v>1688</v>
      </c>
      <c r="B173" s="389" t="s">
        <v>6527</v>
      </c>
      <c r="C173" s="795" t="str">
        <f>HYPERLINK("https://ark.intel.com/content/www/us/en/ark/products/129944/intel-core-i3-8100t-processor-6m-cache-3-10-ghz.html","8100T")</f>
        <v>8100T</v>
      </c>
      <c r="D173" s="222" t="s">
        <v>5184</v>
      </c>
      <c r="E173" s="222" t="s">
        <v>6533</v>
      </c>
      <c r="F173" s="222" t="s">
        <v>6521</v>
      </c>
      <c r="G173" s="222">
        <v>4.0</v>
      </c>
      <c r="H173" s="222">
        <v>4.0</v>
      </c>
      <c r="I173" s="796">
        <v>3.1</v>
      </c>
      <c r="J173" s="796" t="s">
        <v>166</v>
      </c>
      <c r="K173" s="222">
        <v>1.0</v>
      </c>
      <c r="L173" s="222">
        <v>6.0</v>
      </c>
      <c r="M173" s="222" t="s">
        <v>6522</v>
      </c>
      <c r="N173" s="222" t="s">
        <v>6536</v>
      </c>
      <c r="O173" s="222" t="s">
        <v>3149</v>
      </c>
      <c r="P173" s="222">
        <v>2400.0</v>
      </c>
      <c r="Q173" s="222">
        <v>35.0</v>
      </c>
      <c r="R173" s="222" t="s">
        <v>166</v>
      </c>
      <c r="S173" s="797">
        <v>117.0</v>
      </c>
      <c r="T173" s="389" t="s">
        <v>166</v>
      </c>
      <c r="U173" s="389" t="s">
        <v>6423</v>
      </c>
    </row>
    <row r="174">
      <c r="A174" s="241" t="s">
        <v>1688</v>
      </c>
      <c r="B174" s="389" t="s">
        <v>6527</v>
      </c>
      <c r="C174" s="795" t="str">
        <f>HYPERLINK("https://ark.intel.com/content/www/us/en/ark/products/126688/intel-core-i3-8100-processor-6m-cache-3-60-ghz.html","8100F")</f>
        <v>8100F</v>
      </c>
      <c r="D174" s="222" t="s">
        <v>5184</v>
      </c>
      <c r="E174" s="222" t="s">
        <v>6533</v>
      </c>
      <c r="F174" s="222" t="s">
        <v>6521</v>
      </c>
      <c r="G174" s="222">
        <v>4.0</v>
      </c>
      <c r="H174" s="222">
        <v>4.0</v>
      </c>
      <c r="I174" s="796">
        <v>3.6</v>
      </c>
      <c r="J174" s="796" t="s">
        <v>166</v>
      </c>
      <c r="K174" s="222">
        <v>1.0</v>
      </c>
      <c r="L174" s="222">
        <v>6.0</v>
      </c>
      <c r="M174" s="222" t="s">
        <v>6522</v>
      </c>
      <c r="N174" s="222" t="s">
        <v>166</v>
      </c>
      <c r="O174" s="222" t="s">
        <v>3149</v>
      </c>
      <c r="P174" s="222">
        <v>2400.0</v>
      </c>
      <c r="Q174" s="222">
        <v>65.0</v>
      </c>
      <c r="R174" s="222" t="s">
        <v>166</v>
      </c>
      <c r="S174" s="797">
        <v>117.0</v>
      </c>
      <c r="T174" s="389" t="s">
        <v>6524</v>
      </c>
      <c r="U174" s="389"/>
    </row>
    <row r="175">
      <c r="A175" s="241" t="s">
        <v>1688</v>
      </c>
      <c r="B175" s="389" t="s">
        <v>6527</v>
      </c>
      <c r="C175" s="795" t="str">
        <f>HYPERLINK("https://ark.intel.com/content/www/us/en/ark/products/126688/intel-core-i3-8100-processor-6m-cache-3-60-ghz.html","8100")</f>
        <v>8100</v>
      </c>
      <c r="D175" s="222" t="s">
        <v>5184</v>
      </c>
      <c r="E175" s="222" t="s">
        <v>6533</v>
      </c>
      <c r="F175" s="222" t="s">
        <v>6521</v>
      </c>
      <c r="G175" s="222">
        <v>4.0</v>
      </c>
      <c r="H175" s="222">
        <v>4.0</v>
      </c>
      <c r="I175" s="796">
        <v>3.6</v>
      </c>
      <c r="J175" s="796" t="s">
        <v>166</v>
      </c>
      <c r="K175" s="222">
        <v>1.0</v>
      </c>
      <c r="L175" s="222">
        <v>6.0</v>
      </c>
      <c r="M175" s="222" t="s">
        <v>6522</v>
      </c>
      <c r="N175" s="222" t="s">
        <v>6536</v>
      </c>
      <c r="O175" s="222" t="s">
        <v>3149</v>
      </c>
      <c r="P175" s="222">
        <v>2400.0</v>
      </c>
      <c r="Q175" s="222">
        <v>65.0</v>
      </c>
      <c r="R175" s="222" t="s">
        <v>166</v>
      </c>
      <c r="S175" s="797">
        <v>117.0</v>
      </c>
      <c r="T175" s="389" t="s">
        <v>6524</v>
      </c>
      <c r="U175" s="389"/>
    </row>
    <row r="176">
      <c r="A176" s="241" t="s">
        <v>1688</v>
      </c>
      <c r="B176" s="389" t="s">
        <v>6527</v>
      </c>
      <c r="C176" s="795" t="str">
        <f>HYPERLINK("https://ark.intel.com/content/www/us/en/ark/products/129943/intel-core-i3-8300t-processor-8m-cache-3-20-ghz.html","8300T")</f>
        <v>8300T</v>
      </c>
      <c r="D176" s="222" t="s">
        <v>5184</v>
      </c>
      <c r="E176" s="222" t="s">
        <v>6533</v>
      </c>
      <c r="F176" s="222" t="s">
        <v>6521</v>
      </c>
      <c r="G176" s="222">
        <v>4.0</v>
      </c>
      <c r="H176" s="222">
        <v>4.0</v>
      </c>
      <c r="I176" s="796">
        <v>3.2</v>
      </c>
      <c r="J176" s="796" t="s">
        <v>166</v>
      </c>
      <c r="K176" s="222">
        <v>1.0</v>
      </c>
      <c r="L176" s="222">
        <v>8.0</v>
      </c>
      <c r="M176" s="222" t="s">
        <v>6522</v>
      </c>
      <c r="N176" s="222" t="s">
        <v>6536</v>
      </c>
      <c r="O176" s="222" t="s">
        <v>3149</v>
      </c>
      <c r="P176" s="222">
        <v>2400.0</v>
      </c>
      <c r="Q176" s="222">
        <v>35.0</v>
      </c>
      <c r="R176" s="222" t="s">
        <v>166</v>
      </c>
      <c r="S176" s="797">
        <v>138.0</v>
      </c>
      <c r="T176" s="389" t="s">
        <v>166</v>
      </c>
      <c r="U176" s="389" t="s">
        <v>6423</v>
      </c>
    </row>
    <row r="177">
      <c r="A177" s="241" t="s">
        <v>1688</v>
      </c>
      <c r="B177" s="389" t="s">
        <v>6527</v>
      </c>
      <c r="C177" s="795" t="str">
        <f>HYPERLINK("https://ark.intel.com/content/www/us/en/ark/products/129942/intel-core-i3-8300-processor-8m-cache-3-70-ghz.html","8300")</f>
        <v>8300</v>
      </c>
      <c r="D177" s="222" t="s">
        <v>5184</v>
      </c>
      <c r="E177" s="222" t="s">
        <v>6533</v>
      </c>
      <c r="F177" s="222" t="s">
        <v>6521</v>
      </c>
      <c r="G177" s="222">
        <v>4.0</v>
      </c>
      <c r="H177" s="222">
        <v>4.0</v>
      </c>
      <c r="I177" s="796">
        <v>3.7</v>
      </c>
      <c r="J177" s="796" t="s">
        <v>166</v>
      </c>
      <c r="K177" s="222">
        <v>1.0</v>
      </c>
      <c r="L177" s="222">
        <v>8.0</v>
      </c>
      <c r="M177" s="222" t="s">
        <v>6522</v>
      </c>
      <c r="N177" s="222" t="s">
        <v>6536</v>
      </c>
      <c r="O177" s="222" t="s">
        <v>3149</v>
      </c>
      <c r="P177" s="222">
        <v>2400.0</v>
      </c>
      <c r="Q177" s="222">
        <v>62.0</v>
      </c>
      <c r="R177" s="222" t="s">
        <v>166</v>
      </c>
      <c r="S177" s="797">
        <v>138.0</v>
      </c>
      <c r="T177" s="389" t="s">
        <v>6524</v>
      </c>
      <c r="U177" s="389"/>
    </row>
    <row r="178">
      <c r="A178" s="241" t="s">
        <v>1688</v>
      </c>
      <c r="B178" s="389" t="s">
        <v>6527</v>
      </c>
      <c r="C178" s="795" t="str">
        <f>HYPERLINK("https://ark.intel.com/content/www/us/en/ark/products/126689/intel-core-i3-8350k-processor-8m-cache-4-00-ghz.html","8350K")</f>
        <v>8350K</v>
      </c>
      <c r="D178" s="222" t="s">
        <v>5184</v>
      </c>
      <c r="E178" s="222" t="s">
        <v>6533</v>
      </c>
      <c r="F178" s="222" t="s">
        <v>6521</v>
      </c>
      <c r="G178" s="222">
        <v>4.0</v>
      </c>
      <c r="H178" s="222">
        <v>4.0</v>
      </c>
      <c r="I178" s="796">
        <v>4.0</v>
      </c>
      <c r="J178" s="796" t="s">
        <v>166</v>
      </c>
      <c r="K178" s="222">
        <v>1.0</v>
      </c>
      <c r="L178" s="222">
        <v>8.0</v>
      </c>
      <c r="M178" s="222" t="s">
        <v>6522</v>
      </c>
      <c r="N178" s="222" t="s">
        <v>6536</v>
      </c>
      <c r="O178" s="222" t="s">
        <v>3149</v>
      </c>
      <c r="P178" s="222">
        <v>2400.0</v>
      </c>
      <c r="Q178" s="222">
        <v>91.0</v>
      </c>
      <c r="R178" s="222" t="s">
        <v>174</v>
      </c>
      <c r="S178" s="797">
        <v>168.0</v>
      </c>
      <c r="T178" s="389" t="s">
        <v>166</v>
      </c>
      <c r="U178" s="389"/>
    </row>
    <row r="179">
      <c r="A179" s="241" t="s">
        <v>1688</v>
      </c>
      <c r="B179" s="389" t="s">
        <v>6528</v>
      </c>
      <c r="C179" s="795" t="str">
        <f>HYPERLINK("https://ark.intel.com/content/www/us/en/ark/products/129940/intel-core-i5-8400t-processor-9m-cache-up-to-3-30-ghz.html","8400T")</f>
        <v>8400T</v>
      </c>
      <c r="D179" s="222" t="s">
        <v>5184</v>
      </c>
      <c r="E179" s="222" t="s">
        <v>6533</v>
      </c>
      <c r="F179" s="222" t="s">
        <v>6521</v>
      </c>
      <c r="G179" s="222">
        <v>6.0</v>
      </c>
      <c r="H179" s="222">
        <v>6.0</v>
      </c>
      <c r="I179" s="796">
        <v>1.7</v>
      </c>
      <c r="J179" s="796">
        <v>3.3</v>
      </c>
      <c r="K179" s="222">
        <v>1.5</v>
      </c>
      <c r="L179" s="222">
        <v>9.0</v>
      </c>
      <c r="M179" s="222" t="s">
        <v>6522</v>
      </c>
      <c r="N179" s="222" t="s">
        <v>6536</v>
      </c>
      <c r="O179" s="222" t="s">
        <v>3149</v>
      </c>
      <c r="P179" s="222">
        <v>2666.0</v>
      </c>
      <c r="Q179" s="222">
        <v>35.0</v>
      </c>
      <c r="R179" s="222" t="s">
        <v>166</v>
      </c>
      <c r="S179" s="797">
        <v>182.0</v>
      </c>
      <c r="T179" s="389" t="s">
        <v>166</v>
      </c>
      <c r="U179" s="389" t="s">
        <v>6423</v>
      </c>
    </row>
    <row r="180">
      <c r="A180" s="241" t="s">
        <v>1688</v>
      </c>
      <c r="B180" s="389" t="s">
        <v>6528</v>
      </c>
      <c r="C180" s="795" t="str">
        <f>HYPERLINK("https://ark.intel.com/content/www/us/en/ark/products/126687/intel-core-i5-8400-processor-9m-cache-up-to-4-00-ghz.html","8400")</f>
        <v>8400</v>
      </c>
      <c r="D180" s="222" t="s">
        <v>5184</v>
      </c>
      <c r="E180" s="222" t="s">
        <v>6533</v>
      </c>
      <c r="F180" s="222" t="s">
        <v>6521</v>
      </c>
      <c r="G180" s="222">
        <v>6.0</v>
      </c>
      <c r="H180" s="222">
        <v>6.0</v>
      </c>
      <c r="I180" s="796">
        <v>2.8</v>
      </c>
      <c r="J180" s="796">
        <v>4.0</v>
      </c>
      <c r="K180" s="222">
        <v>1.5</v>
      </c>
      <c r="L180" s="222">
        <v>9.0</v>
      </c>
      <c r="M180" s="222" t="s">
        <v>6522</v>
      </c>
      <c r="N180" s="222" t="s">
        <v>6536</v>
      </c>
      <c r="O180" s="222" t="s">
        <v>3149</v>
      </c>
      <c r="P180" s="222">
        <v>2666.0</v>
      </c>
      <c r="Q180" s="222">
        <v>65.0</v>
      </c>
      <c r="R180" s="222" t="s">
        <v>166</v>
      </c>
      <c r="S180" s="797">
        <v>182.0</v>
      </c>
      <c r="T180" s="389" t="s">
        <v>6524</v>
      </c>
      <c r="U180" s="389"/>
    </row>
    <row r="181">
      <c r="A181" s="241" t="s">
        <v>1688</v>
      </c>
      <c r="B181" s="389" t="s">
        <v>6528</v>
      </c>
      <c r="C181" s="795" t="str">
        <f>HYPERLINK("https://ark.intel.com/content/www/us/en/ark/products/129941/intel-core-i5-8500t-processor-9m-cache-up-to-3-50-ghz.html","8500T")</f>
        <v>8500T</v>
      </c>
      <c r="D181" s="222" t="s">
        <v>5184</v>
      </c>
      <c r="E181" s="222" t="s">
        <v>6533</v>
      </c>
      <c r="F181" s="222" t="s">
        <v>6521</v>
      </c>
      <c r="G181" s="222">
        <v>6.0</v>
      </c>
      <c r="H181" s="222">
        <v>6.0</v>
      </c>
      <c r="I181" s="796">
        <v>2.1</v>
      </c>
      <c r="J181" s="796">
        <v>3.5</v>
      </c>
      <c r="K181" s="222">
        <v>1.5</v>
      </c>
      <c r="L181" s="222">
        <v>9.0</v>
      </c>
      <c r="M181" s="222" t="s">
        <v>6522</v>
      </c>
      <c r="N181" s="222" t="s">
        <v>6536</v>
      </c>
      <c r="O181" s="222" t="s">
        <v>3149</v>
      </c>
      <c r="P181" s="222">
        <v>2666.0</v>
      </c>
      <c r="Q181" s="222">
        <v>35.0</v>
      </c>
      <c r="R181" s="222" t="s">
        <v>166</v>
      </c>
      <c r="S181" s="797">
        <v>192.0</v>
      </c>
      <c r="T181" s="389" t="s">
        <v>166</v>
      </c>
      <c r="U181" s="389" t="s">
        <v>6423</v>
      </c>
    </row>
    <row r="182">
      <c r="A182" s="241" t="s">
        <v>1688</v>
      </c>
      <c r="B182" s="389" t="s">
        <v>6528</v>
      </c>
      <c r="C182" s="795" t="str">
        <f>HYPERLINK("https://ark.intel.com/content/www/us/en/ark/products/129939/intel-core-i5-8500-processor-9m-cache-up-to-4-10-ghz.html","8500")</f>
        <v>8500</v>
      </c>
      <c r="D182" s="222" t="s">
        <v>5184</v>
      </c>
      <c r="E182" s="222" t="s">
        <v>6533</v>
      </c>
      <c r="F182" s="222" t="s">
        <v>6521</v>
      </c>
      <c r="G182" s="222">
        <v>6.0</v>
      </c>
      <c r="H182" s="222">
        <v>6.0</v>
      </c>
      <c r="I182" s="796">
        <v>3.0</v>
      </c>
      <c r="J182" s="796">
        <v>4.1</v>
      </c>
      <c r="K182" s="222">
        <v>1.5</v>
      </c>
      <c r="L182" s="222">
        <v>9.0</v>
      </c>
      <c r="M182" s="222" t="s">
        <v>6522</v>
      </c>
      <c r="N182" s="222" t="s">
        <v>6536</v>
      </c>
      <c r="O182" s="222" t="s">
        <v>3149</v>
      </c>
      <c r="P182" s="222">
        <v>2666.0</v>
      </c>
      <c r="Q182" s="222">
        <v>65.0</v>
      </c>
      <c r="R182" s="222" t="s">
        <v>166</v>
      </c>
      <c r="S182" s="797">
        <v>192.0</v>
      </c>
      <c r="T182" s="389" t="s">
        <v>6524</v>
      </c>
      <c r="U182" s="389"/>
    </row>
    <row r="183">
      <c r="A183" s="241" t="s">
        <v>1688</v>
      </c>
      <c r="B183" s="389" t="s">
        <v>6528</v>
      </c>
      <c r="C183" s="795" t="str">
        <f>HYPERLINK("https://ark.intel.com/content/www/us/en/ark/products/129938/intel-core-i5-8600t-processor-9m-cache-up-to-3-70-ghz.html","8600T")</f>
        <v>8600T</v>
      </c>
      <c r="D183" s="222" t="s">
        <v>5184</v>
      </c>
      <c r="E183" s="222" t="s">
        <v>6533</v>
      </c>
      <c r="F183" s="222" t="s">
        <v>6521</v>
      </c>
      <c r="G183" s="222">
        <v>6.0</v>
      </c>
      <c r="H183" s="222">
        <v>6.0</v>
      </c>
      <c r="I183" s="796">
        <v>2.3</v>
      </c>
      <c r="J183" s="796">
        <v>3.7</v>
      </c>
      <c r="K183" s="222">
        <v>1.5</v>
      </c>
      <c r="L183" s="222">
        <v>9.0</v>
      </c>
      <c r="M183" s="222" t="s">
        <v>6522</v>
      </c>
      <c r="N183" s="222" t="s">
        <v>6536</v>
      </c>
      <c r="O183" s="222" t="s">
        <v>3149</v>
      </c>
      <c r="P183" s="222">
        <v>2666.0</v>
      </c>
      <c r="Q183" s="222">
        <v>35.0</v>
      </c>
      <c r="R183" s="222" t="s">
        <v>166</v>
      </c>
      <c r="S183" s="797">
        <v>213.0</v>
      </c>
      <c r="T183" s="389" t="s">
        <v>166</v>
      </c>
      <c r="U183" s="389" t="s">
        <v>6423</v>
      </c>
    </row>
    <row r="184">
      <c r="A184" s="241" t="s">
        <v>1688</v>
      </c>
      <c r="B184" s="389" t="s">
        <v>6528</v>
      </c>
      <c r="C184" s="795" t="str">
        <f>HYPERLINK("https://ark.intel.com/content/www/us/en/ark/products/129937/intel-core-i5-8600-processor-9m-cache-up-to-4-30-ghz.html","8600")</f>
        <v>8600</v>
      </c>
      <c r="D184" s="222" t="s">
        <v>5184</v>
      </c>
      <c r="E184" s="222" t="s">
        <v>6533</v>
      </c>
      <c r="F184" s="222" t="s">
        <v>6521</v>
      </c>
      <c r="G184" s="222">
        <v>6.0</v>
      </c>
      <c r="H184" s="222">
        <v>6.0</v>
      </c>
      <c r="I184" s="796">
        <v>3.1</v>
      </c>
      <c r="J184" s="796">
        <v>4.3</v>
      </c>
      <c r="K184" s="222">
        <v>1.5</v>
      </c>
      <c r="L184" s="222">
        <v>9.0</v>
      </c>
      <c r="M184" s="222" t="s">
        <v>6522</v>
      </c>
      <c r="N184" s="222" t="s">
        <v>6536</v>
      </c>
      <c r="O184" s="222" t="s">
        <v>3149</v>
      </c>
      <c r="P184" s="222">
        <v>2666.0</v>
      </c>
      <c r="Q184" s="222">
        <v>65.0</v>
      </c>
      <c r="R184" s="222" t="s">
        <v>166</v>
      </c>
      <c r="S184" s="797">
        <v>213.0</v>
      </c>
      <c r="T184" s="389" t="s">
        <v>6524</v>
      </c>
      <c r="U184" s="389"/>
    </row>
    <row r="185">
      <c r="A185" s="241" t="s">
        <v>1688</v>
      </c>
      <c r="B185" s="389" t="s">
        <v>6528</v>
      </c>
      <c r="C185" s="795" t="str">
        <f>HYPERLINK("https://ark.intel.com/content/www/us/en/ark/products/126685/intel-core-i5-8600k-processor-9m-cache-up-to-4-30-ghz.html","8600K")</f>
        <v>8600K</v>
      </c>
      <c r="D185" s="222" t="s">
        <v>5184</v>
      </c>
      <c r="E185" s="222" t="s">
        <v>6533</v>
      </c>
      <c r="F185" s="222" t="s">
        <v>6521</v>
      </c>
      <c r="G185" s="222">
        <v>6.0</v>
      </c>
      <c r="H185" s="222">
        <v>6.0</v>
      </c>
      <c r="I185" s="796">
        <v>3.6</v>
      </c>
      <c r="J185" s="796">
        <v>4.3</v>
      </c>
      <c r="K185" s="222">
        <v>1.5</v>
      </c>
      <c r="L185" s="222">
        <v>9.0</v>
      </c>
      <c r="M185" s="222" t="s">
        <v>6522</v>
      </c>
      <c r="N185" s="222" t="s">
        <v>6536</v>
      </c>
      <c r="O185" s="222" t="s">
        <v>3149</v>
      </c>
      <c r="P185" s="222">
        <v>2666.0</v>
      </c>
      <c r="Q185" s="222">
        <v>95.0</v>
      </c>
      <c r="R185" s="222" t="s">
        <v>174</v>
      </c>
      <c r="S185" s="797">
        <v>257.0</v>
      </c>
      <c r="T185" s="389" t="s">
        <v>166</v>
      </c>
      <c r="U185" s="389"/>
    </row>
    <row r="186">
      <c r="A186" s="241" t="s">
        <v>1688</v>
      </c>
      <c r="B186" s="389" t="s">
        <v>6529</v>
      </c>
      <c r="C186" s="795" t="str">
        <f>HYPERLINK("https://ark.intel.com/content/www/us/en/ark/products/129948/intel-core-i7-8700t-processor-12m-cache-up-to-4-00-ghz.html","8700T")</f>
        <v>8700T</v>
      </c>
      <c r="D186" s="222" t="s">
        <v>5184</v>
      </c>
      <c r="E186" s="222" t="s">
        <v>6533</v>
      </c>
      <c r="F186" s="222" t="s">
        <v>6521</v>
      </c>
      <c r="G186" s="222">
        <v>6.0</v>
      </c>
      <c r="H186" s="222">
        <v>12.0</v>
      </c>
      <c r="I186" s="796">
        <v>2.4</v>
      </c>
      <c r="J186" s="796">
        <v>4.0</v>
      </c>
      <c r="K186" s="222">
        <v>1.5</v>
      </c>
      <c r="L186" s="222">
        <v>12.0</v>
      </c>
      <c r="M186" s="222" t="s">
        <v>6522</v>
      </c>
      <c r="N186" s="222" t="s">
        <v>6536</v>
      </c>
      <c r="O186" s="222" t="s">
        <v>3149</v>
      </c>
      <c r="P186" s="222">
        <v>2666.0</v>
      </c>
      <c r="Q186" s="222">
        <v>35.0</v>
      </c>
      <c r="R186" s="222" t="s">
        <v>166</v>
      </c>
      <c r="S186" s="797">
        <v>303.0</v>
      </c>
      <c r="T186" s="389" t="s">
        <v>166</v>
      </c>
      <c r="U186" s="389" t="s">
        <v>6423</v>
      </c>
    </row>
    <row r="187">
      <c r="A187" s="241" t="s">
        <v>1688</v>
      </c>
      <c r="B187" s="389" t="s">
        <v>6529</v>
      </c>
      <c r="C187" s="795" t="str">
        <f>HYPERLINK("https://ark.intel.com/content/www/us/en/ark/products/126686/intel-core-i7-8700-processor-12m-cache-up-to-4-60-ghz.html","8700")</f>
        <v>8700</v>
      </c>
      <c r="D187" s="222" t="s">
        <v>5184</v>
      </c>
      <c r="E187" s="222" t="s">
        <v>6533</v>
      </c>
      <c r="F187" s="222" t="s">
        <v>6521</v>
      </c>
      <c r="G187" s="222">
        <v>6.0</v>
      </c>
      <c r="H187" s="222">
        <v>12.0</v>
      </c>
      <c r="I187" s="796">
        <v>3.2</v>
      </c>
      <c r="J187" s="796">
        <v>4.6</v>
      </c>
      <c r="K187" s="222">
        <v>1.5</v>
      </c>
      <c r="L187" s="222">
        <v>12.0</v>
      </c>
      <c r="M187" s="222" t="s">
        <v>6522</v>
      </c>
      <c r="N187" s="222" t="s">
        <v>6536</v>
      </c>
      <c r="O187" s="222" t="s">
        <v>3149</v>
      </c>
      <c r="P187" s="222">
        <v>2666.0</v>
      </c>
      <c r="Q187" s="222">
        <v>65.0</v>
      </c>
      <c r="R187" s="222" t="s">
        <v>166</v>
      </c>
      <c r="S187" s="797">
        <v>303.0</v>
      </c>
      <c r="T187" s="389" t="s">
        <v>6524</v>
      </c>
      <c r="U187" s="389"/>
    </row>
    <row r="188">
      <c r="A188" s="241" t="s">
        <v>1688</v>
      </c>
      <c r="B188" s="389" t="s">
        <v>6529</v>
      </c>
      <c r="C188" s="795" t="str">
        <f>HYPERLINK("https://ark.intel.com/content/www/us/en/ark/products/126684/intel-core-i7-8700k-processor-12m-cache-up-to-4-70-ghz.html","8700K")</f>
        <v>8700K</v>
      </c>
      <c r="D188" s="222" t="s">
        <v>5184</v>
      </c>
      <c r="E188" s="222" t="s">
        <v>6533</v>
      </c>
      <c r="F188" s="222" t="s">
        <v>6521</v>
      </c>
      <c r="G188" s="222">
        <v>6.0</v>
      </c>
      <c r="H188" s="222">
        <v>12.0</v>
      </c>
      <c r="I188" s="796">
        <v>3.7</v>
      </c>
      <c r="J188" s="796">
        <v>4.7</v>
      </c>
      <c r="K188" s="222">
        <v>1.5</v>
      </c>
      <c r="L188" s="222">
        <v>12.0</v>
      </c>
      <c r="M188" s="222" t="s">
        <v>6522</v>
      </c>
      <c r="N188" s="222" t="s">
        <v>6536</v>
      </c>
      <c r="O188" s="222" t="s">
        <v>3149</v>
      </c>
      <c r="P188" s="222">
        <v>2666.0</v>
      </c>
      <c r="Q188" s="222">
        <v>95.0</v>
      </c>
      <c r="R188" s="222" t="s">
        <v>174</v>
      </c>
      <c r="S188" s="797">
        <v>359.0</v>
      </c>
      <c r="T188" s="389" t="s">
        <v>166</v>
      </c>
      <c r="U188" s="389"/>
    </row>
    <row r="189">
      <c r="A189" s="247" t="s">
        <v>1688</v>
      </c>
      <c r="B189" s="802" t="s">
        <v>6529</v>
      </c>
      <c r="C189" s="799" t="str">
        <f>HYPERLINK("https://ark.intel.com/content/www/us/en/ark/products/148263/intel-core-i7-8086k-processor-12m-cache-up-to-5-00-ghz.html","8086K")</f>
        <v>8086K</v>
      </c>
      <c r="D189" s="233" t="s">
        <v>5184</v>
      </c>
      <c r="E189" s="233" t="s">
        <v>6533</v>
      </c>
      <c r="F189" s="233" t="s">
        <v>6521</v>
      </c>
      <c r="G189" s="233">
        <v>6.0</v>
      </c>
      <c r="H189" s="233">
        <v>12.0</v>
      </c>
      <c r="I189" s="800">
        <v>4.0</v>
      </c>
      <c r="J189" s="800">
        <v>5.0</v>
      </c>
      <c r="K189" s="233">
        <v>1.5</v>
      </c>
      <c r="L189" s="233">
        <v>12.0</v>
      </c>
      <c r="M189" s="233" t="s">
        <v>6522</v>
      </c>
      <c r="N189" s="233" t="s">
        <v>6536</v>
      </c>
      <c r="O189" s="233" t="s">
        <v>3149</v>
      </c>
      <c r="P189" s="233">
        <v>2666.0</v>
      </c>
      <c r="Q189" s="233">
        <v>95.0</v>
      </c>
      <c r="R189" s="233" t="s">
        <v>174</v>
      </c>
      <c r="S189" s="801">
        <v>425.0</v>
      </c>
      <c r="T189" s="802" t="s">
        <v>166</v>
      </c>
      <c r="U189" s="802"/>
    </row>
    <row r="190">
      <c r="A190" s="241" t="s">
        <v>1688</v>
      </c>
      <c r="B190" s="389" t="s">
        <v>6519</v>
      </c>
      <c r="C190" s="795" t="str">
        <f>HYPERLINK("https://ark.intel.com/content/www/us/en/ark/products/134868/intel-celeron-processor-g4930t-2m-cache-3-00-ghz.html","G4930T")</f>
        <v>G4930T</v>
      </c>
      <c r="D190" s="222" t="s">
        <v>5184</v>
      </c>
      <c r="E190" s="222" t="s">
        <v>6537</v>
      </c>
      <c r="F190" s="222" t="s">
        <v>6521</v>
      </c>
      <c r="G190" s="222">
        <v>2.0</v>
      </c>
      <c r="H190" s="222">
        <v>2.0</v>
      </c>
      <c r="I190" s="796">
        <v>3.0</v>
      </c>
      <c r="J190" s="796" t="s">
        <v>166</v>
      </c>
      <c r="K190" s="222">
        <v>0.5</v>
      </c>
      <c r="L190" s="222">
        <v>2.0</v>
      </c>
      <c r="M190" s="222" t="s">
        <v>6522</v>
      </c>
      <c r="N190" s="222" t="s">
        <v>6534</v>
      </c>
      <c r="O190" s="222" t="s">
        <v>3149</v>
      </c>
      <c r="P190" s="222">
        <v>2400.0</v>
      </c>
      <c r="Q190" s="222">
        <v>35.0</v>
      </c>
      <c r="R190" s="222" t="s">
        <v>166</v>
      </c>
      <c r="S190" s="797">
        <v>42.0</v>
      </c>
      <c r="T190" s="389" t="s">
        <v>166</v>
      </c>
      <c r="U190" s="389" t="s">
        <v>6423</v>
      </c>
    </row>
    <row r="191">
      <c r="A191" s="241" t="s">
        <v>1688</v>
      </c>
      <c r="B191" s="389" t="s">
        <v>6519</v>
      </c>
      <c r="C191" s="795" t="str">
        <f>HYPERLINK("https://ark.intel.com/content/www/us/en/ark/products/134878/intel-celeron-processor-g4930-2m-cache-3-20-ghz.html","G4930")</f>
        <v>G4930</v>
      </c>
      <c r="D191" s="222" t="s">
        <v>5184</v>
      </c>
      <c r="E191" s="222" t="s">
        <v>6537</v>
      </c>
      <c r="F191" s="222" t="s">
        <v>6521</v>
      </c>
      <c r="G191" s="222">
        <v>2.0</v>
      </c>
      <c r="H191" s="222">
        <v>2.0</v>
      </c>
      <c r="I191" s="796">
        <v>3.2</v>
      </c>
      <c r="J191" s="796" t="s">
        <v>166</v>
      </c>
      <c r="K191" s="222">
        <v>0.5</v>
      </c>
      <c r="L191" s="222">
        <v>2.0</v>
      </c>
      <c r="M191" s="222" t="s">
        <v>6522</v>
      </c>
      <c r="N191" s="222" t="s">
        <v>6534</v>
      </c>
      <c r="O191" s="222" t="s">
        <v>3149</v>
      </c>
      <c r="P191" s="222">
        <v>2400.0</v>
      </c>
      <c r="Q191" s="222">
        <v>54.0</v>
      </c>
      <c r="R191" s="222" t="s">
        <v>166</v>
      </c>
      <c r="S191" s="797">
        <v>42.0</v>
      </c>
      <c r="T191" s="389" t="s">
        <v>6524</v>
      </c>
      <c r="U191" s="389"/>
    </row>
    <row r="192">
      <c r="A192" s="241" t="s">
        <v>1688</v>
      </c>
      <c r="B192" s="389" t="s">
        <v>6519</v>
      </c>
      <c r="C192" s="795" t="str">
        <f>HYPERLINK("https://ark.intel.com/content/www/us/en/ark/products/134879/intel-celeron-processor-g4950-2m-cache-3-30-ghz.html","G4950")</f>
        <v>G4950</v>
      </c>
      <c r="D192" s="222" t="s">
        <v>5184</v>
      </c>
      <c r="E192" s="222" t="s">
        <v>6537</v>
      </c>
      <c r="F192" s="222" t="s">
        <v>6521</v>
      </c>
      <c r="G192" s="222">
        <v>2.0</v>
      </c>
      <c r="H192" s="222">
        <v>2.0</v>
      </c>
      <c r="I192" s="796">
        <v>3.3</v>
      </c>
      <c r="J192" s="796" t="s">
        <v>166</v>
      </c>
      <c r="K192" s="222">
        <v>0.5</v>
      </c>
      <c r="L192" s="222">
        <v>2.0</v>
      </c>
      <c r="M192" s="222" t="s">
        <v>6522</v>
      </c>
      <c r="N192" s="222" t="s">
        <v>6534</v>
      </c>
      <c r="O192" s="222" t="s">
        <v>3149</v>
      </c>
      <c r="P192" s="222">
        <v>2400.0</v>
      </c>
      <c r="Q192" s="222">
        <v>54.0</v>
      </c>
      <c r="R192" s="222" t="s">
        <v>166</v>
      </c>
      <c r="S192" s="797">
        <v>52.0</v>
      </c>
      <c r="T192" s="389" t="s">
        <v>6524</v>
      </c>
      <c r="U192" s="389"/>
    </row>
    <row r="193">
      <c r="A193" s="241" t="s">
        <v>1688</v>
      </c>
      <c r="B193" s="389" t="s">
        <v>6535</v>
      </c>
      <c r="C193" s="795" t="str">
        <f>HYPERLINK("https://ark.intel.com/content/www/us/en/ark/products/135455/intel-pentium-gold-g5420t-processor-4m-cache-3-20-ghz.html","G5420T")</f>
        <v>G5420T</v>
      </c>
      <c r="D193" s="222" t="s">
        <v>5184</v>
      </c>
      <c r="E193" s="222" t="s">
        <v>6537</v>
      </c>
      <c r="F193" s="222" t="s">
        <v>6521</v>
      </c>
      <c r="G193" s="222">
        <v>2.0</v>
      </c>
      <c r="H193" s="222">
        <v>4.0</v>
      </c>
      <c r="I193" s="796">
        <v>3.2</v>
      </c>
      <c r="J193" s="796" t="s">
        <v>166</v>
      </c>
      <c r="K193" s="222">
        <v>0.5</v>
      </c>
      <c r="L193" s="222">
        <v>4.0</v>
      </c>
      <c r="M193" s="222" t="s">
        <v>6522</v>
      </c>
      <c r="N193" s="222" t="s">
        <v>6534</v>
      </c>
      <c r="O193" s="222" t="s">
        <v>3149</v>
      </c>
      <c r="P193" s="222">
        <v>2400.0</v>
      </c>
      <c r="Q193" s="222">
        <v>35.0</v>
      </c>
      <c r="R193" s="222" t="s">
        <v>166</v>
      </c>
      <c r="S193" s="797">
        <v>64.0</v>
      </c>
      <c r="T193" s="389" t="s">
        <v>166</v>
      </c>
      <c r="U193" s="389" t="s">
        <v>6423</v>
      </c>
    </row>
    <row r="194">
      <c r="A194" s="241" t="s">
        <v>1688</v>
      </c>
      <c r="B194" s="389" t="s">
        <v>6535</v>
      </c>
      <c r="C194" s="795" t="str">
        <f>HYPERLINK("https://ark.intel.com/content/www/us/en/ark/products/135456/intel-pentium-gold-g5420-processor-4m-cache-3-80-ghz.html","G5420")</f>
        <v>G5420</v>
      </c>
      <c r="D194" s="222" t="s">
        <v>5184</v>
      </c>
      <c r="E194" s="222" t="s">
        <v>6537</v>
      </c>
      <c r="F194" s="222" t="s">
        <v>6521</v>
      </c>
      <c r="G194" s="222">
        <v>2.0</v>
      </c>
      <c r="H194" s="222">
        <v>4.0</v>
      </c>
      <c r="I194" s="796">
        <v>3.8</v>
      </c>
      <c r="J194" s="796" t="s">
        <v>166</v>
      </c>
      <c r="K194" s="222">
        <v>0.5</v>
      </c>
      <c r="L194" s="222">
        <v>4.0</v>
      </c>
      <c r="M194" s="222" t="s">
        <v>6522</v>
      </c>
      <c r="N194" s="222" t="s">
        <v>6534</v>
      </c>
      <c r="O194" s="222" t="s">
        <v>3149</v>
      </c>
      <c r="P194" s="222">
        <v>2400.0</v>
      </c>
      <c r="Q194" s="222">
        <v>54.0</v>
      </c>
      <c r="R194" s="222" t="s">
        <v>166</v>
      </c>
      <c r="S194" s="797">
        <v>64.0</v>
      </c>
      <c r="T194" s="389" t="s">
        <v>6524</v>
      </c>
      <c r="U194" s="389"/>
    </row>
    <row r="195">
      <c r="A195" s="241" t="s">
        <v>1688</v>
      </c>
      <c r="B195" s="389" t="s">
        <v>6535</v>
      </c>
      <c r="C195" s="795" t="str">
        <f>HYPERLINK("https://ark.intel.com/content/www/us/en/ark/products/135109/intel-pentium-gold-g5600t-processor-4m-cache-3-30-ghz.html","G5600T")</f>
        <v>G5600T</v>
      </c>
      <c r="D195" s="222" t="s">
        <v>5184</v>
      </c>
      <c r="E195" s="222" t="s">
        <v>6537</v>
      </c>
      <c r="F195" s="222" t="s">
        <v>6521</v>
      </c>
      <c r="G195" s="222">
        <v>2.0</v>
      </c>
      <c r="H195" s="222">
        <v>4.0</v>
      </c>
      <c r="I195" s="796">
        <v>3.3</v>
      </c>
      <c r="J195" s="796" t="s">
        <v>166</v>
      </c>
      <c r="K195" s="222">
        <v>0.5</v>
      </c>
      <c r="L195" s="222">
        <v>4.0</v>
      </c>
      <c r="M195" s="222" t="s">
        <v>6522</v>
      </c>
      <c r="N195" s="222" t="s">
        <v>6536</v>
      </c>
      <c r="O195" s="222" t="s">
        <v>3149</v>
      </c>
      <c r="P195" s="222">
        <v>2400.0</v>
      </c>
      <c r="Q195" s="222">
        <v>35.0</v>
      </c>
      <c r="R195" s="222" t="s">
        <v>166</v>
      </c>
      <c r="S195" s="797">
        <v>75.0</v>
      </c>
      <c r="T195" s="389" t="s">
        <v>166</v>
      </c>
      <c r="U195" s="389" t="s">
        <v>6423</v>
      </c>
    </row>
    <row r="196">
      <c r="A196" s="241" t="s">
        <v>1688</v>
      </c>
      <c r="B196" s="389" t="s">
        <v>6535</v>
      </c>
      <c r="C196" s="795" t="str">
        <f>HYPERLINK("https://ark.intel.com/content/www/us/en/ark/products/135457/intel-pentium-gold-g5620-processor-4m-cache-4-00-ghz.html","G5620")</f>
        <v>G5620</v>
      </c>
      <c r="D196" s="222" t="s">
        <v>5184</v>
      </c>
      <c r="E196" s="222" t="s">
        <v>6537</v>
      </c>
      <c r="F196" s="222" t="s">
        <v>6521</v>
      </c>
      <c r="G196" s="222">
        <v>2.0</v>
      </c>
      <c r="H196" s="222">
        <v>4.0</v>
      </c>
      <c r="I196" s="796">
        <v>4.0</v>
      </c>
      <c r="J196" s="796" t="s">
        <v>166</v>
      </c>
      <c r="K196" s="222">
        <v>0.5</v>
      </c>
      <c r="L196" s="222">
        <v>4.0</v>
      </c>
      <c r="M196" s="222" t="s">
        <v>6522</v>
      </c>
      <c r="N196" s="222" t="s">
        <v>6536</v>
      </c>
      <c r="O196" s="222" t="s">
        <v>3149</v>
      </c>
      <c r="P196" s="222">
        <v>2400.0</v>
      </c>
      <c r="Q196" s="222">
        <v>54.0</v>
      </c>
      <c r="R196" s="222" t="s">
        <v>166</v>
      </c>
      <c r="S196" s="797">
        <v>86.0</v>
      </c>
      <c r="T196" s="389" t="s">
        <v>6524</v>
      </c>
      <c r="U196" s="389"/>
    </row>
    <row r="197">
      <c r="A197" s="241" t="s">
        <v>1688</v>
      </c>
      <c r="B197" s="389" t="s">
        <v>6527</v>
      </c>
      <c r="C197" s="795" t="str">
        <f>HYPERLINK("https://ark.intel.com/content/www/us/en/ark/products/134871/intel-core-i3-9100t-processor-6m-cache-up-to-3-70-ghz.html","9100T")</f>
        <v>9100T</v>
      </c>
      <c r="D197" s="222" t="s">
        <v>5184</v>
      </c>
      <c r="E197" s="222" t="s">
        <v>6537</v>
      </c>
      <c r="F197" s="222" t="s">
        <v>6521</v>
      </c>
      <c r="G197" s="222">
        <v>4.0</v>
      </c>
      <c r="H197" s="222">
        <v>4.0</v>
      </c>
      <c r="I197" s="796">
        <v>3.1</v>
      </c>
      <c r="J197" s="796">
        <v>3.7</v>
      </c>
      <c r="K197" s="222">
        <v>1.0</v>
      </c>
      <c r="L197" s="222">
        <v>6.0</v>
      </c>
      <c r="M197" s="222" t="s">
        <v>6522</v>
      </c>
      <c r="N197" s="222" t="s">
        <v>6536</v>
      </c>
      <c r="O197" s="222" t="s">
        <v>3149</v>
      </c>
      <c r="P197" s="222">
        <v>2400.0</v>
      </c>
      <c r="Q197" s="222">
        <v>35.0</v>
      </c>
      <c r="R197" s="222" t="s">
        <v>166</v>
      </c>
      <c r="S197" s="797">
        <v>122.0</v>
      </c>
      <c r="T197" s="389" t="s">
        <v>166</v>
      </c>
      <c r="U197" s="389" t="s">
        <v>6423</v>
      </c>
    </row>
    <row r="198">
      <c r="A198" s="241" t="s">
        <v>1688</v>
      </c>
      <c r="B198" s="389" t="s">
        <v>6527</v>
      </c>
      <c r="C198" s="795" t="str">
        <f>HYPERLINK("https://ark.intel.com/content/www/us/en/ark/products/190886/intel-core-i3-9100f-processor-6m-cache-up-to-4-20-ghz.html","9100F")</f>
        <v>9100F</v>
      </c>
      <c r="D198" s="222" t="s">
        <v>5184</v>
      </c>
      <c r="E198" s="222" t="s">
        <v>6537</v>
      </c>
      <c r="F198" s="222" t="s">
        <v>6521</v>
      </c>
      <c r="G198" s="222">
        <v>4.0</v>
      </c>
      <c r="H198" s="222">
        <v>4.0</v>
      </c>
      <c r="I198" s="796">
        <v>3.6</v>
      </c>
      <c r="J198" s="796">
        <v>4.2</v>
      </c>
      <c r="K198" s="222">
        <v>1.0</v>
      </c>
      <c r="L198" s="222">
        <v>6.0</v>
      </c>
      <c r="M198" s="222" t="s">
        <v>6522</v>
      </c>
      <c r="N198" s="222" t="s">
        <v>166</v>
      </c>
      <c r="O198" s="222" t="s">
        <v>3149</v>
      </c>
      <c r="P198" s="222">
        <v>2400.0</v>
      </c>
      <c r="Q198" s="222">
        <v>65.0</v>
      </c>
      <c r="R198" s="222" t="s">
        <v>166</v>
      </c>
      <c r="S198" s="797">
        <v>122.0</v>
      </c>
      <c r="T198" s="389" t="s">
        <v>6524</v>
      </c>
      <c r="U198" s="389"/>
    </row>
    <row r="199">
      <c r="A199" s="241" t="s">
        <v>1688</v>
      </c>
      <c r="B199" s="389" t="s">
        <v>6527</v>
      </c>
      <c r="C199" s="795" t="str">
        <f>HYPERLINK("https://ark.intel.com/content/www/us/en/ark/products/134870/intel-core-i3-9100-processor-6m-cache-up-to-4-20-ghz.html","9100")</f>
        <v>9100</v>
      </c>
      <c r="D199" s="222" t="s">
        <v>5184</v>
      </c>
      <c r="E199" s="222" t="s">
        <v>6537</v>
      </c>
      <c r="F199" s="222" t="s">
        <v>6521</v>
      </c>
      <c r="G199" s="222">
        <v>4.0</v>
      </c>
      <c r="H199" s="222">
        <v>4.0</v>
      </c>
      <c r="I199" s="796">
        <v>3.6</v>
      </c>
      <c r="J199" s="796">
        <v>4.2</v>
      </c>
      <c r="K199" s="222">
        <v>1.0</v>
      </c>
      <c r="L199" s="222">
        <v>6.0</v>
      </c>
      <c r="M199" s="222" t="s">
        <v>6522</v>
      </c>
      <c r="N199" s="222" t="s">
        <v>6536</v>
      </c>
      <c r="O199" s="222" t="s">
        <v>3149</v>
      </c>
      <c r="P199" s="222">
        <v>2400.0</v>
      </c>
      <c r="Q199" s="222">
        <v>65.0</v>
      </c>
      <c r="R199" s="222" t="s">
        <v>166</v>
      </c>
      <c r="S199" s="797">
        <v>122.0</v>
      </c>
      <c r="T199" s="389" t="s">
        <v>6524</v>
      </c>
      <c r="U199" s="389"/>
    </row>
    <row r="200">
      <c r="A200" s="241" t="s">
        <v>1688</v>
      </c>
      <c r="B200" s="389" t="s">
        <v>6527</v>
      </c>
      <c r="C200" s="795" t="str">
        <f>HYPERLINK("https://ark.intel.com/content/www/us/en/ark/products/134875/intel-core-i3-9300t-processor-8m-cache-up-to-3-80-ghz.html","9300T")</f>
        <v>9300T</v>
      </c>
      <c r="D200" s="222" t="s">
        <v>5184</v>
      </c>
      <c r="E200" s="222" t="s">
        <v>6537</v>
      </c>
      <c r="F200" s="222" t="s">
        <v>6521</v>
      </c>
      <c r="G200" s="222">
        <v>4.0</v>
      </c>
      <c r="H200" s="222">
        <v>4.0</v>
      </c>
      <c r="I200" s="796">
        <v>3.2</v>
      </c>
      <c r="J200" s="796">
        <v>3.8</v>
      </c>
      <c r="K200" s="222">
        <v>1.0</v>
      </c>
      <c r="L200" s="222">
        <v>8.0</v>
      </c>
      <c r="M200" s="222" t="s">
        <v>6522</v>
      </c>
      <c r="N200" s="222" t="s">
        <v>6536</v>
      </c>
      <c r="O200" s="222" t="s">
        <v>3149</v>
      </c>
      <c r="P200" s="222">
        <v>2400.0</v>
      </c>
      <c r="Q200" s="222">
        <v>35.0</v>
      </c>
      <c r="R200" s="222" t="s">
        <v>166</v>
      </c>
      <c r="S200" s="797">
        <v>143.0</v>
      </c>
      <c r="T200" s="389" t="s">
        <v>166</v>
      </c>
      <c r="U200" s="389" t="s">
        <v>6423</v>
      </c>
    </row>
    <row r="201">
      <c r="A201" s="241" t="s">
        <v>1688</v>
      </c>
      <c r="B201" s="389" t="s">
        <v>6527</v>
      </c>
      <c r="C201" s="795" t="str">
        <f>HYPERLINK("https://ark.intel.com/content/www/us/en/ark/products/134886/intel-core-i3-9300-processor-8m-cache-up-to-4-30-ghz.html","9300")</f>
        <v>9300</v>
      </c>
      <c r="D201" s="222" t="s">
        <v>5184</v>
      </c>
      <c r="E201" s="222" t="s">
        <v>6537</v>
      </c>
      <c r="F201" s="222" t="s">
        <v>6521</v>
      </c>
      <c r="G201" s="222">
        <v>4.0</v>
      </c>
      <c r="H201" s="222">
        <v>4.0</v>
      </c>
      <c r="I201" s="796">
        <v>3.7</v>
      </c>
      <c r="J201" s="796">
        <v>4.3</v>
      </c>
      <c r="K201" s="222">
        <v>1.0</v>
      </c>
      <c r="L201" s="222">
        <v>8.0</v>
      </c>
      <c r="M201" s="222" t="s">
        <v>6522</v>
      </c>
      <c r="N201" s="222" t="s">
        <v>6536</v>
      </c>
      <c r="O201" s="222" t="s">
        <v>3149</v>
      </c>
      <c r="P201" s="222">
        <v>2400.0</v>
      </c>
      <c r="Q201" s="222">
        <v>62.0</v>
      </c>
      <c r="R201" s="222" t="s">
        <v>166</v>
      </c>
      <c r="S201" s="797">
        <v>143.0</v>
      </c>
      <c r="T201" s="389" t="s">
        <v>6524</v>
      </c>
      <c r="U201" s="389"/>
    </row>
    <row r="202">
      <c r="A202" s="241" t="s">
        <v>1688</v>
      </c>
      <c r="B202" s="389" t="s">
        <v>6527</v>
      </c>
      <c r="C202" s="795" t="str">
        <f>HYPERLINK("https://ark.intel.com/content/www/us/en/ark/products/191793/intel-core-i3-9320-processor-8m-cache-up-to-4-40-ghz.html","9320")</f>
        <v>9320</v>
      </c>
      <c r="D202" s="222" t="s">
        <v>5184</v>
      </c>
      <c r="E202" s="222" t="s">
        <v>6537</v>
      </c>
      <c r="F202" s="222" t="s">
        <v>6521</v>
      </c>
      <c r="G202" s="222">
        <v>4.0</v>
      </c>
      <c r="H202" s="222">
        <v>4.0</v>
      </c>
      <c r="I202" s="796">
        <v>3.7</v>
      </c>
      <c r="J202" s="796">
        <v>4.4</v>
      </c>
      <c r="K202" s="222">
        <v>1.0</v>
      </c>
      <c r="L202" s="222">
        <v>8.0</v>
      </c>
      <c r="M202" s="222" t="s">
        <v>6522</v>
      </c>
      <c r="N202" s="222" t="s">
        <v>6536</v>
      </c>
      <c r="O202" s="222" t="s">
        <v>3149</v>
      </c>
      <c r="P202" s="222">
        <v>2400.0</v>
      </c>
      <c r="Q202" s="222">
        <v>62.0</v>
      </c>
      <c r="R202" s="222" t="s">
        <v>166</v>
      </c>
      <c r="S202" s="797">
        <v>154.0</v>
      </c>
      <c r="T202" s="389" t="s">
        <v>6524</v>
      </c>
      <c r="U202" s="389"/>
    </row>
    <row r="203">
      <c r="A203" s="241" t="s">
        <v>1688</v>
      </c>
      <c r="B203" s="389" t="s">
        <v>6527</v>
      </c>
      <c r="C203" s="795" t="str">
        <f>HYPERLINK("https://ark.intel.com/content/www/us/en/ark/products/191126/intel-core-i3-9350kf-processor-8m-cache-up-to-4-60-ghz.html","9350KF")</f>
        <v>9350KF</v>
      </c>
      <c r="D203" s="222" t="s">
        <v>5184</v>
      </c>
      <c r="E203" s="222" t="s">
        <v>6537</v>
      </c>
      <c r="F203" s="222" t="s">
        <v>6521</v>
      </c>
      <c r="G203" s="222">
        <v>4.0</v>
      </c>
      <c r="H203" s="222">
        <v>4.0</v>
      </c>
      <c r="I203" s="796">
        <v>4.0</v>
      </c>
      <c r="J203" s="796">
        <v>4.6</v>
      </c>
      <c r="K203" s="222">
        <v>1.0</v>
      </c>
      <c r="L203" s="222">
        <v>8.0</v>
      </c>
      <c r="M203" s="222" t="s">
        <v>6522</v>
      </c>
      <c r="N203" s="222" t="s">
        <v>166</v>
      </c>
      <c r="O203" s="222" t="s">
        <v>3149</v>
      </c>
      <c r="P203" s="222">
        <v>2400.0</v>
      </c>
      <c r="Q203" s="222">
        <v>91.0</v>
      </c>
      <c r="R203" s="222" t="s">
        <v>174</v>
      </c>
      <c r="S203" s="797">
        <v>173.0</v>
      </c>
      <c r="T203" s="389" t="s">
        <v>166</v>
      </c>
      <c r="U203" s="389"/>
    </row>
    <row r="204">
      <c r="A204" s="241" t="s">
        <v>1688</v>
      </c>
      <c r="B204" s="389" t="s">
        <v>6528</v>
      </c>
      <c r="C204" s="795" t="str">
        <f>HYPERLINK("https://ark.intel.com/content/www/us/en/ark/products/134893/intel-core-i5-9400t-processor-9m-cache-up-to-3-40-ghz.html","9400T")</f>
        <v>9400T</v>
      </c>
      <c r="D204" s="222" t="s">
        <v>5184</v>
      </c>
      <c r="E204" s="222" t="s">
        <v>6537</v>
      </c>
      <c r="F204" s="222" t="s">
        <v>6521</v>
      </c>
      <c r="G204" s="222">
        <v>6.0</v>
      </c>
      <c r="H204" s="222">
        <v>6.0</v>
      </c>
      <c r="I204" s="796">
        <v>1.8</v>
      </c>
      <c r="J204" s="796">
        <v>3.4</v>
      </c>
      <c r="K204" s="222">
        <v>1.5</v>
      </c>
      <c r="L204" s="222">
        <v>9.0</v>
      </c>
      <c r="M204" s="222" t="s">
        <v>6522</v>
      </c>
      <c r="N204" s="222" t="s">
        <v>6536</v>
      </c>
      <c r="O204" s="222" t="s">
        <v>3149</v>
      </c>
      <c r="P204" s="222">
        <v>2666.0</v>
      </c>
      <c r="Q204" s="222">
        <v>35.0</v>
      </c>
      <c r="R204" s="222" t="s">
        <v>166</v>
      </c>
      <c r="S204" s="797">
        <v>182.0</v>
      </c>
      <c r="T204" s="389" t="s">
        <v>166</v>
      </c>
      <c r="U204" s="389" t="s">
        <v>6423</v>
      </c>
    </row>
    <row r="205">
      <c r="A205" s="241" t="s">
        <v>1688</v>
      </c>
      <c r="B205" s="389" t="s">
        <v>6528</v>
      </c>
      <c r="C205" s="795" t="str">
        <f>HYPERLINK("https://ark.intel.com/content/www/us/en/ark/products/190883/intel-core-i5-9400f-processor-9m-cache-up-to-4-10-ghz.html","9400F")</f>
        <v>9400F</v>
      </c>
      <c r="D205" s="222" t="s">
        <v>5184</v>
      </c>
      <c r="E205" s="222" t="s">
        <v>6537</v>
      </c>
      <c r="F205" s="222" t="s">
        <v>6521</v>
      </c>
      <c r="G205" s="222">
        <v>6.0</v>
      </c>
      <c r="H205" s="222">
        <v>6.0</v>
      </c>
      <c r="I205" s="796">
        <v>2.9</v>
      </c>
      <c r="J205" s="796">
        <v>4.1</v>
      </c>
      <c r="K205" s="222">
        <v>1.5</v>
      </c>
      <c r="L205" s="222">
        <v>9.0</v>
      </c>
      <c r="M205" s="222" t="s">
        <v>6522</v>
      </c>
      <c r="N205" s="222" t="s">
        <v>166</v>
      </c>
      <c r="O205" s="222" t="s">
        <v>3149</v>
      </c>
      <c r="P205" s="222">
        <v>2666.0</v>
      </c>
      <c r="Q205" s="222">
        <v>65.0</v>
      </c>
      <c r="R205" s="222" t="s">
        <v>166</v>
      </c>
      <c r="S205" s="797">
        <v>182.0</v>
      </c>
      <c r="T205" s="389" t="s">
        <v>6524</v>
      </c>
      <c r="U205" s="389"/>
    </row>
    <row r="206">
      <c r="A206" s="241" t="s">
        <v>1688</v>
      </c>
      <c r="B206" s="389" t="s">
        <v>6528</v>
      </c>
      <c r="C206" s="795" t="str">
        <f>HYPERLINK("https://ark.intel.com/content/www/us/en/ark/products/134898/intel-core-i5-9400-processor-9m-cache-up-to-4-10-ghz.html","9400")</f>
        <v>9400</v>
      </c>
      <c r="D206" s="222" t="s">
        <v>5184</v>
      </c>
      <c r="E206" s="222" t="s">
        <v>6537</v>
      </c>
      <c r="F206" s="222" t="s">
        <v>6521</v>
      </c>
      <c r="G206" s="222">
        <v>6.0</v>
      </c>
      <c r="H206" s="222">
        <v>6.0</v>
      </c>
      <c r="I206" s="796">
        <v>2.9</v>
      </c>
      <c r="J206" s="796">
        <v>4.1</v>
      </c>
      <c r="K206" s="222">
        <v>1.5</v>
      </c>
      <c r="L206" s="222">
        <v>9.0</v>
      </c>
      <c r="M206" s="222" t="s">
        <v>6522</v>
      </c>
      <c r="N206" s="222" t="s">
        <v>6536</v>
      </c>
      <c r="O206" s="222" t="s">
        <v>3149</v>
      </c>
      <c r="P206" s="222">
        <v>2666.0</v>
      </c>
      <c r="Q206" s="222">
        <v>65.0</v>
      </c>
      <c r="R206" s="222" t="s">
        <v>166</v>
      </c>
      <c r="S206" s="797">
        <v>182.0</v>
      </c>
      <c r="T206" s="389" t="s">
        <v>6524</v>
      </c>
      <c r="U206" s="389"/>
    </row>
    <row r="207">
      <c r="A207" s="241" t="s">
        <v>1688</v>
      </c>
      <c r="B207" s="389" t="s">
        <v>6528</v>
      </c>
      <c r="C207" s="795" t="str">
        <f>HYPERLINK("https://ark.intel.com/content/www/us/en/ark/products/191052/intel-core-i5-9500t-processor-9m-cache-up-to-3-70-ghz.html","9500T")</f>
        <v>9500T</v>
      </c>
      <c r="D207" s="222" t="s">
        <v>5184</v>
      </c>
      <c r="E207" s="222" t="s">
        <v>6537</v>
      </c>
      <c r="F207" s="222" t="s">
        <v>6521</v>
      </c>
      <c r="G207" s="222">
        <v>6.0</v>
      </c>
      <c r="H207" s="222">
        <v>6.0</v>
      </c>
      <c r="I207" s="796">
        <v>2.2</v>
      </c>
      <c r="J207" s="796">
        <v>3.7</v>
      </c>
      <c r="K207" s="222">
        <v>1.5</v>
      </c>
      <c r="L207" s="222">
        <v>9.0</v>
      </c>
      <c r="M207" s="222" t="s">
        <v>6522</v>
      </c>
      <c r="N207" s="222" t="s">
        <v>6536</v>
      </c>
      <c r="O207" s="222" t="s">
        <v>3149</v>
      </c>
      <c r="P207" s="222">
        <v>2666.0</v>
      </c>
      <c r="Q207" s="222">
        <v>35.0</v>
      </c>
      <c r="R207" s="222" t="s">
        <v>166</v>
      </c>
      <c r="S207" s="797">
        <v>192.0</v>
      </c>
      <c r="T207" s="389" t="s">
        <v>166</v>
      </c>
      <c r="U207" s="389" t="s">
        <v>6423</v>
      </c>
    </row>
    <row r="208">
      <c r="A208" s="241" t="s">
        <v>1688</v>
      </c>
      <c r="B208" s="389" t="s">
        <v>6528</v>
      </c>
      <c r="C208" s="795" t="str">
        <f>HYPERLINK("https://ark.intel.com/content/www/us/en/ark/products/190890/intel-core-i5-9500f-processor-9m-cache-up-to-4-40-ghz.html","9500F")</f>
        <v>9500F</v>
      </c>
      <c r="D208" s="222" t="s">
        <v>5184</v>
      </c>
      <c r="E208" s="222" t="s">
        <v>6537</v>
      </c>
      <c r="F208" s="222" t="s">
        <v>6521</v>
      </c>
      <c r="G208" s="222">
        <v>6.0</v>
      </c>
      <c r="H208" s="222">
        <v>6.0</v>
      </c>
      <c r="I208" s="796">
        <v>3.0</v>
      </c>
      <c r="J208" s="796">
        <v>4.4</v>
      </c>
      <c r="K208" s="222">
        <v>1.5</v>
      </c>
      <c r="L208" s="222">
        <v>9.0</v>
      </c>
      <c r="M208" s="222" t="s">
        <v>6522</v>
      </c>
      <c r="N208" s="222" t="s">
        <v>166</v>
      </c>
      <c r="O208" s="222" t="s">
        <v>3149</v>
      </c>
      <c r="P208" s="222">
        <v>2666.0</v>
      </c>
      <c r="Q208" s="222">
        <v>65.0</v>
      </c>
      <c r="R208" s="222" t="s">
        <v>166</v>
      </c>
      <c r="S208" s="797">
        <v>192.0</v>
      </c>
      <c r="T208" s="389" t="s">
        <v>6524</v>
      </c>
      <c r="U208" s="389"/>
    </row>
    <row r="209">
      <c r="A209" s="241" t="s">
        <v>1688</v>
      </c>
      <c r="B209" s="389" t="s">
        <v>6528</v>
      </c>
      <c r="C209" s="795" t="str">
        <f>HYPERLINK("https://ark.intel.com/content/www/us/en/ark/products/134895/intel-core-i5-9500-processor-9m-cache-up-to-4-40-ghz.html","9500")</f>
        <v>9500</v>
      </c>
      <c r="D209" s="222" t="s">
        <v>5184</v>
      </c>
      <c r="E209" s="222" t="s">
        <v>6537</v>
      </c>
      <c r="F209" s="222" t="s">
        <v>6521</v>
      </c>
      <c r="G209" s="222">
        <v>6.0</v>
      </c>
      <c r="H209" s="222">
        <v>6.0</v>
      </c>
      <c r="I209" s="796">
        <v>3.0</v>
      </c>
      <c r="J209" s="796">
        <v>4.4</v>
      </c>
      <c r="K209" s="222">
        <v>1.5</v>
      </c>
      <c r="L209" s="222">
        <v>9.0</v>
      </c>
      <c r="M209" s="222" t="s">
        <v>6522</v>
      </c>
      <c r="N209" s="222" t="s">
        <v>6536</v>
      </c>
      <c r="O209" s="222" t="s">
        <v>3149</v>
      </c>
      <c r="P209" s="222">
        <v>2666.0</v>
      </c>
      <c r="Q209" s="222">
        <v>65.0</v>
      </c>
      <c r="R209" s="222" t="s">
        <v>166</v>
      </c>
      <c r="S209" s="797">
        <v>192.0</v>
      </c>
      <c r="T209" s="389" t="s">
        <v>6524</v>
      </c>
      <c r="U209" s="389"/>
    </row>
    <row r="210">
      <c r="A210" s="241" t="s">
        <v>1688</v>
      </c>
      <c r="B210" s="389" t="s">
        <v>6528</v>
      </c>
      <c r="C210" s="795" t="str">
        <f>HYPERLINK("https://ark.intel.com/content/www/us/en/ark/products/191051/intel-core-i5-9600t-processor-9m-cache-up-to-3-90-ghz.html","9600T")</f>
        <v>9600T</v>
      </c>
      <c r="D210" s="222" t="s">
        <v>5184</v>
      </c>
      <c r="E210" s="222" t="s">
        <v>6537</v>
      </c>
      <c r="F210" s="222" t="s">
        <v>6521</v>
      </c>
      <c r="G210" s="222">
        <v>6.0</v>
      </c>
      <c r="H210" s="222">
        <v>6.0</v>
      </c>
      <c r="I210" s="796">
        <v>2.3</v>
      </c>
      <c r="J210" s="796">
        <v>3.9</v>
      </c>
      <c r="K210" s="222">
        <v>1.5</v>
      </c>
      <c r="L210" s="222">
        <v>9.0</v>
      </c>
      <c r="M210" s="222" t="s">
        <v>6522</v>
      </c>
      <c r="N210" s="222" t="s">
        <v>6536</v>
      </c>
      <c r="O210" s="222" t="s">
        <v>3149</v>
      </c>
      <c r="P210" s="222">
        <v>2666.0</v>
      </c>
      <c r="Q210" s="222">
        <v>35.0</v>
      </c>
      <c r="R210" s="222" t="s">
        <v>166</v>
      </c>
      <c r="S210" s="797">
        <v>213.0</v>
      </c>
      <c r="T210" s="389" t="s">
        <v>166</v>
      </c>
      <c r="U210" s="389" t="s">
        <v>6423</v>
      </c>
    </row>
    <row r="211">
      <c r="A211" s="241" t="s">
        <v>1688</v>
      </c>
      <c r="B211" s="389" t="s">
        <v>6528</v>
      </c>
      <c r="C211" s="795" t="str">
        <f>HYPERLINK("https://ark.intel.com/content/www/us/en/ark/products/134900/intel-core-i5-9600-processor-9m-cache-up-to-4-60-ghz.html","9600")</f>
        <v>9600</v>
      </c>
      <c r="D211" s="222" t="s">
        <v>5184</v>
      </c>
      <c r="E211" s="222" t="s">
        <v>6537</v>
      </c>
      <c r="F211" s="222" t="s">
        <v>6521</v>
      </c>
      <c r="G211" s="222">
        <v>6.0</v>
      </c>
      <c r="H211" s="222">
        <v>6.0</v>
      </c>
      <c r="I211" s="796">
        <v>3.1</v>
      </c>
      <c r="J211" s="796">
        <v>4.6</v>
      </c>
      <c r="K211" s="222">
        <v>1.5</v>
      </c>
      <c r="L211" s="222">
        <v>9.0</v>
      </c>
      <c r="M211" s="222" t="s">
        <v>6522</v>
      </c>
      <c r="N211" s="222" t="s">
        <v>6536</v>
      </c>
      <c r="O211" s="222" t="s">
        <v>3149</v>
      </c>
      <c r="P211" s="222">
        <v>2666.0</v>
      </c>
      <c r="Q211" s="222">
        <v>65.0</v>
      </c>
      <c r="R211" s="222" t="s">
        <v>166</v>
      </c>
      <c r="S211" s="797">
        <v>213.0</v>
      </c>
      <c r="T211" s="389" t="s">
        <v>6524</v>
      </c>
      <c r="U211" s="389"/>
    </row>
    <row r="212">
      <c r="A212" s="241" t="s">
        <v>1688</v>
      </c>
      <c r="B212" s="389" t="s">
        <v>6528</v>
      </c>
      <c r="C212" s="795" t="str">
        <f>HYPERLINK("https://ark.intel.com/content/www/us/en/ark/products/190884/intel-core-i5-9600kf-processor-9m-cache-up-to-4-60-ghz.html","9600KF")</f>
        <v>9600KF</v>
      </c>
      <c r="D212" s="222" t="s">
        <v>5184</v>
      </c>
      <c r="E212" s="222" t="s">
        <v>6537</v>
      </c>
      <c r="F212" s="222" t="s">
        <v>6521</v>
      </c>
      <c r="G212" s="222">
        <v>6.0</v>
      </c>
      <c r="H212" s="222">
        <v>6.0</v>
      </c>
      <c r="I212" s="796">
        <v>3.7</v>
      </c>
      <c r="J212" s="796">
        <v>4.6</v>
      </c>
      <c r="K212" s="222">
        <v>1.5</v>
      </c>
      <c r="L212" s="222">
        <v>9.0</v>
      </c>
      <c r="M212" s="222" t="s">
        <v>6522</v>
      </c>
      <c r="N212" s="222" t="s">
        <v>166</v>
      </c>
      <c r="O212" s="222" t="s">
        <v>3149</v>
      </c>
      <c r="P212" s="222">
        <v>2666.0</v>
      </c>
      <c r="Q212" s="222">
        <v>95.0</v>
      </c>
      <c r="R212" s="222" t="s">
        <v>174</v>
      </c>
      <c r="S212" s="797">
        <v>262.0</v>
      </c>
      <c r="T212" s="389" t="s">
        <v>166</v>
      </c>
      <c r="U212" s="389"/>
    </row>
    <row r="213">
      <c r="A213" s="241" t="s">
        <v>1688</v>
      </c>
      <c r="B213" s="389" t="s">
        <v>6528</v>
      </c>
      <c r="C213" s="795" t="str">
        <f>HYPERLINK("https://ark.intel.com/content/www/us/en/ark/products/134896/intel-core-i5-9600k-processor-9m-cache-up-to-4-60-ghz.html","9600K")</f>
        <v>9600K</v>
      </c>
      <c r="D213" s="222" t="s">
        <v>5184</v>
      </c>
      <c r="E213" s="222" t="s">
        <v>6537</v>
      </c>
      <c r="F213" s="222" t="s">
        <v>6521</v>
      </c>
      <c r="G213" s="222">
        <v>6.0</v>
      </c>
      <c r="H213" s="222">
        <v>6.0</v>
      </c>
      <c r="I213" s="796">
        <v>3.7</v>
      </c>
      <c r="J213" s="796">
        <v>4.6</v>
      </c>
      <c r="K213" s="222">
        <v>1.5</v>
      </c>
      <c r="L213" s="222">
        <v>9.0</v>
      </c>
      <c r="M213" s="222" t="s">
        <v>6522</v>
      </c>
      <c r="N213" s="222" t="s">
        <v>6536</v>
      </c>
      <c r="O213" s="222" t="s">
        <v>3149</v>
      </c>
      <c r="P213" s="222">
        <v>2666.0</v>
      </c>
      <c r="Q213" s="222">
        <v>95.0</v>
      </c>
      <c r="R213" s="222" t="s">
        <v>174</v>
      </c>
      <c r="S213" s="797">
        <v>262.0</v>
      </c>
      <c r="T213" s="389" t="s">
        <v>166</v>
      </c>
      <c r="U213" s="389"/>
    </row>
    <row r="214">
      <c r="A214" s="241" t="s">
        <v>1688</v>
      </c>
      <c r="B214" s="389" t="s">
        <v>6529</v>
      </c>
      <c r="C214" s="795" t="str">
        <f>HYPERLINK("https://ark.intel.com/content/www/us/en/ark/products/191048/intel-core-i7-9700t-processor-12m-cache-up-to-4-30-ghz.html","9700T")</f>
        <v>9700T</v>
      </c>
      <c r="D214" s="222" t="s">
        <v>5184</v>
      </c>
      <c r="E214" s="222" t="s">
        <v>6537</v>
      </c>
      <c r="F214" s="222" t="s">
        <v>6521</v>
      </c>
      <c r="G214" s="222">
        <v>8.0</v>
      </c>
      <c r="H214" s="222">
        <v>8.0</v>
      </c>
      <c r="I214" s="796">
        <v>2.0</v>
      </c>
      <c r="J214" s="796">
        <v>4.3</v>
      </c>
      <c r="K214" s="222">
        <v>2.0</v>
      </c>
      <c r="L214" s="222">
        <v>12.0</v>
      </c>
      <c r="M214" s="222" t="s">
        <v>6522</v>
      </c>
      <c r="N214" s="222" t="s">
        <v>6536</v>
      </c>
      <c r="O214" s="222" t="s">
        <v>3149</v>
      </c>
      <c r="P214" s="222">
        <v>2666.0</v>
      </c>
      <c r="Q214" s="222">
        <v>35.0</v>
      </c>
      <c r="R214" s="222" t="s">
        <v>166</v>
      </c>
      <c r="S214" s="797">
        <v>323.0</v>
      </c>
      <c r="T214" s="389" t="s">
        <v>166</v>
      </c>
      <c r="U214" s="389" t="s">
        <v>6423</v>
      </c>
    </row>
    <row r="215">
      <c r="A215" s="241" t="s">
        <v>1688</v>
      </c>
      <c r="B215" s="389" t="s">
        <v>6529</v>
      </c>
      <c r="C215" s="795" t="str">
        <f>HYPERLINK("https://ark.intel.com/content/www/us/en/ark/products/193738/intel-core-i7-9700f-processor-12m-cache-up-to-4-70-ghz.html","9700F")</f>
        <v>9700F</v>
      </c>
      <c r="D215" s="222" t="s">
        <v>5184</v>
      </c>
      <c r="E215" s="222" t="s">
        <v>6537</v>
      </c>
      <c r="F215" s="222" t="s">
        <v>6521</v>
      </c>
      <c r="G215" s="222">
        <v>8.0</v>
      </c>
      <c r="H215" s="222">
        <v>8.0</v>
      </c>
      <c r="I215" s="796">
        <v>3.0</v>
      </c>
      <c r="J215" s="796">
        <v>4.7</v>
      </c>
      <c r="K215" s="222">
        <v>2.0</v>
      </c>
      <c r="L215" s="222">
        <v>12.0</v>
      </c>
      <c r="M215" s="222" t="s">
        <v>6522</v>
      </c>
      <c r="N215" s="222" t="s">
        <v>166</v>
      </c>
      <c r="O215" s="222" t="s">
        <v>3149</v>
      </c>
      <c r="P215" s="222">
        <v>2666.0</v>
      </c>
      <c r="Q215" s="222">
        <v>65.0</v>
      </c>
      <c r="R215" s="222" t="s">
        <v>166</v>
      </c>
      <c r="S215" s="797">
        <v>323.0</v>
      </c>
      <c r="T215" s="389" t="s">
        <v>6524</v>
      </c>
      <c r="U215" s="389"/>
    </row>
    <row r="216">
      <c r="A216" s="241" t="s">
        <v>1688</v>
      </c>
      <c r="B216" s="389" t="s">
        <v>6529</v>
      </c>
      <c r="C216" s="795" t="str">
        <f>HYPERLINK("https://ark.intel.com/content/www/us/en/ark/products/191792/intel-core-i7-9700-processor-12m-cache-up-to-4-70-ghz.html","9700")</f>
        <v>9700</v>
      </c>
      <c r="D216" s="222" t="s">
        <v>5184</v>
      </c>
      <c r="E216" s="222" t="s">
        <v>6537</v>
      </c>
      <c r="F216" s="222" t="s">
        <v>6521</v>
      </c>
      <c r="G216" s="222">
        <v>8.0</v>
      </c>
      <c r="H216" s="222">
        <v>8.0</v>
      </c>
      <c r="I216" s="796">
        <v>3.0</v>
      </c>
      <c r="J216" s="796">
        <v>4.7</v>
      </c>
      <c r="K216" s="222">
        <v>2.0</v>
      </c>
      <c r="L216" s="222">
        <v>12.0</v>
      </c>
      <c r="M216" s="222" t="s">
        <v>6522</v>
      </c>
      <c r="N216" s="222" t="s">
        <v>6536</v>
      </c>
      <c r="O216" s="222" t="s">
        <v>3149</v>
      </c>
      <c r="P216" s="222">
        <v>2666.0</v>
      </c>
      <c r="Q216" s="222">
        <v>65.0</v>
      </c>
      <c r="R216" s="222" t="s">
        <v>166</v>
      </c>
      <c r="S216" s="797">
        <v>323.0</v>
      </c>
      <c r="T216" s="389" t="s">
        <v>6524</v>
      </c>
      <c r="U216" s="389"/>
    </row>
    <row r="217">
      <c r="A217" s="241" t="s">
        <v>1688</v>
      </c>
      <c r="B217" s="389" t="s">
        <v>6529</v>
      </c>
      <c r="C217" s="795" t="str">
        <f>HYPERLINK("https://ark.intel.com/content/www/us/en/ark/products/190885/intel-core-i7-9700kf-processor-12m-cache-up-to-4-90-ghz.html","9700KF")</f>
        <v>9700KF</v>
      </c>
      <c r="D217" s="222" t="s">
        <v>5184</v>
      </c>
      <c r="E217" s="222" t="s">
        <v>6537</v>
      </c>
      <c r="F217" s="222" t="s">
        <v>6521</v>
      </c>
      <c r="G217" s="222">
        <v>8.0</v>
      </c>
      <c r="H217" s="222">
        <v>8.0</v>
      </c>
      <c r="I217" s="796">
        <v>3.6</v>
      </c>
      <c r="J217" s="796">
        <v>4.9</v>
      </c>
      <c r="K217" s="222">
        <v>2.0</v>
      </c>
      <c r="L217" s="222">
        <v>12.0</v>
      </c>
      <c r="M217" s="222" t="s">
        <v>6522</v>
      </c>
      <c r="N217" s="222" t="s">
        <v>166</v>
      </c>
      <c r="O217" s="222" t="s">
        <v>3149</v>
      </c>
      <c r="P217" s="222">
        <v>2666.0</v>
      </c>
      <c r="Q217" s="222">
        <v>95.0</v>
      </c>
      <c r="R217" s="222" t="s">
        <v>174</v>
      </c>
      <c r="S217" s="797">
        <v>374.0</v>
      </c>
      <c r="T217" s="389" t="s">
        <v>166</v>
      </c>
      <c r="U217" s="389"/>
    </row>
    <row r="218">
      <c r="A218" s="241" t="s">
        <v>1688</v>
      </c>
      <c r="B218" s="389" t="s">
        <v>6529</v>
      </c>
      <c r="C218" s="795" t="str">
        <f>HYPERLINK("https://ark.intel.com/content/www/us/en/ark/products/186604/intel-core-i7-9700k-processor-12m-cache-up-to-4-90-ghz.html","9700K")</f>
        <v>9700K</v>
      </c>
      <c r="D218" s="222" t="s">
        <v>5184</v>
      </c>
      <c r="E218" s="222" t="s">
        <v>6537</v>
      </c>
      <c r="F218" s="222" t="s">
        <v>6521</v>
      </c>
      <c r="G218" s="222">
        <v>8.0</v>
      </c>
      <c r="H218" s="222">
        <v>8.0</v>
      </c>
      <c r="I218" s="796">
        <v>3.6</v>
      </c>
      <c r="J218" s="796">
        <v>4.9</v>
      </c>
      <c r="K218" s="222">
        <v>2.0</v>
      </c>
      <c r="L218" s="222">
        <v>12.0</v>
      </c>
      <c r="M218" s="222" t="s">
        <v>6522</v>
      </c>
      <c r="N218" s="222" t="s">
        <v>6536</v>
      </c>
      <c r="O218" s="222" t="s">
        <v>3149</v>
      </c>
      <c r="P218" s="222">
        <v>2666.0</v>
      </c>
      <c r="Q218" s="222">
        <v>95.0</v>
      </c>
      <c r="R218" s="222" t="s">
        <v>174</v>
      </c>
      <c r="S218" s="797">
        <v>374.0</v>
      </c>
      <c r="T218" s="389" t="s">
        <v>166</v>
      </c>
      <c r="U218" s="389"/>
    </row>
    <row r="219">
      <c r="A219" s="241" t="s">
        <v>1688</v>
      </c>
      <c r="B219" s="389" t="s">
        <v>6538</v>
      </c>
      <c r="C219" s="795" t="str">
        <f>HYPERLINK("https://ark.intel.com/content/www/us/en/ark/products/191044/intel-core-i9-9900t-processor-16m-cache-up-to-4-40-ghz.html","9900T")</f>
        <v>9900T</v>
      </c>
      <c r="D219" s="222" t="s">
        <v>5184</v>
      </c>
      <c r="E219" s="222" t="s">
        <v>6537</v>
      </c>
      <c r="F219" s="222" t="s">
        <v>6521</v>
      </c>
      <c r="G219" s="222">
        <v>8.0</v>
      </c>
      <c r="H219" s="222">
        <v>16.0</v>
      </c>
      <c r="I219" s="796">
        <v>2.1</v>
      </c>
      <c r="J219" s="796">
        <v>4.4</v>
      </c>
      <c r="K219" s="222">
        <v>2.0</v>
      </c>
      <c r="L219" s="222">
        <v>16.0</v>
      </c>
      <c r="M219" s="222" t="s">
        <v>6522</v>
      </c>
      <c r="N219" s="222" t="s">
        <v>6536</v>
      </c>
      <c r="O219" s="222" t="s">
        <v>3149</v>
      </c>
      <c r="P219" s="222">
        <v>2666.0</v>
      </c>
      <c r="Q219" s="222">
        <v>35.0</v>
      </c>
      <c r="R219" s="222" t="s">
        <v>166</v>
      </c>
      <c r="S219" s="797">
        <v>423.0</v>
      </c>
      <c r="T219" s="389" t="s">
        <v>166</v>
      </c>
      <c r="U219" s="389" t="s">
        <v>6423</v>
      </c>
    </row>
    <row r="220">
      <c r="A220" s="241" t="s">
        <v>1688</v>
      </c>
      <c r="B220" s="389" t="s">
        <v>6538</v>
      </c>
      <c r="C220" s="795" t="str">
        <f>HYPERLINK("https://ark.intel.com/content/www/us/en/ark/products/191789/intel-core-i9-9900-processor-16m-cache-up-to-5-00-ghz.html","9900")</f>
        <v>9900</v>
      </c>
      <c r="D220" s="222" t="s">
        <v>5184</v>
      </c>
      <c r="E220" s="222" t="s">
        <v>6537</v>
      </c>
      <c r="F220" s="222" t="s">
        <v>6521</v>
      </c>
      <c r="G220" s="222">
        <v>8.0</v>
      </c>
      <c r="H220" s="222">
        <v>16.0</v>
      </c>
      <c r="I220" s="796">
        <v>3.1</v>
      </c>
      <c r="J220" s="796">
        <v>5.0</v>
      </c>
      <c r="K220" s="222">
        <v>2.0</v>
      </c>
      <c r="L220" s="222">
        <v>16.0</v>
      </c>
      <c r="M220" s="222" t="s">
        <v>6522</v>
      </c>
      <c r="N220" s="222" t="s">
        <v>6536</v>
      </c>
      <c r="O220" s="222" t="s">
        <v>3149</v>
      </c>
      <c r="P220" s="222">
        <v>2666.0</v>
      </c>
      <c r="Q220" s="222">
        <v>65.0</v>
      </c>
      <c r="R220" s="222" t="s">
        <v>166</v>
      </c>
      <c r="S220" s="797">
        <v>423.0</v>
      </c>
      <c r="T220" s="389" t="s">
        <v>6524</v>
      </c>
      <c r="U220" s="389"/>
    </row>
    <row r="221">
      <c r="A221" s="241" t="s">
        <v>1688</v>
      </c>
      <c r="B221" s="389" t="s">
        <v>6538</v>
      </c>
      <c r="C221" s="795" t="str">
        <f>HYPERLINK("https://ark.intel.com/content/www/us/en/ark/products/190887/intel-core-i9-9900kf-processor-16m-cache-up-to-5-00-ghz.html","9900KF")</f>
        <v>9900KF</v>
      </c>
      <c r="D221" s="222" t="s">
        <v>5184</v>
      </c>
      <c r="E221" s="222" t="s">
        <v>6537</v>
      </c>
      <c r="F221" s="222" t="s">
        <v>6521</v>
      </c>
      <c r="G221" s="222">
        <v>8.0</v>
      </c>
      <c r="H221" s="222">
        <v>16.0</v>
      </c>
      <c r="I221" s="796">
        <v>3.6</v>
      </c>
      <c r="J221" s="796">
        <v>5.0</v>
      </c>
      <c r="K221" s="222">
        <v>2.0</v>
      </c>
      <c r="L221" s="222">
        <v>16.0</v>
      </c>
      <c r="M221" s="222" t="s">
        <v>6522</v>
      </c>
      <c r="N221" s="222" t="s">
        <v>166</v>
      </c>
      <c r="O221" s="222" t="s">
        <v>3149</v>
      </c>
      <c r="P221" s="222">
        <v>2666.0</v>
      </c>
      <c r="Q221" s="222">
        <v>95.0</v>
      </c>
      <c r="R221" s="222" t="s">
        <v>174</v>
      </c>
      <c r="S221" s="797">
        <v>488.0</v>
      </c>
      <c r="T221" s="389" t="s">
        <v>166</v>
      </c>
      <c r="U221" s="389"/>
    </row>
    <row r="222">
      <c r="A222" s="241" t="s">
        <v>1688</v>
      </c>
      <c r="B222" s="389" t="s">
        <v>6538</v>
      </c>
      <c r="C222" s="795" t="str">
        <f>HYPERLINK("https://ark.intel.com/content/www/us/en/ark/products/186605/intel-core-i9-9900k-processor-16m-cache-up-to-5-00-ghz.html","9900K")</f>
        <v>9900K</v>
      </c>
      <c r="D222" s="222" t="s">
        <v>5184</v>
      </c>
      <c r="E222" s="222" t="s">
        <v>6537</v>
      </c>
      <c r="F222" s="222" t="s">
        <v>6521</v>
      </c>
      <c r="G222" s="222">
        <v>8.0</v>
      </c>
      <c r="H222" s="222">
        <v>16.0</v>
      </c>
      <c r="I222" s="796">
        <v>3.6</v>
      </c>
      <c r="J222" s="796">
        <v>5.0</v>
      </c>
      <c r="K222" s="222">
        <v>2.0</v>
      </c>
      <c r="L222" s="222">
        <v>16.0</v>
      </c>
      <c r="M222" s="222" t="s">
        <v>6522</v>
      </c>
      <c r="N222" s="222" t="s">
        <v>6536</v>
      </c>
      <c r="O222" s="222" t="s">
        <v>3149</v>
      </c>
      <c r="P222" s="222">
        <v>2666.0</v>
      </c>
      <c r="Q222" s="222">
        <v>95.0</v>
      </c>
      <c r="R222" s="222" t="s">
        <v>174</v>
      </c>
      <c r="S222" s="797">
        <v>488.0</v>
      </c>
      <c r="T222" s="389" t="s">
        <v>166</v>
      </c>
      <c r="U222" s="389"/>
    </row>
    <row r="223">
      <c r="A223" s="247" t="s">
        <v>1688</v>
      </c>
      <c r="B223" s="802" t="s">
        <v>6538</v>
      </c>
      <c r="C223" s="799" t="str">
        <f>HYPERLINK("https://ark.intel.com/content/www/us/en/ark/products/192943/intel-core-i9-9900ks-processor-16m-cache-up-to-5-00-ghz.html","9900KS")</f>
        <v>9900KS</v>
      </c>
      <c r="D223" s="233" t="s">
        <v>5184</v>
      </c>
      <c r="E223" s="233" t="s">
        <v>6537</v>
      </c>
      <c r="F223" s="233" t="s">
        <v>6521</v>
      </c>
      <c r="G223" s="233">
        <v>8.0</v>
      </c>
      <c r="H223" s="233">
        <v>16.0</v>
      </c>
      <c r="I223" s="800">
        <v>4.0</v>
      </c>
      <c r="J223" s="800">
        <v>5.0</v>
      </c>
      <c r="K223" s="233">
        <v>2.0</v>
      </c>
      <c r="L223" s="233">
        <v>16.0</v>
      </c>
      <c r="M223" s="233" t="s">
        <v>6522</v>
      </c>
      <c r="N223" s="233" t="s">
        <v>6536</v>
      </c>
      <c r="O223" s="233" t="s">
        <v>3149</v>
      </c>
      <c r="P223" s="233">
        <v>2666.0</v>
      </c>
      <c r="Q223" s="233">
        <v>127.0</v>
      </c>
      <c r="R223" s="233" t="s">
        <v>174</v>
      </c>
      <c r="S223" s="801">
        <v>513.0</v>
      </c>
      <c r="T223" s="802" t="s">
        <v>166</v>
      </c>
      <c r="U223" s="802"/>
    </row>
    <row r="224">
      <c r="A224" s="241" t="s">
        <v>1688</v>
      </c>
      <c r="B224" s="389" t="s">
        <v>6519</v>
      </c>
      <c r="C224" s="795" t="str">
        <f>HYPERLINK("https://ark.intel.com/content/www/us/en/ark/products/199270/intel-celeron-processor-g5900t-2m-cache-3-20-ghz.html","G5900T")</f>
        <v>G5900T</v>
      </c>
      <c r="D224" s="222">
        <v>1200.0</v>
      </c>
      <c r="E224" s="222" t="s">
        <v>6539</v>
      </c>
      <c r="F224" s="222" t="s">
        <v>6521</v>
      </c>
      <c r="G224" s="222">
        <v>2.0</v>
      </c>
      <c r="H224" s="222">
        <v>2.0</v>
      </c>
      <c r="I224" s="796">
        <v>3.2</v>
      </c>
      <c r="J224" s="796" t="s">
        <v>166</v>
      </c>
      <c r="K224" s="222">
        <v>0.5</v>
      </c>
      <c r="L224" s="222">
        <v>2.0</v>
      </c>
      <c r="M224" s="222" t="s">
        <v>6522</v>
      </c>
      <c r="N224" s="222" t="s">
        <v>6534</v>
      </c>
      <c r="O224" s="222" t="s">
        <v>3149</v>
      </c>
      <c r="P224" s="222">
        <v>2666.0</v>
      </c>
      <c r="Q224" s="222">
        <v>35.0</v>
      </c>
      <c r="R224" s="222" t="s">
        <v>166</v>
      </c>
      <c r="S224" s="797">
        <v>42.0</v>
      </c>
      <c r="T224" s="805" t="s">
        <v>166</v>
      </c>
      <c r="U224" s="389" t="s">
        <v>6423</v>
      </c>
    </row>
    <row r="225">
      <c r="A225" s="241" t="s">
        <v>1688</v>
      </c>
      <c r="B225" s="389" t="s">
        <v>6519</v>
      </c>
      <c r="C225" s="795" t="str">
        <f>HYPERLINK("https://ark.intel.com/content/www/us/en/ark/products/199268/intel-celeron-processor-g5900-2m-cache-3-40-ghz.html","G5900")</f>
        <v>G5900</v>
      </c>
      <c r="D225" s="222">
        <v>1200.0</v>
      </c>
      <c r="E225" s="222" t="s">
        <v>6539</v>
      </c>
      <c r="F225" s="222" t="s">
        <v>6521</v>
      </c>
      <c r="G225" s="222">
        <v>2.0</v>
      </c>
      <c r="H225" s="222">
        <v>2.0</v>
      </c>
      <c r="I225" s="796">
        <v>3.4</v>
      </c>
      <c r="J225" s="796" t="s">
        <v>166</v>
      </c>
      <c r="K225" s="222">
        <v>0.5</v>
      </c>
      <c r="L225" s="222">
        <v>2.0</v>
      </c>
      <c r="M225" s="222" t="s">
        <v>6522</v>
      </c>
      <c r="N225" s="222" t="s">
        <v>6534</v>
      </c>
      <c r="O225" s="222" t="s">
        <v>3149</v>
      </c>
      <c r="P225" s="222">
        <v>2666.0</v>
      </c>
      <c r="Q225" s="222">
        <v>58.0</v>
      </c>
      <c r="R225" s="222" t="s">
        <v>166</v>
      </c>
      <c r="S225" s="797">
        <v>42.0</v>
      </c>
      <c r="T225" s="805" t="s">
        <v>6524</v>
      </c>
      <c r="U225" s="389"/>
    </row>
    <row r="226">
      <c r="A226" s="241" t="s">
        <v>1688</v>
      </c>
      <c r="B226" s="389" t="s">
        <v>6519</v>
      </c>
      <c r="C226" s="795" t="s">
        <v>6540</v>
      </c>
      <c r="D226" s="222">
        <v>1200.0</v>
      </c>
      <c r="E226" s="222" t="s">
        <v>6539</v>
      </c>
      <c r="F226" s="222" t="s">
        <v>6521</v>
      </c>
      <c r="G226" s="222">
        <v>2.0</v>
      </c>
      <c r="H226" s="222">
        <v>2.0</v>
      </c>
      <c r="I226" s="796">
        <v>3.3</v>
      </c>
      <c r="J226" s="796" t="s">
        <v>166</v>
      </c>
      <c r="K226" s="222">
        <v>0.5</v>
      </c>
      <c r="L226" s="222">
        <v>4.0</v>
      </c>
      <c r="M226" s="222" t="s">
        <v>6522</v>
      </c>
      <c r="N226" s="222" t="s">
        <v>6534</v>
      </c>
      <c r="O226" s="222" t="s">
        <v>3149</v>
      </c>
      <c r="P226" s="222">
        <v>2666.0</v>
      </c>
      <c r="Q226" s="222">
        <v>35.0</v>
      </c>
      <c r="R226" s="222" t="s">
        <v>166</v>
      </c>
      <c r="S226" s="797">
        <v>42.0</v>
      </c>
      <c r="T226" s="805" t="s">
        <v>166</v>
      </c>
      <c r="U226" s="389" t="s">
        <v>6423</v>
      </c>
    </row>
    <row r="227">
      <c r="A227" s="241" t="s">
        <v>1688</v>
      </c>
      <c r="B227" s="389" t="s">
        <v>6519</v>
      </c>
      <c r="C227" s="795" t="s">
        <v>6541</v>
      </c>
      <c r="D227" s="222">
        <v>1200.0</v>
      </c>
      <c r="E227" s="222" t="s">
        <v>6539</v>
      </c>
      <c r="F227" s="222" t="s">
        <v>6521</v>
      </c>
      <c r="G227" s="222">
        <v>2.0</v>
      </c>
      <c r="H227" s="222">
        <v>2.0</v>
      </c>
      <c r="I227" s="796">
        <v>3.5</v>
      </c>
      <c r="J227" s="796" t="s">
        <v>166</v>
      </c>
      <c r="K227" s="222">
        <v>0.5</v>
      </c>
      <c r="L227" s="222">
        <v>4.0</v>
      </c>
      <c r="M227" s="222" t="s">
        <v>6522</v>
      </c>
      <c r="N227" s="222" t="s">
        <v>6534</v>
      </c>
      <c r="O227" s="222" t="s">
        <v>3149</v>
      </c>
      <c r="P227" s="222">
        <v>2666.0</v>
      </c>
      <c r="Q227" s="222">
        <v>58.0</v>
      </c>
      <c r="R227" s="222" t="s">
        <v>166</v>
      </c>
      <c r="S227" s="797">
        <v>42.0</v>
      </c>
      <c r="T227" s="805" t="s">
        <v>6524</v>
      </c>
      <c r="U227" s="389"/>
    </row>
    <row r="228">
      <c r="A228" s="241" t="s">
        <v>1688</v>
      </c>
      <c r="B228" s="389" t="s">
        <v>6519</v>
      </c>
      <c r="C228" s="795" t="str">
        <f>HYPERLINK("https://ark.intel.com/content/www/us/en/ark/products/199290/intel-celeron-processor-g5920-2m-cache-3-50-ghz.html","G5920")</f>
        <v>G5920</v>
      </c>
      <c r="D228" s="222">
        <v>1200.0</v>
      </c>
      <c r="E228" s="222" t="s">
        <v>6539</v>
      </c>
      <c r="F228" s="222" t="s">
        <v>6521</v>
      </c>
      <c r="G228" s="222">
        <v>2.0</v>
      </c>
      <c r="H228" s="222">
        <v>2.0</v>
      </c>
      <c r="I228" s="796">
        <v>3.5</v>
      </c>
      <c r="J228" s="796" t="s">
        <v>166</v>
      </c>
      <c r="K228" s="222">
        <v>0.5</v>
      </c>
      <c r="L228" s="222">
        <v>4.0</v>
      </c>
      <c r="M228" s="222" t="s">
        <v>6522</v>
      </c>
      <c r="N228" s="222" t="s">
        <v>6534</v>
      </c>
      <c r="O228" s="222" t="s">
        <v>3149</v>
      </c>
      <c r="P228" s="222">
        <v>2666.0</v>
      </c>
      <c r="Q228" s="222">
        <v>58.0</v>
      </c>
      <c r="R228" s="222" t="s">
        <v>166</v>
      </c>
      <c r="S228" s="797">
        <v>52.0</v>
      </c>
      <c r="T228" s="805" t="s">
        <v>6524</v>
      </c>
      <c r="U228" s="389"/>
    </row>
    <row r="229">
      <c r="A229" s="241" t="s">
        <v>1688</v>
      </c>
      <c r="B229" s="389" t="s">
        <v>6519</v>
      </c>
      <c r="C229" s="795" t="s">
        <v>6542</v>
      </c>
      <c r="D229" s="222">
        <v>1200.0</v>
      </c>
      <c r="E229" s="222" t="s">
        <v>6539</v>
      </c>
      <c r="F229" s="222" t="s">
        <v>6521</v>
      </c>
      <c r="G229" s="222">
        <v>2.0</v>
      </c>
      <c r="H229" s="222">
        <v>2.0</v>
      </c>
      <c r="I229" s="796">
        <v>3.6</v>
      </c>
      <c r="J229" s="796" t="s">
        <v>166</v>
      </c>
      <c r="K229" s="222">
        <v>0.5</v>
      </c>
      <c r="L229" s="222">
        <v>4.0</v>
      </c>
      <c r="M229" s="222" t="s">
        <v>6522</v>
      </c>
      <c r="N229" s="222" t="s">
        <v>6534</v>
      </c>
      <c r="O229" s="222" t="s">
        <v>3149</v>
      </c>
      <c r="P229" s="222">
        <v>2666.0</v>
      </c>
      <c r="Q229" s="222">
        <v>58.0</v>
      </c>
      <c r="R229" s="222" t="s">
        <v>166</v>
      </c>
      <c r="S229" s="797">
        <v>52.0</v>
      </c>
      <c r="T229" s="805" t="s">
        <v>6524</v>
      </c>
      <c r="U229" s="389"/>
    </row>
    <row r="230">
      <c r="A230" s="241" t="s">
        <v>1688</v>
      </c>
      <c r="B230" s="389" t="s">
        <v>6535</v>
      </c>
      <c r="C230" s="795" t="str">
        <f>HYPERLINK("https://ark.intel.com/content/www/us/en/ark/products/199289/intel-pentium-gold-g6400t-processor-4m-cache-3-40-ghz.html","G6400T")</f>
        <v>G6400T</v>
      </c>
      <c r="D230" s="222">
        <v>1200.0</v>
      </c>
      <c r="E230" s="222" t="s">
        <v>6539</v>
      </c>
      <c r="F230" s="222" t="s">
        <v>6521</v>
      </c>
      <c r="G230" s="222">
        <v>2.0</v>
      </c>
      <c r="H230" s="222">
        <v>4.0</v>
      </c>
      <c r="I230" s="796">
        <v>3.4</v>
      </c>
      <c r="J230" s="796" t="s">
        <v>166</v>
      </c>
      <c r="K230" s="222">
        <v>0.5</v>
      </c>
      <c r="L230" s="222">
        <v>4.0</v>
      </c>
      <c r="M230" s="222" t="s">
        <v>6522</v>
      </c>
      <c r="N230" s="222" t="s">
        <v>6534</v>
      </c>
      <c r="O230" s="222" t="s">
        <v>3149</v>
      </c>
      <c r="P230" s="222">
        <v>2666.0</v>
      </c>
      <c r="Q230" s="222">
        <v>35.0</v>
      </c>
      <c r="R230" s="222" t="s">
        <v>166</v>
      </c>
      <c r="S230" s="797">
        <v>64.0</v>
      </c>
      <c r="T230" s="805" t="s">
        <v>166</v>
      </c>
      <c r="U230" s="389" t="s">
        <v>6423</v>
      </c>
    </row>
    <row r="231">
      <c r="A231" s="241" t="s">
        <v>1688</v>
      </c>
      <c r="B231" s="389" t="s">
        <v>6535</v>
      </c>
      <c r="C231" s="795" t="str">
        <f>HYPERLINK("https://ark.intel.com/content/www/us/en/ark/products/199288/intel-pentium-gold-g6400-processor-4m-cache-4-00-ghz.html","G6400")</f>
        <v>G6400</v>
      </c>
      <c r="D231" s="222">
        <v>1200.0</v>
      </c>
      <c r="E231" s="222" t="s">
        <v>6539</v>
      </c>
      <c r="F231" s="222" t="s">
        <v>6521</v>
      </c>
      <c r="G231" s="222">
        <v>2.0</v>
      </c>
      <c r="H231" s="222">
        <v>4.0</v>
      </c>
      <c r="I231" s="796">
        <v>4.0</v>
      </c>
      <c r="J231" s="796" t="s">
        <v>166</v>
      </c>
      <c r="K231" s="222">
        <v>0.5</v>
      </c>
      <c r="L231" s="222">
        <v>4.0</v>
      </c>
      <c r="M231" s="222" t="s">
        <v>6522</v>
      </c>
      <c r="N231" s="222" t="s">
        <v>6534</v>
      </c>
      <c r="O231" s="222" t="s">
        <v>3149</v>
      </c>
      <c r="P231" s="222">
        <v>2666.0</v>
      </c>
      <c r="Q231" s="222">
        <v>58.0</v>
      </c>
      <c r="R231" s="222" t="s">
        <v>166</v>
      </c>
      <c r="S231" s="797">
        <v>64.0</v>
      </c>
      <c r="T231" s="805" t="s">
        <v>6524</v>
      </c>
      <c r="U231" s="389"/>
    </row>
    <row r="232">
      <c r="A232" s="241" t="s">
        <v>1688</v>
      </c>
      <c r="B232" s="389" t="s">
        <v>6535</v>
      </c>
      <c r="C232" s="795" t="s">
        <v>6543</v>
      </c>
      <c r="D232" s="222">
        <v>1200.0</v>
      </c>
      <c r="E232" s="222" t="s">
        <v>6539</v>
      </c>
      <c r="F232" s="222" t="s">
        <v>6521</v>
      </c>
      <c r="G232" s="222">
        <v>2.0</v>
      </c>
      <c r="H232" s="222">
        <v>4.0</v>
      </c>
      <c r="I232" s="796">
        <v>3.5</v>
      </c>
      <c r="J232" s="796" t="s">
        <v>166</v>
      </c>
      <c r="K232" s="222">
        <v>0.5</v>
      </c>
      <c r="L232" s="222">
        <v>4.0</v>
      </c>
      <c r="M232" s="222" t="s">
        <v>6522</v>
      </c>
      <c r="N232" s="222" t="s">
        <v>6534</v>
      </c>
      <c r="O232" s="222" t="s">
        <v>3149</v>
      </c>
      <c r="P232" s="222">
        <v>2666.0</v>
      </c>
      <c r="Q232" s="222">
        <v>35.0</v>
      </c>
      <c r="R232" s="222" t="s">
        <v>166</v>
      </c>
      <c r="S232" s="797">
        <v>64.0</v>
      </c>
      <c r="T232" s="805" t="s">
        <v>166</v>
      </c>
      <c r="U232" s="389" t="s">
        <v>6423</v>
      </c>
    </row>
    <row r="233">
      <c r="A233" s="241" t="s">
        <v>1688</v>
      </c>
      <c r="B233" s="389" t="s">
        <v>6535</v>
      </c>
      <c r="C233" s="795" t="s">
        <v>6544</v>
      </c>
      <c r="D233" s="222">
        <v>1200.0</v>
      </c>
      <c r="E233" s="222" t="s">
        <v>6539</v>
      </c>
      <c r="F233" s="222" t="s">
        <v>6521</v>
      </c>
      <c r="G233" s="222">
        <v>2.0</v>
      </c>
      <c r="H233" s="222">
        <v>4.0</v>
      </c>
      <c r="I233" s="796">
        <v>4.1</v>
      </c>
      <c r="J233" s="796" t="s">
        <v>166</v>
      </c>
      <c r="K233" s="222">
        <v>0.5</v>
      </c>
      <c r="L233" s="222">
        <v>4.0</v>
      </c>
      <c r="M233" s="222" t="s">
        <v>6522</v>
      </c>
      <c r="N233" s="222" t="s">
        <v>6534</v>
      </c>
      <c r="O233" s="222" t="s">
        <v>3149</v>
      </c>
      <c r="P233" s="222">
        <v>2666.0</v>
      </c>
      <c r="Q233" s="222">
        <v>65.0</v>
      </c>
      <c r="R233" s="222" t="s">
        <v>166</v>
      </c>
      <c r="S233" s="797">
        <v>64.0</v>
      </c>
      <c r="T233" s="805" t="s">
        <v>6524</v>
      </c>
      <c r="U233" s="389"/>
    </row>
    <row r="234">
      <c r="A234" s="241" t="s">
        <v>1688</v>
      </c>
      <c r="B234" s="389" t="s">
        <v>6535</v>
      </c>
      <c r="C234" s="795" t="str">
        <f>HYPERLINK("https://ark.intel.com/content/www/us/en/ark/products/199286/intel-pentium-gold-g6500t-processor-4m-cache-3-50-ghz.html","G6500T")</f>
        <v>G6500T</v>
      </c>
      <c r="D234" s="222">
        <v>1200.0</v>
      </c>
      <c r="E234" s="222" t="s">
        <v>6539</v>
      </c>
      <c r="F234" s="222" t="s">
        <v>6521</v>
      </c>
      <c r="G234" s="222">
        <v>2.0</v>
      </c>
      <c r="H234" s="222">
        <v>4.0</v>
      </c>
      <c r="I234" s="796">
        <v>3.5</v>
      </c>
      <c r="J234" s="796" t="s">
        <v>166</v>
      </c>
      <c r="K234" s="222">
        <v>0.5</v>
      </c>
      <c r="L234" s="222">
        <v>4.0</v>
      </c>
      <c r="M234" s="222" t="s">
        <v>6522</v>
      </c>
      <c r="N234" s="222" t="s">
        <v>6534</v>
      </c>
      <c r="O234" s="222" t="s">
        <v>3149</v>
      </c>
      <c r="P234" s="222">
        <v>2666.0</v>
      </c>
      <c r="Q234" s="222">
        <v>35.0</v>
      </c>
      <c r="R234" s="222" t="s">
        <v>166</v>
      </c>
      <c r="S234" s="797">
        <v>75.0</v>
      </c>
      <c r="T234" s="805" t="s">
        <v>166</v>
      </c>
      <c r="U234" s="389" t="s">
        <v>6423</v>
      </c>
    </row>
    <row r="235">
      <c r="A235" s="241" t="s">
        <v>1688</v>
      </c>
      <c r="B235" s="389" t="s">
        <v>6535</v>
      </c>
      <c r="C235" s="795" t="str">
        <f>HYPERLINK("https://ark.intel.com/content/www/us/en/ark/products/199287/intel-pentium-gold-g6500-processor-4m-cache-4-10-ghz.html","G6500")</f>
        <v>G6500</v>
      </c>
      <c r="D235" s="222">
        <v>1200.0</v>
      </c>
      <c r="E235" s="222" t="s">
        <v>6539</v>
      </c>
      <c r="F235" s="222" t="s">
        <v>6521</v>
      </c>
      <c r="G235" s="222">
        <v>2.0</v>
      </c>
      <c r="H235" s="222">
        <v>4.0</v>
      </c>
      <c r="I235" s="796">
        <v>4.1</v>
      </c>
      <c r="J235" s="796" t="s">
        <v>166</v>
      </c>
      <c r="K235" s="222">
        <v>0.5</v>
      </c>
      <c r="L235" s="222">
        <v>4.0</v>
      </c>
      <c r="M235" s="222" t="s">
        <v>6522</v>
      </c>
      <c r="N235" s="222" t="s">
        <v>6534</v>
      </c>
      <c r="O235" s="222" t="s">
        <v>3149</v>
      </c>
      <c r="P235" s="222">
        <v>2666.0</v>
      </c>
      <c r="Q235" s="222">
        <v>58.0</v>
      </c>
      <c r="R235" s="222" t="s">
        <v>166</v>
      </c>
      <c r="S235" s="797">
        <v>75.0</v>
      </c>
      <c r="T235" s="805" t="s">
        <v>6524</v>
      </c>
      <c r="U235" s="389"/>
    </row>
    <row r="236">
      <c r="A236" s="241" t="s">
        <v>1688</v>
      </c>
      <c r="B236" s="389" t="s">
        <v>6535</v>
      </c>
      <c r="C236" s="795" t="s">
        <v>6545</v>
      </c>
      <c r="D236" s="222">
        <v>1200.0</v>
      </c>
      <c r="E236" s="222" t="s">
        <v>6539</v>
      </c>
      <c r="F236" s="222" t="s">
        <v>6521</v>
      </c>
      <c r="G236" s="222">
        <v>2.0</v>
      </c>
      <c r="H236" s="222">
        <v>4.0</v>
      </c>
      <c r="I236" s="796">
        <v>3.6</v>
      </c>
      <c r="J236" s="796" t="s">
        <v>166</v>
      </c>
      <c r="K236" s="222">
        <v>0.5</v>
      </c>
      <c r="L236" s="222">
        <v>4.0</v>
      </c>
      <c r="M236" s="222" t="s">
        <v>6522</v>
      </c>
      <c r="N236" s="222" t="s">
        <v>6534</v>
      </c>
      <c r="O236" s="222" t="s">
        <v>3149</v>
      </c>
      <c r="P236" s="222">
        <v>2666.0</v>
      </c>
      <c r="Q236" s="222">
        <v>35.0</v>
      </c>
      <c r="R236" s="222" t="s">
        <v>166</v>
      </c>
      <c r="S236" s="797">
        <v>75.0</v>
      </c>
      <c r="T236" s="805" t="s">
        <v>166</v>
      </c>
      <c r="U236" s="389" t="s">
        <v>6423</v>
      </c>
    </row>
    <row r="237">
      <c r="A237" s="241" t="s">
        <v>1688</v>
      </c>
      <c r="B237" s="389" t="s">
        <v>6535</v>
      </c>
      <c r="C237" s="795" t="s">
        <v>6546</v>
      </c>
      <c r="D237" s="222">
        <v>1200.0</v>
      </c>
      <c r="E237" s="222" t="s">
        <v>6539</v>
      </c>
      <c r="F237" s="222" t="s">
        <v>6521</v>
      </c>
      <c r="G237" s="222">
        <v>2.0</v>
      </c>
      <c r="H237" s="222">
        <v>4.0</v>
      </c>
      <c r="I237" s="796">
        <v>4.2</v>
      </c>
      <c r="J237" s="796" t="s">
        <v>166</v>
      </c>
      <c r="K237" s="222">
        <v>0.5</v>
      </c>
      <c r="L237" s="222">
        <v>4.0</v>
      </c>
      <c r="M237" s="222" t="s">
        <v>6522</v>
      </c>
      <c r="N237" s="222" t="s">
        <v>6534</v>
      </c>
      <c r="O237" s="222" t="s">
        <v>3149</v>
      </c>
      <c r="P237" s="222">
        <v>2666.0</v>
      </c>
      <c r="Q237" s="222">
        <v>65.0</v>
      </c>
      <c r="R237" s="222" t="s">
        <v>166</v>
      </c>
      <c r="S237" s="797">
        <v>75.0</v>
      </c>
      <c r="T237" s="805" t="s">
        <v>6524</v>
      </c>
      <c r="U237" s="389"/>
    </row>
    <row r="238">
      <c r="A238" s="241" t="s">
        <v>1688</v>
      </c>
      <c r="B238" s="389" t="s">
        <v>6535</v>
      </c>
      <c r="C238" s="795" t="str">
        <f>HYPERLINK("https://ark.intel.com/content/www/us/en/ark/products/199285/intel-pentium-gold-g6600-processor-4m-cache-4-20-ghz.html","G6600")</f>
        <v>G6600</v>
      </c>
      <c r="D238" s="222">
        <v>1200.0</v>
      </c>
      <c r="E238" s="222" t="s">
        <v>6539</v>
      </c>
      <c r="F238" s="222" t="s">
        <v>6521</v>
      </c>
      <c r="G238" s="222">
        <v>2.0</v>
      </c>
      <c r="H238" s="222">
        <v>4.0</v>
      </c>
      <c r="I238" s="796">
        <v>4.2</v>
      </c>
      <c r="J238" s="796" t="s">
        <v>166</v>
      </c>
      <c r="K238" s="222">
        <v>0.5</v>
      </c>
      <c r="L238" s="222">
        <v>4.0</v>
      </c>
      <c r="M238" s="222" t="s">
        <v>6522</v>
      </c>
      <c r="N238" s="222" t="s">
        <v>6534</v>
      </c>
      <c r="O238" s="222" t="s">
        <v>3149</v>
      </c>
      <c r="P238" s="222">
        <v>2666.0</v>
      </c>
      <c r="Q238" s="222">
        <v>58.0</v>
      </c>
      <c r="R238" s="222" t="s">
        <v>166</v>
      </c>
      <c r="S238" s="797">
        <v>86.0</v>
      </c>
      <c r="T238" s="805" t="s">
        <v>6524</v>
      </c>
      <c r="U238" s="389"/>
    </row>
    <row r="239">
      <c r="A239" s="241" t="s">
        <v>1688</v>
      </c>
      <c r="B239" s="389" t="s">
        <v>6535</v>
      </c>
      <c r="C239" s="795" t="s">
        <v>6547</v>
      </c>
      <c r="D239" s="222">
        <v>1200.0</v>
      </c>
      <c r="E239" s="222" t="s">
        <v>6539</v>
      </c>
      <c r="F239" s="222" t="s">
        <v>6521</v>
      </c>
      <c r="G239" s="817">
        <v>2.0</v>
      </c>
      <c r="H239" s="818">
        <v>4.0</v>
      </c>
      <c r="I239" s="796">
        <v>4.3</v>
      </c>
      <c r="J239" s="796" t="s">
        <v>166</v>
      </c>
      <c r="K239" s="222">
        <v>0.5</v>
      </c>
      <c r="L239" s="222">
        <v>4.0</v>
      </c>
      <c r="M239" s="222" t="s">
        <v>6522</v>
      </c>
      <c r="N239" s="222" t="s">
        <v>6534</v>
      </c>
      <c r="O239" s="222" t="s">
        <v>3149</v>
      </c>
      <c r="P239" s="222">
        <v>2666.0</v>
      </c>
      <c r="Q239" s="222">
        <v>65.0</v>
      </c>
      <c r="R239" s="222" t="s">
        <v>166</v>
      </c>
      <c r="S239" s="797">
        <v>86.0</v>
      </c>
      <c r="T239" s="805" t="s">
        <v>6524</v>
      </c>
      <c r="U239" s="389"/>
    </row>
    <row r="240">
      <c r="A240" s="241" t="s">
        <v>1688</v>
      </c>
      <c r="B240" s="389" t="s">
        <v>6527</v>
      </c>
      <c r="C240" s="795" t="str">
        <f>HYPERLINK("https://ark.intel.com/content/www/us/en/ark/products/199284/intel-core-i3-10100t-processor-6m-cache-up-to-3-80-ghz.html","10100T")</f>
        <v>10100T</v>
      </c>
      <c r="D240" s="222">
        <v>1200.0</v>
      </c>
      <c r="E240" s="222" t="s">
        <v>6539</v>
      </c>
      <c r="F240" s="222" t="s">
        <v>6521</v>
      </c>
      <c r="G240" s="222">
        <v>4.0</v>
      </c>
      <c r="H240" s="222">
        <v>8.0</v>
      </c>
      <c r="I240" s="796">
        <v>3.0</v>
      </c>
      <c r="J240" s="796">
        <v>3.8</v>
      </c>
      <c r="K240" s="222">
        <v>1.0</v>
      </c>
      <c r="L240" s="222">
        <v>6.0</v>
      </c>
      <c r="M240" s="222" t="s">
        <v>6522</v>
      </c>
      <c r="N240" s="222" t="s">
        <v>6536</v>
      </c>
      <c r="O240" s="222" t="s">
        <v>3149</v>
      </c>
      <c r="P240" s="222">
        <v>2666.0</v>
      </c>
      <c r="Q240" s="222">
        <v>35.0</v>
      </c>
      <c r="R240" s="222" t="s">
        <v>166</v>
      </c>
      <c r="S240" s="797">
        <v>122.0</v>
      </c>
      <c r="T240" s="805" t="s">
        <v>166</v>
      </c>
      <c r="U240" s="389" t="s">
        <v>6423</v>
      </c>
    </row>
    <row r="241">
      <c r="A241" s="241" t="s">
        <v>1688</v>
      </c>
      <c r="B241" s="389" t="s">
        <v>6527</v>
      </c>
      <c r="C241" s="795" t="s">
        <v>6548</v>
      </c>
      <c r="D241" s="222">
        <v>1200.0</v>
      </c>
      <c r="E241" s="222" t="s">
        <v>6539</v>
      </c>
      <c r="F241" s="222" t="s">
        <v>6521</v>
      </c>
      <c r="G241" s="222">
        <v>4.0</v>
      </c>
      <c r="H241" s="222">
        <v>8.0</v>
      </c>
      <c r="I241" s="796">
        <v>3.6</v>
      </c>
      <c r="J241" s="796">
        <v>4.3</v>
      </c>
      <c r="K241" s="222">
        <v>1.0</v>
      </c>
      <c r="L241" s="222">
        <v>6.0</v>
      </c>
      <c r="M241" s="222" t="s">
        <v>6522</v>
      </c>
      <c r="N241" s="222" t="s">
        <v>166</v>
      </c>
      <c r="O241" s="222" t="s">
        <v>3149</v>
      </c>
      <c r="P241" s="222">
        <v>2666.0</v>
      </c>
      <c r="Q241" s="222">
        <v>65.0</v>
      </c>
      <c r="R241" s="222" t="s">
        <v>166</v>
      </c>
      <c r="S241" s="797">
        <v>97.0</v>
      </c>
      <c r="T241" s="805" t="s">
        <v>6524</v>
      </c>
      <c r="U241" s="389"/>
    </row>
    <row r="242">
      <c r="A242" s="241" t="s">
        <v>1688</v>
      </c>
      <c r="B242" s="389" t="s">
        <v>6527</v>
      </c>
      <c r="C242" s="795" t="str">
        <f>HYPERLINK("https://ark.intel.com/content/www/us/en/ark/products/199283/intel-core-i3-10100-processor-6m-cache-up-to-4-30-ghz.html","10100")</f>
        <v>10100</v>
      </c>
      <c r="D242" s="222">
        <v>1200.0</v>
      </c>
      <c r="E242" s="222" t="s">
        <v>6539</v>
      </c>
      <c r="F242" s="222" t="s">
        <v>6521</v>
      </c>
      <c r="G242" s="222">
        <v>4.0</v>
      </c>
      <c r="H242" s="222">
        <v>8.0</v>
      </c>
      <c r="I242" s="796">
        <v>3.6</v>
      </c>
      <c r="J242" s="796">
        <v>4.3</v>
      </c>
      <c r="K242" s="222">
        <v>1.0</v>
      </c>
      <c r="L242" s="222">
        <v>6.0</v>
      </c>
      <c r="M242" s="222" t="s">
        <v>6522</v>
      </c>
      <c r="N242" s="222" t="s">
        <v>6536</v>
      </c>
      <c r="O242" s="222" t="s">
        <v>3149</v>
      </c>
      <c r="P242" s="222">
        <v>2666.0</v>
      </c>
      <c r="Q242" s="222">
        <v>65.0</v>
      </c>
      <c r="R242" s="222" t="s">
        <v>166</v>
      </c>
      <c r="S242" s="797">
        <v>122.0</v>
      </c>
      <c r="T242" s="805" t="s">
        <v>6524</v>
      </c>
      <c r="U242" s="389"/>
    </row>
    <row r="243">
      <c r="A243" s="241" t="s">
        <v>1688</v>
      </c>
      <c r="B243" s="389" t="s">
        <v>6527</v>
      </c>
      <c r="C243" s="795" t="s">
        <v>6549</v>
      </c>
      <c r="D243" s="222">
        <v>1200.0</v>
      </c>
      <c r="E243" s="222" t="s">
        <v>6539</v>
      </c>
      <c r="F243" s="222" t="s">
        <v>6521</v>
      </c>
      <c r="G243" s="222">
        <v>4.0</v>
      </c>
      <c r="H243" s="222">
        <v>8.0</v>
      </c>
      <c r="I243" s="796">
        <v>3.0</v>
      </c>
      <c r="J243" s="796">
        <v>3.9</v>
      </c>
      <c r="K243" s="222">
        <v>1.0</v>
      </c>
      <c r="L243" s="222">
        <v>6.0</v>
      </c>
      <c r="M243" s="222" t="s">
        <v>6522</v>
      </c>
      <c r="N243" s="222" t="s">
        <v>6536</v>
      </c>
      <c r="O243" s="222" t="s">
        <v>3149</v>
      </c>
      <c r="P243" s="222">
        <v>2666.0</v>
      </c>
      <c r="Q243" s="222">
        <v>35.0</v>
      </c>
      <c r="R243" s="222" t="s">
        <v>166</v>
      </c>
      <c r="S243" s="797">
        <v>122.0</v>
      </c>
      <c r="T243" s="805" t="s">
        <v>166</v>
      </c>
      <c r="U243" s="389" t="s">
        <v>6423</v>
      </c>
    </row>
    <row r="244">
      <c r="A244" s="241" t="s">
        <v>1688</v>
      </c>
      <c r="B244" s="389" t="s">
        <v>6527</v>
      </c>
      <c r="C244" s="795" t="s">
        <v>6550</v>
      </c>
      <c r="D244" s="222">
        <v>1200.0</v>
      </c>
      <c r="E244" s="222" t="s">
        <v>6539</v>
      </c>
      <c r="F244" s="222" t="s">
        <v>6521</v>
      </c>
      <c r="G244" s="222">
        <v>4.0</v>
      </c>
      <c r="H244" s="222">
        <v>8.0</v>
      </c>
      <c r="I244" s="796">
        <v>3.7</v>
      </c>
      <c r="J244" s="796">
        <v>4.4</v>
      </c>
      <c r="K244" s="222">
        <v>1.0</v>
      </c>
      <c r="L244" s="222">
        <v>6.0</v>
      </c>
      <c r="M244" s="222" t="s">
        <v>6522</v>
      </c>
      <c r="N244" s="222" t="s">
        <v>166</v>
      </c>
      <c r="O244" s="222" t="s">
        <v>3149</v>
      </c>
      <c r="P244" s="222">
        <v>2666.0</v>
      </c>
      <c r="Q244" s="222">
        <v>65.0</v>
      </c>
      <c r="R244" s="222" t="s">
        <v>166</v>
      </c>
      <c r="S244" s="797">
        <v>97.0</v>
      </c>
      <c r="T244" s="805" t="s">
        <v>6524</v>
      </c>
      <c r="U244" s="389"/>
    </row>
    <row r="245">
      <c r="A245" s="241" t="s">
        <v>1688</v>
      </c>
      <c r="B245" s="389" t="s">
        <v>6527</v>
      </c>
      <c r="C245" s="795">
        <v>10105.0</v>
      </c>
      <c r="D245" s="222">
        <v>1200.0</v>
      </c>
      <c r="E245" s="222" t="s">
        <v>6539</v>
      </c>
      <c r="F245" s="222" t="s">
        <v>6521</v>
      </c>
      <c r="G245" s="819">
        <v>4.0</v>
      </c>
      <c r="H245" s="820">
        <v>8.0</v>
      </c>
      <c r="I245" s="796">
        <v>3.7</v>
      </c>
      <c r="J245" s="796">
        <v>4.4</v>
      </c>
      <c r="K245" s="222">
        <v>1.0</v>
      </c>
      <c r="L245" s="222">
        <v>6.0</v>
      </c>
      <c r="M245" s="222" t="s">
        <v>6522</v>
      </c>
      <c r="N245" s="222" t="s">
        <v>6536</v>
      </c>
      <c r="O245" s="222" t="s">
        <v>3149</v>
      </c>
      <c r="P245" s="222">
        <v>2666.0</v>
      </c>
      <c r="Q245" s="222">
        <v>65.0</v>
      </c>
      <c r="R245" s="222" t="s">
        <v>166</v>
      </c>
      <c r="S245" s="797">
        <v>122.0</v>
      </c>
      <c r="T245" s="805" t="s">
        <v>6524</v>
      </c>
      <c r="U245" s="389"/>
    </row>
    <row r="246">
      <c r="A246" s="241" t="s">
        <v>1688</v>
      </c>
      <c r="B246" s="389" t="s">
        <v>6527</v>
      </c>
      <c r="C246" s="795" t="str">
        <f>HYPERLINK("https://ark.intel.com/content/www/us/en/ark/products/199282/intel-core-i3-10300t-processor-8m-cache-up-to-3-90-ghz.html","10300T")</f>
        <v>10300T</v>
      </c>
      <c r="D246" s="222">
        <v>1200.0</v>
      </c>
      <c r="E246" s="222" t="s">
        <v>6539</v>
      </c>
      <c r="F246" s="222" t="s">
        <v>6521</v>
      </c>
      <c r="G246" s="222">
        <v>4.0</v>
      </c>
      <c r="H246" s="222">
        <v>8.0</v>
      </c>
      <c r="I246" s="796">
        <v>3.0</v>
      </c>
      <c r="J246" s="796">
        <v>3.9</v>
      </c>
      <c r="K246" s="222">
        <v>1.0</v>
      </c>
      <c r="L246" s="222">
        <v>8.0</v>
      </c>
      <c r="M246" s="222" t="s">
        <v>6522</v>
      </c>
      <c r="N246" s="222" t="s">
        <v>6536</v>
      </c>
      <c r="O246" s="222" t="s">
        <v>3149</v>
      </c>
      <c r="P246" s="222">
        <v>2666.0</v>
      </c>
      <c r="Q246" s="222">
        <v>35.0</v>
      </c>
      <c r="R246" s="222" t="s">
        <v>166</v>
      </c>
      <c r="S246" s="797">
        <v>143.0</v>
      </c>
      <c r="T246" s="805" t="s">
        <v>166</v>
      </c>
      <c r="U246" s="389" t="s">
        <v>6423</v>
      </c>
    </row>
    <row r="247">
      <c r="A247" s="241" t="s">
        <v>1688</v>
      </c>
      <c r="B247" s="389" t="s">
        <v>6527</v>
      </c>
      <c r="C247" s="795" t="str">
        <f>HYPERLINK("https://ark.intel.com/content/www/us/en/ark/products/199281/intel-core-i3-10300-processor-8m-cache-up-to-4-40-ghz.html","10300")</f>
        <v>10300</v>
      </c>
      <c r="D247" s="222">
        <v>1200.0</v>
      </c>
      <c r="E247" s="222" t="s">
        <v>6539</v>
      </c>
      <c r="F247" s="222" t="s">
        <v>6521</v>
      </c>
      <c r="G247" s="222">
        <v>4.0</v>
      </c>
      <c r="H247" s="222">
        <v>8.0</v>
      </c>
      <c r="I247" s="796">
        <v>3.7</v>
      </c>
      <c r="J247" s="796">
        <v>4.4</v>
      </c>
      <c r="K247" s="222">
        <v>1.0</v>
      </c>
      <c r="L247" s="222">
        <v>8.0</v>
      </c>
      <c r="M247" s="222" t="s">
        <v>6522</v>
      </c>
      <c r="N247" s="222" t="s">
        <v>6536</v>
      </c>
      <c r="O247" s="222" t="s">
        <v>3149</v>
      </c>
      <c r="P247" s="222">
        <v>2666.0</v>
      </c>
      <c r="Q247" s="222">
        <v>65.0</v>
      </c>
      <c r="R247" s="222" t="s">
        <v>166</v>
      </c>
      <c r="S247" s="797">
        <v>143.0</v>
      </c>
      <c r="T247" s="805" t="s">
        <v>6524</v>
      </c>
      <c r="U247" s="389"/>
    </row>
    <row r="248">
      <c r="A248" s="241" t="s">
        <v>1688</v>
      </c>
      <c r="B248" s="389" t="s">
        <v>6527</v>
      </c>
      <c r="C248" s="795" t="s">
        <v>6551</v>
      </c>
      <c r="D248" s="222">
        <v>1200.0</v>
      </c>
      <c r="E248" s="222" t="s">
        <v>6539</v>
      </c>
      <c r="F248" s="222" t="s">
        <v>6521</v>
      </c>
      <c r="G248" s="222">
        <v>4.0</v>
      </c>
      <c r="H248" s="222">
        <v>8.0</v>
      </c>
      <c r="I248" s="796">
        <v>3.0</v>
      </c>
      <c r="J248" s="796">
        <v>4.0</v>
      </c>
      <c r="K248" s="222">
        <v>1.0</v>
      </c>
      <c r="L248" s="222">
        <v>8.0</v>
      </c>
      <c r="M248" s="222" t="s">
        <v>6522</v>
      </c>
      <c r="N248" s="222" t="s">
        <v>6536</v>
      </c>
      <c r="O248" s="222" t="s">
        <v>3149</v>
      </c>
      <c r="P248" s="222">
        <v>2666.0</v>
      </c>
      <c r="Q248" s="222">
        <v>35.0</v>
      </c>
      <c r="R248" s="222" t="s">
        <v>166</v>
      </c>
      <c r="S248" s="797">
        <v>143.0</v>
      </c>
      <c r="T248" s="805" t="s">
        <v>166</v>
      </c>
      <c r="U248" s="389" t="s">
        <v>6423</v>
      </c>
    </row>
    <row r="249">
      <c r="A249" s="241" t="s">
        <v>1688</v>
      </c>
      <c r="B249" s="389" t="s">
        <v>6527</v>
      </c>
      <c r="C249" s="795">
        <v>10305.0</v>
      </c>
      <c r="D249" s="222">
        <v>1200.0</v>
      </c>
      <c r="E249" s="222" t="s">
        <v>6539</v>
      </c>
      <c r="F249" s="222" t="s">
        <v>6521</v>
      </c>
      <c r="G249" s="222">
        <v>4.0</v>
      </c>
      <c r="H249" s="222">
        <v>8.0</v>
      </c>
      <c r="I249" s="796">
        <v>3.8</v>
      </c>
      <c r="J249" s="796">
        <v>4.5</v>
      </c>
      <c r="K249" s="222">
        <v>1.0</v>
      </c>
      <c r="L249" s="222">
        <v>8.0</v>
      </c>
      <c r="M249" s="222" t="s">
        <v>6522</v>
      </c>
      <c r="N249" s="222" t="s">
        <v>6536</v>
      </c>
      <c r="O249" s="222" t="s">
        <v>3149</v>
      </c>
      <c r="P249" s="222">
        <v>2666.0</v>
      </c>
      <c r="Q249" s="222">
        <v>65.0</v>
      </c>
      <c r="R249" s="222" t="s">
        <v>166</v>
      </c>
      <c r="S249" s="797">
        <v>143.0</v>
      </c>
      <c r="T249" s="805" t="s">
        <v>6524</v>
      </c>
      <c r="U249" s="389"/>
    </row>
    <row r="250">
      <c r="A250" s="241" t="s">
        <v>1688</v>
      </c>
      <c r="B250" s="389" t="s">
        <v>6527</v>
      </c>
      <c r="C250" s="795" t="str">
        <f>HYPERLINK("https://ark.intel.com/content/www/us/en/ark/products/199280/intel-core-i3-10320-processor-8m-cache-up-to-4-60-ghz.html","10320")</f>
        <v>10320</v>
      </c>
      <c r="D250" s="222">
        <v>1200.0</v>
      </c>
      <c r="E250" s="222" t="s">
        <v>6539</v>
      </c>
      <c r="F250" s="222" t="s">
        <v>6521</v>
      </c>
      <c r="G250" s="222">
        <v>4.0</v>
      </c>
      <c r="H250" s="222">
        <v>8.0</v>
      </c>
      <c r="I250" s="796">
        <v>3.8</v>
      </c>
      <c r="J250" s="796">
        <v>4.6</v>
      </c>
      <c r="K250" s="222">
        <v>1.0</v>
      </c>
      <c r="L250" s="222">
        <v>8.0</v>
      </c>
      <c r="M250" s="222" t="s">
        <v>6522</v>
      </c>
      <c r="N250" s="222" t="s">
        <v>6536</v>
      </c>
      <c r="O250" s="222" t="s">
        <v>3149</v>
      </c>
      <c r="P250" s="222">
        <v>2666.0</v>
      </c>
      <c r="Q250" s="222">
        <v>65.0</v>
      </c>
      <c r="R250" s="222" t="s">
        <v>166</v>
      </c>
      <c r="S250" s="797">
        <v>154.0</v>
      </c>
      <c r="T250" s="805" t="s">
        <v>6524</v>
      </c>
      <c r="U250" s="389"/>
    </row>
    <row r="251">
      <c r="A251" s="241" t="s">
        <v>1688</v>
      </c>
      <c r="B251" s="389" t="s">
        <v>6527</v>
      </c>
      <c r="C251" s="795">
        <v>10325.0</v>
      </c>
      <c r="D251" s="222">
        <v>1200.0</v>
      </c>
      <c r="E251" s="222" t="s">
        <v>6539</v>
      </c>
      <c r="F251" s="222" t="s">
        <v>6521</v>
      </c>
      <c r="G251" s="222">
        <v>4.0</v>
      </c>
      <c r="H251" s="222">
        <v>8.0</v>
      </c>
      <c r="I251" s="796">
        <v>3.9</v>
      </c>
      <c r="J251" s="796">
        <v>4.7</v>
      </c>
      <c r="K251" s="222">
        <v>1.0</v>
      </c>
      <c r="L251" s="222">
        <v>8.0</v>
      </c>
      <c r="M251" s="222" t="s">
        <v>6522</v>
      </c>
      <c r="N251" s="222" t="s">
        <v>6536</v>
      </c>
      <c r="O251" s="222" t="s">
        <v>3149</v>
      </c>
      <c r="P251" s="222">
        <v>2666.0</v>
      </c>
      <c r="Q251" s="222">
        <v>65.0</v>
      </c>
      <c r="R251" s="222" t="s">
        <v>166</v>
      </c>
      <c r="S251" s="797">
        <v>154.0</v>
      </c>
      <c r="T251" s="805" t="s">
        <v>6524</v>
      </c>
      <c r="U251" s="389"/>
    </row>
    <row r="252">
      <c r="A252" s="241" t="s">
        <v>1688</v>
      </c>
      <c r="B252" s="389" t="s">
        <v>6528</v>
      </c>
      <c r="C252" s="795" t="str">
        <f>HYPERLINK("https://ark.intel.com/content/www/us/en/ark/products/199276/intel-core-i5-10400t-processor-12m-cache-up-to-3-60-ghz.html","10400T")</f>
        <v>10400T</v>
      </c>
      <c r="D252" s="222">
        <v>1200.0</v>
      </c>
      <c r="E252" s="222" t="s">
        <v>6539</v>
      </c>
      <c r="F252" s="222" t="s">
        <v>6521</v>
      </c>
      <c r="G252" s="222">
        <v>6.0</v>
      </c>
      <c r="H252" s="222">
        <v>12.0</v>
      </c>
      <c r="I252" s="796">
        <v>2.0</v>
      </c>
      <c r="J252" s="796">
        <v>3.6</v>
      </c>
      <c r="K252" s="222">
        <v>1.5</v>
      </c>
      <c r="L252" s="222">
        <v>12.0</v>
      </c>
      <c r="M252" s="222" t="s">
        <v>6522</v>
      </c>
      <c r="N252" s="222" t="s">
        <v>6536</v>
      </c>
      <c r="O252" s="222" t="s">
        <v>3149</v>
      </c>
      <c r="P252" s="222">
        <v>2666.0</v>
      </c>
      <c r="Q252" s="222">
        <v>35.0</v>
      </c>
      <c r="R252" s="222" t="s">
        <v>166</v>
      </c>
      <c r="S252" s="797">
        <v>182.0</v>
      </c>
      <c r="T252" s="805" t="s">
        <v>166</v>
      </c>
      <c r="U252" s="389" t="s">
        <v>6423</v>
      </c>
    </row>
    <row r="253">
      <c r="A253" s="241" t="s">
        <v>1688</v>
      </c>
      <c r="B253" s="389" t="s">
        <v>6528</v>
      </c>
      <c r="C253" s="795" t="str">
        <f>HYPERLINK("https://ark.intel.com/content/www/us/en/ark/products/199278/intel-core-i5-10400f-processor-12m-cache-up-to-4-30-ghz.html","10400F")</f>
        <v>10400F</v>
      </c>
      <c r="D253" s="222">
        <v>1200.0</v>
      </c>
      <c r="E253" s="222" t="s">
        <v>6539</v>
      </c>
      <c r="F253" s="222" t="s">
        <v>6521</v>
      </c>
      <c r="G253" s="222">
        <v>6.0</v>
      </c>
      <c r="H253" s="222">
        <v>12.0</v>
      </c>
      <c r="I253" s="796">
        <v>2.9</v>
      </c>
      <c r="J253" s="796">
        <v>4.3</v>
      </c>
      <c r="K253" s="222">
        <v>1.5</v>
      </c>
      <c r="L253" s="222">
        <v>12.0</v>
      </c>
      <c r="M253" s="222" t="s">
        <v>6522</v>
      </c>
      <c r="N253" s="222" t="s">
        <v>166</v>
      </c>
      <c r="O253" s="222" t="s">
        <v>3149</v>
      </c>
      <c r="P253" s="222">
        <v>2666.0</v>
      </c>
      <c r="Q253" s="222">
        <v>65.0</v>
      </c>
      <c r="R253" s="222" t="s">
        <v>166</v>
      </c>
      <c r="S253" s="797">
        <v>157.0</v>
      </c>
      <c r="T253" s="805" t="s">
        <v>6524</v>
      </c>
      <c r="U253" s="389"/>
    </row>
    <row r="254">
      <c r="A254" s="241" t="s">
        <v>1688</v>
      </c>
      <c r="B254" s="389" t="s">
        <v>6528</v>
      </c>
      <c r="C254" s="795" t="str">
        <f>HYPERLINK("https://ark.intel.com/content/www/us/en/ark/products/199271/intel-core-i5-10400-processor-12m-cache-up-to-4-30-ghz.html","10400")</f>
        <v>10400</v>
      </c>
      <c r="D254" s="222">
        <v>1200.0</v>
      </c>
      <c r="E254" s="222" t="s">
        <v>6539</v>
      </c>
      <c r="F254" s="222" t="s">
        <v>6521</v>
      </c>
      <c r="G254" s="222">
        <v>6.0</v>
      </c>
      <c r="H254" s="222">
        <v>12.0</v>
      </c>
      <c r="I254" s="796">
        <v>2.9</v>
      </c>
      <c r="J254" s="796">
        <v>4.3</v>
      </c>
      <c r="K254" s="222">
        <v>1.5</v>
      </c>
      <c r="L254" s="222">
        <v>12.0</v>
      </c>
      <c r="M254" s="222" t="s">
        <v>6522</v>
      </c>
      <c r="N254" s="222" t="s">
        <v>6536</v>
      </c>
      <c r="O254" s="222" t="s">
        <v>3149</v>
      </c>
      <c r="P254" s="222">
        <v>2666.0</v>
      </c>
      <c r="Q254" s="222">
        <v>65.0</v>
      </c>
      <c r="R254" s="222" t="s">
        <v>166</v>
      </c>
      <c r="S254" s="797">
        <v>182.0</v>
      </c>
      <c r="T254" s="805" t="s">
        <v>6524</v>
      </c>
      <c r="U254" s="389"/>
    </row>
    <row r="255">
      <c r="A255" s="241" t="s">
        <v>1688</v>
      </c>
      <c r="B255" s="389" t="s">
        <v>6528</v>
      </c>
      <c r="C255" s="795" t="str">
        <f>HYPERLINK("https://ark.intel.com/content/www/us/en/ark/products/199275/intel-core-i5-10500t-processor-12m-cache-up-to-3-80-ghz.html","10500T")</f>
        <v>10500T</v>
      </c>
      <c r="D255" s="222">
        <v>1200.0</v>
      </c>
      <c r="E255" s="222" t="s">
        <v>6539</v>
      </c>
      <c r="F255" s="222" t="s">
        <v>6521</v>
      </c>
      <c r="G255" s="222">
        <v>6.0</v>
      </c>
      <c r="H255" s="222">
        <v>12.0</v>
      </c>
      <c r="I255" s="796">
        <v>2.3</v>
      </c>
      <c r="J255" s="796">
        <v>3.8</v>
      </c>
      <c r="K255" s="222">
        <v>1.5</v>
      </c>
      <c r="L255" s="222">
        <v>12.0</v>
      </c>
      <c r="M255" s="222" t="s">
        <v>6522</v>
      </c>
      <c r="N255" s="222" t="s">
        <v>6536</v>
      </c>
      <c r="O255" s="222" t="s">
        <v>3149</v>
      </c>
      <c r="P255" s="222">
        <v>2666.0</v>
      </c>
      <c r="Q255" s="222">
        <v>35.0</v>
      </c>
      <c r="R255" s="222" t="s">
        <v>166</v>
      </c>
      <c r="S255" s="797">
        <v>192.0</v>
      </c>
      <c r="T255" s="805" t="s">
        <v>166</v>
      </c>
      <c r="U255" s="389" t="s">
        <v>6423</v>
      </c>
    </row>
    <row r="256">
      <c r="A256" s="241" t="s">
        <v>1688</v>
      </c>
      <c r="B256" s="389" t="s">
        <v>6528</v>
      </c>
      <c r="C256" s="795" t="str">
        <f>HYPERLINK("https://ark.intel.com/content/www/us/en/ark/products/199277/intel-core-i5-10500-processor-12m-cache-up-to-4-50-ghz.html","10500")</f>
        <v>10500</v>
      </c>
      <c r="D256" s="222">
        <v>1200.0</v>
      </c>
      <c r="E256" s="222" t="s">
        <v>6539</v>
      </c>
      <c r="F256" s="222" t="s">
        <v>6521</v>
      </c>
      <c r="G256" s="222">
        <v>6.0</v>
      </c>
      <c r="H256" s="222">
        <v>12.0</v>
      </c>
      <c r="I256" s="796">
        <v>3.1</v>
      </c>
      <c r="J256" s="796">
        <v>4.5</v>
      </c>
      <c r="K256" s="222">
        <v>1.5</v>
      </c>
      <c r="L256" s="222">
        <v>12.0</v>
      </c>
      <c r="M256" s="222" t="s">
        <v>6522</v>
      </c>
      <c r="N256" s="222" t="s">
        <v>6536</v>
      </c>
      <c r="O256" s="222" t="s">
        <v>3149</v>
      </c>
      <c r="P256" s="222">
        <v>2666.0</v>
      </c>
      <c r="Q256" s="222">
        <v>65.0</v>
      </c>
      <c r="R256" s="222" t="s">
        <v>166</v>
      </c>
      <c r="S256" s="797">
        <v>192.0</v>
      </c>
      <c r="T256" s="805" t="s">
        <v>6524</v>
      </c>
      <c r="U256" s="389"/>
    </row>
    <row r="257">
      <c r="A257" s="241" t="s">
        <v>1688</v>
      </c>
      <c r="B257" s="389" t="s">
        <v>6528</v>
      </c>
      <c r="C257" s="795">
        <v>10505.0</v>
      </c>
      <c r="D257" s="222">
        <v>1200.0</v>
      </c>
      <c r="E257" s="222" t="s">
        <v>6539</v>
      </c>
      <c r="F257" s="222" t="s">
        <v>6521</v>
      </c>
      <c r="G257" s="222">
        <v>6.0</v>
      </c>
      <c r="H257" s="222">
        <v>12.0</v>
      </c>
      <c r="I257" s="796">
        <v>3.2</v>
      </c>
      <c r="J257" s="796">
        <v>4.6</v>
      </c>
      <c r="K257" s="222">
        <v>1.5</v>
      </c>
      <c r="L257" s="222">
        <v>12.0</v>
      </c>
      <c r="M257" s="222" t="s">
        <v>6522</v>
      </c>
      <c r="N257" s="222" t="s">
        <v>6536</v>
      </c>
      <c r="O257" s="222" t="s">
        <v>3149</v>
      </c>
      <c r="P257" s="222">
        <v>2666.0</v>
      </c>
      <c r="Q257" s="222">
        <v>65.0</v>
      </c>
      <c r="R257" s="222" t="s">
        <v>166</v>
      </c>
      <c r="S257" s="797">
        <v>192.0</v>
      </c>
      <c r="T257" s="805" t="s">
        <v>6524</v>
      </c>
      <c r="U257" s="389"/>
    </row>
    <row r="258">
      <c r="A258" s="241" t="s">
        <v>1688</v>
      </c>
      <c r="B258" s="389" t="s">
        <v>6528</v>
      </c>
      <c r="C258" s="795" t="str">
        <f>HYPERLINK("https://ark.intel.com/content/www/us/en/ark/products/199279/intel-core-i5-10600t-processor-12m-cache-up-to-4-00-ghz.html","10600T")</f>
        <v>10600T</v>
      </c>
      <c r="D258" s="222">
        <v>1200.0</v>
      </c>
      <c r="E258" s="222" t="s">
        <v>6539</v>
      </c>
      <c r="F258" s="222" t="s">
        <v>6521</v>
      </c>
      <c r="G258" s="222">
        <v>6.0</v>
      </c>
      <c r="H258" s="222">
        <v>12.0</v>
      </c>
      <c r="I258" s="796">
        <v>2.4</v>
      </c>
      <c r="J258" s="796">
        <v>4.0</v>
      </c>
      <c r="K258" s="222">
        <v>1.5</v>
      </c>
      <c r="L258" s="222">
        <v>12.0</v>
      </c>
      <c r="M258" s="222" t="s">
        <v>6522</v>
      </c>
      <c r="N258" s="222" t="s">
        <v>6536</v>
      </c>
      <c r="O258" s="222" t="s">
        <v>3149</v>
      </c>
      <c r="P258" s="222">
        <v>2666.0</v>
      </c>
      <c r="Q258" s="222">
        <v>35.0</v>
      </c>
      <c r="R258" s="222" t="s">
        <v>166</v>
      </c>
      <c r="S258" s="797">
        <v>213.0</v>
      </c>
      <c r="T258" s="805" t="s">
        <v>166</v>
      </c>
      <c r="U258" s="389" t="s">
        <v>6423</v>
      </c>
    </row>
    <row r="259">
      <c r="A259" s="241" t="s">
        <v>1688</v>
      </c>
      <c r="B259" s="389" t="s">
        <v>6528</v>
      </c>
      <c r="C259" s="795" t="str">
        <f>HYPERLINK("https://ark.intel.com/content/www/us/en/ark/products/199273/intel-core-i5-10600-processor-12m-cache-up-to-4-80-ghz.html","10600")</f>
        <v>10600</v>
      </c>
      <c r="D259" s="222">
        <v>1200.0</v>
      </c>
      <c r="E259" s="222" t="s">
        <v>6539</v>
      </c>
      <c r="F259" s="222" t="s">
        <v>6521</v>
      </c>
      <c r="G259" s="222">
        <v>6.0</v>
      </c>
      <c r="H259" s="222">
        <v>12.0</v>
      </c>
      <c r="I259" s="796">
        <v>3.3</v>
      </c>
      <c r="J259" s="796">
        <v>4.8</v>
      </c>
      <c r="K259" s="222">
        <v>1.5</v>
      </c>
      <c r="L259" s="222">
        <v>12.0</v>
      </c>
      <c r="M259" s="222" t="s">
        <v>6522</v>
      </c>
      <c r="N259" s="222" t="s">
        <v>6536</v>
      </c>
      <c r="O259" s="222" t="s">
        <v>3149</v>
      </c>
      <c r="P259" s="222">
        <v>2666.0</v>
      </c>
      <c r="Q259" s="222">
        <v>65.0</v>
      </c>
      <c r="R259" s="222" t="s">
        <v>166</v>
      </c>
      <c r="S259" s="797">
        <v>213.0</v>
      </c>
      <c r="T259" s="805" t="s">
        <v>6524</v>
      </c>
      <c r="U259" s="389"/>
    </row>
    <row r="260">
      <c r="A260" s="241" t="s">
        <v>1688</v>
      </c>
      <c r="B260" s="389" t="s">
        <v>6528</v>
      </c>
      <c r="C260" s="795" t="str">
        <f>HYPERLINK("https://ark.intel.com/content/www/us/en/ark/products/199315/intel-core-i5-10600kf-processor-12m-cache-up-to-4-80-ghz.html","10600KF")</f>
        <v>10600KF</v>
      </c>
      <c r="D260" s="222">
        <v>1200.0</v>
      </c>
      <c r="E260" s="222" t="s">
        <v>6539</v>
      </c>
      <c r="F260" s="222" t="s">
        <v>6521</v>
      </c>
      <c r="G260" s="222">
        <v>6.0</v>
      </c>
      <c r="H260" s="222">
        <v>12.0</v>
      </c>
      <c r="I260" s="796">
        <v>4.1</v>
      </c>
      <c r="J260" s="796">
        <v>4.8</v>
      </c>
      <c r="K260" s="222">
        <v>1.5</v>
      </c>
      <c r="L260" s="222">
        <v>12.0</v>
      </c>
      <c r="M260" s="222" t="s">
        <v>6522</v>
      </c>
      <c r="N260" s="222" t="s">
        <v>166</v>
      </c>
      <c r="O260" s="222" t="s">
        <v>3149</v>
      </c>
      <c r="P260" s="222">
        <v>2666.0</v>
      </c>
      <c r="Q260" s="222">
        <v>125.0</v>
      </c>
      <c r="R260" s="222" t="s">
        <v>174</v>
      </c>
      <c r="S260" s="797">
        <v>237.0</v>
      </c>
      <c r="T260" s="805" t="s">
        <v>166</v>
      </c>
      <c r="U260" s="389"/>
    </row>
    <row r="261">
      <c r="A261" s="241" t="s">
        <v>1688</v>
      </c>
      <c r="B261" s="389" t="s">
        <v>6528</v>
      </c>
      <c r="C261" s="795" t="str">
        <f>HYPERLINK("https://ark.intel.com/content/www/us/en/ark/products/199311/intel-core-i5-10600k-processor-12m-cache-up-to-4-80-ghz.html","10600K")</f>
        <v>10600K</v>
      </c>
      <c r="D261" s="222">
        <v>1200.0</v>
      </c>
      <c r="E261" s="222" t="s">
        <v>6539</v>
      </c>
      <c r="F261" s="222" t="s">
        <v>6521</v>
      </c>
      <c r="G261" s="222">
        <v>6.0</v>
      </c>
      <c r="H261" s="222">
        <v>12.0</v>
      </c>
      <c r="I261" s="796">
        <v>4.1</v>
      </c>
      <c r="J261" s="796">
        <v>4.8</v>
      </c>
      <c r="K261" s="222">
        <v>1.5</v>
      </c>
      <c r="L261" s="222">
        <v>12.0</v>
      </c>
      <c r="M261" s="222" t="s">
        <v>6522</v>
      </c>
      <c r="N261" s="222" t="s">
        <v>6536</v>
      </c>
      <c r="O261" s="222" t="s">
        <v>3149</v>
      </c>
      <c r="P261" s="222">
        <v>2666.0</v>
      </c>
      <c r="Q261" s="222">
        <v>125.0</v>
      </c>
      <c r="R261" s="222" t="s">
        <v>174</v>
      </c>
      <c r="S261" s="797">
        <v>262.0</v>
      </c>
      <c r="T261" s="805" t="s">
        <v>166</v>
      </c>
      <c r="U261" s="389"/>
    </row>
    <row r="262">
      <c r="A262" s="241" t="s">
        <v>1688</v>
      </c>
      <c r="B262" s="389" t="s">
        <v>6529</v>
      </c>
      <c r="C262" s="795" t="str">
        <f>HYPERLINK("https://ark.intel.com/content/www/us/en/ark/products/199314/intel-core-i7-10700t-processor-16m-cache-up-to-4-40-ghz.html","10700T")</f>
        <v>10700T</v>
      </c>
      <c r="D262" s="222">
        <v>1200.0</v>
      </c>
      <c r="E262" s="222" t="s">
        <v>6539</v>
      </c>
      <c r="F262" s="222" t="s">
        <v>6521</v>
      </c>
      <c r="G262" s="222">
        <v>8.0</v>
      </c>
      <c r="H262" s="222">
        <v>16.0</v>
      </c>
      <c r="I262" s="796">
        <v>2.0</v>
      </c>
      <c r="J262" s="796">
        <v>4.5</v>
      </c>
      <c r="K262" s="222">
        <v>2.0</v>
      </c>
      <c r="L262" s="222">
        <v>16.0</v>
      </c>
      <c r="M262" s="222" t="s">
        <v>6522</v>
      </c>
      <c r="N262" s="222" t="s">
        <v>6536</v>
      </c>
      <c r="O262" s="222" t="s">
        <v>3149</v>
      </c>
      <c r="P262" s="222">
        <v>2933.0</v>
      </c>
      <c r="Q262" s="222">
        <v>35.0</v>
      </c>
      <c r="R262" s="222" t="s">
        <v>166</v>
      </c>
      <c r="S262" s="797">
        <v>325.0</v>
      </c>
      <c r="T262" s="805" t="s">
        <v>166</v>
      </c>
      <c r="U262" s="389" t="s">
        <v>6423</v>
      </c>
    </row>
    <row r="263">
      <c r="A263" s="241" t="s">
        <v>1688</v>
      </c>
      <c r="B263" s="389" t="s">
        <v>6529</v>
      </c>
      <c r="C263" s="795" t="str">
        <f>HYPERLINK("https://ark.intel.com/content/www/us/en/ark/products/199318/intel-core-i7-10700f-processor-16m-cache-up-to-4-80-ghz.html","10700F")</f>
        <v>10700F</v>
      </c>
      <c r="D263" s="222">
        <v>1200.0</v>
      </c>
      <c r="E263" s="222" t="s">
        <v>6539</v>
      </c>
      <c r="F263" s="222" t="s">
        <v>6521</v>
      </c>
      <c r="G263" s="222">
        <v>8.0</v>
      </c>
      <c r="H263" s="222">
        <v>16.0</v>
      </c>
      <c r="I263" s="796">
        <v>2.9</v>
      </c>
      <c r="J263" s="796">
        <v>4.8</v>
      </c>
      <c r="K263" s="222">
        <v>2.0</v>
      </c>
      <c r="L263" s="222">
        <v>16.0</v>
      </c>
      <c r="M263" s="222" t="s">
        <v>6522</v>
      </c>
      <c r="N263" s="222" t="s">
        <v>166</v>
      </c>
      <c r="O263" s="222" t="s">
        <v>3149</v>
      </c>
      <c r="P263" s="222">
        <v>2933.0</v>
      </c>
      <c r="Q263" s="222">
        <v>65.0</v>
      </c>
      <c r="R263" s="222" t="s">
        <v>166</v>
      </c>
      <c r="S263" s="797">
        <v>298.0</v>
      </c>
      <c r="T263" s="805" t="s">
        <v>6524</v>
      </c>
      <c r="U263" s="389"/>
    </row>
    <row r="264">
      <c r="A264" s="241" t="s">
        <v>1688</v>
      </c>
      <c r="B264" s="389" t="s">
        <v>6529</v>
      </c>
      <c r="C264" s="795" t="str">
        <f>HYPERLINK("https://ark.intel.com/content/www/us/en/ark/products/199316/intel-core-i7-10700-processor-16m-cache-up-to-4-80-ghz.html","10700")</f>
        <v>10700</v>
      </c>
      <c r="D264" s="222">
        <v>1200.0</v>
      </c>
      <c r="E264" s="222" t="s">
        <v>6539</v>
      </c>
      <c r="F264" s="222" t="s">
        <v>6521</v>
      </c>
      <c r="G264" s="222">
        <v>8.0</v>
      </c>
      <c r="H264" s="222">
        <v>16.0</v>
      </c>
      <c r="I264" s="796">
        <v>2.9</v>
      </c>
      <c r="J264" s="796">
        <v>4.8</v>
      </c>
      <c r="K264" s="222">
        <v>2.0</v>
      </c>
      <c r="L264" s="222">
        <v>16.0</v>
      </c>
      <c r="M264" s="222" t="s">
        <v>6522</v>
      </c>
      <c r="N264" s="222" t="s">
        <v>6536</v>
      </c>
      <c r="O264" s="222" t="s">
        <v>3149</v>
      </c>
      <c r="P264" s="222">
        <v>2933.0</v>
      </c>
      <c r="Q264" s="222">
        <v>65.0</v>
      </c>
      <c r="R264" s="222" t="s">
        <v>166</v>
      </c>
      <c r="S264" s="797">
        <v>323.0</v>
      </c>
      <c r="T264" s="805" t="s">
        <v>6524</v>
      </c>
      <c r="U264" s="389"/>
    </row>
    <row r="265">
      <c r="A265" s="241" t="s">
        <v>1688</v>
      </c>
      <c r="B265" s="389" t="s">
        <v>6529</v>
      </c>
      <c r="C265" s="795" t="str">
        <f>HYPERLINK("https://ark.intel.com/content/www/us/en/ark/products/199325/intel-core-i7-10700kf-processor-16m-cache-up-to-5-00-ghz.html","10700KF")</f>
        <v>10700KF</v>
      </c>
      <c r="D265" s="222">
        <v>1200.0</v>
      </c>
      <c r="E265" s="222" t="s">
        <v>6539</v>
      </c>
      <c r="F265" s="222" t="s">
        <v>6521</v>
      </c>
      <c r="G265" s="222">
        <v>8.0</v>
      </c>
      <c r="H265" s="222">
        <v>16.0</v>
      </c>
      <c r="I265" s="796">
        <v>3.8</v>
      </c>
      <c r="J265" s="796">
        <v>5.1</v>
      </c>
      <c r="K265" s="222">
        <v>2.0</v>
      </c>
      <c r="L265" s="222">
        <v>16.0</v>
      </c>
      <c r="M265" s="222" t="s">
        <v>6522</v>
      </c>
      <c r="N265" s="222" t="s">
        <v>166</v>
      </c>
      <c r="O265" s="222" t="s">
        <v>3149</v>
      </c>
      <c r="P265" s="222">
        <v>2933.0</v>
      </c>
      <c r="Q265" s="222">
        <v>125.0</v>
      </c>
      <c r="R265" s="222" t="s">
        <v>174</v>
      </c>
      <c r="S265" s="797">
        <v>349.0</v>
      </c>
      <c r="T265" s="805" t="s">
        <v>166</v>
      </c>
      <c r="U265" s="389"/>
    </row>
    <row r="266">
      <c r="A266" s="241" t="s">
        <v>1688</v>
      </c>
      <c r="B266" s="389" t="s">
        <v>6529</v>
      </c>
      <c r="C266" s="795" t="str">
        <f>HYPERLINK("https://ark.intel.com/content/www/us/en/ark/products/199335/intel-core-i7-10700k-processor-16m-cache-up-to-5-00-ghz.html","10700K")</f>
        <v>10700K</v>
      </c>
      <c r="D266" s="222">
        <v>1200.0</v>
      </c>
      <c r="E266" s="222" t="s">
        <v>6539</v>
      </c>
      <c r="F266" s="222" t="s">
        <v>6521</v>
      </c>
      <c r="G266" s="222">
        <v>8.0</v>
      </c>
      <c r="H266" s="222">
        <v>16.0</v>
      </c>
      <c r="I266" s="796">
        <v>3.8</v>
      </c>
      <c r="J266" s="796">
        <v>5.1</v>
      </c>
      <c r="K266" s="222">
        <v>2.0</v>
      </c>
      <c r="L266" s="222">
        <v>16.0</v>
      </c>
      <c r="M266" s="222" t="s">
        <v>6522</v>
      </c>
      <c r="N266" s="222" t="s">
        <v>6536</v>
      </c>
      <c r="O266" s="222" t="s">
        <v>3149</v>
      </c>
      <c r="P266" s="222">
        <v>2933.0</v>
      </c>
      <c r="Q266" s="222">
        <v>125.0</v>
      </c>
      <c r="R266" s="222" t="s">
        <v>174</v>
      </c>
      <c r="S266" s="797">
        <v>374.0</v>
      </c>
      <c r="T266" s="805" t="s">
        <v>166</v>
      </c>
      <c r="U266" s="389"/>
    </row>
    <row r="267">
      <c r="A267" s="241" t="s">
        <v>1688</v>
      </c>
      <c r="B267" s="389" t="s">
        <v>6538</v>
      </c>
      <c r="C267" s="795" t="s">
        <v>6552</v>
      </c>
      <c r="D267" s="222">
        <v>1200.0</v>
      </c>
      <c r="E267" s="222" t="s">
        <v>6539</v>
      </c>
      <c r="F267" s="222" t="s">
        <v>6521</v>
      </c>
      <c r="G267" s="222">
        <v>10.0</v>
      </c>
      <c r="H267" s="222">
        <v>20.0</v>
      </c>
      <c r="I267" s="796">
        <v>3.6</v>
      </c>
      <c r="J267" s="796">
        <v>5.2</v>
      </c>
      <c r="K267" s="222">
        <v>2.5</v>
      </c>
      <c r="L267" s="222">
        <v>20.0</v>
      </c>
      <c r="M267" s="222" t="s">
        <v>6522</v>
      </c>
      <c r="N267" s="222" t="s">
        <v>6536</v>
      </c>
      <c r="O267" s="222" t="s">
        <v>3149</v>
      </c>
      <c r="P267" s="222">
        <v>2933.0</v>
      </c>
      <c r="Q267" s="222">
        <v>125.0</v>
      </c>
      <c r="R267" s="222" t="s">
        <v>174</v>
      </c>
      <c r="S267" s="797">
        <v>453.0</v>
      </c>
      <c r="T267" s="805" t="s">
        <v>166</v>
      </c>
      <c r="U267" s="389"/>
    </row>
    <row r="268">
      <c r="A268" s="241" t="s">
        <v>1688</v>
      </c>
      <c r="B268" s="389" t="s">
        <v>6538</v>
      </c>
      <c r="C268" s="795" t="str">
        <f>HYPERLINK("https://ark.intel.com/content/www/us/en/ark/products/199324/intel-core-i9-10900t-processor-20m-cache-up-to-4-50-ghz.html","10900T")</f>
        <v>10900T</v>
      </c>
      <c r="D268" s="222">
        <v>1200.0</v>
      </c>
      <c r="E268" s="222" t="s">
        <v>6539</v>
      </c>
      <c r="F268" s="222" t="s">
        <v>6521</v>
      </c>
      <c r="G268" s="222">
        <v>10.0</v>
      </c>
      <c r="H268" s="222">
        <v>20.0</v>
      </c>
      <c r="I268" s="796">
        <v>1.9</v>
      </c>
      <c r="J268" s="796">
        <v>4.6</v>
      </c>
      <c r="K268" s="222">
        <v>2.5</v>
      </c>
      <c r="L268" s="222">
        <v>20.0</v>
      </c>
      <c r="M268" s="222" t="s">
        <v>6522</v>
      </c>
      <c r="N268" s="222" t="s">
        <v>6536</v>
      </c>
      <c r="O268" s="222" t="s">
        <v>3149</v>
      </c>
      <c r="P268" s="222">
        <v>2933.0</v>
      </c>
      <c r="Q268" s="222">
        <v>35.0</v>
      </c>
      <c r="R268" s="222" t="s">
        <v>166</v>
      </c>
      <c r="S268" s="797">
        <v>439.0</v>
      </c>
      <c r="T268" s="805" t="s">
        <v>166</v>
      </c>
      <c r="U268" s="389" t="s">
        <v>6423</v>
      </c>
    </row>
    <row r="269">
      <c r="A269" s="241" t="s">
        <v>1688</v>
      </c>
      <c r="B269" s="389" t="s">
        <v>6538</v>
      </c>
      <c r="C269" s="795" t="str">
        <f>HYPERLINK("https://ark.intel.com/content/www/us/en/ark/products/199329/intel-core-i9-10900f-processor-20m-cache-up-to-5-20-ghz.html","10900F")</f>
        <v>10900F</v>
      </c>
      <c r="D269" s="222">
        <v>1200.0</v>
      </c>
      <c r="E269" s="222" t="s">
        <v>6539</v>
      </c>
      <c r="F269" s="222" t="s">
        <v>6521</v>
      </c>
      <c r="G269" s="222">
        <v>10.0</v>
      </c>
      <c r="H269" s="222">
        <v>20.0</v>
      </c>
      <c r="I269" s="796">
        <v>2.8</v>
      </c>
      <c r="J269" s="796">
        <v>5.2</v>
      </c>
      <c r="K269" s="222">
        <v>2.5</v>
      </c>
      <c r="L269" s="222">
        <v>20.0</v>
      </c>
      <c r="M269" s="222" t="s">
        <v>6522</v>
      </c>
      <c r="N269" s="222" t="s">
        <v>166</v>
      </c>
      <c r="O269" s="222" t="s">
        <v>3149</v>
      </c>
      <c r="P269" s="222">
        <v>2933.0</v>
      </c>
      <c r="Q269" s="222">
        <v>65.0</v>
      </c>
      <c r="R269" s="222" t="s">
        <v>166</v>
      </c>
      <c r="S269" s="797">
        <v>422.0</v>
      </c>
      <c r="T269" s="805" t="s">
        <v>6524</v>
      </c>
      <c r="U269" s="389"/>
    </row>
    <row r="270">
      <c r="A270" s="241" t="s">
        <v>1688</v>
      </c>
      <c r="B270" s="389" t="s">
        <v>6538</v>
      </c>
      <c r="C270" s="795" t="str">
        <f>HYPERLINK("https://ark.intel.com/content/www/us/en/ark/products/199328/intel-core-i9-10900-processor-20m-cache-up-to-5-20-ghz.html","10900")</f>
        <v>10900</v>
      </c>
      <c r="D270" s="222">
        <v>1200.0</v>
      </c>
      <c r="E270" s="222" t="s">
        <v>6539</v>
      </c>
      <c r="F270" s="222" t="s">
        <v>6521</v>
      </c>
      <c r="G270" s="222">
        <v>10.0</v>
      </c>
      <c r="H270" s="222">
        <v>20.0</v>
      </c>
      <c r="I270" s="796">
        <v>2.8</v>
      </c>
      <c r="J270" s="796">
        <v>5.2</v>
      </c>
      <c r="K270" s="222">
        <v>2.5</v>
      </c>
      <c r="L270" s="222">
        <v>20.0</v>
      </c>
      <c r="M270" s="222" t="s">
        <v>6522</v>
      </c>
      <c r="N270" s="222" t="s">
        <v>6536</v>
      </c>
      <c r="O270" s="222" t="s">
        <v>3149</v>
      </c>
      <c r="P270" s="222">
        <v>2933.0</v>
      </c>
      <c r="Q270" s="222">
        <v>65.0</v>
      </c>
      <c r="R270" s="222" t="s">
        <v>166</v>
      </c>
      <c r="S270" s="797">
        <v>439.0</v>
      </c>
      <c r="T270" s="805" t="s">
        <v>6524</v>
      </c>
      <c r="U270" s="389"/>
    </row>
    <row r="271">
      <c r="A271" s="241" t="s">
        <v>1688</v>
      </c>
      <c r="B271" s="389" t="s">
        <v>6538</v>
      </c>
      <c r="C271" s="795" t="str">
        <f>HYPERLINK("https://ark.intel.com/content/www/us/en/ark/products/199331/intel-core-i9-10900kf-processor-20m-cache-up-to-5-30-ghz.html","10900KF")</f>
        <v>10900KF</v>
      </c>
      <c r="D271" s="222">
        <v>1200.0</v>
      </c>
      <c r="E271" s="222" t="s">
        <v>6539</v>
      </c>
      <c r="F271" s="222" t="s">
        <v>6521</v>
      </c>
      <c r="G271" s="222">
        <v>10.0</v>
      </c>
      <c r="H271" s="222">
        <v>20.0</v>
      </c>
      <c r="I271" s="796">
        <v>3.7</v>
      </c>
      <c r="J271" s="796">
        <v>5.3</v>
      </c>
      <c r="K271" s="222">
        <v>2.5</v>
      </c>
      <c r="L271" s="222">
        <v>20.0</v>
      </c>
      <c r="M271" s="222" t="s">
        <v>6522</v>
      </c>
      <c r="N271" s="222" t="s">
        <v>166</v>
      </c>
      <c r="O271" s="222" t="s">
        <v>3149</v>
      </c>
      <c r="P271" s="222">
        <v>2933.0</v>
      </c>
      <c r="Q271" s="222">
        <v>125.0</v>
      </c>
      <c r="R271" s="222" t="s">
        <v>174</v>
      </c>
      <c r="S271" s="797">
        <v>472.0</v>
      </c>
      <c r="T271" s="805" t="s">
        <v>166</v>
      </c>
      <c r="U271" s="389"/>
    </row>
    <row r="272">
      <c r="A272" s="247" t="s">
        <v>1688</v>
      </c>
      <c r="B272" s="802" t="s">
        <v>6538</v>
      </c>
      <c r="C272" s="799" t="str">
        <f>HYPERLINK("https://ark.intel.com/content/www/us/en/ark/products/199332/intel-core-i9-10900k-processor-20m-cache-up-to-5-30-ghz.html","10900K")</f>
        <v>10900K</v>
      </c>
      <c r="D272" s="233">
        <v>1200.0</v>
      </c>
      <c r="E272" s="233" t="s">
        <v>6539</v>
      </c>
      <c r="F272" s="233" t="s">
        <v>6521</v>
      </c>
      <c r="G272" s="233">
        <v>10.0</v>
      </c>
      <c r="H272" s="233">
        <v>20.0</v>
      </c>
      <c r="I272" s="800">
        <v>3.7</v>
      </c>
      <c r="J272" s="800">
        <v>5.3</v>
      </c>
      <c r="K272" s="233">
        <v>2.5</v>
      </c>
      <c r="L272" s="233">
        <v>20.0</v>
      </c>
      <c r="M272" s="233" t="s">
        <v>6522</v>
      </c>
      <c r="N272" s="233" t="s">
        <v>6536</v>
      </c>
      <c r="O272" s="233" t="s">
        <v>3149</v>
      </c>
      <c r="P272" s="233">
        <v>2933.0</v>
      </c>
      <c r="Q272" s="233">
        <v>125.0</v>
      </c>
      <c r="R272" s="233" t="s">
        <v>174</v>
      </c>
      <c r="S272" s="801">
        <v>488.0</v>
      </c>
      <c r="T272" s="806" t="s">
        <v>166</v>
      </c>
      <c r="U272" s="802"/>
    </row>
    <row r="273">
      <c r="A273" s="241" t="s">
        <v>1688</v>
      </c>
      <c r="B273" s="389" t="s">
        <v>6528</v>
      </c>
      <c r="C273" s="795" t="s">
        <v>6553</v>
      </c>
      <c r="D273" s="222">
        <v>1200.0</v>
      </c>
      <c r="E273" s="222" t="s">
        <v>6554</v>
      </c>
      <c r="F273" s="222" t="s">
        <v>6521</v>
      </c>
      <c r="G273" s="222">
        <v>6.0</v>
      </c>
      <c r="H273" s="222">
        <v>12.0</v>
      </c>
      <c r="I273" s="796">
        <v>1.3</v>
      </c>
      <c r="J273" s="796">
        <v>3.7</v>
      </c>
      <c r="K273" s="222">
        <v>3.0</v>
      </c>
      <c r="L273" s="222">
        <v>12.0</v>
      </c>
      <c r="M273" s="222" t="s">
        <v>6437</v>
      </c>
      <c r="N273" s="222" t="s">
        <v>6555</v>
      </c>
      <c r="O273" s="222" t="s">
        <v>3149</v>
      </c>
      <c r="P273" s="222">
        <v>3200.0</v>
      </c>
      <c r="Q273" s="222">
        <v>35.0</v>
      </c>
      <c r="R273" s="222" t="s">
        <v>166</v>
      </c>
      <c r="S273" s="797">
        <v>182.0</v>
      </c>
      <c r="T273" s="805" t="s">
        <v>166</v>
      </c>
      <c r="U273" s="389" t="s">
        <v>6423</v>
      </c>
    </row>
    <row r="274">
      <c r="A274" s="241" t="s">
        <v>1688</v>
      </c>
      <c r="B274" s="389" t="s">
        <v>6528</v>
      </c>
      <c r="C274" s="795" t="s">
        <v>6556</v>
      </c>
      <c r="D274" s="222">
        <v>1200.0</v>
      </c>
      <c r="E274" s="222" t="s">
        <v>6554</v>
      </c>
      <c r="F274" s="222" t="s">
        <v>6521</v>
      </c>
      <c r="G274" s="222">
        <v>6.0</v>
      </c>
      <c r="H274" s="222">
        <v>12.0</v>
      </c>
      <c r="I274" s="796">
        <v>2.6</v>
      </c>
      <c r="J274" s="796">
        <v>4.4</v>
      </c>
      <c r="K274" s="222">
        <v>3.0</v>
      </c>
      <c r="L274" s="222">
        <v>12.0</v>
      </c>
      <c r="M274" s="222" t="s">
        <v>6437</v>
      </c>
      <c r="N274" s="222" t="s">
        <v>166</v>
      </c>
      <c r="O274" s="222" t="s">
        <v>3149</v>
      </c>
      <c r="P274" s="222">
        <v>3200.0</v>
      </c>
      <c r="Q274" s="222">
        <v>65.0</v>
      </c>
      <c r="R274" s="222" t="s">
        <v>166</v>
      </c>
      <c r="S274" s="797">
        <v>157.0</v>
      </c>
      <c r="T274" s="805" t="s">
        <v>6524</v>
      </c>
      <c r="U274" s="389"/>
    </row>
    <row r="275">
      <c r="A275" s="241" t="s">
        <v>1688</v>
      </c>
      <c r="B275" s="389" t="s">
        <v>6528</v>
      </c>
      <c r="C275" s="795">
        <v>11400.0</v>
      </c>
      <c r="D275" s="222">
        <v>1200.0</v>
      </c>
      <c r="E275" s="222" t="s">
        <v>6554</v>
      </c>
      <c r="F275" s="222" t="s">
        <v>6521</v>
      </c>
      <c r="G275" s="222">
        <v>6.0</v>
      </c>
      <c r="H275" s="222">
        <v>12.0</v>
      </c>
      <c r="I275" s="796">
        <v>2.6</v>
      </c>
      <c r="J275" s="796">
        <v>4.4</v>
      </c>
      <c r="K275" s="222">
        <v>3.0</v>
      </c>
      <c r="L275" s="222">
        <v>12.0</v>
      </c>
      <c r="M275" s="222" t="s">
        <v>6437</v>
      </c>
      <c r="N275" s="222" t="s">
        <v>6555</v>
      </c>
      <c r="O275" s="222" t="s">
        <v>3149</v>
      </c>
      <c r="P275" s="222">
        <v>3200.0</v>
      </c>
      <c r="Q275" s="222">
        <v>65.0</v>
      </c>
      <c r="R275" s="222" t="s">
        <v>166</v>
      </c>
      <c r="S275" s="797">
        <v>182.0</v>
      </c>
      <c r="T275" s="805" t="s">
        <v>6524</v>
      </c>
      <c r="U275" s="389"/>
    </row>
    <row r="276">
      <c r="A276" s="241" t="s">
        <v>1688</v>
      </c>
      <c r="B276" s="389" t="s">
        <v>6528</v>
      </c>
      <c r="C276" s="795" t="s">
        <v>6557</v>
      </c>
      <c r="D276" s="222">
        <v>1200.0</v>
      </c>
      <c r="E276" s="222" t="s">
        <v>6554</v>
      </c>
      <c r="F276" s="222" t="s">
        <v>6521</v>
      </c>
      <c r="G276" s="222">
        <v>6.0</v>
      </c>
      <c r="H276" s="222">
        <v>12.0</v>
      </c>
      <c r="I276" s="796">
        <v>1.5</v>
      </c>
      <c r="J276" s="796">
        <v>3.9</v>
      </c>
      <c r="K276" s="222">
        <v>3.0</v>
      </c>
      <c r="L276" s="222">
        <v>12.0</v>
      </c>
      <c r="M276" s="222" t="s">
        <v>6437</v>
      </c>
      <c r="N276" s="222" t="s">
        <v>6558</v>
      </c>
      <c r="O276" s="222" t="s">
        <v>3149</v>
      </c>
      <c r="P276" s="222">
        <v>3200.0</v>
      </c>
      <c r="Q276" s="222">
        <v>35.0</v>
      </c>
      <c r="R276" s="222" t="s">
        <v>166</v>
      </c>
      <c r="S276" s="797">
        <v>192.0</v>
      </c>
      <c r="T276" s="805" t="s">
        <v>166</v>
      </c>
      <c r="U276" s="389" t="s">
        <v>6423</v>
      </c>
    </row>
    <row r="277">
      <c r="A277" s="241" t="s">
        <v>1688</v>
      </c>
      <c r="B277" s="389" t="s">
        <v>6528</v>
      </c>
      <c r="C277" s="795">
        <v>11500.0</v>
      </c>
      <c r="D277" s="222">
        <v>1200.0</v>
      </c>
      <c r="E277" s="222" t="s">
        <v>6554</v>
      </c>
      <c r="F277" s="222" t="s">
        <v>6521</v>
      </c>
      <c r="G277" s="222">
        <v>6.0</v>
      </c>
      <c r="H277" s="222">
        <v>12.0</v>
      </c>
      <c r="I277" s="796">
        <v>2.7</v>
      </c>
      <c r="J277" s="796">
        <v>4.6</v>
      </c>
      <c r="K277" s="222">
        <v>3.0</v>
      </c>
      <c r="L277" s="222">
        <v>12.0</v>
      </c>
      <c r="M277" s="222" t="s">
        <v>6437</v>
      </c>
      <c r="N277" s="222" t="s">
        <v>6558</v>
      </c>
      <c r="O277" s="222" t="s">
        <v>3149</v>
      </c>
      <c r="P277" s="222">
        <v>3200.0</v>
      </c>
      <c r="Q277" s="222">
        <v>65.0</v>
      </c>
      <c r="R277" s="222" t="s">
        <v>166</v>
      </c>
      <c r="S277" s="797">
        <v>192.0</v>
      </c>
      <c r="T277" s="805" t="s">
        <v>6524</v>
      </c>
      <c r="U277" s="389"/>
    </row>
    <row r="278">
      <c r="A278" s="241" t="s">
        <v>1688</v>
      </c>
      <c r="B278" s="389" t="s">
        <v>6528</v>
      </c>
      <c r="C278" s="795" t="s">
        <v>6559</v>
      </c>
      <c r="D278" s="222">
        <v>1200.0</v>
      </c>
      <c r="E278" s="222" t="s">
        <v>6554</v>
      </c>
      <c r="F278" s="222" t="s">
        <v>6521</v>
      </c>
      <c r="G278" s="222">
        <v>6.0</v>
      </c>
      <c r="H278" s="222">
        <v>12.0</v>
      </c>
      <c r="I278" s="796">
        <v>1.7</v>
      </c>
      <c r="J278" s="796">
        <v>4.1</v>
      </c>
      <c r="K278" s="222">
        <v>3.0</v>
      </c>
      <c r="L278" s="222">
        <v>12.0</v>
      </c>
      <c r="M278" s="222" t="s">
        <v>6437</v>
      </c>
      <c r="N278" s="222" t="s">
        <v>6558</v>
      </c>
      <c r="O278" s="222" t="s">
        <v>3149</v>
      </c>
      <c r="P278" s="222">
        <v>3200.0</v>
      </c>
      <c r="Q278" s="222">
        <v>35.0</v>
      </c>
      <c r="R278" s="222" t="s">
        <v>166</v>
      </c>
      <c r="S278" s="797">
        <v>213.0</v>
      </c>
      <c r="T278" s="805" t="s">
        <v>166</v>
      </c>
      <c r="U278" s="389" t="s">
        <v>6423</v>
      </c>
    </row>
    <row r="279">
      <c r="A279" s="241" t="s">
        <v>1688</v>
      </c>
      <c r="B279" s="389" t="s">
        <v>6528</v>
      </c>
      <c r="C279" s="795">
        <v>11600.0</v>
      </c>
      <c r="D279" s="222">
        <v>1200.0</v>
      </c>
      <c r="E279" s="222" t="s">
        <v>6554</v>
      </c>
      <c r="F279" s="222" t="s">
        <v>6521</v>
      </c>
      <c r="G279" s="222">
        <v>6.0</v>
      </c>
      <c r="H279" s="222">
        <v>12.0</v>
      </c>
      <c r="I279" s="796">
        <v>2.8</v>
      </c>
      <c r="J279" s="796">
        <v>4.8</v>
      </c>
      <c r="K279" s="222">
        <v>3.0</v>
      </c>
      <c r="L279" s="222">
        <v>12.0</v>
      </c>
      <c r="M279" s="222" t="s">
        <v>6437</v>
      </c>
      <c r="N279" s="222" t="s">
        <v>6558</v>
      </c>
      <c r="O279" s="222" t="s">
        <v>3149</v>
      </c>
      <c r="P279" s="222">
        <v>3200.0</v>
      </c>
      <c r="Q279" s="222">
        <v>65.0</v>
      </c>
      <c r="R279" s="222" t="s">
        <v>166</v>
      </c>
      <c r="S279" s="797">
        <v>213.0</v>
      </c>
      <c r="T279" s="805" t="s">
        <v>6524</v>
      </c>
      <c r="U279" s="389"/>
    </row>
    <row r="280">
      <c r="A280" s="241" t="s">
        <v>1688</v>
      </c>
      <c r="B280" s="389" t="s">
        <v>6528</v>
      </c>
      <c r="C280" s="795" t="s">
        <v>6560</v>
      </c>
      <c r="D280" s="222">
        <v>1200.0</v>
      </c>
      <c r="E280" s="222" t="s">
        <v>6554</v>
      </c>
      <c r="F280" s="222" t="s">
        <v>6521</v>
      </c>
      <c r="G280" s="222">
        <v>6.0</v>
      </c>
      <c r="H280" s="222">
        <v>12.0</v>
      </c>
      <c r="I280" s="796">
        <v>3.9</v>
      </c>
      <c r="J280" s="796">
        <v>4.9</v>
      </c>
      <c r="K280" s="222">
        <v>3.0</v>
      </c>
      <c r="L280" s="222">
        <v>12.0</v>
      </c>
      <c r="M280" s="222" t="s">
        <v>6437</v>
      </c>
      <c r="N280" s="222" t="s">
        <v>166</v>
      </c>
      <c r="O280" s="222" t="s">
        <v>3149</v>
      </c>
      <c r="P280" s="222">
        <v>3200.0</v>
      </c>
      <c r="Q280" s="222">
        <v>125.0</v>
      </c>
      <c r="R280" s="222" t="s">
        <v>174</v>
      </c>
      <c r="S280" s="797">
        <v>237.0</v>
      </c>
      <c r="T280" s="805" t="s">
        <v>166</v>
      </c>
      <c r="U280" s="389"/>
    </row>
    <row r="281">
      <c r="A281" s="241" t="s">
        <v>1688</v>
      </c>
      <c r="B281" s="389" t="s">
        <v>6528</v>
      </c>
      <c r="C281" s="795" t="s">
        <v>6561</v>
      </c>
      <c r="D281" s="222">
        <v>1200.0</v>
      </c>
      <c r="E281" s="222" t="s">
        <v>6554</v>
      </c>
      <c r="F281" s="222" t="s">
        <v>6521</v>
      </c>
      <c r="G281" s="222">
        <v>6.0</v>
      </c>
      <c r="H281" s="222">
        <v>12.0</v>
      </c>
      <c r="I281" s="796">
        <v>3.9</v>
      </c>
      <c r="J281" s="796">
        <v>4.9</v>
      </c>
      <c r="K281" s="222">
        <v>3.0</v>
      </c>
      <c r="L281" s="222">
        <v>12.0</v>
      </c>
      <c r="M281" s="222" t="s">
        <v>6437</v>
      </c>
      <c r="N281" s="222" t="s">
        <v>6558</v>
      </c>
      <c r="O281" s="222" t="s">
        <v>3149</v>
      </c>
      <c r="P281" s="222">
        <v>3200.0</v>
      </c>
      <c r="Q281" s="222">
        <v>125.0</v>
      </c>
      <c r="R281" s="222" t="s">
        <v>174</v>
      </c>
      <c r="S281" s="797">
        <v>262.0</v>
      </c>
      <c r="T281" s="805" t="s">
        <v>166</v>
      </c>
      <c r="U281" s="389"/>
    </row>
    <row r="282">
      <c r="A282" s="241" t="s">
        <v>1688</v>
      </c>
      <c r="B282" s="389" t="s">
        <v>6529</v>
      </c>
      <c r="C282" s="795" t="s">
        <v>6562</v>
      </c>
      <c r="D282" s="222">
        <v>1200.0</v>
      </c>
      <c r="E282" s="222" t="s">
        <v>6554</v>
      </c>
      <c r="F282" s="222" t="s">
        <v>6521</v>
      </c>
      <c r="G282" s="222">
        <v>8.0</v>
      </c>
      <c r="H282" s="222">
        <v>16.0</v>
      </c>
      <c r="I282" s="796">
        <v>1.4</v>
      </c>
      <c r="J282" s="796">
        <v>4.6</v>
      </c>
      <c r="K282" s="222">
        <v>4.0</v>
      </c>
      <c r="L282" s="222">
        <v>16.0</v>
      </c>
      <c r="M282" s="222" t="s">
        <v>6437</v>
      </c>
      <c r="N282" s="222" t="s">
        <v>6558</v>
      </c>
      <c r="O282" s="222" t="s">
        <v>3149</v>
      </c>
      <c r="P282" s="222">
        <v>3200.0</v>
      </c>
      <c r="Q282" s="222">
        <v>35.0</v>
      </c>
      <c r="R282" s="222" t="s">
        <v>166</v>
      </c>
      <c r="S282" s="797">
        <v>323.0</v>
      </c>
      <c r="T282" s="805" t="s">
        <v>166</v>
      </c>
      <c r="U282" s="389" t="s">
        <v>6423</v>
      </c>
    </row>
    <row r="283">
      <c r="A283" s="241" t="s">
        <v>1688</v>
      </c>
      <c r="B283" s="389" t="s">
        <v>6529</v>
      </c>
      <c r="C283" s="795" t="s">
        <v>6563</v>
      </c>
      <c r="D283" s="222">
        <v>1200.0</v>
      </c>
      <c r="E283" s="222" t="s">
        <v>6554</v>
      </c>
      <c r="F283" s="222" t="s">
        <v>6521</v>
      </c>
      <c r="G283" s="222">
        <v>8.0</v>
      </c>
      <c r="H283" s="222">
        <v>16.0</v>
      </c>
      <c r="I283" s="796">
        <v>2.5</v>
      </c>
      <c r="J283" s="796">
        <v>4.9</v>
      </c>
      <c r="K283" s="222">
        <v>4.0</v>
      </c>
      <c r="L283" s="222">
        <v>16.0</v>
      </c>
      <c r="M283" s="222" t="s">
        <v>6437</v>
      </c>
      <c r="N283" s="222" t="s">
        <v>166</v>
      </c>
      <c r="O283" s="222" t="s">
        <v>3149</v>
      </c>
      <c r="P283" s="222">
        <v>3200.0</v>
      </c>
      <c r="Q283" s="222">
        <v>65.0</v>
      </c>
      <c r="R283" s="222" t="s">
        <v>166</v>
      </c>
      <c r="S283" s="797">
        <v>298.0</v>
      </c>
      <c r="T283" s="805" t="s">
        <v>6524</v>
      </c>
      <c r="U283" s="389"/>
    </row>
    <row r="284">
      <c r="A284" s="241" t="s">
        <v>1688</v>
      </c>
      <c r="B284" s="389" t="s">
        <v>6529</v>
      </c>
      <c r="C284" s="795">
        <v>11700.0</v>
      </c>
      <c r="D284" s="222">
        <v>1200.0</v>
      </c>
      <c r="E284" s="222" t="s">
        <v>6554</v>
      </c>
      <c r="F284" s="222" t="s">
        <v>6521</v>
      </c>
      <c r="G284" s="222">
        <v>8.0</v>
      </c>
      <c r="H284" s="222">
        <v>16.0</v>
      </c>
      <c r="I284" s="796">
        <v>2.5</v>
      </c>
      <c r="J284" s="796">
        <v>4.9</v>
      </c>
      <c r="K284" s="222">
        <v>4.0</v>
      </c>
      <c r="L284" s="222">
        <v>16.0</v>
      </c>
      <c r="M284" s="222" t="s">
        <v>6437</v>
      </c>
      <c r="N284" s="222" t="s">
        <v>6558</v>
      </c>
      <c r="O284" s="222" t="s">
        <v>3149</v>
      </c>
      <c r="P284" s="222">
        <v>3200.0</v>
      </c>
      <c r="Q284" s="222">
        <v>65.0</v>
      </c>
      <c r="R284" s="222" t="s">
        <v>166</v>
      </c>
      <c r="S284" s="797">
        <v>323.0</v>
      </c>
      <c r="T284" s="805" t="s">
        <v>6524</v>
      </c>
      <c r="U284" s="389"/>
    </row>
    <row r="285">
      <c r="A285" s="241" t="s">
        <v>1688</v>
      </c>
      <c r="B285" s="389" t="s">
        <v>6529</v>
      </c>
      <c r="C285" s="795" t="s">
        <v>6564</v>
      </c>
      <c r="D285" s="222">
        <v>1200.0</v>
      </c>
      <c r="E285" s="222" t="s">
        <v>6554</v>
      </c>
      <c r="F285" s="222" t="s">
        <v>6521</v>
      </c>
      <c r="G285" s="222">
        <v>8.0</v>
      </c>
      <c r="H285" s="222">
        <v>16.0</v>
      </c>
      <c r="I285" s="796">
        <v>3.6</v>
      </c>
      <c r="J285" s="796">
        <v>5.0</v>
      </c>
      <c r="K285" s="222">
        <v>4.0</v>
      </c>
      <c r="L285" s="222">
        <v>16.0</v>
      </c>
      <c r="M285" s="222" t="s">
        <v>6437</v>
      </c>
      <c r="N285" s="222" t="s">
        <v>166</v>
      </c>
      <c r="O285" s="222" t="s">
        <v>3149</v>
      </c>
      <c r="P285" s="222">
        <v>3200.0</v>
      </c>
      <c r="Q285" s="222">
        <v>125.0</v>
      </c>
      <c r="R285" s="222" t="s">
        <v>174</v>
      </c>
      <c r="S285" s="797">
        <v>374.0</v>
      </c>
      <c r="T285" s="805" t="s">
        <v>166</v>
      </c>
      <c r="U285" s="389"/>
    </row>
    <row r="286">
      <c r="A286" s="241" t="s">
        <v>1688</v>
      </c>
      <c r="B286" s="389" t="s">
        <v>6529</v>
      </c>
      <c r="C286" s="795" t="s">
        <v>6565</v>
      </c>
      <c r="D286" s="222">
        <v>1200.0</v>
      </c>
      <c r="E286" s="222" t="s">
        <v>6554</v>
      </c>
      <c r="F286" s="222" t="s">
        <v>6521</v>
      </c>
      <c r="G286" s="222">
        <v>8.0</v>
      </c>
      <c r="H286" s="222">
        <v>16.0</v>
      </c>
      <c r="I286" s="796">
        <v>3.6</v>
      </c>
      <c r="J286" s="796">
        <v>5.0</v>
      </c>
      <c r="K286" s="222">
        <v>4.0</v>
      </c>
      <c r="L286" s="222">
        <v>16.0</v>
      </c>
      <c r="M286" s="222" t="s">
        <v>6437</v>
      </c>
      <c r="N286" s="222" t="s">
        <v>6558</v>
      </c>
      <c r="O286" s="222" t="s">
        <v>3149</v>
      </c>
      <c r="P286" s="222">
        <v>3200.0</v>
      </c>
      <c r="Q286" s="222">
        <v>125.0</v>
      </c>
      <c r="R286" s="222" t="s">
        <v>174</v>
      </c>
      <c r="S286" s="797">
        <v>399.0</v>
      </c>
      <c r="T286" s="805" t="s">
        <v>166</v>
      </c>
      <c r="U286" s="389"/>
    </row>
    <row r="287">
      <c r="A287" s="241" t="s">
        <v>1688</v>
      </c>
      <c r="B287" s="389" t="s">
        <v>6538</v>
      </c>
      <c r="C287" s="795" t="s">
        <v>6566</v>
      </c>
      <c r="D287" s="222">
        <v>1200.0</v>
      </c>
      <c r="E287" s="222" t="s">
        <v>6554</v>
      </c>
      <c r="F287" s="222" t="s">
        <v>6521</v>
      </c>
      <c r="G287" s="222">
        <v>8.0</v>
      </c>
      <c r="H287" s="222">
        <v>16.0</v>
      </c>
      <c r="I287" s="796">
        <v>1.5</v>
      </c>
      <c r="J287" s="796">
        <v>4.9</v>
      </c>
      <c r="K287" s="222">
        <v>4.0</v>
      </c>
      <c r="L287" s="222">
        <v>16.0</v>
      </c>
      <c r="M287" s="222" t="s">
        <v>6437</v>
      </c>
      <c r="N287" s="222" t="s">
        <v>6558</v>
      </c>
      <c r="O287" s="222" t="s">
        <v>3149</v>
      </c>
      <c r="P287" s="222">
        <v>3200.0</v>
      </c>
      <c r="Q287" s="222">
        <v>35.0</v>
      </c>
      <c r="R287" s="222" t="s">
        <v>166</v>
      </c>
      <c r="S287" s="797">
        <v>439.0</v>
      </c>
      <c r="T287" s="805" t="s">
        <v>166</v>
      </c>
      <c r="U287" s="389" t="s">
        <v>6423</v>
      </c>
    </row>
    <row r="288">
      <c r="A288" s="241" t="s">
        <v>1688</v>
      </c>
      <c r="B288" s="389" t="s">
        <v>6538</v>
      </c>
      <c r="C288" s="795" t="s">
        <v>6567</v>
      </c>
      <c r="D288" s="222">
        <v>1200.0</v>
      </c>
      <c r="E288" s="222" t="s">
        <v>6554</v>
      </c>
      <c r="F288" s="222" t="s">
        <v>6521</v>
      </c>
      <c r="G288" s="222">
        <v>8.0</v>
      </c>
      <c r="H288" s="222">
        <v>16.0</v>
      </c>
      <c r="I288" s="796">
        <v>2.5</v>
      </c>
      <c r="J288" s="796">
        <v>5.2</v>
      </c>
      <c r="K288" s="222">
        <v>4.0</v>
      </c>
      <c r="L288" s="222">
        <v>16.0</v>
      </c>
      <c r="M288" s="222" t="s">
        <v>6437</v>
      </c>
      <c r="N288" s="222" t="s">
        <v>166</v>
      </c>
      <c r="O288" s="222" t="s">
        <v>3149</v>
      </c>
      <c r="P288" s="222">
        <v>3200.0</v>
      </c>
      <c r="Q288" s="222">
        <v>65.0</v>
      </c>
      <c r="R288" s="222" t="s">
        <v>166</v>
      </c>
      <c r="S288" s="797">
        <v>422.0</v>
      </c>
      <c r="T288" s="805" t="s">
        <v>6524</v>
      </c>
      <c r="U288" s="389"/>
    </row>
    <row r="289">
      <c r="A289" s="241" t="s">
        <v>1688</v>
      </c>
      <c r="B289" s="389" t="s">
        <v>6538</v>
      </c>
      <c r="C289" s="795">
        <v>11900.0</v>
      </c>
      <c r="D289" s="222">
        <v>1200.0</v>
      </c>
      <c r="E289" s="222" t="s">
        <v>6554</v>
      </c>
      <c r="F289" s="222" t="s">
        <v>6521</v>
      </c>
      <c r="G289" s="222">
        <v>8.0</v>
      </c>
      <c r="H289" s="222">
        <v>16.0</v>
      </c>
      <c r="I289" s="796">
        <v>2.5</v>
      </c>
      <c r="J289" s="796">
        <v>5.2</v>
      </c>
      <c r="K289" s="222">
        <v>4.0</v>
      </c>
      <c r="L289" s="222">
        <v>16.0</v>
      </c>
      <c r="M289" s="222" t="s">
        <v>6437</v>
      </c>
      <c r="N289" s="222" t="s">
        <v>6558</v>
      </c>
      <c r="O289" s="222" t="s">
        <v>3149</v>
      </c>
      <c r="P289" s="222">
        <v>3200.0</v>
      </c>
      <c r="Q289" s="222">
        <v>65.0</v>
      </c>
      <c r="R289" s="222" t="s">
        <v>166</v>
      </c>
      <c r="S289" s="797">
        <v>439.0</v>
      </c>
      <c r="T289" s="805" t="s">
        <v>6524</v>
      </c>
      <c r="U289" s="389"/>
    </row>
    <row r="290">
      <c r="A290" s="241" t="s">
        <v>1688</v>
      </c>
      <c r="B290" s="389" t="s">
        <v>6538</v>
      </c>
      <c r="C290" s="795" t="s">
        <v>6568</v>
      </c>
      <c r="D290" s="222">
        <v>1200.0</v>
      </c>
      <c r="E290" s="222" t="s">
        <v>6554</v>
      </c>
      <c r="F290" s="222" t="s">
        <v>6521</v>
      </c>
      <c r="G290" s="222">
        <v>8.0</v>
      </c>
      <c r="H290" s="222">
        <v>16.0</v>
      </c>
      <c r="I290" s="796">
        <v>3.5</v>
      </c>
      <c r="J290" s="796">
        <v>5.3</v>
      </c>
      <c r="K290" s="222">
        <v>4.0</v>
      </c>
      <c r="L290" s="222">
        <v>16.0</v>
      </c>
      <c r="M290" s="222" t="s">
        <v>6437</v>
      </c>
      <c r="N290" s="222" t="s">
        <v>166</v>
      </c>
      <c r="O290" s="222" t="s">
        <v>3149</v>
      </c>
      <c r="P290" s="222">
        <v>3200.0</v>
      </c>
      <c r="Q290" s="222">
        <v>125.0</v>
      </c>
      <c r="R290" s="222" t="s">
        <v>174</v>
      </c>
      <c r="S290" s="797">
        <v>513.0</v>
      </c>
      <c r="T290" s="805" t="s">
        <v>166</v>
      </c>
      <c r="U290" s="389"/>
    </row>
    <row r="291">
      <c r="A291" s="247" t="s">
        <v>1688</v>
      </c>
      <c r="B291" s="802" t="s">
        <v>6538</v>
      </c>
      <c r="C291" s="799" t="s">
        <v>6569</v>
      </c>
      <c r="D291" s="233">
        <v>1200.0</v>
      </c>
      <c r="E291" s="233" t="s">
        <v>6554</v>
      </c>
      <c r="F291" s="233" t="s">
        <v>6521</v>
      </c>
      <c r="G291" s="233">
        <v>8.0</v>
      </c>
      <c r="H291" s="233">
        <v>16.0</v>
      </c>
      <c r="I291" s="800">
        <v>3.5</v>
      </c>
      <c r="J291" s="800">
        <v>5.3</v>
      </c>
      <c r="K291" s="233">
        <v>4.0</v>
      </c>
      <c r="L291" s="233">
        <v>16.0</v>
      </c>
      <c r="M291" s="233" t="s">
        <v>6437</v>
      </c>
      <c r="N291" s="233" t="s">
        <v>6558</v>
      </c>
      <c r="O291" s="233" t="s">
        <v>3149</v>
      </c>
      <c r="P291" s="233">
        <v>3200.0</v>
      </c>
      <c r="Q291" s="233">
        <v>125.0</v>
      </c>
      <c r="R291" s="233" t="s">
        <v>174</v>
      </c>
      <c r="S291" s="801">
        <v>539.0</v>
      </c>
      <c r="T291" s="806" t="s">
        <v>166</v>
      </c>
      <c r="U291" s="802"/>
    </row>
    <row r="292">
      <c r="A292" s="507" t="s">
        <v>1688</v>
      </c>
      <c r="B292" s="663" t="s">
        <v>6519</v>
      </c>
      <c r="C292" s="821" t="s">
        <v>6570</v>
      </c>
      <c r="D292" s="260">
        <v>1700.0</v>
      </c>
      <c r="E292" s="260" t="s">
        <v>6571</v>
      </c>
      <c r="F292" s="260" t="s">
        <v>6572</v>
      </c>
      <c r="G292" s="260">
        <v>2.0</v>
      </c>
      <c r="H292" s="260">
        <v>2.0</v>
      </c>
      <c r="I292" s="822">
        <v>3.4</v>
      </c>
      <c r="J292" s="822" t="s">
        <v>166</v>
      </c>
      <c r="K292" s="823">
        <v>2.5</v>
      </c>
      <c r="L292" s="823">
        <v>4.0</v>
      </c>
      <c r="M292" s="823" t="s">
        <v>6573</v>
      </c>
      <c r="N292" s="260" t="s">
        <v>6574</v>
      </c>
      <c r="O292" s="823" t="s">
        <v>6575</v>
      </c>
      <c r="P292" s="260">
        <v>4800.0</v>
      </c>
      <c r="Q292" s="260">
        <v>35.0</v>
      </c>
      <c r="R292" s="260" t="s">
        <v>166</v>
      </c>
      <c r="S292" s="824">
        <v>42.0</v>
      </c>
      <c r="T292" s="825" t="s">
        <v>166</v>
      </c>
      <c r="U292" s="663" t="s">
        <v>6423</v>
      </c>
    </row>
    <row r="293">
      <c r="A293" s="507" t="s">
        <v>1688</v>
      </c>
      <c r="B293" s="663" t="s">
        <v>6519</v>
      </c>
      <c r="C293" s="821" t="s">
        <v>6576</v>
      </c>
      <c r="D293" s="260">
        <v>1700.0</v>
      </c>
      <c r="E293" s="260" t="s">
        <v>6571</v>
      </c>
      <c r="F293" s="260" t="s">
        <v>6572</v>
      </c>
      <c r="G293" s="260">
        <v>2.0</v>
      </c>
      <c r="H293" s="260">
        <v>2.0</v>
      </c>
      <c r="I293" s="822">
        <v>3.4</v>
      </c>
      <c r="J293" s="822" t="s">
        <v>166</v>
      </c>
      <c r="K293" s="823">
        <v>2.5</v>
      </c>
      <c r="L293" s="823">
        <v>4.0</v>
      </c>
      <c r="M293" s="823" t="s">
        <v>6573</v>
      </c>
      <c r="N293" s="260" t="s">
        <v>6574</v>
      </c>
      <c r="O293" s="823" t="s">
        <v>6575</v>
      </c>
      <c r="P293" s="260">
        <v>4800.0</v>
      </c>
      <c r="Q293" s="260">
        <v>46.0</v>
      </c>
      <c r="R293" s="260" t="s">
        <v>166</v>
      </c>
      <c r="S293" s="824">
        <v>42.0</v>
      </c>
      <c r="T293" s="825" t="s">
        <v>6577</v>
      </c>
      <c r="U293" s="663"/>
    </row>
    <row r="294">
      <c r="A294" s="507" t="s">
        <v>1688</v>
      </c>
      <c r="B294" s="663" t="s">
        <v>6535</v>
      </c>
      <c r="C294" s="821" t="s">
        <v>6578</v>
      </c>
      <c r="D294" s="260">
        <v>1700.0</v>
      </c>
      <c r="E294" s="260" t="s">
        <v>6571</v>
      </c>
      <c r="F294" s="260" t="s">
        <v>6572</v>
      </c>
      <c r="G294" s="260">
        <v>2.0</v>
      </c>
      <c r="H294" s="260">
        <v>4.0</v>
      </c>
      <c r="I294" s="822">
        <v>3.7</v>
      </c>
      <c r="J294" s="822" t="s">
        <v>166</v>
      </c>
      <c r="K294" s="823">
        <v>2.5</v>
      </c>
      <c r="L294" s="823">
        <v>6.0</v>
      </c>
      <c r="M294" s="823" t="s">
        <v>6573</v>
      </c>
      <c r="N294" s="260" t="s">
        <v>6574</v>
      </c>
      <c r="O294" s="823" t="s">
        <v>6575</v>
      </c>
      <c r="P294" s="260">
        <v>4800.0</v>
      </c>
      <c r="Q294" s="260">
        <v>35.0</v>
      </c>
      <c r="R294" s="260" t="s">
        <v>166</v>
      </c>
      <c r="S294" s="824">
        <v>64.0</v>
      </c>
      <c r="T294" s="825" t="s">
        <v>166</v>
      </c>
      <c r="U294" s="663" t="s">
        <v>6423</v>
      </c>
    </row>
    <row r="295">
      <c r="A295" s="507" t="s">
        <v>1688</v>
      </c>
      <c r="B295" s="663" t="s">
        <v>6535</v>
      </c>
      <c r="C295" s="821" t="s">
        <v>6579</v>
      </c>
      <c r="D295" s="260">
        <v>1700.0</v>
      </c>
      <c r="E295" s="260" t="s">
        <v>6571</v>
      </c>
      <c r="F295" s="260" t="s">
        <v>6572</v>
      </c>
      <c r="G295" s="260">
        <v>2.0</v>
      </c>
      <c r="H295" s="260">
        <v>4.0</v>
      </c>
      <c r="I295" s="822">
        <v>3.7</v>
      </c>
      <c r="J295" s="822" t="s">
        <v>166</v>
      </c>
      <c r="K295" s="823">
        <v>2.5</v>
      </c>
      <c r="L295" s="823">
        <v>6.0</v>
      </c>
      <c r="M295" s="823" t="s">
        <v>6573</v>
      </c>
      <c r="N295" s="260" t="s">
        <v>6574</v>
      </c>
      <c r="O295" s="823" t="s">
        <v>6575</v>
      </c>
      <c r="P295" s="260">
        <v>4800.0</v>
      </c>
      <c r="Q295" s="260">
        <v>46.0</v>
      </c>
      <c r="R295" s="260" t="s">
        <v>166</v>
      </c>
      <c r="S295" s="824">
        <v>64.0</v>
      </c>
      <c r="T295" s="825" t="s">
        <v>6577</v>
      </c>
      <c r="U295" s="663"/>
    </row>
    <row r="296">
      <c r="A296" s="507" t="s">
        <v>1688</v>
      </c>
      <c r="B296" s="663" t="s">
        <v>6527</v>
      </c>
      <c r="C296" s="821" t="s">
        <v>6580</v>
      </c>
      <c r="D296" s="260">
        <v>1700.0</v>
      </c>
      <c r="E296" s="260" t="s">
        <v>6571</v>
      </c>
      <c r="F296" s="260" t="s">
        <v>6572</v>
      </c>
      <c r="G296" s="260">
        <v>4.0</v>
      </c>
      <c r="H296" s="260">
        <v>8.0</v>
      </c>
      <c r="I296" s="822">
        <v>2.2</v>
      </c>
      <c r="J296" s="822">
        <v>4.1</v>
      </c>
      <c r="K296" s="823">
        <v>5.0</v>
      </c>
      <c r="L296" s="823">
        <v>12.0</v>
      </c>
      <c r="M296" s="823" t="s">
        <v>6573</v>
      </c>
      <c r="N296" s="260" t="s">
        <v>6555</v>
      </c>
      <c r="O296" s="823" t="s">
        <v>6575</v>
      </c>
      <c r="P296" s="260">
        <v>4800.0</v>
      </c>
      <c r="Q296" s="260">
        <v>35.0</v>
      </c>
      <c r="R296" s="260" t="s">
        <v>166</v>
      </c>
      <c r="S296" s="824">
        <v>122.0</v>
      </c>
      <c r="T296" s="825" t="s">
        <v>166</v>
      </c>
      <c r="U296" s="663" t="s">
        <v>6423</v>
      </c>
    </row>
    <row r="297">
      <c r="A297" s="507" t="s">
        <v>1688</v>
      </c>
      <c r="B297" s="663" t="s">
        <v>6527</v>
      </c>
      <c r="C297" s="821" t="s">
        <v>6581</v>
      </c>
      <c r="D297" s="260">
        <v>1700.0</v>
      </c>
      <c r="E297" s="260" t="s">
        <v>6571</v>
      </c>
      <c r="F297" s="260" t="s">
        <v>6572</v>
      </c>
      <c r="G297" s="260">
        <v>4.0</v>
      </c>
      <c r="H297" s="260">
        <v>8.0</v>
      </c>
      <c r="I297" s="822">
        <v>3.3</v>
      </c>
      <c r="J297" s="822">
        <v>4.3</v>
      </c>
      <c r="K297" s="823">
        <v>5.0</v>
      </c>
      <c r="L297" s="823">
        <v>12.0</v>
      </c>
      <c r="M297" s="823" t="s">
        <v>6573</v>
      </c>
      <c r="N297" s="260" t="s">
        <v>166</v>
      </c>
      <c r="O297" s="823" t="s">
        <v>6575</v>
      </c>
      <c r="P297" s="260">
        <v>4800.0</v>
      </c>
      <c r="Q297" s="260">
        <v>58.0</v>
      </c>
      <c r="R297" s="260" t="s">
        <v>166</v>
      </c>
      <c r="S297" s="824">
        <v>97.0</v>
      </c>
      <c r="T297" s="825" t="s">
        <v>6582</v>
      </c>
      <c r="U297" s="663"/>
    </row>
    <row r="298">
      <c r="A298" s="507" t="s">
        <v>1688</v>
      </c>
      <c r="B298" s="663" t="s">
        <v>6527</v>
      </c>
      <c r="C298" s="821">
        <v>12100.0</v>
      </c>
      <c r="D298" s="260">
        <v>1700.0</v>
      </c>
      <c r="E298" s="260" t="s">
        <v>6571</v>
      </c>
      <c r="F298" s="260" t="s">
        <v>6572</v>
      </c>
      <c r="G298" s="260">
        <v>4.0</v>
      </c>
      <c r="H298" s="260">
        <v>8.0</v>
      </c>
      <c r="I298" s="822">
        <v>3.3</v>
      </c>
      <c r="J298" s="822">
        <v>4.3</v>
      </c>
      <c r="K298" s="823">
        <v>5.0</v>
      </c>
      <c r="L298" s="823">
        <v>12.0</v>
      </c>
      <c r="M298" s="823" t="s">
        <v>6573</v>
      </c>
      <c r="N298" s="260" t="s">
        <v>6555</v>
      </c>
      <c r="O298" s="823" t="s">
        <v>6575</v>
      </c>
      <c r="P298" s="260">
        <v>4800.0</v>
      </c>
      <c r="Q298" s="260">
        <v>60.0</v>
      </c>
      <c r="R298" s="260" t="s">
        <v>166</v>
      </c>
      <c r="S298" s="824">
        <v>122.0</v>
      </c>
      <c r="T298" s="825" t="s">
        <v>6582</v>
      </c>
      <c r="U298" s="663"/>
    </row>
    <row r="299">
      <c r="A299" s="507" t="s">
        <v>1688</v>
      </c>
      <c r="B299" s="663" t="s">
        <v>6527</v>
      </c>
      <c r="C299" s="821" t="s">
        <v>6583</v>
      </c>
      <c r="D299" s="260">
        <v>1700.0</v>
      </c>
      <c r="E299" s="260" t="s">
        <v>6571</v>
      </c>
      <c r="F299" s="260" t="s">
        <v>6572</v>
      </c>
      <c r="G299" s="260">
        <v>4.0</v>
      </c>
      <c r="H299" s="260">
        <v>8.0</v>
      </c>
      <c r="I299" s="822">
        <v>2.3</v>
      </c>
      <c r="J299" s="822">
        <v>4.2</v>
      </c>
      <c r="K299" s="823">
        <v>5.0</v>
      </c>
      <c r="L299" s="823">
        <v>12.0</v>
      </c>
      <c r="M299" s="823" t="s">
        <v>6573</v>
      </c>
      <c r="N299" s="260" t="s">
        <v>6555</v>
      </c>
      <c r="O299" s="823" t="s">
        <v>6575</v>
      </c>
      <c r="P299" s="260">
        <v>4800.0</v>
      </c>
      <c r="Q299" s="260">
        <v>35.0</v>
      </c>
      <c r="R299" s="260" t="s">
        <v>166</v>
      </c>
      <c r="S299" s="824">
        <v>143.0</v>
      </c>
      <c r="T299" s="825" t="s">
        <v>166</v>
      </c>
      <c r="U299" s="663" t="s">
        <v>6423</v>
      </c>
    </row>
    <row r="300">
      <c r="A300" s="507" t="s">
        <v>1688</v>
      </c>
      <c r="B300" s="663" t="s">
        <v>6527</v>
      </c>
      <c r="C300" s="821">
        <v>12300.0</v>
      </c>
      <c r="D300" s="260">
        <v>1700.0</v>
      </c>
      <c r="E300" s="260" t="s">
        <v>6571</v>
      </c>
      <c r="F300" s="260" t="s">
        <v>6572</v>
      </c>
      <c r="G300" s="260">
        <v>4.0</v>
      </c>
      <c r="H300" s="260">
        <v>8.0</v>
      </c>
      <c r="I300" s="822">
        <v>3.5</v>
      </c>
      <c r="J300" s="822">
        <v>4.4</v>
      </c>
      <c r="K300" s="823">
        <v>5.0</v>
      </c>
      <c r="L300" s="823">
        <v>12.0</v>
      </c>
      <c r="M300" s="823" t="s">
        <v>6573</v>
      </c>
      <c r="N300" s="260" t="s">
        <v>6555</v>
      </c>
      <c r="O300" s="823" t="s">
        <v>6575</v>
      </c>
      <c r="P300" s="260">
        <v>4800.0</v>
      </c>
      <c r="Q300" s="260">
        <v>60.0</v>
      </c>
      <c r="R300" s="260" t="s">
        <v>166</v>
      </c>
      <c r="S300" s="824">
        <v>143.0</v>
      </c>
      <c r="T300" s="825" t="s">
        <v>6582</v>
      </c>
      <c r="U300" s="663"/>
    </row>
    <row r="301">
      <c r="A301" s="507" t="s">
        <v>1688</v>
      </c>
      <c r="B301" s="663" t="s">
        <v>6528</v>
      </c>
      <c r="C301" s="821" t="s">
        <v>6584</v>
      </c>
      <c r="D301" s="260">
        <v>1700.0</v>
      </c>
      <c r="E301" s="260" t="s">
        <v>6571</v>
      </c>
      <c r="F301" s="260" t="s">
        <v>6572</v>
      </c>
      <c r="G301" s="260">
        <v>6.0</v>
      </c>
      <c r="H301" s="260">
        <v>12.0</v>
      </c>
      <c r="I301" s="822">
        <v>1.8</v>
      </c>
      <c r="J301" s="822">
        <v>4.2</v>
      </c>
      <c r="K301" s="823">
        <v>7.5</v>
      </c>
      <c r="L301" s="823">
        <v>18.0</v>
      </c>
      <c r="M301" s="823" t="s">
        <v>6573</v>
      </c>
      <c r="N301" s="260" t="s">
        <v>6555</v>
      </c>
      <c r="O301" s="823" t="s">
        <v>6575</v>
      </c>
      <c r="P301" s="260">
        <v>4800.0</v>
      </c>
      <c r="Q301" s="260">
        <v>35.0</v>
      </c>
      <c r="R301" s="260" t="s">
        <v>166</v>
      </c>
      <c r="S301" s="824">
        <v>192.0</v>
      </c>
      <c r="T301" s="825" t="s">
        <v>166</v>
      </c>
      <c r="U301" s="663" t="s">
        <v>6423</v>
      </c>
    </row>
    <row r="302">
      <c r="A302" s="507" t="s">
        <v>1688</v>
      </c>
      <c r="B302" s="663" t="s">
        <v>6528</v>
      </c>
      <c r="C302" s="821" t="s">
        <v>6585</v>
      </c>
      <c r="D302" s="260">
        <v>1700.0</v>
      </c>
      <c r="E302" s="260" t="s">
        <v>6571</v>
      </c>
      <c r="F302" s="260" t="s">
        <v>6572</v>
      </c>
      <c r="G302" s="260">
        <v>6.0</v>
      </c>
      <c r="H302" s="260">
        <v>12.0</v>
      </c>
      <c r="I302" s="822">
        <v>2.5</v>
      </c>
      <c r="J302" s="822">
        <v>4.4</v>
      </c>
      <c r="K302" s="823">
        <v>7.5</v>
      </c>
      <c r="L302" s="823">
        <v>18.0</v>
      </c>
      <c r="M302" s="823" t="s">
        <v>6573</v>
      </c>
      <c r="N302" s="260" t="s">
        <v>166</v>
      </c>
      <c r="O302" s="823" t="s">
        <v>6575</v>
      </c>
      <c r="P302" s="260">
        <v>4800.0</v>
      </c>
      <c r="Q302" s="260">
        <v>65.0</v>
      </c>
      <c r="R302" s="260" t="s">
        <v>166</v>
      </c>
      <c r="S302" s="824">
        <v>167.0</v>
      </c>
      <c r="T302" s="825" t="s">
        <v>6582</v>
      </c>
      <c r="U302" s="663"/>
    </row>
    <row r="303">
      <c r="A303" s="507" t="s">
        <v>1688</v>
      </c>
      <c r="B303" s="663" t="s">
        <v>6528</v>
      </c>
      <c r="C303" s="821">
        <v>12400.0</v>
      </c>
      <c r="D303" s="260">
        <v>1700.0</v>
      </c>
      <c r="E303" s="260" t="s">
        <v>6571</v>
      </c>
      <c r="F303" s="260" t="s">
        <v>6572</v>
      </c>
      <c r="G303" s="260">
        <v>6.0</v>
      </c>
      <c r="H303" s="260">
        <v>12.0</v>
      </c>
      <c r="I303" s="822">
        <v>2.5</v>
      </c>
      <c r="J303" s="822">
        <v>4.4</v>
      </c>
      <c r="K303" s="823">
        <v>7.5</v>
      </c>
      <c r="L303" s="823">
        <v>18.0</v>
      </c>
      <c r="M303" s="823" t="s">
        <v>6573</v>
      </c>
      <c r="N303" s="260" t="s">
        <v>6555</v>
      </c>
      <c r="O303" s="823" t="s">
        <v>6575</v>
      </c>
      <c r="P303" s="260">
        <v>4800.0</v>
      </c>
      <c r="Q303" s="260">
        <v>65.0</v>
      </c>
      <c r="R303" s="260" t="s">
        <v>166</v>
      </c>
      <c r="S303" s="824">
        <v>192.0</v>
      </c>
      <c r="T303" s="825" t="s">
        <v>6582</v>
      </c>
      <c r="U303" s="663"/>
    </row>
    <row r="304">
      <c r="A304" s="507" t="s">
        <v>1688</v>
      </c>
      <c r="B304" s="663" t="s">
        <v>6528</v>
      </c>
      <c r="C304" s="821" t="s">
        <v>6586</v>
      </c>
      <c r="D304" s="260">
        <v>1700.0</v>
      </c>
      <c r="E304" s="260" t="s">
        <v>6571</v>
      </c>
      <c r="F304" s="260" t="s">
        <v>6572</v>
      </c>
      <c r="G304" s="260">
        <v>6.0</v>
      </c>
      <c r="H304" s="260">
        <v>12.0</v>
      </c>
      <c r="I304" s="822">
        <v>2.0</v>
      </c>
      <c r="J304" s="822">
        <v>4.4</v>
      </c>
      <c r="K304" s="823">
        <v>7.5</v>
      </c>
      <c r="L304" s="823">
        <v>18.0</v>
      </c>
      <c r="M304" s="823" t="s">
        <v>6573</v>
      </c>
      <c r="N304" s="260" t="s">
        <v>6587</v>
      </c>
      <c r="O304" s="823" t="s">
        <v>6575</v>
      </c>
      <c r="P304" s="260">
        <v>4800.0</v>
      </c>
      <c r="Q304" s="260">
        <v>35.0</v>
      </c>
      <c r="R304" s="260" t="s">
        <v>166</v>
      </c>
      <c r="S304" s="824">
        <v>202.0</v>
      </c>
      <c r="T304" s="825" t="s">
        <v>166</v>
      </c>
      <c r="U304" s="663" t="s">
        <v>6423</v>
      </c>
    </row>
    <row r="305">
      <c r="A305" s="507" t="s">
        <v>1688</v>
      </c>
      <c r="B305" s="663" t="s">
        <v>6528</v>
      </c>
      <c r="C305" s="821">
        <v>12500.0</v>
      </c>
      <c r="D305" s="260">
        <v>1700.0</v>
      </c>
      <c r="E305" s="260" t="s">
        <v>6571</v>
      </c>
      <c r="F305" s="260" t="s">
        <v>6572</v>
      </c>
      <c r="G305" s="260">
        <v>6.0</v>
      </c>
      <c r="H305" s="260">
        <v>12.0</v>
      </c>
      <c r="I305" s="822">
        <v>3.0</v>
      </c>
      <c r="J305" s="822">
        <v>4.6</v>
      </c>
      <c r="K305" s="823">
        <v>7.5</v>
      </c>
      <c r="L305" s="823">
        <v>18.0</v>
      </c>
      <c r="M305" s="823" t="s">
        <v>6573</v>
      </c>
      <c r="N305" s="260" t="s">
        <v>6587</v>
      </c>
      <c r="O305" s="823" t="s">
        <v>6575</v>
      </c>
      <c r="P305" s="260">
        <v>4800.0</v>
      </c>
      <c r="Q305" s="260">
        <v>65.0</v>
      </c>
      <c r="R305" s="260" t="s">
        <v>166</v>
      </c>
      <c r="S305" s="824">
        <v>202.0</v>
      </c>
      <c r="T305" s="825" t="s">
        <v>6582</v>
      </c>
      <c r="U305" s="663"/>
    </row>
    <row r="306">
      <c r="A306" s="507" t="s">
        <v>1688</v>
      </c>
      <c r="B306" s="663" t="s">
        <v>6528</v>
      </c>
      <c r="C306" s="821" t="s">
        <v>6588</v>
      </c>
      <c r="D306" s="260">
        <v>1700.0</v>
      </c>
      <c r="E306" s="260" t="s">
        <v>6571</v>
      </c>
      <c r="F306" s="260" t="s">
        <v>6572</v>
      </c>
      <c r="G306" s="260">
        <v>6.0</v>
      </c>
      <c r="H306" s="260">
        <v>12.0</v>
      </c>
      <c r="I306" s="822">
        <v>2.1</v>
      </c>
      <c r="J306" s="822">
        <v>4.6</v>
      </c>
      <c r="K306" s="823">
        <v>7.5</v>
      </c>
      <c r="L306" s="823">
        <v>18.0</v>
      </c>
      <c r="M306" s="823" t="s">
        <v>6573</v>
      </c>
      <c r="N306" s="260" t="s">
        <v>6587</v>
      </c>
      <c r="O306" s="823" t="s">
        <v>6575</v>
      </c>
      <c r="P306" s="260">
        <v>4800.0</v>
      </c>
      <c r="Q306" s="260">
        <v>35.0</v>
      </c>
      <c r="R306" s="260" t="s">
        <v>166</v>
      </c>
      <c r="S306" s="824">
        <v>223.0</v>
      </c>
      <c r="T306" s="825" t="s">
        <v>166</v>
      </c>
      <c r="U306" s="663" t="s">
        <v>6423</v>
      </c>
    </row>
    <row r="307">
      <c r="A307" s="507" t="s">
        <v>1688</v>
      </c>
      <c r="B307" s="663" t="s">
        <v>6528</v>
      </c>
      <c r="C307" s="821">
        <v>12600.0</v>
      </c>
      <c r="D307" s="260">
        <v>1700.0</v>
      </c>
      <c r="E307" s="260" t="s">
        <v>6571</v>
      </c>
      <c r="F307" s="260" t="s">
        <v>6572</v>
      </c>
      <c r="G307" s="260">
        <v>6.0</v>
      </c>
      <c r="H307" s="260">
        <v>12.0</v>
      </c>
      <c r="I307" s="822">
        <v>3.3</v>
      </c>
      <c r="J307" s="822">
        <v>4.8</v>
      </c>
      <c r="K307" s="823">
        <v>7.5</v>
      </c>
      <c r="L307" s="823">
        <v>18.0</v>
      </c>
      <c r="M307" s="823" t="s">
        <v>6573</v>
      </c>
      <c r="N307" s="260" t="s">
        <v>6587</v>
      </c>
      <c r="O307" s="823" t="s">
        <v>6575</v>
      </c>
      <c r="P307" s="260">
        <v>4800.0</v>
      </c>
      <c r="Q307" s="260">
        <v>65.0</v>
      </c>
      <c r="R307" s="260" t="s">
        <v>166</v>
      </c>
      <c r="S307" s="824">
        <v>223.0</v>
      </c>
      <c r="T307" s="825" t="s">
        <v>6582</v>
      </c>
      <c r="U307" s="663"/>
    </row>
    <row r="308">
      <c r="A308" s="507" t="s">
        <v>1688</v>
      </c>
      <c r="B308" s="663" t="s">
        <v>6528</v>
      </c>
      <c r="C308" s="821" t="s">
        <v>6589</v>
      </c>
      <c r="D308" s="260">
        <v>1700.0</v>
      </c>
      <c r="E308" s="260" t="s">
        <v>6571</v>
      </c>
      <c r="F308" s="260" t="s">
        <v>6572</v>
      </c>
      <c r="G308" s="260">
        <v>10.0</v>
      </c>
      <c r="H308" s="260">
        <v>16.0</v>
      </c>
      <c r="I308" s="822">
        <v>2.8</v>
      </c>
      <c r="J308" s="822">
        <v>4.9</v>
      </c>
      <c r="K308" s="823">
        <v>9.5</v>
      </c>
      <c r="L308" s="823">
        <v>20.0</v>
      </c>
      <c r="M308" s="823" t="s">
        <v>6573</v>
      </c>
      <c r="N308" s="260" t="s">
        <v>166</v>
      </c>
      <c r="O308" s="823" t="s">
        <v>6575</v>
      </c>
      <c r="P308" s="260">
        <v>4800.0</v>
      </c>
      <c r="Q308" s="260">
        <v>125.0</v>
      </c>
      <c r="R308" s="260" t="s">
        <v>174</v>
      </c>
      <c r="S308" s="824">
        <v>264.0</v>
      </c>
      <c r="T308" s="825" t="s">
        <v>166</v>
      </c>
      <c r="U308" s="663"/>
    </row>
    <row r="309">
      <c r="A309" s="507" t="s">
        <v>1688</v>
      </c>
      <c r="B309" s="663" t="s">
        <v>6528</v>
      </c>
      <c r="C309" s="821" t="s">
        <v>6590</v>
      </c>
      <c r="D309" s="260">
        <v>1700.0</v>
      </c>
      <c r="E309" s="260" t="s">
        <v>6571</v>
      </c>
      <c r="F309" s="260" t="s">
        <v>6572</v>
      </c>
      <c r="G309" s="260">
        <v>10.0</v>
      </c>
      <c r="H309" s="260">
        <v>16.0</v>
      </c>
      <c r="I309" s="822">
        <v>2.8</v>
      </c>
      <c r="J309" s="822">
        <v>4.9</v>
      </c>
      <c r="K309" s="823">
        <v>9.5</v>
      </c>
      <c r="L309" s="823">
        <v>20.0</v>
      </c>
      <c r="M309" s="823" t="s">
        <v>6573</v>
      </c>
      <c r="N309" s="260" t="s">
        <v>6587</v>
      </c>
      <c r="O309" s="823" t="s">
        <v>6575</v>
      </c>
      <c r="P309" s="260">
        <v>4800.0</v>
      </c>
      <c r="Q309" s="260">
        <v>125.0</v>
      </c>
      <c r="R309" s="260" t="s">
        <v>174</v>
      </c>
      <c r="S309" s="824">
        <v>289.0</v>
      </c>
      <c r="T309" s="825" t="s">
        <v>166</v>
      </c>
      <c r="U309" s="663"/>
    </row>
    <row r="310">
      <c r="A310" s="507" t="s">
        <v>1688</v>
      </c>
      <c r="B310" s="663" t="s">
        <v>6529</v>
      </c>
      <c r="C310" s="821" t="s">
        <v>6591</v>
      </c>
      <c r="D310" s="260">
        <v>1700.0</v>
      </c>
      <c r="E310" s="260" t="s">
        <v>6571</v>
      </c>
      <c r="F310" s="260" t="s">
        <v>6572</v>
      </c>
      <c r="G310" s="260">
        <v>12.0</v>
      </c>
      <c r="H310" s="260">
        <v>20.0</v>
      </c>
      <c r="I310" s="822">
        <v>1.0</v>
      </c>
      <c r="J310" s="822">
        <v>4.7</v>
      </c>
      <c r="K310" s="823">
        <v>12.0</v>
      </c>
      <c r="L310" s="823">
        <v>25.0</v>
      </c>
      <c r="M310" s="823" t="s">
        <v>6573</v>
      </c>
      <c r="N310" s="260" t="s">
        <v>6587</v>
      </c>
      <c r="O310" s="823" t="s">
        <v>6575</v>
      </c>
      <c r="P310" s="260">
        <v>4800.0</v>
      </c>
      <c r="Q310" s="260">
        <v>35.0</v>
      </c>
      <c r="R310" s="260" t="s">
        <v>166</v>
      </c>
      <c r="S310" s="824">
        <v>339.0</v>
      </c>
      <c r="T310" s="825" t="s">
        <v>166</v>
      </c>
      <c r="U310" s="663" t="s">
        <v>6423</v>
      </c>
    </row>
    <row r="311">
      <c r="A311" s="507" t="s">
        <v>1688</v>
      </c>
      <c r="B311" s="663" t="s">
        <v>6529</v>
      </c>
      <c r="C311" s="821" t="s">
        <v>6592</v>
      </c>
      <c r="D311" s="260">
        <v>1700.0</v>
      </c>
      <c r="E311" s="260" t="s">
        <v>6571</v>
      </c>
      <c r="F311" s="260" t="s">
        <v>6572</v>
      </c>
      <c r="G311" s="260">
        <v>12.0</v>
      </c>
      <c r="H311" s="260">
        <v>20.0</v>
      </c>
      <c r="I311" s="822">
        <v>1.6</v>
      </c>
      <c r="J311" s="822">
        <v>4.9</v>
      </c>
      <c r="K311" s="823">
        <v>12.0</v>
      </c>
      <c r="L311" s="823">
        <v>25.0</v>
      </c>
      <c r="M311" s="823" t="s">
        <v>6573</v>
      </c>
      <c r="N311" s="260" t="s">
        <v>166</v>
      </c>
      <c r="O311" s="823" t="s">
        <v>6575</v>
      </c>
      <c r="P311" s="260">
        <v>4800.0</v>
      </c>
      <c r="Q311" s="260">
        <v>65.0</v>
      </c>
      <c r="R311" s="260" t="s">
        <v>166</v>
      </c>
      <c r="S311" s="824">
        <v>314.0</v>
      </c>
      <c r="T311" s="825" t="s">
        <v>6582</v>
      </c>
      <c r="U311" s="663"/>
    </row>
    <row r="312">
      <c r="A312" s="507" t="s">
        <v>1688</v>
      </c>
      <c r="B312" s="663" t="s">
        <v>6529</v>
      </c>
      <c r="C312" s="821">
        <v>12700.0</v>
      </c>
      <c r="D312" s="260">
        <v>1700.0</v>
      </c>
      <c r="E312" s="260" t="s">
        <v>6571</v>
      </c>
      <c r="F312" s="260" t="s">
        <v>6572</v>
      </c>
      <c r="G312" s="260">
        <v>12.0</v>
      </c>
      <c r="H312" s="260">
        <v>20.0</v>
      </c>
      <c r="I312" s="822">
        <v>1.6</v>
      </c>
      <c r="J312" s="822">
        <v>4.9</v>
      </c>
      <c r="K312" s="823">
        <v>12.0</v>
      </c>
      <c r="L312" s="823">
        <v>25.0</v>
      </c>
      <c r="M312" s="823" t="s">
        <v>6573</v>
      </c>
      <c r="N312" s="260" t="s">
        <v>6587</v>
      </c>
      <c r="O312" s="823" t="s">
        <v>6575</v>
      </c>
      <c r="P312" s="260">
        <v>4800.0</v>
      </c>
      <c r="Q312" s="260">
        <v>65.0</v>
      </c>
      <c r="R312" s="260" t="s">
        <v>166</v>
      </c>
      <c r="S312" s="824">
        <v>339.0</v>
      </c>
      <c r="T312" s="825" t="s">
        <v>6582</v>
      </c>
      <c r="U312" s="663"/>
    </row>
    <row r="313">
      <c r="A313" s="507" t="s">
        <v>1688</v>
      </c>
      <c r="B313" s="663" t="s">
        <v>6529</v>
      </c>
      <c r="C313" s="821" t="s">
        <v>6593</v>
      </c>
      <c r="D313" s="260">
        <v>1700.0</v>
      </c>
      <c r="E313" s="260" t="s">
        <v>6571</v>
      </c>
      <c r="F313" s="260" t="s">
        <v>6572</v>
      </c>
      <c r="G313" s="260">
        <v>12.0</v>
      </c>
      <c r="H313" s="260">
        <v>20.0</v>
      </c>
      <c r="I313" s="822">
        <v>2.7</v>
      </c>
      <c r="J313" s="822">
        <v>5.0</v>
      </c>
      <c r="K313" s="823">
        <v>12.0</v>
      </c>
      <c r="L313" s="823">
        <v>25.0</v>
      </c>
      <c r="M313" s="823" t="s">
        <v>6573</v>
      </c>
      <c r="N313" s="260" t="s">
        <v>166</v>
      </c>
      <c r="O313" s="823" t="s">
        <v>6575</v>
      </c>
      <c r="P313" s="260">
        <v>4800.0</v>
      </c>
      <c r="Q313" s="260">
        <v>125.0</v>
      </c>
      <c r="R313" s="260" t="s">
        <v>174</v>
      </c>
      <c r="S313" s="824">
        <v>384.0</v>
      </c>
      <c r="T313" s="825" t="s">
        <v>166</v>
      </c>
      <c r="U313" s="663"/>
    </row>
    <row r="314">
      <c r="A314" s="507" t="s">
        <v>1688</v>
      </c>
      <c r="B314" s="663" t="s">
        <v>6529</v>
      </c>
      <c r="C314" s="821" t="s">
        <v>6594</v>
      </c>
      <c r="D314" s="260">
        <v>1700.0</v>
      </c>
      <c r="E314" s="260" t="s">
        <v>6571</v>
      </c>
      <c r="F314" s="260" t="s">
        <v>6572</v>
      </c>
      <c r="G314" s="260">
        <v>12.0</v>
      </c>
      <c r="H314" s="260">
        <v>20.0</v>
      </c>
      <c r="I314" s="822">
        <v>2.7</v>
      </c>
      <c r="J314" s="822">
        <v>5.0</v>
      </c>
      <c r="K314" s="823">
        <v>12.0</v>
      </c>
      <c r="L314" s="823">
        <v>25.0</v>
      </c>
      <c r="M314" s="823" t="s">
        <v>6573</v>
      </c>
      <c r="N314" s="260" t="s">
        <v>6587</v>
      </c>
      <c r="O314" s="823" t="s">
        <v>6575</v>
      </c>
      <c r="P314" s="260">
        <v>4800.0</v>
      </c>
      <c r="Q314" s="260">
        <v>125.0</v>
      </c>
      <c r="R314" s="260" t="s">
        <v>174</v>
      </c>
      <c r="S314" s="824">
        <v>409.0</v>
      </c>
      <c r="T314" s="825" t="s">
        <v>166</v>
      </c>
      <c r="U314" s="663"/>
    </row>
    <row r="315">
      <c r="A315" s="507" t="s">
        <v>1688</v>
      </c>
      <c r="B315" s="663" t="s">
        <v>6538</v>
      </c>
      <c r="C315" s="821" t="s">
        <v>6595</v>
      </c>
      <c r="D315" s="260">
        <v>1700.0</v>
      </c>
      <c r="E315" s="260" t="s">
        <v>6571</v>
      </c>
      <c r="F315" s="260" t="s">
        <v>6572</v>
      </c>
      <c r="G315" s="260">
        <v>16.0</v>
      </c>
      <c r="H315" s="260">
        <v>24.0</v>
      </c>
      <c r="I315" s="822">
        <v>1.0</v>
      </c>
      <c r="J315" s="822">
        <v>4.9</v>
      </c>
      <c r="K315" s="823">
        <v>14.0</v>
      </c>
      <c r="L315" s="823">
        <v>30.0</v>
      </c>
      <c r="M315" s="823" t="s">
        <v>6573</v>
      </c>
      <c r="N315" s="260" t="s">
        <v>6587</v>
      </c>
      <c r="O315" s="823" t="s">
        <v>6575</v>
      </c>
      <c r="P315" s="260">
        <v>4800.0</v>
      </c>
      <c r="Q315" s="260">
        <v>35.0</v>
      </c>
      <c r="R315" s="260" t="s">
        <v>166</v>
      </c>
      <c r="S315" s="824">
        <v>489.0</v>
      </c>
      <c r="T315" s="825" t="s">
        <v>166</v>
      </c>
      <c r="U315" s="663" t="s">
        <v>6423</v>
      </c>
    </row>
    <row r="316">
      <c r="A316" s="507" t="s">
        <v>1688</v>
      </c>
      <c r="B316" s="663" t="s">
        <v>6538</v>
      </c>
      <c r="C316" s="821" t="s">
        <v>6596</v>
      </c>
      <c r="D316" s="260">
        <v>1700.0</v>
      </c>
      <c r="E316" s="260" t="s">
        <v>6571</v>
      </c>
      <c r="F316" s="260" t="s">
        <v>6572</v>
      </c>
      <c r="G316" s="260">
        <v>16.0</v>
      </c>
      <c r="H316" s="260">
        <v>24.0</v>
      </c>
      <c r="I316" s="822">
        <v>1.8</v>
      </c>
      <c r="J316" s="822">
        <v>5.1</v>
      </c>
      <c r="K316" s="823">
        <v>14.0</v>
      </c>
      <c r="L316" s="823">
        <v>30.0</v>
      </c>
      <c r="M316" s="823" t="s">
        <v>6573</v>
      </c>
      <c r="N316" s="260" t="s">
        <v>166</v>
      </c>
      <c r="O316" s="823" t="s">
        <v>6575</v>
      </c>
      <c r="P316" s="260">
        <v>4800.0</v>
      </c>
      <c r="Q316" s="260">
        <v>65.0</v>
      </c>
      <c r="R316" s="260" t="s">
        <v>166</v>
      </c>
      <c r="S316" s="824">
        <v>464.0</v>
      </c>
      <c r="T316" s="825" t="s">
        <v>6597</v>
      </c>
      <c r="U316" s="663"/>
    </row>
    <row r="317">
      <c r="A317" s="507" t="s">
        <v>1688</v>
      </c>
      <c r="B317" s="663" t="s">
        <v>6538</v>
      </c>
      <c r="C317" s="821">
        <v>12900.0</v>
      </c>
      <c r="D317" s="260">
        <v>1700.0</v>
      </c>
      <c r="E317" s="260" t="s">
        <v>6571</v>
      </c>
      <c r="F317" s="260" t="s">
        <v>6572</v>
      </c>
      <c r="G317" s="260">
        <v>16.0</v>
      </c>
      <c r="H317" s="260">
        <v>24.0</v>
      </c>
      <c r="I317" s="822">
        <v>1.8</v>
      </c>
      <c r="J317" s="822">
        <v>5.1</v>
      </c>
      <c r="K317" s="823">
        <v>14.0</v>
      </c>
      <c r="L317" s="823">
        <v>30.0</v>
      </c>
      <c r="M317" s="823" t="s">
        <v>6573</v>
      </c>
      <c r="N317" s="260" t="s">
        <v>6587</v>
      </c>
      <c r="O317" s="823" t="s">
        <v>6575</v>
      </c>
      <c r="P317" s="260">
        <v>4800.0</v>
      </c>
      <c r="Q317" s="260">
        <v>65.0</v>
      </c>
      <c r="R317" s="260" t="s">
        <v>166</v>
      </c>
      <c r="S317" s="824">
        <v>489.0</v>
      </c>
      <c r="T317" s="825" t="s">
        <v>6597</v>
      </c>
      <c r="U317" s="663"/>
    </row>
    <row r="318">
      <c r="A318" s="507" t="s">
        <v>1688</v>
      </c>
      <c r="B318" s="663" t="s">
        <v>6538</v>
      </c>
      <c r="C318" s="821" t="s">
        <v>6598</v>
      </c>
      <c r="D318" s="260">
        <v>1700.0</v>
      </c>
      <c r="E318" s="260" t="s">
        <v>6571</v>
      </c>
      <c r="F318" s="260" t="s">
        <v>6572</v>
      </c>
      <c r="G318" s="260">
        <v>16.0</v>
      </c>
      <c r="H318" s="260">
        <v>24.0</v>
      </c>
      <c r="I318" s="822">
        <v>2.4</v>
      </c>
      <c r="J318" s="822">
        <v>5.2</v>
      </c>
      <c r="K318" s="823">
        <v>14.0</v>
      </c>
      <c r="L318" s="823">
        <v>30.0</v>
      </c>
      <c r="M318" s="823" t="s">
        <v>6573</v>
      </c>
      <c r="N318" s="260" t="s">
        <v>166</v>
      </c>
      <c r="O318" s="823" t="s">
        <v>6575</v>
      </c>
      <c r="P318" s="260">
        <v>4800.0</v>
      </c>
      <c r="Q318" s="260">
        <v>125.0</v>
      </c>
      <c r="R318" s="260" t="s">
        <v>174</v>
      </c>
      <c r="S318" s="824">
        <v>564.0</v>
      </c>
      <c r="T318" s="825" t="s">
        <v>166</v>
      </c>
      <c r="U318" s="663"/>
    </row>
    <row r="319">
      <c r="A319" s="507" t="s">
        <v>1688</v>
      </c>
      <c r="B319" s="663" t="s">
        <v>6538</v>
      </c>
      <c r="C319" s="821" t="s">
        <v>6599</v>
      </c>
      <c r="D319" s="260">
        <v>1700.0</v>
      </c>
      <c r="E319" s="260" t="s">
        <v>6571</v>
      </c>
      <c r="F319" s="260" t="s">
        <v>6572</v>
      </c>
      <c r="G319" s="260">
        <v>16.0</v>
      </c>
      <c r="H319" s="260">
        <v>24.0</v>
      </c>
      <c r="I319" s="822">
        <v>2.4</v>
      </c>
      <c r="J319" s="822">
        <v>5.2</v>
      </c>
      <c r="K319" s="823">
        <v>14.0</v>
      </c>
      <c r="L319" s="823">
        <v>30.0</v>
      </c>
      <c r="M319" s="823" t="s">
        <v>6573</v>
      </c>
      <c r="N319" s="260" t="s">
        <v>6587</v>
      </c>
      <c r="O319" s="823" t="s">
        <v>6575</v>
      </c>
      <c r="P319" s="260">
        <v>4800.0</v>
      </c>
      <c r="Q319" s="260">
        <v>125.0</v>
      </c>
      <c r="R319" s="260" t="s">
        <v>174</v>
      </c>
      <c r="S319" s="824">
        <v>589.0</v>
      </c>
      <c r="T319" s="825" t="s">
        <v>166</v>
      </c>
      <c r="U319" s="663"/>
    </row>
    <row r="320">
      <c r="A320" s="519" t="s">
        <v>1688</v>
      </c>
      <c r="B320" s="669" t="s">
        <v>6538</v>
      </c>
      <c r="C320" s="826" t="s">
        <v>6600</v>
      </c>
      <c r="D320" s="393">
        <v>1700.0</v>
      </c>
      <c r="E320" s="393" t="s">
        <v>6571</v>
      </c>
      <c r="F320" s="393" t="s">
        <v>6572</v>
      </c>
      <c r="G320" s="393">
        <v>16.0</v>
      </c>
      <c r="H320" s="393">
        <v>24.0</v>
      </c>
      <c r="I320" s="827">
        <v>2.5</v>
      </c>
      <c r="J320" s="827">
        <v>5.5</v>
      </c>
      <c r="K320" s="828">
        <v>14.0</v>
      </c>
      <c r="L320" s="828">
        <v>30.0</v>
      </c>
      <c r="M320" s="828" t="s">
        <v>6573</v>
      </c>
      <c r="N320" s="393" t="s">
        <v>6587</v>
      </c>
      <c r="O320" s="828" t="s">
        <v>6575</v>
      </c>
      <c r="P320" s="393">
        <v>4800.0</v>
      </c>
      <c r="Q320" s="393">
        <v>150.0</v>
      </c>
      <c r="R320" s="393" t="s">
        <v>174</v>
      </c>
      <c r="S320" s="829">
        <v>739.0</v>
      </c>
      <c r="T320" s="686" t="s">
        <v>166</v>
      </c>
      <c r="U320" s="669"/>
    </row>
    <row r="321">
      <c r="A321" s="507" t="s">
        <v>1688</v>
      </c>
      <c r="B321" s="663" t="s">
        <v>6527</v>
      </c>
      <c r="C321" s="821" t="s">
        <v>6601</v>
      </c>
      <c r="D321" s="260">
        <v>1700.0</v>
      </c>
      <c r="E321" s="260" t="s">
        <v>6602</v>
      </c>
      <c r="F321" s="260" t="s">
        <v>6572</v>
      </c>
      <c r="G321" s="260">
        <v>4.0</v>
      </c>
      <c r="H321" s="260">
        <v>8.0</v>
      </c>
      <c r="I321" s="822">
        <v>2.5</v>
      </c>
      <c r="J321" s="822">
        <v>4.2</v>
      </c>
      <c r="K321" s="823">
        <v>5.0</v>
      </c>
      <c r="L321" s="823">
        <v>12.0</v>
      </c>
      <c r="M321" s="823" t="s">
        <v>6573</v>
      </c>
      <c r="N321" s="260" t="s">
        <v>6555</v>
      </c>
      <c r="O321" s="823" t="s">
        <v>6575</v>
      </c>
      <c r="P321" s="260">
        <v>4800.0</v>
      </c>
      <c r="Q321" s="260">
        <v>35.0</v>
      </c>
      <c r="R321" s="260" t="s">
        <v>166</v>
      </c>
      <c r="S321" s="824">
        <v>134.0</v>
      </c>
      <c r="T321" s="825" t="s">
        <v>166</v>
      </c>
      <c r="U321" s="663" t="s">
        <v>6423</v>
      </c>
    </row>
    <row r="322">
      <c r="A322" s="507" t="s">
        <v>1688</v>
      </c>
      <c r="B322" s="663" t="s">
        <v>6527</v>
      </c>
      <c r="C322" s="821" t="s">
        <v>6603</v>
      </c>
      <c r="D322" s="260">
        <v>1700.0</v>
      </c>
      <c r="E322" s="260" t="s">
        <v>6602</v>
      </c>
      <c r="F322" s="260" t="s">
        <v>6572</v>
      </c>
      <c r="G322" s="260">
        <v>4.0</v>
      </c>
      <c r="H322" s="260">
        <v>8.0</v>
      </c>
      <c r="I322" s="822">
        <v>3.4</v>
      </c>
      <c r="J322" s="822">
        <v>4.5</v>
      </c>
      <c r="K322" s="823">
        <v>5.0</v>
      </c>
      <c r="L322" s="823">
        <v>12.0</v>
      </c>
      <c r="M322" s="823" t="s">
        <v>6573</v>
      </c>
      <c r="N322" s="260" t="s">
        <v>166</v>
      </c>
      <c r="O322" s="823" t="s">
        <v>6575</v>
      </c>
      <c r="P322" s="260">
        <v>4800.0</v>
      </c>
      <c r="Q322" s="260">
        <v>58.0</v>
      </c>
      <c r="R322" s="260" t="s">
        <v>166</v>
      </c>
      <c r="S322" s="824">
        <v>109.0</v>
      </c>
      <c r="T322" s="825" t="s">
        <v>6582</v>
      </c>
      <c r="U322" s="663"/>
    </row>
    <row r="323">
      <c r="A323" s="507" t="s">
        <v>1688</v>
      </c>
      <c r="B323" s="663" t="s">
        <v>6527</v>
      </c>
      <c r="C323" s="821">
        <v>13100.0</v>
      </c>
      <c r="D323" s="260">
        <v>1700.0</v>
      </c>
      <c r="E323" s="260" t="s">
        <v>6602</v>
      </c>
      <c r="F323" s="260" t="s">
        <v>6572</v>
      </c>
      <c r="G323" s="260">
        <v>4.0</v>
      </c>
      <c r="H323" s="260">
        <v>8.0</v>
      </c>
      <c r="I323" s="822">
        <v>3.4</v>
      </c>
      <c r="J323" s="822">
        <v>4.5</v>
      </c>
      <c r="K323" s="823">
        <v>5.0</v>
      </c>
      <c r="L323" s="823">
        <v>12.0</v>
      </c>
      <c r="M323" s="823" t="s">
        <v>6573</v>
      </c>
      <c r="N323" s="260" t="s">
        <v>6555</v>
      </c>
      <c r="O323" s="823" t="s">
        <v>6575</v>
      </c>
      <c r="P323" s="260">
        <v>4800.0</v>
      </c>
      <c r="Q323" s="260">
        <v>60.0</v>
      </c>
      <c r="R323" s="260" t="s">
        <v>166</v>
      </c>
      <c r="S323" s="824">
        <v>134.0</v>
      </c>
      <c r="T323" s="825" t="s">
        <v>6582</v>
      </c>
      <c r="U323" s="663"/>
    </row>
    <row r="324">
      <c r="A324" s="507" t="s">
        <v>1688</v>
      </c>
      <c r="B324" s="663" t="s">
        <v>6528</v>
      </c>
      <c r="C324" s="821" t="s">
        <v>6604</v>
      </c>
      <c r="D324" s="260">
        <v>1700.0</v>
      </c>
      <c r="E324" s="260" t="s">
        <v>6602</v>
      </c>
      <c r="F324" s="260" t="s">
        <v>6572</v>
      </c>
      <c r="G324" s="260">
        <v>10.0</v>
      </c>
      <c r="H324" s="260">
        <v>16.0</v>
      </c>
      <c r="I324" s="822">
        <v>1.0</v>
      </c>
      <c r="J324" s="822">
        <v>4.4</v>
      </c>
      <c r="K324" s="823">
        <v>9.5</v>
      </c>
      <c r="L324" s="823">
        <v>20.0</v>
      </c>
      <c r="M324" s="823" t="s">
        <v>6573</v>
      </c>
      <c r="N324" s="260" t="s">
        <v>6555</v>
      </c>
      <c r="O324" s="823" t="s">
        <v>6575</v>
      </c>
      <c r="P324" s="260">
        <v>4800.0</v>
      </c>
      <c r="Q324" s="260">
        <v>35.0</v>
      </c>
      <c r="R324" s="260" t="s">
        <v>166</v>
      </c>
      <c r="S324" s="824">
        <v>221.0</v>
      </c>
      <c r="T324" s="825" t="s">
        <v>166</v>
      </c>
      <c r="U324" s="663" t="s">
        <v>6423</v>
      </c>
    </row>
    <row r="325">
      <c r="A325" s="507" t="s">
        <v>1688</v>
      </c>
      <c r="B325" s="663" t="s">
        <v>6528</v>
      </c>
      <c r="C325" s="821" t="s">
        <v>6605</v>
      </c>
      <c r="D325" s="260">
        <v>1700.0</v>
      </c>
      <c r="E325" s="260" t="s">
        <v>6602</v>
      </c>
      <c r="F325" s="260" t="s">
        <v>6572</v>
      </c>
      <c r="G325" s="260">
        <v>10.0</v>
      </c>
      <c r="H325" s="260">
        <v>16.0</v>
      </c>
      <c r="I325" s="822">
        <v>1.8</v>
      </c>
      <c r="J325" s="822">
        <v>4.6</v>
      </c>
      <c r="K325" s="823">
        <v>9.5</v>
      </c>
      <c r="L325" s="823">
        <v>20.0</v>
      </c>
      <c r="M325" s="823" t="s">
        <v>6573</v>
      </c>
      <c r="N325" s="260" t="s">
        <v>166</v>
      </c>
      <c r="O325" s="823" t="s">
        <v>6575</v>
      </c>
      <c r="P325" s="260">
        <v>4800.0</v>
      </c>
      <c r="Q325" s="260">
        <v>65.0</v>
      </c>
      <c r="R325" s="260" t="s">
        <v>166</v>
      </c>
      <c r="S325" s="824">
        <v>196.0</v>
      </c>
      <c r="T325" s="825" t="s">
        <v>6582</v>
      </c>
      <c r="U325" s="663"/>
    </row>
    <row r="326">
      <c r="A326" s="507" t="s">
        <v>1688</v>
      </c>
      <c r="B326" s="663" t="s">
        <v>6528</v>
      </c>
      <c r="C326" s="821">
        <v>13400.0</v>
      </c>
      <c r="D326" s="260">
        <v>1700.0</v>
      </c>
      <c r="E326" s="260" t="s">
        <v>6602</v>
      </c>
      <c r="F326" s="260" t="s">
        <v>6572</v>
      </c>
      <c r="G326" s="260">
        <v>10.0</v>
      </c>
      <c r="H326" s="260">
        <v>16.0</v>
      </c>
      <c r="I326" s="822">
        <v>1.8</v>
      </c>
      <c r="J326" s="822">
        <v>4.6</v>
      </c>
      <c r="K326" s="823">
        <v>9.5</v>
      </c>
      <c r="L326" s="823">
        <v>20.0</v>
      </c>
      <c r="M326" s="823" t="s">
        <v>6573</v>
      </c>
      <c r="N326" s="260" t="s">
        <v>6555</v>
      </c>
      <c r="O326" s="823" t="s">
        <v>6575</v>
      </c>
      <c r="P326" s="260">
        <v>4800.0</v>
      </c>
      <c r="Q326" s="260">
        <v>65.0</v>
      </c>
      <c r="R326" s="260" t="s">
        <v>166</v>
      </c>
      <c r="S326" s="824">
        <v>221.0</v>
      </c>
      <c r="T326" s="825" t="s">
        <v>6582</v>
      </c>
      <c r="U326" s="663"/>
    </row>
    <row r="327">
      <c r="A327" s="507" t="s">
        <v>1688</v>
      </c>
      <c r="B327" s="663" t="s">
        <v>6528</v>
      </c>
      <c r="C327" s="821" t="s">
        <v>6606</v>
      </c>
      <c r="D327" s="260">
        <v>1700.0</v>
      </c>
      <c r="E327" s="260" t="s">
        <v>6602</v>
      </c>
      <c r="F327" s="260" t="s">
        <v>6572</v>
      </c>
      <c r="G327" s="260">
        <v>14.0</v>
      </c>
      <c r="H327" s="260">
        <v>20.0</v>
      </c>
      <c r="I327" s="822">
        <v>1.2</v>
      </c>
      <c r="J327" s="822">
        <v>4.6</v>
      </c>
      <c r="K327" s="823">
        <v>11.5</v>
      </c>
      <c r="L327" s="823">
        <v>24.0</v>
      </c>
      <c r="M327" s="823" t="s">
        <v>6573</v>
      </c>
      <c r="N327" s="260" t="s">
        <v>6587</v>
      </c>
      <c r="O327" s="823" t="s">
        <v>6575</v>
      </c>
      <c r="P327" s="260">
        <v>4800.0</v>
      </c>
      <c r="Q327" s="260">
        <v>35.0</v>
      </c>
      <c r="R327" s="260" t="s">
        <v>166</v>
      </c>
      <c r="S327" s="824">
        <v>232.0</v>
      </c>
      <c r="T327" s="825" t="s">
        <v>166</v>
      </c>
      <c r="U327" s="663" t="s">
        <v>6423</v>
      </c>
    </row>
    <row r="328">
      <c r="A328" s="507" t="s">
        <v>1688</v>
      </c>
      <c r="B328" s="663" t="s">
        <v>6528</v>
      </c>
      <c r="C328" s="821">
        <v>13500.0</v>
      </c>
      <c r="D328" s="260">
        <v>1700.0</v>
      </c>
      <c r="E328" s="260" t="s">
        <v>6602</v>
      </c>
      <c r="F328" s="260" t="s">
        <v>6572</v>
      </c>
      <c r="G328" s="260">
        <v>14.0</v>
      </c>
      <c r="H328" s="260">
        <v>20.0</v>
      </c>
      <c r="I328" s="822">
        <v>1.8</v>
      </c>
      <c r="J328" s="822">
        <v>4.8</v>
      </c>
      <c r="K328" s="823">
        <v>11.5</v>
      </c>
      <c r="L328" s="823">
        <v>24.0</v>
      </c>
      <c r="M328" s="823" t="s">
        <v>6573</v>
      </c>
      <c r="N328" s="260" t="s">
        <v>6587</v>
      </c>
      <c r="O328" s="823" t="s">
        <v>6575</v>
      </c>
      <c r="P328" s="260">
        <v>4800.0</v>
      </c>
      <c r="Q328" s="260">
        <v>65.0</v>
      </c>
      <c r="R328" s="260" t="s">
        <v>166</v>
      </c>
      <c r="S328" s="824">
        <v>232.0</v>
      </c>
      <c r="T328" s="825" t="s">
        <v>6582</v>
      </c>
      <c r="U328" s="663"/>
    </row>
    <row r="329">
      <c r="A329" s="507" t="s">
        <v>1688</v>
      </c>
      <c r="B329" s="663" t="s">
        <v>6528</v>
      </c>
      <c r="C329" s="821" t="s">
        <v>6607</v>
      </c>
      <c r="D329" s="260">
        <v>1700.0</v>
      </c>
      <c r="E329" s="260" t="s">
        <v>6602</v>
      </c>
      <c r="F329" s="260" t="s">
        <v>6572</v>
      </c>
      <c r="G329" s="260">
        <v>14.0</v>
      </c>
      <c r="H329" s="260">
        <v>20.0</v>
      </c>
      <c r="I329" s="822">
        <v>1.3</v>
      </c>
      <c r="J329" s="822">
        <v>4.8</v>
      </c>
      <c r="K329" s="823">
        <v>11.5</v>
      </c>
      <c r="L329" s="823">
        <v>24.0</v>
      </c>
      <c r="M329" s="823" t="s">
        <v>6573</v>
      </c>
      <c r="N329" s="260" t="s">
        <v>6587</v>
      </c>
      <c r="O329" s="823" t="s">
        <v>6575</v>
      </c>
      <c r="P329" s="260">
        <v>4800.0</v>
      </c>
      <c r="Q329" s="260">
        <v>35.0</v>
      </c>
      <c r="R329" s="260" t="s">
        <v>166</v>
      </c>
      <c r="S329" s="824">
        <v>255.0</v>
      </c>
      <c r="T329" s="825" t="s">
        <v>166</v>
      </c>
      <c r="U329" s="663" t="s">
        <v>6423</v>
      </c>
    </row>
    <row r="330">
      <c r="A330" s="507" t="s">
        <v>1688</v>
      </c>
      <c r="B330" s="663" t="s">
        <v>6528</v>
      </c>
      <c r="C330" s="821">
        <v>13600.0</v>
      </c>
      <c r="D330" s="260">
        <v>1700.0</v>
      </c>
      <c r="E330" s="260" t="s">
        <v>6602</v>
      </c>
      <c r="F330" s="260" t="s">
        <v>6572</v>
      </c>
      <c r="G330" s="260">
        <v>14.0</v>
      </c>
      <c r="H330" s="260">
        <v>20.0</v>
      </c>
      <c r="I330" s="822">
        <v>2.0</v>
      </c>
      <c r="J330" s="822">
        <v>5.0</v>
      </c>
      <c r="K330" s="823">
        <v>11.5</v>
      </c>
      <c r="L330" s="823">
        <v>24.0</v>
      </c>
      <c r="M330" s="823" t="s">
        <v>6573</v>
      </c>
      <c r="N330" s="260" t="s">
        <v>6587</v>
      </c>
      <c r="O330" s="823" t="s">
        <v>6575</v>
      </c>
      <c r="P330" s="260">
        <v>4800.0</v>
      </c>
      <c r="Q330" s="260">
        <v>65.0</v>
      </c>
      <c r="R330" s="260" t="s">
        <v>166</v>
      </c>
      <c r="S330" s="824">
        <v>255.0</v>
      </c>
      <c r="T330" s="825" t="s">
        <v>6582</v>
      </c>
      <c r="U330" s="663"/>
    </row>
    <row r="331">
      <c r="A331" s="507" t="s">
        <v>1688</v>
      </c>
      <c r="B331" s="663" t="s">
        <v>6528</v>
      </c>
      <c r="C331" s="821" t="s">
        <v>6608</v>
      </c>
      <c r="D331" s="260">
        <v>1700.0</v>
      </c>
      <c r="E331" s="260" t="s">
        <v>6602</v>
      </c>
      <c r="F331" s="260" t="s">
        <v>6572</v>
      </c>
      <c r="G331" s="260">
        <v>14.0</v>
      </c>
      <c r="H331" s="260">
        <v>20.0</v>
      </c>
      <c r="I331" s="822">
        <v>2.6</v>
      </c>
      <c r="J331" s="822">
        <v>5.1</v>
      </c>
      <c r="K331" s="823">
        <v>20.0</v>
      </c>
      <c r="L331" s="823">
        <v>24.0</v>
      </c>
      <c r="M331" s="823" t="s">
        <v>6573</v>
      </c>
      <c r="N331" s="260" t="s">
        <v>166</v>
      </c>
      <c r="O331" s="823" t="s">
        <v>6575</v>
      </c>
      <c r="P331" s="260">
        <v>5600.0</v>
      </c>
      <c r="Q331" s="260">
        <v>125.0</v>
      </c>
      <c r="R331" s="260" t="s">
        <v>174</v>
      </c>
      <c r="S331" s="824">
        <v>294.0</v>
      </c>
      <c r="T331" s="825" t="s">
        <v>166</v>
      </c>
      <c r="U331" s="663"/>
    </row>
    <row r="332">
      <c r="A332" s="507" t="s">
        <v>1688</v>
      </c>
      <c r="B332" s="663" t="s">
        <v>6528</v>
      </c>
      <c r="C332" s="821" t="s">
        <v>6609</v>
      </c>
      <c r="D332" s="260">
        <v>1700.0</v>
      </c>
      <c r="E332" s="260" t="s">
        <v>6602</v>
      </c>
      <c r="F332" s="260" t="s">
        <v>6572</v>
      </c>
      <c r="G332" s="260">
        <v>14.0</v>
      </c>
      <c r="H332" s="260">
        <v>20.0</v>
      </c>
      <c r="I332" s="822">
        <v>2.6</v>
      </c>
      <c r="J332" s="822">
        <v>5.1</v>
      </c>
      <c r="K332" s="823">
        <v>20.0</v>
      </c>
      <c r="L332" s="823">
        <v>24.0</v>
      </c>
      <c r="M332" s="823" t="s">
        <v>6573</v>
      </c>
      <c r="N332" s="260" t="s">
        <v>6587</v>
      </c>
      <c r="O332" s="823" t="s">
        <v>6575</v>
      </c>
      <c r="P332" s="260">
        <v>5600.0</v>
      </c>
      <c r="Q332" s="260">
        <v>125.0</v>
      </c>
      <c r="R332" s="260" t="s">
        <v>174</v>
      </c>
      <c r="S332" s="824">
        <v>319.0</v>
      </c>
      <c r="T332" s="825" t="s">
        <v>166</v>
      </c>
      <c r="U332" s="663"/>
    </row>
    <row r="333">
      <c r="A333" s="507" t="s">
        <v>1688</v>
      </c>
      <c r="B333" s="663" t="s">
        <v>6529</v>
      </c>
      <c r="C333" s="821" t="s">
        <v>6610</v>
      </c>
      <c r="D333" s="260">
        <v>1700.0</v>
      </c>
      <c r="E333" s="260" t="s">
        <v>6602</v>
      </c>
      <c r="F333" s="260" t="s">
        <v>6572</v>
      </c>
      <c r="G333" s="260">
        <v>16.0</v>
      </c>
      <c r="H333" s="260">
        <v>24.0</v>
      </c>
      <c r="I333" s="822">
        <v>1.0</v>
      </c>
      <c r="J333" s="822">
        <v>4.9</v>
      </c>
      <c r="K333" s="823">
        <v>24.0</v>
      </c>
      <c r="L333" s="823">
        <v>30.0</v>
      </c>
      <c r="M333" s="823" t="s">
        <v>6573</v>
      </c>
      <c r="N333" s="260" t="s">
        <v>6587</v>
      </c>
      <c r="O333" s="823" t="s">
        <v>6575</v>
      </c>
      <c r="P333" s="260">
        <v>5600.0</v>
      </c>
      <c r="Q333" s="260">
        <v>35.0</v>
      </c>
      <c r="R333" s="260" t="s">
        <v>166</v>
      </c>
      <c r="S333" s="824">
        <v>384.0</v>
      </c>
      <c r="T333" s="825" t="s">
        <v>166</v>
      </c>
      <c r="U333" s="663" t="s">
        <v>6423</v>
      </c>
    </row>
    <row r="334">
      <c r="A334" s="507" t="s">
        <v>1688</v>
      </c>
      <c r="B334" s="663" t="s">
        <v>6529</v>
      </c>
      <c r="C334" s="821" t="s">
        <v>6611</v>
      </c>
      <c r="D334" s="260">
        <v>1700.0</v>
      </c>
      <c r="E334" s="260" t="s">
        <v>6602</v>
      </c>
      <c r="F334" s="260" t="s">
        <v>6572</v>
      </c>
      <c r="G334" s="260">
        <v>16.0</v>
      </c>
      <c r="H334" s="260">
        <v>24.0</v>
      </c>
      <c r="I334" s="822">
        <v>1.5</v>
      </c>
      <c r="J334" s="822">
        <v>5.2</v>
      </c>
      <c r="K334" s="823">
        <v>24.0</v>
      </c>
      <c r="L334" s="823">
        <v>30.0</v>
      </c>
      <c r="M334" s="823" t="s">
        <v>6573</v>
      </c>
      <c r="N334" s="260" t="s">
        <v>166</v>
      </c>
      <c r="O334" s="823" t="s">
        <v>6575</v>
      </c>
      <c r="P334" s="260">
        <v>5600.0</v>
      </c>
      <c r="Q334" s="260">
        <v>65.0</v>
      </c>
      <c r="R334" s="260" t="s">
        <v>166</v>
      </c>
      <c r="S334" s="824">
        <v>359.0</v>
      </c>
      <c r="T334" s="825" t="s">
        <v>6582</v>
      </c>
      <c r="U334" s="663"/>
    </row>
    <row r="335">
      <c r="A335" s="507" t="s">
        <v>1688</v>
      </c>
      <c r="B335" s="663" t="s">
        <v>6529</v>
      </c>
      <c r="C335" s="821">
        <v>13700.0</v>
      </c>
      <c r="D335" s="260">
        <v>1700.0</v>
      </c>
      <c r="E335" s="260" t="s">
        <v>6602</v>
      </c>
      <c r="F335" s="260" t="s">
        <v>6572</v>
      </c>
      <c r="G335" s="260">
        <v>16.0</v>
      </c>
      <c r="H335" s="260">
        <v>24.0</v>
      </c>
      <c r="I335" s="822">
        <v>1.5</v>
      </c>
      <c r="J335" s="822">
        <v>5.2</v>
      </c>
      <c r="K335" s="823">
        <v>24.0</v>
      </c>
      <c r="L335" s="823">
        <v>30.0</v>
      </c>
      <c r="M335" s="823" t="s">
        <v>6573</v>
      </c>
      <c r="N335" s="260" t="s">
        <v>6587</v>
      </c>
      <c r="O335" s="823" t="s">
        <v>6575</v>
      </c>
      <c r="P335" s="260">
        <v>5600.0</v>
      </c>
      <c r="Q335" s="260">
        <v>65.0</v>
      </c>
      <c r="R335" s="260" t="s">
        <v>166</v>
      </c>
      <c r="S335" s="824">
        <v>384.0</v>
      </c>
      <c r="T335" s="825" t="s">
        <v>6582</v>
      </c>
      <c r="U335" s="663"/>
    </row>
    <row r="336">
      <c r="A336" s="507" t="s">
        <v>1688</v>
      </c>
      <c r="B336" s="663" t="s">
        <v>6529</v>
      </c>
      <c r="C336" s="821" t="s">
        <v>6612</v>
      </c>
      <c r="D336" s="260">
        <v>1700.0</v>
      </c>
      <c r="E336" s="260" t="s">
        <v>6602</v>
      </c>
      <c r="F336" s="260" t="s">
        <v>6572</v>
      </c>
      <c r="G336" s="260">
        <v>16.0</v>
      </c>
      <c r="H336" s="260">
        <v>24.0</v>
      </c>
      <c r="I336" s="822">
        <v>2.5</v>
      </c>
      <c r="J336" s="822">
        <v>5.4</v>
      </c>
      <c r="K336" s="823">
        <v>24.0</v>
      </c>
      <c r="L336" s="823">
        <v>30.0</v>
      </c>
      <c r="M336" s="823" t="s">
        <v>6573</v>
      </c>
      <c r="N336" s="260" t="s">
        <v>166</v>
      </c>
      <c r="O336" s="823" t="s">
        <v>6575</v>
      </c>
      <c r="P336" s="260">
        <v>5600.0</v>
      </c>
      <c r="Q336" s="260">
        <v>125.0</v>
      </c>
      <c r="R336" s="260" t="s">
        <v>174</v>
      </c>
      <c r="S336" s="824">
        <v>384.0</v>
      </c>
      <c r="T336" s="825" t="s">
        <v>166</v>
      </c>
      <c r="U336" s="663"/>
    </row>
    <row r="337">
      <c r="A337" s="507" t="s">
        <v>1688</v>
      </c>
      <c r="B337" s="663" t="s">
        <v>6529</v>
      </c>
      <c r="C337" s="821" t="s">
        <v>6613</v>
      </c>
      <c r="D337" s="260">
        <v>1700.0</v>
      </c>
      <c r="E337" s="260" t="s">
        <v>6602</v>
      </c>
      <c r="F337" s="260" t="s">
        <v>6572</v>
      </c>
      <c r="G337" s="260">
        <v>16.0</v>
      </c>
      <c r="H337" s="260">
        <v>24.0</v>
      </c>
      <c r="I337" s="822">
        <v>2.5</v>
      </c>
      <c r="J337" s="822">
        <v>5.4</v>
      </c>
      <c r="K337" s="823">
        <v>24.0</v>
      </c>
      <c r="L337" s="823">
        <v>30.0</v>
      </c>
      <c r="M337" s="823" t="s">
        <v>6573</v>
      </c>
      <c r="N337" s="260" t="s">
        <v>6587</v>
      </c>
      <c r="O337" s="823" t="s">
        <v>6575</v>
      </c>
      <c r="P337" s="260">
        <v>5600.0</v>
      </c>
      <c r="Q337" s="260">
        <v>125.0</v>
      </c>
      <c r="R337" s="260" t="s">
        <v>174</v>
      </c>
      <c r="S337" s="824">
        <v>409.0</v>
      </c>
      <c r="T337" s="825" t="s">
        <v>166</v>
      </c>
      <c r="U337" s="663"/>
    </row>
    <row r="338">
      <c r="A338" s="507" t="s">
        <v>1688</v>
      </c>
      <c r="B338" s="663" t="s">
        <v>6538</v>
      </c>
      <c r="C338" s="821" t="s">
        <v>6614</v>
      </c>
      <c r="D338" s="260">
        <v>1700.0</v>
      </c>
      <c r="E338" s="260" t="s">
        <v>6602</v>
      </c>
      <c r="F338" s="260" t="s">
        <v>6572</v>
      </c>
      <c r="G338" s="260">
        <v>24.0</v>
      </c>
      <c r="H338" s="260">
        <v>32.0</v>
      </c>
      <c r="I338" s="822">
        <v>0.8</v>
      </c>
      <c r="J338" s="822">
        <v>5.3</v>
      </c>
      <c r="K338" s="823">
        <v>32.0</v>
      </c>
      <c r="L338" s="823">
        <v>36.0</v>
      </c>
      <c r="M338" s="823" t="s">
        <v>6573</v>
      </c>
      <c r="N338" s="260" t="s">
        <v>6587</v>
      </c>
      <c r="O338" s="823" t="s">
        <v>6575</v>
      </c>
      <c r="P338" s="260">
        <v>5600.0</v>
      </c>
      <c r="Q338" s="260">
        <v>35.0</v>
      </c>
      <c r="R338" s="260" t="s">
        <v>166</v>
      </c>
      <c r="S338" s="824">
        <v>549.0</v>
      </c>
      <c r="T338" s="825" t="s">
        <v>166</v>
      </c>
      <c r="U338" s="663" t="s">
        <v>6423</v>
      </c>
    </row>
    <row r="339">
      <c r="A339" s="507" t="s">
        <v>1688</v>
      </c>
      <c r="B339" s="663" t="s">
        <v>6538</v>
      </c>
      <c r="C339" s="821" t="s">
        <v>6615</v>
      </c>
      <c r="D339" s="260">
        <v>1700.0</v>
      </c>
      <c r="E339" s="260" t="s">
        <v>6602</v>
      </c>
      <c r="F339" s="260" t="s">
        <v>6572</v>
      </c>
      <c r="G339" s="260">
        <v>24.0</v>
      </c>
      <c r="H339" s="260">
        <v>32.0</v>
      </c>
      <c r="I339" s="822">
        <v>1.5</v>
      </c>
      <c r="J339" s="822">
        <v>5.6</v>
      </c>
      <c r="K339" s="823">
        <v>32.0</v>
      </c>
      <c r="L339" s="823">
        <v>36.0</v>
      </c>
      <c r="M339" s="823" t="s">
        <v>6573</v>
      </c>
      <c r="N339" s="260" t="s">
        <v>166</v>
      </c>
      <c r="O339" s="823" t="s">
        <v>6575</v>
      </c>
      <c r="P339" s="260">
        <v>5600.0</v>
      </c>
      <c r="Q339" s="260">
        <v>65.0</v>
      </c>
      <c r="R339" s="260" t="s">
        <v>166</v>
      </c>
      <c r="S339" s="824">
        <v>524.0</v>
      </c>
      <c r="T339" s="825" t="s">
        <v>6597</v>
      </c>
      <c r="U339" s="663"/>
    </row>
    <row r="340">
      <c r="A340" s="507" t="s">
        <v>1688</v>
      </c>
      <c r="B340" s="663" t="s">
        <v>6538</v>
      </c>
      <c r="C340" s="821">
        <v>13900.0</v>
      </c>
      <c r="D340" s="260">
        <v>1700.0</v>
      </c>
      <c r="E340" s="260" t="s">
        <v>6602</v>
      </c>
      <c r="F340" s="260" t="s">
        <v>6572</v>
      </c>
      <c r="G340" s="260">
        <v>24.0</v>
      </c>
      <c r="H340" s="260">
        <v>32.0</v>
      </c>
      <c r="I340" s="822">
        <v>1.5</v>
      </c>
      <c r="J340" s="822">
        <v>5.6</v>
      </c>
      <c r="K340" s="823">
        <v>32.0</v>
      </c>
      <c r="L340" s="823">
        <v>36.0</v>
      </c>
      <c r="M340" s="823" t="s">
        <v>6573</v>
      </c>
      <c r="N340" s="260" t="s">
        <v>6587</v>
      </c>
      <c r="O340" s="823" t="s">
        <v>6575</v>
      </c>
      <c r="P340" s="260">
        <v>5600.0</v>
      </c>
      <c r="Q340" s="260">
        <v>65.0</v>
      </c>
      <c r="R340" s="260" t="s">
        <v>166</v>
      </c>
      <c r="S340" s="824">
        <v>549.0</v>
      </c>
      <c r="T340" s="825" t="s">
        <v>6597</v>
      </c>
      <c r="U340" s="663"/>
    </row>
    <row r="341">
      <c r="A341" s="507" t="s">
        <v>1688</v>
      </c>
      <c r="B341" s="663" t="s">
        <v>6538</v>
      </c>
      <c r="C341" s="821" t="s">
        <v>6616</v>
      </c>
      <c r="D341" s="260">
        <v>1700.0</v>
      </c>
      <c r="E341" s="260" t="s">
        <v>6602</v>
      </c>
      <c r="F341" s="260" t="s">
        <v>6572</v>
      </c>
      <c r="G341" s="260">
        <v>24.0</v>
      </c>
      <c r="H341" s="260">
        <v>32.0</v>
      </c>
      <c r="I341" s="822">
        <v>2.2</v>
      </c>
      <c r="J341" s="822">
        <v>5.8</v>
      </c>
      <c r="K341" s="823">
        <v>32.0</v>
      </c>
      <c r="L341" s="823">
        <v>36.0</v>
      </c>
      <c r="M341" s="823" t="s">
        <v>6573</v>
      </c>
      <c r="N341" s="260" t="s">
        <v>166</v>
      </c>
      <c r="O341" s="823" t="s">
        <v>6575</v>
      </c>
      <c r="P341" s="260">
        <v>5600.0</v>
      </c>
      <c r="Q341" s="260">
        <v>125.0</v>
      </c>
      <c r="R341" s="260" t="s">
        <v>174</v>
      </c>
      <c r="S341" s="824">
        <v>564.0</v>
      </c>
      <c r="T341" s="825" t="s">
        <v>166</v>
      </c>
      <c r="U341" s="663"/>
    </row>
    <row r="342">
      <c r="A342" s="507" t="s">
        <v>1688</v>
      </c>
      <c r="B342" s="663" t="s">
        <v>6538</v>
      </c>
      <c r="C342" s="821" t="s">
        <v>6617</v>
      </c>
      <c r="D342" s="260">
        <v>1700.0</v>
      </c>
      <c r="E342" s="260" t="s">
        <v>6602</v>
      </c>
      <c r="F342" s="260" t="s">
        <v>6572</v>
      </c>
      <c r="G342" s="260">
        <v>24.0</v>
      </c>
      <c r="H342" s="260">
        <v>32.0</v>
      </c>
      <c r="I342" s="822">
        <v>2.2</v>
      </c>
      <c r="J342" s="822">
        <v>5.8</v>
      </c>
      <c r="K342" s="823">
        <v>32.0</v>
      </c>
      <c r="L342" s="823">
        <v>36.0</v>
      </c>
      <c r="M342" s="823" t="s">
        <v>6573</v>
      </c>
      <c r="N342" s="260" t="s">
        <v>6587</v>
      </c>
      <c r="O342" s="823" t="s">
        <v>6575</v>
      </c>
      <c r="P342" s="260">
        <v>5600.0</v>
      </c>
      <c r="Q342" s="260">
        <v>125.0</v>
      </c>
      <c r="R342" s="260" t="s">
        <v>174</v>
      </c>
      <c r="S342" s="824">
        <v>589.0</v>
      </c>
      <c r="T342" s="825" t="s">
        <v>166</v>
      </c>
      <c r="U342" s="663"/>
    </row>
    <row r="343">
      <c r="A343" s="519" t="s">
        <v>1688</v>
      </c>
      <c r="B343" s="669" t="s">
        <v>6538</v>
      </c>
      <c r="C343" s="826" t="s">
        <v>6618</v>
      </c>
      <c r="D343" s="393">
        <v>1700.0</v>
      </c>
      <c r="E343" s="393" t="s">
        <v>6602</v>
      </c>
      <c r="F343" s="393" t="s">
        <v>6572</v>
      </c>
      <c r="G343" s="393">
        <v>24.0</v>
      </c>
      <c r="H343" s="393">
        <v>32.0</v>
      </c>
      <c r="I343" s="827">
        <v>2.4</v>
      </c>
      <c r="J343" s="827">
        <v>6.0</v>
      </c>
      <c r="K343" s="828">
        <v>32.0</v>
      </c>
      <c r="L343" s="828">
        <v>36.0</v>
      </c>
      <c r="M343" s="828" t="s">
        <v>6573</v>
      </c>
      <c r="N343" s="393" t="s">
        <v>6587</v>
      </c>
      <c r="O343" s="828" t="s">
        <v>6575</v>
      </c>
      <c r="P343" s="393">
        <v>5600.0</v>
      </c>
      <c r="Q343" s="393">
        <v>150.0</v>
      </c>
      <c r="R343" s="393" t="s">
        <v>174</v>
      </c>
      <c r="S343" s="829">
        <v>699.0</v>
      </c>
      <c r="T343" s="686" t="s">
        <v>166</v>
      </c>
      <c r="U343" s="669"/>
    </row>
    <row r="344">
      <c r="A344" s="507" t="s">
        <v>1688</v>
      </c>
      <c r="B344" s="663" t="s">
        <v>166</v>
      </c>
      <c r="C344" s="821" t="s">
        <v>6619</v>
      </c>
      <c r="D344" s="260">
        <v>1700.0</v>
      </c>
      <c r="E344" s="823" t="s">
        <v>6620</v>
      </c>
      <c r="F344" s="260" t="s">
        <v>6572</v>
      </c>
      <c r="G344" s="260">
        <v>2.0</v>
      </c>
      <c r="H344" s="260">
        <v>4.0</v>
      </c>
      <c r="I344" s="822">
        <v>3.4</v>
      </c>
      <c r="J344" s="822" t="s">
        <v>166</v>
      </c>
      <c r="K344" s="823">
        <v>2.5</v>
      </c>
      <c r="L344" s="823">
        <v>6.0</v>
      </c>
      <c r="M344" s="823" t="s">
        <v>6573</v>
      </c>
      <c r="N344" s="260" t="s">
        <v>6574</v>
      </c>
      <c r="O344" s="823" t="s">
        <v>6575</v>
      </c>
      <c r="P344" s="260">
        <v>4800.0</v>
      </c>
      <c r="Q344" s="260">
        <v>35.0</v>
      </c>
      <c r="R344" s="260" t="s">
        <v>166</v>
      </c>
      <c r="S344" s="824">
        <v>82.0</v>
      </c>
      <c r="T344" s="825" t="s">
        <v>166</v>
      </c>
      <c r="U344" s="663" t="s">
        <v>6423</v>
      </c>
    </row>
    <row r="345">
      <c r="A345" s="507" t="s">
        <v>1688</v>
      </c>
      <c r="B345" s="663" t="s">
        <v>166</v>
      </c>
      <c r="C345" s="821">
        <v>300.0</v>
      </c>
      <c r="D345" s="260">
        <v>1700.0</v>
      </c>
      <c r="E345" s="823" t="s">
        <v>6620</v>
      </c>
      <c r="F345" s="260" t="s">
        <v>6572</v>
      </c>
      <c r="G345" s="260">
        <v>2.0</v>
      </c>
      <c r="H345" s="260">
        <v>4.0</v>
      </c>
      <c r="I345" s="822">
        <v>3.9</v>
      </c>
      <c r="J345" s="822" t="s">
        <v>166</v>
      </c>
      <c r="K345" s="823">
        <v>2.5</v>
      </c>
      <c r="L345" s="823">
        <v>6.0</v>
      </c>
      <c r="M345" s="823" t="s">
        <v>6573</v>
      </c>
      <c r="N345" s="260" t="s">
        <v>6574</v>
      </c>
      <c r="O345" s="823" t="s">
        <v>6575</v>
      </c>
      <c r="P345" s="260">
        <v>4800.0</v>
      </c>
      <c r="Q345" s="260">
        <v>46.0</v>
      </c>
      <c r="R345" s="260" t="s">
        <v>166</v>
      </c>
      <c r="S345" s="824">
        <v>82.0</v>
      </c>
      <c r="T345" s="825" t="s">
        <v>6577</v>
      </c>
      <c r="U345" s="663"/>
    </row>
    <row r="346">
      <c r="A346" s="507" t="s">
        <v>1688</v>
      </c>
      <c r="B346" s="663" t="s">
        <v>6527</v>
      </c>
      <c r="C346" s="821" t="s">
        <v>6621</v>
      </c>
      <c r="D346" s="260">
        <v>1700.0</v>
      </c>
      <c r="E346" s="823" t="s">
        <v>6620</v>
      </c>
      <c r="F346" s="260" t="s">
        <v>6572</v>
      </c>
      <c r="G346" s="260">
        <v>4.0</v>
      </c>
      <c r="H346" s="260">
        <v>8.0</v>
      </c>
      <c r="I346" s="822">
        <v>2.7</v>
      </c>
      <c r="J346" s="822">
        <v>4.4</v>
      </c>
      <c r="K346" s="823">
        <v>5.0</v>
      </c>
      <c r="L346" s="823">
        <v>12.0</v>
      </c>
      <c r="M346" s="823" t="s">
        <v>6573</v>
      </c>
      <c r="N346" s="260" t="s">
        <v>6555</v>
      </c>
      <c r="O346" s="823" t="s">
        <v>6575</v>
      </c>
      <c r="P346" s="260">
        <v>4800.0</v>
      </c>
      <c r="Q346" s="260">
        <v>35.0</v>
      </c>
      <c r="R346" s="260" t="s">
        <v>166</v>
      </c>
      <c r="S346" s="824">
        <v>134.0</v>
      </c>
      <c r="T346" s="825" t="s">
        <v>166</v>
      </c>
      <c r="U346" s="663" t="s">
        <v>6423</v>
      </c>
    </row>
    <row r="347">
      <c r="A347" s="507" t="s">
        <v>1688</v>
      </c>
      <c r="B347" s="663" t="s">
        <v>6527</v>
      </c>
      <c r="C347" s="821" t="s">
        <v>6622</v>
      </c>
      <c r="D347" s="260">
        <v>1700.0</v>
      </c>
      <c r="E347" s="823" t="s">
        <v>6620</v>
      </c>
      <c r="F347" s="260" t="s">
        <v>6572</v>
      </c>
      <c r="G347" s="260">
        <v>4.0</v>
      </c>
      <c r="H347" s="260">
        <v>8.0</v>
      </c>
      <c r="I347" s="822">
        <v>3.5</v>
      </c>
      <c r="J347" s="822">
        <v>4.7</v>
      </c>
      <c r="K347" s="823">
        <v>5.0</v>
      </c>
      <c r="L347" s="823">
        <v>12.0</v>
      </c>
      <c r="M347" s="823" t="s">
        <v>6573</v>
      </c>
      <c r="N347" s="260" t="s">
        <v>166</v>
      </c>
      <c r="O347" s="823" t="s">
        <v>6575</v>
      </c>
      <c r="P347" s="260">
        <v>4800.0</v>
      </c>
      <c r="Q347" s="260">
        <v>58.0</v>
      </c>
      <c r="R347" s="260" t="s">
        <v>166</v>
      </c>
      <c r="S347" s="824">
        <v>109.0</v>
      </c>
      <c r="T347" s="825" t="s">
        <v>6582</v>
      </c>
      <c r="U347" s="663"/>
    </row>
    <row r="348">
      <c r="A348" s="507" t="s">
        <v>1688</v>
      </c>
      <c r="B348" s="663" t="s">
        <v>6527</v>
      </c>
      <c r="C348" s="821">
        <v>14100.0</v>
      </c>
      <c r="D348" s="260">
        <v>1700.0</v>
      </c>
      <c r="E348" s="823" t="s">
        <v>6620</v>
      </c>
      <c r="F348" s="260" t="s">
        <v>6572</v>
      </c>
      <c r="G348" s="260">
        <v>4.0</v>
      </c>
      <c r="H348" s="260">
        <v>8.0</v>
      </c>
      <c r="I348" s="822">
        <v>3.5</v>
      </c>
      <c r="J348" s="822">
        <v>4.7</v>
      </c>
      <c r="K348" s="823">
        <v>5.0</v>
      </c>
      <c r="L348" s="823">
        <v>12.0</v>
      </c>
      <c r="M348" s="823" t="s">
        <v>6573</v>
      </c>
      <c r="N348" s="260" t="s">
        <v>6555</v>
      </c>
      <c r="O348" s="823" t="s">
        <v>6575</v>
      </c>
      <c r="P348" s="260">
        <v>4800.0</v>
      </c>
      <c r="Q348" s="260">
        <v>60.0</v>
      </c>
      <c r="R348" s="260" t="s">
        <v>166</v>
      </c>
      <c r="S348" s="824">
        <v>134.0</v>
      </c>
      <c r="T348" s="825" t="s">
        <v>6582</v>
      </c>
      <c r="U348" s="663"/>
    </row>
    <row r="349">
      <c r="A349" s="507" t="s">
        <v>1688</v>
      </c>
      <c r="B349" s="663" t="s">
        <v>6528</v>
      </c>
      <c r="C349" s="821" t="s">
        <v>6623</v>
      </c>
      <c r="D349" s="260">
        <v>1700.0</v>
      </c>
      <c r="E349" s="823" t="s">
        <v>6620</v>
      </c>
      <c r="F349" s="260" t="s">
        <v>6572</v>
      </c>
      <c r="G349" s="260">
        <v>10.0</v>
      </c>
      <c r="H349" s="260">
        <v>16.0</v>
      </c>
      <c r="I349" s="822">
        <v>1.1</v>
      </c>
      <c r="J349" s="822">
        <v>4.5</v>
      </c>
      <c r="K349" s="823">
        <v>9.5</v>
      </c>
      <c r="L349" s="823">
        <v>20.0</v>
      </c>
      <c r="M349" s="823" t="s">
        <v>6573</v>
      </c>
      <c r="N349" s="260" t="s">
        <v>6555</v>
      </c>
      <c r="O349" s="823" t="s">
        <v>6575</v>
      </c>
      <c r="P349" s="260">
        <v>4800.0</v>
      </c>
      <c r="Q349" s="260">
        <v>35.0</v>
      </c>
      <c r="R349" s="260" t="s">
        <v>166</v>
      </c>
      <c r="S349" s="824">
        <v>221.0</v>
      </c>
      <c r="T349" s="825" t="s">
        <v>166</v>
      </c>
      <c r="U349" s="663" t="s">
        <v>6423</v>
      </c>
    </row>
    <row r="350">
      <c r="A350" s="507" t="s">
        <v>1688</v>
      </c>
      <c r="B350" s="663" t="s">
        <v>6528</v>
      </c>
      <c r="C350" s="821" t="s">
        <v>6624</v>
      </c>
      <c r="D350" s="260">
        <v>1700.0</v>
      </c>
      <c r="E350" s="823" t="s">
        <v>6620</v>
      </c>
      <c r="F350" s="260" t="s">
        <v>6572</v>
      </c>
      <c r="G350" s="260">
        <v>10.0</v>
      </c>
      <c r="H350" s="260">
        <v>16.0</v>
      </c>
      <c r="I350" s="822">
        <v>1.8</v>
      </c>
      <c r="J350" s="822">
        <v>4.7</v>
      </c>
      <c r="K350" s="823">
        <v>9.5</v>
      </c>
      <c r="L350" s="823">
        <v>20.0</v>
      </c>
      <c r="M350" s="823" t="s">
        <v>6573</v>
      </c>
      <c r="N350" s="260" t="s">
        <v>166</v>
      </c>
      <c r="O350" s="823" t="s">
        <v>6575</v>
      </c>
      <c r="P350" s="260">
        <v>4800.0</v>
      </c>
      <c r="Q350" s="260">
        <v>65.0</v>
      </c>
      <c r="R350" s="260" t="s">
        <v>166</v>
      </c>
      <c r="S350" s="824">
        <v>196.0</v>
      </c>
      <c r="T350" s="825" t="s">
        <v>6582</v>
      </c>
      <c r="U350" s="663"/>
    </row>
    <row r="351">
      <c r="A351" s="507" t="s">
        <v>1688</v>
      </c>
      <c r="B351" s="663" t="s">
        <v>6528</v>
      </c>
      <c r="C351" s="821">
        <v>14400.0</v>
      </c>
      <c r="D351" s="260">
        <v>1700.0</v>
      </c>
      <c r="E351" s="823" t="s">
        <v>6620</v>
      </c>
      <c r="F351" s="260" t="s">
        <v>6572</v>
      </c>
      <c r="G351" s="260">
        <v>10.0</v>
      </c>
      <c r="H351" s="260">
        <v>16.0</v>
      </c>
      <c r="I351" s="822">
        <v>1.8</v>
      </c>
      <c r="J351" s="822">
        <v>4.7</v>
      </c>
      <c r="K351" s="823">
        <v>9.5</v>
      </c>
      <c r="L351" s="823">
        <v>20.0</v>
      </c>
      <c r="M351" s="823" t="s">
        <v>6573</v>
      </c>
      <c r="N351" s="260" t="s">
        <v>6555</v>
      </c>
      <c r="O351" s="823" t="s">
        <v>6575</v>
      </c>
      <c r="P351" s="260">
        <v>4800.0</v>
      </c>
      <c r="Q351" s="260">
        <v>65.0</v>
      </c>
      <c r="R351" s="260" t="s">
        <v>166</v>
      </c>
      <c r="S351" s="824">
        <v>221.0</v>
      </c>
      <c r="T351" s="825" t="s">
        <v>6582</v>
      </c>
      <c r="U351" s="663"/>
    </row>
    <row r="352">
      <c r="A352" s="507" t="s">
        <v>1688</v>
      </c>
      <c r="B352" s="663" t="s">
        <v>6528</v>
      </c>
      <c r="C352" s="821" t="s">
        <v>6625</v>
      </c>
      <c r="D352" s="260">
        <v>1700.0</v>
      </c>
      <c r="E352" s="823" t="s">
        <v>6620</v>
      </c>
      <c r="F352" s="260" t="s">
        <v>6572</v>
      </c>
      <c r="G352" s="260">
        <v>14.0</v>
      </c>
      <c r="H352" s="260">
        <v>20.0</v>
      </c>
      <c r="I352" s="822">
        <v>1.2</v>
      </c>
      <c r="J352" s="822">
        <v>4.8</v>
      </c>
      <c r="K352" s="823">
        <v>20.0</v>
      </c>
      <c r="L352" s="823">
        <v>24.0</v>
      </c>
      <c r="M352" s="823" t="s">
        <v>6573</v>
      </c>
      <c r="N352" s="260" t="s">
        <v>6587</v>
      </c>
      <c r="O352" s="823" t="s">
        <v>6575</v>
      </c>
      <c r="P352" s="260">
        <v>4800.0</v>
      </c>
      <c r="Q352" s="260">
        <v>35.0</v>
      </c>
      <c r="R352" s="260" t="s">
        <v>166</v>
      </c>
      <c r="S352" s="824">
        <v>232.0</v>
      </c>
      <c r="T352" s="825" t="s">
        <v>166</v>
      </c>
      <c r="U352" s="663" t="s">
        <v>6423</v>
      </c>
    </row>
    <row r="353">
      <c r="A353" s="507" t="s">
        <v>1688</v>
      </c>
      <c r="B353" s="663" t="s">
        <v>6528</v>
      </c>
      <c r="C353" s="821">
        <v>14500.0</v>
      </c>
      <c r="D353" s="260">
        <v>1700.0</v>
      </c>
      <c r="E353" s="823" t="s">
        <v>6620</v>
      </c>
      <c r="F353" s="260" t="s">
        <v>6572</v>
      </c>
      <c r="G353" s="260">
        <v>14.0</v>
      </c>
      <c r="H353" s="260">
        <v>20.0</v>
      </c>
      <c r="I353" s="822">
        <v>1.9</v>
      </c>
      <c r="J353" s="822">
        <v>5.0</v>
      </c>
      <c r="K353" s="823">
        <v>20.0</v>
      </c>
      <c r="L353" s="823">
        <v>24.0</v>
      </c>
      <c r="M353" s="823" t="s">
        <v>6573</v>
      </c>
      <c r="N353" s="260" t="s">
        <v>6587</v>
      </c>
      <c r="O353" s="823" t="s">
        <v>6575</v>
      </c>
      <c r="P353" s="260">
        <v>4800.0</v>
      </c>
      <c r="Q353" s="260">
        <v>65.0</v>
      </c>
      <c r="R353" s="260" t="s">
        <v>166</v>
      </c>
      <c r="S353" s="824">
        <v>232.0</v>
      </c>
      <c r="T353" s="825" t="s">
        <v>6582</v>
      </c>
      <c r="U353" s="663"/>
    </row>
    <row r="354">
      <c r="A354" s="507" t="s">
        <v>1688</v>
      </c>
      <c r="B354" s="663" t="s">
        <v>6528</v>
      </c>
      <c r="C354" s="821" t="s">
        <v>6626</v>
      </c>
      <c r="D354" s="260">
        <v>1700.0</v>
      </c>
      <c r="E354" s="823" t="s">
        <v>6620</v>
      </c>
      <c r="F354" s="260" t="s">
        <v>6572</v>
      </c>
      <c r="G354" s="260">
        <v>14.0</v>
      </c>
      <c r="H354" s="260">
        <v>20.0</v>
      </c>
      <c r="I354" s="822">
        <v>1.3</v>
      </c>
      <c r="J354" s="822">
        <v>5.1</v>
      </c>
      <c r="K354" s="823">
        <v>20.0</v>
      </c>
      <c r="L354" s="823">
        <v>24.0</v>
      </c>
      <c r="M354" s="823" t="s">
        <v>6573</v>
      </c>
      <c r="N354" s="260" t="s">
        <v>6587</v>
      </c>
      <c r="O354" s="823" t="s">
        <v>6575</v>
      </c>
      <c r="P354" s="260">
        <v>5600.0</v>
      </c>
      <c r="Q354" s="260">
        <v>35.0</v>
      </c>
      <c r="R354" s="260" t="s">
        <v>166</v>
      </c>
      <c r="S354" s="824">
        <v>255.0</v>
      </c>
      <c r="T354" s="825" t="s">
        <v>166</v>
      </c>
      <c r="U354" s="663" t="s">
        <v>6423</v>
      </c>
    </row>
    <row r="355">
      <c r="A355" s="507" t="s">
        <v>1688</v>
      </c>
      <c r="B355" s="663" t="s">
        <v>6528</v>
      </c>
      <c r="C355" s="821">
        <v>14600.0</v>
      </c>
      <c r="D355" s="260">
        <v>1700.0</v>
      </c>
      <c r="E355" s="823" t="s">
        <v>6620</v>
      </c>
      <c r="F355" s="260" t="s">
        <v>6572</v>
      </c>
      <c r="G355" s="260">
        <v>14.0</v>
      </c>
      <c r="H355" s="260">
        <v>20.0</v>
      </c>
      <c r="I355" s="822">
        <v>2.0</v>
      </c>
      <c r="J355" s="822">
        <v>5.2</v>
      </c>
      <c r="K355" s="823">
        <v>20.0</v>
      </c>
      <c r="L355" s="823">
        <v>24.0</v>
      </c>
      <c r="M355" s="823" t="s">
        <v>6573</v>
      </c>
      <c r="N355" s="260" t="s">
        <v>6587</v>
      </c>
      <c r="O355" s="823" t="s">
        <v>6575</v>
      </c>
      <c r="P355" s="260">
        <v>5600.0</v>
      </c>
      <c r="Q355" s="260">
        <v>65.0</v>
      </c>
      <c r="R355" s="260" t="s">
        <v>166</v>
      </c>
      <c r="S355" s="824">
        <v>255.0</v>
      </c>
      <c r="T355" s="825" t="s">
        <v>6582</v>
      </c>
      <c r="U355" s="663"/>
    </row>
    <row r="356">
      <c r="A356" s="507" t="s">
        <v>1688</v>
      </c>
      <c r="B356" s="663" t="s">
        <v>6528</v>
      </c>
      <c r="C356" s="821" t="s">
        <v>6627</v>
      </c>
      <c r="D356" s="260">
        <v>1700.0</v>
      </c>
      <c r="E356" s="823" t="s">
        <v>6620</v>
      </c>
      <c r="F356" s="260" t="s">
        <v>6572</v>
      </c>
      <c r="G356" s="260">
        <v>14.0</v>
      </c>
      <c r="H356" s="260">
        <v>20.0</v>
      </c>
      <c r="I356" s="822">
        <v>2.6</v>
      </c>
      <c r="J356" s="822">
        <v>5.3</v>
      </c>
      <c r="K356" s="823">
        <v>20.0</v>
      </c>
      <c r="L356" s="823">
        <v>24.0</v>
      </c>
      <c r="M356" s="823" t="s">
        <v>6573</v>
      </c>
      <c r="N356" s="260" t="s">
        <v>166</v>
      </c>
      <c r="O356" s="823" t="s">
        <v>6575</v>
      </c>
      <c r="P356" s="260">
        <v>5600.0</v>
      </c>
      <c r="Q356" s="260">
        <v>125.0</v>
      </c>
      <c r="R356" s="260" t="s">
        <v>174</v>
      </c>
      <c r="S356" s="824">
        <v>294.0</v>
      </c>
      <c r="T356" s="825" t="s">
        <v>166</v>
      </c>
      <c r="U356" s="663"/>
    </row>
    <row r="357">
      <c r="A357" s="507" t="s">
        <v>1688</v>
      </c>
      <c r="B357" s="663" t="s">
        <v>6528</v>
      </c>
      <c r="C357" s="821" t="s">
        <v>6628</v>
      </c>
      <c r="D357" s="260">
        <v>1700.0</v>
      </c>
      <c r="E357" s="823" t="s">
        <v>6620</v>
      </c>
      <c r="F357" s="260" t="s">
        <v>6572</v>
      </c>
      <c r="G357" s="260">
        <v>14.0</v>
      </c>
      <c r="H357" s="260">
        <v>20.0</v>
      </c>
      <c r="I357" s="822">
        <v>2.6</v>
      </c>
      <c r="J357" s="822">
        <v>5.3</v>
      </c>
      <c r="K357" s="823">
        <v>20.0</v>
      </c>
      <c r="L357" s="823">
        <v>24.0</v>
      </c>
      <c r="M357" s="823" t="s">
        <v>6573</v>
      </c>
      <c r="N357" s="260" t="s">
        <v>6587</v>
      </c>
      <c r="O357" s="823" t="s">
        <v>6575</v>
      </c>
      <c r="P357" s="260">
        <v>5600.0</v>
      </c>
      <c r="Q357" s="260">
        <v>125.0</v>
      </c>
      <c r="R357" s="260" t="s">
        <v>174</v>
      </c>
      <c r="S357" s="824">
        <v>319.0</v>
      </c>
      <c r="T357" s="825" t="s">
        <v>166</v>
      </c>
      <c r="U357" s="663"/>
    </row>
    <row r="358">
      <c r="A358" s="507" t="s">
        <v>1688</v>
      </c>
      <c r="B358" s="663" t="s">
        <v>6529</v>
      </c>
      <c r="C358" s="821" t="s">
        <v>6629</v>
      </c>
      <c r="D358" s="260">
        <v>1700.0</v>
      </c>
      <c r="E358" s="823" t="s">
        <v>6620</v>
      </c>
      <c r="F358" s="260" t="s">
        <v>6572</v>
      </c>
      <c r="G358" s="260">
        <v>20.0</v>
      </c>
      <c r="H358" s="260">
        <v>28.0</v>
      </c>
      <c r="I358" s="822">
        <v>0.9</v>
      </c>
      <c r="J358" s="822">
        <v>5.2</v>
      </c>
      <c r="K358" s="823">
        <v>28.0</v>
      </c>
      <c r="L358" s="823">
        <v>33.0</v>
      </c>
      <c r="M358" s="823" t="s">
        <v>6573</v>
      </c>
      <c r="N358" s="260" t="s">
        <v>6587</v>
      </c>
      <c r="O358" s="823" t="s">
        <v>6575</v>
      </c>
      <c r="P358" s="260">
        <v>5600.0</v>
      </c>
      <c r="Q358" s="260">
        <v>35.0</v>
      </c>
      <c r="R358" s="260" t="s">
        <v>166</v>
      </c>
      <c r="S358" s="824">
        <v>384.0</v>
      </c>
      <c r="T358" s="825" t="s">
        <v>166</v>
      </c>
      <c r="U358" s="663" t="s">
        <v>6423</v>
      </c>
    </row>
    <row r="359">
      <c r="A359" s="507" t="s">
        <v>1688</v>
      </c>
      <c r="B359" s="663" t="s">
        <v>6529</v>
      </c>
      <c r="C359" s="821" t="s">
        <v>6630</v>
      </c>
      <c r="D359" s="260">
        <v>1700.0</v>
      </c>
      <c r="E359" s="823" t="s">
        <v>6620</v>
      </c>
      <c r="F359" s="260" t="s">
        <v>6572</v>
      </c>
      <c r="G359" s="260">
        <v>20.0</v>
      </c>
      <c r="H359" s="260">
        <v>28.0</v>
      </c>
      <c r="I359" s="822">
        <v>1.5</v>
      </c>
      <c r="J359" s="822">
        <v>5.4</v>
      </c>
      <c r="K359" s="823">
        <v>28.0</v>
      </c>
      <c r="L359" s="823">
        <v>33.0</v>
      </c>
      <c r="M359" s="823" t="s">
        <v>6573</v>
      </c>
      <c r="N359" s="260" t="s">
        <v>166</v>
      </c>
      <c r="O359" s="823" t="s">
        <v>6575</v>
      </c>
      <c r="P359" s="260">
        <v>5600.0</v>
      </c>
      <c r="Q359" s="260">
        <v>65.0</v>
      </c>
      <c r="R359" s="260" t="s">
        <v>166</v>
      </c>
      <c r="S359" s="824">
        <v>359.0</v>
      </c>
      <c r="T359" s="825" t="s">
        <v>6582</v>
      </c>
      <c r="U359" s="663"/>
    </row>
    <row r="360">
      <c r="A360" s="507" t="s">
        <v>1688</v>
      </c>
      <c r="B360" s="663" t="s">
        <v>6529</v>
      </c>
      <c r="C360" s="821">
        <v>14700.0</v>
      </c>
      <c r="D360" s="260">
        <v>1700.0</v>
      </c>
      <c r="E360" s="823" t="s">
        <v>6620</v>
      </c>
      <c r="F360" s="260" t="s">
        <v>6572</v>
      </c>
      <c r="G360" s="260">
        <v>20.0</v>
      </c>
      <c r="H360" s="260">
        <v>28.0</v>
      </c>
      <c r="I360" s="822">
        <v>1.5</v>
      </c>
      <c r="J360" s="822">
        <v>5.4</v>
      </c>
      <c r="K360" s="823">
        <v>28.0</v>
      </c>
      <c r="L360" s="823">
        <v>33.0</v>
      </c>
      <c r="M360" s="823" t="s">
        <v>6573</v>
      </c>
      <c r="N360" s="260" t="s">
        <v>6587</v>
      </c>
      <c r="O360" s="823" t="s">
        <v>6575</v>
      </c>
      <c r="P360" s="260">
        <v>5600.0</v>
      </c>
      <c r="Q360" s="260">
        <v>65.0</v>
      </c>
      <c r="R360" s="260" t="s">
        <v>166</v>
      </c>
      <c r="S360" s="824">
        <v>384.0</v>
      </c>
      <c r="T360" s="825" t="s">
        <v>6582</v>
      </c>
      <c r="U360" s="663"/>
    </row>
    <row r="361">
      <c r="A361" s="507" t="s">
        <v>1688</v>
      </c>
      <c r="B361" s="663" t="s">
        <v>6529</v>
      </c>
      <c r="C361" s="821" t="s">
        <v>6631</v>
      </c>
      <c r="D361" s="260">
        <v>1700.0</v>
      </c>
      <c r="E361" s="823" t="s">
        <v>6620</v>
      </c>
      <c r="F361" s="260" t="s">
        <v>6572</v>
      </c>
      <c r="G361" s="260">
        <v>20.0</v>
      </c>
      <c r="H361" s="260">
        <v>28.0</v>
      </c>
      <c r="I361" s="822">
        <v>2.5</v>
      </c>
      <c r="J361" s="822">
        <v>5.6</v>
      </c>
      <c r="K361" s="823">
        <v>28.0</v>
      </c>
      <c r="L361" s="823">
        <v>33.0</v>
      </c>
      <c r="M361" s="823" t="s">
        <v>6573</v>
      </c>
      <c r="N361" s="260" t="s">
        <v>166</v>
      </c>
      <c r="O361" s="823" t="s">
        <v>6575</v>
      </c>
      <c r="P361" s="260">
        <v>5600.0</v>
      </c>
      <c r="Q361" s="260">
        <v>125.0</v>
      </c>
      <c r="R361" s="260" t="s">
        <v>174</v>
      </c>
      <c r="S361" s="824">
        <v>384.0</v>
      </c>
      <c r="T361" s="825" t="s">
        <v>166</v>
      </c>
      <c r="U361" s="663"/>
    </row>
    <row r="362">
      <c r="A362" s="507" t="s">
        <v>1688</v>
      </c>
      <c r="B362" s="663" t="s">
        <v>6529</v>
      </c>
      <c r="C362" s="821" t="s">
        <v>6632</v>
      </c>
      <c r="D362" s="260">
        <v>1700.0</v>
      </c>
      <c r="E362" s="823" t="s">
        <v>6620</v>
      </c>
      <c r="F362" s="260" t="s">
        <v>6572</v>
      </c>
      <c r="G362" s="260">
        <v>20.0</v>
      </c>
      <c r="H362" s="260">
        <v>28.0</v>
      </c>
      <c r="I362" s="822">
        <v>2.5</v>
      </c>
      <c r="J362" s="822">
        <v>5.6</v>
      </c>
      <c r="K362" s="823">
        <v>28.0</v>
      </c>
      <c r="L362" s="823">
        <v>33.0</v>
      </c>
      <c r="M362" s="823" t="s">
        <v>6573</v>
      </c>
      <c r="N362" s="260" t="s">
        <v>6587</v>
      </c>
      <c r="O362" s="823" t="s">
        <v>6575</v>
      </c>
      <c r="P362" s="260">
        <v>5600.0</v>
      </c>
      <c r="Q362" s="260">
        <v>125.0</v>
      </c>
      <c r="R362" s="260" t="s">
        <v>174</v>
      </c>
      <c r="S362" s="824">
        <v>409.0</v>
      </c>
      <c r="T362" s="825" t="s">
        <v>166</v>
      </c>
      <c r="U362" s="663"/>
    </row>
    <row r="363">
      <c r="A363" s="507" t="s">
        <v>1688</v>
      </c>
      <c r="B363" s="663" t="s">
        <v>6538</v>
      </c>
      <c r="C363" s="821" t="s">
        <v>6633</v>
      </c>
      <c r="D363" s="260">
        <v>1700.0</v>
      </c>
      <c r="E363" s="823" t="s">
        <v>6620</v>
      </c>
      <c r="F363" s="260" t="s">
        <v>6572</v>
      </c>
      <c r="G363" s="260">
        <v>24.0</v>
      </c>
      <c r="H363" s="260">
        <v>32.0</v>
      </c>
      <c r="I363" s="822">
        <v>0.8</v>
      </c>
      <c r="J363" s="822">
        <v>5.5</v>
      </c>
      <c r="K363" s="823">
        <v>32.0</v>
      </c>
      <c r="L363" s="823">
        <v>36.0</v>
      </c>
      <c r="M363" s="823" t="s">
        <v>6573</v>
      </c>
      <c r="N363" s="260" t="s">
        <v>6587</v>
      </c>
      <c r="O363" s="823" t="s">
        <v>6575</v>
      </c>
      <c r="P363" s="260">
        <v>5600.0</v>
      </c>
      <c r="Q363" s="260">
        <v>35.0</v>
      </c>
      <c r="R363" s="260" t="s">
        <v>166</v>
      </c>
      <c r="S363" s="824">
        <v>549.0</v>
      </c>
      <c r="T363" s="825" t="s">
        <v>166</v>
      </c>
      <c r="U363" s="663" t="s">
        <v>6423</v>
      </c>
    </row>
    <row r="364">
      <c r="A364" s="507" t="s">
        <v>1688</v>
      </c>
      <c r="B364" s="663" t="s">
        <v>6538</v>
      </c>
      <c r="C364" s="821" t="s">
        <v>6634</v>
      </c>
      <c r="D364" s="260">
        <v>1700.0</v>
      </c>
      <c r="E364" s="823" t="s">
        <v>6620</v>
      </c>
      <c r="F364" s="260" t="s">
        <v>6572</v>
      </c>
      <c r="G364" s="260">
        <v>24.0</v>
      </c>
      <c r="H364" s="260">
        <v>32.0</v>
      </c>
      <c r="I364" s="822">
        <v>1.5</v>
      </c>
      <c r="J364" s="822">
        <v>5.8</v>
      </c>
      <c r="K364" s="823">
        <v>32.0</v>
      </c>
      <c r="L364" s="823">
        <v>36.0</v>
      </c>
      <c r="M364" s="823" t="s">
        <v>6573</v>
      </c>
      <c r="N364" s="260" t="s">
        <v>166</v>
      </c>
      <c r="O364" s="823" t="s">
        <v>6575</v>
      </c>
      <c r="P364" s="260">
        <v>5600.0</v>
      </c>
      <c r="Q364" s="260">
        <v>65.0</v>
      </c>
      <c r="R364" s="260" t="s">
        <v>166</v>
      </c>
      <c r="S364" s="824">
        <v>524.0</v>
      </c>
      <c r="T364" s="825" t="s">
        <v>6597</v>
      </c>
      <c r="U364" s="663"/>
    </row>
    <row r="365">
      <c r="A365" s="507" t="s">
        <v>1688</v>
      </c>
      <c r="B365" s="663" t="s">
        <v>6538</v>
      </c>
      <c r="C365" s="821">
        <v>14900.0</v>
      </c>
      <c r="D365" s="260">
        <v>1700.0</v>
      </c>
      <c r="E365" s="823" t="s">
        <v>6620</v>
      </c>
      <c r="F365" s="260" t="s">
        <v>6572</v>
      </c>
      <c r="G365" s="260">
        <v>24.0</v>
      </c>
      <c r="H365" s="260">
        <v>32.0</v>
      </c>
      <c r="I365" s="822">
        <v>1.5</v>
      </c>
      <c r="J365" s="822">
        <v>5.8</v>
      </c>
      <c r="K365" s="823">
        <v>32.0</v>
      </c>
      <c r="L365" s="823">
        <v>36.0</v>
      </c>
      <c r="M365" s="823" t="s">
        <v>6573</v>
      </c>
      <c r="N365" s="260" t="s">
        <v>6587</v>
      </c>
      <c r="O365" s="823" t="s">
        <v>6575</v>
      </c>
      <c r="P365" s="260">
        <v>5600.0</v>
      </c>
      <c r="Q365" s="260">
        <v>65.0</v>
      </c>
      <c r="R365" s="260" t="s">
        <v>166</v>
      </c>
      <c r="S365" s="824">
        <v>549.0</v>
      </c>
      <c r="T365" s="825" t="s">
        <v>6597</v>
      </c>
      <c r="U365" s="663"/>
    </row>
    <row r="366">
      <c r="A366" s="507" t="s">
        <v>1688</v>
      </c>
      <c r="B366" s="663" t="s">
        <v>6538</v>
      </c>
      <c r="C366" s="821" t="s">
        <v>6635</v>
      </c>
      <c r="D366" s="260">
        <v>1700.0</v>
      </c>
      <c r="E366" s="823" t="s">
        <v>6620</v>
      </c>
      <c r="F366" s="260" t="s">
        <v>6572</v>
      </c>
      <c r="G366" s="260">
        <v>24.0</v>
      </c>
      <c r="H366" s="260">
        <v>32.0</v>
      </c>
      <c r="I366" s="822">
        <v>2.4</v>
      </c>
      <c r="J366" s="822">
        <v>6.0</v>
      </c>
      <c r="K366" s="823">
        <v>32.0</v>
      </c>
      <c r="L366" s="823">
        <v>36.0</v>
      </c>
      <c r="M366" s="823" t="s">
        <v>6573</v>
      </c>
      <c r="N366" s="260" t="s">
        <v>166</v>
      </c>
      <c r="O366" s="823" t="s">
        <v>6575</v>
      </c>
      <c r="P366" s="260">
        <v>5600.0</v>
      </c>
      <c r="Q366" s="260">
        <v>125.0</v>
      </c>
      <c r="R366" s="260" t="s">
        <v>174</v>
      </c>
      <c r="S366" s="824">
        <v>564.0</v>
      </c>
      <c r="T366" s="825" t="s">
        <v>166</v>
      </c>
      <c r="U366" s="663"/>
    </row>
    <row r="367">
      <c r="A367" s="507" t="s">
        <v>1688</v>
      </c>
      <c r="B367" s="663" t="s">
        <v>6538</v>
      </c>
      <c r="C367" s="821" t="s">
        <v>6636</v>
      </c>
      <c r="D367" s="260">
        <v>1700.0</v>
      </c>
      <c r="E367" s="823" t="s">
        <v>6620</v>
      </c>
      <c r="F367" s="260" t="s">
        <v>6572</v>
      </c>
      <c r="G367" s="260">
        <v>24.0</v>
      </c>
      <c r="H367" s="260">
        <v>32.0</v>
      </c>
      <c r="I367" s="822">
        <v>2.4</v>
      </c>
      <c r="J367" s="822">
        <v>6.0</v>
      </c>
      <c r="K367" s="823">
        <v>32.0</v>
      </c>
      <c r="L367" s="823">
        <v>36.0</v>
      </c>
      <c r="M367" s="823" t="s">
        <v>6573</v>
      </c>
      <c r="N367" s="260" t="s">
        <v>6587</v>
      </c>
      <c r="O367" s="823" t="s">
        <v>6575</v>
      </c>
      <c r="P367" s="260">
        <v>5600.0</v>
      </c>
      <c r="Q367" s="260">
        <v>125.0</v>
      </c>
      <c r="R367" s="260" t="s">
        <v>174</v>
      </c>
      <c r="S367" s="824">
        <v>589.0</v>
      </c>
      <c r="T367" s="825" t="s">
        <v>166</v>
      </c>
      <c r="U367" s="663"/>
    </row>
    <row r="368">
      <c r="A368" s="507" t="s">
        <v>1688</v>
      </c>
      <c r="B368" s="663" t="s">
        <v>6538</v>
      </c>
      <c r="C368" s="821" t="s">
        <v>6637</v>
      </c>
      <c r="D368" s="260">
        <v>1700.0</v>
      </c>
      <c r="E368" s="823" t="s">
        <v>6620</v>
      </c>
      <c r="F368" s="260" t="s">
        <v>6572</v>
      </c>
      <c r="G368" s="260">
        <v>24.0</v>
      </c>
      <c r="H368" s="260">
        <v>32.0</v>
      </c>
      <c r="I368" s="822">
        <v>2.4</v>
      </c>
      <c r="J368" s="822">
        <v>6.2</v>
      </c>
      <c r="K368" s="823">
        <v>32.0</v>
      </c>
      <c r="L368" s="823">
        <v>36.0</v>
      </c>
      <c r="M368" s="823" t="s">
        <v>6573</v>
      </c>
      <c r="N368" s="260" t="s">
        <v>6587</v>
      </c>
      <c r="O368" s="823" t="s">
        <v>6575</v>
      </c>
      <c r="P368" s="260">
        <v>5600.0</v>
      </c>
      <c r="Q368" s="260">
        <v>150.0</v>
      </c>
      <c r="R368" s="260" t="s">
        <v>174</v>
      </c>
      <c r="S368" s="824">
        <v>689.0</v>
      </c>
      <c r="T368" s="825" t="s">
        <v>166</v>
      </c>
      <c r="U368" s="663"/>
    </row>
  </sheetData>
  <autoFilter ref="$A$1:$U$368"/>
  <customSheetViews>
    <customSheetView guid="{1C6A4A3E-395C-4EBC-BBBB-5101896F2832}" filter="1" showAutoFilter="1">
      <autoFilter ref="$A$1:$U$368">
        <filterColumn colId="0">
          <filters>
            <filter val="AMD"/>
          </filters>
        </filterColumn>
        <filterColumn colId="2">
          <filters>
            <filter val="G5600T"/>
            <filter val="7320"/>
            <filter val="G6400"/>
            <filter val="9900X"/>
            <filter val="9900KF"/>
            <filter val="9500"/>
            <filter val="9900T"/>
            <filter val="13900F"/>
            <filter val="G3930"/>
            <filter val="G6405"/>
            <filter val="G4900"/>
            <filter val="12700KF"/>
            <filter val="13900K"/>
            <filter val="9900K"/>
            <filter val="11600T"/>
            <filter val="13900T"/>
            <filter val="11500"/>
            <filter val="11600K"/>
            <filter val="11900KF"/>
            <filter val="3950X"/>
            <filter val="8300"/>
            <filter val="3900XT"/>
            <filter val="10305T"/>
            <filter val="12700K"/>
            <filter val="6500T"/>
            <filter val="7100T"/>
            <filter val="14100"/>
            <filter val="14700KF"/>
            <filter val="12700F"/>
            <filter val="12700T"/>
            <filter val="10850K"/>
            <filter val="7600K"/>
            <filter val="3000G"/>
            <filter val="10305"/>
            <filter val="13400F"/>
            <filter val="14500T"/>
            <filter val="7600T"/>
            <filter val="G7400T"/>
            <filter val="7600X"/>
            <filter val="14900"/>
            <filter val="10300"/>
            <filter val="8086K"/>
            <filter val="12600"/>
            <filter val="8300G"/>
            <filter val="9400"/>
            <filter val="7100"/>
            <filter val="10700KF"/>
            <filter val="13100"/>
            <filter val="10900T"/>
            <filter val="13400T"/>
            <filter val="G3950"/>
            <filter val="3350G"/>
            <filter val="7700K"/>
            <filter val="G4920"/>
            <filter val="10900K"/>
            <filter val="10900F"/>
            <filter val="3500X"/>
            <filter val="7900X3D"/>
            <filter val="G4500T"/>
            <filter val="12100T"/>
            <filter val="7700T"/>
            <filter val="8300T"/>
            <filter val="G3900T"/>
            <filter val="7700X"/>
            <filter val="13900"/>
            <filter val="11600"/>
            <filter val="13900KF"/>
            <filter val="9400T"/>
            <filter val="3200GE"/>
            <filter val="12100F"/>
            <filter val="10400T"/>
            <filter val="G7400"/>
            <filter val="G4930"/>
            <filter val="G5900"/>
            <filter val="10400F"/>
            <filter val="14600K"/>
            <filter val="13900KS"/>
            <filter val="9400F"/>
            <filter val="G5905"/>
            <filter val="11500T"/>
            <filter val="7900"/>
            <filter val="10400"/>
            <filter val="12700"/>
            <filter val="9300"/>
            <filter val="14900K"/>
            <filter val="9500T"/>
            <filter val="14900F"/>
            <filter val="6600T"/>
            <filter val="14900T"/>
            <filter val="9500F"/>
            <filter val="12300T"/>
            <filter val="6700"/>
            <filter val="6600K"/>
            <filter val="11700"/>
            <filter val="3400G"/>
            <filter val="8100"/>
            <filter val="G4950"/>
            <filter val="10600T"/>
            <filter val="11700F"/>
            <filter val="14400F"/>
            <filter val="G5920"/>
            <filter val="G5925"/>
            <filter val="10600K"/>
            <filter val="10505"/>
            <filter val="11700T"/>
            <filter val="G4600T"/>
            <filter val="6100T"/>
            <filter val="11700K"/>
            <filter val="10500"/>
            <filter val="9950X"/>
            <filter val="9320"/>
            <filter val="10500T"/>
            <filter val="3100"/>
            <filter val="G4600"/>
            <filter val="G6900"/>
            <filter val="G4560T"/>
            <filter val="11600KF"/>
            <filter val="14400T"/>
            <filter val="3800XT"/>
            <filter val="G6400T"/>
            <filter val="14900KF"/>
            <filter val="6600"/>
            <filter val="14900KS"/>
            <filter val="3900X"/>
            <filter val="G5420T"/>
            <filter val="10600KF"/>
            <filter val="6700T"/>
            <filter val="6500"/>
            <filter val="7300T"/>
            <filter val="8400F"/>
            <filter val="G6900T"/>
            <filter val="12900"/>
            <filter val="8400T"/>
            <filter val="9900KS"/>
            <filter val="6700K"/>
            <filter val="7700"/>
            <filter val="12100"/>
            <filter val="7945"/>
            <filter val="14400"/>
            <filter val="3900"/>
            <filter val="10600"/>
            <filter val="9100"/>
            <filter val="13600T"/>
            <filter val="7600"/>
            <filter val="9100T"/>
            <filter val="13700KF"/>
            <filter val="8500G"/>
            <filter val="G4620"/>
            <filter val="10700T"/>
            <filter val="G4500"/>
            <filter val="10700K"/>
            <filter val="3150G"/>
            <filter val="12900KF"/>
            <filter val="7950X3D"/>
            <filter val="11900"/>
            <filter val="G4930T"/>
            <filter val="9100F"/>
            <filter val="13100F"/>
            <filter val="10700F"/>
            <filter val="7900X"/>
            <filter val="8350K"/>
            <filter val="9700KF"/>
            <filter val="13400"/>
            <filter val="8500T"/>
            <filter val="3300X"/>
            <filter val="8700"/>
            <filter val="13100T"/>
            <filter val="9600X"/>
            <filter val="6400"/>
            <filter val="G5600"/>
            <filter val="9600T"/>
            <filter val="10700"/>
            <filter val="9600K"/>
            <filter val="12400T"/>
            <filter val="14500"/>
            <filter val="9900"/>
            <filter val="3800X"/>
            <filter val="12900KS"/>
            <filter val="11700KF"/>
            <filter val="3400GE"/>
            <filter val="G5400T"/>
            <filter val="12400F"/>
            <filter val="9700X"/>
            <filter val="G4520"/>
            <filter val="G4400"/>
            <filter val="7500"/>
            <filter val="7400T"/>
            <filter val="7800X3D"/>
            <filter val="9700T"/>
            <filter val="10100F"/>
            <filter val="9700K"/>
            <filter val="3050GE"/>
            <filter val="13700K"/>
            <filter val="9700F"/>
            <filter val="13700F"/>
            <filter val="300T"/>
            <filter val="13500"/>
            <filter val="13700T"/>
            <filter val="12600KF"/>
            <filter val="6300"/>
            <filter val="8600"/>
            <filter val="G5900T"/>
            <filter val="12900T"/>
            <filter val="G5500"/>
            <filter val="10900KF"/>
            <filter val="6300T"/>
            <filter val="G5620"/>
            <filter val="12900K"/>
            <filter val="3200G"/>
            <filter val="300"/>
            <filter val="12900F"/>
            <filter val="G6500T"/>
            <filter val="7745"/>
            <filter val="14600"/>
            <filter val="10100T"/>
            <filter val="9350KF"/>
            <filter val="12300"/>
            <filter val="3700"/>
            <filter val="8100F"/>
            <filter val="12600K"/>
            <filter val="7400"/>
            <filter val="9700"/>
            <filter val="G6600"/>
            <filter val="13600KF"/>
            <filter val="12600T"/>
            <filter val="14100F"/>
            <filter val="G6605"/>
            <filter val="14600T"/>
            <filter val="14600KF"/>
            <filter val="8100T"/>
            <filter val="G3930T"/>
            <filter val="3700X"/>
            <filter val="13600"/>
            <filter val="6320"/>
            <filter val="8600K"/>
            <filter val="13500T"/>
            <filter val="8600G"/>
            <filter val="G5400"/>
            <filter val="8500"/>
            <filter val="11400T"/>
            <filter val="7500T"/>
            <filter val="7350K"/>
            <filter val="9600KF"/>
            <filter val="G3900"/>
            <filter val="G6405T"/>
            <filter val="10900"/>
            <filter val="3600"/>
            <filter val="7500F"/>
            <filter val="14100T"/>
            <filter val="8600T"/>
            <filter val="7645"/>
            <filter val="10300T"/>
            <filter val="12400"/>
            <filter val="10100"/>
            <filter val="10105"/>
            <filter val="14700"/>
            <filter val="9300T"/>
            <filter val="14700F"/>
            <filter val="G4560"/>
            <filter val="8700K"/>
            <filter val="14700K"/>
            <filter val="3150GE"/>
            <filter val="7300"/>
            <filter val="8700G"/>
            <filter val="6400T"/>
            <filter val="9600"/>
            <filter val="G6500"/>
            <filter val="3600XT"/>
            <filter val="8700F"/>
            <filter val="G5905T"/>
            <filter val="G6505"/>
            <filter val="G6505T"/>
            <filter val="12500T"/>
            <filter val="G4900T"/>
            <filter val="7950X"/>
            <filter val="11400F"/>
            <filter val="8700T"/>
            <filter val="11400"/>
            <filter val="13700"/>
            <filter val="6100"/>
            <filter val="G5420"/>
            <filter val="10105T"/>
            <filter val="G5500T"/>
            <filter val="8400"/>
            <filter val="11900F"/>
            <filter val="G3920"/>
            <filter val="G4400T"/>
            <filter val="11900T"/>
            <filter val="3600X"/>
            <filter val="13600K"/>
            <filter val="14700T"/>
            <filter val="3500"/>
            <filter val="10105F"/>
            <filter val="11900K"/>
            <filter val="10320"/>
            <filter val="10325"/>
            <filter val="12500"/>
          </filters>
        </filterColumn>
        <filterColumn colId="3">
          <filters>
            <filter val="1151 v2"/>
            <filter val="1700"/>
            <filter val="1200"/>
            <filter val="AM4"/>
            <filter val="1151 v1"/>
          </filters>
        </filterColumn>
      </autoFilter>
    </customSheetView>
    <customSheetView guid="{9C2496CB-94DC-4292-8B87-B78C02ADF6FE}" filter="1" showAutoFilter="1">
      <autoFilter ref="$A$1:$U$368">
        <filterColumn colId="13">
          <filters>
            <filter val="Vega 7"/>
            <filter val="Vega 8"/>
            <filter val="HD 530"/>
            <filter val="HD 630"/>
            <filter val="R780M"/>
            <filter val="R740M"/>
            <filter val="R760M"/>
            <filter val="2 CU"/>
            <filter val="UHD 630"/>
            <filter val="UHD 730"/>
            <filter val="HD 510"/>
            <filter val="UHD 610"/>
            <filter val="HD 610"/>
            <filter val="UHD 710"/>
            <filter val="Vega 3"/>
            <filter val="UHD 770"/>
            <filter val="Vega 11"/>
            <filter val="Vega 10"/>
            <filter val="Vega 6"/>
            <filter val="UHD 750"/>
          </filters>
        </filterColumn>
      </autoFilter>
    </customSheetView>
    <customSheetView guid="{C1A9329A-061E-441F-8ED5-0D8DB73EAA29}" filter="1" showAutoFilter="1">
      <autoFilter ref="$A$1:$U$368">
        <filterColumn colId="0">
          <filters>
            <filter val="AMD"/>
          </filters>
        </filterColumn>
        <filterColumn colId="2">
          <filters>
            <filter val="G5600T"/>
            <filter val="7320"/>
            <filter val="G6400"/>
            <filter val="9900X"/>
            <filter val="9900KF"/>
            <filter val="9500"/>
            <filter val="9900T"/>
            <filter val="13900F"/>
            <filter val="G3930"/>
            <filter val="G6405"/>
            <filter val="G4900"/>
            <filter val="12700KF"/>
            <filter val="13900K"/>
            <filter val="220GE"/>
            <filter val="9900K"/>
            <filter val="11600T"/>
            <filter val="13900T"/>
            <filter val="11500"/>
            <filter val="11600K"/>
            <filter val="11900KF"/>
            <filter val="2400G"/>
            <filter val="8300"/>
            <filter val="10305T"/>
            <filter val="12700K"/>
            <filter val="6500T"/>
            <filter val="7100T"/>
            <filter val="14100"/>
            <filter val="14700KF"/>
            <filter val="12700F"/>
            <filter val="12700T"/>
            <filter val="10850K"/>
            <filter val="7600K"/>
            <filter val="10305"/>
            <filter val="13400F"/>
            <filter val="14500T"/>
            <filter val="7600T"/>
            <filter val="G7400T"/>
            <filter val="7600X"/>
            <filter val="14900"/>
            <filter val="10300"/>
            <filter val="8086K"/>
            <filter val="12600"/>
            <filter val="8300G"/>
            <filter val="9400"/>
            <filter val="7100"/>
            <filter val="10700KF"/>
            <filter val="13100"/>
            <filter val="10900T"/>
            <filter val="13400T"/>
            <filter val="G3950"/>
            <filter val="7700K"/>
            <filter val="G4920"/>
            <filter val="10900K"/>
            <filter val="10900F"/>
            <filter val="7900X3D"/>
            <filter val="G4500T"/>
            <filter val="12100T"/>
            <filter val="7700T"/>
            <filter val="8300T"/>
            <filter val="G3900T"/>
            <filter val="7700X"/>
            <filter val="13900"/>
            <filter val="11600"/>
            <filter val="13900KF"/>
            <filter val="9400T"/>
            <filter val="12100F"/>
            <filter val="2400GE"/>
            <filter val="10400T"/>
            <filter val="G7400"/>
            <filter val="G4930"/>
            <filter val="G5900"/>
            <filter val="10400F"/>
            <filter val="14600K"/>
            <filter val="13900KS"/>
            <filter val="9400F"/>
            <filter val="G5905"/>
            <filter val="11500T"/>
            <filter val="7900"/>
            <filter val="10400"/>
            <filter val="12700"/>
            <filter val="9300"/>
            <filter val="14900K"/>
            <filter val="9500T"/>
            <filter val="14900F"/>
            <filter val="6600T"/>
            <filter val="14900T"/>
            <filter val="9500F"/>
            <filter val="12300T"/>
            <filter val="6700"/>
            <filter val="6600K"/>
            <filter val="11700"/>
            <filter val="8100"/>
            <filter val="G4950"/>
            <filter val="10600T"/>
            <filter val="11700F"/>
            <filter val="14400F"/>
            <filter val="G5920"/>
            <filter val="G5925"/>
            <filter val="10600K"/>
            <filter val="10505"/>
            <filter val="11700T"/>
            <filter val="G4600T"/>
            <filter val="6100T"/>
            <filter val="11700K"/>
            <filter val="10500"/>
            <filter val="9950X"/>
            <filter val="9320"/>
            <filter val="10500T"/>
            <filter val="200GE"/>
            <filter val="G4600"/>
            <filter val="G6900"/>
            <filter val="G4560T"/>
            <filter val="11600KF"/>
            <filter val="14400T"/>
            <filter val="G6400T"/>
            <filter val="14900KF"/>
            <filter val="6600"/>
            <filter val="14900KS"/>
            <filter val="G5420T"/>
            <filter val="10600KF"/>
            <filter val="2200G"/>
            <filter val="6700T"/>
            <filter val="6500"/>
            <filter val="7300T"/>
            <filter val="8400F"/>
            <filter val="G6900T"/>
            <filter val="12900"/>
            <filter val="8400T"/>
            <filter val="9900KS"/>
            <filter val="6700K"/>
            <filter val="7700"/>
            <filter val="12100"/>
            <filter val="7945"/>
            <filter val="14400"/>
            <filter val="10600"/>
            <filter val="9100"/>
            <filter val="13600T"/>
            <filter val="7600"/>
            <filter val="9100T"/>
            <filter val="13700KF"/>
            <filter val="8500G"/>
            <filter val="G4620"/>
            <filter val="10700T"/>
            <filter val="G4500"/>
            <filter val="10700K"/>
            <filter val="12900KF"/>
            <filter val="7950X3D"/>
            <filter val="11900"/>
            <filter val="2700"/>
            <filter val="G4930T"/>
            <filter val="9100F"/>
            <filter val="13100F"/>
            <filter val="10700F"/>
            <filter val="7900X"/>
            <filter val="8350K"/>
            <filter val="9700KF"/>
            <filter val="13400"/>
            <filter val="8500T"/>
            <filter val="8700"/>
            <filter val="13100T"/>
            <filter val="9600X"/>
            <filter val="6400"/>
            <filter val="2700X"/>
            <filter val="G5600"/>
            <filter val="9600T"/>
            <filter val="10700"/>
            <filter val="9600K"/>
            <filter val="2200GE"/>
            <filter val="12400T"/>
            <filter val="14500"/>
            <filter val="9900"/>
            <filter val="12900KS"/>
            <filter val="11700KF"/>
            <filter val="G5400T"/>
            <filter val="12400F"/>
            <filter val="9700X"/>
            <filter val="G4520"/>
            <filter val="G4400"/>
            <filter val="7500"/>
            <filter val="7400T"/>
            <filter val="7800X3D"/>
            <filter val="9700T"/>
            <filter val="10100F"/>
            <filter val="2600X"/>
            <filter val="9700K"/>
            <filter val="2600"/>
            <filter val="13700K"/>
            <filter val="240GE"/>
            <filter val="9700F"/>
            <filter val="13700F"/>
            <filter val="300T"/>
            <filter val="13500"/>
            <filter val="13700T"/>
            <filter val="12600KF"/>
            <filter val="6300"/>
            <filter val="8600"/>
            <filter val="G5900T"/>
            <filter val="12900T"/>
            <filter val="G5500"/>
            <filter val="10900KF"/>
            <filter val="6300T"/>
            <filter val="G5620"/>
            <filter val="12900K"/>
            <filter val="300"/>
            <filter val="12900F"/>
            <filter val="G6500T"/>
            <filter val="7745"/>
            <filter val="14600"/>
            <filter val="10100T"/>
            <filter val="9350KF"/>
            <filter val="12300"/>
            <filter val="8100F"/>
            <filter val="12600K"/>
            <filter val="7400"/>
            <filter val="9700"/>
            <filter val="G6600"/>
            <filter val="13600KF"/>
            <filter val="12600T"/>
            <filter val="14100F"/>
            <filter val="G6605"/>
            <filter val="14600T"/>
            <filter val="14600KF"/>
            <filter val="8100T"/>
            <filter val="G3930T"/>
            <filter val="13600"/>
            <filter val="6320"/>
            <filter val="8600K"/>
            <filter val="13500T"/>
            <filter val="8600G"/>
            <filter val="G5400"/>
            <filter val="8500"/>
            <filter val="11400T"/>
            <filter val="7500T"/>
            <filter val="7350K"/>
            <filter val="9600KF"/>
            <filter val="G3900"/>
            <filter val="G6405T"/>
            <filter val="10900"/>
            <filter val="7500F"/>
            <filter val="14100T"/>
            <filter val="8600T"/>
            <filter val="7645"/>
            <filter val="10300T"/>
            <filter val="12400"/>
            <filter val="10100"/>
            <filter val="10105"/>
            <filter val="14700"/>
            <filter val="9300T"/>
            <filter val="14700F"/>
            <filter val="G4560"/>
            <filter val="8700K"/>
            <filter val="14700K"/>
            <filter val="7300"/>
            <filter val="8700G"/>
            <filter val="6400T"/>
            <filter val="9600"/>
            <filter val="G6500"/>
            <filter val="8700F"/>
            <filter val="G5905T"/>
            <filter val="G6505"/>
            <filter val="G6505T"/>
            <filter val="12500T"/>
            <filter val="G4900T"/>
            <filter val="7950X"/>
            <filter val="11400F"/>
            <filter val="8700T"/>
            <filter val="11400"/>
            <filter val="13700"/>
            <filter val="6100"/>
            <filter val="G5420"/>
            <filter val="10105T"/>
            <filter val="G5500T"/>
            <filter val="8400"/>
            <filter val="11900F"/>
            <filter val="G3920"/>
            <filter val="G4400T"/>
            <filter val="11900T"/>
            <filter val="13600K"/>
            <filter val="14700T"/>
            <filter val="10105F"/>
            <filter val="11900K"/>
            <filter val="10320"/>
            <filter val="10325"/>
            <filter val="12500"/>
          </filters>
        </filterColumn>
        <filterColumn colId="3">
          <filters>
            <filter val="1151 v2"/>
            <filter val="1700"/>
            <filter val="1200"/>
            <filter val="AM4"/>
            <filter val="1151 v1"/>
          </filters>
        </filterColumn>
      </autoFilter>
    </customSheetView>
    <customSheetView guid="{677EE374-6E09-4D7E-B493-0A41E30893FA}" filter="1" showAutoFilter="1">
      <autoFilter ref="$A$1:$U$368"/>
    </customSheetView>
    <customSheetView guid="{E79474E8-932B-4082-87B0-70B3D45FCDAB}" filter="1" showAutoFilter="1">
      <autoFilter ref="$A$1:$U$368">
        <filterColumn colId="0">
          <filters>
            <filter val="Intel"/>
          </filters>
        </filterColumn>
        <filterColumn colId="4">
          <filters>
            <filter val="Zen (Summit Ridge)"/>
            <filter val="Zen 4 (Hawk Point)"/>
            <filter val="Zen 5 (Granite Ridge)"/>
            <filter val="Zen (Raven Ridge)"/>
            <filter val="Zen 2 (Renoir)"/>
            <filter val="Zen+ (Pinnacle Ridge)"/>
            <filter val="Alder Lake S"/>
            <filter val="Zen+ (Picasso)"/>
            <filter val="Raptor Lake Refresh S"/>
            <filter val="Zen 4 (Phoenix 2)"/>
            <filter val="Zen 3 (Cezanne)"/>
            <filter val="Zen 3 (Vermeer)"/>
            <filter val="Zen 2 (Matisse)"/>
            <filter val="Zen 4 (Raphael)"/>
            <filter val="Raptor Lake S"/>
          </filters>
        </filterColumn>
        <filterColumn colId="2">
          <filters>
            <filter val="G5600T"/>
            <filter val="7320"/>
            <filter val="G6400"/>
            <filter val="9900X"/>
            <filter val="9900KF"/>
            <filter val="9500"/>
            <filter val="9900T"/>
            <filter val="G3930"/>
            <filter val="G6405"/>
            <filter val="G4900"/>
            <filter val="12700KF"/>
            <filter val="4700G"/>
            <filter val="220GE"/>
            <filter val="9900K"/>
            <filter val="11600T"/>
            <filter val="4350GE"/>
            <filter val="11500"/>
            <filter val="11600K"/>
            <filter val="11900KF"/>
            <filter val="1800X"/>
            <filter val="2400G"/>
            <filter val="3950X"/>
            <filter val="8300"/>
            <filter val="3900XT"/>
            <filter val="10305T"/>
            <filter val="12700K"/>
            <filter val="6500T"/>
            <filter val="7100T"/>
            <filter val="12700F"/>
            <filter val="12700T"/>
            <filter val="10850K"/>
            <filter val="7600K"/>
            <filter val="5750G"/>
            <filter val="3000G"/>
            <filter val="10305"/>
            <filter val="5900X"/>
            <filter val="7600T"/>
            <filter val="4700GE"/>
            <filter val="7600X"/>
            <filter val="5700"/>
            <filter val="1300X"/>
            <filter val="10300"/>
            <filter val="8086K"/>
            <filter val="12600"/>
            <filter val="8300G"/>
            <filter val="9400"/>
            <filter val="5600X3D"/>
            <filter val="7100"/>
            <filter val="10700KF"/>
            <filter val="10900T"/>
            <filter val="G3950"/>
            <filter val="3350G"/>
            <filter val="7700K"/>
            <filter val="G4920"/>
            <filter val="10900K"/>
            <filter val="10900F"/>
            <filter val="3500X"/>
            <filter val="7900X3D"/>
            <filter val="G4500T"/>
            <filter val="12100T"/>
            <filter val="7700T"/>
            <filter val="8300T"/>
            <filter val="G3900T"/>
            <filter val="7700X"/>
            <filter val="4500"/>
            <filter val="11600"/>
            <filter val="9400T"/>
            <filter val="3200GE"/>
            <filter val="12100F"/>
            <filter val="2400GE"/>
            <filter val="10400T"/>
            <filter val="4750GE"/>
            <filter val="G4930"/>
            <filter val="G5900"/>
            <filter val="10400F"/>
            <filter val="9400F"/>
            <filter val="G5905"/>
            <filter val="4600G"/>
            <filter val="11500T"/>
            <filter val="5600"/>
            <filter val="7900"/>
            <filter val="4300GE"/>
            <filter val="10400"/>
            <filter val="12700"/>
            <filter val="9300"/>
            <filter val="9500T"/>
            <filter val="6600T"/>
            <filter val="5600GT"/>
            <filter val="9500F"/>
            <filter val="12300T"/>
            <filter val="6700"/>
            <filter val="6600K"/>
            <filter val="11700"/>
            <filter val="3400G"/>
            <filter val="8100"/>
            <filter val="G4950"/>
            <filter val="10600T"/>
            <filter val="11700F"/>
            <filter val="G5920"/>
            <filter val="5350G"/>
            <filter val="G5925"/>
            <filter val="10600K"/>
            <filter val="1700"/>
            <filter val="10505"/>
            <filter val="11700T"/>
            <filter val="G4600T"/>
            <filter val="6100T"/>
            <filter val="5500"/>
            <filter val="11700K"/>
            <filter val="1700X"/>
            <filter val="10500"/>
            <filter val="9950X"/>
            <filter val="9320"/>
            <filter val="10500T"/>
            <filter val="200GE"/>
            <filter val="3100"/>
            <filter val="G4600"/>
            <filter val="G4560T"/>
            <filter val="11600KF"/>
            <filter val="3800XT"/>
            <filter val="G6400T"/>
            <filter val="1600X"/>
            <filter val="4350G"/>
            <filter val="6600"/>
            <filter val="14900KS"/>
            <filter val="1200 AF"/>
            <filter val="3900X"/>
            <filter val="G5420T"/>
            <filter val="10600KF"/>
            <filter val="2200G"/>
            <filter val="6700T"/>
            <filter val="6500"/>
            <filter val="7300T"/>
            <filter val="8400F"/>
            <filter val="1600"/>
            <filter val="12900"/>
            <filter val="8400T"/>
            <filter val="9900KS"/>
            <filter val="6700K"/>
            <filter val="7700"/>
            <filter val="12100"/>
            <filter val="7945"/>
            <filter val="5950X"/>
            <filter val="3900"/>
            <filter val="10600"/>
            <filter val="5500GT"/>
            <filter val="5600G"/>
            <filter val="9100"/>
            <filter val="7600"/>
            <filter val="9100T"/>
            <filter val="8500G"/>
            <filter val="G4620"/>
            <filter val="10700T"/>
            <filter val="G4500"/>
            <filter val="10700K"/>
            <filter val="3150G"/>
            <filter val="5700GE"/>
            <filter val="12900KF"/>
            <filter val="5350GE"/>
            <filter val="7950X3D"/>
            <filter val="11900"/>
            <filter val="2700"/>
            <filter val="5600X"/>
            <filter val="G4930T"/>
            <filter val="9100F"/>
            <filter val="10700F"/>
            <filter val="7900X"/>
            <filter val="8350K"/>
            <filter val="9700KF"/>
            <filter val="8500T"/>
            <filter val="3300X"/>
            <filter val="4100"/>
            <filter val="8700"/>
            <filter val="5700X3D"/>
            <filter val="9600X"/>
            <filter val="6400"/>
            <filter val="2700X"/>
            <filter val="G5600"/>
            <filter val="5300GE"/>
            <filter val="9600T"/>
            <filter val="10700"/>
            <filter val="9600K"/>
            <filter val="2200GE"/>
            <filter val="12400T"/>
            <filter val="9900"/>
            <filter val="3800X"/>
            <filter val="12900KS"/>
            <filter val="11700KF"/>
            <filter val="3400GE"/>
            <filter val="G5400T"/>
            <filter val="12400F"/>
            <filter val="9700X"/>
            <filter val="G4520"/>
            <filter val="G4400"/>
            <filter val="7500"/>
            <filter val="7400T"/>
            <filter val="7800X3D"/>
            <filter val="9700T"/>
            <filter val="10100F"/>
            <filter val="2600X"/>
            <filter val="9700K"/>
            <filter val="3050GE"/>
            <filter val="2600"/>
            <filter val="240GE"/>
            <filter val="9700F"/>
            <filter val="300T"/>
            <filter val="5650GE"/>
            <filter val="4750G"/>
            <filter val="5700G"/>
            <filter val="12600KF"/>
            <filter val="6300"/>
            <filter val="8600"/>
            <filter val="G5900T"/>
            <filter val="12900T"/>
            <filter val="G5500"/>
            <filter val="10900KF"/>
            <filter val="6300T"/>
            <filter val="G5620"/>
            <filter val="12900K"/>
            <filter val="3200G"/>
            <filter val="5700X"/>
            <filter val="300"/>
            <filter val="1400"/>
            <filter val="12900F"/>
            <filter val="G6500T"/>
            <filter val="7745"/>
            <filter val="10100T"/>
            <filter val="9350KF"/>
            <filter val="12300"/>
            <filter val="3700"/>
            <filter val="1500X"/>
            <filter val="5600GE"/>
            <filter val="8100F"/>
            <filter val="12600K"/>
            <filter val="7400"/>
            <filter val="9700"/>
            <filter val="G6600"/>
            <filter val="12600T"/>
            <filter val="G6605"/>
            <filter val="8100T"/>
            <filter val="G3930T"/>
            <filter val="3700X"/>
            <filter val="4300G"/>
            <filter val="6320"/>
            <filter val="8600K"/>
            <filter val="8600G"/>
            <filter val="G5400"/>
            <filter val="8500"/>
            <filter val="11400T"/>
            <filter val="7500T"/>
            <filter val="4600GE"/>
            <filter val="7350K"/>
            <filter val="9600KF"/>
            <filter val="G3900"/>
            <filter val="1600 AF"/>
            <filter val="G6405T"/>
            <filter val="10900"/>
            <filter val="3600"/>
            <filter val="7500F"/>
            <filter val="8600T"/>
            <filter val="7645"/>
            <filter val="10300T"/>
            <filter val="12400"/>
            <filter val="10100"/>
            <filter val="4650G"/>
            <filter val="5900"/>
            <filter val="10105"/>
            <filter val="9300T"/>
            <filter val="G4560"/>
            <filter val="8700K"/>
            <filter val="3150GE"/>
            <filter val="7300"/>
            <filter val="8700G"/>
            <filter val="6400T"/>
            <filter val="9600"/>
            <filter val="G6500"/>
            <filter val="3600XT"/>
            <filter val="8700F"/>
            <filter val="G5905T"/>
            <filter val="G6505"/>
            <filter val="5750GE"/>
            <filter val="5650G"/>
            <filter val="5800X"/>
            <filter val="G6505T"/>
            <filter val="12500T"/>
            <filter val="G4900T"/>
            <filter val="7950X"/>
            <filter val="11400F"/>
            <filter val="8700T"/>
            <filter val="11400"/>
            <filter val="6100"/>
            <filter val="G5420"/>
            <filter val="10105T"/>
            <filter val="G5500T"/>
            <filter val="8400"/>
            <filter val="11900F"/>
            <filter val="5300G"/>
            <filter val="G3920"/>
            <filter val="G4400T"/>
            <filter val="11900T"/>
            <filter val="3600X"/>
            <filter val="5800X3D"/>
            <filter val="3500"/>
            <filter val="1200"/>
            <filter val="4650GE"/>
            <filter val="10105F"/>
            <filter val="11900K"/>
            <filter val="5800"/>
            <filter val="10320"/>
            <filter val="10325"/>
            <filter val="12500"/>
          </filters>
        </filterColumn>
      </autoFilter>
    </customSheetView>
    <customSheetView guid="{ED4BB880-FC57-4587-A42E-3A21D3864B4F}" filter="1" showAutoFilter="1">
      <autoFilter ref="$A$1:$U$368">
        <filterColumn colId="0">
          <filters>
            <filter val="Intel"/>
          </filters>
        </filterColumn>
      </autoFilter>
    </customSheetView>
    <customSheetView guid="{29410337-05BB-4C95-89A7-F2A91D7399B6}" filter="1" showAutoFilter="1">
      <autoFilter ref="$A$1:$U$368">
        <filterColumn colId="0">
          <filters>
            <filter val="Intel"/>
          </filters>
        </filterColumn>
        <filterColumn colId="2">
          <filters>
            <filter val="9900X"/>
            <filter val="13900F"/>
            <filter val="12700KF"/>
            <filter val="4700G"/>
            <filter val="13900K"/>
            <filter val="220GE"/>
            <filter val="11600T"/>
            <filter val="4350GE"/>
            <filter val="13900T"/>
            <filter val="11500"/>
            <filter val="11600K"/>
            <filter val="11900KF"/>
            <filter val="1800X"/>
            <filter val="2400G"/>
            <filter val="3950X"/>
            <filter val="3900XT"/>
            <filter val="12700K"/>
            <filter val="14100"/>
            <filter val="14700KF"/>
            <filter val="12700F"/>
            <filter val="12700T"/>
            <filter val="5750G"/>
            <filter val="3000G"/>
            <filter val="13400F"/>
            <filter val="5900X"/>
            <filter val="14500T"/>
            <filter val="G7400T"/>
            <filter val="4700GE"/>
            <filter val="7600X"/>
            <filter val="5700"/>
            <filter val="1300X"/>
            <filter val="14900"/>
            <filter val="12600"/>
            <filter val="8300G"/>
            <filter val="5600X3D"/>
            <filter val="13100"/>
            <filter val="13400T"/>
            <filter val="3350G"/>
            <filter val="3500X"/>
            <filter val="7900X3D"/>
            <filter val="12100T"/>
            <filter val="7700X"/>
            <filter val="4500"/>
            <filter val="13900"/>
            <filter val="11600"/>
            <filter val="13900KF"/>
            <filter val="3200GE"/>
            <filter val="12100F"/>
            <filter val="2400GE"/>
            <filter val="G7400"/>
            <filter val="4750GE"/>
            <filter val="14600K"/>
            <filter val="13900KS"/>
            <filter val="4600G"/>
            <filter val="11500T"/>
            <filter val="5600"/>
            <filter val="7900"/>
            <filter val="4300GE"/>
            <filter val="12700"/>
            <filter val="14900K"/>
            <filter val="14900F"/>
            <filter val="14900T"/>
            <filter val="5600GT"/>
            <filter val="12300T"/>
            <filter val="11700"/>
            <filter val="3400G"/>
            <filter val="11700F"/>
            <filter val="14400F"/>
            <filter val="5350G"/>
            <filter val="1700"/>
            <filter val="11700T"/>
            <filter val="5500"/>
            <filter val="11700K"/>
            <filter val="1700X"/>
            <filter val="9950X"/>
            <filter val="200GE"/>
            <filter val="3100"/>
            <filter val="G6900"/>
            <filter val="11600KF"/>
            <filter val="14400T"/>
            <filter val="3800XT"/>
            <filter val="14900KF"/>
            <filter val="1600X"/>
            <filter val="4350G"/>
            <filter val="14900KS"/>
            <filter val="1200 AF"/>
            <filter val="3900X"/>
            <filter val="2200G"/>
            <filter val="8400F"/>
            <filter val="G6900T"/>
            <filter val="1600"/>
            <filter val="12900"/>
            <filter val="12100"/>
            <filter val="7945"/>
            <filter val="14400"/>
            <filter val="5950X"/>
            <filter val="3900"/>
            <filter val="5500GT"/>
            <filter val="5600G"/>
            <filter val="13600T"/>
            <filter val="13700KF"/>
            <filter val="8500G"/>
            <filter val="3150G"/>
            <filter val="5700GE"/>
            <filter val="12900KF"/>
            <filter val="5350GE"/>
            <filter val="7950X3D"/>
            <filter val="11900"/>
            <filter val="2700"/>
            <filter val="5600X"/>
            <filter val="13100F"/>
            <filter val="7900X"/>
            <filter val="13400"/>
            <filter val="3300X"/>
            <filter val="4100"/>
            <filter val="13100T"/>
            <filter val="5700X3D"/>
            <filter val="9600X"/>
            <filter val="2700X"/>
            <filter val="5300GE"/>
            <filter val="2200GE"/>
            <filter val="12400T"/>
            <filter val="14500"/>
            <filter val="3800X"/>
            <filter val="12900KS"/>
            <filter val="11700KF"/>
            <filter val="3400GE"/>
            <filter val="12400F"/>
            <filter val="9700X"/>
            <filter val="7800X3D"/>
            <filter val="2600X"/>
            <filter val="3050GE"/>
            <filter val="2600"/>
            <filter val="13700K"/>
            <filter val="240GE"/>
            <filter val="13700F"/>
            <filter val="300T"/>
            <filter val="5650GE"/>
            <filter val="13500"/>
            <filter val="13700T"/>
            <filter val="4750G"/>
            <filter val="5700G"/>
            <filter val="12600KF"/>
            <filter val="12900T"/>
            <filter val="12900K"/>
            <filter val="3200G"/>
            <filter val="5700X"/>
            <filter val="300"/>
            <filter val="1400"/>
            <filter val="12900F"/>
            <filter val="7745"/>
            <filter val="14600"/>
            <filter val="12300"/>
            <filter val="3700"/>
            <filter val="1500X"/>
            <filter val="5600GE"/>
            <filter val="12600K"/>
            <filter val="13600KF"/>
            <filter val="12600T"/>
            <filter val="14100F"/>
            <filter val="14600T"/>
            <filter val="14600KF"/>
            <filter val="3700X"/>
            <filter val="4300G"/>
            <filter val="13600"/>
            <filter val="13500T"/>
            <filter val="8600G"/>
            <filter val="11400T"/>
            <filter val="4600GE"/>
            <filter val="1600 AF"/>
            <filter val="3600"/>
            <filter val="7500F"/>
            <filter val="14100T"/>
            <filter val="7645"/>
            <filter val="12400"/>
            <filter val="4650G"/>
            <filter val="5900"/>
            <filter val="14700"/>
            <filter val="14700F"/>
            <filter val="14700K"/>
            <filter val="3150GE"/>
            <filter val="8700G"/>
            <filter val="3600XT"/>
            <filter val="8700F"/>
            <filter val="5750GE"/>
            <filter val="5650G"/>
            <filter val="5800X"/>
            <filter val="12500T"/>
            <filter val="7950X"/>
            <filter val="11400F"/>
            <filter val="11400"/>
            <filter val="13700"/>
            <filter val="11900F"/>
            <filter val="5300G"/>
            <filter val="11900T"/>
            <filter val="3600X"/>
            <filter val="13600K"/>
            <filter val="5800X3D"/>
            <filter val="14700T"/>
            <filter val="3500"/>
            <filter val="1200"/>
            <filter val="4650GE"/>
            <filter val="11900K"/>
            <filter val="5800"/>
            <filter val="12500"/>
          </filters>
        </filterColumn>
        <filterColumn colId="4">
          <filters>
            <filter val="Zen (Summit Ridge)"/>
            <filter val="Kaby Lake"/>
            <filter val="Rocket Lake S"/>
            <filter val="Skylake"/>
            <filter val="Comet Lake S"/>
            <filter val="Zen 4 (Hawk Point)"/>
            <filter val="Zen 5 (Granite Ridge)"/>
            <filter val="Zen (Raven Ridge)"/>
            <filter val="Zen 2 (Renoir)"/>
            <filter val="Zen+ (Pinnacle Ridge)"/>
            <filter val="Alder Lake S"/>
            <filter val="Zen+ (Picasso)"/>
            <filter val="Raptor Lake Refresh S"/>
            <filter val="Zen 4 (Phoenix 2)"/>
            <filter val="Zen 3 (Cezanne)"/>
            <filter val="Zen 3 (Vermeer)"/>
            <filter val="Zen 2 (Matisse)"/>
            <filter val="Zen 4 (Raphael)"/>
            <filter val="Coffee Lake S"/>
            <filter val="Raptor Lake S"/>
            <filter val="Coffee Lake R"/>
          </filters>
        </filterColumn>
        <filterColumn colId="3">
          <filters>
            <filter val="1151 v2"/>
            <filter val="1200"/>
            <filter val="AM4"/>
            <filter val="AM5"/>
            <filter val="1151 v1"/>
          </filters>
        </filterColumn>
      </autoFilter>
    </customSheetView>
    <customSheetView guid="{E9D83EFB-6A98-4448-A34A-72387336F5B4}" filter="1" showAutoFilter="1">
      <autoFilter ref="$A$1:$U$368">
        <filterColumn colId="0">
          <filters>
            <filter val="AMD"/>
          </filters>
        </filterColumn>
        <filterColumn colId="2">
          <filters>
            <filter val="G5600T"/>
            <filter val="7320"/>
            <filter val="G6400"/>
            <filter val="9900X"/>
            <filter val="9900KF"/>
            <filter val="9500"/>
            <filter val="9900T"/>
            <filter val="13900F"/>
            <filter val="G3930"/>
            <filter val="G6405"/>
            <filter val="G4900"/>
            <filter val="12700KF"/>
            <filter val="13900K"/>
            <filter val="9900K"/>
            <filter val="11600T"/>
            <filter val="13900T"/>
            <filter val="11500"/>
            <filter val="11600K"/>
            <filter val="11900KF"/>
            <filter val="8300"/>
            <filter val="10305T"/>
            <filter val="12700K"/>
            <filter val="6500T"/>
            <filter val="7100T"/>
            <filter val="14100"/>
            <filter val="14700KF"/>
            <filter val="12700F"/>
            <filter val="12700T"/>
            <filter val="10850K"/>
            <filter val="7600K"/>
            <filter val="5750G"/>
            <filter val="10305"/>
            <filter val="13400F"/>
            <filter val="5900X"/>
            <filter val="14500T"/>
            <filter val="7600T"/>
            <filter val="G7400T"/>
            <filter val="7600X"/>
            <filter val="5700"/>
            <filter val="14900"/>
            <filter val="10300"/>
            <filter val="8086K"/>
            <filter val="12600"/>
            <filter val="8300G"/>
            <filter val="9400"/>
            <filter val="5600X3D"/>
            <filter val="7100"/>
            <filter val="10700KF"/>
            <filter val="13100"/>
            <filter val="10900T"/>
            <filter val="13400T"/>
            <filter val="G3950"/>
            <filter val="7700K"/>
            <filter val="G4920"/>
            <filter val="10900K"/>
            <filter val="10900F"/>
            <filter val="7900X3D"/>
            <filter val="G4500T"/>
            <filter val="12100T"/>
            <filter val="7700T"/>
            <filter val="8300T"/>
            <filter val="G3900T"/>
            <filter val="7700X"/>
            <filter val="13900"/>
            <filter val="11600"/>
            <filter val="13900KF"/>
            <filter val="9400T"/>
            <filter val="12100F"/>
            <filter val="10400T"/>
            <filter val="G7400"/>
            <filter val="G4930"/>
            <filter val="G5900"/>
            <filter val="10400F"/>
            <filter val="14600K"/>
            <filter val="13900KS"/>
            <filter val="9400F"/>
            <filter val="G5905"/>
            <filter val="11500T"/>
            <filter val="5600"/>
            <filter val="7900"/>
            <filter val="10400"/>
            <filter val="12700"/>
            <filter val="9300"/>
            <filter val="14900K"/>
            <filter val="9500T"/>
            <filter val="14900F"/>
            <filter val="6600T"/>
            <filter val="14900T"/>
            <filter val="5600GT"/>
            <filter val="9500F"/>
            <filter val="12300T"/>
            <filter val="6700"/>
            <filter val="6600K"/>
            <filter val="11700"/>
            <filter val="8100"/>
            <filter val="G4950"/>
            <filter val="10600T"/>
            <filter val="11700F"/>
            <filter val="14400F"/>
            <filter val="G5920"/>
            <filter val="5350G"/>
            <filter val="G5925"/>
            <filter val="10600K"/>
            <filter val="10505"/>
            <filter val="11700T"/>
            <filter val="G4600T"/>
            <filter val="6100T"/>
            <filter val="5500"/>
            <filter val="11700K"/>
            <filter val="10500"/>
            <filter val="9950X"/>
            <filter val="9320"/>
            <filter val="10500T"/>
            <filter val="G4600"/>
            <filter val="G6900"/>
            <filter val="G4560T"/>
            <filter val="11600KF"/>
            <filter val="14400T"/>
            <filter val="G6400T"/>
            <filter val="14900KF"/>
            <filter val="6600"/>
            <filter val="14900KS"/>
            <filter val="G5420T"/>
            <filter val="10600KF"/>
            <filter val="6700T"/>
            <filter val="6500"/>
            <filter val="7300T"/>
            <filter val="8400F"/>
            <filter val="G6900T"/>
            <filter val="12900"/>
            <filter val="8400T"/>
            <filter val="9900KS"/>
            <filter val="6700K"/>
            <filter val="7700"/>
            <filter val="12100"/>
            <filter val="7945"/>
            <filter val="14400"/>
            <filter val="5950X"/>
            <filter val="10600"/>
            <filter val="5500GT"/>
            <filter val="5600G"/>
            <filter val="9100"/>
            <filter val="13600T"/>
            <filter val="7600"/>
            <filter val="9100T"/>
            <filter val="13700KF"/>
            <filter val="8500G"/>
            <filter val="G4620"/>
            <filter val="10700T"/>
            <filter val="G4500"/>
            <filter val="10700K"/>
            <filter val="5700GE"/>
            <filter val="12900KF"/>
            <filter val="5350GE"/>
            <filter val="7950X3D"/>
            <filter val="11900"/>
            <filter val="5600X"/>
            <filter val="G4930T"/>
            <filter val="9100F"/>
            <filter val="13100F"/>
            <filter val="10700F"/>
            <filter val="7900X"/>
            <filter val="8350K"/>
            <filter val="9700KF"/>
            <filter val="13400"/>
            <filter val="8500T"/>
            <filter val="8700"/>
            <filter val="13100T"/>
            <filter val="5700X3D"/>
            <filter val="9600X"/>
            <filter val="6400"/>
            <filter val="G5600"/>
            <filter val="5300GE"/>
            <filter val="9600T"/>
            <filter val="10700"/>
            <filter val="9600K"/>
            <filter val="12400T"/>
            <filter val="14500"/>
            <filter val="9900"/>
            <filter val="12900KS"/>
            <filter val="11700KF"/>
            <filter val="G5400T"/>
            <filter val="12400F"/>
            <filter val="9700X"/>
            <filter val="G4520"/>
            <filter val="G4400"/>
            <filter val="7500"/>
            <filter val="7400T"/>
            <filter val="7800X3D"/>
            <filter val="9700T"/>
            <filter val="10100F"/>
            <filter val="9700K"/>
            <filter val="13700K"/>
            <filter val="9700F"/>
            <filter val="13700F"/>
            <filter val="300T"/>
            <filter val="5650GE"/>
            <filter val="13500"/>
            <filter val="13700T"/>
            <filter val="5700G"/>
            <filter val="12600KF"/>
            <filter val="6300"/>
            <filter val="8600"/>
            <filter val="G5900T"/>
            <filter val="12900T"/>
            <filter val="G5500"/>
            <filter val="10900KF"/>
            <filter val="6300T"/>
            <filter val="G5620"/>
            <filter val="12900K"/>
            <filter val="5700X"/>
            <filter val="300"/>
            <filter val="12900F"/>
            <filter val="G6500T"/>
            <filter val="7745"/>
            <filter val="14600"/>
            <filter val="10100T"/>
            <filter val="9350KF"/>
            <filter val="12300"/>
            <filter val="5600GE"/>
            <filter val="8100F"/>
            <filter val="12600K"/>
            <filter val="7400"/>
            <filter val="9700"/>
            <filter val="G6600"/>
            <filter val="13600KF"/>
            <filter val="12600T"/>
            <filter val="14100F"/>
            <filter val="G6605"/>
            <filter val="14600T"/>
            <filter val="14600KF"/>
            <filter val="8100T"/>
            <filter val="G3930T"/>
            <filter val="13600"/>
            <filter val="6320"/>
            <filter val="8600K"/>
            <filter val="13500T"/>
            <filter val="8600G"/>
            <filter val="G5400"/>
            <filter val="8500"/>
            <filter val="11400T"/>
            <filter val="7500T"/>
            <filter val="7350K"/>
            <filter val="9600KF"/>
            <filter val="G3900"/>
            <filter val="G6405T"/>
            <filter val="10900"/>
            <filter val="7500F"/>
            <filter val="14100T"/>
            <filter val="8600T"/>
            <filter val="7645"/>
            <filter val="10300T"/>
            <filter val="12400"/>
            <filter val="10100"/>
            <filter val="5900"/>
            <filter val="10105"/>
            <filter val="14700"/>
            <filter val="9300T"/>
            <filter val="14700F"/>
            <filter val="G4560"/>
            <filter val="8700K"/>
            <filter val="14700K"/>
            <filter val="7300"/>
            <filter val="8700G"/>
            <filter val="6400T"/>
            <filter val="9600"/>
            <filter val="G6500"/>
            <filter val="8700F"/>
            <filter val="G5905T"/>
            <filter val="G6505"/>
            <filter val="5750GE"/>
            <filter val="5650G"/>
            <filter val="5800X"/>
            <filter val="G6505T"/>
            <filter val="12500T"/>
            <filter val="G4900T"/>
            <filter val="7950X"/>
            <filter val="11400F"/>
            <filter val="8700T"/>
            <filter val="11400"/>
            <filter val="13700"/>
            <filter val="6100"/>
            <filter val="G5420"/>
            <filter val="10105T"/>
            <filter val="G5500T"/>
            <filter val="8400"/>
            <filter val="11900F"/>
            <filter val="5300G"/>
            <filter val="G3920"/>
            <filter val="G4400T"/>
            <filter val="11900T"/>
            <filter val="13600K"/>
            <filter val="5800X3D"/>
            <filter val="14700T"/>
            <filter val="10105F"/>
            <filter val="11900K"/>
            <filter val="5800"/>
            <filter val="10320"/>
            <filter val="10325"/>
            <filter val="12500"/>
          </filters>
        </filterColumn>
        <filterColumn colId="3">
          <filters>
            <filter val="1151 v2"/>
            <filter val="1700"/>
            <filter val="1200"/>
            <filter val="AM4"/>
            <filter val="1151 v1"/>
          </filters>
        </filterColumn>
      </autoFilter>
    </customSheetView>
    <customSheetView guid="{03824AC4-0C96-4323-BF26-EF60CD7D722A}" filter="1" showAutoFilter="1">
      <autoFilter ref="$A$1:$U$368">
        <filterColumn colId="0">
          <filters>
            <filter val="AMD"/>
          </filters>
        </filterColumn>
        <filterColumn colId="4">
          <filters>
            <filter val="Kaby Lake"/>
            <filter val="Rocket Lake S"/>
            <filter val="Skylake"/>
            <filter val="Comet Lake S"/>
            <filter val="Zen 4 (Hawk Point)"/>
            <filter val="Zen 5 (Granite Ridge)"/>
            <filter val="Alder Lake S"/>
            <filter val="Raptor Lake Refresh S"/>
            <filter val="Zen 4 (Phoenix 2)"/>
            <filter val="Zen 4 (Raphael)"/>
            <filter val="Coffee Lake S"/>
            <filter val="Raptor Lake S"/>
            <filter val="Coffee Lake R"/>
          </filters>
        </filterColumn>
        <filterColumn colId="2">
          <filters>
            <filter val="G5600T"/>
            <filter val="7320"/>
            <filter val="G6400"/>
            <filter val="9900X"/>
            <filter val="9900KF"/>
            <filter val="9500"/>
            <filter val="9900T"/>
            <filter val="13900F"/>
            <filter val="G3930"/>
            <filter val="G6405"/>
            <filter val="G4900"/>
            <filter val="12700KF"/>
            <filter val="4700G"/>
            <filter val="13900K"/>
            <filter val="220GE"/>
            <filter val="9900K"/>
            <filter val="11600T"/>
            <filter val="4350GE"/>
            <filter val="13900T"/>
            <filter val="11500"/>
            <filter val="11600K"/>
            <filter val="11900KF"/>
            <filter val="1800X"/>
            <filter val="2400G"/>
            <filter val="3950X"/>
            <filter val="8300"/>
            <filter val="3900XT"/>
            <filter val="10305T"/>
            <filter val="12700K"/>
            <filter val="6500T"/>
            <filter val="7100T"/>
            <filter val="14100"/>
            <filter val="14700KF"/>
            <filter val="12700F"/>
            <filter val="12700T"/>
            <filter val="10850K"/>
            <filter val="7600K"/>
            <filter val="5750G"/>
            <filter val="3000G"/>
            <filter val="10305"/>
            <filter val="13400F"/>
            <filter val="5900X"/>
            <filter val="14500T"/>
            <filter val="7600T"/>
            <filter val="G7400T"/>
            <filter val="4700GE"/>
            <filter val="7600X"/>
            <filter val="5700"/>
            <filter val="1300X"/>
            <filter val="14900"/>
            <filter val="10300"/>
            <filter val="8086K"/>
            <filter val="12600"/>
            <filter val="9400"/>
            <filter val="5600X3D"/>
            <filter val="7100"/>
            <filter val="10700KF"/>
            <filter val="13100"/>
            <filter val="10900T"/>
            <filter val="13400T"/>
            <filter val="G3950"/>
            <filter val="3350G"/>
            <filter val="7700K"/>
            <filter val="G4920"/>
            <filter val="10900K"/>
            <filter val="10900F"/>
            <filter val="3500X"/>
            <filter val="7900X3D"/>
            <filter val="G4500T"/>
            <filter val="12100T"/>
            <filter val="7700T"/>
            <filter val="8300T"/>
            <filter val="G3900T"/>
            <filter val="7700X"/>
            <filter val="4500"/>
            <filter val="13900"/>
            <filter val="11600"/>
            <filter val="13900KF"/>
            <filter val="9400T"/>
            <filter val="3200GE"/>
            <filter val="12100F"/>
            <filter val="2400GE"/>
            <filter val="10400T"/>
            <filter val="G7400"/>
            <filter val="4750GE"/>
            <filter val="G4930"/>
            <filter val="G5900"/>
            <filter val="10400F"/>
            <filter val="14600K"/>
            <filter val="13900KS"/>
            <filter val="9400F"/>
            <filter val="G5905"/>
            <filter val="4600G"/>
            <filter val="11500T"/>
            <filter val="5600"/>
            <filter val="7900"/>
            <filter val="4300GE"/>
            <filter val="10400"/>
            <filter val="12700"/>
            <filter val="9300"/>
            <filter val="14900K"/>
            <filter val="9500T"/>
            <filter val="14900F"/>
            <filter val="6600T"/>
            <filter val="14900T"/>
            <filter val="5600GT"/>
            <filter val="9500F"/>
            <filter val="12300T"/>
            <filter val="6700"/>
            <filter val="6600K"/>
            <filter val="11700"/>
            <filter val="3400G"/>
            <filter val="8100"/>
            <filter val="G4950"/>
            <filter val="10600T"/>
            <filter val="11700F"/>
            <filter val="14400F"/>
            <filter val="G5920"/>
            <filter val="5350G"/>
            <filter val="G5925"/>
            <filter val="10600K"/>
            <filter val="1700"/>
            <filter val="10505"/>
            <filter val="11700T"/>
            <filter val="G4600T"/>
            <filter val="6100T"/>
            <filter val="5500"/>
            <filter val="11700K"/>
            <filter val="1700X"/>
            <filter val="10500"/>
            <filter val="9950X"/>
            <filter val="9320"/>
            <filter val="10500T"/>
            <filter val="200GE"/>
            <filter val="3100"/>
            <filter val="G4600"/>
            <filter val="G6900"/>
            <filter val="G4560T"/>
            <filter val="11600KF"/>
            <filter val="14400T"/>
            <filter val="3800XT"/>
            <filter val="G6400T"/>
            <filter val="14900KF"/>
            <filter val="1600X"/>
            <filter val="4350G"/>
            <filter val="6600"/>
            <filter val="14900KS"/>
            <filter val="1200 AF"/>
            <filter val="3900X"/>
            <filter val="G5420T"/>
            <filter val="10600KF"/>
            <filter val="2200G"/>
            <filter val="6700T"/>
            <filter val="6500"/>
            <filter val="7300T"/>
            <filter val="8400F"/>
            <filter val="G6900T"/>
            <filter val="1600"/>
            <filter val="12900"/>
            <filter val="8400T"/>
            <filter val="9900KS"/>
            <filter val="6700K"/>
            <filter val="7700"/>
            <filter val="12100"/>
            <filter val="7945"/>
            <filter val="14400"/>
            <filter val="5950X"/>
            <filter val="3900"/>
            <filter val="10600"/>
            <filter val="5500GT"/>
            <filter val="5600G"/>
            <filter val="9100"/>
            <filter val="13600T"/>
            <filter val="7600"/>
            <filter val="9100T"/>
            <filter val="13700KF"/>
            <filter val="G4620"/>
            <filter val="10700T"/>
            <filter val="G4500"/>
            <filter val="10700K"/>
            <filter val="3150G"/>
            <filter val="5700GE"/>
            <filter val="12900KF"/>
            <filter val="5350GE"/>
            <filter val="7950X3D"/>
            <filter val="11900"/>
            <filter val="2700"/>
            <filter val="5600X"/>
            <filter val="G4930T"/>
            <filter val="9100F"/>
            <filter val="13100F"/>
            <filter val="10700F"/>
            <filter val="7900X"/>
            <filter val="8350K"/>
            <filter val="9700KF"/>
            <filter val="13400"/>
            <filter val="8500T"/>
            <filter val="3300X"/>
            <filter val="4100"/>
            <filter val="8700"/>
            <filter val="13100T"/>
            <filter val="5700X3D"/>
            <filter val="9600X"/>
            <filter val="6400"/>
            <filter val="2700X"/>
            <filter val="G5600"/>
            <filter val="5300GE"/>
            <filter val="9600T"/>
            <filter val="10700"/>
            <filter val="9600K"/>
            <filter val="2200GE"/>
            <filter val="12400T"/>
            <filter val="14500"/>
            <filter val="9900"/>
            <filter val="3800X"/>
            <filter val="12900KS"/>
            <filter val="11700KF"/>
            <filter val="3400GE"/>
            <filter val="G5400T"/>
            <filter val="12400F"/>
            <filter val="9700X"/>
            <filter val="G4520"/>
            <filter val="G4400"/>
            <filter val="7500"/>
            <filter val="7400T"/>
            <filter val="7800X3D"/>
            <filter val="9700T"/>
            <filter val="10100F"/>
            <filter val="2600X"/>
            <filter val="9700K"/>
            <filter val="3050GE"/>
            <filter val="2600"/>
            <filter val="13700K"/>
            <filter val="240GE"/>
            <filter val="9700F"/>
            <filter val="13700F"/>
            <filter val="300T"/>
            <filter val="5650GE"/>
            <filter val="13500"/>
            <filter val="13700T"/>
            <filter val="4750G"/>
            <filter val="5700G"/>
            <filter val="12600KF"/>
            <filter val="6300"/>
            <filter val="8600"/>
            <filter val="G5900T"/>
            <filter val="12900T"/>
            <filter val="G5500"/>
            <filter val="10900KF"/>
            <filter val="6300T"/>
            <filter val="G5620"/>
            <filter val="12900K"/>
            <filter val="3200G"/>
            <filter val="5700X"/>
            <filter val="300"/>
            <filter val="1400"/>
            <filter val="12900F"/>
            <filter val="G6500T"/>
            <filter val="7745"/>
            <filter val="14600"/>
            <filter val="10100T"/>
            <filter val="9350KF"/>
            <filter val="12300"/>
            <filter val="3700"/>
            <filter val="1500X"/>
            <filter val="5600GE"/>
            <filter val="8100F"/>
            <filter val="12600K"/>
            <filter val="7400"/>
            <filter val="9700"/>
            <filter val="G6600"/>
            <filter val="13600KF"/>
            <filter val="12600T"/>
            <filter val="14100F"/>
            <filter val="G6605"/>
            <filter val="14600T"/>
            <filter val="14600KF"/>
            <filter val="8100T"/>
            <filter val="G3930T"/>
            <filter val="3700X"/>
            <filter val="4300G"/>
            <filter val="13600"/>
            <filter val="6320"/>
            <filter val="8600K"/>
            <filter val="13500T"/>
            <filter val="G5400"/>
            <filter val="8500"/>
            <filter val="11400T"/>
            <filter val="7500T"/>
            <filter val="4600GE"/>
            <filter val="7350K"/>
            <filter val="9600KF"/>
            <filter val="G3900"/>
            <filter val="1600 AF"/>
            <filter val="G6405T"/>
            <filter val="10900"/>
            <filter val="3600"/>
            <filter val="7500F"/>
            <filter val="14100T"/>
            <filter val="8600T"/>
            <filter val="7645"/>
            <filter val="10300T"/>
            <filter val="12400"/>
            <filter val="10100"/>
            <filter val="4650G"/>
            <filter val="5900"/>
            <filter val="10105"/>
            <filter val="14700"/>
            <filter val="9300T"/>
            <filter val="14700F"/>
            <filter val="G4560"/>
            <filter val="8700K"/>
            <filter val="14700K"/>
            <filter val="3150GE"/>
            <filter val="7300"/>
            <filter val="6400T"/>
            <filter val="9600"/>
            <filter val="G6500"/>
            <filter val="3600XT"/>
            <filter val="8700F"/>
            <filter val="G5905T"/>
            <filter val="G6505"/>
            <filter val="5750GE"/>
            <filter val="5650G"/>
            <filter val="5800X"/>
            <filter val="G6505T"/>
            <filter val="12500T"/>
            <filter val="G4900T"/>
            <filter val="7950X"/>
            <filter val="11400F"/>
            <filter val="8700T"/>
            <filter val="11400"/>
            <filter val="13700"/>
            <filter val="6100"/>
            <filter val="G5420"/>
            <filter val="10105T"/>
            <filter val="G5500T"/>
            <filter val="8400"/>
            <filter val="11900F"/>
            <filter val="5300G"/>
            <filter val="G3920"/>
            <filter val="G4400T"/>
            <filter val="11900T"/>
            <filter val="3600X"/>
            <filter val="13600K"/>
            <filter val="5800X3D"/>
            <filter val="14700T"/>
            <filter val="3500"/>
            <filter val="1200"/>
            <filter val="4650GE"/>
            <filter val="10105F"/>
            <filter val="11900K"/>
            <filter val="5800"/>
            <filter val="10320"/>
            <filter val="10325"/>
            <filter val="12500"/>
          </filters>
        </filterColumn>
      </autoFilter>
    </customSheetView>
    <customSheetView guid="{23F8A8D4-BF6F-443E-A7CB-443445CFA23F}" filter="1" showAutoFilter="1">
      <autoFilter ref="$A$1:$U$368">
        <filterColumn colId="0">
          <filters>
            <filter val="AMD"/>
          </filters>
        </filterColumn>
      </autoFilter>
    </customSheetView>
    <customSheetView guid="{5B778D10-F6D8-4E47-8EFE-79F300AA379D}" filter="1" showAutoFilter="1">
      <autoFilter ref="$A$1:$U$368">
        <filterColumn colId="0">
          <filters>
            <filter val="Intel"/>
          </filters>
        </filterColumn>
        <filterColumn colId="2">
          <filters>
            <filter val="G6400"/>
            <filter val="9900X"/>
            <filter val="13900F"/>
            <filter val="G6405"/>
            <filter val="12700KF"/>
            <filter val="4700G"/>
            <filter val="13900K"/>
            <filter val="220GE"/>
            <filter val="4350GE"/>
            <filter val="13900T"/>
            <filter val="1800X"/>
            <filter val="2400G"/>
            <filter val="3950X"/>
            <filter val="3900XT"/>
            <filter val="10305T"/>
            <filter val="12700K"/>
            <filter val="14100"/>
            <filter val="14700KF"/>
            <filter val="12700F"/>
            <filter val="12700T"/>
            <filter val="10850K"/>
            <filter val="5750G"/>
            <filter val="3000G"/>
            <filter val="10305"/>
            <filter val="13400F"/>
            <filter val="5900X"/>
            <filter val="14500T"/>
            <filter val="G7400T"/>
            <filter val="4700GE"/>
            <filter val="7600X"/>
            <filter val="5700"/>
            <filter val="1300X"/>
            <filter val="14900"/>
            <filter val="10300"/>
            <filter val="12600"/>
            <filter val="8300G"/>
            <filter val="5600X3D"/>
            <filter val="10700KF"/>
            <filter val="13100"/>
            <filter val="10900T"/>
            <filter val="13400T"/>
            <filter val="3350G"/>
            <filter val="10900K"/>
            <filter val="10900F"/>
            <filter val="3500X"/>
            <filter val="7900X3D"/>
            <filter val="12100T"/>
            <filter val="7700X"/>
            <filter val="4500"/>
            <filter val="13900"/>
            <filter val="13900KF"/>
            <filter val="3200GE"/>
            <filter val="12100F"/>
            <filter val="2400GE"/>
            <filter val="10400T"/>
            <filter val="G7400"/>
            <filter val="4750GE"/>
            <filter val="G5900"/>
            <filter val="10400F"/>
            <filter val="14600K"/>
            <filter val="13900KS"/>
            <filter val="G5905"/>
            <filter val="4600G"/>
            <filter val="5600"/>
            <filter val="7900"/>
            <filter val="4300GE"/>
            <filter val="10400"/>
            <filter val="12700"/>
            <filter val="14900K"/>
            <filter val="14900F"/>
            <filter val="14900T"/>
            <filter val="5600GT"/>
            <filter val="12300T"/>
            <filter val="3400G"/>
            <filter val="10600T"/>
            <filter val="14400F"/>
            <filter val="G5920"/>
            <filter val="5350G"/>
            <filter val="G5925"/>
            <filter val="10600K"/>
            <filter val="1700"/>
            <filter val="10505"/>
            <filter val="5500"/>
            <filter val="1700X"/>
            <filter val="10500"/>
            <filter val="9950X"/>
            <filter val="10500T"/>
            <filter val="200GE"/>
            <filter val="3100"/>
            <filter val="G6900"/>
            <filter val="14400T"/>
            <filter val="3800XT"/>
            <filter val="G6400T"/>
            <filter val="14900KF"/>
            <filter val="1600X"/>
            <filter val="4350G"/>
            <filter val="14900KS"/>
            <filter val="1200 AF"/>
            <filter val="3900X"/>
            <filter val="10600KF"/>
            <filter val="2200G"/>
            <filter val="8400F"/>
            <filter val="G6900T"/>
            <filter val="1600"/>
            <filter val="12900"/>
            <filter val="12100"/>
            <filter val="7945"/>
            <filter val="14400"/>
            <filter val="5950X"/>
            <filter val="3900"/>
            <filter val="10600"/>
            <filter val="5500GT"/>
            <filter val="5600G"/>
            <filter val="13600T"/>
            <filter val="13700KF"/>
            <filter val="8500G"/>
            <filter val="10700T"/>
            <filter val="10700K"/>
            <filter val="3150G"/>
            <filter val="5700GE"/>
            <filter val="12900KF"/>
            <filter val="5350GE"/>
            <filter val="7950X3D"/>
            <filter val="2700"/>
            <filter val="5600X"/>
            <filter val="13100F"/>
            <filter val="10700F"/>
            <filter val="7900X"/>
            <filter val="13400"/>
            <filter val="3300X"/>
            <filter val="4100"/>
            <filter val="13100T"/>
            <filter val="5700X3D"/>
            <filter val="9600X"/>
            <filter val="2700X"/>
            <filter val="5300GE"/>
            <filter val="10700"/>
            <filter val="2200GE"/>
            <filter val="12400T"/>
            <filter val="14500"/>
            <filter val="3800X"/>
            <filter val="12900KS"/>
            <filter val="3400GE"/>
            <filter val="12400F"/>
            <filter val="9700X"/>
            <filter val="7800X3D"/>
            <filter val="10100F"/>
            <filter val="2600X"/>
            <filter val="3050GE"/>
            <filter val="2600"/>
            <filter val="13700K"/>
            <filter val="240GE"/>
            <filter val="13700F"/>
            <filter val="300T"/>
            <filter val="5650GE"/>
            <filter val="13500"/>
            <filter val="13700T"/>
            <filter val="4750G"/>
            <filter val="5700G"/>
            <filter val="12600KF"/>
            <filter val="G5900T"/>
            <filter val="12900T"/>
            <filter val="10900KF"/>
            <filter val="12900K"/>
            <filter val="3200G"/>
            <filter val="5700X"/>
            <filter val="300"/>
            <filter val="1400"/>
            <filter val="12900F"/>
            <filter val="G6500T"/>
            <filter val="7745"/>
            <filter val="14600"/>
            <filter val="10100T"/>
            <filter val="12300"/>
            <filter val="3700"/>
            <filter val="1500X"/>
            <filter val="5600GE"/>
            <filter val="12600K"/>
            <filter val="G6600"/>
            <filter val="13600KF"/>
            <filter val="12600T"/>
            <filter val="14100F"/>
            <filter val="G6605"/>
            <filter val="14600T"/>
            <filter val="14600KF"/>
            <filter val="3700X"/>
            <filter val="4300G"/>
            <filter val="13600"/>
            <filter val="13500T"/>
            <filter val="8600G"/>
            <filter val="4600GE"/>
            <filter val="1600 AF"/>
            <filter val="G6405T"/>
            <filter val="10900"/>
            <filter val="3600"/>
            <filter val="7500F"/>
            <filter val="14100T"/>
            <filter val="7645"/>
            <filter val="10300T"/>
            <filter val="12400"/>
            <filter val="10100"/>
            <filter val="4650G"/>
            <filter val="5900"/>
            <filter val="10105"/>
            <filter val="14700"/>
            <filter val="14700F"/>
            <filter val="14700K"/>
            <filter val="3150GE"/>
            <filter val="8700G"/>
            <filter val="G6500"/>
            <filter val="3600XT"/>
            <filter val="8700F"/>
            <filter val="G5905T"/>
            <filter val="G6505"/>
            <filter val="5750GE"/>
            <filter val="5650G"/>
            <filter val="5800X"/>
            <filter val="G6505T"/>
            <filter val="12500T"/>
            <filter val="7950X"/>
            <filter val="13700"/>
            <filter val="10105T"/>
            <filter val="5300G"/>
            <filter val="3600X"/>
            <filter val="13600K"/>
            <filter val="5800X3D"/>
            <filter val="14700T"/>
            <filter val="3500"/>
            <filter val="1200"/>
            <filter val="4650GE"/>
            <filter val="10105F"/>
            <filter val="5800"/>
            <filter val="10320"/>
            <filter val="10325"/>
            <filter val="12500"/>
          </filters>
        </filterColumn>
        <filterColumn colId="4">
          <filters>
            <filter val="Zen (Summit Ridge)"/>
            <filter val="Kaby Lake"/>
            <filter val="Rocket Lake S"/>
            <filter val="Skylake"/>
            <filter val="Comet Lake S"/>
            <filter val="Zen 4 (Hawk Point)"/>
            <filter val="Zen 5 (Granite Ridge)"/>
            <filter val="Zen (Raven Ridge)"/>
            <filter val="Zen 2 (Renoir)"/>
            <filter val="Zen+ (Pinnacle Ridge)"/>
            <filter val="Alder Lake S"/>
            <filter val="Zen+ (Picasso)"/>
            <filter val="Raptor Lake Refresh S"/>
            <filter val="Zen 4 (Phoenix 2)"/>
            <filter val="Zen 3 (Cezanne)"/>
            <filter val="Zen 3 (Vermeer)"/>
            <filter val="Zen 2 (Matisse)"/>
            <filter val="Zen 4 (Raphael)"/>
            <filter val="Coffee Lake S"/>
            <filter val="Raptor Lake S"/>
            <filter val="Coffee Lake R"/>
          </filters>
        </filterColumn>
        <filterColumn colId="3">
          <filters>
            <filter val="1151 v2"/>
            <filter val="1200"/>
            <filter val="AM4"/>
            <filter val="AM5"/>
            <filter val="1151 v1"/>
          </filters>
        </filterColumn>
      </autoFilter>
    </customSheetView>
    <customSheetView guid="{06DF8BF8-3955-4BA5-BE43-C38DC61E7CD0}" filter="1" showAutoFilter="1">
      <autoFilter ref="$A$1:$U$368">
        <filterColumn colId="0">
          <filters>
            <filter val="AMD"/>
          </filters>
        </filterColumn>
        <filterColumn colId="2">
          <filters>
            <filter val="G5600T"/>
            <filter val="7320"/>
            <filter val="G6400"/>
            <filter val="9900X"/>
            <filter val="9900KF"/>
            <filter val="9500"/>
            <filter val="9900T"/>
            <filter val="13900F"/>
            <filter val="G3930"/>
            <filter val="G6405"/>
            <filter val="G4900"/>
            <filter val="12700KF"/>
            <filter val="13900K"/>
            <filter val="9900K"/>
            <filter val="11600T"/>
            <filter val="13900T"/>
            <filter val="11500"/>
            <filter val="11600K"/>
            <filter val="11900KF"/>
            <filter val="1800X"/>
            <filter val="8300"/>
            <filter val="10305T"/>
            <filter val="12700K"/>
            <filter val="6500T"/>
            <filter val="7100T"/>
            <filter val="14100"/>
            <filter val="14700KF"/>
            <filter val="12700F"/>
            <filter val="12700T"/>
            <filter val="10850K"/>
            <filter val="7600K"/>
            <filter val="10305"/>
            <filter val="13400F"/>
            <filter val="14500T"/>
            <filter val="7600T"/>
            <filter val="G7400T"/>
            <filter val="7600X"/>
            <filter val="1300X"/>
            <filter val="14900"/>
            <filter val="10300"/>
            <filter val="8086K"/>
            <filter val="12600"/>
            <filter val="8300G"/>
            <filter val="9400"/>
            <filter val="7100"/>
            <filter val="10700KF"/>
            <filter val="13100"/>
            <filter val="10900T"/>
            <filter val="13400T"/>
            <filter val="G3950"/>
            <filter val="7700K"/>
            <filter val="G4920"/>
            <filter val="10900K"/>
            <filter val="10900F"/>
            <filter val="7900X3D"/>
            <filter val="G4500T"/>
            <filter val="12100T"/>
            <filter val="7700T"/>
            <filter val="8300T"/>
            <filter val="G3900T"/>
            <filter val="7700X"/>
            <filter val="13900"/>
            <filter val="11600"/>
            <filter val="13900KF"/>
            <filter val="9400T"/>
            <filter val="12100F"/>
            <filter val="10400T"/>
            <filter val="G7400"/>
            <filter val="G4930"/>
            <filter val="G5900"/>
            <filter val="10400F"/>
            <filter val="14600K"/>
            <filter val="13900KS"/>
            <filter val="9400F"/>
            <filter val="G5905"/>
            <filter val="11500T"/>
            <filter val="7900"/>
            <filter val="10400"/>
            <filter val="12700"/>
            <filter val="9300"/>
            <filter val="14900K"/>
            <filter val="9500T"/>
            <filter val="14900F"/>
            <filter val="6600T"/>
            <filter val="14900T"/>
            <filter val="9500F"/>
            <filter val="12300T"/>
            <filter val="6700"/>
            <filter val="6600K"/>
            <filter val="11700"/>
            <filter val="8100"/>
            <filter val="G4950"/>
            <filter val="10600T"/>
            <filter val="11700F"/>
            <filter val="14400F"/>
            <filter val="G5920"/>
            <filter val="G5925"/>
            <filter val="10600K"/>
            <filter val="1700"/>
            <filter val="10505"/>
            <filter val="11700T"/>
            <filter val="G4600T"/>
            <filter val="6100T"/>
            <filter val="11700K"/>
            <filter val="1700X"/>
            <filter val="10500"/>
            <filter val="9950X"/>
            <filter val="9320"/>
            <filter val="10500T"/>
            <filter val="G4600"/>
            <filter val="G6900"/>
            <filter val="G4560T"/>
            <filter val="11600KF"/>
            <filter val="14400T"/>
            <filter val="G6400T"/>
            <filter val="14900KF"/>
            <filter val="1600X"/>
            <filter val="6600"/>
            <filter val="14900KS"/>
            <filter val="1200 AF"/>
            <filter val="G5420T"/>
            <filter val="10600KF"/>
            <filter val="6700T"/>
            <filter val="6500"/>
            <filter val="7300T"/>
            <filter val="8400F"/>
            <filter val="G6900T"/>
            <filter val="1600"/>
            <filter val="12900"/>
            <filter val="8400T"/>
            <filter val="9900KS"/>
            <filter val="6700K"/>
            <filter val="7700"/>
            <filter val="12100"/>
            <filter val="7945"/>
            <filter val="14400"/>
            <filter val="10600"/>
            <filter val="9100"/>
            <filter val="13600T"/>
            <filter val="7600"/>
            <filter val="9100T"/>
            <filter val="13700KF"/>
            <filter val="8500G"/>
            <filter val="G4620"/>
            <filter val="10700T"/>
            <filter val="G4500"/>
            <filter val="10700K"/>
            <filter val="12900KF"/>
            <filter val="7950X3D"/>
            <filter val="11900"/>
            <filter val="G4930T"/>
            <filter val="9100F"/>
            <filter val="13100F"/>
            <filter val="10700F"/>
            <filter val="7900X"/>
            <filter val="8350K"/>
            <filter val="9700KF"/>
            <filter val="13400"/>
            <filter val="8500T"/>
            <filter val="8700"/>
            <filter val="13100T"/>
            <filter val="9600X"/>
            <filter val="6400"/>
            <filter val="G5600"/>
            <filter val="9600T"/>
            <filter val="10700"/>
            <filter val="9600K"/>
            <filter val="12400T"/>
            <filter val="14500"/>
            <filter val="9900"/>
            <filter val="12900KS"/>
            <filter val="11700KF"/>
            <filter val="G5400T"/>
            <filter val="12400F"/>
            <filter val="9700X"/>
            <filter val="G4520"/>
            <filter val="G4400"/>
            <filter val="7500"/>
            <filter val="7400T"/>
            <filter val="7800X3D"/>
            <filter val="9700T"/>
            <filter val="10100F"/>
            <filter val="9700K"/>
            <filter val="13700K"/>
            <filter val="9700F"/>
            <filter val="13700F"/>
            <filter val="300T"/>
            <filter val="13500"/>
            <filter val="13700T"/>
            <filter val="12600KF"/>
            <filter val="6300"/>
            <filter val="8600"/>
            <filter val="G5900T"/>
            <filter val="12900T"/>
            <filter val="G5500"/>
            <filter val="10900KF"/>
            <filter val="6300T"/>
            <filter val="G5620"/>
            <filter val="12900K"/>
            <filter val="300"/>
            <filter val="1400"/>
            <filter val="12900F"/>
            <filter val="G6500T"/>
            <filter val="7745"/>
            <filter val="14600"/>
            <filter val="10100T"/>
            <filter val="9350KF"/>
            <filter val="12300"/>
            <filter val="1500X"/>
            <filter val="8100F"/>
            <filter val="12600K"/>
            <filter val="7400"/>
            <filter val="9700"/>
            <filter val="G6600"/>
            <filter val="13600KF"/>
            <filter val="12600T"/>
            <filter val="14100F"/>
            <filter val="G6605"/>
            <filter val="14600T"/>
            <filter val="14600KF"/>
            <filter val="8100T"/>
            <filter val="G3930T"/>
            <filter val="13600"/>
            <filter val="6320"/>
            <filter val="8600K"/>
            <filter val="13500T"/>
            <filter val="8600G"/>
            <filter val="G5400"/>
            <filter val="8500"/>
            <filter val="11400T"/>
            <filter val="7500T"/>
            <filter val="7350K"/>
            <filter val="9600KF"/>
            <filter val="G3900"/>
            <filter val="1600 AF"/>
            <filter val="G6405T"/>
            <filter val="10900"/>
            <filter val="7500F"/>
            <filter val="14100T"/>
            <filter val="8600T"/>
            <filter val="7645"/>
            <filter val="10300T"/>
            <filter val="12400"/>
            <filter val="10100"/>
            <filter val="10105"/>
            <filter val="14700"/>
            <filter val="9300T"/>
            <filter val="14700F"/>
            <filter val="G4560"/>
            <filter val="8700K"/>
            <filter val="14700K"/>
            <filter val="7300"/>
            <filter val="8700G"/>
            <filter val="6400T"/>
            <filter val="9600"/>
            <filter val="G6500"/>
            <filter val="8700F"/>
            <filter val="G5905T"/>
            <filter val="G6505"/>
            <filter val="G6505T"/>
            <filter val="12500T"/>
            <filter val="G4900T"/>
            <filter val="7950X"/>
            <filter val="11400F"/>
            <filter val="8700T"/>
            <filter val="11400"/>
            <filter val="13700"/>
            <filter val="6100"/>
            <filter val="G5420"/>
            <filter val="10105T"/>
            <filter val="G5500T"/>
            <filter val="8400"/>
            <filter val="11900F"/>
            <filter val="G3920"/>
            <filter val="G4400T"/>
            <filter val="11900T"/>
            <filter val="13600K"/>
            <filter val="14700T"/>
            <filter val="1200"/>
            <filter val="10105F"/>
            <filter val="11900K"/>
            <filter val="10320"/>
            <filter val="10325"/>
            <filter val="12500"/>
          </filters>
        </filterColumn>
        <filterColumn colId="3">
          <filters>
            <filter val="1151 v2"/>
            <filter val="1700"/>
            <filter val="1200"/>
            <filter val="AM4"/>
            <filter val="1151 v1"/>
          </filters>
        </filterColumn>
      </autoFilter>
    </customSheetView>
    <customSheetView guid="{B53F3ABF-2CC6-4AE7-963E-21B443A1CCD2}" filter="1" showAutoFilter="1">
      <autoFilter ref="$A$1:$U$368">
        <filterColumn colId="0">
          <filters>
            <filter val="Intel"/>
          </filters>
        </filterColumn>
        <filterColumn colId="2">
          <filters>
            <filter val="7320"/>
            <filter val="9900X"/>
            <filter val="13900F"/>
            <filter val="G3930"/>
            <filter val="12700KF"/>
            <filter val="4700G"/>
            <filter val="13900K"/>
            <filter val="220GE"/>
            <filter val="4350GE"/>
            <filter val="13900T"/>
            <filter val="1800X"/>
            <filter val="2400G"/>
            <filter val="3950X"/>
            <filter val="3900XT"/>
            <filter val="12700K"/>
            <filter val="7100T"/>
            <filter val="14100"/>
            <filter val="14700KF"/>
            <filter val="12700F"/>
            <filter val="12700T"/>
            <filter val="7600K"/>
            <filter val="5750G"/>
            <filter val="3000G"/>
            <filter val="13400F"/>
            <filter val="5900X"/>
            <filter val="14500T"/>
            <filter val="7600T"/>
            <filter val="G7400T"/>
            <filter val="4700GE"/>
            <filter val="7600X"/>
            <filter val="5700"/>
            <filter val="1300X"/>
            <filter val="14900"/>
            <filter val="12600"/>
            <filter val="8300G"/>
            <filter val="5600X3D"/>
            <filter val="7100"/>
            <filter val="13100"/>
            <filter val="13400T"/>
            <filter val="G3950"/>
            <filter val="3350G"/>
            <filter val="7700K"/>
            <filter val="3500X"/>
            <filter val="7900X3D"/>
            <filter val="12100T"/>
            <filter val="7700T"/>
            <filter val="7700X"/>
            <filter val="4500"/>
            <filter val="13900"/>
            <filter val="13900KF"/>
            <filter val="3200GE"/>
            <filter val="12100F"/>
            <filter val="2400GE"/>
            <filter val="G7400"/>
            <filter val="4750GE"/>
            <filter val="14600K"/>
            <filter val="13900KS"/>
            <filter val="4600G"/>
            <filter val="5600"/>
            <filter val="7900"/>
            <filter val="4300GE"/>
            <filter val="12700"/>
            <filter val="14900K"/>
            <filter val="14900F"/>
            <filter val="14900T"/>
            <filter val="5600GT"/>
            <filter val="12300T"/>
            <filter val="3400G"/>
            <filter val="14400F"/>
            <filter val="5350G"/>
            <filter val="1700"/>
            <filter val="10505"/>
            <filter val="G4600T"/>
            <filter val="5500"/>
            <filter val="1700X"/>
            <filter val="9950X"/>
            <filter val="200GE"/>
            <filter val="3100"/>
            <filter val="G4600"/>
            <filter val="G6900"/>
            <filter val="G4560T"/>
            <filter val="14400T"/>
            <filter val="3800XT"/>
            <filter val="14900KF"/>
            <filter val="1600X"/>
            <filter val="4350G"/>
            <filter val="14900KS"/>
            <filter val="1200 AF"/>
            <filter val="3900X"/>
            <filter val="2200G"/>
            <filter val="7300T"/>
            <filter val="8400F"/>
            <filter val="G6900T"/>
            <filter val="1600"/>
            <filter val="12900"/>
            <filter val="7700"/>
            <filter val="12100"/>
            <filter val="7945"/>
            <filter val="14400"/>
            <filter val="5950X"/>
            <filter val="3900"/>
            <filter val="5500GT"/>
            <filter val="5600G"/>
            <filter val="13600T"/>
            <filter val="7600"/>
            <filter val="13700KF"/>
            <filter val="8500G"/>
            <filter val="G4620"/>
            <filter val="3150G"/>
            <filter val="5700GE"/>
            <filter val="12900KF"/>
            <filter val="5350GE"/>
            <filter val="7950X3D"/>
            <filter val="2700"/>
            <filter val="5600X"/>
            <filter val="13100F"/>
            <filter val="7900X"/>
            <filter val="13400"/>
            <filter val="3300X"/>
            <filter val="4100"/>
            <filter val="13100T"/>
            <filter val="5700X3D"/>
            <filter val="9600X"/>
            <filter val="2700X"/>
            <filter val="5300GE"/>
            <filter val="2200GE"/>
            <filter val="12400T"/>
            <filter val="14500"/>
            <filter val="3800X"/>
            <filter val="12900KS"/>
            <filter val="3400GE"/>
            <filter val="12400F"/>
            <filter val="9700X"/>
            <filter val="7500"/>
            <filter val="7400T"/>
            <filter val="7800X3D"/>
            <filter val="2600X"/>
            <filter val="3050GE"/>
            <filter val="2600"/>
            <filter val="13700K"/>
            <filter val="240GE"/>
            <filter val="13700F"/>
            <filter val="300T"/>
            <filter val="5650GE"/>
            <filter val="13500"/>
            <filter val="13700T"/>
            <filter val="4750G"/>
            <filter val="5700G"/>
            <filter val="12600KF"/>
            <filter val="12900T"/>
            <filter val="12900K"/>
            <filter val="3200G"/>
            <filter val="5700X"/>
            <filter val="300"/>
            <filter val="1400"/>
            <filter val="12900F"/>
            <filter val="7745"/>
            <filter val="14600"/>
            <filter val="12300"/>
            <filter val="3700"/>
            <filter val="1500X"/>
            <filter val="5600GE"/>
            <filter val="12600K"/>
            <filter val="7400"/>
            <filter val="13600KF"/>
            <filter val="12600T"/>
            <filter val="14100F"/>
            <filter val="14600T"/>
            <filter val="14600KF"/>
            <filter val="G3930T"/>
            <filter val="3700X"/>
            <filter val="4300G"/>
            <filter val="13600"/>
            <filter val="13500T"/>
            <filter val="8600G"/>
            <filter val="7500T"/>
            <filter val="4600GE"/>
            <filter val="7350K"/>
            <filter val="1600 AF"/>
            <filter val="3600"/>
            <filter val="7500F"/>
            <filter val="14100T"/>
            <filter val="7645"/>
            <filter val="12400"/>
            <filter val="4650G"/>
            <filter val="5900"/>
            <filter val="14700"/>
            <filter val="14700F"/>
            <filter val="G4560"/>
            <filter val="14700K"/>
            <filter val="3150GE"/>
            <filter val="7300"/>
            <filter val="8700G"/>
            <filter val="3600XT"/>
            <filter val="8700F"/>
            <filter val="5750GE"/>
            <filter val="5650G"/>
            <filter val="5800X"/>
            <filter val="12500T"/>
            <filter val="7950X"/>
            <filter val="13700"/>
            <filter val="5300G"/>
            <filter val="3600X"/>
            <filter val="13600K"/>
            <filter val="5800X3D"/>
            <filter val="14700T"/>
            <filter val="3500"/>
            <filter val="1200"/>
            <filter val="4650GE"/>
            <filter val="5800"/>
            <filter val="12500"/>
          </filters>
        </filterColumn>
        <filterColumn colId="4">
          <filters>
            <filter val="Zen (Summit Ridge)"/>
            <filter val="Kaby Lake"/>
            <filter val="Rocket Lake S"/>
            <filter val="Skylake"/>
            <filter val="Comet Lake S"/>
            <filter val="Zen 4 (Hawk Point)"/>
            <filter val="Zen 5 (Granite Ridge)"/>
            <filter val="Zen (Raven Ridge)"/>
            <filter val="Zen 2 (Renoir)"/>
            <filter val="Zen+ (Pinnacle Ridge)"/>
            <filter val="Alder Lake S"/>
            <filter val="Zen+ (Picasso)"/>
            <filter val="Raptor Lake Refresh S"/>
            <filter val="Zen 4 (Phoenix 2)"/>
            <filter val="Zen 3 (Cezanne)"/>
            <filter val="Zen 3 (Vermeer)"/>
            <filter val="Zen 2 (Matisse)"/>
            <filter val="Zen 4 (Raphael)"/>
            <filter val="Coffee Lake S"/>
            <filter val="Raptor Lake S"/>
            <filter val="Coffee Lake R"/>
          </filters>
        </filterColumn>
        <filterColumn colId="3">
          <filters>
            <filter val="1151 v2"/>
            <filter val="AM4"/>
            <filter val="AM5"/>
            <filter val="1151 v1"/>
          </filters>
        </filterColumn>
      </autoFilter>
    </customSheetView>
    <customSheetView guid="{5387E67A-0187-4DF8-BBF3-55CA1F033A97}" filter="1" showAutoFilter="1">
      <autoFilter ref="$A$1:$U$368">
        <filterColumn colId="0">
          <filters>
            <filter val="Intel"/>
          </filters>
        </filterColumn>
        <filterColumn colId="2">
          <filters>
            <filter val="9900X"/>
            <filter val="13900F"/>
            <filter val="12700KF"/>
            <filter val="4700G"/>
            <filter val="13900K"/>
            <filter val="220GE"/>
            <filter val="4350GE"/>
            <filter val="13900T"/>
            <filter val="1800X"/>
            <filter val="2400G"/>
            <filter val="3950X"/>
            <filter val="3900XT"/>
            <filter val="12700K"/>
            <filter val="6500T"/>
            <filter val="14100"/>
            <filter val="14700KF"/>
            <filter val="12700F"/>
            <filter val="12700T"/>
            <filter val="5750G"/>
            <filter val="3000G"/>
            <filter val="13400F"/>
            <filter val="5900X"/>
            <filter val="14500T"/>
            <filter val="G7400T"/>
            <filter val="4700GE"/>
            <filter val="7600X"/>
            <filter val="5700"/>
            <filter val="1300X"/>
            <filter val="14900"/>
            <filter val="12600"/>
            <filter val="8300G"/>
            <filter val="5600X3D"/>
            <filter val="13100"/>
            <filter val="13400T"/>
            <filter val="3350G"/>
            <filter val="3500X"/>
            <filter val="7900X3D"/>
            <filter val="G4500T"/>
            <filter val="12100T"/>
            <filter val="G3900T"/>
            <filter val="7700X"/>
            <filter val="4500"/>
            <filter val="13900"/>
            <filter val="13900KF"/>
            <filter val="3200GE"/>
            <filter val="12100F"/>
            <filter val="2400GE"/>
            <filter val="G7400"/>
            <filter val="4750GE"/>
            <filter val="14600K"/>
            <filter val="13900KS"/>
            <filter val="4600G"/>
            <filter val="5600"/>
            <filter val="7900"/>
            <filter val="4300GE"/>
            <filter val="12700"/>
            <filter val="14900K"/>
            <filter val="14900F"/>
            <filter val="6600T"/>
            <filter val="14900T"/>
            <filter val="5600GT"/>
            <filter val="12300T"/>
            <filter val="6700"/>
            <filter val="6600K"/>
            <filter val="3400G"/>
            <filter val="14400F"/>
            <filter val="5350G"/>
            <filter val="1700"/>
            <filter val="10505"/>
            <filter val="6100T"/>
            <filter val="5500"/>
            <filter val="1700X"/>
            <filter val="9950X"/>
            <filter val="200GE"/>
            <filter val="3100"/>
            <filter val="G6900"/>
            <filter val="14400T"/>
            <filter val="3800XT"/>
            <filter val="14900KF"/>
            <filter val="1600X"/>
            <filter val="4350G"/>
            <filter val="6600"/>
            <filter val="14900KS"/>
            <filter val="1200 AF"/>
            <filter val="3900X"/>
            <filter val="2200G"/>
            <filter val="6700T"/>
            <filter val="6500"/>
            <filter val="8400F"/>
            <filter val="G6900T"/>
            <filter val="1600"/>
            <filter val="12900"/>
            <filter val="6700K"/>
            <filter val="12100"/>
            <filter val="7945"/>
            <filter val="14400"/>
            <filter val="5950X"/>
            <filter val="3900"/>
            <filter val="5500GT"/>
            <filter val="5600G"/>
            <filter val="13600T"/>
            <filter val="13700KF"/>
            <filter val="8500G"/>
            <filter val="G4500"/>
            <filter val="3150G"/>
            <filter val="5700GE"/>
            <filter val="12900KF"/>
            <filter val="5350GE"/>
            <filter val="7950X3D"/>
            <filter val="2700"/>
            <filter val="5600X"/>
            <filter val="13100F"/>
            <filter val="7900X"/>
            <filter val="13400"/>
            <filter val="3300X"/>
            <filter val="4100"/>
            <filter val="13100T"/>
            <filter val="5700X3D"/>
            <filter val="9600X"/>
            <filter val="6400"/>
            <filter val="2700X"/>
            <filter val="5300GE"/>
            <filter val="2200GE"/>
            <filter val="12400T"/>
            <filter val="14500"/>
            <filter val="3800X"/>
            <filter val="12900KS"/>
            <filter val="3400GE"/>
            <filter val="12400F"/>
            <filter val="9700X"/>
            <filter val="G4520"/>
            <filter val="G4400"/>
            <filter val="7800X3D"/>
            <filter val="2600X"/>
            <filter val="3050GE"/>
            <filter val="2600"/>
            <filter val="13700K"/>
            <filter val="240GE"/>
            <filter val="13700F"/>
            <filter val="300T"/>
            <filter val="5650GE"/>
            <filter val="13500"/>
            <filter val="13700T"/>
            <filter val="4750G"/>
            <filter val="5700G"/>
            <filter val="12600KF"/>
            <filter val="6300"/>
            <filter val="12900T"/>
            <filter val="6300T"/>
            <filter val="12900K"/>
            <filter val="3200G"/>
            <filter val="5700X"/>
            <filter val="300"/>
            <filter val="1400"/>
            <filter val="12900F"/>
            <filter val="7745"/>
            <filter val="14600"/>
            <filter val="12300"/>
            <filter val="3700"/>
            <filter val="1500X"/>
            <filter val="5600GE"/>
            <filter val="12600K"/>
            <filter val="13600KF"/>
            <filter val="12600T"/>
            <filter val="14100F"/>
            <filter val="14600T"/>
            <filter val="14600KF"/>
            <filter val="3700X"/>
            <filter val="4300G"/>
            <filter val="13600"/>
            <filter val="6320"/>
            <filter val="13500T"/>
            <filter val="8600G"/>
            <filter val="4600GE"/>
            <filter val="G3900"/>
            <filter val="1600 AF"/>
            <filter val="3600"/>
            <filter val="7500F"/>
            <filter val="14100T"/>
            <filter val="7645"/>
            <filter val="12400"/>
            <filter val="4650G"/>
            <filter val="5900"/>
            <filter val="14700"/>
            <filter val="14700F"/>
            <filter val="14700K"/>
            <filter val="3150GE"/>
            <filter val="8700G"/>
            <filter val="6400T"/>
            <filter val="3600XT"/>
            <filter val="8700F"/>
            <filter val="5750GE"/>
            <filter val="5650G"/>
            <filter val="5800X"/>
            <filter val="12500T"/>
            <filter val="7950X"/>
            <filter val="13700"/>
            <filter val="6100"/>
            <filter val="5300G"/>
            <filter val="G3920"/>
            <filter val="G4400T"/>
            <filter val="3600X"/>
            <filter val="13600K"/>
            <filter val="5800X3D"/>
            <filter val="14700T"/>
            <filter val="3500"/>
            <filter val="1200"/>
            <filter val="4650GE"/>
            <filter val="5800"/>
            <filter val="12500"/>
          </filters>
        </filterColumn>
        <filterColumn colId="4">
          <filters>
            <filter val="Zen (Summit Ridge)"/>
            <filter val="Kaby Lake"/>
            <filter val="Rocket Lake S"/>
            <filter val="Skylake"/>
            <filter val="Comet Lake S"/>
            <filter val="Zen 4 (Hawk Point)"/>
            <filter val="Zen 5 (Granite Ridge)"/>
            <filter val="Zen (Raven Ridge)"/>
            <filter val="Zen 2 (Renoir)"/>
            <filter val="Zen+ (Pinnacle Ridge)"/>
            <filter val="Alder Lake S"/>
            <filter val="Zen+ (Picasso)"/>
            <filter val="Raptor Lake Refresh S"/>
            <filter val="Zen 4 (Phoenix 2)"/>
            <filter val="Zen 3 (Cezanne)"/>
            <filter val="Zen 3 (Vermeer)"/>
            <filter val="Zen 2 (Matisse)"/>
            <filter val="Zen 4 (Raphael)"/>
            <filter val="Coffee Lake S"/>
            <filter val="Raptor Lake S"/>
            <filter val="Coffee Lake R"/>
          </filters>
        </filterColumn>
        <filterColumn colId="3">
          <filters>
            <filter val="1151 v2"/>
            <filter val="AM4"/>
            <filter val="AM5"/>
            <filter val="1151 v1"/>
          </filters>
        </filterColumn>
      </autoFilter>
    </customSheetView>
    <customSheetView guid="{4A61605B-58A9-402E-BCCA-9AA259D45816}" filter="1" showAutoFilter="1">
      <autoFilter ref="$A$1:$U$368">
        <filterColumn colId="17">
          <filters>
            <filter val="Y"/>
          </filters>
        </filterColumn>
      </autoFilter>
    </customSheetView>
    <customSheetView guid="{D691B39A-9D20-42C1-A4DF-4097C5D7EEAB}" filter="1" showAutoFilter="1">
      <autoFilter ref="$A$1:$U$368">
        <filterColumn colId="0">
          <filters>
            <filter val="Intel"/>
          </filters>
        </filterColumn>
        <filterColumn colId="2">
          <filters>
            <filter val="9900X"/>
            <filter val="13900F"/>
            <filter val="G4900"/>
            <filter val="12700KF"/>
            <filter val="4700G"/>
            <filter val="13900K"/>
            <filter val="220GE"/>
            <filter val="4350GE"/>
            <filter val="13900T"/>
            <filter val="1800X"/>
            <filter val="2400G"/>
            <filter val="3950X"/>
            <filter val="8300"/>
            <filter val="3900XT"/>
            <filter val="12700K"/>
            <filter val="14100"/>
            <filter val="14700KF"/>
            <filter val="12700F"/>
            <filter val="12700T"/>
            <filter val="5750G"/>
            <filter val="3000G"/>
            <filter val="13400F"/>
            <filter val="5900X"/>
            <filter val="14500T"/>
            <filter val="G7400T"/>
            <filter val="4700GE"/>
            <filter val="7600X"/>
            <filter val="5700"/>
            <filter val="1300X"/>
            <filter val="14900"/>
            <filter val="8086K"/>
            <filter val="12600"/>
            <filter val="8300G"/>
            <filter val="5600X3D"/>
            <filter val="13100"/>
            <filter val="13400T"/>
            <filter val="3350G"/>
            <filter val="3500X"/>
            <filter val="7900X3D"/>
            <filter val="12100T"/>
            <filter val="8300T"/>
            <filter val="7700X"/>
            <filter val="4500"/>
            <filter val="13900"/>
            <filter val="13900KF"/>
            <filter val="3200GE"/>
            <filter val="12100F"/>
            <filter val="2400GE"/>
            <filter val="G7400"/>
            <filter val="4750GE"/>
            <filter val="14600K"/>
            <filter val="13900KS"/>
            <filter val="4600G"/>
            <filter val="5600"/>
            <filter val="7900"/>
            <filter val="4300GE"/>
            <filter val="12700"/>
            <filter val="14900K"/>
            <filter val="14900F"/>
            <filter val="14900T"/>
            <filter val="5600GT"/>
            <filter val="12300T"/>
            <filter val="3400G"/>
            <filter val="8100"/>
            <filter val="14400F"/>
            <filter val="5350G"/>
            <filter val="1700"/>
            <filter val="10505"/>
            <filter val="5500"/>
            <filter val="1700X"/>
            <filter val="9950X"/>
            <filter val="200GE"/>
            <filter val="3100"/>
            <filter val="G6900"/>
            <filter val="14400T"/>
            <filter val="3800XT"/>
            <filter val="14900KF"/>
            <filter val="1600X"/>
            <filter val="4350G"/>
            <filter val="14900KS"/>
            <filter val="1200 AF"/>
            <filter val="3900X"/>
            <filter val="2200G"/>
            <filter val="8400F"/>
            <filter val="G6900T"/>
            <filter val="1600"/>
            <filter val="12900"/>
            <filter val="8400T"/>
            <filter val="12100"/>
            <filter val="7945"/>
            <filter val="14400"/>
            <filter val="5950X"/>
            <filter val="3900"/>
            <filter val="5500GT"/>
            <filter val="5600G"/>
            <filter val="13600T"/>
            <filter val="13700KF"/>
            <filter val="8500G"/>
            <filter val="3150G"/>
            <filter val="5700GE"/>
            <filter val="12900KF"/>
            <filter val="5350GE"/>
            <filter val="7950X3D"/>
            <filter val="2700"/>
            <filter val="5600X"/>
            <filter val="13100F"/>
            <filter val="7900X"/>
            <filter val="8350K"/>
            <filter val="13400"/>
            <filter val="8500T"/>
            <filter val="3300X"/>
            <filter val="4100"/>
            <filter val="8700"/>
            <filter val="13100T"/>
            <filter val="5700X3D"/>
            <filter val="9600X"/>
            <filter val="2700X"/>
            <filter val="G5600"/>
            <filter val="5300GE"/>
            <filter val="2200GE"/>
            <filter val="12400T"/>
            <filter val="14500"/>
            <filter val="3800X"/>
            <filter val="12900KS"/>
            <filter val="3400GE"/>
            <filter val="G5400T"/>
            <filter val="12400F"/>
            <filter val="9700X"/>
            <filter val="7800X3D"/>
            <filter val="2600X"/>
            <filter val="3050GE"/>
            <filter val="2600"/>
            <filter val="13700K"/>
            <filter val="240GE"/>
            <filter val="13700F"/>
            <filter val="300T"/>
            <filter val="5650GE"/>
            <filter val="13500"/>
            <filter val="13700T"/>
            <filter val="4750G"/>
            <filter val="5700G"/>
            <filter val="12600KF"/>
            <filter val="8600"/>
            <filter val="12900T"/>
            <filter val="G5500"/>
            <filter val="12900K"/>
            <filter val="3200G"/>
            <filter val="5700X"/>
            <filter val="300"/>
            <filter val="1400"/>
            <filter val="12900F"/>
            <filter val="7745"/>
            <filter val="14600"/>
            <filter val="12300"/>
            <filter val="3700"/>
            <filter val="1500X"/>
            <filter val="5600GE"/>
            <filter val="8100F"/>
            <filter val="12600K"/>
            <filter val="13600KF"/>
            <filter val="12600T"/>
            <filter val="14100F"/>
            <filter val="14600T"/>
            <filter val="14600KF"/>
            <filter val="8100T"/>
            <filter val="3700X"/>
            <filter val="4300G"/>
            <filter val="13600"/>
            <filter val="8600K"/>
            <filter val="13500T"/>
            <filter val="8600G"/>
            <filter val="G5400"/>
            <filter val="8500"/>
            <filter val="4600GE"/>
            <filter val="1600 AF"/>
            <filter val="3600"/>
            <filter val="7500F"/>
            <filter val="14100T"/>
            <filter val="8600T"/>
            <filter val="7645"/>
            <filter val="12400"/>
            <filter val="4650G"/>
            <filter val="5900"/>
            <filter val="14700"/>
            <filter val="14700F"/>
            <filter val="8700K"/>
            <filter val="14700K"/>
            <filter val="3150GE"/>
            <filter val="8700G"/>
            <filter val="3600XT"/>
            <filter val="8700F"/>
            <filter val="5750GE"/>
            <filter val="5650G"/>
            <filter val="5800X"/>
            <filter val="12500T"/>
            <filter val="G4900T"/>
            <filter val="7950X"/>
            <filter val="8700T"/>
            <filter val="13700"/>
            <filter val="G5500T"/>
            <filter val="8400"/>
            <filter val="5300G"/>
            <filter val="3600X"/>
            <filter val="13600K"/>
            <filter val="5800X3D"/>
            <filter val="14700T"/>
            <filter val="3500"/>
            <filter val="1200"/>
            <filter val="4650GE"/>
            <filter val="5800"/>
            <filter val="12500"/>
          </filters>
        </filterColumn>
        <filterColumn colId="4">
          <filters>
            <filter val="Zen (Summit Ridge)"/>
            <filter val="Kaby Lake"/>
            <filter val="Rocket Lake S"/>
            <filter val="Skylake"/>
            <filter val="Comet Lake S"/>
            <filter val="Zen 4 (Hawk Point)"/>
            <filter val="Zen 5 (Granite Ridge)"/>
            <filter val="Zen (Raven Ridge)"/>
            <filter val="Zen 2 (Renoir)"/>
            <filter val="Zen+ (Pinnacle Ridge)"/>
            <filter val="Alder Lake S"/>
            <filter val="Zen+ (Picasso)"/>
            <filter val="Raptor Lake Refresh S"/>
            <filter val="Zen 4 (Phoenix 2)"/>
            <filter val="Zen 3 (Cezanne)"/>
            <filter val="Zen 3 (Vermeer)"/>
            <filter val="Zen 2 (Matisse)"/>
            <filter val="Zen 4 (Raphael)"/>
            <filter val="Coffee Lake S"/>
            <filter val="Raptor Lake S"/>
            <filter val="Coffee Lake R"/>
          </filters>
        </filterColumn>
        <filterColumn colId="3">
          <filters>
            <filter val="1151 v2"/>
            <filter val="AM4"/>
            <filter val="AM5"/>
            <filter val="1151 v1"/>
          </filters>
        </filterColumn>
      </autoFilter>
    </customSheetView>
    <customSheetView guid="{9D943D0E-ABD6-41E2-B606-E77530548ADF}" filter="1" showAutoFilter="1">
      <autoFilter ref="$A$1:$U$368">
        <filterColumn colId="0">
          <filters>
            <filter val="Intel"/>
          </filters>
        </filterColumn>
        <filterColumn colId="2">
          <filters>
            <filter val="G5600T"/>
            <filter val="9900X"/>
            <filter val="9900KF"/>
            <filter val="9500"/>
            <filter val="9900T"/>
            <filter val="13900F"/>
            <filter val="12700KF"/>
            <filter val="4700G"/>
            <filter val="13900K"/>
            <filter val="220GE"/>
            <filter val="9900K"/>
            <filter val="4350GE"/>
            <filter val="13900T"/>
            <filter val="1800X"/>
            <filter val="2400G"/>
            <filter val="3950X"/>
            <filter val="3900XT"/>
            <filter val="12700K"/>
            <filter val="14100"/>
            <filter val="14700KF"/>
            <filter val="12700F"/>
            <filter val="12700T"/>
            <filter val="5750G"/>
            <filter val="3000G"/>
            <filter val="13400F"/>
            <filter val="5900X"/>
            <filter val="14500T"/>
            <filter val="G7400T"/>
            <filter val="4700GE"/>
            <filter val="7600X"/>
            <filter val="5700"/>
            <filter val="1300X"/>
            <filter val="14900"/>
            <filter val="12600"/>
            <filter val="8300G"/>
            <filter val="9400"/>
            <filter val="5600X3D"/>
            <filter val="13100"/>
            <filter val="13400T"/>
            <filter val="3350G"/>
            <filter val="3500X"/>
            <filter val="7900X3D"/>
            <filter val="12100T"/>
            <filter val="7700X"/>
            <filter val="4500"/>
            <filter val="13900"/>
            <filter val="13900KF"/>
            <filter val="9400T"/>
            <filter val="3200GE"/>
            <filter val="12100F"/>
            <filter val="2400GE"/>
            <filter val="G7400"/>
            <filter val="4750GE"/>
            <filter val="G4930"/>
            <filter val="14600K"/>
            <filter val="13900KS"/>
            <filter val="9400F"/>
            <filter val="4600G"/>
            <filter val="5600"/>
            <filter val="7900"/>
            <filter val="4300GE"/>
            <filter val="12700"/>
            <filter val="9300"/>
            <filter val="14900K"/>
            <filter val="9500T"/>
            <filter val="14900F"/>
            <filter val="14900T"/>
            <filter val="5600GT"/>
            <filter val="9500F"/>
            <filter val="12300T"/>
            <filter val="3400G"/>
            <filter val="G4950"/>
            <filter val="14400F"/>
            <filter val="5350G"/>
            <filter val="1700"/>
            <filter val="10505"/>
            <filter val="5500"/>
            <filter val="1700X"/>
            <filter val="9950X"/>
            <filter val="9320"/>
            <filter val="200GE"/>
            <filter val="3100"/>
            <filter val="G6900"/>
            <filter val="14400T"/>
            <filter val="3800XT"/>
            <filter val="14900KF"/>
            <filter val="1600X"/>
            <filter val="4350G"/>
            <filter val="14900KS"/>
            <filter val="1200 AF"/>
            <filter val="3900X"/>
            <filter val="G5420T"/>
            <filter val="2200G"/>
            <filter val="8400F"/>
            <filter val="G6900T"/>
            <filter val="1600"/>
            <filter val="12900"/>
            <filter val="9900KS"/>
            <filter val="12100"/>
            <filter val="7945"/>
            <filter val="14400"/>
            <filter val="5950X"/>
            <filter val="3900"/>
            <filter val="5500GT"/>
            <filter val="5600G"/>
            <filter val="9100"/>
            <filter val="13600T"/>
            <filter val="9100T"/>
            <filter val="13700KF"/>
            <filter val="8500G"/>
            <filter val="3150G"/>
            <filter val="5700GE"/>
            <filter val="12900KF"/>
            <filter val="5350GE"/>
            <filter val="7950X3D"/>
            <filter val="2700"/>
            <filter val="5600X"/>
            <filter val="G4930T"/>
            <filter val="9100F"/>
            <filter val="13100F"/>
            <filter val="7900X"/>
            <filter val="9700KF"/>
            <filter val="13400"/>
            <filter val="3300X"/>
            <filter val="4100"/>
            <filter val="13100T"/>
            <filter val="5700X3D"/>
            <filter val="9600X"/>
            <filter val="2700X"/>
            <filter val="5300GE"/>
            <filter val="9600T"/>
            <filter val="9600K"/>
            <filter val="2200GE"/>
            <filter val="12400T"/>
            <filter val="14500"/>
            <filter val="9900"/>
            <filter val="3800X"/>
            <filter val="12900KS"/>
            <filter val="3400GE"/>
            <filter val="12400F"/>
            <filter val="9700X"/>
            <filter val="7800X3D"/>
            <filter val="9700T"/>
            <filter val="2600X"/>
            <filter val="9700K"/>
            <filter val="3050GE"/>
            <filter val="2600"/>
            <filter val="13700K"/>
            <filter val="240GE"/>
            <filter val="9700F"/>
            <filter val="13700F"/>
            <filter val="300T"/>
            <filter val="5650GE"/>
            <filter val="13500"/>
            <filter val="13700T"/>
            <filter val="4750G"/>
            <filter val="5700G"/>
            <filter val="12600KF"/>
            <filter val="12900T"/>
            <filter val="G5620"/>
            <filter val="12900K"/>
            <filter val="3200G"/>
            <filter val="5700X"/>
            <filter val="300"/>
            <filter val="1400"/>
            <filter val="12900F"/>
            <filter val="7745"/>
            <filter val="14600"/>
            <filter val="9350KF"/>
            <filter val="12300"/>
            <filter val="3700"/>
            <filter val="1500X"/>
            <filter val="5600GE"/>
            <filter val="12600K"/>
            <filter val="9700"/>
            <filter val="13600KF"/>
            <filter val="12600T"/>
            <filter val="14100F"/>
            <filter val="14600T"/>
            <filter val="14600KF"/>
            <filter val="3700X"/>
            <filter val="4300G"/>
            <filter val="13600"/>
            <filter val="13500T"/>
            <filter val="8600G"/>
            <filter val="4600GE"/>
            <filter val="9600KF"/>
            <filter val="1600 AF"/>
            <filter val="3600"/>
            <filter val="7500F"/>
            <filter val="14100T"/>
            <filter val="7645"/>
            <filter val="12400"/>
            <filter val="4650G"/>
            <filter val="5900"/>
            <filter val="14700"/>
            <filter val="9300T"/>
            <filter val="14700F"/>
            <filter val="14700K"/>
            <filter val="3150GE"/>
            <filter val="8700G"/>
            <filter val="9600"/>
            <filter val="3600XT"/>
            <filter val="8700F"/>
            <filter val="5750GE"/>
            <filter val="5650G"/>
            <filter val="5800X"/>
            <filter val="12500T"/>
            <filter val="7950X"/>
            <filter val="13700"/>
            <filter val="G5420"/>
            <filter val="5300G"/>
            <filter val="3600X"/>
            <filter val="13600K"/>
            <filter val="5800X3D"/>
            <filter val="14700T"/>
            <filter val="3500"/>
            <filter val="1200"/>
            <filter val="4650GE"/>
            <filter val="5800"/>
            <filter val="12500"/>
          </filters>
        </filterColumn>
        <filterColumn colId="4">
          <filters>
            <filter val="Zen (Summit Ridge)"/>
            <filter val="Kaby Lake"/>
            <filter val="Rocket Lake S"/>
            <filter val="Skylake"/>
            <filter val="Comet Lake S"/>
            <filter val="Zen 4 (Hawk Point)"/>
            <filter val="Zen 5 (Granite Ridge)"/>
            <filter val="Zen (Raven Ridge)"/>
            <filter val="Zen 2 (Renoir)"/>
            <filter val="Zen+ (Pinnacle Ridge)"/>
            <filter val="Alder Lake S"/>
            <filter val="Zen+ (Picasso)"/>
            <filter val="Raptor Lake Refresh S"/>
            <filter val="Zen 4 (Phoenix 2)"/>
            <filter val="Zen 3 (Cezanne)"/>
            <filter val="Zen 3 (Vermeer)"/>
            <filter val="Zen 2 (Matisse)"/>
            <filter val="Zen 4 (Raphael)"/>
            <filter val="Coffee Lake S"/>
            <filter val="Raptor Lake S"/>
            <filter val="Coffee Lake R"/>
          </filters>
        </filterColumn>
        <filterColumn colId="3">
          <filters>
            <filter val="1151 v2"/>
            <filter val="AM4"/>
            <filter val="AM5"/>
            <filter val="1151 v1"/>
          </filters>
        </filterColumn>
      </autoFilter>
    </customSheetView>
    <customSheetView guid="{7C3C8E4A-696A-412D-9E59-2BB12ACF60CD}" filter="1" showAutoFilter="1">
      <autoFilter ref="$A$1:$U$368">
        <filterColumn colId="0">
          <filters>
            <filter val="Intel"/>
          </filters>
        </filterColumn>
        <filterColumn colId="3">
          <filters>
            <filter val="1700"/>
            <filter val="AM4"/>
            <filter val="AM5"/>
          </filters>
        </filterColumn>
        <filterColumn colId="4">
          <filters>
            <filter val="Zen (Summit Ridge)"/>
            <filter val="Kaby Lake"/>
            <filter val="Rocket Lake S"/>
            <filter val="Skylake"/>
            <filter val="Comet Lake S"/>
            <filter val="Zen 4 (Hawk Point)"/>
            <filter val="Zen 5 (Granite Ridge)"/>
            <filter val="Zen (Raven Ridge)"/>
            <filter val="Zen 2 (Renoir)"/>
            <filter val="Zen+ (Pinnacle Ridge)"/>
            <filter val="Zen+ (Picasso)"/>
            <filter val="Raptor Lake Refresh S"/>
            <filter val="Zen 4 (Phoenix 2)"/>
            <filter val="Zen 3 (Cezanne)"/>
            <filter val="Zen 3 (Vermeer)"/>
            <filter val="Zen 2 (Matisse)"/>
            <filter val="Zen 4 (Raphael)"/>
            <filter val="Coffee Lake S"/>
            <filter val="Raptor Lake S"/>
            <filter val="Coffee Lake R"/>
          </filters>
        </filterColumn>
        <filterColumn colId="2">
          <filters>
            <filter val="G5600T"/>
            <filter val="7320"/>
            <filter val="G6400"/>
            <filter val="9900X"/>
            <filter val="9900KF"/>
            <filter val="9500"/>
            <filter val="9900T"/>
            <filter val="13900F"/>
            <filter val="G3930"/>
            <filter val="G6405"/>
            <filter val="G4900"/>
            <filter val="12700KF"/>
            <filter val="4700G"/>
            <filter val="13900K"/>
            <filter val="220GE"/>
            <filter val="9900K"/>
            <filter val="11600T"/>
            <filter val="4350GE"/>
            <filter val="13900T"/>
            <filter val="11500"/>
            <filter val="11600K"/>
            <filter val="11900KF"/>
            <filter val="1800X"/>
            <filter val="2400G"/>
            <filter val="3950X"/>
            <filter val="8300"/>
            <filter val="3900XT"/>
            <filter val="10305T"/>
            <filter val="12700K"/>
            <filter val="6500T"/>
            <filter val="7100T"/>
            <filter val="12700F"/>
            <filter val="12700T"/>
            <filter val="10850K"/>
            <filter val="7600K"/>
            <filter val="5750G"/>
            <filter val="3000G"/>
            <filter val="10305"/>
            <filter val="13400F"/>
            <filter val="5900X"/>
            <filter val="7600T"/>
            <filter val="G7400T"/>
            <filter val="4700GE"/>
            <filter val="7600X"/>
            <filter val="5700"/>
            <filter val="1300X"/>
            <filter val="10300"/>
            <filter val="8086K"/>
            <filter val="12600"/>
            <filter val="8300G"/>
            <filter val="9400"/>
            <filter val="5600X3D"/>
            <filter val="7100"/>
            <filter val="10700KF"/>
            <filter val="13100"/>
            <filter val="10900T"/>
            <filter val="13400T"/>
            <filter val="G3950"/>
            <filter val="3350G"/>
            <filter val="7700K"/>
            <filter val="G4920"/>
            <filter val="10900K"/>
            <filter val="10900F"/>
            <filter val="3500X"/>
            <filter val="7900X3D"/>
            <filter val="G4500T"/>
            <filter val="12100T"/>
            <filter val="7700T"/>
            <filter val="8300T"/>
            <filter val="G3900T"/>
            <filter val="7700X"/>
            <filter val="4500"/>
            <filter val="13900"/>
            <filter val="11600"/>
            <filter val="13900KF"/>
            <filter val="9400T"/>
            <filter val="3200GE"/>
            <filter val="12100F"/>
            <filter val="2400GE"/>
            <filter val="10400T"/>
            <filter val="G7400"/>
            <filter val="4750GE"/>
            <filter val="G4930"/>
            <filter val="G5900"/>
            <filter val="10400F"/>
            <filter val="13900KS"/>
            <filter val="9400F"/>
            <filter val="G5905"/>
            <filter val="4600G"/>
            <filter val="11500T"/>
            <filter val="5600"/>
            <filter val="7900"/>
            <filter val="4300GE"/>
            <filter val="10400"/>
            <filter val="12700"/>
            <filter val="9300"/>
            <filter val="9500T"/>
            <filter val="6600T"/>
            <filter val="5600GT"/>
            <filter val="9500F"/>
            <filter val="12300T"/>
            <filter val="6700"/>
            <filter val="6600K"/>
            <filter val="11700"/>
            <filter val="3400G"/>
            <filter val="8100"/>
            <filter val="G4950"/>
            <filter val="10600T"/>
            <filter val="11700F"/>
            <filter val="G5920"/>
            <filter val="5350G"/>
            <filter val="G5925"/>
            <filter val="10600K"/>
            <filter val="1700"/>
            <filter val="10505"/>
            <filter val="11700T"/>
            <filter val="G4600T"/>
            <filter val="6100T"/>
            <filter val="5500"/>
            <filter val="11700K"/>
            <filter val="1700X"/>
            <filter val="10500"/>
            <filter val="9950X"/>
            <filter val="9320"/>
            <filter val="10500T"/>
            <filter val="200GE"/>
            <filter val="3100"/>
            <filter val="G4600"/>
            <filter val="G6900"/>
            <filter val="G4560T"/>
            <filter val="11600KF"/>
            <filter val="3800XT"/>
            <filter val="G6400T"/>
            <filter val="1600X"/>
            <filter val="4350G"/>
            <filter val="6600"/>
            <filter val="14900KS"/>
            <filter val="1200 AF"/>
            <filter val="3900X"/>
            <filter val="G5420T"/>
            <filter val="10600KF"/>
            <filter val="2200G"/>
            <filter val="6700T"/>
            <filter val="6500"/>
            <filter val="7300T"/>
            <filter val="8400F"/>
            <filter val="G6900T"/>
            <filter val="1600"/>
            <filter val="12900"/>
            <filter val="8400T"/>
            <filter val="9900KS"/>
            <filter val="6700K"/>
            <filter val="7700"/>
            <filter val="12100"/>
            <filter val="7945"/>
            <filter val="5950X"/>
            <filter val="3900"/>
            <filter val="10600"/>
            <filter val="5500GT"/>
            <filter val="5600G"/>
            <filter val="9100"/>
            <filter val="13600T"/>
            <filter val="7600"/>
            <filter val="9100T"/>
            <filter val="13700KF"/>
            <filter val="8500G"/>
            <filter val="G4620"/>
            <filter val="10700T"/>
            <filter val="G4500"/>
            <filter val="10700K"/>
            <filter val="3150G"/>
            <filter val="5700GE"/>
            <filter val="12900KF"/>
            <filter val="5350GE"/>
            <filter val="7950X3D"/>
            <filter val="11900"/>
            <filter val="2700"/>
            <filter val="5600X"/>
            <filter val="G4930T"/>
            <filter val="9100F"/>
            <filter val="13100F"/>
            <filter val="10700F"/>
            <filter val="7900X"/>
            <filter val="8350K"/>
            <filter val="9700KF"/>
            <filter val="13400"/>
            <filter val="8500T"/>
            <filter val="3300X"/>
            <filter val="4100"/>
            <filter val="8700"/>
            <filter val="13100T"/>
            <filter val="5700X3D"/>
            <filter val="9600X"/>
            <filter val="6400"/>
            <filter val="2700X"/>
            <filter val="G5600"/>
            <filter val="5300GE"/>
            <filter val="9600T"/>
            <filter val="10700"/>
            <filter val="9600K"/>
            <filter val="2200GE"/>
            <filter val="12400T"/>
            <filter val="9900"/>
            <filter val="3800X"/>
            <filter val="12900KS"/>
            <filter val="11700KF"/>
            <filter val="3400GE"/>
            <filter val="G5400T"/>
            <filter val="12400F"/>
            <filter val="9700X"/>
            <filter val="G4520"/>
            <filter val="G4400"/>
            <filter val="7500"/>
            <filter val="7400T"/>
            <filter val="7800X3D"/>
            <filter val="9700T"/>
            <filter val="10100F"/>
            <filter val="2600X"/>
            <filter val="9700K"/>
            <filter val="3050GE"/>
            <filter val="2600"/>
            <filter val="13700K"/>
            <filter val="240GE"/>
            <filter val="9700F"/>
            <filter val="13700F"/>
            <filter val="300T"/>
            <filter val="5650GE"/>
            <filter val="13500"/>
            <filter val="13700T"/>
            <filter val="4750G"/>
            <filter val="5700G"/>
            <filter val="12600KF"/>
            <filter val="6300"/>
            <filter val="8600"/>
            <filter val="G5900T"/>
            <filter val="12900T"/>
            <filter val="G5500"/>
            <filter val="10900KF"/>
            <filter val="6300T"/>
            <filter val="G5620"/>
            <filter val="12900K"/>
            <filter val="3200G"/>
            <filter val="5700X"/>
            <filter val="300"/>
            <filter val="1400"/>
            <filter val="12900F"/>
            <filter val="G6500T"/>
            <filter val="7745"/>
            <filter val="10100T"/>
            <filter val="9350KF"/>
            <filter val="12300"/>
            <filter val="3700"/>
            <filter val="1500X"/>
            <filter val="5600GE"/>
            <filter val="8100F"/>
            <filter val="12600K"/>
            <filter val="7400"/>
            <filter val="9700"/>
            <filter val="G6600"/>
            <filter val="13600KF"/>
            <filter val="12600T"/>
            <filter val="G6605"/>
            <filter val="8100T"/>
            <filter val="G3930T"/>
            <filter val="3700X"/>
            <filter val="4300G"/>
            <filter val="13600"/>
            <filter val="6320"/>
            <filter val="8600K"/>
            <filter val="13500T"/>
            <filter val="8600G"/>
            <filter val="G5400"/>
            <filter val="8500"/>
            <filter val="11400T"/>
            <filter val="7500T"/>
            <filter val="4600GE"/>
            <filter val="7350K"/>
            <filter val="9600KF"/>
            <filter val="G3900"/>
            <filter val="1600 AF"/>
            <filter val="G6405T"/>
            <filter val="10900"/>
            <filter val="3600"/>
            <filter val="7500F"/>
            <filter val="8600T"/>
            <filter val="7645"/>
            <filter val="10300T"/>
            <filter val="12400"/>
            <filter val="10100"/>
            <filter val="4650G"/>
            <filter val="5900"/>
            <filter val="10105"/>
            <filter val="9300T"/>
            <filter val="G4560"/>
            <filter val="8700K"/>
            <filter val="3150GE"/>
            <filter val="7300"/>
            <filter val="8700G"/>
            <filter val="6400T"/>
            <filter val="9600"/>
            <filter val="G6500"/>
            <filter val="3600XT"/>
            <filter val="8700F"/>
            <filter val="G5905T"/>
            <filter val="G6505"/>
            <filter val="5750GE"/>
            <filter val="5650G"/>
            <filter val="5800X"/>
            <filter val="G6505T"/>
            <filter val="12500T"/>
            <filter val="G4900T"/>
            <filter val="7950X"/>
            <filter val="11400F"/>
            <filter val="8700T"/>
            <filter val="11400"/>
            <filter val="13700"/>
            <filter val="6100"/>
            <filter val="G5420"/>
            <filter val="10105T"/>
            <filter val="G5500T"/>
            <filter val="8400"/>
            <filter val="11900F"/>
            <filter val="5300G"/>
            <filter val="G3920"/>
            <filter val="G4400T"/>
            <filter val="11900T"/>
            <filter val="3600X"/>
            <filter val="13600K"/>
            <filter val="5800X3D"/>
            <filter val="3500"/>
            <filter val="1200"/>
            <filter val="4650GE"/>
            <filter val="10105F"/>
            <filter val="11900K"/>
            <filter val="5800"/>
            <filter val="10320"/>
            <filter val="10325"/>
            <filter val="12500"/>
          </filters>
        </filterColumn>
      </autoFilter>
    </customSheetView>
    <customSheetView guid="{6FCEF774-5717-44A8-B472-2FC7725FAA2E}" filter="1" showAutoFilter="1">
      <autoFilter ref="$A$1:$U$368">
        <filterColumn colId="19">
          <filters>
            <filter val="Intel Laminar RS1"/>
            <filter val="Yes"/>
            <filter val="Intel Laminar RH1"/>
            <filter val="Wraith Stealth"/>
            <filter val="Wraith Spire"/>
            <filter val="Wraith Prism"/>
            <filter val="Intel Laminar RM1"/>
            <filter val="?"/>
            <filter val="Intel Cooler"/>
          </filters>
        </filterColumn>
      </autoFilter>
    </customSheetView>
    <customSheetView guid="{AD93430D-C4BF-4B5A-8E8A-415B40F26BAB}" filter="1" showAutoFilter="1">
      <autoFilter ref="$A$1:$U$368">
        <filterColumn colId="0">
          <filters>
            <filter val="AMD"/>
          </filters>
        </filterColumn>
        <filterColumn colId="2">
          <filters>
            <filter val="G5600T"/>
            <filter val="7320"/>
            <filter val="G6400"/>
            <filter val="9900X"/>
            <filter val="9900KF"/>
            <filter val="9500"/>
            <filter val="9900T"/>
            <filter val="13900F"/>
            <filter val="G3930"/>
            <filter val="G6405"/>
            <filter val="G4900"/>
            <filter val="12700KF"/>
            <filter val="4700G"/>
            <filter val="13900K"/>
            <filter val="9900K"/>
            <filter val="11600T"/>
            <filter val="4350GE"/>
            <filter val="13900T"/>
            <filter val="11500"/>
            <filter val="11600K"/>
            <filter val="11900KF"/>
            <filter val="8300"/>
            <filter val="10305T"/>
            <filter val="12700K"/>
            <filter val="6500T"/>
            <filter val="7100T"/>
            <filter val="14100"/>
            <filter val="14700KF"/>
            <filter val="12700F"/>
            <filter val="12700T"/>
            <filter val="10850K"/>
            <filter val="7600K"/>
            <filter val="10305"/>
            <filter val="13400F"/>
            <filter val="14500T"/>
            <filter val="7600T"/>
            <filter val="G7400T"/>
            <filter val="4700GE"/>
            <filter val="7600X"/>
            <filter val="14900"/>
            <filter val="10300"/>
            <filter val="8086K"/>
            <filter val="12600"/>
            <filter val="8300G"/>
            <filter val="9400"/>
            <filter val="7100"/>
            <filter val="10700KF"/>
            <filter val="13100"/>
            <filter val="10900T"/>
            <filter val="13400T"/>
            <filter val="G3950"/>
            <filter val="7700K"/>
            <filter val="G4920"/>
            <filter val="10900K"/>
            <filter val="10900F"/>
            <filter val="7900X3D"/>
            <filter val="G4500T"/>
            <filter val="12100T"/>
            <filter val="7700T"/>
            <filter val="8300T"/>
            <filter val="G3900T"/>
            <filter val="7700X"/>
            <filter val="4500"/>
            <filter val="13900"/>
            <filter val="11600"/>
            <filter val="13900KF"/>
            <filter val="9400T"/>
            <filter val="12100F"/>
            <filter val="10400T"/>
            <filter val="G7400"/>
            <filter val="4750GE"/>
            <filter val="G4930"/>
            <filter val="G5900"/>
            <filter val="10400F"/>
            <filter val="14600K"/>
            <filter val="13900KS"/>
            <filter val="9400F"/>
            <filter val="G5905"/>
            <filter val="4600G"/>
            <filter val="11500T"/>
            <filter val="7900"/>
            <filter val="4300GE"/>
            <filter val="10400"/>
            <filter val="12700"/>
            <filter val="9300"/>
            <filter val="14900K"/>
            <filter val="9500T"/>
            <filter val="14900F"/>
            <filter val="6600T"/>
            <filter val="14900T"/>
            <filter val="9500F"/>
            <filter val="12300T"/>
            <filter val="6700"/>
            <filter val="6600K"/>
            <filter val="11700"/>
            <filter val="8100"/>
            <filter val="G4950"/>
            <filter val="10600T"/>
            <filter val="11700F"/>
            <filter val="14400F"/>
            <filter val="G5920"/>
            <filter val="G5925"/>
            <filter val="10600K"/>
            <filter val="10505"/>
            <filter val="11700T"/>
            <filter val="G4600T"/>
            <filter val="6100T"/>
            <filter val="11700K"/>
            <filter val="10500"/>
            <filter val="9950X"/>
            <filter val="9320"/>
            <filter val="10500T"/>
            <filter val="G4600"/>
            <filter val="G6900"/>
            <filter val="G4560T"/>
            <filter val="11600KF"/>
            <filter val="14400T"/>
            <filter val="G6400T"/>
            <filter val="14900KF"/>
            <filter val="4350G"/>
            <filter val="6600"/>
            <filter val="14900KS"/>
            <filter val="G5420T"/>
            <filter val="10600KF"/>
            <filter val="6700T"/>
            <filter val="6500"/>
            <filter val="7300T"/>
            <filter val="8400F"/>
            <filter val="G6900T"/>
            <filter val="12900"/>
            <filter val="8400T"/>
            <filter val="9900KS"/>
            <filter val="6700K"/>
            <filter val="7700"/>
            <filter val="12100"/>
            <filter val="7945"/>
            <filter val="14400"/>
            <filter val="10600"/>
            <filter val="9100"/>
            <filter val="13600T"/>
            <filter val="7600"/>
            <filter val="9100T"/>
            <filter val="13700KF"/>
            <filter val="8500G"/>
            <filter val="G4620"/>
            <filter val="10700T"/>
            <filter val="G4500"/>
            <filter val="10700K"/>
            <filter val="12900KF"/>
            <filter val="7950X3D"/>
            <filter val="11900"/>
            <filter val="G4930T"/>
            <filter val="9100F"/>
            <filter val="13100F"/>
            <filter val="10700F"/>
            <filter val="7900X"/>
            <filter val="8350K"/>
            <filter val="9700KF"/>
            <filter val="13400"/>
            <filter val="8500T"/>
            <filter val="4100"/>
            <filter val="8700"/>
            <filter val="13100T"/>
            <filter val="9600X"/>
            <filter val="6400"/>
            <filter val="G5600"/>
            <filter val="9600T"/>
            <filter val="10700"/>
            <filter val="9600K"/>
            <filter val="12400T"/>
            <filter val="14500"/>
            <filter val="9900"/>
            <filter val="12900KS"/>
            <filter val="11700KF"/>
            <filter val="G5400T"/>
            <filter val="12400F"/>
            <filter val="9700X"/>
            <filter val="G4520"/>
            <filter val="G4400"/>
            <filter val="7500"/>
            <filter val="7400T"/>
            <filter val="7800X3D"/>
            <filter val="9700T"/>
            <filter val="10100F"/>
            <filter val="9700K"/>
            <filter val="13700K"/>
            <filter val="9700F"/>
            <filter val="13700F"/>
            <filter val="300T"/>
            <filter val="13500"/>
            <filter val="13700T"/>
            <filter val="4750G"/>
            <filter val="12600KF"/>
            <filter val="6300"/>
            <filter val="8600"/>
            <filter val="G5900T"/>
            <filter val="12900T"/>
            <filter val="G5500"/>
            <filter val="10900KF"/>
            <filter val="6300T"/>
            <filter val="G5620"/>
            <filter val="12900K"/>
            <filter val="300"/>
            <filter val="12900F"/>
            <filter val="G6500T"/>
            <filter val="7745"/>
            <filter val="14600"/>
            <filter val="10100T"/>
            <filter val="9350KF"/>
            <filter val="12300"/>
            <filter val="8100F"/>
            <filter val="12600K"/>
            <filter val="7400"/>
            <filter val="9700"/>
            <filter val="G6600"/>
            <filter val="13600KF"/>
            <filter val="12600T"/>
            <filter val="14100F"/>
            <filter val="G6605"/>
            <filter val="14600T"/>
            <filter val="14600KF"/>
            <filter val="8100T"/>
            <filter val="G3930T"/>
            <filter val="4300G"/>
            <filter val="13600"/>
            <filter val="6320"/>
            <filter val="8600K"/>
            <filter val="13500T"/>
            <filter val="8600G"/>
            <filter val="G5400"/>
            <filter val="8500"/>
            <filter val="11400T"/>
            <filter val="7500T"/>
            <filter val="4600GE"/>
            <filter val="7350K"/>
            <filter val="9600KF"/>
            <filter val="G3900"/>
            <filter val="G6405T"/>
            <filter val="10900"/>
            <filter val="7500F"/>
            <filter val="14100T"/>
            <filter val="8600T"/>
            <filter val="7645"/>
            <filter val="10300T"/>
            <filter val="12400"/>
            <filter val="10100"/>
            <filter val="4650G"/>
            <filter val="10105"/>
            <filter val="14700"/>
            <filter val="9300T"/>
            <filter val="14700F"/>
            <filter val="G4560"/>
            <filter val="8700K"/>
            <filter val="14700K"/>
            <filter val="7300"/>
            <filter val="8700G"/>
            <filter val="6400T"/>
            <filter val="9600"/>
            <filter val="G6500"/>
            <filter val="8700F"/>
            <filter val="G5905T"/>
            <filter val="G6505"/>
            <filter val="G6505T"/>
            <filter val="12500T"/>
            <filter val="G4900T"/>
            <filter val="7950X"/>
            <filter val="11400F"/>
            <filter val="8700T"/>
            <filter val="11400"/>
            <filter val="13700"/>
            <filter val="6100"/>
            <filter val="G5420"/>
            <filter val="10105T"/>
            <filter val="G5500T"/>
            <filter val="8400"/>
            <filter val="11900F"/>
            <filter val="G3920"/>
            <filter val="G4400T"/>
            <filter val="11900T"/>
            <filter val="13600K"/>
            <filter val="14700T"/>
            <filter val="4650GE"/>
            <filter val="10105F"/>
            <filter val="11900K"/>
            <filter val="10320"/>
            <filter val="10325"/>
            <filter val="12500"/>
          </filters>
        </filterColumn>
        <filterColumn colId="3">
          <filters>
            <filter val="1151 v2"/>
            <filter val="1700"/>
            <filter val="1200"/>
            <filter val="AM4"/>
            <filter val="1151 v1"/>
          </filters>
        </filterColumn>
      </autoFilter>
    </customSheetView>
  </customSheetViews>
  <conditionalFormatting sqref="G2:G368">
    <cfRule type="colorScale" priority="1">
      <colorScale>
        <cfvo type="min"/>
        <cfvo type="percentile" val="50"/>
        <cfvo type="max"/>
        <color rgb="FFE67C73"/>
        <color rgb="FFFFD666"/>
        <color rgb="FF57BB8A"/>
      </colorScale>
    </cfRule>
  </conditionalFormatting>
  <conditionalFormatting sqref="H2:H368">
    <cfRule type="colorScale" priority="2">
      <colorScale>
        <cfvo type="min"/>
        <cfvo type="percentile" val="50"/>
        <cfvo type="max"/>
        <color rgb="FFE67C73"/>
        <color rgb="FFFFD666"/>
        <color rgb="FF57BB8A"/>
      </colorScale>
    </cfRule>
  </conditionalFormatting>
  <conditionalFormatting sqref="Q2:Q368">
    <cfRule type="colorScale" priority="3">
      <colorScale>
        <cfvo type="min"/>
        <cfvo type="percentile" val="50"/>
        <cfvo type="max"/>
        <color rgb="FF57BB8A"/>
        <color rgb="FFFFD666"/>
        <color rgb="FFE67C73"/>
      </colorScale>
    </cfRule>
  </conditionalFormatting>
  <conditionalFormatting sqref="R2:R368">
    <cfRule type="cellIs" dxfId="3" priority="4" operator="equal">
      <formula>"Y"</formula>
    </cfRule>
  </conditionalFormatting>
  <conditionalFormatting sqref="I2:I368">
    <cfRule type="colorScale" priority="5">
      <colorScale>
        <cfvo type="min"/>
        <cfvo type="percentile" val="50"/>
        <cfvo type="max"/>
        <color rgb="FFE67C73"/>
        <color rgb="FFFFD666"/>
        <color rgb="FF57BB8A"/>
      </colorScale>
    </cfRule>
  </conditionalFormatting>
  <conditionalFormatting sqref="J2:J368">
    <cfRule type="colorScale" priority="6">
      <colorScale>
        <cfvo type="min"/>
        <cfvo type="percentile" val="50"/>
        <cfvo type="max"/>
        <color rgb="FFE67C73"/>
        <color rgb="FFFFD666"/>
        <color rgb="FF57BB8A"/>
      </colorScale>
    </cfRule>
  </conditionalFormatting>
  <conditionalFormatting sqref="P2:P368">
    <cfRule type="colorScale" priority="7">
      <colorScale>
        <cfvo type="min"/>
        <cfvo type="percentile" val="50"/>
        <cfvo type="max"/>
        <color rgb="FFE67C73"/>
        <color rgb="FFFFD666"/>
        <color rgb="FF57BB8A"/>
      </colorScale>
    </cfRule>
  </conditionalFormatting>
  <conditionalFormatting sqref="S2:S368">
    <cfRule type="colorScale" priority="8">
      <colorScale>
        <cfvo type="min"/>
        <cfvo type="percentile" val="50"/>
        <cfvo type="max"/>
        <color rgb="FF57BB8A"/>
        <color rgb="FFFFD666"/>
        <color rgb="FFE67C73"/>
      </colorScale>
    </cfRule>
  </conditionalFormatting>
  <conditionalFormatting sqref="K2:K368">
    <cfRule type="colorScale" priority="9">
      <colorScale>
        <cfvo type="min"/>
        <cfvo type="percentile" val="50"/>
        <cfvo type="max"/>
        <color rgb="FFE67C73"/>
        <color rgb="FFFFD666"/>
        <color rgb="FF57BB8A"/>
      </colorScale>
    </cfRule>
  </conditionalFormatting>
  <conditionalFormatting sqref="L2:L368">
    <cfRule type="colorScale" priority="10">
      <colorScale>
        <cfvo type="min"/>
        <cfvo type="percentile" val="50"/>
        <cfvo type="max"/>
        <color rgb="FFE67C73"/>
        <color rgb="FFFFD666"/>
        <color rgb="FF57BB8A"/>
      </colorScale>
    </cfRule>
  </conditionalFormatting>
  <hyperlinks>
    <hyperlink r:id="rId2" ref="C2"/>
    <hyperlink r:id="rId3" ref="C4"/>
    <hyperlink r:id="rId4" ref="C5"/>
    <hyperlink r:id="rId5" ref="C6"/>
    <hyperlink r:id="rId6" ref="C7"/>
    <hyperlink r:id="rId7" ref="C8"/>
    <hyperlink r:id="rId8" ref="C9"/>
    <hyperlink r:id="rId9" ref="C10"/>
    <hyperlink r:id="rId10" ref="C11"/>
    <hyperlink r:id="rId11" ref="C12"/>
    <hyperlink r:id="rId12" ref="C16"/>
    <hyperlink r:id="rId13" ref="C17"/>
    <hyperlink r:id="rId14" ref="C18"/>
    <hyperlink r:id="rId15" ref="C19"/>
    <hyperlink r:id="rId16" ref="C20"/>
    <hyperlink r:id="rId17" ref="C21"/>
    <hyperlink r:id="rId18" ref="C27"/>
    <hyperlink r:id="rId19" ref="C28"/>
    <hyperlink r:id="rId20" ref="C29"/>
    <hyperlink r:id="rId21" ref="C31"/>
    <hyperlink r:id="rId22" ref="C32"/>
    <hyperlink r:id="rId23" ref="C35"/>
    <hyperlink r:id="rId24" ref="C36"/>
    <hyperlink r:id="rId25" ref="C37"/>
    <hyperlink r:id="rId26" ref="C39"/>
    <hyperlink r:id="rId27" ref="C41"/>
    <hyperlink r:id="rId28" ref="C44"/>
    <hyperlink r:id="rId29" ref="C45"/>
    <hyperlink r:id="rId30" ref="C48"/>
    <hyperlink r:id="rId31" ref="C49"/>
    <hyperlink r:id="rId32" ref="C51"/>
    <hyperlink r:id="rId33" ref="C53"/>
    <hyperlink r:id="rId34" ref="C54"/>
    <hyperlink r:id="rId35" ref="C55"/>
    <hyperlink r:id="rId36" ref="C56"/>
    <hyperlink r:id="rId37" ref="C57"/>
    <hyperlink r:id="rId38" ref="C58"/>
    <hyperlink r:id="rId39" ref="C59"/>
    <hyperlink r:id="rId40" ref="C60"/>
    <hyperlink r:id="rId41" ref="C61"/>
    <hyperlink r:id="rId42" ref="C62"/>
    <hyperlink r:id="rId43" ref="C63"/>
    <hyperlink r:id="rId44" ref="C64"/>
    <hyperlink r:id="rId45" ref="C65"/>
    <hyperlink r:id="rId46" ref="C66"/>
    <hyperlink r:id="rId47" ref="C67"/>
    <hyperlink r:id="rId48" ref="C68"/>
    <hyperlink r:id="rId49" ref="C69"/>
    <hyperlink r:id="rId50" ref="C70"/>
    <hyperlink r:id="rId51" ref="C71"/>
    <hyperlink r:id="rId52" ref="C73"/>
    <hyperlink r:id="rId53" ref="C74"/>
    <hyperlink r:id="rId54" ref="C75"/>
    <hyperlink r:id="rId55" ref="C77"/>
    <hyperlink r:id="rId56" ref="C78"/>
    <hyperlink r:id="rId57" ref="C79"/>
    <hyperlink r:id="rId58" ref="C80"/>
    <hyperlink r:id="rId59" ref="C81"/>
    <hyperlink r:id="rId60" ref="C82"/>
    <hyperlink r:id="rId61" ref="C84"/>
    <hyperlink r:id="rId62" ref="C86"/>
    <hyperlink r:id="rId63" ref="C87"/>
    <hyperlink r:id="rId64" ref="C88"/>
    <hyperlink r:id="rId65" ref="C89"/>
    <hyperlink r:id="rId66" ref="C90"/>
    <hyperlink r:id="rId67" ref="C91"/>
    <hyperlink r:id="rId68" ref="C92"/>
    <hyperlink r:id="rId69" ref="C93"/>
    <hyperlink r:id="rId70" ref="C94"/>
    <hyperlink r:id="rId71" ref="C95"/>
    <hyperlink r:id="rId72" ref="C96"/>
    <hyperlink r:id="rId73" ref="C97"/>
    <hyperlink r:id="rId74" ref="C98"/>
    <hyperlink r:id="rId75" ref="C99"/>
    <hyperlink r:id="rId76" ref="C100"/>
    <hyperlink r:id="rId77" ref="C101"/>
    <hyperlink r:id="rId78" ref="C102"/>
    <hyperlink r:id="rId79" ref="C103"/>
    <hyperlink r:id="rId80" ref="C104"/>
    <hyperlink r:id="rId81" ref="C105"/>
    <hyperlink r:id="rId82" ref="C106"/>
    <hyperlink r:id="rId83" ref="C107"/>
    <hyperlink r:id="rId84" ref="C108"/>
    <hyperlink r:id="rId85" ref="C109"/>
    <hyperlink r:id="rId86" ref="C110"/>
    <hyperlink r:id="rId87" ref="C111"/>
    <hyperlink r:id="rId88" ref="C112"/>
    <hyperlink r:id="rId89" ref="C113"/>
    <hyperlink r:id="rId90" ref="C114"/>
    <hyperlink r:id="rId91" ref="C115"/>
    <hyperlink r:id="rId92" ref="C116"/>
    <hyperlink r:id="rId93" ref="C117"/>
    <hyperlink r:id="rId94" ref="C226"/>
    <hyperlink r:id="rId95" ref="C227"/>
    <hyperlink r:id="rId96" ref="C229"/>
    <hyperlink r:id="rId97" ref="C232"/>
    <hyperlink r:id="rId98" ref="C233"/>
    <hyperlink r:id="rId99" ref="C236"/>
    <hyperlink r:id="rId100" ref="C237"/>
    <hyperlink r:id="rId101" ref="C239"/>
    <hyperlink r:id="rId102" ref="C241"/>
    <hyperlink r:id="rId103" ref="C243"/>
    <hyperlink r:id="rId104" ref="C244"/>
    <hyperlink r:id="rId105" ref="C245"/>
    <hyperlink r:id="rId106" ref="C248"/>
    <hyperlink r:id="rId107" ref="C249"/>
    <hyperlink r:id="rId108" ref="C251"/>
    <hyperlink r:id="rId109" ref="C257"/>
    <hyperlink r:id="rId110" ref="C267"/>
    <hyperlink r:id="rId111" ref="C273"/>
    <hyperlink r:id="rId112" ref="C274"/>
    <hyperlink r:id="rId113" ref="C275"/>
    <hyperlink r:id="rId114" ref="C276"/>
    <hyperlink r:id="rId115" ref="C277"/>
    <hyperlink r:id="rId116" ref="C278"/>
    <hyperlink r:id="rId117" ref="C279"/>
    <hyperlink r:id="rId118" ref="C280"/>
    <hyperlink r:id="rId119" ref="C281"/>
    <hyperlink r:id="rId120" ref="C282"/>
    <hyperlink r:id="rId121" ref="C283"/>
    <hyperlink r:id="rId122" ref="C284"/>
    <hyperlink r:id="rId123" ref="C285"/>
    <hyperlink r:id="rId124" ref="C286"/>
    <hyperlink r:id="rId125" ref="C287"/>
    <hyperlink r:id="rId126" ref="C288"/>
    <hyperlink r:id="rId127" ref="C289"/>
    <hyperlink r:id="rId128" ref="C290"/>
    <hyperlink r:id="rId129" ref="C291"/>
    <hyperlink r:id="rId130" ref="C292"/>
    <hyperlink r:id="rId131" ref="C293"/>
    <hyperlink r:id="rId132" ref="C294"/>
    <hyperlink r:id="rId133" ref="C295"/>
    <hyperlink r:id="rId134" ref="C296"/>
    <hyperlink r:id="rId135" ref="C297"/>
    <hyperlink r:id="rId136" ref="C298"/>
    <hyperlink r:id="rId137" ref="C299"/>
    <hyperlink r:id="rId138" ref="C300"/>
    <hyperlink r:id="rId139" ref="C301"/>
    <hyperlink r:id="rId140" ref="C302"/>
    <hyperlink r:id="rId141" ref="C303"/>
    <hyperlink r:id="rId142" ref="C304"/>
    <hyperlink r:id="rId143" ref="C305"/>
    <hyperlink r:id="rId144" ref="C306"/>
    <hyperlink r:id="rId145" ref="C307"/>
    <hyperlink r:id="rId146" ref="C308"/>
    <hyperlink r:id="rId147" ref="C309"/>
    <hyperlink r:id="rId148" ref="C310"/>
    <hyperlink r:id="rId149" ref="C311"/>
    <hyperlink r:id="rId150" ref="C312"/>
    <hyperlink r:id="rId151" ref="C313"/>
    <hyperlink r:id="rId152" ref="C314"/>
    <hyperlink r:id="rId153" ref="C315"/>
    <hyperlink r:id="rId154" ref="C316"/>
    <hyperlink r:id="rId155" ref="C317"/>
    <hyperlink r:id="rId156" ref="C318"/>
    <hyperlink r:id="rId157" ref="C319"/>
    <hyperlink r:id="rId158" ref="C320"/>
    <hyperlink r:id="rId159" ref="C321"/>
    <hyperlink r:id="rId160" ref="C322"/>
    <hyperlink r:id="rId161" ref="C323"/>
    <hyperlink r:id="rId162" ref="C324"/>
    <hyperlink r:id="rId163" ref="C325"/>
    <hyperlink r:id="rId164" ref="C326"/>
    <hyperlink r:id="rId165" ref="C327"/>
    <hyperlink r:id="rId166" ref="C328"/>
    <hyperlink r:id="rId167" ref="C329"/>
    <hyperlink r:id="rId168" ref="C330"/>
    <hyperlink r:id="rId169" ref="C331"/>
    <hyperlink r:id="rId170" ref="C332"/>
    <hyperlink r:id="rId171" ref="C333"/>
    <hyperlink r:id="rId172" ref="C334"/>
    <hyperlink r:id="rId173" ref="C335"/>
    <hyperlink r:id="rId174" ref="C336"/>
    <hyperlink r:id="rId175" ref="C337"/>
    <hyperlink r:id="rId176" ref="C338"/>
    <hyperlink r:id="rId177" ref="C339"/>
    <hyperlink r:id="rId178" ref="C340"/>
    <hyperlink r:id="rId179" ref="C341"/>
    <hyperlink r:id="rId180" ref="C342"/>
    <hyperlink r:id="rId181" ref="C343"/>
    <hyperlink r:id="rId182" ref="C344"/>
    <hyperlink r:id="rId183" ref="C345"/>
    <hyperlink r:id="rId184" ref="C346"/>
    <hyperlink r:id="rId185" ref="C347"/>
    <hyperlink r:id="rId186" ref="C348"/>
    <hyperlink r:id="rId187" ref="C349"/>
    <hyperlink r:id="rId188" ref="C350"/>
    <hyperlink r:id="rId189" ref="C351"/>
    <hyperlink r:id="rId190" ref="C352"/>
    <hyperlink r:id="rId191" ref="C353"/>
    <hyperlink r:id="rId192" ref="C354"/>
    <hyperlink r:id="rId193" ref="C355"/>
    <hyperlink r:id="rId194" ref="C356"/>
    <hyperlink r:id="rId195" ref="C357"/>
    <hyperlink r:id="rId196" ref="C358"/>
    <hyperlink r:id="rId197" ref="C359"/>
    <hyperlink r:id="rId198" ref="C360"/>
    <hyperlink r:id="rId199" ref="C361"/>
    <hyperlink r:id="rId200" ref="C362"/>
    <hyperlink r:id="rId201" ref="C363"/>
    <hyperlink r:id="rId202" ref="C364"/>
    <hyperlink r:id="rId203" ref="C365"/>
    <hyperlink r:id="rId204" ref="C366"/>
    <hyperlink r:id="rId205" ref="C367"/>
    <hyperlink r:id="rId206" ref="C368"/>
  </hyperlinks>
  <drawing r:id="rId207"/>
  <legacyDrawing r:id="rId20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2" width="5.63"/>
    <col customWidth="1" min="3" max="3" width="6.88"/>
    <col customWidth="1" min="4" max="4" width="5.63"/>
    <col customWidth="1" min="5" max="5" width="6.25"/>
    <col customWidth="1" min="6" max="6" width="9.63"/>
    <col customWidth="1" min="7" max="7" width="5.63"/>
    <col customWidth="1" min="8" max="8" width="7.75"/>
    <col customWidth="1" min="9" max="17" width="5.63"/>
    <col customWidth="1" min="18" max="18" width="21.75"/>
  </cols>
  <sheetData>
    <row r="1" ht="84.0" customHeight="1">
      <c r="A1" s="34" t="s">
        <v>1579</v>
      </c>
      <c r="B1" s="36" t="s">
        <v>46</v>
      </c>
      <c r="C1" s="36" t="s">
        <v>4896</v>
      </c>
      <c r="D1" s="36" t="s">
        <v>4903</v>
      </c>
      <c r="E1" s="36" t="s">
        <v>4904</v>
      </c>
      <c r="F1" s="36" t="s">
        <v>6638</v>
      </c>
      <c r="G1" s="36" t="s">
        <v>6639</v>
      </c>
      <c r="H1" s="36" t="s">
        <v>6640</v>
      </c>
      <c r="I1" s="36" t="s">
        <v>6641</v>
      </c>
      <c r="J1" s="36" t="s">
        <v>6642</v>
      </c>
      <c r="K1" s="36" t="s">
        <v>6643</v>
      </c>
      <c r="L1" s="36" t="s">
        <v>6644</v>
      </c>
      <c r="M1" s="36" t="s">
        <v>6645</v>
      </c>
      <c r="N1" s="36" t="s">
        <v>6646</v>
      </c>
      <c r="O1" s="36" t="s">
        <v>4899</v>
      </c>
      <c r="P1" s="36" t="s">
        <v>4900</v>
      </c>
      <c r="Q1" s="36" t="s">
        <v>1588</v>
      </c>
      <c r="R1" s="316" t="s">
        <v>6647</v>
      </c>
      <c r="S1" s="45"/>
      <c r="T1" s="45"/>
      <c r="U1" s="45"/>
      <c r="V1" s="45"/>
      <c r="W1" s="45"/>
      <c r="X1" s="45"/>
      <c r="Y1" s="45"/>
      <c r="Z1" s="45"/>
      <c r="AA1" s="45"/>
      <c r="AB1" s="45"/>
      <c r="AC1" s="45"/>
    </row>
    <row r="2">
      <c r="A2" s="507" t="s">
        <v>1664</v>
      </c>
      <c r="B2" s="267" t="s">
        <v>4947</v>
      </c>
      <c r="C2" s="260" t="s">
        <v>4946</v>
      </c>
      <c r="D2" s="260">
        <v>4.0</v>
      </c>
      <c r="E2" s="260" t="s">
        <v>3149</v>
      </c>
      <c r="F2" s="260" t="s">
        <v>6648</v>
      </c>
      <c r="G2" s="260">
        <v>32.0</v>
      </c>
      <c r="H2" s="260" t="s">
        <v>6649</v>
      </c>
      <c r="I2" s="260">
        <v>6.0</v>
      </c>
      <c r="J2" s="260">
        <v>2.0</v>
      </c>
      <c r="K2" s="260">
        <v>1.0</v>
      </c>
      <c r="L2" s="260" t="s">
        <v>166</v>
      </c>
      <c r="M2" s="260">
        <v>4.0</v>
      </c>
      <c r="N2" s="830" t="s">
        <v>174</v>
      </c>
      <c r="O2" s="260" t="s">
        <v>166</v>
      </c>
      <c r="P2" s="260" t="s">
        <v>174</v>
      </c>
      <c r="Q2" s="260">
        <v>5.0</v>
      </c>
      <c r="R2" s="825" t="s">
        <v>6650</v>
      </c>
    </row>
    <row r="3">
      <c r="A3" s="507" t="s">
        <v>1664</v>
      </c>
      <c r="B3" s="267" t="s">
        <v>4965</v>
      </c>
      <c r="C3" s="260" t="s">
        <v>4946</v>
      </c>
      <c r="D3" s="260">
        <v>4.0</v>
      </c>
      <c r="E3" s="260" t="s">
        <v>3149</v>
      </c>
      <c r="F3" s="260" t="s">
        <v>6648</v>
      </c>
      <c r="G3" s="260">
        <v>32.0</v>
      </c>
      <c r="H3" s="260" t="s">
        <v>6651</v>
      </c>
      <c r="I3" s="260">
        <v>6.0</v>
      </c>
      <c r="J3" s="260">
        <v>2.0</v>
      </c>
      <c r="K3" s="260">
        <v>2.0</v>
      </c>
      <c r="L3" s="260" t="s">
        <v>166</v>
      </c>
      <c r="M3" s="260">
        <v>4.0</v>
      </c>
      <c r="N3" s="830" t="s">
        <v>174</v>
      </c>
      <c r="O3" s="260" t="s">
        <v>174</v>
      </c>
      <c r="P3" s="260" t="s">
        <v>174</v>
      </c>
      <c r="Q3" s="260">
        <v>5.0</v>
      </c>
      <c r="R3" s="825" t="s">
        <v>6650</v>
      </c>
    </row>
    <row r="4">
      <c r="A4" s="519" t="s">
        <v>1664</v>
      </c>
      <c r="B4" s="831" t="s">
        <v>4985</v>
      </c>
      <c r="C4" s="393" t="s">
        <v>4946</v>
      </c>
      <c r="D4" s="393">
        <v>4.0</v>
      </c>
      <c r="E4" s="393" t="s">
        <v>3149</v>
      </c>
      <c r="F4" s="393" t="s">
        <v>6648</v>
      </c>
      <c r="G4" s="393">
        <v>32.0</v>
      </c>
      <c r="H4" s="393" t="s">
        <v>6652</v>
      </c>
      <c r="I4" s="393">
        <v>6.0</v>
      </c>
      <c r="J4" s="393">
        <v>6.0</v>
      </c>
      <c r="K4" s="393">
        <v>2.0</v>
      </c>
      <c r="L4" s="393" t="s">
        <v>166</v>
      </c>
      <c r="M4" s="393">
        <v>8.0</v>
      </c>
      <c r="N4" s="832" t="s">
        <v>174</v>
      </c>
      <c r="O4" s="393" t="s">
        <v>174</v>
      </c>
      <c r="P4" s="393" t="s">
        <v>174</v>
      </c>
      <c r="Q4" s="393">
        <v>5.0</v>
      </c>
      <c r="R4" s="686" t="s">
        <v>6650</v>
      </c>
    </row>
    <row r="5">
      <c r="A5" s="507" t="s">
        <v>1664</v>
      </c>
      <c r="B5" s="267" t="s">
        <v>4991</v>
      </c>
      <c r="C5" s="260" t="s">
        <v>4946</v>
      </c>
      <c r="D5" s="260">
        <v>4.0</v>
      </c>
      <c r="E5" s="260" t="s">
        <v>3149</v>
      </c>
      <c r="F5" s="260" t="s">
        <v>6648</v>
      </c>
      <c r="G5" s="260">
        <v>32.0</v>
      </c>
      <c r="H5" s="260" t="s">
        <v>6651</v>
      </c>
      <c r="I5" s="260">
        <v>6.0</v>
      </c>
      <c r="J5" s="260">
        <v>2.0</v>
      </c>
      <c r="K5" s="260">
        <v>2.0</v>
      </c>
      <c r="L5" s="260" t="s">
        <v>166</v>
      </c>
      <c r="M5" s="260">
        <v>4.0</v>
      </c>
      <c r="N5" s="830" t="s">
        <v>174</v>
      </c>
      <c r="O5" s="260" t="s">
        <v>174</v>
      </c>
      <c r="P5" s="260" t="s">
        <v>174</v>
      </c>
      <c r="Q5" s="260">
        <v>5.0</v>
      </c>
      <c r="R5" s="825" t="s">
        <v>6650</v>
      </c>
    </row>
    <row r="6">
      <c r="A6" s="519" t="s">
        <v>1664</v>
      </c>
      <c r="B6" s="831" t="s">
        <v>5000</v>
      </c>
      <c r="C6" s="393" t="s">
        <v>4946</v>
      </c>
      <c r="D6" s="393">
        <v>4.0</v>
      </c>
      <c r="E6" s="393" t="s">
        <v>3149</v>
      </c>
      <c r="F6" s="393" t="s">
        <v>6648</v>
      </c>
      <c r="G6" s="393">
        <v>32.0</v>
      </c>
      <c r="H6" s="393" t="s">
        <v>6652</v>
      </c>
      <c r="I6" s="393">
        <v>6.0</v>
      </c>
      <c r="J6" s="393">
        <v>6.0</v>
      </c>
      <c r="K6" s="393">
        <v>2.0</v>
      </c>
      <c r="L6" s="393" t="s">
        <v>166</v>
      </c>
      <c r="M6" s="393">
        <v>8.0</v>
      </c>
      <c r="N6" s="832" t="s">
        <v>174</v>
      </c>
      <c r="O6" s="393" t="s">
        <v>174</v>
      </c>
      <c r="P6" s="393" t="s">
        <v>174</v>
      </c>
      <c r="Q6" s="393">
        <v>5.0</v>
      </c>
      <c r="R6" s="686" t="s">
        <v>6650</v>
      </c>
    </row>
    <row r="7">
      <c r="A7" s="507" t="s">
        <v>1664</v>
      </c>
      <c r="B7" s="267" t="s">
        <v>5004</v>
      </c>
      <c r="C7" s="260" t="s">
        <v>4946</v>
      </c>
      <c r="D7" s="260">
        <v>4.0</v>
      </c>
      <c r="E7" s="260" t="s">
        <v>3149</v>
      </c>
      <c r="F7" s="260" t="s">
        <v>6648</v>
      </c>
      <c r="G7" s="260">
        <v>32.0</v>
      </c>
      <c r="H7" s="260" t="s">
        <v>6653</v>
      </c>
      <c r="I7" s="260">
        <v>6.0</v>
      </c>
      <c r="J7" s="260">
        <v>2.0</v>
      </c>
      <c r="K7" s="260">
        <v>5.0</v>
      </c>
      <c r="L7" s="260" t="s">
        <v>166</v>
      </c>
      <c r="M7" s="260">
        <v>4.0</v>
      </c>
      <c r="N7" s="830" t="s">
        <v>174</v>
      </c>
      <c r="O7" s="260" t="s">
        <v>166</v>
      </c>
      <c r="P7" s="260" t="s">
        <v>174</v>
      </c>
      <c r="Q7" s="260">
        <v>5.0</v>
      </c>
      <c r="R7" s="825" t="s">
        <v>6654</v>
      </c>
    </row>
    <row r="8">
      <c r="A8" s="507" t="s">
        <v>1664</v>
      </c>
      <c r="B8" s="267" t="s">
        <v>5019</v>
      </c>
      <c r="C8" s="260" t="s">
        <v>4946</v>
      </c>
      <c r="D8" s="260">
        <v>4.0</v>
      </c>
      <c r="E8" s="260" t="s">
        <v>3149</v>
      </c>
      <c r="F8" s="260" t="s">
        <v>6648</v>
      </c>
      <c r="G8" s="260">
        <v>32.0</v>
      </c>
      <c r="H8" s="260" t="s">
        <v>6655</v>
      </c>
      <c r="I8" s="260">
        <v>6.0</v>
      </c>
      <c r="J8" s="260">
        <v>2.0</v>
      </c>
      <c r="K8" s="260">
        <v>6.0</v>
      </c>
      <c r="L8" s="260" t="s">
        <v>166</v>
      </c>
      <c r="M8" s="260">
        <v>8.0</v>
      </c>
      <c r="N8" s="830" t="s">
        <v>174</v>
      </c>
      <c r="O8" s="260" t="s">
        <v>174</v>
      </c>
      <c r="P8" s="260" t="s">
        <v>174</v>
      </c>
      <c r="Q8" s="260">
        <v>5.0</v>
      </c>
      <c r="R8" s="825" t="s">
        <v>6654</v>
      </c>
    </row>
    <row r="9">
      <c r="A9" s="519" t="s">
        <v>1664</v>
      </c>
      <c r="B9" s="831" t="s">
        <v>5060</v>
      </c>
      <c r="C9" s="393" t="s">
        <v>4946</v>
      </c>
      <c r="D9" s="393">
        <v>4.0</v>
      </c>
      <c r="E9" s="393" t="s">
        <v>3149</v>
      </c>
      <c r="F9" s="393" t="s">
        <v>4683</v>
      </c>
      <c r="G9" s="393">
        <v>64.0</v>
      </c>
      <c r="H9" s="393" t="s">
        <v>6507</v>
      </c>
      <c r="I9" s="393">
        <v>4.0</v>
      </c>
      <c r="J9" s="393" t="s">
        <v>166</v>
      </c>
      <c r="K9" s="393">
        <v>12.0</v>
      </c>
      <c r="L9" s="393" t="s">
        <v>166</v>
      </c>
      <c r="M9" s="393">
        <v>14.0</v>
      </c>
      <c r="N9" s="832" t="s">
        <v>174</v>
      </c>
      <c r="O9" s="393" t="s">
        <v>174</v>
      </c>
      <c r="P9" s="393" t="s">
        <v>174</v>
      </c>
      <c r="Q9" s="393">
        <v>15.0</v>
      </c>
      <c r="R9" s="686" t="s">
        <v>6656</v>
      </c>
    </row>
    <row r="10">
      <c r="A10" s="507" t="s">
        <v>1664</v>
      </c>
      <c r="B10" s="833" t="s">
        <v>5082</v>
      </c>
      <c r="C10" s="260" t="s">
        <v>5081</v>
      </c>
      <c r="D10" s="260">
        <v>4.0</v>
      </c>
      <c r="E10" s="260" t="s">
        <v>3151</v>
      </c>
      <c r="F10" s="260" t="s">
        <v>4683</v>
      </c>
      <c r="G10" s="260">
        <v>64.0</v>
      </c>
      <c r="H10" s="823" t="s">
        <v>6657</v>
      </c>
      <c r="I10" s="260" t="s">
        <v>166</v>
      </c>
      <c r="J10" s="260">
        <v>2.0</v>
      </c>
      <c r="K10" s="260">
        <v>2.0</v>
      </c>
      <c r="L10" s="260" t="s">
        <v>166</v>
      </c>
      <c r="M10" s="260">
        <v>4.0</v>
      </c>
      <c r="N10" s="830" t="s">
        <v>174</v>
      </c>
      <c r="O10" s="260" t="s">
        <v>166</v>
      </c>
      <c r="P10" s="260" t="s">
        <v>174</v>
      </c>
      <c r="Q10" s="260">
        <v>4.5</v>
      </c>
      <c r="R10" s="825" t="s">
        <v>6658</v>
      </c>
    </row>
    <row r="11">
      <c r="A11" s="507" t="s">
        <v>1664</v>
      </c>
      <c r="B11" s="833" t="s">
        <v>5092</v>
      </c>
      <c r="C11" s="260" t="s">
        <v>5081</v>
      </c>
      <c r="D11" s="260">
        <v>4.0</v>
      </c>
      <c r="E11" s="260" t="s">
        <v>3151</v>
      </c>
      <c r="F11" s="260" t="s">
        <v>4683</v>
      </c>
      <c r="G11" s="260">
        <v>64.0</v>
      </c>
      <c r="H11" s="823" t="s">
        <v>6659</v>
      </c>
      <c r="I11" s="260" t="s">
        <v>166</v>
      </c>
      <c r="J11" s="260">
        <v>1.0</v>
      </c>
      <c r="K11" s="260">
        <v>6.0</v>
      </c>
      <c r="L11" s="260">
        <v>1.0</v>
      </c>
      <c r="M11" s="260">
        <v>4.0</v>
      </c>
      <c r="N11" s="830" t="s">
        <v>174</v>
      </c>
      <c r="O11" s="260" t="s">
        <v>174</v>
      </c>
      <c r="P11" s="260" t="s">
        <v>174</v>
      </c>
      <c r="Q11" s="260">
        <v>7.0</v>
      </c>
      <c r="R11" s="825" t="s">
        <v>6658</v>
      </c>
    </row>
    <row r="12">
      <c r="A12" s="507" t="s">
        <v>1664</v>
      </c>
      <c r="B12" s="833" t="s">
        <v>5109</v>
      </c>
      <c r="C12" s="260" t="s">
        <v>5081</v>
      </c>
      <c r="D12" s="260">
        <v>4.0</v>
      </c>
      <c r="E12" s="260" t="s">
        <v>3151</v>
      </c>
      <c r="F12" s="260" t="s">
        <v>4683</v>
      </c>
      <c r="G12" s="260">
        <v>64.0</v>
      </c>
      <c r="H12" s="823" t="s">
        <v>6659</v>
      </c>
      <c r="I12" s="260" t="s">
        <v>166</v>
      </c>
      <c r="J12" s="260">
        <v>1.0</v>
      </c>
      <c r="K12" s="260">
        <v>6.0</v>
      </c>
      <c r="L12" s="260">
        <v>1.0</v>
      </c>
      <c r="M12" s="260">
        <v>4.0</v>
      </c>
      <c r="N12" s="830" t="s">
        <v>174</v>
      </c>
      <c r="O12" s="260" t="s">
        <v>174</v>
      </c>
      <c r="P12" s="260" t="s">
        <v>174</v>
      </c>
      <c r="Q12" s="260">
        <v>7.0</v>
      </c>
      <c r="R12" s="825" t="s">
        <v>6658</v>
      </c>
    </row>
    <row r="13">
      <c r="A13" s="507" t="s">
        <v>1664</v>
      </c>
      <c r="B13" s="833" t="s">
        <v>6660</v>
      </c>
      <c r="C13" s="260" t="s">
        <v>5081</v>
      </c>
      <c r="D13" s="260">
        <v>4.0</v>
      </c>
      <c r="E13" s="260" t="s">
        <v>3151</v>
      </c>
      <c r="F13" s="260" t="s">
        <v>4683</v>
      </c>
      <c r="G13" s="260">
        <v>64.0</v>
      </c>
      <c r="H13" s="823" t="s">
        <v>6661</v>
      </c>
      <c r="I13" s="260" t="s">
        <v>166</v>
      </c>
      <c r="J13" s="260">
        <v>2.0</v>
      </c>
      <c r="K13" s="260">
        <v>12.0</v>
      </c>
      <c r="L13" s="260">
        <v>2.0</v>
      </c>
      <c r="M13" s="260">
        <v>8.0</v>
      </c>
      <c r="N13" s="830" t="s">
        <v>174</v>
      </c>
      <c r="O13" s="260" t="s">
        <v>174</v>
      </c>
      <c r="P13" s="260" t="s">
        <v>174</v>
      </c>
      <c r="Q13" s="260">
        <v>14.0</v>
      </c>
      <c r="R13" s="825" t="s">
        <v>6658</v>
      </c>
    </row>
    <row r="14">
      <c r="A14" s="519" t="s">
        <v>1664</v>
      </c>
      <c r="B14" s="834" t="s">
        <v>5124</v>
      </c>
      <c r="C14" s="393" t="s">
        <v>5081</v>
      </c>
      <c r="D14" s="393">
        <v>4.0</v>
      </c>
      <c r="E14" s="393" t="s">
        <v>3151</v>
      </c>
      <c r="F14" s="393" t="s">
        <v>4683</v>
      </c>
      <c r="G14" s="393">
        <v>64.0</v>
      </c>
      <c r="H14" s="828" t="s">
        <v>6661</v>
      </c>
      <c r="I14" s="393" t="s">
        <v>166</v>
      </c>
      <c r="J14" s="393">
        <v>2.0</v>
      </c>
      <c r="K14" s="393">
        <v>12.0</v>
      </c>
      <c r="L14" s="393">
        <v>2.0</v>
      </c>
      <c r="M14" s="393">
        <v>8.0</v>
      </c>
      <c r="N14" s="832" t="s">
        <v>174</v>
      </c>
      <c r="O14" s="393" t="s">
        <v>174</v>
      </c>
      <c r="P14" s="393" t="s">
        <v>174</v>
      </c>
      <c r="Q14" s="393">
        <v>14.0</v>
      </c>
      <c r="R14" s="686" t="s">
        <v>6658</v>
      </c>
    </row>
    <row r="15">
      <c r="A15" s="507" t="s">
        <v>1664</v>
      </c>
      <c r="B15" s="833" t="s">
        <v>6662</v>
      </c>
      <c r="C15" s="260" t="s">
        <v>5081</v>
      </c>
      <c r="D15" s="260">
        <v>4.0</v>
      </c>
      <c r="E15" s="260" t="s">
        <v>3151</v>
      </c>
      <c r="F15" s="260" t="s">
        <v>4683</v>
      </c>
      <c r="G15" s="260">
        <v>64.0</v>
      </c>
      <c r="H15" s="823" t="s">
        <v>6659</v>
      </c>
      <c r="I15" s="260" t="s">
        <v>166</v>
      </c>
      <c r="J15" s="260">
        <v>1.0</v>
      </c>
      <c r="K15" s="260">
        <v>6.0</v>
      </c>
      <c r="L15" s="260">
        <v>1.0</v>
      </c>
      <c r="M15" s="260">
        <v>4.0</v>
      </c>
      <c r="N15" s="830" t="s">
        <v>174</v>
      </c>
      <c r="O15" s="260" t="s">
        <v>174</v>
      </c>
      <c r="P15" s="260" t="s">
        <v>174</v>
      </c>
      <c r="Q15" s="260">
        <v>7.0</v>
      </c>
      <c r="R15" s="825" t="s">
        <v>6658</v>
      </c>
    </row>
    <row r="16">
      <c r="A16" s="519" t="s">
        <v>1664</v>
      </c>
      <c r="B16" s="834" t="s">
        <v>6663</v>
      </c>
      <c r="C16" s="393" t="s">
        <v>5081</v>
      </c>
      <c r="D16" s="393">
        <v>4.0</v>
      </c>
      <c r="E16" s="393" t="s">
        <v>3151</v>
      </c>
      <c r="F16" s="393" t="s">
        <v>4683</v>
      </c>
      <c r="G16" s="393">
        <v>64.0</v>
      </c>
      <c r="H16" s="828" t="s">
        <v>6661</v>
      </c>
      <c r="I16" s="393" t="s">
        <v>166</v>
      </c>
      <c r="J16" s="393">
        <v>2.0</v>
      </c>
      <c r="K16" s="393">
        <v>12.0</v>
      </c>
      <c r="L16" s="393">
        <v>2.0</v>
      </c>
      <c r="M16" s="393">
        <v>8.0</v>
      </c>
      <c r="N16" s="832" t="s">
        <v>174</v>
      </c>
      <c r="O16" s="393" t="s">
        <v>174</v>
      </c>
      <c r="P16" s="393" t="s">
        <v>174</v>
      </c>
      <c r="Q16" s="393">
        <v>14.0</v>
      </c>
      <c r="R16" s="686" t="s">
        <v>6658</v>
      </c>
    </row>
    <row r="17">
      <c r="A17" s="507" t="s">
        <v>1688</v>
      </c>
      <c r="B17" s="267" t="s">
        <v>5132</v>
      </c>
      <c r="C17" s="823" t="s">
        <v>5131</v>
      </c>
      <c r="D17" s="260">
        <v>2.0</v>
      </c>
      <c r="E17" s="260" t="s">
        <v>3149</v>
      </c>
      <c r="F17" s="260" t="s">
        <v>6664</v>
      </c>
      <c r="G17" s="260">
        <v>20.0</v>
      </c>
      <c r="H17" s="260" t="s">
        <v>6651</v>
      </c>
      <c r="I17" s="260">
        <v>6.0</v>
      </c>
      <c r="J17" s="260">
        <v>4.0</v>
      </c>
      <c r="K17" s="260" t="s">
        <v>166</v>
      </c>
      <c r="L17" s="260" t="s">
        <v>166</v>
      </c>
      <c r="M17" s="260">
        <v>4.0</v>
      </c>
      <c r="N17" s="260" t="s">
        <v>166</v>
      </c>
      <c r="O17" s="260" t="s">
        <v>166</v>
      </c>
      <c r="P17" s="260" t="s">
        <v>166</v>
      </c>
      <c r="Q17" s="260">
        <v>6.0</v>
      </c>
      <c r="R17" s="825" t="s">
        <v>6665</v>
      </c>
    </row>
    <row r="18">
      <c r="A18" s="507" t="s">
        <v>1688</v>
      </c>
      <c r="B18" s="267" t="s">
        <v>5137</v>
      </c>
      <c r="C18" s="823" t="s">
        <v>5131</v>
      </c>
      <c r="D18" s="260">
        <v>4.0</v>
      </c>
      <c r="E18" s="260" t="s">
        <v>3149</v>
      </c>
      <c r="F18" s="260" t="s">
        <v>6666</v>
      </c>
      <c r="G18" s="260">
        <v>32.0</v>
      </c>
      <c r="H18" s="260" t="s">
        <v>6657</v>
      </c>
      <c r="I18" s="260">
        <v>6.0</v>
      </c>
      <c r="J18" s="260">
        <v>6.0</v>
      </c>
      <c r="K18" s="260" t="s">
        <v>166</v>
      </c>
      <c r="L18" s="260" t="s">
        <v>166</v>
      </c>
      <c r="M18" s="260">
        <v>6.0</v>
      </c>
      <c r="N18" s="260" t="s">
        <v>166</v>
      </c>
      <c r="O18" s="260" t="s">
        <v>166</v>
      </c>
      <c r="P18" s="260" t="s">
        <v>166</v>
      </c>
      <c r="Q18" s="260">
        <v>6.0</v>
      </c>
      <c r="R18" s="825" t="s">
        <v>6665</v>
      </c>
    </row>
    <row r="19">
      <c r="A19" s="507" t="s">
        <v>1688</v>
      </c>
      <c r="B19" s="267" t="s">
        <v>5141</v>
      </c>
      <c r="C19" s="823" t="s">
        <v>5131</v>
      </c>
      <c r="D19" s="260">
        <v>4.0</v>
      </c>
      <c r="E19" s="260" t="s">
        <v>3149</v>
      </c>
      <c r="F19" s="260" t="s">
        <v>6666</v>
      </c>
      <c r="G19" s="260">
        <v>32.0</v>
      </c>
      <c r="H19" s="260" t="s">
        <v>6522</v>
      </c>
      <c r="I19" s="260">
        <v>6.0</v>
      </c>
      <c r="J19" s="260">
        <v>8.0</v>
      </c>
      <c r="K19" s="260" t="s">
        <v>166</v>
      </c>
      <c r="L19" s="260" t="s">
        <v>166</v>
      </c>
      <c r="M19" s="260">
        <v>6.0</v>
      </c>
      <c r="N19" s="260" t="s">
        <v>174</v>
      </c>
      <c r="O19" s="260" t="s">
        <v>166</v>
      </c>
      <c r="P19" s="260" t="s">
        <v>166</v>
      </c>
      <c r="Q19" s="260">
        <v>6.0</v>
      </c>
      <c r="R19" s="825" t="s">
        <v>6665</v>
      </c>
    </row>
    <row r="20">
      <c r="A20" s="519" t="s">
        <v>1688</v>
      </c>
      <c r="B20" s="831" t="s">
        <v>5148</v>
      </c>
      <c r="C20" s="828" t="s">
        <v>5131</v>
      </c>
      <c r="D20" s="393">
        <v>4.0</v>
      </c>
      <c r="E20" s="393" t="s">
        <v>3149</v>
      </c>
      <c r="F20" s="393" t="s">
        <v>6666</v>
      </c>
      <c r="G20" s="393">
        <v>32.0</v>
      </c>
      <c r="H20" s="393" t="s">
        <v>6401</v>
      </c>
      <c r="I20" s="393">
        <v>4.0</v>
      </c>
      <c r="J20" s="393">
        <v>10.0</v>
      </c>
      <c r="K20" s="393" t="s">
        <v>166</v>
      </c>
      <c r="L20" s="393" t="s">
        <v>166</v>
      </c>
      <c r="M20" s="393">
        <v>6.0</v>
      </c>
      <c r="N20" s="393" t="s">
        <v>174</v>
      </c>
      <c r="O20" s="393" t="s">
        <v>174</v>
      </c>
      <c r="P20" s="393" t="s">
        <v>174</v>
      </c>
      <c r="Q20" s="393">
        <v>6.0</v>
      </c>
      <c r="R20" s="686" t="s">
        <v>6665</v>
      </c>
    </row>
    <row r="21">
      <c r="A21" s="507" t="s">
        <v>1688</v>
      </c>
      <c r="B21" s="267" t="s">
        <v>5162</v>
      </c>
      <c r="C21" s="823" t="s">
        <v>5131</v>
      </c>
      <c r="D21" s="260">
        <v>4.0</v>
      </c>
      <c r="E21" s="260" t="s">
        <v>3149</v>
      </c>
      <c r="F21" s="260" t="s">
        <v>6666</v>
      </c>
      <c r="G21" s="260">
        <v>32.0</v>
      </c>
      <c r="H21" s="260" t="s">
        <v>6417</v>
      </c>
      <c r="I21" s="260">
        <v>6.0</v>
      </c>
      <c r="J21" s="260">
        <v>6.0</v>
      </c>
      <c r="K21" s="260" t="s">
        <v>166</v>
      </c>
      <c r="L21" s="260" t="s">
        <v>166</v>
      </c>
      <c r="M21" s="260">
        <v>6.0</v>
      </c>
      <c r="N21" s="260" t="s">
        <v>166</v>
      </c>
      <c r="O21" s="260" t="s">
        <v>166</v>
      </c>
      <c r="P21" s="260" t="s">
        <v>166</v>
      </c>
      <c r="Q21" s="260">
        <v>6.0</v>
      </c>
      <c r="R21" s="825" t="s">
        <v>6665</v>
      </c>
    </row>
    <row r="22">
      <c r="A22" s="507" t="s">
        <v>1688</v>
      </c>
      <c r="B22" s="267" t="s">
        <v>5166</v>
      </c>
      <c r="C22" s="823" t="s">
        <v>5131</v>
      </c>
      <c r="D22" s="260">
        <v>4.0</v>
      </c>
      <c r="E22" s="260" t="s">
        <v>3149</v>
      </c>
      <c r="F22" s="260" t="s">
        <v>6666</v>
      </c>
      <c r="G22" s="260">
        <v>32.0</v>
      </c>
      <c r="H22" s="260" t="s">
        <v>6401</v>
      </c>
      <c r="I22" s="260">
        <v>6.0</v>
      </c>
      <c r="J22" s="260">
        <v>8.0</v>
      </c>
      <c r="K22" s="260" t="s">
        <v>166</v>
      </c>
      <c r="L22" s="260" t="s">
        <v>166</v>
      </c>
      <c r="M22" s="260">
        <v>6.0</v>
      </c>
      <c r="N22" s="260" t="s">
        <v>174</v>
      </c>
      <c r="O22" s="260" t="s">
        <v>166</v>
      </c>
      <c r="P22" s="260" t="s">
        <v>166</v>
      </c>
      <c r="Q22" s="260">
        <v>6.0</v>
      </c>
      <c r="R22" s="825" t="s">
        <v>6665</v>
      </c>
    </row>
    <row r="23">
      <c r="A23" s="519" t="s">
        <v>1688</v>
      </c>
      <c r="B23" s="831" t="s">
        <v>5171</v>
      </c>
      <c r="C23" s="828" t="s">
        <v>5131</v>
      </c>
      <c r="D23" s="393">
        <v>4.0</v>
      </c>
      <c r="E23" s="393" t="s">
        <v>3149</v>
      </c>
      <c r="F23" s="393" t="s">
        <v>6666</v>
      </c>
      <c r="G23" s="393">
        <v>32.0</v>
      </c>
      <c r="H23" s="393" t="s">
        <v>6667</v>
      </c>
      <c r="I23" s="393">
        <v>4.0</v>
      </c>
      <c r="J23" s="393">
        <v>10.0</v>
      </c>
      <c r="K23" s="393" t="s">
        <v>166</v>
      </c>
      <c r="L23" s="393" t="s">
        <v>166</v>
      </c>
      <c r="M23" s="393">
        <v>6.0</v>
      </c>
      <c r="N23" s="393" t="s">
        <v>174</v>
      </c>
      <c r="O23" s="393" t="s">
        <v>174</v>
      </c>
      <c r="P23" s="393" t="s">
        <v>174</v>
      </c>
      <c r="Q23" s="393">
        <v>6.0</v>
      </c>
      <c r="R23" s="686" t="s">
        <v>6665</v>
      </c>
    </row>
    <row r="24">
      <c r="A24" s="507" t="s">
        <v>1688</v>
      </c>
      <c r="B24" s="267" t="s">
        <v>5185</v>
      </c>
      <c r="C24" s="823" t="s">
        <v>5184</v>
      </c>
      <c r="D24" s="260">
        <v>2.0</v>
      </c>
      <c r="E24" s="260" t="s">
        <v>3149</v>
      </c>
      <c r="F24" s="260" t="s">
        <v>6664</v>
      </c>
      <c r="G24" s="260">
        <v>20.0</v>
      </c>
      <c r="H24" s="260" t="s">
        <v>6651</v>
      </c>
      <c r="I24" s="260">
        <v>10.0</v>
      </c>
      <c r="J24" s="260">
        <v>4.0</v>
      </c>
      <c r="K24" s="260" t="s">
        <v>166</v>
      </c>
      <c r="L24" s="260" t="s">
        <v>166</v>
      </c>
      <c r="M24" s="260">
        <v>4.0</v>
      </c>
      <c r="N24" s="260" t="s">
        <v>166</v>
      </c>
      <c r="O24" s="260" t="s">
        <v>166</v>
      </c>
      <c r="P24" s="260" t="s">
        <v>166</v>
      </c>
      <c r="Q24" s="260">
        <v>6.0</v>
      </c>
      <c r="R24" s="825" t="s">
        <v>6668</v>
      </c>
    </row>
    <row r="25">
      <c r="A25" s="507" t="s">
        <v>1688</v>
      </c>
      <c r="B25" s="267" t="s">
        <v>5189</v>
      </c>
      <c r="C25" s="823" t="s">
        <v>5184</v>
      </c>
      <c r="D25" s="260">
        <v>4.0</v>
      </c>
      <c r="E25" s="260" t="s">
        <v>3149</v>
      </c>
      <c r="F25" s="260" t="s">
        <v>6666</v>
      </c>
      <c r="G25" s="260">
        <v>32.0</v>
      </c>
      <c r="H25" s="260" t="s">
        <v>6417</v>
      </c>
      <c r="I25" s="260">
        <v>12.0</v>
      </c>
      <c r="J25" s="260">
        <v>6.0</v>
      </c>
      <c r="K25" s="260">
        <v>4.0</v>
      </c>
      <c r="L25" s="260" t="s">
        <v>166</v>
      </c>
      <c r="M25" s="260">
        <v>6.0</v>
      </c>
      <c r="N25" s="260" t="s">
        <v>166</v>
      </c>
      <c r="O25" s="260" t="s">
        <v>166</v>
      </c>
      <c r="P25" s="260" t="s">
        <v>166</v>
      </c>
      <c r="Q25" s="260">
        <v>6.0</v>
      </c>
      <c r="R25" s="825" t="s">
        <v>6668</v>
      </c>
    </row>
    <row r="26">
      <c r="A26" s="507" t="s">
        <v>1688</v>
      </c>
      <c r="B26" s="267" t="s">
        <v>5196</v>
      </c>
      <c r="C26" s="823" t="s">
        <v>5184</v>
      </c>
      <c r="D26" s="260">
        <v>4.0</v>
      </c>
      <c r="E26" s="260" t="s">
        <v>3149</v>
      </c>
      <c r="F26" s="260" t="s">
        <v>6666</v>
      </c>
      <c r="G26" s="260">
        <v>32.0</v>
      </c>
      <c r="H26" s="260" t="s">
        <v>6401</v>
      </c>
      <c r="I26" s="260">
        <v>14.0</v>
      </c>
      <c r="J26" s="260">
        <v>8.0</v>
      </c>
      <c r="K26" s="260" t="s">
        <v>166</v>
      </c>
      <c r="L26" s="260" t="s">
        <v>166</v>
      </c>
      <c r="M26" s="260">
        <v>6.0</v>
      </c>
      <c r="N26" s="260" t="s">
        <v>174</v>
      </c>
      <c r="O26" s="260" t="s">
        <v>166</v>
      </c>
      <c r="P26" s="260" t="s">
        <v>166</v>
      </c>
      <c r="Q26" s="260">
        <v>6.0</v>
      </c>
      <c r="R26" s="825" t="s">
        <v>6668</v>
      </c>
    </row>
    <row r="27">
      <c r="A27" s="507" t="s">
        <v>1688</v>
      </c>
      <c r="B27" s="267" t="s">
        <v>5197</v>
      </c>
      <c r="C27" s="823" t="s">
        <v>5184</v>
      </c>
      <c r="D27" s="260">
        <v>4.0</v>
      </c>
      <c r="E27" s="260" t="s">
        <v>3149</v>
      </c>
      <c r="F27" s="260" t="s">
        <v>6666</v>
      </c>
      <c r="G27" s="260">
        <v>32.0</v>
      </c>
      <c r="H27" s="260" t="s">
        <v>6401</v>
      </c>
      <c r="I27" s="260">
        <v>14.0</v>
      </c>
      <c r="J27" s="260">
        <v>8.0</v>
      </c>
      <c r="K27" s="260">
        <v>4.0</v>
      </c>
      <c r="L27" s="260" t="s">
        <v>166</v>
      </c>
      <c r="M27" s="260">
        <v>6.0</v>
      </c>
      <c r="N27" s="260" t="s">
        <v>174</v>
      </c>
      <c r="O27" s="260" t="s">
        <v>166</v>
      </c>
      <c r="P27" s="260" t="s">
        <v>166</v>
      </c>
      <c r="Q27" s="260">
        <v>6.0</v>
      </c>
      <c r="R27" s="825" t="s">
        <v>6668</v>
      </c>
    </row>
    <row r="28">
      <c r="A28" s="507" t="s">
        <v>1688</v>
      </c>
      <c r="B28" s="267" t="s">
        <v>5206</v>
      </c>
      <c r="C28" s="823" t="s">
        <v>5184</v>
      </c>
      <c r="D28" s="260">
        <v>4.0</v>
      </c>
      <c r="E28" s="260" t="s">
        <v>3149</v>
      </c>
      <c r="F28" s="260" t="s">
        <v>6666</v>
      </c>
      <c r="G28" s="260">
        <v>32.0</v>
      </c>
      <c r="H28" s="260" t="s">
        <v>6667</v>
      </c>
      <c r="I28" s="260">
        <v>14.0</v>
      </c>
      <c r="J28" s="260">
        <v>10.0</v>
      </c>
      <c r="K28" s="260" t="s">
        <v>166</v>
      </c>
      <c r="L28" s="260" t="s">
        <v>166</v>
      </c>
      <c r="M28" s="260">
        <v>6.0</v>
      </c>
      <c r="N28" s="260" t="s">
        <v>174</v>
      </c>
      <c r="O28" s="260" t="s">
        <v>174</v>
      </c>
      <c r="P28" s="260" t="s">
        <v>174</v>
      </c>
      <c r="Q28" s="260">
        <v>6.0</v>
      </c>
      <c r="R28" s="825" t="s">
        <v>6668</v>
      </c>
    </row>
    <row r="29">
      <c r="A29" s="519" t="s">
        <v>1688</v>
      </c>
      <c r="B29" s="831" t="s">
        <v>5219</v>
      </c>
      <c r="C29" s="828" t="s">
        <v>5184</v>
      </c>
      <c r="D29" s="393">
        <v>4.0</v>
      </c>
      <c r="E29" s="393" t="s">
        <v>3149</v>
      </c>
      <c r="F29" s="393" t="s">
        <v>6666</v>
      </c>
      <c r="G29" s="393">
        <v>32.0</v>
      </c>
      <c r="H29" s="393" t="s">
        <v>6667</v>
      </c>
      <c r="I29" s="393">
        <v>14.0</v>
      </c>
      <c r="J29" s="393">
        <v>10.0</v>
      </c>
      <c r="K29" s="393">
        <v>6.0</v>
      </c>
      <c r="L29" s="393" t="s">
        <v>166</v>
      </c>
      <c r="M29" s="393">
        <v>6.0</v>
      </c>
      <c r="N29" s="393" t="s">
        <v>174</v>
      </c>
      <c r="O29" s="393" t="s">
        <v>174</v>
      </c>
      <c r="P29" s="393" t="s">
        <v>174</v>
      </c>
      <c r="Q29" s="393">
        <v>6.0</v>
      </c>
      <c r="R29" s="686" t="s">
        <v>6668</v>
      </c>
    </row>
    <row r="30">
      <c r="A30" s="507" t="s">
        <v>1688</v>
      </c>
      <c r="B30" s="267" t="s">
        <v>5231</v>
      </c>
      <c r="C30" s="260">
        <v>1200.0</v>
      </c>
      <c r="D30" s="260">
        <v>2.0</v>
      </c>
      <c r="E30" s="260" t="s">
        <v>3149</v>
      </c>
      <c r="F30" s="260" t="s">
        <v>6666</v>
      </c>
      <c r="G30" s="260">
        <v>32.0</v>
      </c>
      <c r="H30" s="260" t="s">
        <v>6653</v>
      </c>
      <c r="I30" s="260">
        <v>10.0</v>
      </c>
      <c r="J30" s="260">
        <v>4.0</v>
      </c>
      <c r="K30" s="260" t="s">
        <v>166</v>
      </c>
      <c r="L30" s="260" t="s">
        <v>166</v>
      </c>
      <c r="M30" s="260">
        <v>4.0</v>
      </c>
      <c r="N30" s="260" t="s">
        <v>166</v>
      </c>
      <c r="O30" s="260" t="s">
        <v>166</v>
      </c>
      <c r="P30" s="260" t="s">
        <v>166</v>
      </c>
      <c r="Q30" s="260">
        <v>6.0</v>
      </c>
      <c r="R30" s="825" t="s">
        <v>6669</v>
      </c>
    </row>
    <row r="31">
      <c r="A31" s="507" t="s">
        <v>1688</v>
      </c>
      <c r="B31" s="267" t="s">
        <v>5238</v>
      </c>
      <c r="C31" s="260">
        <v>1200.0</v>
      </c>
      <c r="D31" s="260">
        <v>4.0</v>
      </c>
      <c r="E31" s="260" t="s">
        <v>3149</v>
      </c>
      <c r="F31" s="260" t="s">
        <v>6666</v>
      </c>
      <c r="G31" s="260">
        <v>32.0</v>
      </c>
      <c r="H31" s="260" t="s">
        <v>6522</v>
      </c>
      <c r="I31" s="260">
        <v>12.0</v>
      </c>
      <c r="J31" s="260">
        <v>8.0</v>
      </c>
      <c r="K31" s="260" t="s">
        <v>166</v>
      </c>
      <c r="L31" s="260" t="s">
        <v>166</v>
      </c>
      <c r="M31" s="260">
        <v>6.0</v>
      </c>
      <c r="N31" s="260" t="s">
        <v>174</v>
      </c>
      <c r="O31" s="260" t="s">
        <v>166</v>
      </c>
      <c r="P31" s="260" t="s">
        <v>166</v>
      </c>
      <c r="Q31" s="260">
        <v>6.0</v>
      </c>
      <c r="R31" s="825" t="s">
        <v>6669</v>
      </c>
    </row>
    <row r="32">
      <c r="A32" s="507" t="s">
        <v>1688</v>
      </c>
      <c r="B32" s="267" t="s">
        <v>5250</v>
      </c>
      <c r="C32" s="260">
        <v>1200.0</v>
      </c>
      <c r="D32" s="260">
        <v>4.0</v>
      </c>
      <c r="E32" s="260" t="s">
        <v>3149</v>
      </c>
      <c r="F32" s="260" t="s">
        <v>6666</v>
      </c>
      <c r="G32" s="260">
        <v>32.0</v>
      </c>
      <c r="H32" s="260" t="s">
        <v>6401</v>
      </c>
      <c r="I32" s="260">
        <v>14.0</v>
      </c>
      <c r="J32" s="260">
        <v>8.0</v>
      </c>
      <c r="K32" s="260">
        <v>4.0</v>
      </c>
      <c r="L32" s="260" t="s">
        <v>166</v>
      </c>
      <c r="M32" s="260">
        <v>6.0</v>
      </c>
      <c r="N32" s="260" t="s">
        <v>174</v>
      </c>
      <c r="O32" s="260" t="s">
        <v>166</v>
      </c>
      <c r="P32" s="260" t="s">
        <v>166</v>
      </c>
      <c r="Q32" s="260">
        <v>6.0</v>
      </c>
      <c r="R32" s="825" t="s">
        <v>6670</v>
      </c>
    </row>
    <row r="33">
      <c r="A33" s="519" t="s">
        <v>1688</v>
      </c>
      <c r="B33" s="831" t="s">
        <v>5263</v>
      </c>
      <c r="C33" s="393">
        <v>1200.0</v>
      </c>
      <c r="D33" s="393">
        <v>4.0</v>
      </c>
      <c r="E33" s="393" t="s">
        <v>3149</v>
      </c>
      <c r="F33" s="393" t="s">
        <v>6666</v>
      </c>
      <c r="G33" s="393">
        <v>32.0</v>
      </c>
      <c r="H33" s="393" t="s">
        <v>6667</v>
      </c>
      <c r="I33" s="393">
        <v>14.0</v>
      </c>
      <c r="J33" s="393">
        <v>10.0</v>
      </c>
      <c r="K33" s="393">
        <v>6.0</v>
      </c>
      <c r="L33" s="393" t="s">
        <v>166</v>
      </c>
      <c r="M33" s="393">
        <v>6.0</v>
      </c>
      <c r="N33" s="393" t="s">
        <v>174</v>
      </c>
      <c r="O33" s="393" t="s">
        <v>174</v>
      </c>
      <c r="P33" s="393" t="s">
        <v>174</v>
      </c>
      <c r="Q33" s="393">
        <v>6.0</v>
      </c>
      <c r="R33" s="686" t="s">
        <v>6670</v>
      </c>
    </row>
    <row r="34">
      <c r="A34" s="507" t="s">
        <v>1688</v>
      </c>
      <c r="B34" s="267" t="s">
        <v>5280</v>
      </c>
      <c r="C34" s="260">
        <v>1200.0</v>
      </c>
      <c r="D34" s="260">
        <v>2.0</v>
      </c>
      <c r="E34" s="260" t="s">
        <v>3149</v>
      </c>
      <c r="F34" s="260" t="s">
        <v>6666</v>
      </c>
      <c r="G34" s="260">
        <v>32.0</v>
      </c>
      <c r="H34" s="260" t="s">
        <v>6653</v>
      </c>
      <c r="I34" s="260">
        <v>10.0</v>
      </c>
      <c r="J34" s="260">
        <v>4.0</v>
      </c>
      <c r="K34" s="260" t="s">
        <v>166</v>
      </c>
      <c r="L34" s="260" t="s">
        <v>166</v>
      </c>
      <c r="M34" s="260">
        <v>4.0</v>
      </c>
      <c r="N34" s="260" t="s">
        <v>166</v>
      </c>
      <c r="O34" s="260" t="s">
        <v>166</v>
      </c>
      <c r="P34" s="260" t="s">
        <v>166</v>
      </c>
      <c r="Q34" s="260">
        <v>6.0</v>
      </c>
      <c r="R34" s="825" t="s">
        <v>6670</v>
      </c>
    </row>
    <row r="35">
      <c r="A35" s="507" t="s">
        <v>1688</v>
      </c>
      <c r="B35" s="267" t="s">
        <v>5283</v>
      </c>
      <c r="C35" s="260">
        <v>1200.0</v>
      </c>
      <c r="D35" s="260">
        <v>4.0</v>
      </c>
      <c r="E35" s="260" t="s">
        <v>3149</v>
      </c>
      <c r="F35" s="260" t="s">
        <v>6666</v>
      </c>
      <c r="G35" s="260">
        <v>32.0</v>
      </c>
      <c r="H35" s="260" t="s">
        <v>6417</v>
      </c>
      <c r="I35" s="260">
        <v>12.0</v>
      </c>
      <c r="J35" s="260">
        <v>6.0</v>
      </c>
      <c r="K35" s="260">
        <v>4.0</v>
      </c>
      <c r="L35" s="260">
        <v>2.0</v>
      </c>
      <c r="M35" s="260">
        <v>6.0</v>
      </c>
      <c r="N35" s="260" t="s">
        <v>166</v>
      </c>
      <c r="O35" s="260" t="s">
        <v>166</v>
      </c>
      <c r="P35" s="260" t="s">
        <v>174</v>
      </c>
      <c r="Q35" s="260">
        <v>6.0</v>
      </c>
      <c r="R35" s="825" t="s">
        <v>6670</v>
      </c>
    </row>
    <row r="36">
      <c r="A36" s="507" t="s">
        <v>1688</v>
      </c>
      <c r="B36" s="267" t="s">
        <v>5302</v>
      </c>
      <c r="C36" s="260">
        <v>1200.0</v>
      </c>
      <c r="D36" s="260">
        <v>4.0</v>
      </c>
      <c r="E36" s="260" t="s">
        <v>3149</v>
      </c>
      <c r="F36" s="260" t="s">
        <v>6671</v>
      </c>
      <c r="G36" s="260">
        <v>64.0</v>
      </c>
      <c r="H36" s="260" t="s">
        <v>6401</v>
      </c>
      <c r="I36" s="260">
        <v>14.0</v>
      </c>
      <c r="J36" s="260">
        <v>8.0</v>
      </c>
      <c r="K36" s="260">
        <v>4.0</v>
      </c>
      <c r="L36" s="260">
        <v>2.0</v>
      </c>
      <c r="M36" s="260">
        <v>6.0</v>
      </c>
      <c r="N36" s="260" t="s">
        <v>174</v>
      </c>
      <c r="O36" s="260" t="s">
        <v>166</v>
      </c>
      <c r="P36" s="260" t="s">
        <v>174</v>
      </c>
      <c r="Q36" s="260">
        <v>6.0</v>
      </c>
      <c r="R36" s="825" t="s">
        <v>6670</v>
      </c>
    </row>
    <row r="37">
      <c r="A37" s="519" t="s">
        <v>1688</v>
      </c>
      <c r="B37" s="831" t="s">
        <v>5307</v>
      </c>
      <c r="C37" s="393">
        <v>1200.0</v>
      </c>
      <c r="D37" s="393">
        <v>4.0</v>
      </c>
      <c r="E37" s="393" t="s">
        <v>3149</v>
      </c>
      <c r="F37" s="393" t="s">
        <v>6671</v>
      </c>
      <c r="G37" s="393">
        <v>64.0</v>
      </c>
      <c r="H37" s="393" t="s">
        <v>6667</v>
      </c>
      <c r="I37" s="393">
        <v>14.0</v>
      </c>
      <c r="J37" s="393">
        <v>10.0</v>
      </c>
      <c r="K37" s="393">
        <v>10.0</v>
      </c>
      <c r="L37" s="393">
        <v>3.0</v>
      </c>
      <c r="M37" s="393">
        <v>6.0</v>
      </c>
      <c r="N37" s="393" t="s">
        <v>174</v>
      </c>
      <c r="O37" s="393" t="s">
        <v>174</v>
      </c>
      <c r="P37" s="393" t="s">
        <v>174</v>
      </c>
      <c r="Q37" s="393">
        <v>6.0</v>
      </c>
      <c r="R37" s="686" t="s">
        <v>6670</v>
      </c>
    </row>
    <row r="38">
      <c r="A38" s="507" t="s">
        <v>1688</v>
      </c>
      <c r="B38" s="833" t="s">
        <v>5326</v>
      </c>
      <c r="C38" s="260">
        <v>1700.0</v>
      </c>
      <c r="D38" s="260">
        <v>2.0</v>
      </c>
      <c r="E38" s="823" t="s">
        <v>6575</v>
      </c>
      <c r="F38" s="823" t="s">
        <v>6672</v>
      </c>
      <c r="G38" s="260">
        <v>64.0</v>
      </c>
      <c r="H38" s="823" t="s">
        <v>6417</v>
      </c>
      <c r="I38" s="260">
        <v>10.0</v>
      </c>
      <c r="J38" s="260">
        <v>4.0</v>
      </c>
      <c r="K38" s="260">
        <v>2.0</v>
      </c>
      <c r="L38" s="260" t="s">
        <v>166</v>
      </c>
      <c r="M38" s="260">
        <v>4.0</v>
      </c>
      <c r="N38" s="260" t="s">
        <v>166</v>
      </c>
      <c r="O38" s="260" t="s">
        <v>166</v>
      </c>
      <c r="P38" s="260" t="s">
        <v>166</v>
      </c>
      <c r="Q38" s="260">
        <v>6.0</v>
      </c>
      <c r="R38" s="825" t="s">
        <v>6673</v>
      </c>
    </row>
    <row r="39">
      <c r="A39" s="507" t="s">
        <v>1688</v>
      </c>
      <c r="B39" s="833" t="s">
        <v>5333</v>
      </c>
      <c r="C39" s="260">
        <v>1700.0</v>
      </c>
      <c r="D39" s="260">
        <v>4.0</v>
      </c>
      <c r="E39" s="823" t="s">
        <v>6575</v>
      </c>
      <c r="F39" s="823" t="s">
        <v>6672</v>
      </c>
      <c r="G39" s="260">
        <v>64.0</v>
      </c>
      <c r="H39" s="823" t="s">
        <v>6674</v>
      </c>
      <c r="I39" s="260">
        <v>12.0</v>
      </c>
      <c r="J39" s="260">
        <v>6.0</v>
      </c>
      <c r="K39" s="260">
        <v>4.0</v>
      </c>
      <c r="L39" s="260">
        <v>2.0</v>
      </c>
      <c r="M39" s="260">
        <v>4.0</v>
      </c>
      <c r="N39" s="260" t="s">
        <v>174</v>
      </c>
      <c r="O39" s="260" t="s">
        <v>166</v>
      </c>
      <c r="P39" s="260" t="s">
        <v>174</v>
      </c>
      <c r="Q39" s="260">
        <v>6.0</v>
      </c>
      <c r="R39" s="825" t="s">
        <v>6673</v>
      </c>
    </row>
    <row r="40">
      <c r="A40" s="507" t="s">
        <v>1688</v>
      </c>
      <c r="B40" s="833" t="s">
        <v>5352</v>
      </c>
      <c r="C40" s="260">
        <v>1700.0</v>
      </c>
      <c r="D40" s="260">
        <v>4.0</v>
      </c>
      <c r="E40" s="823" t="s">
        <v>6575</v>
      </c>
      <c r="F40" s="823" t="s">
        <v>6675</v>
      </c>
      <c r="G40" s="260">
        <v>128.0</v>
      </c>
      <c r="H40" s="823" t="s">
        <v>6676</v>
      </c>
      <c r="I40" s="260">
        <v>14.0</v>
      </c>
      <c r="J40" s="260">
        <v>8.0</v>
      </c>
      <c r="K40" s="260">
        <v>4.0</v>
      </c>
      <c r="L40" s="260">
        <v>2.0</v>
      </c>
      <c r="M40" s="260">
        <v>8.0</v>
      </c>
      <c r="N40" s="260" t="s">
        <v>174</v>
      </c>
      <c r="O40" s="260" t="s">
        <v>166</v>
      </c>
      <c r="P40" s="260" t="s">
        <v>174</v>
      </c>
      <c r="Q40" s="260">
        <v>6.0</v>
      </c>
      <c r="R40" s="825" t="s">
        <v>6673</v>
      </c>
    </row>
    <row r="41">
      <c r="A41" s="519" t="s">
        <v>1688</v>
      </c>
      <c r="B41" s="831" t="s">
        <v>5355</v>
      </c>
      <c r="C41" s="393">
        <v>1700.0</v>
      </c>
      <c r="D41" s="393">
        <v>4.0</v>
      </c>
      <c r="E41" s="828" t="s">
        <v>6575</v>
      </c>
      <c r="F41" s="828" t="s">
        <v>6675</v>
      </c>
      <c r="G41" s="393">
        <v>128.0</v>
      </c>
      <c r="H41" s="828" t="s">
        <v>6677</v>
      </c>
      <c r="I41" s="393">
        <v>14.0</v>
      </c>
      <c r="J41" s="393">
        <v>10.0</v>
      </c>
      <c r="K41" s="393">
        <v>10.0</v>
      </c>
      <c r="L41" s="393">
        <v>4.0</v>
      </c>
      <c r="M41" s="393">
        <v>8.0</v>
      </c>
      <c r="N41" s="393" t="s">
        <v>174</v>
      </c>
      <c r="O41" s="393" t="s">
        <v>174</v>
      </c>
      <c r="P41" s="393" t="s">
        <v>174</v>
      </c>
      <c r="Q41" s="393">
        <v>6.0</v>
      </c>
      <c r="R41" s="686" t="s">
        <v>6673</v>
      </c>
    </row>
    <row r="42">
      <c r="A42" s="507" t="s">
        <v>1688</v>
      </c>
      <c r="B42" s="833" t="s">
        <v>5379</v>
      </c>
      <c r="C42" s="260">
        <v>1700.0</v>
      </c>
      <c r="D42" s="260">
        <v>4.0</v>
      </c>
      <c r="E42" s="823" t="s">
        <v>6575</v>
      </c>
      <c r="F42" s="823" t="s">
        <v>6672</v>
      </c>
      <c r="G42" s="260">
        <v>128.0</v>
      </c>
      <c r="H42" s="823" t="s">
        <v>6678</v>
      </c>
      <c r="I42" s="260">
        <v>12.0</v>
      </c>
      <c r="J42" s="260">
        <v>6.0</v>
      </c>
      <c r="K42" s="260">
        <v>4.0</v>
      </c>
      <c r="L42" s="260">
        <v>2.0</v>
      </c>
      <c r="M42" s="260">
        <v>4.0</v>
      </c>
      <c r="N42" s="260" t="s">
        <v>174</v>
      </c>
      <c r="O42" s="260" t="s">
        <v>166</v>
      </c>
      <c r="P42" s="260" t="s">
        <v>174</v>
      </c>
      <c r="Q42" s="260">
        <v>6.0</v>
      </c>
      <c r="R42" s="825" t="s">
        <v>6673</v>
      </c>
    </row>
    <row r="43">
      <c r="A43" s="507" t="s">
        <v>1688</v>
      </c>
      <c r="B43" s="833" t="s">
        <v>6679</v>
      </c>
      <c r="C43" s="260">
        <v>1700.0</v>
      </c>
      <c r="D43" s="260">
        <v>4.0</v>
      </c>
      <c r="E43" s="823" t="s">
        <v>6575</v>
      </c>
      <c r="F43" s="823" t="s">
        <v>6675</v>
      </c>
      <c r="G43" s="260">
        <v>128.0</v>
      </c>
      <c r="H43" s="823" t="s">
        <v>6661</v>
      </c>
      <c r="I43" s="260">
        <v>14.0</v>
      </c>
      <c r="J43" s="260">
        <v>8.0</v>
      </c>
      <c r="K43" s="260">
        <v>4.0</v>
      </c>
      <c r="L43" s="260">
        <v>2.0</v>
      </c>
      <c r="M43" s="260">
        <v>8.0</v>
      </c>
      <c r="N43" s="260" t="s">
        <v>174</v>
      </c>
      <c r="O43" s="260" t="s">
        <v>166</v>
      </c>
      <c r="P43" s="260" t="s">
        <v>174</v>
      </c>
      <c r="Q43" s="260">
        <v>6.0</v>
      </c>
      <c r="R43" s="825" t="s">
        <v>6673</v>
      </c>
    </row>
    <row r="44">
      <c r="A44" s="507" t="s">
        <v>1688</v>
      </c>
      <c r="B44" s="267" t="s">
        <v>5409</v>
      </c>
      <c r="C44" s="260">
        <v>1700.0</v>
      </c>
      <c r="D44" s="260">
        <v>4.0</v>
      </c>
      <c r="E44" s="823" t="s">
        <v>6575</v>
      </c>
      <c r="F44" s="823" t="s">
        <v>6675</v>
      </c>
      <c r="G44" s="260">
        <v>128.0</v>
      </c>
      <c r="H44" s="823" t="s">
        <v>6680</v>
      </c>
      <c r="I44" s="260">
        <v>14.0</v>
      </c>
      <c r="J44" s="260">
        <v>10.0</v>
      </c>
      <c r="K44" s="260">
        <v>10.0</v>
      </c>
      <c r="L44" s="260">
        <v>5.0</v>
      </c>
      <c r="M44" s="260">
        <v>8.0</v>
      </c>
      <c r="N44" s="260" t="s">
        <v>174</v>
      </c>
      <c r="O44" s="260" t="s">
        <v>174</v>
      </c>
      <c r="P44" s="260" t="s">
        <v>174</v>
      </c>
      <c r="Q44" s="260">
        <v>6.0</v>
      </c>
      <c r="R44" s="825" t="s">
        <v>6673</v>
      </c>
    </row>
  </sheetData>
  <autoFilter ref="$A$1:$R$53"/>
  <customSheetViews>
    <customSheetView guid="{23F8A8D4-BF6F-443E-A7CB-443445CFA23F}" filter="1" showAutoFilter="1">
      <autoFilter ref="$A$1:$R$53">
        <filterColumn colId="0">
          <filters blank="1">
            <filter val="AMD"/>
          </filters>
        </filterColumn>
      </autoFilter>
    </customSheetView>
    <customSheetView guid="{ED4BB880-FC57-4587-A42E-3A21D3864B4F}" filter="1" showAutoFilter="1">
      <autoFilter ref="$A$1:$R$53">
        <filterColumn colId="0">
          <filters blank="1">
            <filter val="Intel"/>
          </filters>
        </filterColumn>
      </autoFilter>
    </customSheetView>
    <customSheetView guid="{08559E5C-8D61-4E9F-89F9-351862163AA1}" filter="1" showAutoFilter="1">
      <autoFilter ref="$A$1:$R$44"/>
    </customSheetView>
    <customSheetView guid="{B5271078-FE6D-4C5D-9703-911A5D0A7416}" filter="1" showAutoFilter="1">
      <autoFilter ref="$A$1:$R$53">
        <filterColumn colId="14">
          <filters blank="1">
            <filter val="Y"/>
          </filters>
        </filterColumn>
      </autoFilter>
    </customSheetView>
  </customSheetViews>
  <conditionalFormatting sqref="G2:G53">
    <cfRule type="colorScale" priority="1">
      <colorScale>
        <cfvo type="min"/>
        <cfvo type="percentile" val="50"/>
        <cfvo type="max"/>
        <color rgb="FFE67C73"/>
        <color rgb="FFFFD666"/>
        <color rgb="FF57BB8A"/>
      </colorScale>
    </cfRule>
  </conditionalFormatting>
  <conditionalFormatting sqref="I2:I53">
    <cfRule type="colorScale" priority="2">
      <colorScale>
        <cfvo type="min"/>
        <cfvo type="percentile" val="50"/>
        <cfvo type="max"/>
        <color rgb="FFE67C73"/>
        <color rgb="FFFFD666"/>
        <color rgb="FF57BB8A"/>
      </colorScale>
    </cfRule>
  </conditionalFormatting>
  <conditionalFormatting sqref="J2:J53">
    <cfRule type="colorScale" priority="3">
      <colorScale>
        <cfvo type="min"/>
        <cfvo type="percentile" val="50"/>
        <cfvo type="max"/>
        <color rgb="FFE67C73"/>
        <color rgb="FFFFD666"/>
        <color rgb="FF57BB8A"/>
      </colorScale>
    </cfRule>
  </conditionalFormatting>
  <conditionalFormatting sqref="K2:K53">
    <cfRule type="colorScale" priority="4">
      <colorScale>
        <cfvo type="min"/>
        <cfvo type="percentile" val="50"/>
        <cfvo type="max"/>
        <color rgb="FFE67C73"/>
        <color rgb="FFFFD666"/>
        <color rgb="FF57BB8A"/>
      </colorScale>
    </cfRule>
  </conditionalFormatting>
  <conditionalFormatting sqref="M2:M53">
    <cfRule type="colorScale" priority="5">
      <colorScale>
        <cfvo type="min"/>
        <cfvo type="percentile" val="50"/>
        <cfvo type="max"/>
        <color rgb="FFE67C73"/>
        <color rgb="FFFFD666"/>
        <color rgb="FF57BB8A"/>
      </colorScale>
    </cfRule>
  </conditionalFormatting>
  <conditionalFormatting sqref="N1:O44 P2:P44">
    <cfRule type="containsText" dxfId="3" priority="6" operator="containsText" text="Y">
      <formula>NOT(ISERROR(SEARCH(("Y"),(N1))))</formula>
    </cfRule>
  </conditionalFormatting>
  <conditionalFormatting sqref="L2:L44">
    <cfRule type="colorScale" priority="7">
      <colorScale>
        <cfvo type="min"/>
        <cfvo type="percentile" val="50"/>
        <cfvo type="max"/>
        <color rgb="FFE67C73"/>
        <color rgb="FFFFD666"/>
        <color rgb="FF57BB8A"/>
      </colorScale>
    </cfRule>
  </conditionalFormatting>
  <hyperlinks>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s>
  <drawing r:id="rId45"/>
  <legacyDrawing r:id="rId4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13"/>
    <col customWidth="1" min="2" max="2" width="26.88"/>
    <col customWidth="1" min="3" max="5" width="6.13"/>
    <col customWidth="1" min="6" max="6" width="5.63"/>
    <col customWidth="1" min="7" max="7" width="6.13"/>
  </cols>
  <sheetData>
    <row r="1" ht="67.5" customHeight="1">
      <c r="A1" s="336" t="s">
        <v>6681</v>
      </c>
      <c r="B1" s="335" t="s">
        <v>1976</v>
      </c>
      <c r="C1" s="336" t="s">
        <v>1582</v>
      </c>
      <c r="D1" s="336" t="s">
        <v>1583</v>
      </c>
      <c r="E1" s="336" t="s">
        <v>1584</v>
      </c>
      <c r="F1" s="336" t="s">
        <v>127</v>
      </c>
      <c r="G1" s="336" t="s">
        <v>128</v>
      </c>
      <c r="H1" s="343"/>
      <c r="I1" s="343"/>
      <c r="J1" s="343"/>
      <c r="K1" s="343"/>
      <c r="L1" s="343"/>
      <c r="M1" s="343"/>
      <c r="N1" s="343"/>
      <c r="O1" s="343"/>
      <c r="P1" s="343"/>
      <c r="Q1" s="343"/>
      <c r="R1" s="343"/>
      <c r="S1" s="343"/>
      <c r="T1" s="343"/>
      <c r="U1" s="343"/>
      <c r="V1" s="343"/>
      <c r="W1" s="343"/>
      <c r="X1" s="343"/>
      <c r="Y1" s="343"/>
      <c r="Z1" s="343"/>
    </row>
    <row r="2">
      <c r="A2" s="835" t="s">
        <v>1554</v>
      </c>
      <c r="B2" s="835" t="s">
        <v>6682</v>
      </c>
      <c r="C2" s="836">
        <v>372.0</v>
      </c>
      <c r="D2" s="836">
        <v>129.0</v>
      </c>
      <c r="E2" s="836">
        <v>366.0</v>
      </c>
      <c r="F2" s="837">
        <f t="shared" ref="F2:F45" si="1">C2*D2*E2/1000000</f>
        <v>17.563608</v>
      </c>
      <c r="G2" s="838">
        <f t="shared" ref="G2:G45" si="2">C2*D2/100</f>
        <v>479.88</v>
      </c>
      <c r="H2" s="394"/>
      <c r="I2" s="394"/>
      <c r="J2" s="394"/>
      <c r="K2" s="394"/>
      <c r="L2" s="394"/>
      <c r="M2" s="394"/>
      <c r="N2" s="394"/>
      <c r="O2" s="394"/>
      <c r="P2" s="394"/>
      <c r="Q2" s="394"/>
      <c r="R2" s="394"/>
      <c r="S2" s="394"/>
      <c r="T2" s="394"/>
      <c r="U2" s="394"/>
      <c r="V2" s="394"/>
      <c r="W2" s="394"/>
      <c r="X2" s="394"/>
      <c r="Y2" s="394"/>
      <c r="Z2" s="394"/>
    </row>
    <row r="3">
      <c r="A3" s="835" t="s">
        <v>1480</v>
      </c>
      <c r="B3" s="835" t="s">
        <v>6683</v>
      </c>
      <c r="C3" s="836">
        <v>200.0</v>
      </c>
      <c r="D3" s="836">
        <v>172.5</v>
      </c>
      <c r="E3" s="836">
        <v>380.0</v>
      </c>
      <c r="F3" s="837">
        <f t="shared" si="1"/>
        <v>13.11</v>
      </c>
      <c r="G3" s="838">
        <f t="shared" si="2"/>
        <v>345</v>
      </c>
      <c r="H3" s="394"/>
      <c r="I3" s="394"/>
      <c r="J3" s="394"/>
      <c r="K3" s="394"/>
      <c r="L3" s="394"/>
      <c r="M3" s="394"/>
      <c r="N3" s="394"/>
      <c r="O3" s="394"/>
      <c r="P3" s="394"/>
      <c r="Q3" s="394"/>
      <c r="R3" s="394"/>
      <c r="S3" s="394"/>
      <c r="T3" s="394"/>
      <c r="U3" s="394"/>
      <c r="V3" s="394"/>
      <c r="W3" s="394"/>
      <c r="X3" s="394"/>
      <c r="Y3" s="394"/>
      <c r="Z3" s="394"/>
    </row>
    <row r="4">
      <c r="A4" s="835" t="s">
        <v>4432</v>
      </c>
      <c r="B4" s="835" t="s">
        <v>6684</v>
      </c>
      <c r="C4" s="836">
        <v>293.0</v>
      </c>
      <c r="D4" s="836">
        <v>154.0</v>
      </c>
      <c r="E4" s="836">
        <v>324.3</v>
      </c>
      <c r="F4" s="837">
        <f t="shared" si="1"/>
        <v>14.6330646</v>
      </c>
      <c r="G4" s="838">
        <f t="shared" si="2"/>
        <v>451.22</v>
      </c>
      <c r="H4" s="394"/>
      <c r="I4" s="394"/>
      <c r="J4" s="394"/>
      <c r="K4" s="394"/>
      <c r="L4" s="394"/>
      <c r="M4" s="394"/>
      <c r="N4" s="394"/>
      <c r="O4" s="394"/>
      <c r="P4" s="394"/>
      <c r="Q4" s="394"/>
      <c r="R4" s="394"/>
      <c r="S4" s="394"/>
      <c r="T4" s="394"/>
      <c r="U4" s="394"/>
      <c r="V4" s="394"/>
      <c r="W4" s="394"/>
      <c r="X4" s="394"/>
      <c r="Y4" s="394"/>
      <c r="Z4" s="394"/>
    </row>
    <row r="5">
      <c r="A5" s="835" t="s">
        <v>4432</v>
      </c>
      <c r="B5" s="835" t="s">
        <v>6685</v>
      </c>
      <c r="C5" s="836">
        <v>183.0</v>
      </c>
      <c r="D5" s="836">
        <v>36.0</v>
      </c>
      <c r="E5" s="836">
        <v>178.5</v>
      </c>
      <c r="F5" s="837">
        <f t="shared" si="1"/>
        <v>1.175958</v>
      </c>
      <c r="G5" s="838">
        <f t="shared" si="2"/>
        <v>65.88</v>
      </c>
      <c r="H5" s="394"/>
      <c r="I5" s="394"/>
      <c r="J5" s="394"/>
      <c r="K5" s="394"/>
      <c r="L5" s="394"/>
      <c r="M5" s="394"/>
      <c r="N5" s="394"/>
      <c r="O5" s="394"/>
      <c r="P5" s="394"/>
      <c r="Q5" s="394"/>
      <c r="R5" s="394"/>
      <c r="S5" s="394"/>
      <c r="T5" s="394"/>
      <c r="U5" s="394"/>
      <c r="V5" s="394"/>
      <c r="W5" s="394"/>
      <c r="X5" s="394"/>
      <c r="Y5" s="394"/>
      <c r="Z5" s="394"/>
    </row>
    <row r="6">
      <c r="A6" s="835" t="s">
        <v>4432</v>
      </c>
      <c r="B6" s="835" t="s">
        <v>6686</v>
      </c>
      <c r="C6" s="836">
        <v>290.0</v>
      </c>
      <c r="D6" s="836">
        <v>92.6</v>
      </c>
      <c r="E6" s="836">
        <v>292.8</v>
      </c>
      <c r="F6" s="837">
        <f t="shared" si="1"/>
        <v>7.8628512</v>
      </c>
      <c r="G6" s="838">
        <f t="shared" si="2"/>
        <v>268.54</v>
      </c>
      <c r="H6" s="394"/>
      <c r="I6" s="394"/>
      <c r="J6" s="394"/>
      <c r="K6" s="394"/>
      <c r="L6" s="394"/>
      <c r="M6" s="394"/>
      <c r="N6" s="394"/>
      <c r="O6" s="394"/>
      <c r="P6" s="394"/>
      <c r="Q6" s="394"/>
      <c r="R6" s="394"/>
      <c r="S6" s="394"/>
      <c r="T6" s="394"/>
      <c r="U6" s="394"/>
      <c r="V6" s="394"/>
      <c r="W6" s="394"/>
      <c r="X6" s="394"/>
      <c r="Y6" s="394"/>
      <c r="Z6" s="394"/>
    </row>
    <row r="7">
      <c r="A7" s="835" t="s">
        <v>2367</v>
      </c>
      <c r="B7" s="835" t="s">
        <v>6687</v>
      </c>
      <c r="C7" s="836">
        <v>190.0</v>
      </c>
      <c r="D7" s="836">
        <v>189.0</v>
      </c>
      <c r="E7" s="836">
        <v>400.0</v>
      </c>
      <c r="F7" s="837">
        <f t="shared" si="1"/>
        <v>14.364</v>
      </c>
      <c r="G7" s="838">
        <f t="shared" si="2"/>
        <v>359.1</v>
      </c>
      <c r="H7" s="394"/>
      <c r="I7" s="394"/>
      <c r="J7" s="394"/>
      <c r="K7" s="394"/>
      <c r="L7" s="394"/>
      <c r="M7" s="394"/>
      <c r="N7" s="394"/>
      <c r="O7" s="394"/>
      <c r="P7" s="394"/>
      <c r="Q7" s="394"/>
      <c r="R7" s="394"/>
      <c r="S7" s="394"/>
      <c r="T7" s="394"/>
      <c r="U7" s="394"/>
      <c r="V7" s="394"/>
      <c r="W7" s="394"/>
      <c r="X7" s="394"/>
      <c r="Y7" s="394"/>
      <c r="Z7" s="394"/>
    </row>
    <row r="8">
      <c r="A8" s="835" t="s">
        <v>6688</v>
      </c>
      <c r="B8" s="835" t="s">
        <v>6689</v>
      </c>
      <c r="C8" s="836">
        <v>307.0</v>
      </c>
      <c r="D8" s="836">
        <v>155.4</v>
      </c>
      <c r="E8" s="836">
        <v>337.4</v>
      </c>
      <c r="F8" s="837">
        <f t="shared" si="1"/>
        <v>16.09661172</v>
      </c>
      <c r="G8" s="838">
        <f t="shared" si="2"/>
        <v>477.078</v>
      </c>
      <c r="H8" s="394"/>
      <c r="I8" s="394"/>
      <c r="J8" s="394"/>
      <c r="K8" s="394"/>
      <c r="L8" s="394"/>
      <c r="M8" s="394"/>
      <c r="N8" s="394"/>
      <c r="O8" s="394"/>
      <c r="P8" s="394"/>
      <c r="Q8" s="394"/>
      <c r="R8" s="394"/>
      <c r="S8" s="394"/>
      <c r="T8" s="394"/>
      <c r="U8" s="394"/>
      <c r="V8" s="394"/>
      <c r="W8" s="394"/>
      <c r="X8" s="394"/>
      <c r="Y8" s="394"/>
      <c r="Z8" s="394"/>
    </row>
    <row r="9">
      <c r="A9" s="835" t="s">
        <v>1688</v>
      </c>
      <c r="B9" s="835" t="s">
        <v>6690</v>
      </c>
      <c r="C9" s="836">
        <v>238.0</v>
      </c>
      <c r="D9" s="836">
        <v>216.0</v>
      </c>
      <c r="E9" s="836">
        <v>96.0</v>
      </c>
      <c r="F9" s="837">
        <f t="shared" si="1"/>
        <v>4.935168</v>
      </c>
      <c r="G9" s="838">
        <f t="shared" si="2"/>
        <v>514.08</v>
      </c>
      <c r="H9" s="394"/>
      <c r="I9" s="394"/>
      <c r="J9" s="394"/>
      <c r="K9" s="394"/>
      <c r="L9" s="394"/>
      <c r="M9" s="394"/>
      <c r="N9" s="394"/>
      <c r="O9" s="394"/>
      <c r="P9" s="394"/>
      <c r="Q9" s="394"/>
      <c r="R9" s="394"/>
      <c r="S9" s="394"/>
      <c r="T9" s="394"/>
      <c r="U9" s="394"/>
      <c r="V9" s="394"/>
      <c r="W9" s="394"/>
      <c r="X9" s="394"/>
      <c r="Y9" s="394"/>
      <c r="Z9" s="394"/>
    </row>
    <row r="10">
      <c r="A10" s="835" t="s">
        <v>1688</v>
      </c>
      <c r="B10" s="835" t="s">
        <v>6691</v>
      </c>
      <c r="C10" s="836">
        <v>142.0</v>
      </c>
      <c r="D10" s="836">
        <v>42.0</v>
      </c>
      <c r="E10" s="836">
        <v>221.0</v>
      </c>
      <c r="F10" s="837">
        <f t="shared" si="1"/>
        <v>1.318044</v>
      </c>
      <c r="G10" s="838">
        <f t="shared" si="2"/>
        <v>59.64</v>
      </c>
      <c r="H10" s="394"/>
      <c r="I10" s="394"/>
      <c r="J10" s="394"/>
      <c r="K10" s="394"/>
      <c r="L10" s="394"/>
      <c r="M10" s="394"/>
      <c r="N10" s="394"/>
      <c r="O10" s="394"/>
      <c r="P10" s="394"/>
      <c r="Q10" s="394"/>
      <c r="R10" s="394"/>
      <c r="S10" s="394"/>
      <c r="T10" s="394"/>
      <c r="U10" s="394"/>
      <c r="V10" s="394"/>
      <c r="W10" s="394"/>
      <c r="X10" s="394"/>
      <c r="Y10" s="394"/>
      <c r="Z10" s="394"/>
    </row>
    <row r="11">
      <c r="A11" s="835" t="s">
        <v>1688</v>
      </c>
      <c r="B11" s="835" t="s">
        <v>6692</v>
      </c>
      <c r="C11" s="836">
        <v>357.0</v>
      </c>
      <c r="D11" s="836">
        <v>120.0</v>
      </c>
      <c r="E11" s="836">
        <v>189.0</v>
      </c>
      <c r="F11" s="837">
        <f t="shared" si="1"/>
        <v>8.09676</v>
      </c>
      <c r="G11" s="838">
        <f t="shared" si="2"/>
        <v>428.4</v>
      </c>
      <c r="H11" s="394"/>
      <c r="I11" s="394"/>
      <c r="J11" s="394"/>
      <c r="K11" s="394"/>
      <c r="L11" s="394"/>
      <c r="M11" s="394"/>
      <c r="N11" s="394"/>
      <c r="O11" s="394"/>
      <c r="P11" s="394"/>
      <c r="Q11" s="394"/>
      <c r="R11" s="394"/>
      <c r="S11" s="394"/>
      <c r="T11" s="394"/>
      <c r="U11" s="394"/>
      <c r="V11" s="394"/>
      <c r="W11" s="394"/>
      <c r="X11" s="394"/>
      <c r="Y11" s="394"/>
      <c r="Z11" s="394"/>
    </row>
    <row r="12">
      <c r="A12" s="835" t="s">
        <v>1688</v>
      </c>
      <c r="B12" s="835" t="s">
        <v>6693</v>
      </c>
      <c r="C12" s="836">
        <v>230.0</v>
      </c>
      <c r="D12" s="836">
        <v>180.0</v>
      </c>
      <c r="E12" s="836">
        <v>60.0</v>
      </c>
      <c r="F12" s="837">
        <f t="shared" si="1"/>
        <v>2.484</v>
      </c>
      <c r="G12" s="838">
        <f t="shared" si="2"/>
        <v>414</v>
      </c>
      <c r="H12" s="394"/>
      <c r="I12" s="394"/>
      <c r="J12" s="394"/>
      <c r="K12" s="394"/>
      <c r="L12" s="394"/>
      <c r="M12" s="394"/>
      <c r="N12" s="394"/>
      <c r="O12" s="394"/>
      <c r="P12" s="394"/>
      <c r="Q12" s="394"/>
      <c r="R12" s="394"/>
      <c r="S12" s="394"/>
      <c r="T12" s="394"/>
      <c r="U12" s="394"/>
      <c r="V12" s="394"/>
      <c r="W12" s="394"/>
      <c r="X12" s="394"/>
      <c r="Y12" s="394"/>
      <c r="Z12" s="394"/>
    </row>
    <row r="13">
      <c r="A13" s="835" t="s">
        <v>1688</v>
      </c>
      <c r="B13" s="835" t="s">
        <v>6694</v>
      </c>
      <c r="C13" s="836">
        <v>357.0</v>
      </c>
      <c r="D13" s="836">
        <v>120.0</v>
      </c>
      <c r="E13" s="836">
        <v>189.0</v>
      </c>
      <c r="F13" s="837">
        <f t="shared" si="1"/>
        <v>8.09676</v>
      </c>
      <c r="G13" s="838">
        <f t="shared" si="2"/>
        <v>428.4</v>
      </c>
      <c r="H13" s="394"/>
      <c r="I13" s="394"/>
      <c r="J13" s="394"/>
      <c r="K13" s="394"/>
      <c r="L13" s="394"/>
      <c r="M13" s="394"/>
      <c r="N13" s="394"/>
      <c r="O13" s="394"/>
      <c r="P13" s="394"/>
      <c r="Q13" s="394"/>
      <c r="R13" s="394"/>
      <c r="S13" s="394"/>
      <c r="T13" s="394"/>
      <c r="U13" s="394"/>
      <c r="V13" s="394"/>
      <c r="W13" s="394"/>
      <c r="X13" s="394"/>
      <c r="Y13" s="394"/>
      <c r="Z13" s="394"/>
    </row>
    <row r="14">
      <c r="A14" s="835" t="s">
        <v>1688</v>
      </c>
      <c r="B14" s="835" t="s">
        <v>6695</v>
      </c>
      <c r="C14" s="836">
        <v>337.0</v>
      </c>
      <c r="D14" s="836">
        <v>129.0</v>
      </c>
      <c r="E14" s="836">
        <v>318.0</v>
      </c>
      <c r="F14" s="837">
        <f t="shared" si="1"/>
        <v>13.824414</v>
      </c>
      <c r="G14" s="838">
        <f t="shared" si="2"/>
        <v>434.73</v>
      </c>
      <c r="H14" s="394"/>
      <c r="I14" s="394"/>
      <c r="J14" s="394"/>
      <c r="K14" s="394"/>
      <c r="L14" s="394"/>
      <c r="M14" s="394"/>
      <c r="N14" s="394"/>
      <c r="O14" s="394"/>
      <c r="P14" s="394"/>
      <c r="Q14" s="394"/>
      <c r="R14" s="394"/>
      <c r="S14" s="394"/>
      <c r="T14" s="394"/>
      <c r="U14" s="394"/>
      <c r="V14" s="394"/>
      <c r="W14" s="394"/>
      <c r="X14" s="394"/>
      <c r="Y14" s="394"/>
      <c r="Z14" s="394"/>
    </row>
    <row r="15">
      <c r="A15" s="839" t="s">
        <v>6696</v>
      </c>
      <c r="B15" s="839" t="s">
        <v>6697</v>
      </c>
      <c r="C15" s="840">
        <v>260.0</v>
      </c>
      <c r="D15" s="840">
        <v>320.0</v>
      </c>
      <c r="E15" s="840">
        <v>100.0</v>
      </c>
      <c r="F15" s="837">
        <f t="shared" si="1"/>
        <v>8.32</v>
      </c>
      <c r="G15" s="838">
        <f t="shared" si="2"/>
        <v>832</v>
      </c>
      <c r="H15" s="394"/>
      <c r="I15" s="394"/>
      <c r="J15" s="394"/>
      <c r="K15" s="394"/>
      <c r="L15" s="394"/>
      <c r="M15" s="394"/>
      <c r="N15" s="394"/>
      <c r="O15" s="394"/>
      <c r="P15" s="394"/>
      <c r="Q15" s="394"/>
      <c r="R15" s="394"/>
      <c r="S15" s="394"/>
      <c r="T15" s="394"/>
      <c r="U15" s="394"/>
      <c r="V15" s="394"/>
      <c r="W15" s="394"/>
      <c r="X15" s="394"/>
      <c r="Y15" s="394"/>
      <c r="Z15" s="394"/>
    </row>
    <row r="16">
      <c r="A16" s="839" t="s">
        <v>6696</v>
      </c>
      <c r="B16" s="839" t="s">
        <v>6698</v>
      </c>
      <c r="C16" s="840">
        <v>269.0</v>
      </c>
      <c r="D16" s="840">
        <v>310.0</v>
      </c>
      <c r="E16" s="840">
        <v>79.0</v>
      </c>
      <c r="F16" s="837">
        <f t="shared" si="1"/>
        <v>6.58781</v>
      </c>
      <c r="G16" s="838">
        <f t="shared" si="2"/>
        <v>833.9</v>
      </c>
      <c r="H16" s="394"/>
      <c r="I16" s="394"/>
      <c r="J16" s="394"/>
      <c r="K16" s="394"/>
      <c r="L16" s="394"/>
      <c r="M16" s="394"/>
      <c r="N16" s="394"/>
      <c r="O16" s="394"/>
      <c r="P16" s="394"/>
      <c r="Q16" s="394"/>
      <c r="R16" s="394"/>
      <c r="S16" s="394"/>
      <c r="T16" s="394"/>
      <c r="U16" s="394"/>
      <c r="V16" s="394"/>
      <c r="W16" s="394"/>
      <c r="X16" s="394"/>
      <c r="Y16" s="394"/>
      <c r="Z16" s="394"/>
    </row>
    <row r="17">
      <c r="A17" s="839" t="s">
        <v>6696</v>
      </c>
      <c r="B17" s="839" t="s">
        <v>6699</v>
      </c>
      <c r="C17" s="840">
        <v>260.0</v>
      </c>
      <c r="D17" s="840">
        <v>270.0</v>
      </c>
      <c r="E17" s="840">
        <v>78.0</v>
      </c>
      <c r="F17" s="837">
        <f t="shared" si="1"/>
        <v>5.4756</v>
      </c>
      <c r="G17" s="841">
        <f t="shared" si="2"/>
        <v>702</v>
      </c>
      <c r="H17" s="394"/>
      <c r="I17" s="394"/>
      <c r="J17" s="394"/>
      <c r="K17" s="394"/>
      <c r="L17" s="394"/>
      <c r="M17" s="394"/>
      <c r="N17" s="394"/>
      <c r="O17" s="394"/>
      <c r="P17" s="394"/>
      <c r="Q17" s="394"/>
      <c r="R17" s="394"/>
      <c r="S17" s="394"/>
      <c r="T17" s="394"/>
      <c r="U17" s="394"/>
      <c r="V17" s="394"/>
      <c r="W17" s="394"/>
      <c r="X17" s="394"/>
      <c r="Y17" s="394"/>
      <c r="Z17" s="394"/>
    </row>
    <row r="18">
      <c r="A18" s="839" t="s">
        <v>6696</v>
      </c>
      <c r="B18" s="839" t="s">
        <v>6700</v>
      </c>
      <c r="C18" s="840">
        <v>254.0</v>
      </c>
      <c r="D18" s="840">
        <v>264.0</v>
      </c>
      <c r="E18" s="840">
        <v>67.0</v>
      </c>
      <c r="F18" s="837">
        <f t="shared" si="1"/>
        <v>4.492752</v>
      </c>
      <c r="G18" s="841">
        <f t="shared" si="2"/>
        <v>670.56</v>
      </c>
      <c r="H18" s="394"/>
      <c r="I18" s="394"/>
      <c r="J18" s="394"/>
      <c r="K18" s="394"/>
      <c r="L18" s="394"/>
      <c r="M18" s="394"/>
      <c r="N18" s="394"/>
      <c r="O18" s="394"/>
      <c r="P18" s="394"/>
      <c r="Q18" s="394"/>
      <c r="R18" s="394"/>
      <c r="S18" s="394"/>
      <c r="T18" s="394"/>
      <c r="U18" s="394"/>
      <c r="V18" s="394"/>
      <c r="W18" s="394"/>
      <c r="X18" s="394"/>
      <c r="Y18" s="394"/>
      <c r="Z18" s="394"/>
    </row>
    <row r="19">
      <c r="A19" s="839" t="s">
        <v>6696</v>
      </c>
      <c r="B19" s="839" t="s">
        <v>6701</v>
      </c>
      <c r="C19" s="840">
        <v>274.0</v>
      </c>
      <c r="D19" s="840">
        <v>333.0</v>
      </c>
      <c r="E19" s="840">
        <v>79.0</v>
      </c>
      <c r="F19" s="837">
        <f t="shared" si="1"/>
        <v>7.208118</v>
      </c>
      <c r="G19" s="841">
        <f t="shared" si="2"/>
        <v>912.42</v>
      </c>
      <c r="H19" s="394"/>
      <c r="I19" s="394"/>
      <c r="J19" s="394"/>
      <c r="K19" s="394"/>
      <c r="L19" s="394"/>
      <c r="M19" s="394"/>
      <c r="N19" s="394"/>
      <c r="O19" s="394"/>
      <c r="P19" s="394"/>
      <c r="Q19" s="394"/>
      <c r="R19" s="394"/>
      <c r="S19" s="394"/>
      <c r="T19" s="394"/>
      <c r="U19" s="394"/>
      <c r="V19" s="394"/>
      <c r="W19" s="394"/>
      <c r="X19" s="394"/>
      <c r="Y19" s="394"/>
      <c r="Z19" s="394"/>
    </row>
    <row r="20">
      <c r="A20" s="839" t="s">
        <v>6696</v>
      </c>
      <c r="B20" s="839" t="s">
        <v>6702</v>
      </c>
      <c r="C20" s="840">
        <v>230.0</v>
      </c>
      <c r="D20" s="840">
        <v>295.0</v>
      </c>
      <c r="E20" s="840">
        <v>64.0</v>
      </c>
      <c r="F20" s="837">
        <f t="shared" si="1"/>
        <v>4.3424</v>
      </c>
      <c r="G20" s="841">
        <f t="shared" si="2"/>
        <v>678.5</v>
      </c>
      <c r="H20" s="394"/>
      <c r="I20" s="394"/>
      <c r="J20" s="394"/>
      <c r="K20" s="394"/>
      <c r="L20" s="394"/>
      <c r="M20" s="394"/>
      <c r="N20" s="394"/>
      <c r="O20" s="394"/>
      <c r="P20" s="394"/>
      <c r="Q20" s="394"/>
      <c r="R20" s="394"/>
      <c r="S20" s="394"/>
      <c r="T20" s="394"/>
      <c r="U20" s="394"/>
      <c r="V20" s="394"/>
      <c r="W20" s="394"/>
      <c r="X20" s="394"/>
      <c r="Y20" s="394"/>
      <c r="Z20" s="394"/>
    </row>
    <row r="21">
      <c r="A21" s="839" t="s">
        <v>6696</v>
      </c>
      <c r="B21" s="839" t="s">
        <v>6703</v>
      </c>
      <c r="C21" s="840">
        <v>240.0</v>
      </c>
      <c r="D21" s="840">
        <v>300.0</v>
      </c>
      <c r="E21" s="840">
        <v>60.0</v>
      </c>
      <c r="F21" s="837">
        <f t="shared" si="1"/>
        <v>4.32</v>
      </c>
      <c r="G21" s="841">
        <f t="shared" si="2"/>
        <v>720</v>
      </c>
      <c r="H21" s="394"/>
      <c r="I21" s="394"/>
      <c r="J21" s="394"/>
      <c r="K21" s="394"/>
      <c r="L21" s="394"/>
      <c r="M21" s="394"/>
      <c r="N21" s="394"/>
      <c r="O21" s="394"/>
      <c r="P21" s="394"/>
      <c r="Q21" s="394"/>
      <c r="R21" s="394"/>
      <c r="S21" s="394"/>
      <c r="T21" s="394"/>
      <c r="U21" s="394"/>
      <c r="V21" s="394"/>
      <c r="W21" s="394"/>
      <c r="X21" s="394"/>
      <c r="Y21" s="394"/>
      <c r="Z21" s="394"/>
    </row>
    <row r="22">
      <c r="A22" s="839" t="s">
        <v>6696</v>
      </c>
      <c r="B22" s="839" t="s">
        <v>6704</v>
      </c>
      <c r="C22" s="840">
        <v>274.0</v>
      </c>
      <c r="D22" s="840">
        <v>151.0</v>
      </c>
      <c r="E22" s="840">
        <v>64.0</v>
      </c>
      <c r="F22" s="837">
        <f t="shared" si="1"/>
        <v>2.647936</v>
      </c>
      <c r="G22" s="841">
        <f t="shared" si="2"/>
        <v>413.74</v>
      </c>
      <c r="H22" s="394"/>
      <c r="I22" s="394"/>
      <c r="J22" s="394"/>
      <c r="K22" s="394"/>
      <c r="L22" s="394"/>
      <c r="M22" s="394"/>
      <c r="N22" s="394"/>
      <c r="O22" s="394"/>
      <c r="P22" s="394"/>
      <c r="Q22" s="394"/>
      <c r="R22" s="394"/>
      <c r="S22" s="394"/>
      <c r="T22" s="394"/>
      <c r="U22" s="394"/>
      <c r="V22" s="394"/>
      <c r="W22" s="394"/>
      <c r="X22" s="394"/>
      <c r="Y22" s="394"/>
      <c r="Z22" s="394"/>
    </row>
    <row r="23">
      <c r="A23" s="839" t="s">
        <v>6696</v>
      </c>
      <c r="B23" s="839" t="s">
        <v>6705</v>
      </c>
      <c r="C23" s="840">
        <v>151.0</v>
      </c>
      <c r="D23" s="840">
        <v>151.0</v>
      </c>
      <c r="E23" s="840">
        <v>301.0</v>
      </c>
      <c r="F23" s="837">
        <f t="shared" si="1"/>
        <v>6.863101</v>
      </c>
      <c r="G23" s="841">
        <f t="shared" si="2"/>
        <v>228.01</v>
      </c>
      <c r="H23" s="394"/>
      <c r="I23" s="394"/>
      <c r="J23" s="394"/>
      <c r="K23" s="394"/>
      <c r="L23" s="394"/>
      <c r="M23" s="394"/>
      <c r="N23" s="394"/>
      <c r="O23" s="394"/>
      <c r="P23" s="394"/>
      <c r="Q23" s="394"/>
      <c r="R23" s="394"/>
      <c r="S23" s="394"/>
      <c r="T23" s="394"/>
      <c r="U23" s="394"/>
      <c r="V23" s="394"/>
      <c r="W23" s="394"/>
      <c r="X23" s="394"/>
      <c r="Y23" s="394"/>
      <c r="Z23" s="394"/>
    </row>
    <row r="24">
      <c r="A24" s="835" t="s">
        <v>3424</v>
      </c>
      <c r="B24" s="835" t="s">
        <v>6706</v>
      </c>
      <c r="C24" s="836">
        <v>348.0</v>
      </c>
      <c r="D24" s="836">
        <v>128.0</v>
      </c>
      <c r="E24" s="836">
        <v>244.0</v>
      </c>
      <c r="F24" s="837">
        <f t="shared" si="1"/>
        <v>10.868736</v>
      </c>
      <c r="G24" s="841">
        <f t="shared" si="2"/>
        <v>445.44</v>
      </c>
      <c r="H24" s="394"/>
      <c r="I24" s="394"/>
      <c r="J24" s="394"/>
      <c r="K24" s="394"/>
      <c r="L24" s="394"/>
      <c r="M24" s="394"/>
      <c r="N24" s="394"/>
      <c r="O24" s="394"/>
      <c r="P24" s="394"/>
      <c r="Q24" s="394"/>
      <c r="R24" s="394"/>
      <c r="S24" s="394"/>
      <c r="T24" s="394"/>
      <c r="U24" s="394"/>
      <c r="V24" s="394"/>
      <c r="W24" s="394"/>
      <c r="X24" s="394"/>
      <c r="Y24" s="394"/>
      <c r="Z24" s="394"/>
    </row>
    <row r="25">
      <c r="A25" s="835" t="s">
        <v>3424</v>
      </c>
      <c r="B25" s="835" t="s">
        <v>6707</v>
      </c>
      <c r="C25" s="836">
        <v>232.57</v>
      </c>
      <c r="D25" s="836">
        <v>83.31</v>
      </c>
      <c r="E25" s="836">
        <v>346.25</v>
      </c>
      <c r="F25" s="837">
        <f t="shared" si="1"/>
        <v>6.70873457</v>
      </c>
      <c r="G25" s="841">
        <f t="shared" si="2"/>
        <v>193.754067</v>
      </c>
      <c r="H25" s="394"/>
      <c r="I25" s="394"/>
      <c r="J25" s="394"/>
      <c r="K25" s="394"/>
      <c r="L25" s="394"/>
      <c r="M25" s="394"/>
      <c r="N25" s="394"/>
      <c r="O25" s="394"/>
      <c r="P25" s="394"/>
      <c r="Q25" s="394"/>
      <c r="R25" s="394"/>
      <c r="S25" s="394"/>
      <c r="T25" s="394"/>
      <c r="U25" s="394"/>
      <c r="V25" s="394"/>
      <c r="W25" s="394"/>
      <c r="X25" s="394"/>
      <c r="Y25" s="394"/>
      <c r="Z25" s="394"/>
    </row>
    <row r="26">
      <c r="A26" s="835" t="s">
        <v>3424</v>
      </c>
      <c r="B26" s="835" t="s">
        <v>6708</v>
      </c>
      <c r="C26" s="836">
        <v>382.73</v>
      </c>
      <c r="D26" s="836">
        <v>129.74</v>
      </c>
      <c r="E26" s="836">
        <v>396.93</v>
      </c>
      <c r="F26" s="837">
        <f t="shared" si="1"/>
        <v>19.70971403</v>
      </c>
      <c r="G26" s="841">
        <f t="shared" si="2"/>
        <v>496.553902</v>
      </c>
      <c r="H26" s="394"/>
      <c r="I26" s="394"/>
      <c r="J26" s="394"/>
      <c r="K26" s="394"/>
      <c r="L26" s="394"/>
      <c r="M26" s="394"/>
      <c r="N26" s="394"/>
      <c r="O26" s="394"/>
      <c r="P26" s="394"/>
      <c r="Q26" s="394"/>
      <c r="R26" s="394"/>
      <c r="S26" s="394"/>
      <c r="T26" s="394"/>
      <c r="U26" s="394"/>
      <c r="V26" s="394"/>
      <c r="W26" s="394"/>
      <c r="X26" s="394"/>
      <c r="Y26" s="394"/>
      <c r="Z26" s="394"/>
    </row>
    <row r="27">
      <c r="A27" s="835" t="s">
        <v>3424</v>
      </c>
      <c r="B27" s="835" t="s">
        <v>6709</v>
      </c>
      <c r="C27" s="836">
        <v>342.0</v>
      </c>
      <c r="D27" s="836">
        <v>128.0</v>
      </c>
      <c r="E27" s="836">
        <v>235.0</v>
      </c>
      <c r="F27" s="837">
        <f t="shared" si="1"/>
        <v>10.28736</v>
      </c>
      <c r="G27" s="841">
        <f t="shared" si="2"/>
        <v>437.76</v>
      </c>
      <c r="H27" s="394"/>
      <c r="I27" s="394"/>
      <c r="J27" s="394"/>
      <c r="K27" s="394"/>
      <c r="L27" s="394"/>
      <c r="M27" s="394"/>
      <c r="N27" s="394"/>
      <c r="O27" s="394"/>
      <c r="P27" s="394"/>
      <c r="Q27" s="394"/>
      <c r="R27" s="394"/>
      <c r="S27" s="394"/>
      <c r="T27" s="394"/>
      <c r="U27" s="394"/>
      <c r="V27" s="394"/>
      <c r="W27" s="394"/>
      <c r="X27" s="394"/>
      <c r="Y27" s="394"/>
      <c r="Z27" s="394"/>
    </row>
    <row r="28">
      <c r="A28" s="835" t="s">
        <v>3424</v>
      </c>
      <c r="B28" s="835" t="s">
        <v>6710</v>
      </c>
      <c r="C28" s="836">
        <v>342.0</v>
      </c>
      <c r="D28" s="836">
        <v>128.0</v>
      </c>
      <c r="E28" s="836">
        <v>268.0</v>
      </c>
      <c r="F28" s="837">
        <f t="shared" si="1"/>
        <v>11.731968</v>
      </c>
      <c r="G28" s="841">
        <f t="shared" si="2"/>
        <v>437.76</v>
      </c>
      <c r="H28" s="394"/>
      <c r="I28" s="394"/>
      <c r="J28" s="394"/>
      <c r="K28" s="394"/>
      <c r="L28" s="394"/>
      <c r="M28" s="394"/>
      <c r="N28" s="394"/>
      <c r="O28" s="394"/>
      <c r="P28" s="394"/>
      <c r="Q28" s="394"/>
      <c r="R28" s="394"/>
      <c r="S28" s="394"/>
      <c r="T28" s="394"/>
      <c r="U28" s="394"/>
      <c r="V28" s="394"/>
      <c r="W28" s="394"/>
      <c r="X28" s="394"/>
      <c r="Y28" s="394"/>
      <c r="Z28" s="394"/>
    </row>
    <row r="29">
      <c r="A29" s="835" t="s">
        <v>6711</v>
      </c>
      <c r="B29" s="835" t="s">
        <v>6712</v>
      </c>
      <c r="C29" s="836">
        <v>130.0</v>
      </c>
      <c r="D29" s="836">
        <v>120.0</v>
      </c>
      <c r="E29" s="836">
        <v>55.0</v>
      </c>
      <c r="F29" s="837">
        <f t="shared" si="1"/>
        <v>0.858</v>
      </c>
      <c r="G29" s="841">
        <f t="shared" si="2"/>
        <v>156</v>
      </c>
      <c r="H29" s="394"/>
      <c r="I29" s="394"/>
      <c r="J29" s="394"/>
      <c r="K29" s="394"/>
      <c r="L29" s="394"/>
      <c r="M29" s="394"/>
      <c r="N29" s="394"/>
      <c r="O29" s="394"/>
      <c r="P29" s="394"/>
      <c r="Q29" s="394"/>
      <c r="R29" s="394"/>
      <c r="S29" s="394"/>
      <c r="T29" s="394"/>
      <c r="U29" s="394"/>
      <c r="V29" s="394"/>
      <c r="W29" s="394"/>
      <c r="X29" s="394"/>
      <c r="Y29" s="394"/>
      <c r="Z29" s="394"/>
    </row>
    <row r="30">
      <c r="A30" s="839" t="s">
        <v>6713</v>
      </c>
      <c r="B30" s="839" t="s">
        <v>6714</v>
      </c>
      <c r="C30" s="840">
        <v>188.0</v>
      </c>
      <c r="D30" s="840">
        <v>270.0</v>
      </c>
      <c r="E30" s="840">
        <v>60.0</v>
      </c>
      <c r="F30" s="842">
        <f t="shared" si="1"/>
        <v>3.0456</v>
      </c>
      <c r="G30" s="843">
        <f t="shared" si="2"/>
        <v>507.6</v>
      </c>
      <c r="H30" s="394"/>
      <c r="I30" s="394"/>
      <c r="J30" s="394"/>
      <c r="K30" s="394"/>
      <c r="L30" s="394"/>
      <c r="M30" s="394"/>
      <c r="N30" s="394"/>
      <c r="O30" s="394"/>
      <c r="P30" s="394"/>
      <c r="Q30" s="394"/>
      <c r="R30" s="394"/>
      <c r="S30" s="394"/>
      <c r="T30" s="394"/>
      <c r="U30" s="394"/>
      <c r="V30" s="394"/>
      <c r="W30" s="394"/>
      <c r="X30" s="394"/>
      <c r="Y30" s="394"/>
      <c r="Z30" s="394"/>
    </row>
    <row r="31">
      <c r="A31" s="839" t="s">
        <v>6713</v>
      </c>
      <c r="B31" s="839" t="s">
        <v>6715</v>
      </c>
      <c r="C31" s="840">
        <v>144.0</v>
      </c>
      <c r="D31" s="840">
        <v>193.0</v>
      </c>
      <c r="E31" s="840">
        <v>38.0</v>
      </c>
      <c r="F31" s="842">
        <f t="shared" si="1"/>
        <v>1.056096</v>
      </c>
      <c r="G31" s="843">
        <f t="shared" si="2"/>
        <v>277.92</v>
      </c>
      <c r="H31" s="394"/>
      <c r="I31" s="394"/>
      <c r="J31" s="394"/>
      <c r="K31" s="394"/>
      <c r="L31" s="394"/>
      <c r="M31" s="394"/>
      <c r="N31" s="394"/>
      <c r="O31" s="394"/>
      <c r="P31" s="394"/>
      <c r="Q31" s="394"/>
      <c r="R31" s="394"/>
      <c r="S31" s="394"/>
      <c r="T31" s="394"/>
      <c r="U31" s="394"/>
      <c r="V31" s="394"/>
      <c r="W31" s="394"/>
      <c r="X31" s="394"/>
      <c r="Y31" s="394"/>
      <c r="Z31" s="394"/>
    </row>
    <row r="32">
      <c r="A32" s="839" t="s">
        <v>6713</v>
      </c>
      <c r="B32" s="839" t="s">
        <v>6716</v>
      </c>
      <c r="C32" s="840">
        <v>183.0</v>
      </c>
      <c r="D32" s="840">
        <v>302.0</v>
      </c>
      <c r="E32" s="840">
        <v>79.0</v>
      </c>
      <c r="F32" s="837">
        <f t="shared" si="1"/>
        <v>4.366014</v>
      </c>
      <c r="G32" s="841">
        <f t="shared" si="2"/>
        <v>552.66</v>
      </c>
      <c r="H32" s="394"/>
      <c r="I32" s="394"/>
      <c r="J32" s="394"/>
      <c r="K32" s="394"/>
      <c r="L32" s="394"/>
      <c r="M32" s="394"/>
      <c r="N32" s="394"/>
      <c r="O32" s="394"/>
      <c r="P32" s="394"/>
      <c r="Q32" s="394"/>
      <c r="R32" s="394"/>
      <c r="S32" s="394"/>
      <c r="T32" s="394"/>
      <c r="U32" s="394"/>
      <c r="V32" s="394"/>
      <c r="W32" s="394"/>
      <c r="X32" s="394"/>
      <c r="Y32" s="394"/>
      <c r="Z32" s="394"/>
    </row>
    <row r="33">
      <c r="A33" s="839" t="s">
        <v>6713</v>
      </c>
      <c r="B33" s="839" t="s">
        <v>6717</v>
      </c>
      <c r="C33" s="840">
        <v>152.0</v>
      </c>
      <c r="D33" s="840">
        <v>230.0</v>
      </c>
      <c r="E33" s="840">
        <v>28.0</v>
      </c>
      <c r="F33" s="837">
        <f t="shared" si="1"/>
        <v>0.97888</v>
      </c>
      <c r="G33" s="841">
        <f t="shared" si="2"/>
        <v>349.6</v>
      </c>
      <c r="H33" s="394"/>
      <c r="I33" s="394"/>
      <c r="J33" s="394"/>
      <c r="K33" s="394"/>
      <c r="L33" s="394"/>
      <c r="M33" s="394"/>
      <c r="N33" s="394"/>
      <c r="O33" s="394"/>
      <c r="P33" s="394"/>
      <c r="Q33" s="394"/>
      <c r="R33" s="394"/>
      <c r="S33" s="394"/>
      <c r="T33" s="394"/>
      <c r="U33" s="394"/>
      <c r="V33" s="394"/>
      <c r="W33" s="394"/>
      <c r="X33" s="394"/>
      <c r="Y33" s="394"/>
      <c r="Z33" s="394"/>
    </row>
    <row r="34">
      <c r="A34" s="839" t="s">
        <v>6713</v>
      </c>
      <c r="B34" s="839" t="s">
        <v>6718</v>
      </c>
      <c r="C34" s="840">
        <v>274.0</v>
      </c>
      <c r="D34" s="840">
        <v>325.0</v>
      </c>
      <c r="E34" s="840">
        <v>98.0</v>
      </c>
      <c r="F34" s="837">
        <f t="shared" si="1"/>
        <v>8.7269</v>
      </c>
      <c r="G34" s="841">
        <f t="shared" si="2"/>
        <v>890.5</v>
      </c>
      <c r="H34" s="394"/>
      <c r="I34" s="394"/>
      <c r="J34" s="394"/>
      <c r="K34" s="394"/>
      <c r="L34" s="394"/>
      <c r="M34" s="394"/>
      <c r="N34" s="394"/>
      <c r="O34" s="394"/>
      <c r="P34" s="394"/>
      <c r="Q34" s="394"/>
      <c r="R34" s="394"/>
      <c r="S34" s="394"/>
      <c r="T34" s="394"/>
      <c r="U34" s="394"/>
      <c r="V34" s="394"/>
      <c r="W34" s="394"/>
      <c r="X34" s="394"/>
      <c r="Y34" s="394"/>
      <c r="Z34" s="394"/>
    </row>
    <row r="35">
      <c r="A35" s="839" t="s">
        <v>6713</v>
      </c>
      <c r="B35" s="839" t="s">
        <v>6719</v>
      </c>
      <c r="C35" s="840">
        <v>290.0</v>
      </c>
      <c r="D35" s="840">
        <v>290.0</v>
      </c>
      <c r="E35" s="840">
        <v>65.0</v>
      </c>
      <c r="F35" s="837">
        <f t="shared" si="1"/>
        <v>5.4665</v>
      </c>
      <c r="G35" s="841">
        <f t="shared" si="2"/>
        <v>841</v>
      </c>
      <c r="H35" s="394"/>
      <c r="I35" s="394"/>
      <c r="J35" s="394"/>
      <c r="K35" s="394"/>
      <c r="L35" s="394"/>
      <c r="M35" s="394"/>
      <c r="N35" s="394"/>
      <c r="O35" s="394"/>
      <c r="P35" s="394"/>
      <c r="Q35" s="394"/>
      <c r="R35" s="394"/>
      <c r="S35" s="394"/>
      <c r="T35" s="394"/>
      <c r="U35" s="394"/>
      <c r="V35" s="394"/>
      <c r="W35" s="394"/>
      <c r="X35" s="394"/>
      <c r="Y35" s="394"/>
      <c r="Z35" s="394"/>
    </row>
    <row r="36">
      <c r="A36" s="839" t="s">
        <v>6713</v>
      </c>
      <c r="B36" s="839" t="s">
        <v>6720</v>
      </c>
      <c r="C36" s="840">
        <v>230.0</v>
      </c>
      <c r="D36" s="840">
        <v>290.0</v>
      </c>
      <c r="E36" s="840">
        <v>60.0</v>
      </c>
      <c r="F36" s="837">
        <f t="shared" si="1"/>
        <v>4.002</v>
      </c>
      <c r="G36" s="841">
        <f t="shared" si="2"/>
        <v>667</v>
      </c>
      <c r="H36" s="394"/>
      <c r="I36" s="394"/>
      <c r="J36" s="394"/>
      <c r="K36" s="394"/>
      <c r="L36" s="394"/>
      <c r="M36" s="394"/>
      <c r="N36" s="394"/>
      <c r="O36" s="394"/>
      <c r="P36" s="394"/>
      <c r="Q36" s="394"/>
      <c r="R36" s="394"/>
      <c r="S36" s="394"/>
      <c r="T36" s="394"/>
      <c r="U36" s="394"/>
      <c r="V36" s="394"/>
      <c r="W36" s="394"/>
      <c r="X36" s="394"/>
      <c r="Y36" s="394"/>
      <c r="Z36" s="394"/>
    </row>
    <row r="37">
      <c r="A37" s="839" t="s">
        <v>6713</v>
      </c>
      <c r="B37" s="839" t="s">
        <v>6721</v>
      </c>
      <c r="C37" s="840">
        <v>305.0</v>
      </c>
      <c r="D37" s="840">
        <v>275.0</v>
      </c>
      <c r="E37" s="840">
        <v>53.0</v>
      </c>
      <c r="F37" s="837">
        <f t="shared" si="1"/>
        <v>4.445375</v>
      </c>
      <c r="G37" s="841">
        <f t="shared" si="2"/>
        <v>838.75</v>
      </c>
      <c r="H37" s="394"/>
      <c r="I37" s="394"/>
      <c r="J37" s="394"/>
      <c r="K37" s="394"/>
      <c r="L37" s="394"/>
      <c r="M37" s="394"/>
      <c r="N37" s="394"/>
      <c r="O37" s="394"/>
      <c r="P37" s="394"/>
      <c r="Q37" s="394"/>
      <c r="R37" s="394"/>
      <c r="S37" s="394"/>
      <c r="T37" s="394"/>
      <c r="U37" s="394"/>
      <c r="V37" s="394"/>
      <c r="W37" s="394"/>
      <c r="X37" s="394"/>
      <c r="Y37" s="394"/>
      <c r="Z37" s="394"/>
    </row>
    <row r="38">
      <c r="A38" s="839" t="s">
        <v>6713</v>
      </c>
      <c r="B38" s="839" t="s">
        <v>6722</v>
      </c>
      <c r="C38" s="840">
        <v>288.0</v>
      </c>
      <c r="D38" s="840">
        <v>265.0</v>
      </c>
      <c r="E38" s="840">
        <v>39.0</v>
      </c>
      <c r="F38" s="837">
        <f t="shared" si="1"/>
        <v>2.97648</v>
      </c>
      <c r="G38" s="841">
        <f t="shared" si="2"/>
        <v>763.2</v>
      </c>
      <c r="H38" s="394"/>
      <c r="I38" s="394"/>
      <c r="J38" s="394"/>
      <c r="K38" s="394"/>
      <c r="L38" s="394"/>
      <c r="M38" s="394"/>
      <c r="N38" s="394"/>
      <c r="O38" s="394"/>
      <c r="P38" s="394"/>
      <c r="Q38" s="394"/>
      <c r="R38" s="394"/>
      <c r="S38" s="394"/>
      <c r="T38" s="394"/>
      <c r="U38" s="394"/>
      <c r="V38" s="394"/>
      <c r="W38" s="394"/>
      <c r="X38" s="394"/>
      <c r="Y38" s="394"/>
      <c r="Z38" s="394"/>
    </row>
    <row r="39">
      <c r="A39" s="839" t="s">
        <v>6713</v>
      </c>
      <c r="B39" s="839" t="s">
        <v>6723</v>
      </c>
      <c r="C39" s="840">
        <v>327.0</v>
      </c>
      <c r="D39" s="840">
        <v>295.0</v>
      </c>
      <c r="E39" s="840">
        <v>55.0</v>
      </c>
      <c r="F39" s="837">
        <f t="shared" si="1"/>
        <v>5.305575</v>
      </c>
      <c r="G39" s="841">
        <f t="shared" si="2"/>
        <v>964.65</v>
      </c>
      <c r="H39" s="394"/>
      <c r="I39" s="394"/>
      <c r="J39" s="394"/>
      <c r="K39" s="394"/>
      <c r="L39" s="394"/>
      <c r="M39" s="394"/>
      <c r="N39" s="394"/>
      <c r="O39" s="394"/>
      <c r="P39" s="394"/>
      <c r="Q39" s="394"/>
      <c r="R39" s="394"/>
      <c r="S39" s="394"/>
      <c r="T39" s="394"/>
      <c r="U39" s="394"/>
      <c r="V39" s="394"/>
      <c r="W39" s="394"/>
      <c r="X39" s="394"/>
      <c r="Y39" s="394"/>
      <c r="Z39" s="394"/>
    </row>
    <row r="40">
      <c r="A40" s="839" t="s">
        <v>6713</v>
      </c>
      <c r="B40" s="839" t="s">
        <v>6724</v>
      </c>
      <c r="C40" s="840">
        <v>260.0</v>
      </c>
      <c r="D40" s="840">
        <v>104.0</v>
      </c>
      <c r="E40" s="840">
        <v>390.0</v>
      </c>
      <c r="F40" s="844">
        <f t="shared" si="1"/>
        <v>10.5456</v>
      </c>
      <c r="G40" s="845">
        <f t="shared" si="2"/>
        <v>270.4</v>
      </c>
      <c r="H40" s="394"/>
      <c r="I40" s="394"/>
      <c r="J40" s="394"/>
      <c r="K40" s="394"/>
      <c r="L40" s="394"/>
      <c r="M40" s="394"/>
      <c r="N40" s="394"/>
      <c r="O40" s="394"/>
      <c r="P40" s="394"/>
      <c r="Q40" s="394"/>
      <c r="R40" s="394"/>
      <c r="S40" s="394"/>
      <c r="T40" s="394"/>
      <c r="U40" s="394"/>
      <c r="V40" s="394"/>
      <c r="W40" s="394"/>
      <c r="X40" s="394"/>
      <c r="Y40" s="394"/>
      <c r="Z40" s="394"/>
    </row>
    <row r="41">
      <c r="A41" s="839" t="s">
        <v>6713</v>
      </c>
      <c r="B41" s="839" t="s">
        <v>6725</v>
      </c>
      <c r="C41" s="840">
        <v>260.0</v>
      </c>
      <c r="D41" s="840">
        <v>92.0</v>
      </c>
      <c r="E41" s="840">
        <v>390.0</v>
      </c>
      <c r="F41" s="837">
        <f t="shared" si="1"/>
        <v>9.3288</v>
      </c>
      <c r="G41" s="841">
        <f t="shared" si="2"/>
        <v>239.2</v>
      </c>
      <c r="H41" s="394"/>
      <c r="I41" s="394"/>
      <c r="J41" s="394"/>
      <c r="K41" s="394"/>
      <c r="L41" s="394"/>
      <c r="M41" s="394"/>
      <c r="N41" s="394"/>
      <c r="O41" s="394"/>
      <c r="P41" s="394"/>
      <c r="Q41" s="394"/>
      <c r="R41" s="394"/>
      <c r="S41" s="394"/>
      <c r="T41" s="394"/>
      <c r="U41" s="394"/>
      <c r="V41" s="394"/>
      <c r="W41" s="394"/>
      <c r="X41" s="394"/>
      <c r="Y41" s="394"/>
      <c r="Z41" s="394"/>
    </row>
    <row r="42">
      <c r="A42" s="839" t="s">
        <v>6713</v>
      </c>
      <c r="B42" s="839" t="s">
        <v>6726</v>
      </c>
      <c r="C42" s="840">
        <v>216.0</v>
      </c>
      <c r="D42" s="840">
        <v>96.0</v>
      </c>
      <c r="E42" s="840">
        <v>358.0</v>
      </c>
      <c r="F42" s="837">
        <f t="shared" si="1"/>
        <v>7.423488</v>
      </c>
      <c r="G42" s="841">
        <f t="shared" si="2"/>
        <v>207.36</v>
      </c>
      <c r="H42" s="394"/>
      <c r="I42" s="394"/>
      <c r="J42" s="394"/>
      <c r="K42" s="394"/>
      <c r="L42" s="394"/>
      <c r="M42" s="394"/>
      <c r="N42" s="394"/>
      <c r="O42" s="394"/>
      <c r="P42" s="394"/>
      <c r="Q42" s="394"/>
      <c r="R42" s="394"/>
      <c r="S42" s="394"/>
      <c r="T42" s="394"/>
      <c r="U42" s="394"/>
      <c r="V42" s="394"/>
      <c r="W42" s="394"/>
      <c r="X42" s="394"/>
      <c r="Y42" s="394"/>
      <c r="Z42" s="394"/>
    </row>
    <row r="43">
      <c r="A43" s="839" t="s">
        <v>6713</v>
      </c>
      <c r="B43" s="839" t="s">
        <v>6727</v>
      </c>
      <c r="C43" s="840">
        <v>216.0</v>
      </c>
      <c r="D43" s="840">
        <v>80.0</v>
      </c>
      <c r="E43" s="840">
        <v>358.0</v>
      </c>
      <c r="F43" s="846">
        <f t="shared" si="1"/>
        <v>6.18624</v>
      </c>
      <c r="G43" s="847">
        <f t="shared" si="2"/>
        <v>172.8</v>
      </c>
      <c r="H43" s="394"/>
      <c r="I43" s="394"/>
      <c r="J43" s="394"/>
      <c r="K43" s="394"/>
      <c r="L43" s="394"/>
      <c r="M43" s="394"/>
      <c r="N43" s="394"/>
      <c r="O43" s="394"/>
      <c r="P43" s="394"/>
      <c r="Q43" s="394"/>
      <c r="R43" s="394"/>
      <c r="S43" s="394"/>
      <c r="T43" s="394"/>
      <c r="U43" s="394"/>
      <c r="V43" s="394"/>
      <c r="W43" s="394"/>
      <c r="X43" s="394"/>
      <c r="Y43" s="394"/>
      <c r="Z43" s="394"/>
    </row>
    <row r="44">
      <c r="A44" s="835" t="s">
        <v>3440</v>
      </c>
      <c r="B44" s="835" t="s">
        <v>6728</v>
      </c>
      <c r="C44" s="836">
        <v>265.5</v>
      </c>
      <c r="D44" s="836">
        <v>126.0</v>
      </c>
      <c r="E44" s="836">
        <v>249.0</v>
      </c>
      <c r="F44" s="837">
        <f t="shared" si="1"/>
        <v>8.329797</v>
      </c>
      <c r="G44" s="841">
        <f t="shared" si="2"/>
        <v>334.53</v>
      </c>
      <c r="H44" s="394"/>
      <c r="I44" s="394"/>
      <c r="J44" s="394"/>
      <c r="K44" s="394"/>
      <c r="L44" s="394"/>
      <c r="M44" s="394"/>
      <c r="N44" s="394"/>
      <c r="O44" s="394"/>
      <c r="P44" s="394"/>
      <c r="Q44" s="394"/>
      <c r="R44" s="394"/>
      <c r="S44" s="394"/>
      <c r="T44" s="394"/>
      <c r="U44" s="394"/>
      <c r="V44" s="394"/>
      <c r="W44" s="394"/>
      <c r="X44" s="394"/>
      <c r="Y44" s="394"/>
      <c r="Z44" s="394"/>
    </row>
    <row r="45">
      <c r="A45" s="835" t="s">
        <v>3440</v>
      </c>
      <c r="B45" s="835" t="s">
        <v>6729</v>
      </c>
      <c r="C45" s="836">
        <v>260.8</v>
      </c>
      <c r="D45" s="836">
        <v>136.0</v>
      </c>
      <c r="E45" s="836">
        <v>258.8</v>
      </c>
      <c r="F45" s="837">
        <f t="shared" si="1"/>
        <v>9.17932544</v>
      </c>
      <c r="G45" s="841">
        <f t="shared" si="2"/>
        <v>354.688</v>
      </c>
      <c r="H45" s="394"/>
      <c r="I45" s="394"/>
      <c r="J45" s="394"/>
      <c r="K45" s="394"/>
      <c r="L45" s="394"/>
      <c r="M45" s="394"/>
      <c r="N45" s="394"/>
      <c r="O45" s="394"/>
      <c r="P45" s="394"/>
      <c r="Q45" s="394"/>
      <c r="R45" s="394"/>
      <c r="S45" s="394"/>
      <c r="T45" s="394"/>
      <c r="U45" s="394"/>
      <c r="V45" s="394"/>
      <c r="W45" s="394"/>
      <c r="X45" s="394"/>
      <c r="Y45" s="394"/>
      <c r="Z45" s="394"/>
    </row>
    <row r="46">
      <c r="A46" s="394"/>
      <c r="B46" s="394"/>
      <c r="C46" s="394"/>
      <c r="D46" s="394"/>
      <c r="E46" s="394"/>
      <c r="F46" s="394"/>
      <c r="G46" s="394"/>
      <c r="H46" s="394"/>
      <c r="I46" s="394"/>
      <c r="J46" s="394"/>
      <c r="K46" s="394"/>
      <c r="L46" s="394"/>
      <c r="M46" s="394"/>
      <c r="N46" s="394"/>
      <c r="O46" s="394"/>
      <c r="P46" s="394"/>
      <c r="Q46" s="394"/>
      <c r="R46" s="394"/>
      <c r="S46" s="394"/>
      <c r="T46" s="394"/>
      <c r="U46" s="394"/>
      <c r="V46" s="394"/>
      <c r="W46" s="394"/>
      <c r="X46" s="394"/>
      <c r="Y46" s="394"/>
      <c r="Z46" s="394"/>
    </row>
    <row r="47">
      <c r="A47" s="394"/>
      <c r="B47" s="394"/>
      <c r="C47" s="394"/>
      <c r="D47" s="394"/>
      <c r="E47" s="394"/>
      <c r="F47" s="394"/>
      <c r="G47" s="394"/>
      <c r="H47" s="394"/>
      <c r="I47" s="394"/>
      <c r="J47" s="394"/>
      <c r="K47" s="394"/>
      <c r="L47" s="394"/>
      <c r="M47" s="394"/>
      <c r="N47" s="394"/>
      <c r="O47" s="394"/>
      <c r="P47" s="394"/>
      <c r="Q47" s="394"/>
      <c r="R47" s="394"/>
      <c r="S47" s="394"/>
      <c r="T47" s="394"/>
      <c r="U47" s="394"/>
      <c r="V47" s="394"/>
      <c r="W47" s="394"/>
      <c r="X47" s="394"/>
      <c r="Y47" s="394"/>
      <c r="Z47" s="394"/>
    </row>
    <row r="48">
      <c r="A48" s="394"/>
      <c r="B48" s="394"/>
      <c r="C48" s="394"/>
      <c r="D48" s="394"/>
      <c r="E48" s="394"/>
      <c r="F48" s="394"/>
      <c r="G48" s="394"/>
      <c r="H48" s="394"/>
      <c r="I48" s="394"/>
      <c r="J48" s="394"/>
      <c r="K48" s="394"/>
      <c r="L48" s="394"/>
      <c r="M48" s="394"/>
      <c r="N48" s="394"/>
      <c r="O48" s="394"/>
      <c r="P48" s="394"/>
      <c r="Q48" s="394"/>
      <c r="R48" s="394"/>
      <c r="S48" s="394"/>
      <c r="T48" s="394"/>
      <c r="U48" s="394"/>
      <c r="V48" s="394"/>
      <c r="W48" s="394"/>
      <c r="X48" s="394"/>
      <c r="Y48" s="394"/>
      <c r="Z48" s="394"/>
    </row>
    <row r="49">
      <c r="A49" s="394"/>
      <c r="B49" s="394"/>
      <c r="C49" s="394"/>
      <c r="D49" s="394"/>
      <c r="E49" s="394"/>
      <c r="F49" s="394"/>
      <c r="G49" s="394"/>
      <c r="H49" s="394"/>
      <c r="I49" s="394"/>
      <c r="J49" s="394"/>
      <c r="K49" s="394"/>
      <c r="L49" s="394"/>
      <c r="M49" s="394"/>
      <c r="N49" s="394"/>
      <c r="O49" s="394"/>
      <c r="P49" s="394"/>
      <c r="Q49" s="394"/>
      <c r="R49" s="394"/>
      <c r="S49" s="394"/>
      <c r="T49" s="394"/>
      <c r="U49" s="394"/>
      <c r="V49" s="394"/>
      <c r="W49" s="394"/>
      <c r="X49" s="394"/>
      <c r="Y49" s="394"/>
      <c r="Z49" s="394"/>
    </row>
    <row r="50">
      <c r="A50" s="394"/>
      <c r="B50" s="394"/>
      <c r="C50" s="394"/>
      <c r="D50" s="394"/>
      <c r="E50" s="394"/>
      <c r="F50" s="394"/>
      <c r="G50" s="394"/>
      <c r="H50" s="394"/>
      <c r="I50" s="394"/>
      <c r="J50" s="394"/>
      <c r="K50" s="394"/>
      <c r="L50" s="394"/>
      <c r="M50" s="394"/>
      <c r="N50" s="394"/>
      <c r="O50" s="394"/>
      <c r="P50" s="394"/>
      <c r="Q50" s="394"/>
      <c r="R50" s="394"/>
      <c r="S50" s="394"/>
      <c r="T50" s="394"/>
      <c r="U50" s="394"/>
      <c r="V50" s="394"/>
      <c r="W50" s="394"/>
      <c r="X50" s="394"/>
      <c r="Y50" s="394"/>
      <c r="Z50" s="394"/>
    </row>
    <row r="51">
      <c r="A51" s="394"/>
      <c r="B51" s="394"/>
      <c r="C51" s="394"/>
      <c r="D51" s="394"/>
      <c r="E51" s="394"/>
      <c r="F51" s="394"/>
      <c r="G51" s="394"/>
      <c r="H51" s="394"/>
      <c r="I51" s="394"/>
      <c r="J51" s="394"/>
      <c r="K51" s="394"/>
      <c r="L51" s="394"/>
      <c r="M51" s="394"/>
      <c r="N51" s="394"/>
      <c r="O51" s="394"/>
      <c r="P51" s="394"/>
      <c r="Q51" s="394"/>
      <c r="R51" s="394"/>
      <c r="S51" s="394"/>
      <c r="T51" s="394"/>
      <c r="U51" s="394"/>
      <c r="V51" s="394"/>
      <c r="W51" s="394"/>
      <c r="X51" s="394"/>
      <c r="Y51" s="394"/>
      <c r="Z51" s="394"/>
    </row>
    <row r="52">
      <c r="A52" s="394"/>
      <c r="B52" s="394"/>
      <c r="C52" s="394"/>
      <c r="D52" s="394"/>
      <c r="E52" s="394"/>
      <c r="F52" s="394"/>
      <c r="G52" s="394"/>
      <c r="H52" s="394"/>
      <c r="I52" s="394"/>
      <c r="J52" s="394"/>
      <c r="K52" s="394"/>
      <c r="L52" s="394"/>
      <c r="M52" s="394"/>
      <c r="N52" s="394"/>
      <c r="O52" s="394"/>
      <c r="P52" s="394"/>
      <c r="Q52" s="394"/>
      <c r="R52" s="394"/>
      <c r="S52" s="394"/>
      <c r="T52" s="394"/>
      <c r="U52" s="394"/>
      <c r="V52" s="394"/>
      <c r="W52" s="394"/>
      <c r="X52" s="394"/>
      <c r="Y52" s="394"/>
      <c r="Z52" s="394"/>
    </row>
    <row r="53">
      <c r="A53" s="394"/>
      <c r="B53" s="394"/>
      <c r="C53" s="394"/>
      <c r="D53" s="394"/>
      <c r="E53" s="394"/>
      <c r="F53" s="394"/>
      <c r="G53" s="394"/>
      <c r="H53" s="394"/>
      <c r="I53" s="394"/>
      <c r="J53" s="394"/>
      <c r="K53" s="394"/>
      <c r="L53" s="394"/>
      <c r="M53" s="394"/>
      <c r="N53" s="394"/>
      <c r="O53" s="394"/>
      <c r="P53" s="394"/>
      <c r="Q53" s="394"/>
      <c r="R53" s="394"/>
      <c r="S53" s="394"/>
      <c r="T53" s="394"/>
      <c r="U53" s="394"/>
      <c r="V53" s="394"/>
      <c r="W53" s="394"/>
      <c r="X53" s="394"/>
      <c r="Y53" s="394"/>
      <c r="Z53" s="394"/>
    </row>
  </sheetData>
  <autoFilter ref="$A$1:$G$45"/>
  <customSheetViews>
    <customSheetView guid="{234F1DF1-E232-487E-B11C-9FE2199D5CFE}" filter="1" showAutoFilter="1">
      <autoFilter ref="$A$1:$G$45">
        <sortState ref="A1:G45">
          <sortCondition ref="F1:F45"/>
        </sortState>
      </autoFilter>
    </customSheetView>
  </customSheetViews>
  <conditionalFormatting sqref="F2:F45">
    <cfRule type="colorScale" priority="1">
      <colorScale>
        <cfvo type="min"/>
        <cfvo type="percentile" val="50"/>
        <cfvo type="max"/>
        <color rgb="FF57BB8A"/>
        <color rgb="FFFFD666"/>
        <color rgb="FFE67C73"/>
      </colorScale>
    </cfRule>
  </conditionalFormatting>
  <conditionalFormatting sqref="G2:G45">
    <cfRule type="colorScale" priority="2">
      <colorScale>
        <cfvo type="min"/>
        <cfvo type="percentile" val="50"/>
        <cfvo type="max"/>
        <color rgb="FF57BB8A"/>
        <color rgb="FFFFD666"/>
        <color rgb="FFE67C73"/>
      </colorScale>
    </cfRule>
  </conditionalFormatting>
  <drawing r:id="rId2"/>
  <legacyDrawing r:id="rId3"/>
</worksheet>
</file>